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3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9.xml" ContentType="application/vnd.openxmlformats-officedocument.spreadsheetml.comment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vmlDrawing7.vml" ContentType="application/vnd.openxmlformats-officedocument.vmlDrawing"/>
  <Override PartName="/xl/drawings/drawing8.xml" ContentType="application/vnd.openxmlformats-officedocument.drawing+xml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vmlDrawing6.vml" ContentType="application/vnd.openxmlformats-officedocument.vmlDrawing"/>
  <Override PartName="/xl/drawings/drawing7.xml" ContentType="application/vnd.openxmlformats-officedocument.drawing+xml"/>
  <Override PartName="/xl/drawings/vmlDrawing11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drawing9.xml" ContentType="application/vnd.openxmlformats-officedocument.drawing+xml"/>
  <Override PartName="/xl/drawings/vmlDrawing8.vml" ContentType="application/vnd.openxmlformats-officedocument.vmlDrawing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7.xml.rels" ContentType="application/vnd.openxmlformats-package.relationships+xml"/>
  <Override PartName="/xl/drawings/_rels/drawing5.xml.rels" ContentType="application/vnd.openxmlformats-package.relationships+xml"/>
  <Override PartName="/xl/drawings/_rels/drawing8.xml.rels" ContentType="application/vnd.openxmlformats-package.relationships+xml"/>
  <Override PartName="/xl/drawings/_rels/drawing6.xml.rels" ContentType="application/vnd.openxmlformats-package.relationship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media/image56.jpeg" ContentType="image/jpeg"/>
  <Override PartName="/xl/media/image92.png" ContentType="image/png"/>
  <Override PartName="/xl/media/image55.jpeg" ContentType="image/jpeg"/>
  <Override PartName="/xl/media/image82.png" ContentType="image/png"/>
  <Override PartName="/xl/media/image54.jpeg" ContentType="image/jpeg"/>
  <Override PartName="/xl/media/image53.jpeg" ContentType="image/jpeg"/>
  <Override PartName="/xl/media/image110.png" ContentType="image/png"/>
  <Override PartName="/xl/media/image52.jpeg" ContentType="image/jpeg"/>
  <Override PartName="/xl/media/image100.png" ContentType="image/png"/>
  <Override PartName="/xl/media/image51.jpeg" ContentType="image/jpeg"/>
  <Override PartName="/xl/media/image50.jpeg" ContentType="image/jpeg"/>
  <Override PartName="/xl/media/image46.jpeg" ContentType="image/jpeg"/>
  <Override PartName="/xl/media/image45.jpeg" ContentType="image/jpeg"/>
  <Override PartName="/xl/media/image44.jpeg" ContentType="image/jpeg"/>
  <Override PartName="/xl/media/image43.jpeg" ContentType="image/jpeg"/>
  <Override PartName="/xl/media/image42.jpeg" ContentType="image/jpeg"/>
  <Override PartName="/xl/media/image99.png" ContentType="image/png"/>
  <Override PartName="/xl/media/image41.jpeg" ContentType="image/jpeg"/>
  <Override PartName="/xl/media/image89.png" ContentType="image/png"/>
  <Override PartName="/xl/media/image40.jpeg" ContentType="image/jpeg"/>
  <Override PartName="/xl/media/image79.png" ContentType="image/png"/>
  <Override PartName="/xl/media/image39.jpeg" ContentType="image/jpeg"/>
  <Override PartName="/xl/media/image38.jpeg" ContentType="image/jpeg"/>
  <Override PartName="/xl/media/image95.png" ContentType="image/png"/>
  <Override PartName="/xl/media/image37.jpeg" ContentType="image/jpeg"/>
  <Override PartName="/xl/media/image85.png" ContentType="image/png"/>
  <Override PartName="/xl/media/image36.jpeg" ContentType="image/jpeg"/>
  <Override PartName="/xl/media/image35.jpeg" ContentType="image/jpeg"/>
  <Override PartName="/xl/media/image113.png" ContentType="image/png"/>
  <Override PartName="/xl/media/image34.jpeg" ContentType="image/jpeg"/>
  <Override PartName="/xl/media/image103.png" ContentType="image/png"/>
  <Override PartName="/xl/media/image33.jpeg" ContentType="image/jpeg"/>
  <Override PartName="/xl/media/image32.jpeg" ContentType="image/jpeg"/>
  <Override PartName="/xl/media/image31.jpeg" ContentType="image/jpeg"/>
  <Override PartName="/xl/media/image90.png" ContentType="image/png"/>
  <Override PartName="/xl/media/image30.jpeg" ContentType="image/jpeg"/>
  <Override PartName="/xl/media/image80.png" ContentType="image/png"/>
  <Override PartName="/xl/media/image9.jpeg" ContentType="image/jpeg"/>
  <Override PartName="/xl/media/image49.jpeg" ContentType="image/jpeg"/>
  <Override PartName="/xl/media/image12.jpeg" ContentType="image/jpeg"/>
  <Override PartName="/xl/media/image83.png" ContentType="image/png"/>
  <Override PartName="/xl/media/image13.jpeg" ContentType="image/jpeg"/>
  <Override PartName="/xl/media/image93.png" ContentType="image/png"/>
  <Override PartName="/xl/media/image8.jpeg" ContentType="image/jpeg"/>
  <Override PartName="/xl/media/image91.png" ContentType="image/png"/>
  <Override PartName="/xl/media/image48.jpeg" ContentType="image/jpeg"/>
  <Override PartName="/xl/media/image11.jpeg" ContentType="image/jpeg"/>
  <Override PartName="/xl/media/image47.jpeg" ContentType="image/jpeg"/>
  <Override PartName="/xl/media/image10.jpeg" ContentType="image/jpeg"/>
  <Override PartName="/xl/media/image111.png" ContentType="image/png"/>
  <Override PartName="/xl/media/image14.jpeg" ContentType="image/jpeg"/>
  <Override PartName="/xl/media/image15.jpeg" ContentType="image/jpeg"/>
  <Override PartName="/xl/media/image16.jpeg" ContentType="image/jpeg"/>
  <Override PartName="/xl/media/image106.png" ContentType="image/png"/>
  <Override PartName="/xl/media/image62.jpeg" ContentType="image/jpeg"/>
  <Override PartName="/xl/media/image64.jpeg" ContentType="image/jpeg"/>
  <Override PartName="/xl/media/image65.jpeg" ContentType="image/jpeg"/>
  <Override PartName="/xl/media/image66.jpeg" ContentType="image/jpeg"/>
  <Override PartName="/xl/media/image67.jpeg" ContentType="image/jpeg"/>
  <Override PartName="/xl/media/image68.jpeg" ContentType="image/jpeg"/>
  <Override PartName="/xl/media/image70.jpeg" ContentType="image/jpeg"/>
  <Override PartName="/xl/media/image97.png" ContentType="image/png"/>
  <Override PartName="/xl/media/image6.jpeg" ContentType="image/jpeg"/>
  <Override PartName="/xl/media/image74.jpeg" ContentType="image/jpeg"/>
  <Override PartName="/xl/media/image112.png" ContentType="image/png"/>
  <Override PartName="/xl/media/image69.jpeg" ContentType="image/jpeg"/>
  <Override PartName="/xl/media/image98.png" ContentType="image/png"/>
  <Override PartName="/xl/media/image109.png" ContentType="image/png"/>
  <Override PartName="/xl/media/image63.jpeg" ContentType="image/jpeg"/>
  <Override PartName="/xl/media/image86.png" ContentType="image/png"/>
  <Override PartName="/xl/media/image108.png" ContentType="image/png"/>
  <Override PartName="/xl/media/image75.jpeg" ContentType="image/jpeg"/>
  <Override PartName="/xl/media/image107.png" ContentType="image/png"/>
  <Override PartName="/xl/media/image71.jpeg" ContentType="image/jpeg"/>
  <Override PartName="/xl/media/image104.png" ContentType="image/png"/>
  <Override PartName="/xl/media/image101.png" ContentType="image/png"/>
  <Override PartName="/xl/media/image76.jpeg" ContentType="image/jpeg"/>
  <Override PartName="/xl/media/image18.jpeg" ContentType="image/jpeg"/>
  <Override PartName="/xl/media/image78.png" ContentType="image/png"/>
  <Override PartName="/xl/media/image87.png" ContentType="image/png"/>
  <Override PartName="/xl/media/image5.jpeg" ContentType="image/jpeg"/>
  <Override PartName="/xl/media/image73.jpeg" ContentType="image/jpeg"/>
  <Override PartName="/xl/media/image94.png" ContentType="image/png"/>
  <Override PartName="/xl/media/image72.jpeg" ContentType="image/jpeg"/>
  <Override PartName="/xl/media/image84.png" ContentType="image/png"/>
  <Override PartName="/xl/media/image102.png" ContentType="image/png"/>
  <Override PartName="/xl/media/image77.jpeg" ContentType="image/jpeg"/>
  <Override PartName="/xl/media/image61.jpeg" ContentType="image/jpeg"/>
  <Override PartName="/xl/media/image88.png" ContentType="image/png"/>
  <Override PartName="/xl/media/image19.jpeg" ContentType="image/jpeg"/>
  <Override PartName="/xl/media/image60.jpeg" ContentType="image/jpeg"/>
  <Override PartName="/xl/media/image96.png" ContentType="image/png"/>
  <Override PartName="/xl/media/image20.jpeg" ContentType="image/jpeg"/>
  <Override PartName="/xl/media/image57.jpeg" ContentType="image/jpeg"/>
  <Override PartName="/xl/media/image7.jpeg" ContentType="image/jpeg"/>
  <Override PartName="/xl/media/image81.png" ContentType="image/png"/>
  <Override PartName="/xl/media/image26.jpeg" ContentType="image/jpeg"/>
  <Override PartName="/xl/media/image4.jpeg" ContentType="image/jpeg"/>
  <Override PartName="/xl/media/image25.jpeg" ContentType="image/jpeg"/>
  <Override PartName="/xl/media/image29.jpeg" ContentType="image/jpeg"/>
  <Override PartName="/xl/media/image3.jpeg" ContentType="image/jpeg"/>
  <Override PartName="/xl/media/image24.jpeg" ContentType="image/jpeg"/>
  <Override PartName="/xl/media/image28.jpeg" ContentType="image/jpeg"/>
  <Override PartName="/xl/media/image2.jpeg" ContentType="image/jpeg"/>
  <Override PartName="/xl/media/image23.jpeg" ContentType="image/jpeg"/>
  <Override PartName="/xl/media/image27.jpeg" ContentType="image/jpeg"/>
  <Override PartName="/xl/media/image1.jpeg" ContentType="image/jpeg"/>
  <Override PartName="/xl/media/image22.jpeg" ContentType="image/jpeg"/>
  <Override PartName="/xl/media/image105.png" ContentType="image/png"/>
  <Override PartName="/xl/media/image59.jpeg" ContentType="image/jpeg"/>
  <Override PartName="/xl/media/image21.jpeg" ContentType="image/jpeg"/>
  <Override PartName="/xl/media/image58.jpeg" ContentType="image/jpeg"/>
  <Override PartName="/xl/media/image17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БЩИЙ" sheetId="1" state="visible" r:id="rId3"/>
    <sheet name="Инструкция" sheetId="2" state="visible" r:id="rId4"/>
    <sheet name="Сводка заказов" sheetId="3" state="visible" r:id="rId5"/>
    <sheet name="ЗАКАЗЫ" sheetId="4" state="visible" r:id="rId6"/>
    <sheet name="КАНАТЫ" sheetId="5" state="visible" r:id="rId7"/>
    <sheet name="ГИЛЬЗЫ И ВТУЛКИ" sheetId="6" state="visible" r:id="rId8"/>
    <sheet name="Изделия для каната" sheetId="7" state="visible" r:id="rId9"/>
    <sheet name="Гимнастические кольца и подвесы" sheetId="8" state="visible" r:id="rId10"/>
    <sheet name="Комплектующие для качелей" sheetId="9" state="visible" r:id="rId11"/>
    <sheet name="Зацепы скалодромные" sheetId="10" state="visible" r:id="rId12"/>
    <sheet name="Крепление для качелей" sheetId="11" state="visible" r:id="rId13"/>
    <sheet name="Крепёж и такелаж" sheetId="12" state="visible" r:id="rId14"/>
    <sheet name="ТН ВЭД" sheetId="13" state="visible" r:id="rId15"/>
    <sheet name="Поставщики" sheetId="14" state="visible" r:id="rId16"/>
    <sheet name="Справочники" sheetId="15" state="visible" r:id="rId17"/>
  </sheets>
  <definedNames>
    <definedName function="false" hidden="true" localSheetId="5" name="_xlnm._FilterDatabase" vbProcedure="false">'ГИЛЬЗЫ И ВТУЛКИ'!$A$2:$BK$302</definedName>
    <definedName function="false" hidden="true" localSheetId="7" name="_xlnm._FilterDatabase" vbProcedure="false">'Гимнастические кольца и подвесы'!$A$2:$BK$302</definedName>
    <definedName function="false" hidden="true" localSheetId="3" name="_xlnm._FilterDatabase" vbProcedure="false">ЗАКАЗЫ!$A$2:$AP$83</definedName>
    <definedName function="false" hidden="true" localSheetId="6" name="_xlnm._FilterDatabase" vbProcedure="false">'Изделия для каната'!$A$2:$BK$302</definedName>
    <definedName function="false" hidden="true" localSheetId="4" name="_xlnm._FilterDatabase" vbProcedure="false">КАНАТЫ!$A$2:$BK$302</definedName>
    <definedName function="false" hidden="true" localSheetId="8" name="_xlnm._FilterDatabase" vbProcedure="false">'Комплектующие для качелей'!$A$2:$BK$302</definedName>
    <definedName function="false" hidden="true" localSheetId="13" name="_xlnm._FilterDatabase" vbProcedure="false">Поставщики!$A$1:$M$101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8" authorId="0">
      <text>
        <r>
          <rPr>
            <sz val="10"/>
            <rFont val="Arial"/>
            <family val="2"/>
          </rPr>
          <t xml:space="preserve">Дата в документах не указана — впиши дату заказа.</t>
        </r>
      </text>
    </comment>
    <comment ref="D9" authorId="0">
      <text>
        <r>
          <rPr>
            <sz val="10"/>
            <rFont val="Arial"/>
            <family val="2"/>
          </rPr>
          <t xml:space="preserve">Дата в документах не указана — впиши дату заказа.</t>
        </r>
      </text>
    </comment>
    <comment ref="E5" authorId="0">
      <text>
        <r>
          <rPr>
            <sz val="10"/>
            <rFont val="Arial"/>
            <family val="2"/>
          </rPr>
          <t xml:space="preserve">Срок производства по договорам считается от зачисления аванса. Пока даты нет — берётся дата заказа + 14 дней.</t>
        </r>
      </text>
    </comment>
    <comment ref="R5" authorId="0">
      <text>
        <r>
          <rPr>
            <sz val="10"/>
            <rFont val="Arial"/>
            <family val="2"/>
          </rPr>
          <t xml:space="preserve">Все договоры Sidana и Qingdao — DPU Хоргос: доставку до границы оплачивает поставщик, поэтому 0%. Таможенная стоимость = цена + доп. расходы + логистика до границы.</t>
        </r>
      </text>
    </comment>
    <comment ref="S5" authorId="0">
      <text>
        <r>
          <rPr>
            <sz val="10"/>
            <rFont val="Arial"/>
            <family val="2"/>
          </rPr>
          <t xml:space="preserve">Допущение 15%: Хоргос → Алматы, СВХ, брокер, сбор за оформление. Поменяй по факту.</t>
        </r>
      </text>
    </comment>
    <comment ref="T8" authorId="0">
      <text>
        <r>
          <rPr>
            <sz val="10"/>
            <rFont val="Arial"/>
            <family val="2"/>
          </rPr>
          <t xml:space="preserve">Срок производства не указан — впиши, чтобы посчиталась дата прихода.</t>
        </r>
      </text>
    </comment>
    <comment ref="T9" authorId="0">
      <text>
        <r>
          <rPr>
            <sz val="10"/>
            <rFont val="Arial"/>
            <family val="2"/>
          </rPr>
          <t xml:space="preserve">Срок производства не указан — впиши, чтобы посчиталась дата прихода.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2" authorId="0">
      <text>
        <r>
          <rPr>
            <sz val="10"/>
            <rFont val="Arial"/>
            <family val="2"/>
          </rPr>
          <t xml:space="preserve">Best Swing — цены NEW PRICE. Остальные — из PO / договоров.</t>
        </r>
      </text>
    </comment>
    <comment ref="X2" authorId="0">
      <text>
        <r>
          <rPr>
            <sz val="10"/>
            <rFont val="Arial"/>
            <family val="2"/>
          </rPr>
          <t xml:space="preserve">Себестоимость = таможенная стоимость + пошлина + логистика до склада. Ввозной НДС не входит, если на «Справочниках» стоит «НДС в зачёт = Да».</t>
        </r>
      </text>
    </comment>
    <comment ref="AB2" authorId="0">
      <text>
        <r>
          <rPr>
            <sz val="10"/>
            <rFont val="Arial"/>
            <family val="2"/>
          </rPr>
          <t xml:space="preserve">Цена аналога на zaglushka.ru (розница) — с карточки товара в каталоге.</t>
        </r>
      </text>
    </comment>
    <comment ref="AD2" authorId="0">
      <text>
        <r>
          <rPr>
            <sz val="10"/>
            <rFont val="Arial"/>
            <family val="2"/>
          </rPr>
          <t xml:space="preserve">Берётся с карточки товара в каталоге (колонка «НАША цена от MOQ»). Меняй цену там.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Строка 2 — заголовки для импорта на сайт. Строки не удаляй, ненужное помечай статусом «Снят» — артикулы закреплены за строками.</t>
        </r>
      </text>
    </comment>
    <comment ref="D2" authorId="0">
      <text>
        <r>
          <rPr>
            <sz val="10"/>
            <rFont val="Arial"/>
            <family val="2"/>
          </rPr>
          <t xml:space="preserve">Хотели 4–5 самых популярных на категорию. Если «Да» больше 5 — подсветится красным.</t>
        </r>
      </text>
    </comment>
    <comment ref="I2" authorId="0">
      <text>
        <r>
          <rPr>
            <sz val="10"/>
            <rFont val="Arial"/>
            <family val="2"/>
          </rPr>
          <t xml:space="preserve">Имена файлов собираются из артикула автоматически. Просто назови фото так же: AKO-KN-001_1.jpg и т.д.</t>
        </r>
      </text>
    </comment>
    <comment ref="AK2" authorId="0">
      <text>
        <r>
          <rPr>
            <sz val="10"/>
            <rFont val="Arial"/>
            <family val="2"/>
          </rPr>
          <t xml:space="preserve">Оранжевым — если сумма по цветам не совпадает с тем, что заказано (колонка BN).</t>
        </r>
      </text>
    </comment>
    <comment ref="AO2" authorId="0">
      <text>
        <r>
          <rPr>
            <sz val="10"/>
            <rFont val="Arial"/>
            <family val="2"/>
          </rPr>
          <t xml:space="preserve">Цена на zaglushka.ru за 1 шт (розница), как на сайте.</t>
        </r>
      </text>
    </comment>
    <comment ref="AO4" authorId="0">
      <text>
        <r>
          <rPr>
            <sz val="10"/>
            <rFont val="Arial"/>
            <family val="2"/>
          </rPr>
          <t xml:space="preserve">Пересчёт из листа «ВНУТРЕННЕЕ» заказа Best Swing: ₸ с 16% ÷ 1,16 ÷ 5,5 ₸/₽</t>
        </r>
      </text>
    </comment>
    <comment ref="AO5" authorId="0">
      <text>
        <r>
          <rPr>
            <sz val="10"/>
            <rFont val="Arial"/>
            <family val="2"/>
          </rPr>
          <t xml:space="preserve">Тот же аналог, что у AKO-KN-001</t>
        </r>
      </text>
    </comment>
    <comment ref="AO6" authorId="0">
      <text>
        <r>
          <rPr>
            <sz val="10"/>
            <rFont val="Arial"/>
            <family val="2"/>
          </rPr>
          <t xml:space="preserve">Пересчёт из листа «ВНУТРЕННЕЕ» заказа Best Swing: ₸ с 16% ÷ 1,16 ÷ 5,5 ₸/₽</t>
        </r>
      </text>
    </comment>
    <comment ref="AT4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5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6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BH2" authorId="0">
      <text>
        <r>
          <rPr>
            <sz val="10"/>
            <rFont val="Arial"/>
            <family val="2"/>
          </rPr>
          <t xml:space="preserve">Если товар есть на листе «ЗАКАЗЫ» — средневзвешенная себестоимость по всем заказам (закупка + пошлина по коду ТН ВЭД + логистика). Иначе — оценка: закупка × курс × (1 + % со «Справочников»).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Строка 2 — заголовки для импорта на сайт. Строки не удаляй, ненужное помечай статусом «Снят» — артикулы закреплены за строками.</t>
        </r>
      </text>
    </comment>
    <comment ref="D2" authorId="0">
      <text>
        <r>
          <rPr>
            <sz val="10"/>
            <rFont val="Arial"/>
            <family val="2"/>
          </rPr>
          <t xml:space="preserve">Хотели 4–5 самых популярных на категорию. Если «Да» больше 5 — подсветится красным.</t>
        </r>
      </text>
    </comment>
    <comment ref="I2" authorId="0">
      <text>
        <r>
          <rPr>
            <sz val="10"/>
            <rFont val="Arial"/>
            <family val="2"/>
          </rPr>
          <t xml:space="preserve">Имена файлов собираются из артикула автоматически. Просто назови фото так же: AKO-KN-001_1.jpg и т.д.</t>
        </r>
      </text>
    </comment>
    <comment ref="AK2" authorId="0">
      <text>
        <r>
          <rPr>
            <sz val="10"/>
            <rFont val="Arial"/>
            <family val="2"/>
          </rPr>
          <t xml:space="preserve">Оранжевым — если сумма по цветам не совпадает с тем, что заказано (колонка BN).</t>
        </r>
      </text>
    </comment>
    <comment ref="AO2" authorId="0">
      <text>
        <r>
          <rPr>
            <sz val="10"/>
            <rFont val="Arial"/>
            <family val="2"/>
          </rPr>
          <t xml:space="preserve">Цена на zaglushka.ru за 1 шт (розница), как на сайте.</t>
        </r>
      </text>
    </comment>
    <comment ref="AT5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15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BH2" authorId="0">
      <text>
        <r>
          <rPr>
            <sz val="10"/>
            <rFont val="Arial"/>
            <family val="2"/>
          </rPr>
          <t xml:space="preserve">Если товар есть на листе «ЗАКАЗЫ» — средневзвешенная себестоимость по всем заказам (закупка + пошлина по коду ТН ВЭД + логистика). Иначе — оценка: закупка × курс × (1 + % со «Справочников»).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Строка 2 — заголовки для импорта на сайт. Строки не удаляй, ненужное помечай статусом «Снят» — артикулы закреплены за строками.</t>
        </r>
      </text>
    </comment>
    <comment ref="D2" authorId="0">
      <text>
        <r>
          <rPr>
            <sz val="10"/>
            <rFont val="Arial"/>
            <family val="2"/>
          </rPr>
          <t xml:space="preserve">Хотели 4–5 самых популярных на категорию. Если «Да» больше 5 — подсветится красным.</t>
        </r>
      </text>
    </comment>
    <comment ref="I2" authorId="0">
      <text>
        <r>
          <rPr>
            <sz val="10"/>
            <rFont val="Arial"/>
            <family val="2"/>
          </rPr>
          <t xml:space="preserve">Имена файлов собираются из артикула автоматически. Просто назови фото так же: AKO-KN-001_1.jpg и т.д.</t>
        </r>
      </text>
    </comment>
    <comment ref="AK2" authorId="0">
      <text>
        <r>
          <rPr>
            <sz val="10"/>
            <rFont val="Arial"/>
            <family val="2"/>
          </rPr>
          <t xml:space="preserve">Оранжевым — если сумма по цветам не совпадает с тем, что заказано (колонка BN).</t>
        </r>
      </text>
    </comment>
    <comment ref="AO2" authorId="0">
      <text>
        <r>
          <rPr>
            <sz val="10"/>
            <rFont val="Arial"/>
            <family val="2"/>
          </rPr>
          <t xml:space="preserve">Цена на zaglushka.ru за 1 шт (розница), как на сайте.</t>
        </r>
      </text>
    </comment>
    <comment ref="AT16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17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18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19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BH2" authorId="0">
      <text>
        <r>
          <rPr>
            <sz val="10"/>
            <rFont val="Arial"/>
            <family val="2"/>
          </rPr>
          <t xml:space="preserve">Если товар есть на листе «ЗАКАЗЫ» — средневзвешенная себестоимость по всем заказам (закупка + пошлина по коду ТН ВЭД + логистика). Иначе — оценка: закупка × курс × (1 + % со «Справочников»).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Строка 2 — заголовки для импорта на сайт. Строки не удаляй, ненужное помечай статусом «Снят» — артикулы закреплены за строками.</t>
        </r>
      </text>
    </comment>
    <comment ref="D2" authorId="0">
      <text>
        <r>
          <rPr>
            <sz val="10"/>
            <rFont val="Arial"/>
            <family val="2"/>
          </rPr>
          <t xml:space="preserve">Хотели 4–5 самых популярных на категорию. Если «Да» больше 5 — подсветится красным.</t>
        </r>
      </text>
    </comment>
    <comment ref="I2" authorId="0">
      <text>
        <r>
          <rPr>
            <sz val="10"/>
            <rFont val="Arial"/>
            <family val="2"/>
          </rPr>
          <t xml:space="preserve">Имена файлов собираются из артикула автоматически. Просто назови фото так же: AKO-KN-001_1.jpg и т.д.</t>
        </r>
      </text>
    </comment>
    <comment ref="AK2" authorId="0">
      <text>
        <r>
          <rPr>
            <sz val="10"/>
            <rFont val="Arial"/>
            <family val="2"/>
          </rPr>
          <t xml:space="preserve">Оранжевым — если сумма по цветам не совпадает с тем, что заказано (колонка BN).</t>
        </r>
      </text>
    </comment>
    <comment ref="AO2" authorId="0">
      <text>
        <r>
          <rPr>
            <sz val="10"/>
            <rFont val="Arial"/>
            <family val="2"/>
          </rPr>
          <t xml:space="preserve">Цена на zaglushka.ru за 1 шт (розница), как на сайте.</t>
        </r>
      </text>
    </comment>
    <comment ref="AO3" authorId="0">
      <text>
        <r>
          <rPr>
            <sz val="10"/>
            <rFont val="Arial"/>
            <family val="2"/>
          </rPr>
          <t xml:space="preserve">zaglushka.ru, розница (от 10 000 шт — 325 ₽)</t>
        </r>
      </text>
    </comment>
    <comment ref="AO4" authorId="0">
      <text>
        <r>
          <rPr>
            <sz val="10"/>
            <rFont val="Arial"/>
            <family val="2"/>
          </rPr>
          <t xml:space="preserve">zaglushka.ru, розница (от 10 000 шт — 335 ₽). Форму кольца сверь</t>
        </r>
      </text>
    </comment>
    <comment ref="AO5" authorId="0">
      <text>
        <r>
          <rPr>
            <sz val="10"/>
            <rFont val="Arial"/>
            <family val="2"/>
          </rPr>
          <t xml:space="preserve">zaglushka.ru, розница (от 10 000 шт — 375 ₽). Размер на сайте сверь</t>
        </r>
      </text>
    </comment>
    <comment ref="AT3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4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5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BH2" authorId="0">
      <text>
        <r>
          <rPr>
            <sz val="10"/>
            <rFont val="Arial"/>
            <family val="2"/>
          </rPr>
          <t xml:space="preserve">Если товар есть на листе «ЗАКАЗЫ» — средневзвешенная себестоимость по всем заказам (закупка + пошлина по коду ТН ВЭД + логистика). Иначе — оценка: закупка × курс × (1 + % со «Справочников»).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Строка 2 — заголовки для импорта на сайт. Строки не удаляй, ненужное помечай статусом «Снят» — артикулы закреплены за строками.</t>
        </r>
      </text>
    </comment>
    <comment ref="D2" authorId="0">
      <text>
        <r>
          <rPr>
            <sz val="10"/>
            <rFont val="Arial"/>
            <family val="2"/>
          </rPr>
          <t xml:space="preserve">Хотели 4–5 самых популярных на категорию. Если «Да» больше 5 — подсветится красным.</t>
        </r>
      </text>
    </comment>
    <comment ref="I2" authorId="0">
      <text>
        <r>
          <rPr>
            <sz val="10"/>
            <rFont val="Arial"/>
            <family val="2"/>
          </rPr>
          <t xml:space="preserve">Имена файлов собираются из артикула автоматически. Просто назови фото так же: AKO-KN-001_1.jpg и т.д.</t>
        </r>
      </text>
    </comment>
    <comment ref="AK2" authorId="0">
      <text>
        <r>
          <rPr>
            <sz val="10"/>
            <rFont val="Arial"/>
            <family val="2"/>
          </rPr>
          <t xml:space="preserve">Оранжевым — если сумма по цветам не совпадает с тем, что заказано (колонка BN).</t>
        </r>
      </text>
    </comment>
    <comment ref="AO2" authorId="0">
      <text>
        <r>
          <rPr>
            <sz val="10"/>
            <rFont val="Arial"/>
            <family val="2"/>
          </rPr>
          <t xml:space="preserve">Цена на zaglushka.ru за 1 шт (розница), как на сайте.</t>
        </r>
      </text>
    </comment>
    <comment ref="AO4" authorId="0">
      <text>
        <r>
          <rPr>
            <sz val="10"/>
            <rFont val="Arial"/>
            <family val="2"/>
          </rPr>
          <t xml:space="preserve">Пересчёт из листа «ВНУТРЕННЕЕ» заказа Best Swing: ₸ с 16% ÷ 1,16 ÷ 5,5 ₸/₽</t>
        </r>
      </text>
    </comment>
    <comment ref="AO5" authorId="0">
      <text>
        <r>
          <rPr>
            <sz val="10"/>
            <rFont val="Arial"/>
            <family val="2"/>
          </rPr>
          <t xml:space="preserve">zaglushka.ru «Гнездо» Ø1000, розница (от 10 000 шт — 31 750 ₽)</t>
        </r>
      </text>
    </comment>
    <comment ref="AO7" authorId="0">
      <text>
        <r>
          <rPr>
            <sz val="10"/>
            <rFont val="Arial"/>
            <family val="2"/>
          </rPr>
          <t xml:space="preserve">Пересчёт из листа «ВНУТРЕННЕЕ» заказа Best Swing: ₸ с 16% ÷ 1,16 ÷ 5,5 ₸/₽</t>
        </r>
      </text>
    </comment>
    <comment ref="AO9" authorId="0">
      <text>
        <r>
          <rPr>
            <sz val="10"/>
            <rFont val="Arial"/>
            <family val="2"/>
          </rPr>
          <t xml:space="preserve">Пересчёт из листа «ВНУТРЕННЕЕ» заказа Best Swing: ₸ с 16% ÷ 1,16 ÷ 5,5 ₸/₽</t>
        </r>
      </text>
    </comment>
    <comment ref="AO10" authorId="0">
      <text>
        <r>
          <rPr>
            <sz val="10"/>
            <rFont val="Arial"/>
            <family val="2"/>
          </rPr>
          <t xml:space="preserve">Пересчёт из листа «ВНУТРЕННЕЕ» заказа Best Swing: ₸ с 16% ÷ 1,16 ÷ 5,5 ₸/₽</t>
        </r>
      </text>
    </comment>
    <comment ref="AT4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5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6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7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8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9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10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11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BH2" authorId="0">
      <text>
        <r>
          <rPr>
            <sz val="10"/>
            <rFont val="Arial"/>
            <family val="2"/>
          </rPr>
          <t xml:space="preserve">Если товар есть на листе «ЗАКАЗЫ» — средневзвешенная себестоимость по всем заказам (закупка + пошлина по коду ТН ВЭД + логистика). Иначе — оценка: закупка × курс × (1 + % со «Справочников»).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Строка 2 — заголовки для импорта на сайт. Строки не удаляй, ненужное помечай статусом «Снят» — артикулы закреплены за строками.</t>
        </r>
      </text>
    </comment>
    <comment ref="D2" authorId="0">
      <text>
        <r>
          <rPr>
            <sz val="10"/>
            <rFont val="Arial"/>
            <family val="2"/>
          </rPr>
          <t xml:space="preserve">Хотели 4–5 самых популярных на категорию. Если «Да» больше 5 — подсветится красным.</t>
        </r>
      </text>
    </comment>
    <comment ref="I2" authorId="0">
      <text>
        <r>
          <rPr>
            <sz val="10"/>
            <rFont val="Arial"/>
            <family val="2"/>
          </rPr>
          <t xml:space="preserve">Имена файлов собираются из артикула автоматически. Просто назови фото так же: AKO-KN-001_1.jpg и т.д.</t>
        </r>
      </text>
    </comment>
    <comment ref="AK2" authorId="0">
      <text>
        <r>
          <rPr>
            <sz val="10"/>
            <rFont val="Arial"/>
            <family val="2"/>
          </rPr>
          <t xml:space="preserve">Оранжевым — если сумма по цветам не совпадает с тем, что заказано (колонка BN).</t>
        </r>
      </text>
    </comment>
    <comment ref="AO2" authorId="0">
      <text>
        <r>
          <rPr>
            <sz val="10"/>
            <rFont val="Arial"/>
            <family val="2"/>
          </rPr>
          <t xml:space="preserve">Цена на zaglushka.ru за 1 шт (розница), как на сайте.</t>
        </r>
      </text>
    </comment>
    <comment ref="AO4" authorId="0">
      <text>
        <r>
          <rPr>
            <sz val="10"/>
            <rFont val="Arial"/>
            <family val="2"/>
          </rPr>
          <t xml:space="preserve">Пересчёт из листа «ВНУТРЕННЕЕ» заказа Best Swing: ₸ с 16% ÷ 1,16 ÷ 5,5 ₸/₽</t>
        </r>
      </text>
    </comment>
    <comment ref="AT3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4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5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BH2" authorId="0">
      <text>
        <r>
          <rPr>
            <sz val="10"/>
            <rFont val="Arial"/>
            <family val="2"/>
          </rPr>
          <t xml:space="preserve">Если товар есть на листе «ЗАКАЗЫ» — средневзвешенная себестоимость по всем заказам (закупка + пошлина по коду ТН ВЭД + логистика). Иначе — оценка: закупка × курс × (1 + % со «Справочников»).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Строка 2 — заголовки для импорта на сайт. Строки не удаляй, ненужное помечай статусом «Снят» — артикулы закреплены за строками.</t>
        </r>
      </text>
    </comment>
    <comment ref="D2" authorId="0">
      <text>
        <r>
          <rPr>
            <sz val="10"/>
            <rFont val="Arial"/>
            <family val="2"/>
          </rPr>
          <t xml:space="preserve">Хотели 4–5 самых популярных на категорию. Если «Да» больше 5 — подсветится красным.</t>
        </r>
      </text>
    </comment>
    <comment ref="I2" authorId="0">
      <text>
        <r>
          <rPr>
            <sz val="10"/>
            <rFont val="Arial"/>
            <family val="2"/>
          </rPr>
          <t xml:space="preserve">Имена файлов собираются из артикула автоматически. Просто назови фото так же: AKO-KN-001_1.jpg и т.д.</t>
        </r>
      </text>
    </comment>
    <comment ref="AK2" authorId="0">
      <text>
        <r>
          <rPr>
            <sz val="10"/>
            <rFont val="Arial"/>
            <family val="2"/>
          </rPr>
          <t xml:space="preserve">Оранжевым — если сумма по цветам не совпадает с тем, что заказано (колонка BN).</t>
        </r>
      </text>
    </comment>
    <comment ref="AO2" authorId="0">
      <text>
        <r>
          <rPr>
            <sz val="10"/>
            <rFont val="Arial"/>
            <family val="2"/>
          </rPr>
          <t xml:space="preserve">Цена на zaglushka.ru за 1 шт (розница), как на сайте.</t>
        </r>
      </text>
    </comment>
    <comment ref="AO5" authorId="0">
      <text>
        <r>
          <rPr>
            <sz val="10"/>
            <rFont val="Arial"/>
            <family val="2"/>
          </rPr>
          <t xml:space="preserve">Пересчёт из листа «ВНУТРЕННЕЕ» заказа Best Swing: ₸ с 16% ÷ 1,16 ÷ 5,5 ₸/₽</t>
        </r>
      </text>
    </comment>
    <comment ref="AO6" authorId="0">
      <text>
        <r>
          <rPr>
            <sz val="10"/>
            <rFont val="Arial"/>
            <family val="2"/>
          </rPr>
          <t xml:space="preserve">Пересчёт из листа «ВНУТРЕННЕЕ» заказа Best Swing: ₸ с 16% ÷ 1,16 ÷ 5,5 ₸/₽</t>
        </r>
      </text>
    </comment>
    <comment ref="AO7" authorId="0">
      <text>
        <r>
          <rPr>
            <sz val="10"/>
            <rFont val="Arial"/>
            <family val="2"/>
          </rPr>
          <t xml:space="preserve">Пересчёт из листа «ВНУТРЕННЕЕ» заказа Best Swing: ₸ с 16% ÷ 1,16 ÷ 5,5 ₸/₽</t>
        </r>
      </text>
    </comment>
    <comment ref="AO8" authorId="0">
      <text>
        <r>
          <rPr>
            <sz val="10"/>
            <rFont val="Arial"/>
            <family val="2"/>
          </rPr>
          <t xml:space="preserve">Пересчёт из листа «ВНУТРЕННЕЕ» заказа Best Swing: ₸ с 16% ÷ 1,16 ÷ 5,5 ₸/₽</t>
        </r>
      </text>
    </comment>
    <comment ref="AT3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4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5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6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7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8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9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10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11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BH2" authorId="0">
      <text>
        <r>
          <rPr>
            <sz val="10"/>
            <rFont val="Arial"/>
            <family val="2"/>
          </rPr>
          <t xml:space="preserve">Если товар есть на листе «ЗАКАЗЫ» — средневзвешенная себестоимость по всем заказам (закупка + пошлина по коду ТН ВЭД + логистика). Иначе — оценка: закупка × курс × (1 + % со «Справочников»).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Строка 2 — заголовки для импорта на сайт. Строки не удаляй, ненужное помечай статусом «Снят» — артикулы закреплены за строками.</t>
        </r>
      </text>
    </comment>
    <comment ref="D2" authorId="0">
      <text>
        <r>
          <rPr>
            <sz val="10"/>
            <rFont val="Arial"/>
            <family val="2"/>
          </rPr>
          <t xml:space="preserve">Хотели 4–5 самых популярных на категорию. Если «Да» больше 5 — подсветится красным.</t>
        </r>
      </text>
    </comment>
    <comment ref="I2" authorId="0">
      <text>
        <r>
          <rPr>
            <sz val="10"/>
            <rFont val="Arial"/>
            <family val="2"/>
          </rPr>
          <t xml:space="preserve">Имена файлов собираются из артикула автоматически. Просто назови фото так же: AKO-KN-001_1.jpg и т.д.</t>
        </r>
      </text>
    </comment>
    <comment ref="AK2" authorId="0">
      <text>
        <r>
          <rPr>
            <sz val="10"/>
            <rFont val="Arial"/>
            <family val="2"/>
          </rPr>
          <t xml:space="preserve">Оранжевым — если сумма по цветам не совпадает с тем, что заказано (колонка BN).</t>
        </r>
      </text>
    </comment>
    <comment ref="AO2" authorId="0">
      <text>
        <r>
          <rPr>
            <sz val="10"/>
            <rFont val="Arial"/>
            <family val="2"/>
          </rPr>
          <t xml:space="preserve">Цена на zaglushka.ru за 1 шт (розница), как на сайте.</t>
        </r>
      </text>
    </comment>
    <comment ref="AO6" authorId="0">
      <text>
        <r>
          <rPr>
            <sz val="10"/>
            <rFont val="Arial"/>
            <family val="2"/>
          </rPr>
          <t xml:space="preserve">zaglushka.ru, скоба такелажная нерж. М10, розница (от 10 000 шт — 375 ₽)</t>
        </r>
      </text>
    </comment>
    <comment ref="AO8" authorId="0">
      <text>
        <r>
          <rPr>
            <sz val="10"/>
            <rFont val="Arial"/>
            <family val="2"/>
          </rPr>
          <t xml:space="preserve">zaglushka.ru, уменьшенная скоба М6 — ближайший аналог, розница</t>
        </r>
      </text>
    </comment>
    <comment ref="AT3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4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5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6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7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8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9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10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11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12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13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14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AT15" authorId="0">
      <text>
        <r>
          <rPr>
            <sz val="10"/>
            <rFont val="Arial"/>
            <family val="2"/>
          </rPr>
          <t xml:space="preserve">Автоцена (серый курсив): ориентир zagluskha − скидка, но не ниже себестоимости с мин. маржой; без аналога — себестоимость с целевой маржой. Впиши свою цену — формула заменится.</t>
        </r>
      </text>
    </comment>
    <comment ref="BH2" authorId="0">
      <text>
        <r>
          <rPr>
            <sz val="10"/>
            <rFont val="Arial"/>
            <family val="2"/>
          </rPr>
          <t xml:space="preserve">Если товар есть на листе «ЗАКАЗЫ» — средневзвешенная себестоимость по всем заказам (закупка + пошлина по коду ТН ВЭД + логистика). Иначе — оценка: закупка × курс × (1 + % со «Справочников»).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0" authorId="0">
      <text>
        <r>
          <rPr>
            <sz val="10"/>
            <rFont val="Arial"/>
            <family val="2"/>
          </rPr>
          <t xml:space="preserve">Для товаров, которые есть на листе «ЗАКАЗЫ», себестоимость считается точно: пошлина по коду ТН ВЭД + логистика из «Сводки заказов». Этот % используется только пока заказа нет.</t>
        </r>
      </text>
    </comment>
  </commentList>
</comments>
</file>

<file path=xl/sharedStrings.xml><?xml version="1.0" encoding="utf-8"?>
<sst xmlns="http://schemas.openxmlformats.org/spreadsheetml/2006/main" count="9493" uniqueCount="3325">
  <si>
    <t xml:space="preserve">AKO PLAY — каталог комплектующих для детских площадок</t>
  </si>
  <si>
    <t xml:space="preserve">Сводка по наполнению каталога и заказам. Всё считается само — заполняй листы категорий и «ЗАКАЗЫ».</t>
  </si>
  <si>
    <t xml:space="preserve">Категория (лист)</t>
  </si>
  <si>
    <t xml:space="preserve">Префикс</t>
  </si>
  <si>
    <t xml:space="preserve">Позиций заведено</t>
  </si>
  <si>
    <t xml:space="preserve">Готово к сайту</t>
  </si>
  <si>
    <t xml:space="preserve">На сайте</t>
  </si>
  <si>
    <t xml:space="preserve">ТОП (цель 4–5)</t>
  </si>
  <si>
    <t xml:space="preserve">Без фото</t>
  </si>
  <si>
    <t xml:space="preserve">Без схемы</t>
  </si>
  <si>
    <t xml:space="preserve">Без цены</t>
  </si>
  <si>
    <t xml:space="preserve">Без поставщика</t>
  </si>
  <si>
    <t xml:space="preserve">Всего шт (все цвета)</t>
  </si>
  <si>
    <t xml:space="preserve">Заказано, шт</t>
  </si>
  <si>
    <t xml:space="preserve">Пришло, шт</t>
  </si>
  <si>
    <t xml:space="preserve">Себестоимость заказов, ₸</t>
  </si>
  <si>
    <t xml:space="preserve">Выручка план (без НДС), ₸</t>
  </si>
  <si>
    <t xml:space="preserve">Прибыль план, ₸</t>
  </si>
  <si>
    <t xml:space="preserve">Маржа, %</t>
  </si>
  <si>
    <t xml:space="preserve">КАНАТЫ</t>
  </si>
  <si>
    <t xml:space="preserve">AKO-KN</t>
  </si>
  <si>
    <t xml:space="preserve">ГИЛЬЗЫ И ВТУЛКИ</t>
  </si>
  <si>
    <t xml:space="preserve">AKO-GV</t>
  </si>
  <si>
    <t xml:space="preserve">Изделия для каната</t>
  </si>
  <si>
    <t xml:space="preserve">AKO-IK</t>
  </si>
  <si>
    <t xml:space="preserve">Гимнастические кольца и подвесы</t>
  </si>
  <si>
    <t xml:space="preserve">AKO-GK</t>
  </si>
  <si>
    <t xml:space="preserve">Комплектующие для качелей</t>
  </si>
  <si>
    <t xml:space="preserve">AKO-KK</t>
  </si>
  <si>
    <t xml:space="preserve">Зацепы скалодромные</t>
  </si>
  <si>
    <t xml:space="preserve">AKO-ZS</t>
  </si>
  <si>
    <t xml:space="preserve">Крепление для качелей</t>
  </si>
  <si>
    <t xml:space="preserve">AKO-KR</t>
  </si>
  <si>
    <t xml:space="preserve">Крепёж и такелаж</t>
  </si>
  <si>
    <t xml:space="preserve">AKO-KT</t>
  </si>
  <si>
    <t xml:space="preserve">ИТОГО</t>
  </si>
  <si>
    <t xml:space="preserve">ЗАКАЗЫ</t>
  </si>
  <si>
    <t xml:space="preserve">ID заказа</t>
  </si>
  <si>
    <t xml:space="preserve">Поставщик</t>
  </si>
  <si>
    <t xml:space="preserve">Дата заказа</t>
  </si>
  <si>
    <t xml:space="preserve">Итого к оплате, ¥</t>
  </si>
  <si>
    <t xml:space="preserve">Итого, ₸</t>
  </si>
  <si>
    <t xml:space="preserve">Себестоимость партии, ₸</t>
  </si>
  <si>
    <t xml:space="preserve">Выручка план, ₸</t>
  </si>
  <si>
    <t xml:space="preserve">Ожидаемый приход</t>
  </si>
  <si>
    <t xml:space="preserve">Пришло позиций</t>
  </si>
  <si>
    <t xml:space="preserve">Статус</t>
  </si>
  <si>
    <t xml:space="preserve">Ставки пошлин и % логистики — допущения (см. листы «ТН ВЭД» и «Сводка заказов»). Цены «НАША» для новых товаров — автоцена серым курсивом, впиши свои.</t>
  </si>
  <si>
    <t xml:space="preserve">Как заполнять</t>
  </si>
  <si>
    <t xml:space="preserve">Жёлтые ячейки, синий текст — заполняешь ты.</t>
  </si>
  <si>
    <t xml:space="preserve">Серые ячейки — формулы, не трогай (имена фото, цены по порогам, себестоимость, маржа).</t>
  </si>
  <si>
    <t xml:space="preserve">Серая группа «Закупка» — только для нас, на сайт не выгружается.</t>
  </si>
  <si>
    <t xml:space="preserve">Артикулы AKO-XX-001… уже проставлены и закреплены за строками. Строки не удаляй — ненужный товар ставь в статус «Снят».</t>
  </si>
  <si>
    <t xml:space="preserve">ТОП = «Да» для 4–5 самых ходовых позиций категории (они пойдут на главную). Больше 5 — подсветится красным.</t>
  </si>
  <si>
    <t xml:space="preserve">Маржа ниже 20% подсвечивается красным.</t>
  </si>
  <si>
    <t xml:space="preserve">Цвета и количество</t>
  </si>
  <si>
    <t xml:space="preserve">У каждого товара 12 колонок-цветов (BLACK, ORANGE, RED, BLUE, GRAY…). Пишешь количество только в нужных цветах, пустые не трогаешь.</t>
  </si>
  <si>
    <t xml:space="preserve">Пример: канат AKO-KN-001 → BLACK 2000, ORANGE 2000, RED 2000, BLUE 2000, GRAY 2000. Итого (10 000) и список цветов посчитаются сами.</t>
  </si>
  <si>
    <t xml:space="preserve">Артикулы вариантов собираются автоматически: AKO-KN-001-BLACK, AKO-KN-001-ORANGE… — это готовые позиции для сайта и склада.</t>
  </si>
  <si>
    <t xml:space="preserve">Нужен новый цвет — переименуй COLOR-11 / COLOR-12 на листе «Справочники», заголовки обновятся на всех листах.</t>
  </si>
  <si>
    <t xml:space="preserve">Фото и схемы</t>
  </si>
  <si>
    <t xml:space="preserve">Файлы называй по артикулу: AKO-KN-001_1.jpg (главное), _2, _3 (доп.), AKO-KN-001_schema.jpg (чертёж с размерами).</t>
  </si>
  <si>
    <t xml:space="preserve">Все фото складывай в одну папку — сайт подтянет по имени при импорте. Поставь «Фото готово? = Да», когда файл лежит в папке.</t>
  </si>
  <si>
    <t xml:space="preserve">Схема — как у zagluskha.ru: чертёж с размерами (Ø, длина, под какой канат/трубу).</t>
  </si>
  <si>
    <t xml:space="preserve">Цены</t>
  </si>
  <si>
    <t xml:space="preserve">Вводишь цену zagluskha.ru в ₽ как на их сайте (с НДС РФ). Таблица снимает НДС РФ, переводит в ₸ и накидывает НДС РК 16% — столько платит клиент в КЗ, если везёт у них.</t>
  </si>
  <si>
    <t xml:space="preserve">Ориентир = цена zagluskha с НДС РК минус скидка. Свою цену от MOQ ставишь сам, С НДС; рядом считается она же без НДС.</t>
  </si>
  <si>
    <t xml:space="preserve">Себестоимость считается без ввозного НДС (он идёт в зачёт), маржа — от нашей цены без НДС. Ставки НДС — на листе «Справочники».</t>
  </si>
  <si>
    <t xml:space="preserve">Цены от 100 / 500 / 1 000 / 5 000 / 10 000 шт считаются от твоей цены MOQ по скидкам из листа «Справочники».</t>
  </si>
  <si>
    <t xml:space="preserve">Курсы валют, % логистики, скидки по порогам — на листе «Справочники». Цифры там примерные, обнови.</t>
  </si>
  <si>
    <t xml:space="preserve">Пример заполненной строки (лист «ГИЛЬЗЫ И ВТУЛКИ»)</t>
  </si>
  <si>
    <t xml:space="preserve">Поле</t>
  </si>
  <si>
    <t xml:space="preserve">Пример</t>
  </si>
  <si>
    <t xml:space="preserve">Артикул AKO</t>
  </si>
  <si>
    <t xml:space="preserve">AKO-GV-001</t>
  </si>
  <si>
    <t xml:space="preserve">Готов к сайту</t>
  </si>
  <si>
    <t xml:space="preserve">ТОП</t>
  </si>
  <si>
    <t xml:space="preserve">Да</t>
  </si>
  <si>
    <t xml:space="preserve">Название</t>
  </si>
  <si>
    <t xml:space="preserve">Гильза алюминиевая обжимная для каната 16 мм</t>
  </si>
  <si>
    <t xml:space="preserve">Подкатегория</t>
  </si>
  <si>
    <t xml:space="preserve">Гильзы обжимные</t>
  </si>
  <si>
    <t xml:space="preserve">Краткое описание</t>
  </si>
  <si>
    <t xml:space="preserve">Для обжима армированного каната Ø16 мм в узлах сеток и лазалок</t>
  </si>
  <si>
    <t xml:space="preserve">Материал</t>
  </si>
  <si>
    <t xml:space="preserve">Алюминий</t>
  </si>
  <si>
    <t xml:space="preserve">Цвет GRAY, шт</t>
  </si>
  <si>
    <t xml:space="preserve">Цвет BLACK, шт</t>
  </si>
  <si>
    <t xml:space="preserve">Под канат Ø, мм</t>
  </si>
  <si>
    <t xml:space="preserve">Наружный Ø, мм</t>
  </si>
  <si>
    <t xml:space="preserve">Внутренний Ø, мм</t>
  </si>
  <si>
    <t xml:space="preserve">Длина, мм</t>
  </si>
  <si>
    <t xml:space="preserve">Тип</t>
  </si>
  <si>
    <t xml:space="preserve">обжимная</t>
  </si>
  <si>
    <t xml:space="preserve">Вес, г</t>
  </si>
  <si>
    <t xml:space="preserve">Ед. изм.</t>
  </si>
  <si>
    <t xml:space="preserve">шт</t>
  </si>
  <si>
    <t xml:space="preserve">MOQ</t>
  </si>
  <si>
    <t xml:space="preserve">Цена zagluskha.ru, ₽ с НДС РФ</t>
  </si>
  <si>
    <t xml:space="preserve">НАША цена от MOQ, ₸ с НДС</t>
  </si>
  <si>
    <t xml:space="preserve">Ningbo Best Swing</t>
  </si>
  <si>
    <t xml:space="preserve">Цена закупки</t>
  </si>
  <si>
    <t xml:space="preserve">Валюта</t>
  </si>
  <si>
    <t xml:space="preserve">CNY</t>
  </si>
  <si>
    <t xml:space="preserve">Срок изготовления, дн</t>
  </si>
  <si>
    <t xml:space="preserve">Цифры в примере условные — только чтобы показать формат.</t>
  </si>
  <si>
    <t xml:space="preserve">Заказы, себестоимость, склад (новое)</t>
  </si>
  <si>
    <t xml:space="preserve">«Сводка заказов» — одна строка на заказ: даты, оплата 30/70, % логистики, сроки, итог по партии. Новый заказ — впиши ID в первую пустую строку.</t>
  </si>
  <si>
    <t xml:space="preserve">«ЗАКАЗЫ» — одна строка на позицию заказа: фото, артикул AKO, кол-во, цена ¥, код ТН ВЭД, статус, сколько пришло. Новая позиция — строка внизу, ID заказа выбери из списка, артикул — как в каталоге.</t>
  </si>
  <si>
    <t xml:space="preserve">Себестоимость/ед = закупка ¥ × курс + доп. расходы заказа + логистика до границы + пошлина (по коду ТН ВЭД) + логистика до склада и брокер. Ввозной НДС 16% считается отдельно и в себестоимость не идёт, пока на «Справочниках» стоит «НДС в зачёт = Да».</t>
  </si>
  <si>
    <t xml:space="preserve">Пришло на склад — впиши кол-во и дату в «ЗАКАЗЫ» (колонки AL–AM). Каталог сам покажет «Пришло / Ждём / На складе».</t>
  </si>
  <si>
    <t xml:space="preserve">В каталоге колонки BL–BS (фиолетовые) считаются сами из «ЗАКАЗЫ». Себестоимость (BH) — средняя по всем заказам.</t>
  </si>
  <si>
    <t xml:space="preserve">«НАША цена» серым курсивом — автоцена. Как только впишешь свою, она пойдёт в маржу и в «ЗАКАЗЫ».</t>
  </si>
  <si>
    <t xml:space="preserve">Коды ТН ВЭД и ставки — лист «ТН ВЭД». Ставки ориентировочные: сверь с брокером и поправь жёлтые ячейки.</t>
  </si>
  <si>
    <t xml:space="preserve">Цвета: NATURAL — металл без окраски, MULTI — многоцветный товар или набор. Оранжевая «ИТОГО шт» — раскладка по цветам не совпадает с заказом.</t>
  </si>
  <si>
    <t xml:space="preserve">Новый лист «Крепёж и такелаж» (AKO-KT): скобы, рым-гайки, крюки, хомуты. Листы «Зацепы» и «Крепление для качелей» приведены к общей раскладке колонок (появилась колонка ФОТО).</t>
  </si>
  <si>
    <t xml:space="preserve">Сэмплы Qingdao (поз. 11–13) в каталог не внесены — они внизу «Сводки заказов».</t>
  </si>
  <si>
    <t xml:space="preserve">Сводка заказов — оплаты, логистика, сроки, итог по себестоимости</t>
  </si>
  <si>
    <t xml:space="preserve">Жёлтое (синий текст) — заполняешь. Серое — формулы. % логистики, сроки и даты влияют на себестоимость и ожидаемую дату прихода всех позиций заказа на листе «ЗАКАЗЫ».</t>
  </si>
  <si>
    <t xml:space="preserve">Заказ</t>
  </si>
  <si>
    <t xml:space="preserve">Сумма</t>
  </si>
  <si>
    <t xml:space="preserve">Оплата</t>
  </si>
  <si>
    <t xml:space="preserve">Логистика и сроки</t>
  </si>
  <si>
    <t xml:space="preserve">Итог по партии</t>
  </si>
  <si>
    <t xml:space="preserve">Договор / PO</t>
  </si>
  <si>
    <t xml:space="preserve">Дата заказа (договора)</t>
  </si>
  <si>
    <t xml:space="preserve">Дата оплаты аванса</t>
  </si>
  <si>
    <t xml:space="preserve">Условия поставки / оплаты</t>
  </si>
  <si>
    <t xml:space="preserve">Позиций</t>
  </si>
  <si>
    <t xml:space="preserve">Кол-во, шт / м</t>
  </si>
  <si>
    <t xml:space="preserve">Товар, ¥</t>
  </si>
  <si>
    <t xml:space="preserve">Доп. расходы, ¥ (доставка, сэмплы)</t>
  </si>
  <si>
    <t xml:space="preserve">Итого, ₸ (по курсу)</t>
  </si>
  <si>
    <t xml:space="preserve">Аванс 30%, ¥</t>
  </si>
  <si>
    <t xml:space="preserve">Аванс оплачен?</t>
  </si>
  <si>
    <t xml:space="preserve">Остаток 70%, ¥</t>
  </si>
  <si>
    <t xml:space="preserve">Остаток оплачен?</t>
  </si>
  <si>
    <t xml:space="preserve">Доп. расходы, % к товару</t>
  </si>
  <si>
    <t xml:space="preserve">Логистика до границы, % к закупке</t>
  </si>
  <si>
    <t xml:space="preserve">Логистика Хоргос → склад + брокер, % к закупке</t>
  </si>
  <si>
    <t xml:space="preserve">Срок производства, раб. дн</t>
  </si>
  <si>
    <t xml:space="preserve">Транзит до склада, дн</t>
  </si>
  <si>
    <t xml:space="preserve">Пошлина, ₸</t>
  </si>
  <si>
    <t xml:space="preserve">НДС при ввозе, ₸</t>
  </si>
  <si>
    <t xml:space="preserve">Статус заказа</t>
  </si>
  <si>
    <t xml:space="preserve">Комментарий</t>
  </si>
  <si>
    <t xml:space="preserve">SDN-1</t>
  </si>
  <si>
    <t xml:space="preserve">Ningbo Sidana</t>
  </si>
  <si>
    <t xml:space="preserve">PO №1 · договор SDN260921</t>
  </si>
  <si>
    <t xml:space="preserve">DPU Хоргос (склад Dituo), оплата 30% аванс / 70% после приёмки</t>
  </si>
  <si>
    <t xml:space="preserve">Нет</t>
  </si>
  <si>
    <t xml:space="preserve">Заказано</t>
  </si>
  <si>
    <t xml:space="preserve">В п. 4.1 договора сумма ¥51 485 (без каната №18), в Приложении 1 — ¥56 285. Уточнить у Sidana.</t>
  </si>
  <si>
    <t xml:space="preserve">SDN-2-1</t>
  </si>
  <si>
    <t xml:space="preserve">PO №2-1 · Standard (стоковые позиции)</t>
  </si>
  <si>
    <t xml:space="preserve">DPU Хоргос (склад Dituo), 30% аванс / 70% до отгрузки из Нинбо</t>
  </si>
  <si>
    <t xml:space="preserve">Дата в PO 2-1 не указана — взята по договору 2-2 (№2026101402 от 14.10.2026). Проверь.</t>
  </si>
  <si>
    <t xml:space="preserve">SDN-2-2</t>
  </si>
  <si>
    <t xml:space="preserve">PO №2-2 · Customized · договор №2026101402</t>
  </si>
  <si>
    <t xml:space="preserve">DPU Хоргос, 30% аванс / 70% перед каждой отгрузкой. Отгрузка 1: поз. 1–7 + 100 гнёзд (30 раб. дн), отгрузка 2: 100 гнёзд (50 раб. дн)</t>
  </si>
  <si>
    <t xml:space="preserve">Перед производством Sidana присылает чертёж + фото образца каждой позиции на согласование (п. 3.4).</t>
  </si>
  <si>
    <t xml:space="preserve">BS-1</t>
  </si>
  <si>
    <t xml:space="preserve">PO Best Swing (цены NEW)</t>
  </si>
  <si>
    <t xml:space="preserve">Условия поставки в PO не указаны</t>
  </si>
  <si>
    <t xml:space="preserve">Цены — колонка NEW PRICE. Дату заказа и условия поставки впиши. Если поставка не до Хоргоса — поставь % логистики до границы.</t>
  </si>
  <si>
    <t xml:space="preserve">QDF-1</t>
  </si>
  <si>
    <t xml:space="preserve">Qingdao Florescence</t>
  </si>
  <si>
    <t xml:space="preserve">Договор поставки (Приложение 1), № и дата не заполнены</t>
  </si>
  <si>
    <t xml:space="preserve">DPU Хоргос (склад Dituo), 30% аванс / 70% до отгрузки</t>
  </si>
  <si>
    <t xml:space="preserve">Доп. расходы ¥1 169,50 = доставка до Синьцзяна ¥1 000 + сэмплы ¥169,50 (3 позиции, в каталог не вносим). Итого по договору ¥34 194,50.</t>
  </si>
  <si>
    <t xml:space="preserve">Сэмплы Qingdao Florescence (QDF-1, поз. 11–13) — только для проверки, в каталог не вносим</t>
  </si>
  <si>
    <t xml:space="preserve">№ в договоре</t>
  </si>
  <si>
    <t xml:space="preserve">Описание</t>
  </si>
  <si>
    <t xml:space="preserve">Кол-во (≈ сумма / цена)</t>
  </si>
  <si>
    <t xml:space="preserve">Цена, ¥</t>
  </si>
  <si>
    <t xml:space="preserve">Сумма, ¥</t>
  </si>
  <si>
    <t xml:space="preserve">For 16mm rope (сэмпл)</t>
  </si>
  <si>
    <t xml:space="preserve">Ropes accessories (сэмпл)</t>
  </si>
  <si>
    <t xml:space="preserve">Итого</t>
  </si>
  <si>
    <t xml:space="preserve">Сумма сэмплов + доставка ¥1 000 вписаны в «Доп. расходы» QDF-1 и разнесены на позиции пропорционально сумме.</t>
  </si>
  <si>
    <t xml:space="preserve">Товар и закупка</t>
  </si>
  <si>
    <t xml:space="preserve">Таможня</t>
  </si>
  <si>
    <t xml:space="preserve">Себестоимость (за единицу и за партию)</t>
  </si>
  <si>
    <t xml:space="preserve">Продажа и маржа</t>
  </si>
  <si>
    <t xml:space="preserve">Поставка и склад</t>
  </si>
  <si>
    <t xml:space="preserve">№ в заказе</t>
  </si>
  <si>
    <t xml:space="preserve">ФОТО</t>
  </si>
  <si>
    <t xml:space="preserve">Название (из каталога)</t>
  </si>
  <si>
    <t xml:space="preserve">Название у поставщика</t>
  </si>
  <si>
    <t xml:space="preserve">Цвета / раскладка</t>
  </si>
  <si>
    <t xml:space="preserve">Кол-во</t>
  </si>
  <si>
    <t xml:space="preserve">Ед.</t>
  </si>
  <si>
    <t xml:space="preserve">Код ТН ВЭД</t>
  </si>
  <si>
    <t xml:space="preserve">Пошлина, %</t>
  </si>
  <si>
    <t xml:space="preserve">НДС ввоз, %</t>
  </si>
  <si>
    <t xml:space="preserve">Закупка, ₸/ед</t>
  </si>
  <si>
    <t xml:space="preserve">Доп. расходы заказа, ₸/ед</t>
  </si>
  <si>
    <t xml:space="preserve">Логистика до границы, ₸/ед</t>
  </si>
  <si>
    <t xml:space="preserve">Таможенная стоимость, ₸/ед</t>
  </si>
  <si>
    <t xml:space="preserve">Пошлина, ₸/ед</t>
  </si>
  <si>
    <t xml:space="preserve">НДС при ввозе, ₸/ед</t>
  </si>
  <si>
    <t xml:space="preserve">Логистика до склада + брокер, ₸/ед</t>
  </si>
  <si>
    <t xml:space="preserve">СЕБЕСТОИМОСТЬ, ₸/ед</t>
  </si>
  <si>
    <t xml:space="preserve">Пошлина за партию, ₸</t>
  </si>
  <si>
    <t xml:space="preserve">НДС ввоз за партию, ₸</t>
  </si>
  <si>
    <t xml:space="preserve">zagluskha.ru, ₽</t>
  </si>
  <si>
    <t xml:space="preserve">zagluskha, ₸ с НДС РК</t>
  </si>
  <si>
    <t xml:space="preserve">НАША цена, ₸ с НДС</t>
  </si>
  <si>
    <t xml:space="preserve">НАША цена, ₸ без НДС</t>
  </si>
  <si>
    <t xml:space="preserve">Маржа, ₸/ед</t>
  </si>
  <si>
    <t xml:space="preserve">Статус поставки</t>
  </si>
  <si>
    <t xml:space="preserve">Пришло на склад, шт</t>
  </si>
  <si>
    <t xml:space="preserve">Дата прихода</t>
  </si>
  <si>
    <t xml:space="preserve">Пришло?</t>
  </si>
  <si>
    <t xml:space="preserve">Осталось прийти</t>
  </si>
  <si>
    <t xml:space="preserve">AKO-KK-003</t>
  </si>
  <si>
    <t xml:space="preserve">Round Mid-range Swing φ100 cm</t>
  </si>
  <si>
    <t xml:space="preserve">по фото: красная сетка, синяя рама</t>
  </si>
  <si>
    <t xml:space="preserve">9506 99 900 0</t>
  </si>
  <si>
    <t xml:space="preserve">Цвет в договоре не указан — уточнить у Sidana</t>
  </si>
  <si>
    <t xml:space="preserve">AKO-KR-001</t>
  </si>
  <si>
    <t xml:space="preserve">Swing Fixing Buckle (stainless)</t>
  </si>
  <si>
    <t xml:space="preserve">—</t>
  </si>
  <si>
    <t xml:space="preserve">7326 90 980 7</t>
  </si>
  <si>
    <t xml:space="preserve">AKO-GV-002</t>
  </si>
  <si>
    <t xml:space="preserve">Dual Rope Clamp (customized)</t>
  </si>
  <si>
    <t xml:space="preserve">7616 99 900 8</t>
  </si>
  <si>
    <t xml:space="preserve">Customized. Тот же размер, что Type E в заказе 2-2 (34 / 16,5 / 40 мм)</t>
  </si>
  <si>
    <t xml:space="preserve">AKO-KT-001</t>
  </si>
  <si>
    <t xml:space="preserve">Connecting Buckle, cube Ø114 mm</t>
  </si>
  <si>
    <t xml:space="preserve">AKO-KT-002</t>
  </si>
  <si>
    <t xml:space="preserve">Pipe Clamp Buckle, cube Ø114 mm</t>
  </si>
  <si>
    <t xml:space="preserve">AKO-KT-003</t>
  </si>
  <si>
    <t xml:space="preserve">Stainless steel D-shackle M10</t>
  </si>
  <si>
    <t xml:space="preserve">AKO-KT-004</t>
  </si>
  <si>
    <t xml:space="preserve">Bow Shackle M10 (stainless)</t>
  </si>
  <si>
    <t xml:space="preserve">AKO-KR-002</t>
  </si>
  <si>
    <t xml:space="preserve">Swing Buckle 12×11 cm (stainless)</t>
  </si>
  <si>
    <t xml:space="preserve">AKO-IK-015</t>
  </si>
  <si>
    <t xml:space="preserve">Nylon Core Ring M10 for 16 mm rope</t>
  </si>
  <si>
    <t xml:space="preserve">по фото: зелёный</t>
  </si>
  <si>
    <t xml:space="preserve">3926 90 970 9</t>
  </si>
  <si>
    <t xml:space="preserve">Цвет в договоре не указан</t>
  </si>
  <si>
    <t xml:space="preserve">AKO-IK-016</t>
  </si>
  <si>
    <t xml:space="preserve">Nylon Core Ring for 16 mm rope</t>
  </si>
  <si>
    <t xml:space="preserve">по фото: кремовый</t>
  </si>
  <si>
    <t xml:space="preserve">AKO-KK-009</t>
  </si>
  <si>
    <t xml:space="preserve">Swing Seat PE 440×178 mm</t>
  </si>
  <si>
    <t xml:space="preserve">по фото: чёрный</t>
  </si>
  <si>
    <t xml:space="preserve">AKO-ZS-001</t>
  </si>
  <si>
    <t xml:space="preserve">Nylon Climbing Hold</t>
  </si>
  <si>
    <t xml:space="preserve">RED</t>
  </si>
  <si>
    <t xml:space="preserve">ORANGE</t>
  </si>
  <si>
    <t xml:space="preserve">BLUE</t>
  </si>
  <si>
    <t xml:space="preserve">GREEN</t>
  </si>
  <si>
    <t xml:space="preserve">YELLOW</t>
  </si>
  <si>
    <t xml:space="preserve">AKO-IK-001</t>
  </si>
  <si>
    <t xml:space="preserve">Stainless Steel Thimble for 16 mm rope</t>
  </si>
  <si>
    <t xml:space="preserve">AKO-KN-003</t>
  </si>
  <si>
    <t xml:space="preserve">16 mm six-strand steel wire rope (grey)</t>
  </si>
  <si>
    <t xml:space="preserve">GRAY</t>
  </si>
  <si>
    <t xml:space="preserve">м</t>
  </si>
  <si>
    <t xml:space="preserve">5607 49 190 0</t>
  </si>
  <si>
    <t xml:space="preserve">В договоре цвет серый, на фото — разноцветный канат</t>
  </si>
  <si>
    <t xml:space="preserve">Rope Ø16 mm, 6-strand Polystark</t>
  </si>
  <si>
    <t xml:space="preserve">BLACK</t>
  </si>
  <si>
    <t xml:space="preserve">В договоре материал полиэстер+сталь (у нас ПП+сталь) — подтвердить</t>
  </si>
  <si>
    <t xml:space="preserve">AKO-KN-002</t>
  </si>
  <si>
    <t xml:space="preserve">Combination rope Ø16 mm, 4-strand</t>
  </si>
  <si>
    <t xml:space="preserve">AKO-GV-003</t>
  </si>
  <si>
    <t xml:space="preserve">Aluminium oval crimp sleeve, Type E</t>
  </si>
  <si>
    <t xml:space="preserve">AKO-GV-010</t>
  </si>
  <si>
    <t xml:space="preserve">Aluminium cross connector Ø16 mm</t>
  </si>
  <si>
    <t xml:space="preserve">AKO-GV-011</t>
  </si>
  <si>
    <t xml:space="preserve">Aluminium T-connector Ø16 mm</t>
  </si>
  <si>
    <t xml:space="preserve">Stainless steel rope thimble 60×37.5</t>
  </si>
  <si>
    <t xml:space="preserve">AKO-IK-002</t>
  </si>
  <si>
    <t xml:space="preserve">Stainless steel rope thimble 81×55</t>
  </si>
  <si>
    <t xml:space="preserve">AKO-IK-003</t>
  </si>
  <si>
    <t xml:space="preserve">Stainless steel figure-8 connector</t>
  </si>
  <si>
    <t xml:space="preserve">AKO-IK-004</t>
  </si>
  <si>
    <t xml:space="preserve">Plastic cross connector, 2-piece</t>
  </si>
  <si>
    <t xml:space="preserve">YELLOW 7 500 · BLACK 3 750 · GRAY 3 750 · RED 250 · BLUE 250</t>
  </si>
  <si>
    <t xml:space="preserve">Цвета в договоре дают 15 500 шт, а кол-во 15 000 — подтвердить</t>
  </si>
  <si>
    <t xml:space="preserve">AKO-IK-005</t>
  </si>
  <si>
    <t xml:space="preserve">Aluminium cross connector, 1-piece</t>
  </si>
  <si>
    <t xml:space="preserve">Фабрика написала 1.3 — возможно, новая цена. В названии алюминий, в описании пластик — подтвердить</t>
  </si>
  <si>
    <t xml:space="preserve">AKO-IK-006</t>
  </si>
  <si>
    <t xml:space="preserve">Plastic open thimble Ø16 mm</t>
  </si>
  <si>
    <t xml:space="preserve">AKO-IK-007</t>
  </si>
  <si>
    <t xml:space="preserve">Plastic T-connector, 2-piece</t>
  </si>
  <si>
    <t xml:space="preserve">Rope Head Buckle</t>
  </si>
  <si>
    <t xml:space="preserve">Для пластикового Т-соединителя (№12)</t>
  </si>
  <si>
    <t xml:space="preserve">AKO-IK-008</t>
  </si>
  <si>
    <t xml:space="preserve">Plastic rope thimble with M10 bolt fixing</t>
  </si>
  <si>
    <t xml:space="preserve">AKO-IK-009</t>
  </si>
  <si>
    <t xml:space="preserve">Galvanized steel rope thimble 92×52</t>
  </si>
  <si>
    <t xml:space="preserve">AKO-IK-010</t>
  </si>
  <si>
    <t xml:space="preserve">Stainless steel S-hook 53×28</t>
  </si>
  <si>
    <t xml:space="preserve">AKO-IK-011</t>
  </si>
  <si>
    <t xml:space="preserve">Stainless steel S-hook 53×40, wire Ø6</t>
  </si>
  <si>
    <t xml:space="preserve">AKO-IK-012</t>
  </si>
  <si>
    <t xml:space="preserve">Plastic T-connector with flange base</t>
  </si>
  <si>
    <t xml:space="preserve">AKO-IK-014</t>
  </si>
  <si>
    <t xml:space="preserve">Plastic thimble insert Ø16 mm</t>
  </si>
  <si>
    <t xml:space="preserve">RED 500 · BLACK 500</t>
  </si>
  <si>
    <t xml:space="preserve">AKO-GV-013</t>
  </si>
  <si>
    <t xml:space="preserve">Rope End Buckle</t>
  </si>
  <si>
    <t xml:space="preserve">Для Т-соединителя с фланцем (№18)</t>
  </si>
  <si>
    <t xml:space="preserve">AKO-KT-005</t>
  </si>
  <si>
    <t xml:space="preserve">Stainless steel bow shackle, M5 pin (20×29)</t>
  </si>
  <si>
    <t xml:space="preserve">AKO-KT-006</t>
  </si>
  <si>
    <t xml:space="preserve">Stainless steel bow shackle, M6 pin (25×36)</t>
  </si>
  <si>
    <t xml:space="preserve">AKO-KT-007</t>
  </si>
  <si>
    <t xml:space="preserve">Stainless steel omega shackle, M6 pin (32×38)</t>
  </si>
  <si>
    <t xml:space="preserve">AKO-KT-008</t>
  </si>
  <si>
    <t xml:space="preserve">Stainless steel bow shackle, M6 pin (24×28)</t>
  </si>
  <si>
    <t xml:space="preserve">AKO-KT-009</t>
  </si>
  <si>
    <t xml:space="preserve">Stainless steel eye nut M6</t>
  </si>
  <si>
    <t xml:space="preserve">7318 16</t>
  </si>
  <si>
    <t xml:space="preserve">AKO-KT-010</t>
  </si>
  <si>
    <t xml:space="preserve">Stainless steel eye nut M10</t>
  </si>
  <si>
    <t xml:space="preserve">AKO-KT-011</t>
  </si>
  <si>
    <t xml:space="preserve">Stainless steel screw eye M10×100</t>
  </si>
  <si>
    <t xml:space="preserve">7318 13</t>
  </si>
  <si>
    <t xml:space="preserve">Фабрика пишет M10×80 — подтвердить. Докупить 2 пластиковые заглушки на комплект</t>
  </si>
  <si>
    <t xml:space="preserve">Aluminium oval crimp sleeve, Type E (customized)</t>
  </si>
  <si>
    <t xml:space="preserve">Customized, отгрузка 1</t>
  </si>
  <si>
    <t xml:space="preserve">AKO-GV-004</t>
  </si>
  <si>
    <t xml:space="preserve">Aluminium crimp sleeve, Type S 28×28</t>
  </si>
  <si>
    <t xml:space="preserve">AKO-GV-005</t>
  </si>
  <si>
    <t xml:space="preserve">Aluminium crimp sleeve, Type S L=38</t>
  </si>
  <si>
    <t xml:space="preserve">AKO-GV-006</t>
  </si>
  <si>
    <t xml:space="preserve">Aluminium crimp sleeve, Type BK (M10/M12)</t>
  </si>
  <si>
    <t xml:space="preserve">AKO-GV-007</t>
  </si>
  <si>
    <t xml:space="preserve">Aluminium crimp sleeve, Type B (M10)</t>
  </si>
  <si>
    <t xml:space="preserve">AKO-GV-008</t>
  </si>
  <si>
    <t xml:space="preserve">Aluminium rope terminal (articulated joint)</t>
  </si>
  <si>
    <t xml:space="preserve">AKO-GV-009</t>
  </si>
  <si>
    <t xml:space="preserve">Aluminium crimp sleeve, Type J</t>
  </si>
  <si>
    <t xml:space="preserve">Nest swing with suspensions Ø1000</t>
  </si>
  <si>
    <t xml:space="preserve">RED / BLUE / RED (как в 1-м заказе)</t>
  </si>
  <si>
    <t xml:space="preserve">Отгрузка 1 — 100 шт (30 раб. дн), отгрузка 2 — 100 шт (50 раб. дн)</t>
  </si>
  <si>
    <t xml:space="preserve">AKO-KN-001</t>
  </si>
  <si>
    <t xml:space="preserve">BLACK 2 000 · ORANGE 2 000 · RED 2 000 · BLUE 2 000 · GRAY 2 000</t>
  </si>
  <si>
    <t xml:space="preserve">Старая цена ¥8.90</t>
  </si>
  <si>
    <t xml:space="preserve">RED 500 · BLUE 500</t>
  </si>
  <si>
    <t xml:space="preserve">Старая цена ¥8.10</t>
  </si>
  <si>
    <t xml:space="preserve">AKO-KN-004</t>
  </si>
  <si>
    <t xml:space="preserve">PP multifilament rope Ø19 mm, 3-strand</t>
  </si>
  <si>
    <t xml:space="preserve">RED 2 000 · BLUE 2 000</t>
  </si>
  <si>
    <t xml:space="preserve">Старая цена ¥3.65</t>
  </si>
  <si>
    <t xml:space="preserve">AKO-GV-012</t>
  </si>
  <si>
    <t xml:space="preserve">Aluminium sleeve rope Ø16 – chain Ø6</t>
  </si>
  <si>
    <t xml:space="preserve">Старая цена ¥4.69</t>
  </si>
  <si>
    <t xml:space="preserve">AKO-KK-004</t>
  </si>
  <si>
    <t xml:space="preserve">Plastic swing seat with suspensions</t>
  </si>
  <si>
    <t xml:space="preserve">RED 100 · BLUE 100</t>
  </si>
  <si>
    <t xml:space="preserve">AKO-IK-013</t>
  </si>
  <si>
    <t xml:space="preserve">Rope ladder rung Ø16 mm</t>
  </si>
  <si>
    <t xml:space="preserve">YELLOW 300 · RED 100 · BLUE 100</t>
  </si>
  <si>
    <t xml:space="preserve">AKO-KK-005</t>
  </si>
  <si>
    <t xml:space="preserve">Forto full-bucket seat (toddler)</t>
  </si>
  <si>
    <t xml:space="preserve">FULL BLACK</t>
  </si>
  <si>
    <t xml:space="preserve">AKO-KK-006</t>
  </si>
  <si>
    <t xml:space="preserve">Basic full-bucket seat without suspensions</t>
  </si>
  <si>
    <t xml:space="preserve">BLACK+RED</t>
  </si>
  <si>
    <t xml:space="preserve">AKO-GK-004</t>
  </si>
  <si>
    <t xml:space="preserve">Acrobatic ring, triangular, PVC-coated</t>
  </si>
  <si>
    <t xml:space="preserve">9506 91 900 0</t>
  </si>
  <si>
    <t xml:space="preserve">AKO-KK-001</t>
  </si>
  <si>
    <t xml:space="preserve">Round rubber seat Ø280 mm</t>
  </si>
  <si>
    <t xml:space="preserve">AKO-KK-002</t>
  </si>
  <si>
    <t xml:space="preserve">Flexible plastic seat with chain suspensions</t>
  </si>
  <si>
    <t xml:space="preserve">AKO-KK-007</t>
  </si>
  <si>
    <t xml:space="preserve">Basic seat 440×175×25 mm</t>
  </si>
  <si>
    <t xml:space="preserve">AKO-KK-008</t>
  </si>
  <si>
    <t xml:space="preserve">Swing seat 438×174×26 mm</t>
  </si>
  <si>
    <t xml:space="preserve">В PO фото другого товара — проверить у Best Swing</t>
  </si>
  <si>
    <t xml:space="preserve">AKO-KR-003</t>
  </si>
  <si>
    <t xml:space="preserve">Swing hanger M12×60 mm</t>
  </si>
  <si>
    <t xml:space="preserve">AKO-KR-004</t>
  </si>
  <si>
    <t xml:space="preserve">Swing mounting bracket 110×46×90 mm</t>
  </si>
  <si>
    <t xml:space="preserve">В PO материал «оцинк. сталь», в описании — алюминиевый сплав. Если алюминий — код 7616</t>
  </si>
  <si>
    <t xml:space="preserve">AKO-KR-005</t>
  </si>
  <si>
    <t xml:space="preserve">Swing hanger M10×90 mm</t>
  </si>
  <si>
    <t xml:space="preserve">AKO-KR-006</t>
  </si>
  <si>
    <t xml:space="preserve">Stainless steel swing bracket (bench / cradle)</t>
  </si>
  <si>
    <t xml:space="preserve">AKO-ZS-002</t>
  </si>
  <si>
    <t xml:space="preserve">Climbing holds, small (set of 5)</t>
  </si>
  <si>
    <t xml:space="preserve">5 цветов в наборе</t>
  </si>
  <si>
    <t xml:space="preserve">компл</t>
  </si>
  <si>
    <t xml:space="preserve">AKO-GK-001</t>
  </si>
  <si>
    <t xml:space="preserve">Plastic ring 12.5×17 cm</t>
  </si>
  <si>
    <t xml:space="preserve">см. каталог</t>
  </si>
  <si>
    <t xml:space="preserve">AKO-GK-002</t>
  </si>
  <si>
    <t xml:space="preserve">Plastic ring 21×16 cm, thickness 22 mm</t>
  </si>
  <si>
    <t xml:space="preserve">В каталоге по цветам 450 шт, в заказе 500 — проверь раскладку</t>
  </si>
  <si>
    <t xml:space="preserve">AKO-GK-003</t>
  </si>
  <si>
    <t xml:space="preserve">Plastic ring 14.5×16×2.2 cm</t>
  </si>
  <si>
    <t xml:space="preserve">AKO-KT-012</t>
  </si>
  <si>
    <t xml:space="preserve">Metal hook with M8×24 mm thread</t>
  </si>
  <si>
    <t xml:space="preserve">AKO-KR-007</t>
  </si>
  <si>
    <t xml:space="preserve">Stainless Steel M8 Threaded Fastener for Nest Swings</t>
  </si>
  <si>
    <t xml:space="preserve">AKO-KR-008</t>
  </si>
  <si>
    <t xml:space="preserve">Galvanized Steel Swing Fastener M12×135 mm</t>
  </si>
  <si>
    <t xml:space="preserve">AKO-KR-009</t>
  </si>
  <si>
    <t xml:space="preserve">Stainless steel swing hinge</t>
  </si>
  <si>
    <t xml:space="preserve">AKO-IK-017</t>
  </si>
  <si>
    <t xml:space="preserve">Rope hold 70×70×53 mm</t>
  </si>
  <si>
    <t xml:space="preserve">по фото: голубой</t>
  </si>
  <si>
    <t xml:space="preserve">AKO-ZS-003</t>
  </si>
  <si>
    <t xml:space="preserve">Plastic handle 242×75 mm</t>
  </si>
  <si>
    <t xml:space="preserve">по фото: синий</t>
  </si>
  <si>
    <t xml:space="preserve">AKO-KT-013</t>
  </si>
  <si>
    <t xml:space="preserve">Stainless Steel Hook M8×26 mm</t>
  </si>
  <si>
    <t xml:space="preserve">Основное</t>
  </si>
  <si>
    <t xml:space="preserve">Медиа</t>
  </si>
  <si>
    <t xml:space="preserve">Характеристики</t>
  </si>
  <si>
    <t xml:space="preserve">Цвета и количество, шт</t>
  </si>
  <si>
    <t xml:space="preserve">Цены (на сайт)</t>
  </si>
  <si>
    <t xml:space="preserve">Закупка — ВНУТРЕННЕЕ, на сайт не идёт</t>
  </si>
  <si>
    <t xml:space="preserve">Заказы, таможня, склад — авто из листа «ЗАКАЗЫ»</t>
  </si>
  <si>
    <t xml:space="preserve">ТОП (на главную)</t>
  </si>
  <si>
    <t xml:space="preserve">Название (как на сайте)</t>
  </si>
  <si>
    <t xml:space="preserve">Краткое описание (1–2 строки)</t>
  </si>
  <si>
    <t xml:space="preserve">Полное описание / применение</t>
  </si>
  <si>
    <t xml:space="preserve">Фото главное (имя файла)</t>
  </si>
  <si>
    <t xml:space="preserve">Фото доп. (через ;)</t>
  </si>
  <si>
    <t xml:space="preserve">Схема / чертёж (имя файла)</t>
  </si>
  <si>
    <t xml:space="preserve">Фото готово?</t>
  </si>
  <si>
    <t xml:space="preserve">Схема готова?</t>
  </si>
  <si>
    <t xml:space="preserve">Диаметр каната, мм</t>
  </si>
  <si>
    <t xml:space="preserve">Конструкция (кол-во прядей)</t>
  </si>
  <si>
    <t xml:space="preserve">Сердечник (сталь / ПП)</t>
  </si>
  <si>
    <t xml:space="preserve">Оплётка (ПП / ПА / ПЭТ)</t>
  </si>
  <si>
    <t xml:space="preserve">Разрывная нагрузка, кгс</t>
  </si>
  <si>
    <t xml:space="preserve">Длина бухты, м</t>
  </si>
  <si>
    <t xml:space="preserve">Гарантия, мес</t>
  </si>
  <si>
    <t xml:space="preserve">Аналог / артикул на zagluskha.ru</t>
  </si>
  <si>
    <t xml:space="preserve">ИТОГО, шт (все цвета)</t>
  </si>
  <si>
    <t xml:space="preserve">Цвета (авто)</t>
  </si>
  <si>
    <t xml:space="preserve">Артикулы вариантов (авто)</t>
  </si>
  <si>
    <t xml:space="preserve">MOQ (мин. партия)</t>
  </si>
  <si>
    <t xml:space="preserve">zagluskha, ₽ без НДС</t>
  </si>
  <si>
    <t xml:space="preserve">zagluskha, ₸ без НДС</t>
  </si>
  <si>
    <t xml:space="preserve">Ориентир: zagluskha с НДС − скидка, ₸</t>
  </si>
  <si>
    <t xml:space="preserve">Цена от 100 шт, ₸ с НДС</t>
  </si>
  <si>
    <t xml:space="preserve">Цена от 500 шт, ₸ с НДС</t>
  </si>
  <si>
    <t xml:space="preserve">Цена от 1 000 шт, ₸ с НДС</t>
  </si>
  <si>
    <t xml:space="preserve">Цена от 5 000 шт, ₸ с НДС</t>
  </si>
  <si>
    <t xml:space="preserve">Цена от 10 000 шт, ₸ с НДС</t>
  </si>
  <si>
    <t xml:space="preserve">Наличие на сайте, шт</t>
  </si>
  <si>
    <t xml:space="preserve">Артикул поставщика</t>
  </si>
  <si>
    <t xml:space="preserve">Ссылка на товар у поставщика</t>
  </si>
  <si>
    <t xml:space="preserve">Курс к ₸</t>
  </si>
  <si>
    <t xml:space="preserve">Себестоимость полная, ₸ (из заказов; без заказа — оценка)</t>
  </si>
  <si>
    <t xml:space="preserve">Маржа от MOQ, % (без НДС)</t>
  </si>
  <si>
    <t xml:space="preserve">Код ТН ВЭД (из заказа)</t>
  </si>
  <si>
    <t xml:space="preserve">Заказано, шт (все заказы)</t>
  </si>
  <si>
    <t xml:space="preserve">Ждём, шт</t>
  </si>
  <si>
    <t xml:space="preserve">Поставка</t>
  </si>
  <si>
    <t xml:space="preserve">Заказы (ID · №)</t>
  </si>
  <si>
    <t xml:space="preserve">Армированный шестипрядный гибкий канат Ø16 мм, выдерживает нагрузку до 3300 кг
</t>
  </si>
  <si>
    <t xml:space="preserve">Армированный шестипрядный канат диаметром 16 мм. Состоит из полипропиленовых нитей и стальной проволоки. Отличается высокой гибкостью, что позволяет использовать его для конструкций сложных форм. Используется в производстве сеток, пространственных канатных конструкций, мостиков и канатных дорог, лестниц для детских площадок. Выдерживает нагрузку 3300 кг. В бухте — 250 метров.
</t>
  </si>
  <si>
    <t xml:space="preserve">Полипропилен (ПП)</t>
  </si>
  <si>
    <t xml:space="preserve">QF16bk</t>
  </si>
  <si>
    <t xml:space="preserve">BS-1 №1</t>
  </si>
  <si>
    <t xml:space="preserve">Армированный мягкий нейлоновый четырёхпрядный канат диаметром 16 мм
</t>
  </si>
  <si>
    <t xml:space="preserve">Четырёхпрядный мягкий канат. Диаметр — 16 мм. Канат армированный — состоит из полипропиленовых нитей и стальных проволок. Выдерживает нагрузку до 1350 кг. Применяется в производстве сеток для спортивных площадок, в плетении сидений для детских качелей «гнездо», гамаков и т.д. Не рекомендуется использовать в конструкциях, предполагающих сильные нагрузки. В бухте - 250 метров.
</t>
  </si>
  <si>
    <t xml:space="preserve"> QF16-4</t>
  </si>
  <si>
    <t xml:space="preserve">Цены по заказам: SDN-2-1 ¥6.7, BS-1 ¥8.33</t>
  </si>
  <si>
    <t xml:space="preserve">SDN-2-1 №2; BS-1 №2</t>
  </si>
  <si>
    <t xml:space="preserve">Армированный шестипрядный гибкий канат Ø16 мм, выдерживает нагрузку до 2900кг
</t>
  </si>
  <si>
    <t xml:space="preserve">Армированный шестипрядный канат диаметром 16 мм. Состоит из полипропиленовых нитей и стальной проволоки. Отличается высокой гибкостью, что позволяет использовать его для конструкций сложных форм. Используется в производстве сеток, пространственных канатных конструкций, мостиков и канатных дорог, лестниц для детских площадок. Выдерживает нагрузку 2900кг. В бухте — 500метров.
</t>
  </si>
  <si>
    <t xml:space="preserve">Цены по заказам: SDN-1 ¥4.8, SDN-2-1 ¥4.1</t>
  </si>
  <si>
    <t xml:space="preserve">SDN-1 №18; SDN-2-1 №1</t>
  </si>
  <si>
    <t xml:space="preserve">Трехпрядный канат диаметром 19 мм из комплексного полипропилена
</t>
  </si>
  <si>
    <t xml:space="preserve">Трёхпрядный канат из комплексного полипропилена (тросовой свивки). Диаметр каната — 19 мм. Выдерживает нагрузку до 4290 кг. Применяется для оплётки рамы подвесных качелей типа «гнездо». Также с помощью каната можно изготовить верёвку для лазания (с узлами и без них). 
</t>
  </si>
  <si>
    <t xml:space="preserve">КНКП19</t>
  </si>
  <si>
    <t xml:space="preserve">BS-1 №3</t>
  </si>
  <si>
    <t xml:space="preserve">AKO-KN-005</t>
  </si>
  <si>
    <t xml:space="preserve">AKO-KN-006</t>
  </si>
  <si>
    <t xml:space="preserve">AKO-KN-007</t>
  </si>
  <si>
    <t xml:space="preserve">AKO-KN-008</t>
  </si>
  <si>
    <t xml:space="preserve">AKO-KN-009</t>
  </si>
  <si>
    <t xml:space="preserve">AKO-KN-010</t>
  </si>
  <si>
    <t xml:space="preserve">AKO-KN-011</t>
  </si>
  <si>
    <t xml:space="preserve">AKO-KN-012</t>
  </si>
  <si>
    <t xml:space="preserve">AKO-KN-013</t>
  </si>
  <si>
    <t xml:space="preserve">AKO-KN-014</t>
  </si>
  <si>
    <t xml:space="preserve">AKO-KN-015</t>
  </si>
  <si>
    <t xml:space="preserve">AKO-KN-016</t>
  </si>
  <si>
    <t xml:space="preserve">AKO-KN-017</t>
  </si>
  <si>
    <t xml:space="preserve">AKO-KN-018</t>
  </si>
  <si>
    <t xml:space="preserve">AKO-KN-019</t>
  </si>
  <si>
    <t xml:space="preserve">AKO-KN-020</t>
  </si>
  <si>
    <t xml:space="preserve">AKO-KN-021</t>
  </si>
  <si>
    <t xml:space="preserve">AKO-KN-022</t>
  </si>
  <si>
    <t xml:space="preserve">AKO-KN-023</t>
  </si>
  <si>
    <t xml:space="preserve">AKO-KN-024</t>
  </si>
  <si>
    <t xml:space="preserve">AKO-KN-025</t>
  </si>
  <si>
    <t xml:space="preserve">AKO-KN-026</t>
  </si>
  <si>
    <t xml:space="preserve">AKO-KN-027</t>
  </si>
  <si>
    <t xml:space="preserve">AKO-KN-028</t>
  </si>
  <si>
    <t xml:space="preserve">AKO-KN-029</t>
  </si>
  <si>
    <t xml:space="preserve">AKO-KN-030</t>
  </si>
  <si>
    <t xml:space="preserve">AKO-KN-031</t>
  </si>
  <si>
    <t xml:space="preserve">AKO-KN-032</t>
  </si>
  <si>
    <t xml:space="preserve">AKO-KN-033</t>
  </si>
  <si>
    <t xml:space="preserve">AKO-KN-034</t>
  </si>
  <si>
    <t xml:space="preserve">AKO-KN-035</t>
  </si>
  <si>
    <t xml:space="preserve">AKO-KN-036</t>
  </si>
  <si>
    <t xml:space="preserve">AKO-KN-037</t>
  </si>
  <si>
    <t xml:space="preserve">AKO-KN-038</t>
  </si>
  <si>
    <t xml:space="preserve">AKO-KN-039</t>
  </si>
  <si>
    <t xml:space="preserve">AKO-KN-040</t>
  </si>
  <si>
    <t xml:space="preserve">AKO-KN-041</t>
  </si>
  <si>
    <t xml:space="preserve">AKO-KN-042</t>
  </si>
  <si>
    <t xml:space="preserve">AKO-KN-043</t>
  </si>
  <si>
    <t xml:space="preserve">AKO-KN-044</t>
  </si>
  <si>
    <t xml:space="preserve">AKO-KN-045</t>
  </si>
  <si>
    <t xml:space="preserve">AKO-KN-046</t>
  </si>
  <si>
    <t xml:space="preserve">AKO-KN-047</t>
  </si>
  <si>
    <t xml:space="preserve">AKO-KN-048</t>
  </si>
  <si>
    <t xml:space="preserve">AKO-KN-049</t>
  </si>
  <si>
    <t xml:space="preserve">AKO-KN-050</t>
  </si>
  <si>
    <t xml:space="preserve">AKO-KN-051</t>
  </si>
  <si>
    <t xml:space="preserve">AKO-KN-052</t>
  </si>
  <si>
    <t xml:space="preserve">AKO-KN-053</t>
  </si>
  <si>
    <t xml:space="preserve">AKO-KN-054</t>
  </si>
  <si>
    <t xml:space="preserve">AKO-KN-055</t>
  </si>
  <si>
    <t xml:space="preserve">AKO-KN-056</t>
  </si>
  <si>
    <t xml:space="preserve">AKO-KN-057</t>
  </si>
  <si>
    <t xml:space="preserve">AKO-KN-058</t>
  </si>
  <si>
    <t xml:space="preserve">AKO-KN-059</t>
  </si>
  <si>
    <t xml:space="preserve">AKO-KN-060</t>
  </si>
  <si>
    <t xml:space="preserve">AKO-KN-061</t>
  </si>
  <si>
    <t xml:space="preserve">AKO-KN-062</t>
  </si>
  <si>
    <t xml:space="preserve">AKO-KN-063</t>
  </si>
  <si>
    <t xml:space="preserve">AKO-KN-064</t>
  </si>
  <si>
    <t xml:space="preserve">AKO-KN-065</t>
  </si>
  <si>
    <t xml:space="preserve">AKO-KN-066</t>
  </si>
  <si>
    <t xml:space="preserve">AKO-KN-067</t>
  </si>
  <si>
    <t xml:space="preserve">AKO-KN-068</t>
  </si>
  <si>
    <t xml:space="preserve">AKO-KN-069</t>
  </si>
  <si>
    <t xml:space="preserve">AKO-KN-070</t>
  </si>
  <si>
    <t xml:space="preserve">AKO-KN-071</t>
  </si>
  <si>
    <t xml:space="preserve">AKO-KN-072</t>
  </si>
  <si>
    <t xml:space="preserve">AKO-KN-073</t>
  </si>
  <si>
    <t xml:space="preserve">AKO-KN-074</t>
  </si>
  <si>
    <t xml:space="preserve">AKO-KN-075</t>
  </si>
  <si>
    <t xml:space="preserve">AKO-KN-076</t>
  </si>
  <si>
    <t xml:space="preserve">AKO-KN-077</t>
  </si>
  <si>
    <t xml:space="preserve">AKO-KN-078</t>
  </si>
  <si>
    <t xml:space="preserve">AKO-KN-079</t>
  </si>
  <si>
    <t xml:space="preserve">AKO-KN-080</t>
  </si>
  <si>
    <t xml:space="preserve">AKO-KN-081</t>
  </si>
  <si>
    <t xml:space="preserve">AKO-KN-082</t>
  </si>
  <si>
    <t xml:space="preserve">AKO-KN-083</t>
  </si>
  <si>
    <t xml:space="preserve">AKO-KN-084</t>
  </si>
  <si>
    <t xml:space="preserve">AKO-KN-085</t>
  </si>
  <si>
    <t xml:space="preserve">AKO-KN-086</t>
  </si>
  <si>
    <t xml:space="preserve">AKO-KN-087</t>
  </si>
  <si>
    <t xml:space="preserve">AKO-KN-088</t>
  </si>
  <si>
    <t xml:space="preserve">AKO-KN-089</t>
  </si>
  <si>
    <t xml:space="preserve">AKO-KN-090</t>
  </si>
  <si>
    <t xml:space="preserve">AKO-KN-091</t>
  </si>
  <si>
    <t xml:space="preserve">AKO-KN-092</t>
  </si>
  <si>
    <t xml:space="preserve">AKO-KN-093</t>
  </si>
  <si>
    <t xml:space="preserve">AKO-KN-094</t>
  </si>
  <si>
    <t xml:space="preserve">AKO-KN-095</t>
  </si>
  <si>
    <t xml:space="preserve">AKO-KN-096</t>
  </si>
  <si>
    <t xml:space="preserve">AKO-KN-097</t>
  </si>
  <si>
    <t xml:space="preserve">AKO-KN-098</t>
  </si>
  <si>
    <t xml:space="preserve">AKO-KN-099</t>
  </si>
  <si>
    <t xml:space="preserve">AKO-KN-100</t>
  </si>
  <si>
    <t xml:space="preserve">AKO-KN-101</t>
  </si>
  <si>
    <t xml:space="preserve">AKO-KN-102</t>
  </si>
  <si>
    <t xml:space="preserve">AKO-KN-103</t>
  </si>
  <si>
    <t xml:space="preserve">AKO-KN-104</t>
  </si>
  <si>
    <t xml:space="preserve">AKO-KN-105</t>
  </si>
  <si>
    <t xml:space="preserve">AKO-KN-106</t>
  </si>
  <si>
    <t xml:space="preserve">AKO-KN-107</t>
  </si>
  <si>
    <t xml:space="preserve">AKO-KN-108</t>
  </si>
  <si>
    <t xml:space="preserve">AKO-KN-109</t>
  </si>
  <si>
    <t xml:space="preserve">AKO-KN-110</t>
  </si>
  <si>
    <t xml:space="preserve">AKO-KN-111</t>
  </si>
  <si>
    <t xml:space="preserve">AKO-KN-112</t>
  </si>
  <si>
    <t xml:space="preserve">AKO-KN-113</t>
  </si>
  <si>
    <t xml:space="preserve">AKO-KN-114</t>
  </si>
  <si>
    <t xml:space="preserve">AKO-KN-115</t>
  </si>
  <si>
    <t xml:space="preserve">AKO-KN-116</t>
  </si>
  <si>
    <t xml:space="preserve">AKO-KN-117</t>
  </si>
  <si>
    <t xml:space="preserve">AKO-KN-118</t>
  </si>
  <si>
    <t xml:space="preserve">AKO-KN-119</t>
  </si>
  <si>
    <t xml:space="preserve">AKO-KN-120</t>
  </si>
  <si>
    <t xml:space="preserve">AKO-KN-121</t>
  </si>
  <si>
    <t xml:space="preserve">AKO-KN-122</t>
  </si>
  <si>
    <t xml:space="preserve">AKO-KN-123</t>
  </si>
  <si>
    <t xml:space="preserve">AKO-KN-124</t>
  </si>
  <si>
    <t xml:space="preserve">AKO-KN-125</t>
  </si>
  <si>
    <t xml:space="preserve">AKO-KN-126</t>
  </si>
  <si>
    <t xml:space="preserve">AKO-KN-127</t>
  </si>
  <si>
    <t xml:space="preserve">AKO-KN-128</t>
  </si>
  <si>
    <t xml:space="preserve">AKO-KN-129</t>
  </si>
  <si>
    <t xml:space="preserve">AKO-KN-130</t>
  </si>
  <si>
    <t xml:space="preserve">AKO-KN-131</t>
  </si>
  <si>
    <t xml:space="preserve">AKO-KN-132</t>
  </si>
  <si>
    <t xml:space="preserve">AKO-KN-133</t>
  </si>
  <si>
    <t xml:space="preserve">AKO-KN-134</t>
  </si>
  <si>
    <t xml:space="preserve">AKO-KN-135</t>
  </si>
  <si>
    <t xml:space="preserve">AKO-KN-136</t>
  </si>
  <si>
    <t xml:space="preserve">AKO-KN-137</t>
  </si>
  <si>
    <t xml:space="preserve">AKO-KN-138</t>
  </si>
  <si>
    <t xml:space="preserve">AKO-KN-139</t>
  </si>
  <si>
    <t xml:space="preserve">AKO-KN-140</t>
  </si>
  <si>
    <t xml:space="preserve">AKO-KN-141</t>
  </si>
  <si>
    <t xml:space="preserve">AKO-KN-142</t>
  </si>
  <si>
    <t xml:space="preserve">AKO-KN-143</t>
  </si>
  <si>
    <t xml:space="preserve">AKO-KN-144</t>
  </si>
  <si>
    <t xml:space="preserve">AKO-KN-145</t>
  </si>
  <si>
    <t xml:space="preserve">AKO-KN-146</t>
  </si>
  <si>
    <t xml:space="preserve">AKO-KN-147</t>
  </si>
  <si>
    <t xml:space="preserve">AKO-KN-148</t>
  </si>
  <si>
    <t xml:space="preserve">AKO-KN-149</t>
  </si>
  <si>
    <t xml:space="preserve">AKO-KN-150</t>
  </si>
  <si>
    <t xml:space="preserve">AKO-KN-151</t>
  </si>
  <si>
    <t xml:space="preserve">AKO-KN-152</t>
  </si>
  <si>
    <t xml:space="preserve">AKO-KN-153</t>
  </si>
  <si>
    <t xml:space="preserve">AKO-KN-154</t>
  </si>
  <si>
    <t xml:space="preserve">AKO-KN-155</t>
  </si>
  <si>
    <t xml:space="preserve">AKO-KN-156</t>
  </si>
  <si>
    <t xml:space="preserve">AKO-KN-157</t>
  </si>
  <si>
    <t xml:space="preserve">AKO-KN-158</t>
  </si>
  <si>
    <t xml:space="preserve">AKO-KN-159</t>
  </si>
  <si>
    <t xml:space="preserve">AKO-KN-160</t>
  </si>
  <si>
    <t xml:space="preserve">AKO-KN-161</t>
  </si>
  <si>
    <t xml:space="preserve">AKO-KN-162</t>
  </si>
  <si>
    <t xml:space="preserve">AKO-KN-163</t>
  </si>
  <si>
    <t xml:space="preserve">AKO-KN-164</t>
  </si>
  <si>
    <t xml:space="preserve">AKO-KN-165</t>
  </si>
  <si>
    <t xml:space="preserve">AKO-KN-166</t>
  </si>
  <si>
    <t xml:space="preserve">AKO-KN-167</t>
  </si>
  <si>
    <t xml:space="preserve">AKO-KN-168</t>
  </si>
  <si>
    <t xml:space="preserve">AKO-KN-169</t>
  </si>
  <si>
    <t xml:space="preserve">AKO-KN-170</t>
  </si>
  <si>
    <t xml:space="preserve">AKO-KN-171</t>
  </si>
  <si>
    <t xml:space="preserve">AKO-KN-172</t>
  </si>
  <si>
    <t xml:space="preserve">AKO-KN-173</t>
  </si>
  <si>
    <t xml:space="preserve">AKO-KN-174</t>
  </si>
  <si>
    <t xml:space="preserve">AKO-KN-175</t>
  </si>
  <si>
    <t xml:space="preserve">AKO-KN-176</t>
  </si>
  <si>
    <t xml:space="preserve">AKO-KN-177</t>
  </si>
  <si>
    <t xml:space="preserve">AKO-KN-178</t>
  </si>
  <si>
    <t xml:space="preserve">AKO-KN-179</t>
  </si>
  <si>
    <t xml:space="preserve">AKO-KN-180</t>
  </si>
  <si>
    <t xml:space="preserve">AKO-KN-181</t>
  </si>
  <si>
    <t xml:space="preserve">AKO-KN-182</t>
  </si>
  <si>
    <t xml:space="preserve">AKO-KN-183</t>
  </si>
  <si>
    <t xml:space="preserve">AKO-KN-184</t>
  </si>
  <si>
    <t xml:space="preserve">AKO-KN-185</t>
  </si>
  <si>
    <t xml:space="preserve">AKO-KN-186</t>
  </si>
  <si>
    <t xml:space="preserve">AKO-KN-187</t>
  </si>
  <si>
    <t xml:space="preserve">AKO-KN-188</t>
  </si>
  <si>
    <t xml:space="preserve">AKO-KN-189</t>
  </si>
  <si>
    <t xml:space="preserve">AKO-KN-190</t>
  </si>
  <si>
    <t xml:space="preserve">AKO-KN-191</t>
  </si>
  <si>
    <t xml:space="preserve">AKO-KN-192</t>
  </si>
  <si>
    <t xml:space="preserve">AKO-KN-193</t>
  </si>
  <si>
    <t xml:space="preserve">AKO-KN-194</t>
  </si>
  <si>
    <t xml:space="preserve">AKO-KN-195</t>
  </si>
  <si>
    <t xml:space="preserve">AKO-KN-196</t>
  </si>
  <si>
    <t xml:space="preserve">AKO-KN-197</t>
  </si>
  <si>
    <t xml:space="preserve">AKO-KN-198</t>
  </si>
  <si>
    <t xml:space="preserve">AKO-KN-199</t>
  </si>
  <si>
    <t xml:space="preserve">AKO-KN-200</t>
  </si>
  <si>
    <t xml:space="preserve">AKO-KN-201</t>
  </si>
  <si>
    <t xml:space="preserve">AKO-KN-202</t>
  </si>
  <si>
    <t xml:space="preserve">AKO-KN-203</t>
  </si>
  <si>
    <t xml:space="preserve">AKO-KN-204</t>
  </si>
  <si>
    <t xml:space="preserve">AKO-KN-205</t>
  </si>
  <si>
    <t xml:space="preserve">AKO-KN-206</t>
  </si>
  <si>
    <t xml:space="preserve">AKO-KN-207</t>
  </si>
  <si>
    <t xml:space="preserve">AKO-KN-208</t>
  </si>
  <si>
    <t xml:space="preserve">AKO-KN-209</t>
  </si>
  <si>
    <t xml:space="preserve">AKO-KN-210</t>
  </si>
  <si>
    <t xml:space="preserve">AKO-KN-211</t>
  </si>
  <si>
    <t xml:space="preserve">AKO-KN-212</t>
  </si>
  <si>
    <t xml:space="preserve">AKO-KN-213</t>
  </si>
  <si>
    <t xml:space="preserve">AKO-KN-214</t>
  </si>
  <si>
    <t xml:space="preserve">AKO-KN-215</t>
  </si>
  <si>
    <t xml:space="preserve">AKO-KN-216</t>
  </si>
  <si>
    <t xml:space="preserve">AKO-KN-217</t>
  </si>
  <si>
    <t xml:space="preserve">AKO-KN-218</t>
  </si>
  <si>
    <t xml:space="preserve">AKO-KN-219</t>
  </si>
  <si>
    <t xml:space="preserve">AKO-KN-220</t>
  </si>
  <si>
    <t xml:space="preserve">AKO-KN-221</t>
  </si>
  <si>
    <t xml:space="preserve">AKO-KN-222</t>
  </si>
  <si>
    <t xml:space="preserve">AKO-KN-223</t>
  </si>
  <si>
    <t xml:space="preserve">AKO-KN-224</t>
  </si>
  <si>
    <t xml:space="preserve">AKO-KN-225</t>
  </si>
  <si>
    <t xml:space="preserve">AKO-KN-226</t>
  </si>
  <si>
    <t xml:space="preserve">AKO-KN-227</t>
  </si>
  <si>
    <t xml:space="preserve">AKO-KN-228</t>
  </si>
  <si>
    <t xml:space="preserve">AKO-KN-229</t>
  </si>
  <si>
    <t xml:space="preserve">AKO-KN-230</t>
  </si>
  <si>
    <t xml:space="preserve">AKO-KN-231</t>
  </si>
  <si>
    <t xml:space="preserve">AKO-KN-232</t>
  </si>
  <si>
    <t xml:space="preserve">AKO-KN-233</t>
  </si>
  <si>
    <t xml:space="preserve">AKO-KN-234</t>
  </si>
  <si>
    <t xml:space="preserve">AKO-KN-235</t>
  </si>
  <si>
    <t xml:space="preserve">AKO-KN-236</t>
  </si>
  <si>
    <t xml:space="preserve">AKO-KN-237</t>
  </si>
  <si>
    <t xml:space="preserve">AKO-KN-238</t>
  </si>
  <si>
    <t xml:space="preserve">AKO-KN-239</t>
  </si>
  <si>
    <t xml:space="preserve">AKO-KN-240</t>
  </si>
  <si>
    <t xml:space="preserve">AKO-KN-241</t>
  </si>
  <si>
    <t xml:space="preserve">AKO-KN-242</t>
  </si>
  <si>
    <t xml:space="preserve">AKO-KN-243</t>
  </si>
  <si>
    <t xml:space="preserve">AKO-KN-244</t>
  </si>
  <si>
    <t xml:space="preserve">AKO-KN-245</t>
  </si>
  <si>
    <t xml:space="preserve">AKO-KN-246</t>
  </si>
  <si>
    <t xml:space="preserve">AKO-KN-247</t>
  </si>
  <si>
    <t xml:space="preserve">AKO-KN-248</t>
  </si>
  <si>
    <t xml:space="preserve">AKO-KN-249</t>
  </si>
  <si>
    <t xml:space="preserve">AKO-KN-250</t>
  </si>
  <si>
    <t xml:space="preserve">AKO-KN-251</t>
  </si>
  <si>
    <t xml:space="preserve">AKO-KN-252</t>
  </si>
  <si>
    <t xml:space="preserve">AKO-KN-253</t>
  </si>
  <si>
    <t xml:space="preserve">AKO-KN-254</t>
  </si>
  <si>
    <t xml:space="preserve">AKO-KN-255</t>
  </si>
  <si>
    <t xml:space="preserve">AKO-KN-256</t>
  </si>
  <si>
    <t xml:space="preserve">AKO-KN-257</t>
  </si>
  <si>
    <t xml:space="preserve">AKO-KN-258</t>
  </si>
  <si>
    <t xml:space="preserve">AKO-KN-259</t>
  </si>
  <si>
    <t xml:space="preserve">AKO-KN-260</t>
  </si>
  <si>
    <t xml:space="preserve">AKO-KN-261</t>
  </si>
  <si>
    <t xml:space="preserve">AKO-KN-262</t>
  </si>
  <si>
    <t xml:space="preserve">AKO-KN-263</t>
  </si>
  <si>
    <t xml:space="preserve">AKO-KN-264</t>
  </si>
  <si>
    <t xml:space="preserve">AKO-KN-265</t>
  </si>
  <si>
    <t xml:space="preserve">AKO-KN-266</t>
  </si>
  <si>
    <t xml:space="preserve">AKO-KN-267</t>
  </si>
  <si>
    <t xml:space="preserve">AKO-KN-268</t>
  </si>
  <si>
    <t xml:space="preserve">AKO-KN-269</t>
  </si>
  <si>
    <t xml:space="preserve">AKO-KN-270</t>
  </si>
  <si>
    <t xml:space="preserve">AKO-KN-271</t>
  </si>
  <si>
    <t xml:space="preserve">AKO-KN-272</t>
  </si>
  <si>
    <t xml:space="preserve">AKO-KN-273</t>
  </si>
  <si>
    <t xml:space="preserve">AKO-KN-274</t>
  </si>
  <si>
    <t xml:space="preserve">AKO-KN-275</t>
  </si>
  <si>
    <t xml:space="preserve">AKO-KN-276</t>
  </si>
  <si>
    <t xml:space="preserve">AKO-KN-277</t>
  </si>
  <si>
    <t xml:space="preserve">AKO-KN-278</t>
  </si>
  <si>
    <t xml:space="preserve">AKO-KN-279</t>
  </si>
  <si>
    <t xml:space="preserve">AKO-KN-280</t>
  </si>
  <si>
    <t xml:space="preserve">AKO-KN-281</t>
  </si>
  <si>
    <t xml:space="preserve">AKO-KN-282</t>
  </si>
  <si>
    <t xml:space="preserve">AKO-KN-283</t>
  </si>
  <si>
    <t xml:space="preserve">AKO-KN-284</t>
  </si>
  <si>
    <t xml:space="preserve">AKO-KN-285</t>
  </si>
  <si>
    <t xml:space="preserve">AKO-KN-286</t>
  </si>
  <si>
    <t xml:space="preserve">AKO-KN-287</t>
  </si>
  <si>
    <t xml:space="preserve">AKO-KN-288</t>
  </si>
  <si>
    <t xml:space="preserve">AKO-KN-289</t>
  </si>
  <si>
    <t xml:space="preserve">AKO-KN-290</t>
  </si>
  <si>
    <t xml:space="preserve">AKO-KN-291</t>
  </si>
  <si>
    <t xml:space="preserve">AKO-KN-292</t>
  </si>
  <si>
    <t xml:space="preserve">AKO-KN-293</t>
  </si>
  <si>
    <t xml:space="preserve">AKO-KN-294</t>
  </si>
  <si>
    <t xml:space="preserve">AKO-KN-295</t>
  </si>
  <si>
    <t xml:space="preserve">AKO-KN-296</t>
  </si>
  <si>
    <t xml:space="preserve">AKO-KN-297</t>
  </si>
  <si>
    <t xml:space="preserve">AKO-KN-298</t>
  </si>
  <si>
    <t xml:space="preserve">AKO-KN-299</t>
  </si>
  <si>
    <t xml:space="preserve">AKO-KN-300</t>
  </si>
  <si>
    <t xml:space="preserve">Тип (обжимная / концевая / ...)</t>
  </si>
  <si>
    <t xml:space="preserve">Покрытие</t>
  </si>
  <si>
    <t xml:space="preserve">Алюминиевая обжимная втулка для каната Ø16 мм</t>
  </si>
  <si>
    <t xml:space="preserve">Предназначена для надежной фиксации конца каната диаметром 16 мм. Используется с болтовыми соединениями и Т-образными пластиковыми коннекторами.</t>
  </si>
  <si>
    <t xml:space="preserve">алюминиевая втулка для фиксации конца игрового каната диаметром 16 мм методом обжима. Предназначена для формирования и закрепления концевого соединения при сборке канатных конструкций и использовании совместимых соединительных элементов.</t>
  </si>
  <si>
    <t xml:space="preserve">нету</t>
  </si>
  <si>
    <t xml:space="preserve">В НАЛИЧИЙ ДОЛЖЕН БЫТЬ</t>
  </si>
  <si>
    <t xml:space="preserve">SDN-2-1 №13</t>
  </si>
  <si>
    <t xml:space="preserve">Овальная алюминиевая обжимная гильза 40х45х29 мм для каната Ø16 мм</t>
  </si>
  <si>
    <t xml:space="preserve">Предназначена для надежного соединения каната диаметром 16 мм при формировании петли через коуш или соединении двух параллельных канатов. Обжимается прессом усилием 70 тонн и обеспечивает нагрузку соединения до 20 кН.</t>
  </si>
  <si>
    <t xml:space="preserve">Овальная обжимная гильза из алюминиевого сплава предназначена для фиксации соединительных участков каната диаметром 16 мм. Используется при формировании канатной петли с коушем или для соединения двух параллельно расположенных канатов. Устанавливается методом опрессовки прессом усилием 70 тонн, после чего приобретает круглое сечение и обеспечивает надежную фиксацию соединения. Максимальная нагрузка соединения — до 20 кН.</t>
  </si>
  <si>
    <t xml:space="preserve">A16-E40</t>
  </si>
  <si>
    <t xml:space="preserve">Усилие обжима: 70 тонн
Нагрузка соединения: до 20 кН
CUSTOMIZED</t>
  </si>
  <si>
    <t xml:space="preserve">SDN-1 №3; SDN-2-2 №1</t>
  </si>
  <si>
    <t xml:space="preserve">Овальная алюминиевая обжимная гильза 43х31х27  мм для каната Ø16 мм</t>
  </si>
  <si>
    <t xml:space="preserve">Овальная алюминиевая гильза размером 43×31×27 мм для фиксации каната Ø16 мм. Предназначена для формирования надежных канатных соединений методом опрессовки.</t>
  </si>
  <si>
    <t xml:space="preserve">Овальная обжимная гильза из алюминиевого сплава предназначена для фиксации каната диаметром 16 мм при формировании петель и соединении канатных элементов. Габаритные размеры гильзы составляют 43×31×27 мм. Изделие устанавливается методом опрессовки и обеспечивает надежное закрепление соединяемых участков каната. Подходит для применения в конструкциях с канатными элементами и игровом оборудовании.</t>
  </si>
  <si>
    <t xml:space="preserve">Нету</t>
  </si>
  <si>
    <t xml:space="preserve">SDN-2-1 №3</t>
  </si>
  <si>
    <t xml:space="preserve">Алюминиевая обжимная гильза 28×28 мм для каната Ø16 мм</t>
  </si>
  <si>
    <t xml:space="preserve">Предназначена для надежной фиксации конца каната диаметром 16 мм. Устанавливается методом опрессовки прессом усилием 50 тонн и обеспечивает нагрузку соединения до 5 кН.</t>
  </si>
  <si>
    <t xml:space="preserve">Алюминиевая обжимная гильза типа S предназначена для фиксации конца каната диаметром 16 мм. Габаритный размер изделия — 28×28 мм. Гильза устанавливается на конец каната и обжимается прессом усилием 50 тонн, обеспечивая надежное соединение с максимальной нагрузкой до 5 кН.</t>
  </si>
  <si>
    <t xml:space="preserve">A16-S28</t>
  </si>
  <si>
    <t xml:space="preserve">CUSTOMIZED</t>
  </si>
  <si>
    <t xml:space="preserve">SDN-2-2 №2</t>
  </si>
  <si>
    <t xml:space="preserve">Алюминиевая обжимная гильза 38×28 мм для каната Ø16 мм</t>
  </si>
  <si>
    <t xml:space="preserve">Предназначена для надежной фиксации конца каната диаметром 16 мм. Обжимается прессом усилием 50 тонн и обеспечивает максимальную нагрузку соединения до 5 кН.</t>
  </si>
  <si>
    <t xml:space="preserve">Алюминиевая обжимная гильза типа S предназначена для фиксации конца каната диаметром 16 мм. Длина изделия составляет 38 мм. Гильза устанавливается на конец каната и обжимается прессом усилием 50 тонн, обеспечивая надежное закрепление каната. Максимальная нагрузка соединения составляет до 5 кН.</t>
  </si>
  <si>
    <t xml:space="preserve">A16-S38</t>
  </si>
  <si>
    <t xml:space="preserve">SDN-2-2 №3</t>
  </si>
  <si>
    <t xml:space="preserve">Алюминиевая обжимная гильза BK для каната Ø16 мм, под шпильку М10/М12</t>
  </si>
  <si>
    <t xml:space="preserve">Предназначена для фиксации армированного каната Ø16 мм со шпилькой М10 или М12. Подходит для крепления канатных конструкций к деревянным и металлическим опорам.</t>
  </si>
  <si>
    <t xml:space="preserve">Алюминиевая обжимная гильза типа BK предназначена для надежной фиксации армированного каната диаметром 16 мм с использованием шпильки М10 или М12. Устанавливается методом опрессовки прессом усилием 50 тонн. Максимальная нагрузка на соединение составляет до 5 кН. Может применяться для крепления элементов канатных конструкций к деревянным и металлическим опорным столбам.</t>
  </si>
  <si>
    <t xml:space="preserve">A16-BK</t>
  </si>
  <si>
    <t xml:space="preserve">SDN-2-2 №4</t>
  </si>
  <si>
    <t xml:space="preserve">Алюминиевая обжимная гильза 55 мм типа B для каната Ø16 мм</t>
  </si>
  <si>
    <t xml:space="preserve">Предназначена для фиксации армированного каната Ø16 мм со шпилькой М10. Подходит для крепления канатных конструкций к деревянным и металлическим опорам.</t>
  </si>
  <si>
    <t xml:space="preserve">Алюминиевая обжимная гильза типа B предназначена для надежного крепления армированного каната диаметром 16 мм с использованием шпильки М10. Устанавливается методом опрессовки прессом усилием 70 тонн. Гильза является практичным решением для крепления канатных конструкций к деревянным и металлическим опорным столбам. Максимальная нагрузка на соединение составляет до 20 кН.</t>
  </si>
  <si>
    <t xml:space="preserve">SDN-2-2 №5</t>
  </si>
  <si>
    <t xml:space="preserve">Металлический наконечник 80 мм для каната Ø16 мм</t>
  </si>
  <si>
    <t xml:space="preserve">Предназначен для фиксации каната диаметром 16 мм в шарнирных соединениях. Изготавливается из алюминиевого сплава и устанавливается методом опрессовки.</t>
  </si>
  <si>
    <t xml:space="preserve">Металлический наконечник из алюминиевого сплава предназначен для крепления каната диаметром 16 мм в шарнирных соединениях. Длина изделия составляет 80 мм. Наконечник устанавливается на конец каната и обжимается прессом усилием 50 тонн, обеспечивая надежную фиксацию. Максимальная нагрузка на соединение составляет до 5 кН.</t>
  </si>
  <si>
    <t xml:space="preserve">A16-TH2</t>
  </si>
  <si>
    <t xml:space="preserve">SDN-2-2 №6</t>
  </si>
  <si>
    <t xml:space="preserve">Обжимная алюминиевая гильза 77,3 мм типа J для каната Ø16 мм</t>
  </si>
  <si>
    <t xml:space="preserve">Предназначена для надежного соединения каната диаметром 16 мм и формирования замкнутой петли. Обжимается прессом усилием 70 тонн и выдерживает нагрузку до 20 кН.</t>
  </si>
  <si>
    <t xml:space="preserve">Обжимная гильза типа J изготовлена из алюминиевого сплава и предназначена для соединения каната диаметром 16 мм. Изделие используется в случаях, когда необходимо замкнуть канат в кольцо и сформировать надежную петлю. Гильза устанавливается методом опрессовки прессом усилием 70 тонн, обеспечивая прочное соединение канатной конструкции. Максимальная нагрузка на соединение составляет до 20 кН.</t>
  </si>
  <si>
    <t xml:space="preserve">A16-J</t>
  </si>
  <si>
    <t xml:space="preserve">SDN-2-2 №7</t>
  </si>
  <si>
    <t xml:space="preserve">Алюминиевый крестообразный соединитель 54 мм для каната Ø16 мм</t>
  </si>
  <si>
    <t xml:space="preserve">Предназначен для соединения канатов диаметром 16 мм в местах их пересечения. Используется в канатных конструкциях, включая пирамиды и крупные нагруженные сетки.</t>
  </si>
  <si>
    <t xml:space="preserve">Алюминиевый крестообразный соединитель предназначен для соединения канатов диаметром 16 мм в конструкциях с пересечением канатных элементов. Канаты пропускаются через отверстия соединителя и фиксируются саморезами. Изделие применяется при изготовлении канатных конструкций типа «Пирамида», а также крупных нагруженных сеток. Для повышения надежности соединение может дополнительно обжиматься прессом усилием 50 тонн. Максимальная нагрузка на соединение составляет до 5 кН.</t>
  </si>
  <si>
    <t xml:space="preserve">A16-XT</t>
  </si>
  <si>
    <t xml:space="preserve">SDN-2-1 №4</t>
  </si>
  <si>
    <t xml:space="preserve">Алюминиевый Т-образный соединитель для каната Ø16 мм</t>
  </si>
  <si>
    <t xml:space="preserve">Предназначен для соединения двух канатов диаметром 16 мм в Т-образной конфигурации. Один канат фиксируется саморезом, второй закрепляется методом опрессовки.</t>
  </si>
  <si>
    <t xml:space="preserve">Алюминиевый Т-образный соединитель предназначен для надежного соединения канатов диаметром 16 мм в местах ответвления конструкции. При монтаже один канат пропускается через отверстие соединителя и фиксируется саморезом, а второй устанавливается в соединитель и закрепляется методом опрессовки прессом усилием 50 тонн. Максимальная нагрузка на соединение составляет до 5 кН.</t>
  </si>
  <si>
    <t xml:space="preserve">A16-T</t>
  </si>
  <si>
    <t xml:space="preserve">SDN-2-1 №5</t>
  </si>
  <si>
    <t xml:space="preserve">Алюминиевая обжимная гильза для каната Ø16 мм и цепи Ø6 мм</t>
  </si>
  <si>
    <t xml:space="preserve">Предназначена для соединения каната диаметром 16 мм с металлической цепью со звеном Ø6 мм. Применяется преимущественно в подвесах качелей типа «гнездо» и канатных конструкциях.</t>
  </si>
  <si>
    <t xml:space="preserve">Алюминиевая обжимная гильза предназначена для надежного соединения каната диаметром 16 мм с металлической цепью со звеном диаметром 6 мм по стандарту DIN 766. Устанавливается методом опрессовки прессом усилием 50 тонн и обеспечивает нагрузку на соединение до 5 кН. Наиболее часто используется при изготовлении подвесов для качелей типа «гнездо», а также может применяться в различных канатных конструкциях детских игровых площадок.</t>
  </si>
  <si>
    <t xml:space="preserve">A16-KT</t>
  </si>
  <si>
    <t xml:space="preserve">BS-1 №4</t>
  </si>
  <si>
    <t xml:space="preserve">Черновик</t>
  </si>
  <si>
    <t xml:space="preserve">Алюминиевая концевая втулка для каната Ø16 мм под пластиковые соединители</t>
  </si>
  <si>
    <t xml:space="preserve">Втулки концевые</t>
  </si>
  <si>
    <t xml:space="preserve">Фиксирует конец шестипрядного армированного каната Ø16 мм, работает с пластиковыми Т-соединителями.</t>
  </si>
  <si>
    <t xml:space="preserve">Алюминиевая концевая втулка для фиксации одного конца армированного шестипрядного каната Ø16 мм. Совместима с пластиковыми Т-соединителями с фланцем. Вес 38 г.</t>
  </si>
  <si>
    <t xml:space="preserve">концевая</t>
  </si>
  <si>
    <t xml:space="preserve">SDN-2-1 №20</t>
  </si>
  <si>
    <t xml:space="preserve">AKO-GV-014</t>
  </si>
  <si>
    <t xml:space="preserve">AKO-GV-015</t>
  </si>
  <si>
    <t xml:space="preserve">AKO-GV-016</t>
  </si>
  <si>
    <t xml:space="preserve">AKO-GV-017</t>
  </si>
  <si>
    <t xml:space="preserve">AKO-GV-018</t>
  </si>
  <si>
    <t xml:space="preserve">AKO-GV-019</t>
  </si>
  <si>
    <t xml:space="preserve">AKO-GV-020</t>
  </si>
  <si>
    <t xml:space="preserve">AKO-GV-021</t>
  </si>
  <si>
    <t xml:space="preserve">AKO-GV-022</t>
  </si>
  <si>
    <t xml:space="preserve">AKO-GV-023</t>
  </si>
  <si>
    <t xml:space="preserve">AKO-GV-024</t>
  </si>
  <si>
    <t xml:space="preserve">AKO-GV-025</t>
  </si>
  <si>
    <t xml:space="preserve">AKO-GV-026</t>
  </si>
  <si>
    <t xml:space="preserve">AKO-GV-027</t>
  </si>
  <si>
    <t xml:space="preserve">AKO-GV-028</t>
  </si>
  <si>
    <t xml:space="preserve">AKO-GV-029</t>
  </si>
  <si>
    <t xml:space="preserve">AKO-GV-030</t>
  </si>
  <si>
    <t xml:space="preserve">AKO-GV-031</t>
  </si>
  <si>
    <t xml:space="preserve">AKO-GV-032</t>
  </si>
  <si>
    <t xml:space="preserve">AKO-GV-033</t>
  </si>
  <si>
    <t xml:space="preserve">AKO-GV-034</t>
  </si>
  <si>
    <t xml:space="preserve">AKO-GV-035</t>
  </si>
  <si>
    <t xml:space="preserve">AKO-GV-036</t>
  </si>
  <si>
    <t xml:space="preserve">AKO-GV-037</t>
  </si>
  <si>
    <t xml:space="preserve">AKO-GV-038</t>
  </si>
  <si>
    <t xml:space="preserve">AKO-GV-039</t>
  </si>
  <si>
    <t xml:space="preserve">AKO-GV-040</t>
  </si>
  <si>
    <t xml:space="preserve">AKO-GV-041</t>
  </si>
  <si>
    <t xml:space="preserve">AKO-GV-042</t>
  </si>
  <si>
    <t xml:space="preserve">AKO-GV-043</t>
  </si>
  <si>
    <t xml:space="preserve">AKO-GV-044</t>
  </si>
  <si>
    <t xml:space="preserve">AKO-GV-045</t>
  </si>
  <si>
    <t xml:space="preserve">AKO-GV-046</t>
  </si>
  <si>
    <t xml:space="preserve">AKO-GV-047</t>
  </si>
  <si>
    <t xml:space="preserve">AKO-GV-048</t>
  </si>
  <si>
    <t xml:space="preserve">AKO-GV-049</t>
  </si>
  <si>
    <t xml:space="preserve">AKO-GV-050</t>
  </si>
  <si>
    <t xml:space="preserve">AKO-GV-051</t>
  </si>
  <si>
    <t xml:space="preserve">AKO-GV-052</t>
  </si>
  <si>
    <t xml:space="preserve">AKO-GV-053</t>
  </si>
  <si>
    <t xml:space="preserve">AKO-GV-054</t>
  </si>
  <si>
    <t xml:space="preserve">AKO-GV-055</t>
  </si>
  <si>
    <t xml:space="preserve">AKO-GV-056</t>
  </si>
  <si>
    <t xml:space="preserve">AKO-GV-057</t>
  </si>
  <si>
    <t xml:space="preserve">AKO-GV-058</t>
  </si>
  <si>
    <t xml:space="preserve">AKO-GV-059</t>
  </si>
  <si>
    <t xml:space="preserve">AKO-GV-060</t>
  </si>
  <si>
    <t xml:space="preserve">AKO-GV-061</t>
  </si>
  <si>
    <t xml:space="preserve">AKO-GV-062</t>
  </si>
  <si>
    <t xml:space="preserve">AKO-GV-063</t>
  </si>
  <si>
    <t xml:space="preserve">AKO-GV-064</t>
  </si>
  <si>
    <t xml:space="preserve">AKO-GV-065</t>
  </si>
  <si>
    <t xml:space="preserve">AKO-GV-066</t>
  </si>
  <si>
    <t xml:space="preserve">AKO-GV-067</t>
  </si>
  <si>
    <t xml:space="preserve">AKO-GV-068</t>
  </si>
  <si>
    <t xml:space="preserve">AKO-GV-069</t>
  </si>
  <si>
    <t xml:space="preserve">AKO-GV-070</t>
  </si>
  <si>
    <t xml:space="preserve">AKO-GV-071</t>
  </si>
  <si>
    <t xml:space="preserve">AKO-GV-072</t>
  </si>
  <si>
    <t xml:space="preserve">AKO-GV-073</t>
  </si>
  <si>
    <t xml:space="preserve">AKO-GV-074</t>
  </si>
  <si>
    <t xml:space="preserve">AKO-GV-075</t>
  </si>
  <si>
    <t xml:space="preserve">AKO-GV-076</t>
  </si>
  <si>
    <t xml:space="preserve">AKO-GV-077</t>
  </si>
  <si>
    <t xml:space="preserve">AKO-GV-078</t>
  </si>
  <si>
    <t xml:space="preserve">AKO-GV-079</t>
  </si>
  <si>
    <t xml:space="preserve">AKO-GV-080</t>
  </si>
  <si>
    <t xml:space="preserve">AKO-GV-081</t>
  </si>
  <si>
    <t xml:space="preserve">AKO-GV-082</t>
  </si>
  <si>
    <t xml:space="preserve">AKO-GV-083</t>
  </si>
  <si>
    <t xml:space="preserve">AKO-GV-084</t>
  </si>
  <si>
    <t xml:space="preserve">AKO-GV-085</t>
  </si>
  <si>
    <t xml:space="preserve">AKO-GV-086</t>
  </si>
  <si>
    <t xml:space="preserve">AKO-GV-087</t>
  </si>
  <si>
    <t xml:space="preserve">AKO-GV-088</t>
  </si>
  <si>
    <t xml:space="preserve">AKO-GV-089</t>
  </si>
  <si>
    <t xml:space="preserve">AKO-GV-090</t>
  </si>
  <si>
    <t xml:space="preserve">AKO-GV-091</t>
  </si>
  <si>
    <t xml:space="preserve">AKO-GV-092</t>
  </si>
  <si>
    <t xml:space="preserve">AKO-GV-093</t>
  </si>
  <si>
    <t xml:space="preserve">AKO-GV-094</t>
  </si>
  <si>
    <t xml:space="preserve">AKO-GV-095</t>
  </si>
  <si>
    <t xml:space="preserve">AKO-GV-096</t>
  </si>
  <si>
    <t xml:space="preserve">AKO-GV-097</t>
  </si>
  <si>
    <t xml:space="preserve">AKO-GV-098</t>
  </si>
  <si>
    <t xml:space="preserve">AKO-GV-099</t>
  </si>
  <si>
    <t xml:space="preserve">AKO-GV-100</t>
  </si>
  <si>
    <t xml:space="preserve">AKO-GV-101</t>
  </si>
  <si>
    <t xml:space="preserve">AKO-GV-102</t>
  </si>
  <si>
    <t xml:space="preserve">AKO-GV-103</t>
  </si>
  <si>
    <t xml:space="preserve">AKO-GV-104</t>
  </si>
  <si>
    <t xml:space="preserve">AKO-GV-105</t>
  </si>
  <si>
    <t xml:space="preserve">AKO-GV-106</t>
  </si>
  <si>
    <t xml:space="preserve">AKO-GV-107</t>
  </si>
  <si>
    <t xml:space="preserve">AKO-GV-108</t>
  </si>
  <si>
    <t xml:space="preserve">AKO-GV-109</t>
  </si>
  <si>
    <t xml:space="preserve">AKO-GV-110</t>
  </si>
  <si>
    <t xml:space="preserve">AKO-GV-111</t>
  </si>
  <si>
    <t xml:space="preserve">AKO-GV-112</t>
  </si>
  <si>
    <t xml:space="preserve">AKO-GV-113</t>
  </si>
  <si>
    <t xml:space="preserve">AKO-GV-114</t>
  </si>
  <si>
    <t xml:space="preserve">AKO-GV-115</t>
  </si>
  <si>
    <t xml:space="preserve">AKO-GV-116</t>
  </si>
  <si>
    <t xml:space="preserve">AKO-GV-117</t>
  </si>
  <si>
    <t xml:space="preserve">AKO-GV-118</t>
  </si>
  <si>
    <t xml:space="preserve">AKO-GV-119</t>
  </si>
  <si>
    <t xml:space="preserve">AKO-GV-120</t>
  </si>
  <si>
    <t xml:space="preserve">AKO-GV-121</t>
  </si>
  <si>
    <t xml:space="preserve">AKO-GV-122</t>
  </si>
  <si>
    <t xml:space="preserve">AKO-GV-123</t>
  </si>
  <si>
    <t xml:space="preserve">AKO-GV-124</t>
  </si>
  <si>
    <t xml:space="preserve">AKO-GV-125</t>
  </si>
  <si>
    <t xml:space="preserve">AKO-GV-126</t>
  </si>
  <si>
    <t xml:space="preserve">AKO-GV-127</t>
  </si>
  <si>
    <t xml:space="preserve">AKO-GV-128</t>
  </si>
  <si>
    <t xml:space="preserve">AKO-GV-129</t>
  </si>
  <si>
    <t xml:space="preserve">AKO-GV-130</t>
  </si>
  <si>
    <t xml:space="preserve">AKO-GV-131</t>
  </si>
  <si>
    <t xml:space="preserve">AKO-GV-132</t>
  </si>
  <si>
    <t xml:space="preserve">AKO-GV-133</t>
  </si>
  <si>
    <t xml:space="preserve">AKO-GV-134</t>
  </si>
  <si>
    <t xml:space="preserve">AKO-GV-135</t>
  </si>
  <si>
    <t xml:space="preserve">AKO-GV-136</t>
  </si>
  <si>
    <t xml:space="preserve">AKO-GV-137</t>
  </si>
  <si>
    <t xml:space="preserve">AKO-GV-138</t>
  </si>
  <si>
    <t xml:space="preserve">AKO-GV-139</t>
  </si>
  <si>
    <t xml:space="preserve">AKO-GV-140</t>
  </si>
  <si>
    <t xml:space="preserve">AKO-GV-141</t>
  </si>
  <si>
    <t xml:space="preserve">AKO-GV-142</t>
  </si>
  <si>
    <t xml:space="preserve">AKO-GV-143</t>
  </si>
  <si>
    <t xml:space="preserve">AKO-GV-144</t>
  </si>
  <si>
    <t xml:space="preserve">AKO-GV-145</t>
  </si>
  <si>
    <t xml:space="preserve">AKO-GV-146</t>
  </si>
  <si>
    <t xml:space="preserve">AKO-GV-147</t>
  </si>
  <si>
    <t xml:space="preserve">AKO-GV-148</t>
  </si>
  <si>
    <t xml:space="preserve">AKO-GV-149</t>
  </si>
  <si>
    <t xml:space="preserve">AKO-GV-150</t>
  </si>
  <si>
    <t xml:space="preserve">AKO-GV-151</t>
  </si>
  <si>
    <t xml:space="preserve">AKO-GV-152</t>
  </si>
  <si>
    <t xml:space="preserve">AKO-GV-153</t>
  </si>
  <si>
    <t xml:space="preserve">AKO-GV-154</t>
  </si>
  <si>
    <t xml:space="preserve">AKO-GV-155</t>
  </si>
  <si>
    <t xml:space="preserve">AKO-GV-156</t>
  </si>
  <si>
    <t xml:space="preserve">AKO-GV-157</t>
  </si>
  <si>
    <t xml:space="preserve">AKO-GV-158</t>
  </si>
  <si>
    <t xml:space="preserve">AKO-GV-159</t>
  </si>
  <si>
    <t xml:space="preserve">AKO-GV-160</t>
  </si>
  <si>
    <t xml:space="preserve">AKO-GV-161</t>
  </si>
  <si>
    <t xml:space="preserve">AKO-GV-162</t>
  </si>
  <si>
    <t xml:space="preserve">AKO-GV-163</t>
  </si>
  <si>
    <t xml:space="preserve">AKO-GV-164</t>
  </si>
  <si>
    <t xml:space="preserve">AKO-GV-165</t>
  </si>
  <si>
    <t xml:space="preserve">AKO-GV-166</t>
  </si>
  <si>
    <t xml:space="preserve">AKO-GV-167</t>
  </si>
  <si>
    <t xml:space="preserve">AKO-GV-168</t>
  </si>
  <si>
    <t xml:space="preserve">AKO-GV-169</t>
  </si>
  <si>
    <t xml:space="preserve">AKO-GV-170</t>
  </si>
  <si>
    <t xml:space="preserve">AKO-GV-171</t>
  </si>
  <si>
    <t xml:space="preserve">AKO-GV-172</t>
  </si>
  <si>
    <t xml:space="preserve">AKO-GV-173</t>
  </si>
  <si>
    <t xml:space="preserve">AKO-GV-174</t>
  </si>
  <si>
    <t xml:space="preserve">AKO-GV-175</t>
  </si>
  <si>
    <t xml:space="preserve">AKO-GV-176</t>
  </si>
  <si>
    <t xml:space="preserve">AKO-GV-177</t>
  </si>
  <si>
    <t xml:space="preserve">AKO-GV-178</t>
  </si>
  <si>
    <t xml:space="preserve">AKO-GV-179</t>
  </si>
  <si>
    <t xml:space="preserve">AKO-GV-180</t>
  </si>
  <si>
    <t xml:space="preserve">AKO-GV-181</t>
  </si>
  <si>
    <t xml:space="preserve">AKO-GV-182</t>
  </si>
  <si>
    <t xml:space="preserve">AKO-GV-183</t>
  </si>
  <si>
    <t xml:space="preserve">AKO-GV-184</t>
  </si>
  <si>
    <t xml:space="preserve">AKO-GV-185</t>
  </si>
  <si>
    <t xml:space="preserve">AKO-GV-186</t>
  </si>
  <si>
    <t xml:space="preserve">AKO-GV-187</t>
  </si>
  <si>
    <t xml:space="preserve">AKO-GV-188</t>
  </si>
  <si>
    <t xml:space="preserve">AKO-GV-189</t>
  </si>
  <si>
    <t xml:space="preserve">AKO-GV-190</t>
  </si>
  <si>
    <t xml:space="preserve">AKO-GV-191</t>
  </si>
  <si>
    <t xml:space="preserve">AKO-GV-192</t>
  </si>
  <si>
    <t xml:space="preserve">AKO-GV-193</t>
  </si>
  <si>
    <t xml:space="preserve">AKO-GV-194</t>
  </si>
  <si>
    <t xml:space="preserve">AKO-GV-195</t>
  </si>
  <si>
    <t xml:space="preserve">AKO-GV-196</t>
  </si>
  <si>
    <t xml:space="preserve">AKO-GV-197</t>
  </si>
  <si>
    <t xml:space="preserve">AKO-GV-198</t>
  </si>
  <si>
    <t xml:space="preserve">AKO-GV-199</t>
  </si>
  <si>
    <t xml:space="preserve">AKO-GV-200</t>
  </si>
  <si>
    <t xml:space="preserve">AKO-GV-201</t>
  </si>
  <si>
    <t xml:space="preserve">AKO-GV-202</t>
  </si>
  <si>
    <t xml:space="preserve">AKO-GV-203</t>
  </si>
  <si>
    <t xml:space="preserve">AKO-GV-204</t>
  </si>
  <si>
    <t xml:space="preserve">AKO-GV-205</t>
  </si>
  <si>
    <t xml:space="preserve">AKO-GV-206</t>
  </si>
  <si>
    <t xml:space="preserve">AKO-GV-207</t>
  </si>
  <si>
    <t xml:space="preserve">AKO-GV-208</t>
  </si>
  <si>
    <t xml:space="preserve">AKO-GV-209</t>
  </si>
  <si>
    <t xml:space="preserve">AKO-GV-210</t>
  </si>
  <si>
    <t xml:space="preserve">AKO-GV-211</t>
  </si>
  <si>
    <t xml:space="preserve">AKO-GV-212</t>
  </si>
  <si>
    <t xml:space="preserve">AKO-GV-213</t>
  </si>
  <si>
    <t xml:space="preserve">AKO-GV-214</t>
  </si>
  <si>
    <t xml:space="preserve">AKO-GV-215</t>
  </si>
  <si>
    <t xml:space="preserve">AKO-GV-216</t>
  </si>
  <si>
    <t xml:space="preserve">AKO-GV-217</t>
  </si>
  <si>
    <t xml:space="preserve">AKO-GV-218</t>
  </si>
  <si>
    <t xml:space="preserve">AKO-GV-219</t>
  </si>
  <si>
    <t xml:space="preserve">AKO-GV-220</t>
  </si>
  <si>
    <t xml:space="preserve">AKO-GV-221</t>
  </si>
  <si>
    <t xml:space="preserve">AKO-GV-222</t>
  </si>
  <si>
    <t xml:space="preserve">AKO-GV-223</t>
  </si>
  <si>
    <t xml:space="preserve">AKO-GV-224</t>
  </si>
  <si>
    <t xml:space="preserve">AKO-GV-225</t>
  </si>
  <si>
    <t xml:space="preserve">AKO-GV-226</t>
  </si>
  <si>
    <t xml:space="preserve">AKO-GV-227</t>
  </si>
  <si>
    <t xml:space="preserve">AKO-GV-228</t>
  </si>
  <si>
    <t xml:space="preserve">AKO-GV-229</t>
  </si>
  <si>
    <t xml:space="preserve">AKO-GV-230</t>
  </si>
  <si>
    <t xml:space="preserve">AKO-GV-231</t>
  </si>
  <si>
    <t xml:space="preserve">AKO-GV-232</t>
  </si>
  <si>
    <t xml:space="preserve">AKO-GV-233</t>
  </si>
  <si>
    <t xml:space="preserve">AKO-GV-234</t>
  </si>
  <si>
    <t xml:space="preserve">AKO-GV-235</t>
  </si>
  <si>
    <t xml:space="preserve">AKO-GV-236</t>
  </si>
  <si>
    <t xml:space="preserve">AKO-GV-237</t>
  </si>
  <si>
    <t xml:space="preserve">AKO-GV-238</t>
  </si>
  <si>
    <t xml:space="preserve">AKO-GV-239</t>
  </si>
  <si>
    <t xml:space="preserve">AKO-GV-240</t>
  </si>
  <si>
    <t xml:space="preserve">AKO-GV-241</t>
  </si>
  <si>
    <t xml:space="preserve">AKO-GV-242</t>
  </si>
  <si>
    <t xml:space="preserve">AKO-GV-243</t>
  </si>
  <si>
    <t xml:space="preserve">AKO-GV-244</t>
  </si>
  <si>
    <t xml:space="preserve">AKO-GV-245</t>
  </si>
  <si>
    <t xml:space="preserve">AKO-GV-246</t>
  </si>
  <si>
    <t xml:space="preserve">AKO-GV-247</t>
  </si>
  <si>
    <t xml:space="preserve">AKO-GV-248</t>
  </si>
  <si>
    <t xml:space="preserve">AKO-GV-249</t>
  </si>
  <si>
    <t xml:space="preserve">AKO-GV-250</t>
  </si>
  <si>
    <t xml:space="preserve">AKO-GV-251</t>
  </si>
  <si>
    <t xml:space="preserve">AKO-GV-252</t>
  </si>
  <si>
    <t xml:space="preserve">AKO-GV-253</t>
  </si>
  <si>
    <t xml:space="preserve">AKO-GV-254</t>
  </si>
  <si>
    <t xml:space="preserve">AKO-GV-255</t>
  </si>
  <si>
    <t xml:space="preserve">AKO-GV-256</t>
  </si>
  <si>
    <t xml:space="preserve">AKO-GV-257</t>
  </si>
  <si>
    <t xml:space="preserve">AKO-GV-258</t>
  </si>
  <si>
    <t xml:space="preserve">AKO-GV-259</t>
  </si>
  <si>
    <t xml:space="preserve">AKO-GV-260</t>
  </si>
  <si>
    <t xml:space="preserve">AKO-GV-261</t>
  </si>
  <si>
    <t xml:space="preserve">AKO-GV-262</t>
  </si>
  <si>
    <t xml:space="preserve">AKO-GV-263</t>
  </si>
  <si>
    <t xml:space="preserve">AKO-GV-264</t>
  </si>
  <si>
    <t xml:space="preserve">AKO-GV-265</t>
  </si>
  <si>
    <t xml:space="preserve">AKO-GV-266</t>
  </si>
  <si>
    <t xml:space="preserve">AKO-GV-267</t>
  </si>
  <si>
    <t xml:space="preserve">AKO-GV-268</t>
  </si>
  <si>
    <t xml:space="preserve">AKO-GV-269</t>
  </si>
  <si>
    <t xml:space="preserve">AKO-GV-270</t>
  </si>
  <si>
    <t xml:space="preserve">AKO-GV-271</t>
  </si>
  <si>
    <t xml:space="preserve">AKO-GV-272</t>
  </si>
  <si>
    <t xml:space="preserve">AKO-GV-273</t>
  </si>
  <si>
    <t xml:space="preserve">AKO-GV-274</t>
  </si>
  <si>
    <t xml:space="preserve">AKO-GV-275</t>
  </si>
  <si>
    <t xml:space="preserve">AKO-GV-276</t>
  </si>
  <si>
    <t xml:space="preserve">AKO-GV-277</t>
  </si>
  <si>
    <t xml:space="preserve">AKO-GV-278</t>
  </si>
  <si>
    <t xml:space="preserve">AKO-GV-279</t>
  </si>
  <si>
    <t xml:space="preserve">AKO-GV-280</t>
  </si>
  <si>
    <t xml:space="preserve">AKO-GV-281</t>
  </si>
  <si>
    <t xml:space="preserve">AKO-GV-282</t>
  </si>
  <si>
    <t xml:space="preserve">AKO-GV-283</t>
  </si>
  <si>
    <t xml:space="preserve">AKO-GV-284</t>
  </si>
  <si>
    <t xml:space="preserve">AKO-GV-285</t>
  </si>
  <si>
    <t xml:space="preserve">AKO-GV-286</t>
  </si>
  <si>
    <t xml:space="preserve">AKO-GV-287</t>
  </si>
  <si>
    <t xml:space="preserve">AKO-GV-288</t>
  </si>
  <si>
    <t xml:space="preserve">AKO-GV-289</t>
  </si>
  <si>
    <t xml:space="preserve">AKO-GV-290</t>
  </si>
  <si>
    <t xml:space="preserve">AKO-GV-291</t>
  </si>
  <si>
    <t xml:space="preserve">AKO-GV-292</t>
  </si>
  <si>
    <t xml:space="preserve">AKO-GV-293</t>
  </si>
  <si>
    <t xml:space="preserve">AKO-GV-294</t>
  </si>
  <si>
    <t xml:space="preserve">AKO-GV-295</t>
  </si>
  <si>
    <t xml:space="preserve">AKO-GV-296</t>
  </si>
  <si>
    <t xml:space="preserve">AKO-GV-297</t>
  </si>
  <si>
    <t xml:space="preserve">AKO-GV-298</t>
  </si>
  <si>
    <t xml:space="preserve">AKO-GV-299</t>
  </si>
  <si>
    <t xml:space="preserve">AKO-GV-300</t>
  </si>
  <si>
    <t xml:space="preserve">Тип изделия (крестовой / Т-образный / концевик ...)</t>
  </si>
  <si>
    <t xml:space="preserve">Ширина, мм</t>
  </si>
  <si>
    <t xml:space="preserve">Высота, мм</t>
  </si>
  <si>
    <t xml:space="preserve">Коуш из нержавеющей стали Ø16 мм (60×37,5 мм)</t>
  </si>
  <si>
    <t xml:space="preserve">Предназначен для формирования петли каната Ø16 мм и защиты каната от истирания в месте крепления. Используется совместно с обжимной гильзой для надежной фиксации соединения.</t>
  </si>
  <si>
    <t xml:space="preserve">Коуш из нержавеющей стали предназначен для формирования и усиления петли каната диаметром 16 мм. Размер изделия составляет 60×37,5 мм. Устанавливается внутри петли каната и защищает его от истирания, деформации и других повреждений. Используется совместно с обжимной гильзой для надежной фиксации каната. Нержавеющая сталь обеспечивает устойчивость к коррозии, влаге и перепадам температур, что делает коуш подходящим для длительной эксплуатации в канатных конструкциях.</t>
  </si>
  <si>
    <t xml:space="preserve">Нерж. сталь</t>
  </si>
  <si>
    <t xml:space="preserve">YA-DSR019-16</t>
  </si>
  <si>
    <t xml:space="preserve">SDN-1 №17; SDN-2-1 №6</t>
  </si>
  <si>
    <t xml:space="preserve">Коуш из нержавеющей стали Ø16 мм (81×55 мм)</t>
  </si>
  <si>
    <t xml:space="preserve">Предназначен для формирования и усиления петли каната Ø16 мм, защищая его от истирания и деформации. Используется совместно с обжимной гильзой в канатных конструкциях и детском игровом оборудовании.</t>
  </si>
  <si>
    <t xml:space="preserve">Коуш из нержавеющей стали предназначен для формирования петли каната диаметром 16 мм и защиты каната от истирания, деформации и других повреждений в месте крепления. Размер изделия составляет 81×55 мм. Коуш устанавливается внутрь петли каната и фиксируется с помощью обжимной гильзы. Нержавеющая сталь обеспечивает устойчивость к коррозии, влаге, окислению и перепадам температур. Применяется при изготовлении канатных конструкций, в том числе элементов детских игровых площадок.</t>
  </si>
  <si>
    <t xml:space="preserve">DSR019-16</t>
  </si>
  <si>
    <t xml:space="preserve">SDN-2-1 №7</t>
  </si>
  <si>
    <t xml:space="preserve">Соединитель типа «восьмёрка» из нержавеющей стали для двух канатов Ø16 мм</t>
  </si>
  <si>
    <t xml:space="preserve">Предназначен для соединения двух канатов диаметром 16 мм, расположенных перпендикулярно друг другу. Изготовлен из нержавеющей стали, устойчивой к влаге и перепадам температур.</t>
  </si>
  <si>
    <t xml:space="preserve">Соединитель типа «восьмёрка» из нержавеющей стали предназначен для надежного соединения двух канатов диаметром 16 мм, расположенных перпендикулярно друг другу. Изделие устойчиво к воздействию влаги и перепадам температур, что позволяет использовать его в конструкциях, предназначенных для эксплуатации на открытом воздухе. Применяется при сборке канатных конструкций и элементов детского игрового оборудования.</t>
  </si>
  <si>
    <t xml:space="preserve">KTWX-16</t>
  </si>
  <si>
    <t xml:space="preserve">SDN-2-1 №8</t>
  </si>
  <si>
    <t xml:space="preserve">Пластиковый крестообразный соединитель 2-секционный для каната Ø16 мм</t>
  </si>
  <si>
    <t xml:space="preserve">Предназначен для соединения четырех участков каната диаметром 16 мм в местах их пересечения. Состоит из двух частей, которые защёлкиваются между собой и дополнительно фиксируются саморезом.</t>
  </si>
  <si>
    <t xml:space="preserve">Сборный крестообразный соединитель изготовлен из износостойкого и прочного полиамида ПА-6. Предназначен для соединения канатов диаметром 16 мм в конструкциях с пересекающимися канатными элементами, преимущественно в вертикальных сетках. Канаты укладываются в специальные пазы соединителя, после чего две части защёлкиваются между собой и фиксируются саморезом Torx 4,2×45 мм. Максимальная нагрузка на соединение составляет до 3 кН. Крепежная фурнитура в комплект поставки не входит.</t>
  </si>
  <si>
    <t xml:space="preserve">Полиамид (ПА)</t>
  </si>
  <si>
    <t xml:space="preserve">Я16КС</t>
  </si>
  <si>
    <t xml:space="preserve">SDN-2-1 №9</t>
  </si>
  <si>
    <t xml:space="preserve">Цельнолитой алюминиевый крестообразный соединитель 46×39 мм для каната Ø16 мм</t>
  </si>
  <si>
    <t xml:space="preserve">Предназначен для крестообразного соединения двух канатов диаметром 16 мм. Изготовлен из алюминия, имеет цельнолитую конструкцию и отверстие диаметром 16 мм.</t>
  </si>
  <si>
    <t xml:space="preserve">Цельнолитой крестообразный соединитель изготовлен из алюминия и предназначен для соединения двух канатов диаметром 16 мм в местах их пересечения. Высота изделия составляет 46 мм, ширина - 39 мм, диаметр отверстия - 16 мм. Вес соединителя - 34 г. Применяется при сборке канатных конструкций и игрового оборудования. Способ фиксации канатов и допустимую нагрузку необходимо уточнить у производителя.</t>
  </si>
  <si>
    <t xml:space="preserve">SDN-2-1 №10</t>
  </si>
  <si>
    <t xml:space="preserve">Открытый пластиковый коуш 63×25 мм для каната Ø16 мм</t>
  </si>
  <si>
    <t xml:space="preserve">Предназначен для защиты каната диаметром 16 мм от истирания и повреждений в местах крепления. Удлиненная форма с зауженными концами позволяет использовать коуш с различными такелажными элементами.</t>
  </si>
  <si>
    <t xml:space="preserve">Открытый коуш изготовлен из прочного полиамида ПА-6 и предназначен для защиты каната диаметром 16 мм от истирания, деформации и механических повреждений в месте формирования петли. Размер изделия составляет 63×25 мм. Удлиненная конструкция с зауженными концами отличается от стандартных округлых вариантов и обеспечивает удобное размещение каната внутри коуша. Может использоваться совместно с рым-болтами и другими такелажными элементами при сборке канатных конструкций и детского игрового оборудования.</t>
  </si>
  <si>
    <t xml:space="preserve">нет</t>
  </si>
  <si>
    <t xml:space="preserve">SDN-2-1 №11</t>
  </si>
  <si>
    <t xml:space="preserve">Пластиковый Т-образный сборный соединитель 63×75 мм для каната Ø16 мм</t>
  </si>
  <si>
    <t xml:space="preserve">Предназначен для Т-образного соединения двух канатов диаметром 16 мм, один из которых фиксируется обжимной гильзой. Сборная конструкция состоит из двух элементов и фиксируется между собой крепежом.</t>
  </si>
  <si>
    <t xml:space="preserve">Т-образный сборный соединитель изготовлен из прочного и износостойкого полиамида ПА-6. Состоит из двух частей, соединяемых между собой защёлкиванием и фиксируемых саморезом. Предназначен для соединения двух канатов диаметром 16 мм, один из которых предварительно обжимается гильзой. Габаритные размеры соединителя составляют 63×75 мм, диаметр отверстий под канат - 16 мм. Может применяться в различных канатных конструкциях и детском игровом оборудовании. Максимальная нагрузка на соединение составляет до 10 кН в зависимости от варианта соединения.</t>
  </si>
  <si>
    <t xml:space="preserve">Т16КК</t>
  </si>
  <si>
    <t xml:space="preserve">SDN-2-1 №12</t>
  </si>
  <si>
    <t xml:space="preserve">Пластиковый коуш 53×45 мм для каната Ø16 мм</t>
  </si>
  <si>
    <t xml:space="preserve">Предназначен для защиты каната диаметром 16 мм и его крепления к вертикальным поверхностям с помощью болтового соединения. Конструкция позволяет устанавливать канат под различными углами.</t>
  </si>
  <si>
    <t xml:space="preserve">Пластиковый коуш изготовлен из прочного и износостойкого полипропилена и предназначен для формирования и защиты петли каната диаметром 16 мм. Размер изделия составляет 53×45 мм, диаметр крепёжного отверстия — 11 мм. Конструкция коуша позволяет фиксировать канат к вертикальной поверхности под различными углами. Используется совместно с обжимной гильзой для надежного закрепления каната и может применяться при сборке канатных конструкций и детского игрового оборудования.</t>
  </si>
  <si>
    <t xml:space="preserve">SDN-2-1 №14</t>
  </si>
  <si>
    <t xml:space="preserve">Оцинкованный стальной коуш 60×88×16 мм для каната Ø16 мм</t>
  </si>
  <si>
    <t xml:space="preserve">Предназначен для формирования петли и защиты каната Ø16 мм от истирания и деформации. Используется совместно с обжимной гильзой для крепления к рым-болтам и другим такелажным элементам.</t>
  </si>
  <si>
    <t xml:space="preserve">Коуш изготовлен из оцинкованной стали и предназначен для формирования и усиления петли каната диаметром 16 мм. Размер изделия составляет 60×88×16 мм, толщина металла — 3 мм. Устанавливается внутри петли каната и фиксируется с помощью обжимной гильзы, защищая канат от истирания и повреждений в месте крепления. Может использоваться совместно с рым-болтами и другими такелажными элементами в канатных конструкциях и игровом оборудовании.</t>
  </si>
  <si>
    <t xml:space="preserve">Оцинк. сталь</t>
  </si>
  <si>
    <t xml:space="preserve">SDN-2-1 №15</t>
  </si>
  <si>
    <t xml:space="preserve">S-образный крюк из нержавеющей стали 53×28 мм для каната Ø16 мм</t>
  </si>
  <si>
    <t xml:space="preserve">Предназначен для соединения двух канатов диаметром 16 мм в местах их пересечения. После установки канатов крюк обжимается для надежной фиксации соединения.</t>
  </si>
  <si>
    <t xml:space="preserve">S-образный крюк из нержавеющей стали предназначен для соединения двух канатов диаметром 16 мм в канатных конструкциях. Размер изделия составляет 53×28 мм. Канаты устанавливаются в крюк, после чего соединительный элемент обжимается, обеспечивая надежную фиксацию. Изделие может применяться при изготовлении канатных конструкций и элементов детских игровых площадок.</t>
  </si>
  <si>
    <t xml:space="preserve">SDN-2-1 №16</t>
  </si>
  <si>
    <t xml:space="preserve">S-образный крюк из нержавеющей стали 53×40 мм для каната Ø16 мм</t>
  </si>
  <si>
    <t xml:space="preserve">Предназначен для фиксации и соединения двух канатов диаметром 16 мм в канатных конструкциях. Изготовлен из нержавеющей стали и устойчив к коррозии и перепадам температур.</t>
  </si>
  <si>
    <t xml:space="preserve">S-образный крюк изготовлен из нержавеющей стали и предназначен для соединения двух канатов диаметром 16 мм. Размер изделия составляет 53×40 мм, диаметр прутка — 6 мм. Материал обеспечивает устойчивость к коррозии, влаге и перепадам температур. Крюк может использоваться в качестве соединительного элемента при изготовлении канатных конструкций для детских игровых и спортивных площадок. В комплект входит только крюк.</t>
  </si>
  <si>
    <t xml:space="preserve">SDN-2-1 №17</t>
  </si>
  <si>
    <t xml:space="preserve">Пластиковый Т-образный соединитель 80×62×38 мм для каната Ø16 мм</t>
  </si>
  <si>
    <t xml:space="preserve">Предназначен для крепления каната диаметром 16 мм к опорным конструкциям и рамам. Оснащён монтажным основанием с двумя отверстиями для фиксации крепежом.</t>
  </si>
  <si>
    <t xml:space="preserve">Т-образный соединитель изготовлен из прочного пластика и предназначен для крепления каната диаметром 16 мм к плоским поверхностям опор и рам. Конструкция включает вертикальную цилиндрическую часть для размещения каната и основание с двумя монтажными отверстиями. Габаритные размеры изделия составляют 80×62×38 мм, диаметр верхней части — 23 мм. Применяется при сборке канатных конструкций и игрового оборудования.</t>
  </si>
  <si>
    <t xml:space="preserve">SDN-2-1 №18</t>
  </si>
  <si>
    <t xml:space="preserve">Пластиковая перекладина для канатной лестницы под канат Ø16 мм</t>
  </si>
  <si>
    <t xml:space="preserve">Предназначена для обустройства ступеней канатных лестниц и мостиков на детских игровых площадках. Крепится к канату диаметром 16 мм с помощью саморезов.</t>
  </si>
  <si>
    <t xml:space="preserve">Пластиковая перекладина изготовлена из сополимера полипропилена и подходит для установки на канат диаметром 16 мм. Изделие используется в качестве ступени при сборке канатных лестниц и мостиков на детских игровых площадках. Перекладина фиксируется на канате саморезами, для монтажа рекомендуется крепёж Torx 4,2×45 мм. Доступна в различных ярких цветах. Максимальная нагрузка составляет до 2,2 кН.</t>
  </si>
  <si>
    <t xml:space="preserve">Сополимер полипропилена</t>
  </si>
  <si>
    <t xml:space="preserve">BS-1 №6</t>
  </si>
  <si>
    <t xml:space="preserve">Пластиковая декоративная вставка для коуша под канат Ø16 мм</t>
  </si>
  <si>
    <t xml:space="preserve">Предназначена для декоративного оформления и дополнительной защиты металлического коуша, используемого с канатом диаметром 16 мм. Изготовлена из прочного полиамида ПА-6.</t>
  </si>
  <si>
    <t xml:space="preserve">Пластиковая вставка изготовлена из износостойкого полиамида ПА-6 и предназначена для установки в металлические коуши под канат диаметром 16 мм. Выполняет декоративную функцию и способствует защите металлического элемента в процессе эксплуатации. Совместима с оцинкованными и нержавеющими коушами, включая модели S04-1000 и KTST-16. Применяется при изготовлении канатных конструкций и детского игрового оборудования. В комплект входит только пластиковая вставка.</t>
  </si>
  <si>
    <t xml:space="preserve">SDN-2-1 №19</t>
  </si>
  <si>
    <t xml:space="preserve">Нейлоновое кольцо-вкладыш под М10 для каната Ø16 мм</t>
  </si>
  <si>
    <t xml:space="preserve">Вкладыши и кольца</t>
  </si>
  <si>
    <t xml:space="preserve">Нейлоновое кольцо с посадкой под резьбу М10 для крепления каната Ø16 мм.</t>
  </si>
  <si>
    <t xml:space="preserve">Кольцо из нейлона (полиамида) для каната диаметром 16 мм с посадочным отверстием под крепёж М10. Защищает канат от истирания в месте крепления к болту или рым-гайке, устойчиво к влаге и УФ.</t>
  </si>
  <si>
    <t xml:space="preserve">кольцо-вкладыш</t>
  </si>
  <si>
    <t xml:space="preserve">SDN-1 №9</t>
  </si>
  <si>
    <t xml:space="preserve">Нейлоновое кольцо для каната Ø16 мм</t>
  </si>
  <si>
    <t xml:space="preserve">Нейлоновое кольцо для каната Ø16 мм, защищает канат в местах крепления.</t>
  </si>
  <si>
    <t xml:space="preserve">Кольцо из нейлона (полиамида) для каната диаметром 16 мм. Используется в узлах крепления канатных конструкций, снижает истирание каната о металл.</t>
  </si>
  <si>
    <t xml:space="preserve">кольцо</t>
  </si>
  <si>
    <t xml:space="preserve">SDN-1 №10</t>
  </si>
  <si>
    <t xml:space="preserve">Пластиковый зацеп на канат 70×70×53 мм для каната Ø16 мм</t>
  </si>
  <si>
    <t xml:space="preserve">Зацепы на канат</t>
  </si>
  <si>
    <t xml:space="preserve">Зацеп-«грибок» для установки на канатные сетки Ø16 мм, служит опорой для рук и ног.</t>
  </si>
  <si>
    <t xml:space="preserve">Пластиковый зацеп устанавливается на пересечение или участок каната диаметром 16 мм в канатных сетках и пирамидах. Размер 70×70×53 мм. Даёт дополнительную опору при лазании.</t>
  </si>
  <si>
    <t xml:space="preserve">зацеп</t>
  </si>
  <si>
    <t xml:space="preserve">QDF-1 №8</t>
  </si>
  <si>
    <t xml:space="preserve">AKO-IK-018</t>
  </si>
  <si>
    <t xml:space="preserve">AKO-IK-019</t>
  </si>
  <si>
    <t xml:space="preserve">AKO-IK-020</t>
  </si>
  <si>
    <t xml:space="preserve">AKO-IK-021</t>
  </si>
  <si>
    <t xml:space="preserve">AKO-IK-022</t>
  </si>
  <si>
    <t xml:space="preserve">AKO-IK-023</t>
  </si>
  <si>
    <t xml:space="preserve">AKO-IK-024</t>
  </si>
  <si>
    <t xml:space="preserve">AKO-IK-025</t>
  </si>
  <si>
    <t xml:space="preserve">AKO-IK-026</t>
  </si>
  <si>
    <t xml:space="preserve">AKO-IK-027</t>
  </si>
  <si>
    <t xml:space="preserve">AKO-IK-028</t>
  </si>
  <si>
    <t xml:space="preserve">AKO-IK-029</t>
  </si>
  <si>
    <t xml:space="preserve">AKO-IK-030</t>
  </si>
  <si>
    <t xml:space="preserve">AKO-IK-031</t>
  </si>
  <si>
    <t xml:space="preserve">AKO-IK-032</t>
  </si>
  <si>
    <t xml:space="preserve">AKO-IK-033</t>
  </si>
  <si>
    <t xml:space="preserve">AKO-IK-034</t>
  </si>
  <si>
    <t xml:space="preserve">AKO-IK-035</t>
  </si>
  <si>
    <t xml:space="preserve">AKO-IK-036</t>
  </si>
  <si>
    <t xml:space="preserve">AKO-IK-037</t>
  </si>
  <si>
    <t xml:space="preserve">AKO-IK-038</t>
  </si>
  <si>
    <t xml:space="preserve">AKO-IK-039</t>
  </si>
  <si>
    <t xml:space="preserve">AKO-IK-040</t>
  </si>
  <si>
    <t xml:space="preserve">AKO-IK-041</t>
  </si>
  <si>
    <t xml:space="preserve">AKO-IK-042</t>
  </si>
  <si>
    <t xml:space="preserve">AKO-IK-043</t>
  </si>
  <si>
    <t xml:space="preserve">AKO-IK-044</t>
  </si>
  <si>
    <t xml:space="preserve">AKO-IK-045</t>
  </si>
  <si>
    <t xml:space="preserve">AKO-IK-046</t>
  </si>
  <si>
    <t xml:space="preserve">AKO-IK-047</t>
  </si>
  <si>
    <t xml:space="preserve">AKO-IK-048</t>
  </si>
  <si>
    <t xml:space="preserve">AKO-IK-049</t>
  </si>
  <si>
    <t xml:space="preserve">AKO-IK-050</t>
  </si>
  <si>
    <t xml:space="preserve">AKO-IK-051</t>
  </si>
  <si>
    <t xml:space="preserve">AKO-IK-052</t>
  </si>
  <si>
    <t xml:space="preserve">AKO-IK-053</t>
  </si>
  <si>
    <t xml:space="preserve">AKO-IK-054</t>
  </si>
  <si>
    <t xml:space="preserve">AKO-IK-055</t>
  </si>
  <si>
    <t xml:space="preserve">AKO-IK-056</t>
  </si>
  <si>
    <t xml:space="preserve">AKO-IK-057</t>
  </si>
  <si>
    <t xml:space="preserve">AKO-IK-058</t>
  </si>
  <si>
    <t xml:space="preserve">AKO-IK-059</t>
  </si>
  <si>
    <t xml:space="preserve">AKO-IK-060</t>
  </si>
  <si>
    <t xml:space="preserve">AKO-IK-061</t>
  </si>
  <si>
    <t xml:space="preserve">AKO-IK-062</t>
  </si>
  <si>
    <t xml:space="preserve">AKO-IK-063</t>
  </si>
  <si>
    <t xml:space="preserve">AKO-IK-064</t>
  </si>
  <si>
    <t xml:space="preserve">AKO-IK-065</t>
  </si>
  <si>
    <t xml:space="preserve">AKO-IK-066</t>
  </si>
  <si>
    <t xml:space="preserve">AKO-IK-067</t>
  </si>
  <si>
    <t xml:space="preserve">AKO-IK-068</t>
  </si>
  <si>
    <t xml:space="preserve">AKO-IK-069</t>
  </si>
  <si>
    <t xml:space="preserve">AKO-IK-070</t>
  </si>
  <si>
    <t xml:space="preserve">AKO-IK-071</t>
  </si>
  <si>
    <t xml:space="preserve">AKO-IK-072</t>
  </si>
  <si>
    <t xml:space="preserve">AKO-IK-073</t>
  </si>
  <si>
    <t xml:space="preserve">AKO-IK-074</t>
  </si>
  <si>
    <t xml:space="preserve">AKO-IK-075</t>
  </si>
  <si>
    <t xml:space="preserve">AKO-IK-076</t>
  </si>
  <si>
    <t xml:space="preserve">AKO-IK-077</t>
  </si>
  <si>
    <t xml:space="preserve">AKO-IK-078</t>
  </si>
  <si>
    <t xml:space="preserve">AKO-IK-079</t>
  </si>
  <si>
    <t xml:space="preserve">AKO-IK-080</t>
  </si>
  <si>
    <t xml:space="preserve">AKO-IK-081</t>
  </si>
  <si>
    <t xml:space="preserve">AKO-IK-082</t>
  </si>
  <si>
    <t xml:space="preserve">AKO-IK-083</t>
  </si>
  <si>
    <t xml:space="preserve">AKO-IK-084</t>
  </si>
  <si>
    <t xml:space="preserve">AKO-IK-085</t>
  </si>
  <si>
    <t xml:space="preserve">AKO-IK-086</t>
  </si>
  <si>
    <t xml:space="preserve">AKO-IK-087</t>
  </si>
  <si>
    <t xml:space="preserve">AKO-IK-088</t>
  </si>
  <si>
    <t xml:space="preserve">AKO-IK-089</t>
  </si>
  <si>
    <t xml:space="preserve">AKO-IK-090</t>
  </si>
  <si>
    <t xml:space="preserve">AKO-IK-091</t>
  </si>
  <si>
    <t xml:space="preserve">AKO-IK-092</t>
  </si>
  <si>
    <t xml:space="preserve">AKO-IK-093</t>
  </si>
  <si>
    <t xml:space="preserve">AKO-IK-094</t>
  </si>
  <si>
    <t xml:space="preserve">AKO-IK-095</t>
  </si>
  <si>
    <t xml:space="preserve">AKO-IK-096</t>
  </si>
  <si>
    <t xml:space="preserve">AKO-IK-097</t>
  </si>
  <si>
    <t xml:space="preserve">AKO-IK-098</t>
  </si>
  <si>
    <t xml:space="preserve">AKO-IK-099</t>
  </si>
  <si>
    <t xml:space="preserve">AKO-IK-100</t>
  </si>
  <si>
    <t xml:space="preserve">AKO-IK-101</t>
  </si>
  <si>
    <t xml:space="preserve">AKO-IK-102</t>
  </si>
  <si>
    <t xml:space="preserve">AKO-IK-103</t>
  </si>
  <si>
    <t xml:space="preserve">AKO-IK-104</t>
  </si>
  <si>
    <t xml:space="preserve">AKO-IK-105</t>
  </si>
  <si>
    <t xml:space="preserve">AKO-IK-106</t>
  </si>
  <si>
    <t xml:space="preserve">AKO-IK-107</t>
  </si>
  <si>
    <t xml:space="preserve">AKO-IK-108</t>
  </si>
  <si>
    <t xml:space="preserve">AKO-IK-109</t>
  </si>
  <si>
    <t xml:space="preserve">AKO-IK-110</t>
  </si>
  <si>
    <t xml:space="preserve">AKO-IK-111</t>
  </si>
  <si>
    <t xml:space="preserve">AKO-IK-112</t>
  </si>
  <si>
    <t xml:space="preserve">AKO-IK-113</t>
  </si>
  <si>
    <t xml:space="preserve">AKO-IK-114</t>
  </si>
  <si>
    <t xml:space="preserve">AKO-IK-115</t>
  </si>
  <si>
    <t xml:space="preserve">AKO-IK-116</t>
  </si>
  <si>
    <t xml:space="preserve">AKO-IK-117</t>
  </si>
  <si>
    <t xml:space="preserve">AKO-IK-118</t>
  </si>
  <si>
    <t xml:space="preserve">AKO-IK-119</t>
  </si>
  <si>
    <t xml:space="preserve">AKO-IK-120</t>
  </si>
  <si>
    <t xml:space="preserve">AKO-IK-121</t>
  </si>
  <si>
    <t xml:space="preserve">AKO-IK-122</t>
  </si>
  <si>
    <t xml:space="preserve">AKO-IK-123</t>
  </si>
  <si>
    <t xml:space="preserve">AKO-IK-124</t>
  </si>
  <si>
    <t xml:space="preserve">AKO-IK-125</t>
  </si>
  <si>
    <t xml:space="preserve">AKO-IK-126</t>
  </si>
  <si>
    <t xml:space="preserve">AKO-IK-127</t>
  </si>
  <si>
    <t xml:space="preserve">AKO-IK-128</t>
  </si>
  <si>
    <t xml:space="preserve">AKO-IK-129</t>
  </si>
  <si>
    <t xml:space="preserve">AKO-IK-130</t>
  </si>
  <si>
    <t xml:space="preserve">AKO-IK-131</t>
  </si>
  <si>
    <t xml:space="preserve">AKO-IK-132</t>
  </si>
  <si>
    <t xml:space="preserve">AKO-IK-133</t>
  </si>
  <si>
    <t xml:space="preserve">AKO-IK-134</t>
  </si>
  <si>
    <t xml:space="preserve">AKO-IK-135</t>
  </si>
  <si>
    <t xml:space="preserve">AKO-IK-136</t>
  </si>
  <si>
    <t xml:space="preserve">AKO-IK-137</t>
  </si>
  <si>
    <t xml:space="preserve">AKO-IK-138</t>
  </si>
  <si>
    <t xml:space="preserve">AKO-IK-139</t>
  </si>
  <si>
    <t xml:space="preserve">AKO-IK-140</t>
  </si>
  <si>
    <t xml:space="preserve">AKO-IK-141</t>
  </si>
  <si>
    <t xml:space="preserve">AKO-IK-142</t>
  </si>
  <si>
    <t xml:space="preserve">AKO-IK-143</t>
  </si>
  <si>
    <t xml:space="preserve">AKO-IK-144</t>
  </si>
  <si>
    <t xml:space="preserve">AKO-IK-145</t>
  </si>
  <si>
    <t xml:space="preserve">AKO-IK-146</t>
  </si>
  <si>
    <t xml:space="preserve">AKO-IK-147</t>
  </si>
  <si>
    <t xml:space="preserve">AKO-IK-148</t>
  </si>
  <si>
    <t xml:space="preserve">AKO-IK-149</t>
  </si>
  <si>
    <t xml:space="preserve">AKO-IK-150</t>
  </si>
  <si>
    <t xml:space="preserve">AKO-IK-151</t>
  </si>
  <si>
    <t xml:space="preserve">AKO-IK-152</t>
  </si>
  <si>
    <t xml:space="preserve">AKO-IK-153</t>
  </si>
  <si>
    <t xml:space="preserve">AKO-IK-154</t>
  </si>
  <si>
    <t xml:space="preserve">AKO-IK-155</t>
  </si>
  <si>
    <t xml:space="preserve">AKO-IK-156</t>
  </si>
  <si>
    <t xml:space="preserve">AKO-IK-157</t>
  </si>
  <si>
    <t xml:space="preserve">AKO-IK-158</t>
  </si>
  <si>
    <t xml:space="preserve">AKO-IK-159</t>
  </si>
  <si>
    <t xml:space="preserve">AKO-IK-160</t>
  </si>
  <si>
    <t xml:space="preserve">AKO-IK-161</t>
  </si>
  <si>
    <t xml:space="preserve">AKO-IK-162</t>
  </si>
  <si>
    <t xml:space="preserve">AKO-IK-163</t>
  </si>
  <si>
    <t xml:space="preserve">AKO-IK-164</t>
  </si>
  <si>
    <t xml:space="preserve">AKO-IK-165</t>
  </si>
  <si>
    <t xml:space="preserve">AKO-IK-166</t>
  </si>
  <si>
    <t xml:space="preserve">AKO-IK-167</t>
  </si>
  <si>
    <t xml:space="preserve">AKO-IK-168</t>
  </si>
  <si>
    <t xml:space="preserve">AKO-IK-169</t>
  </si>
  <si>
    <t xml:space="preserve">AKO-IK-170</t>
  </si>
  <si>
    <t xml:space="preserve">AKO-IK-171</t>
  </si>
  <si>
    <t xml:space="preserve">AKO-IK-172</t>
  </si>
  <si>
    <t xml:space="preserve">AKO-IK-173</t>
  </si>
  <si>
    <t xml:space="preserve">AKO-IK-174</t>
  </si>
  <si>
    <t xml:space="preserve">AKO-IK-175</t>
  </si>
  <si>
    <t xml:space="preserve">AKO-IK-176</t>
  </si>
  <si>
    <t xml:space="preserve">AKO-IK-177</t>
  </si>
  <si>
    <t xml:space="preserve">AKO-IK-178</t>
  </si>
  <si>
    <t xml:space="preserve">AKO-IK-179</t>
  </si>
  <si>
    <t xml:space="preserve">AKO-IK-180</t>
  </si>
  <si>
    <t xml:space="preserve">AKO-IK-181</t>
  </si>
  <si>
    <t xml:space="preserve">AKO-IK-182</t>
  </si>
  <si>
    <t xml:space="preserve">AKO-IK-183</t>
  </si>
  <si>
    <t xml:space="preserve">AKO-IK-184</t>
  </si>
  <si>
    <t xml:space="preserve">AKO-IK-185</t>
  </si>
  <si>
    <t xml:space="preserve">AKO-IK-186</t>
  </si>
  <si>
    <t xml:space="preserve">AKO-IK-187</t>
  </si>
  <si>
    <t xml:space="preserve">AKO-IK-188</t>
  </si>
  <si>
    <t xml:space="preserve">AKO-IK-189</t>
  </si>
  <si>
    <t xml:space="preserve">AKO-IK-190</t>
  </si>
  <si>
    <t xml:space="preserve">AKO-IK-191</t>
  </si>
  <si>
    <t xml:space="preserve">AKO-IK-192</t>
  </si>
  <si>
    <t xml:space="preserve">AKO-IK-193</t>
  </si>
  <si>
    <t xml:space="preserve">AKO-IK-194</t>
  </si>
  <si>
    <t xml:space="preserve">AKO-IK-195</t>
  </si>
  <si>
    <t xml:space="preserve">AKO-IK-196</t>
  </si>
  <si>
    <t xml:space="preserve">AKO-IK-197</t>
  </si>
  <si>
    <t xml:space="preserve">AKO-IK-198</t>
  </si>
  <si>
    <t xml:space="preserve">AKO-IK-199</t>
  </si>
  <si>
    <t xml:space="preserve">AKO-IK-200</t>
  </si>
  <si>
    <t xml:space="preserve">AKO-IK-201</t>
  </si>
  <si>
    <t xml:space="preserve">AKO-IK-202</t>
  </si>
  <si>
    <t xml:space="preserve">AKO-IK-203</t>
  </si>
  <si>
    <t xml:space="preserve">AKO-IK-204</t>
  </si>
  <si>
    <t xml:space="preserve">AKO-IK-205</t>
  </si>
  <si>
    <t xml:space="preserve">AKO-IK-206</t>
  </si>
  <si>
    <t xml:space="preserve">AKO-IK-207</t>
  </si>
  <si>
    <t xml:space="preserve">AKO-IK-208</t>
  </si>
  <si>
    <t xml:space="preserve">AKO-IK-209</t>
  </si>
  <si>
    <t xml:space="preserve">AKO-IK-210</t>
  </si>
  <si>
    <t xml:space="preserve">AKO-IK-211</t>
  </si>
  <si>
    <t xml:space="preserve">AKO-IK-212</t>
  </si>
  <si>
    <t xml:space="preserve">AKO-IK-213</t>
  </si>
  <si>
    <t xml:space="preserve">AKO-IK-214</t>
  </si>
  <si>
    <t xml:space="preserve">AKO-IK-215</t>
  </si>
  <si>
    <t xml:space="preserve">AKO-IK-216</t>
  </si>
  <si>
    <t xml:space="preserve">AKO-IK-217</t>
  </si>
  <si>
    <t xml:space="preserve">AKO-IK-218</t>
  </si>
  <si>
    <t xml:space="preserve">AKO-IK-219</t>
  </si>
  <si>
    <t xml:space="preserve">AKO-IK-220</t>
  </si>
  <si>
    <t xml:space="preserve">AKO-IK-221</t>
  </si>
  <si>
    <t xml:space="preserve">AKO-IK-222</t>
  </si>
  <si>
    <t xml:space="preserve">AKO-IK-223</t>
  </si>
  <si>
    <t xml:space="preserve">AKO-IK-224</t>
  </si>
  <si>
    <t xml:space="preserve">AKO-IK-225</t>
  </si>
  <si>
    <t xml:space="preserve">AKO-IK-226</t>
  </si>
  <si>
    <t xml:space="preserve">AKO-IK-227</t>
  </si>
  <si>
    <t xml:space="preserve">AKO-IK-228</t>
  </si>
  <si>
    <t xml:space="preserve">AKO-IK-229</t>
  </si>
  <si>
    <t xml:space="preserve">AKO-IK-230</t>
  </si>
  <si>
    <t xml:space="preserve">AKO-IK-231</t>
  </si>
  <si>
    <t xml:space="preserve">AKO-IK-232</t>
  </si>
  <si>
    <t xml:space="preserve">AKO-IK-233</t>
  </si>
  <si>
    <t xml:space="preserve">AKO-IK-234</t>
  </si>
  <si>
    <t xml:space="preserve">AKO-IK-235</t>
  </si>
  <si>
    <t xml:space="preserve">AKO-IK-236</t>
  </si>
  <si>
    <t xml:space="preserve">AKO-IK-237</t>
  </si>
  <si>
    <t xml:space="preserve">AKO-IK-238</t>
  </si>
  <si>
    <t xml:space="preserve">AKO-IK-239</t>
  </si>
  <si>
    <t xml:space="preserve">AKO-IK-240</t>
  </si>
  <si>
    <t xml:space="preserve">AKO-IK-241</t>
  </si>
  <si>
    <t xml:space="preserve">AKO-IK-242</t>
  </si>
  <si>
    <t xml:space="preserve">AKO-IK-243</t>
  </si>
  <si>
    <t xml:space="preserve">AKO-IK-244</t>
  </si>
  <si>
    <t xml:space="preserve">AKO-IK-245</t>
  </si>
  <si>
    <t xml:space="preserve">AKO-IK-246</t>
  </si>
  <si>
    <t xml:space="preserve">AKO-IK-247</t>
  </si>
  <si>
    <t xml:space="preserve">AKO-IK-248</t>
  </si>
  <si>
    <t xml:space="preserve">AKO-IK-249</t>
  </si>
  <si>
    <t xml:space="preserve">AKO-IK-250</t>
  </si>
  <si>
    <t xml:space="preserve">AKO-IK-251</t>
  </si>
  <si>
    <t xml:space="preserve">AKO-IK-252</t>
  </si>
  <si>
    <t xml:space="preserve">AKO-IK-253</t>
  </si>
  <si>
    <t xml:space="preserve">AKO-IK-254</t>
  </si>
  <si>
    <t xml:space="preserve">AKO-IK-255</t>
  </si>
  <si>
    <t xml:space="preserve">AKO-IK-256</t>
  </si>
  <si>
    <t xml:space="preserve">AKO-IK-257</t>
  </si>
  <si>
    <t xml:space="preserve">AKO-IK-258</t>
  </si>
  <si>
    <t xml:space="preserve">AKO-IK-259</t>
  </si>
  <si>
    <t xml:space="preserve">AKO-IK-260</t>
  </si>
  <si>
    <t xml:space="preserve">AKO-IK-261</t>
  </si>
  <si>
    <t xml:space="preserve">AKO-IK-262</t>
  </si>
  <si>
    <t xml:space="preserve">AKO-IK-263</t>
  </si>
  <si>
    <t xml:space="preserve">AKO-IK-264</t>
  </si>
  <si>
    <t xml:space="preserve">AKO-IK-265</t>
  </si>
  <si>
    <t xml:space="preserve">AKO-IK-266</t>
  </si>
  <si>
    <t xml:space="preserve">AKO-IK-267</t>
  </si>
  <si>
    <t xml:space="preserve">AKO-IK-268</t>
  </si>
  <si>
    <t xml:space="preserve">AKO-IK-269</t>
  </si>
  <si>
    <t xml:space="preserve">AKO-IK-270</t>
  </si>
  <si>
    <t xml:space="preserve">AKO-IK-271</t>
  </si>
  <si>
    <t xml:space="preserve">AKO-IK-272</t>
  </si>
  <si>
    <t xml:space="preserve">AKO-IK-273</t>
  </si>
  <si>
    <t xml:space="preserve">AKO-IK-274</t>
  </si>
  <si>
    <t xml:space="preserve">AKO-IK-275</t>
  </si>
  <si>
    <t xml:space="preserve">AKO-IK-276</t>
  </si>
  <si>
    <t xml:space="preserve">AKO-IK-277</t>
  </si>
  <si>
    <t xml:space="preserve">AKO-IK-278</t>
  </si>
  <si>
    <t xml:space="preserve">AKO-IK-279</t>
  </si>
  <si>
    <t xml:space="preserve">AKO-IK-280</t>
  </si>
  <si>
    <t xml:space="preserve">AKO-IK-281</t>
  </si>
  <si>
    <t xml:space="preserve">AKO-IK-282</t>
  </si>
  <si>
    <t xml:space="preserve">AKO-IK-283</t>
  </si>
  <si>
    <t xml:space="preserve">AKO-IK-284</t>
  </si>
  <si>
    <t xml:space="preserve">AKO-IK-285</t>
  </si>
  <si>
    <t xml:space="preserve">AKO-IK-286</t>
  </si>
  <si>
    <t xml:space="preserve">AKO-IK-287</t>
  </si>
  <si>
    <t xml:space="preserve">AKO-IK-288</t>
  </si>
  <si>
    <t xml:space="preserve">AKO-IK-289</t>
  </si>
  <si>
    <t xml:space="preserve">AKO-IK-290</t>
  </si>
  <si>
    <t xml:space="preserve">AKO-IK-291</t>
  </si>
  <si>
    <t xml:space="preserve">AKO-IK-292</t>
  </si>
  <si>
    <t xml:space="preserve">AKO-IK-293</t>
  </si>
  <si>
    <t xml:space="preserve">AKO-IK-294</t>
  </si>
  <si>
    <t xml:space="preserve">AKO-IK-295</t>
  </si>
  <si>
    <t xml:space="preserve">AKO-IK-296</t>
  </si>
  <si>
    <t xml:space="preserve">AKO-IK-297</t>
  </si>
  <si>
    <t xml:space="preserve">AKO-IK-298</t>
  </si>
  <si>
    <t xml:space="preserve">AKO-IK-299</t>
  </si>
  <si>
    <t xml:space="preserve">AKO-IK-300</t>
  </si>
  <si>
    <t xml:space="preserve">Тип (кольцо / подвес / трапеция)</t>
  </si>
  <si>
    <t xml:space="preserve">Сечение, мм</t>
  </si>
  <si>
    <t xml:space="preserve">Длина подвеса, мм</t>
  </si>
  <si>
    <t xml:space="preserve">Макс. нагрузка, кг</t>
  </si>
  <si>
    <t xml:space="preserve">Круглое пластиковое гимнастическое кольцо Ø170 мм</t>
  </si>
  <si>
    <t xml:space="preserve">Пластиковое гимнастическое кольцо диаметром 165 мм, изготовленное из полиэтилена высокого давления (ПВД). Предназначено для установки на детских спортивных и игровых комплексах с использованием канатных подвесов.</t>
  </si>
  <si>
    <t xml:space="preserve">Круглое гимнастическое кольцо изготовлено из полиэтилена высокого давления (ПВД), который отличается небольшим весом и устойчивостью к воздействию влаги. Используется в составе детских спортивных и игровых комплексов для выполнения гимнастических упражнений и активных игр.
Кольцо крепится с помощью подвесов из армированного, полипропиленового или пенькового каната. Подходит для комплектации детских игровых площадок и спортивных конструкций.</t>
  </si>
  <si>
    <t xml:space="preserve">Полиэтилен (ПЭ)</t>
  </si>
  <si>
    <t xml:space="preserve">КГМ1КК</t>
  </si>
  <si>
    <t xml:space="preserve">QDF-1 №1</t>
  </si>
  <si>
    <t xml:space="preserve">Каплевидное пластиковое гимнастическое кольцо 210×165 мм</t>
  </si>
  <si>
    <t xml:space="preserve">Пластиковое гимнастическое кольцо каплевидной формы размером 210×165 мм. Предназначено для установки на уличных детских игровых и спортивных площадках, крепится с помощью канатных подвесов.</t>
  </si>
  <si>
    <t xml:space="preserve">Каплевидное гимнастическое кольцо изготовлено из пластика и предназначено для использования в составе детских игровых и спортивных комплексов. Подходит для активных игр и выполнения гимнастических упражнений на открытых площадках.
Кольцо крепится с помощью подвесов из пенькового, полипропиленового или армированного каната. Поставляется поштучно.</t>
  </si>
  <si>
    <t xml:space="preserve">КГМ5ЧС</t>
  </si>
  <si>
    <t xml:space="preserve">QDF-1 №2</t>
  </si>
  <si>
    <t xml:space="preserve">Пластиковое каплевидное гимнастическое кольцо 145×160×22 мм</t>
  </si>
  <si>
    <t xml:space="preserve">Каплевидное гимнастическое кольцо из пластика размером 145×160×22 мм. Предназначено для детских игровых и спортивных комплексов, подходит для детей от 3 до 7 лет.</t>
  </si>
  <si>
    <t xml:space="preserve">Пластиковое гимнастическое кольцо каплевидной формы предназначено для установки на уличных игровых площадках и в закрытых спортивных комплексах. Используется как элемент детского игрового и спортивного оборудования для активных игр и гимнастических упражнений.
Кольцо крепится с помощью подвеса из пенькового, полипропиленового или армированного каната. Для монтажа рекомендуется использовать подходящий канатный подвес.</t>
  </si>
  <si>
    <t xml:space="preserve">КГМ3ЖК</t>
  </si>
  <si>
    <t xml:space="preserve">QDF-1 №3</t>
  </si>
  <si>
    <t xml:space="preserve">Треугольное акробатическое кольцо M04-213 135×125 мм с ПВХ-покрытием</t>
  </si>
  <si>
    <t xml:space="preserve">Треугольное акробатическое кольцо размером 135×125 мм с алюминиевой основой и защитным покрытием из пластизоля на основе ПВХ. Предназначено для детских спортивных и игровых комплексов, обеспечивает удобный и нескользящий хват.</t>
  </si>
  <si>
    <t xml:space="preserve">Акробатическое кольцо M04-213 имеет треугольную форму и изготовлено из алюминия. Поверхность покрыта пластизолем на основе ПВХ, который защищает металл от коррозии, делает изделие приятным на ощупь и обеспечивает надежный хват при использовании.
Кольцо предназначено для комплектации детских спортивных комплексов и подходит для выполнения гимнастических и акробатических упражнений.</t>
  </si>
  <si>
    <t xml:space="preserve">Алюминий + ПВХ</t>
  </si>
  <si>
    <t xml:space="preserve">M04-213</t>
  </si>
  <si>
    <t xml:space="preserve">BS-1 №9</t>
  </si>
  <si>
    <t xml:space="preserve">AKO-GK-005</t>
  </si>
  <si>
    <t xml:space="preserve">AKO-GK-006</t>
  </si>
  <si>
    <t xml:space="preserve">AKO-GK-007</t>
  </si>
  <si>
    <t xml:space="preserve">AKO-GK-008</t>
  </si>
  <si>
    <t xml:space="preserve">AKO-GK-009</t>
  </si>
  <si>
    <t xml:space="preserve">AKO-GK-010</t>
  </si>
  <si>
    <t xml:space="preserve">AKO-GK-011</t>
  </si>
  <si>
    <t xml:space="preserve">AKO-GK-012</t>
  </si>
  <si>
    <t xml:space="preserve">AKO-GK-013</t>
  </si>
  <si>
    <t xml:space="preserve">AKO-GK-014</t>
  </si>
  <si>
    <t xml:space="preserve">AKO-GK-015</t>
  </si>
  <si>
    <t xml:space="preserve">AKO-GK-016</t>
  </si>
  <si>
    <t xml:space="preserve">AKO-GK-017</t>
  </si>
  <si>
    <t xml:space="preserve">AKO-GK-018</t>
  </si>
  <si>
    <t xml:space="preserve">AKO-GK-019</t>
  </si>
  <si>
    <t xml:space="preserve">AKO-GK-020</t>
  </si>
  <si>
    <t xml:space="preserve">AKO-GK-021</t>
  </si>
  <si>
    <t xml:space="preserve">AKO-GK-022</t>
  </si>
  <si>
    <t xml:space="preserve">AKO-GK-023</t>
  </si>
  <si>
    <t xml:space="preserve">AKO-GK-024</t>
  </si>
  <si>
    <t xml:space="preserve">AKO-GK-025</t>
  </si>
  <si>
    <t xml:space="preserve">AKO-GK-026</t>
  </si>
  <si>
    <t xml:space="preserve">AKO-GK-027</t>
  </si>
  <si>
    <t xml:space="preserve">AKO-GK-028</t>
  </si>
  <si>
    <t xml:space="preserve">AKO-GK-029</t>
  </si>
  <si>
    <t xml:space="preserve">AKO-GK-030</t>
  </si>
  <si>
    <t xml:space="preserve">AKO-GK-031</t>
  </si>
  <si>
    <t xml:space="preserve">AKO-GK-032</t>
  </si>
  <si>
    <t xml:space="preserve">AKO-GK-033</t>
  </si>
  <si>
    <t xml:space="preserve">AKO-GK-034</t>
  </si>
  <si>
    <t xml:space="preserve">AKO-GK-035</t>
  </si>
  <si>
    <t xml:space="preserve">AKO-GK-036</t>
  </si>
  <si>
    <t xml:space="preserve">AKO-GK-037</t>
  </si>
  <si>
    <t xml:space="preserve">AKO-GK-038</t>
  </si>
  <si>
    <t xml:space="preserve">AKO-GK-039</t>
  </si>
  <si>
    <t xml:space="preserve">AKO-GK-040</t>
  </si>
  <si>
    <t xml:space="preserve">AKO-GK-041</t>
  </si>
  <si>
    <t xml:space="preserve">AKO-GK-042</t>
  </si>
  <si>
    <t xml:space="preserve">AKO-GK-043</t>
  </si>
  <si>
    <t xml:space="preserve">AKO-GK-044</t>
  </si>
  <si>
    <t xml:space="preserve">AKO-GK-045</t>
  </si>
  <si>
    <t xml:space="preserve">AKO-GK-046</t>
  </si>
  <si>
    <t xml:space="preserve">AKO-GK-047</t>
  </si>
  <si>
    <t xml:space="preserve">AKO-GK-048</t>
  </si>
  <si>
    <t xml:space="preserve">AKO-GK-049</t>
  </si>
  <si>
    <t xml:space="preserve">AKO-GK-050</t>
  </si>
  <si>
    <t xml:space="preserve">AKO-GK-051</t>
  </si>
  <si>
    <t xml:space="preserve">AKO-GK-052</t>
  </si>
  <si>
    <t xml:space="preserve">AKO-GK-053</t>
  </si>
  <si>
    <t xml:space="preserve">AKO-GK-054</t>
  </si>
  <si>
    <t xml:space="preserve">AKO-GK-055</t>
  </si>
  <si>
    <t xml:space="preserve">AKO-GK-056</t>
  </si>
  <si>
    <t xml:space="preserve">AKO-GK-057</t>
  </si>
  <si>
    <t xml:space="preserve">AKO-GK-058</t>
  </si>
  <si>
    <t xml:space="preserve">AKO-GK-059</t>
  </si>
  <si>
    <t xml:space="preserve">AKO-GK-060</t>
  </si>
  <si>
    <t xml:space="preserve">AKO-GK-061</t>
  </si>
  <si>
    <t xml:space="preserve">AKO-GK-062</t>
  </si>
  <si>
    <t xml:space="preserve">AKO-GK-063</t>
  </si>
  <si>
    <t xml:space="preserve">AKO-GK-064</t>
  </si>
  <si>
    <t xml:space="preserve">AKO-GK-065</t>
  </si>
  <si>
    <t xml:space="preserve">AKO-GK-066</t>
  </si>
  <si>
    <t xml:space="preserve">AKO-GK-067</t>
  </si>
  <si>
    <t xml:space="preserve">AKO-GK-068</t>
  </si>
  <si>
    <t xml:space="preserve">AKO-GK-069</t>
  </si>
  <si>
    <t xml:space="preserve">AKO-GK-070</t>
  </si>
  <si>
    <t xml:space="preserve">AKO-GK-071</t>
  </si>
  <si>
    <t xml:space="preserve">AKO-GK-072</t>
  </si>
  <si>
    <t xml:space="preserve">AKO-GK-073</t>
  </si>
  <si>
    <t xml:space="preserve">AKO-GK-074</t>
  </si>
  <si>
    <t xml:space="preserve">AKO-GK-075</t>
  </si>
  <si>
    <t xml:space="preserve">AKO-GK-076</t>
  </si>
  <si>
    <t xml:space="preserve">AKO-GK-077</t>
  </si>
  <si>
    <t xml:space="preserve">AKO-GK-078</t>
  </si>
  <si>
    <t xml:space="preserve">AKO-GK-079</t>
  </si>
  <si>
    <t xml:space="preserve">AKO-GK-080</t>
  </si>
  <si>
    <t xml:space="preserve">AKO-GK-081</t>
  </si>
  <si>
    <t xml:space="preserve">AKO-GK-082</t>
  </si>
  <si>
    <t xml:space="preserve">AKO-GK-083</t>
  </si>
  <si>
    <t xml:space="preserve">AKO-GK-084</t>
  </si>
  <si>
    <t xml:space="preserve">AKO-GK-085</t>
  </si>
  <si>
    <t xml:space="preserve">AKO-GK-086</t>
  </si>
  <si>
    <t xml:space="preserve">AKO-GK-087</t>
  </si>
  <si>
    <t xml:space="preserve">AKO-GK-088</t>
  </si>
  <si>
    <t xml:space="preserve">AKO-GK-089</t>
  </si>
  <si>
    <t xml:space="preserve">AKO-GK-090</t>
  </si>
  <si>
    <t xml:space="preserve">AKO-GK-091</t>
  </si>
  <si>
    <t xml:space="preserve">AKO-GK-092</t>
  </si>
  <si>
    <t xml:space="preserve">AKO-GK-093</t>
  </si>
  <si>
    <t xml:space="preserve">AKO-GK-094</t>
  </si>
  <si>
    <t xml:space="preserve">AKO-GK-095</t>
  </si>
  <si>
    <t xml:space="preserve">AKO-GK-096</t>
  </si>
  <si>
    <t xml:space="preserve">AKO-GK-097</t>
  </si>
  <si>
    <t xml:space="preserve">AKO-GK-098</t>
  </si>
  <si>
    <t xml:space="preserve">AKO-GK-099</t>
  </si>
  <si>
    <t xml:space="preserve">AKO-GK-100</t>
  </si>
  <si>
    <t xml:space="preserve">AKO-GK-101</t>
  </si>
  <si>
    <t xml:space="preserve">AKO-GK-102</t>
  </si>
  <si>
    <t xml:space="preserve">AKO-GK-103</t>
  </si>
  <si>
    <t xml:space="preserve">AKO-GK-104</t>
  </si>
  <si>
    <t xml:space="preserve">AKO-GK-105</t>
  </si>
  <si>
    <t xml:space="preserve">AKO-GK-106</t>
  </si>
  <si>
    <t xml:space="preserve">AKO-GK-107</t>
  </si>
  <si>
    <t xml:space="preserve">AKO-GK-108</t>
  </si>
  <si>
    <t xml:space="preserve">AKO-GK-109</t>
  </si>
  <si>
    <t xml:space="preserve">AKO-GK-110</t>
  </si>
  <si>
    <t xml:space="preserve">AKO-GK-111</t>
  </si>
  <si>
    <t xml:space="preserve">AKO-GK-112</t>
  </si>
  <si>
    <t xml:space="preserve">AKO-GK-113</t>
  </si>
  <si>
    <t xml:space="preserve">AKO-GK-114</t>
  </si>
  <si>
    <t xml:space="preserve">AKO-GK-115</t>
  </si>
  <si>
    <t xml:space="preserve">AKO-GK-116</t>
  </si>
  <si>
    <t xml:space="preserve">AKO-GK-117</t>
  </si>
  <si>
    <t xml:space="preserve">AKO-GK-118</t>
  </si>
  <si>
    <t xml:space="preserve">AKO-GK-119</t>
  </si>
  <si>
    <t xml:space="preserve">AKO-GK-120</t>
  </si>
  <si>
    <t xml:space="preserve">AKO-GK-121</t>
  </si>
  <si>
    <t xml:space="preserve">AKO-GK-122</t>
  </si>
  <si>
    <t xml:space="preserve">AKO-GK-123</t>
  </si>
  <si>
    <t xml:space="preserve">AKO-GK-124</t>
  </si>
  <si>
    <t xml:space="preserve">AKO-GK-125</t>
  </si>
  <si>
    <t xml:space="preserve">AKO-GK-126</t>
  </si>
  <si>
    <t xml:space="preserve">AKO-GK-127</t>
  </si>
  <si>
    <t xml:space="preserve">AKO-GK-128</t>
  </si>
  <si>
    <t xml:space="preserve">AKO-GK-129</t>
  </si>
  <si>
    <t xml:space="preserve">AKO-GK-130</t>
  </si>
  <si>
    <t xml:space="preserve">AKO-GK-131</t>
  </si>
  <si>
    <t xml:space="preserve">AKO-GK-132</t>
  </si>
  <si>
    <t xml:space="preserve">AKO-GK-133</t>
  </si>
  <si>
    <t xml:space="preserve">AKO-GK-134</t>
  </si>
  <si>
    <t xml:space="preserve">AKO-GK-135</t>
  </si>
  <si>
    <t xml:space="preserve">AKO-GK-136</t>
  </si>
  <si>
    <t xml:space="preserve">AKO-GK-137</t>
  </si>
  <si>
    <t xml:space="preserve">AKO-GK-138</t>
  </si>
  <si>
    <t xml:space="preserve">AKO-GK-139</t>
  </si>
  <si>
    <t xml:space="preserve">AKO-GK-140</t>
  </si>
  <si>
    <t xml:space="preserve">AKO-GK-141</t>
  </si>
  <si>
    <t xml:space="preserve">AKO-GK-142</t>
  </si>
  <si>
    <t xml:space="preserve">AKO-GK-143</t>
  </si>
  <si>
    <t xml:space="preserve">AKO-GK-144</t>
  </si>
  <si>
    <t xml:space="preserve">AKO-GK-145</t>
  </si>
  <si>
    <t xml:space="preserve">AKO-GK-146</t>
  </si>
  <si>
    <t xml:space="preserve">AKO-GK-147</t>
  </si>
  <si>
    <t xml:space="preserve">AKO-GK-148</t>
  </si>
  <si>
    <t xml:space="preserve">AKO-GK-149</t>
  </si>
  <si>
    <t xml:space="preserve">AKO-GK-150</t>
  </si>
  <si>
    <t xml:space="preserve">AKO-GK-151</t>
  </si>
  <si>
    <t xml:space="preserve">AKO-GK-152</t>
  </si>
  <si>
    <t xml:space="preserve">AKO-GK-153</t>
  </si>
  <si>
    <t xml:space="preserve">AKO-GK-154</t>
  </si>
  <si>
    <t xml:space="preserve">AKO-GK-155</t>
  </si>
  <si>
    <t xml:space="preserve">AKO-GK-156</t>
  </si>
  <si>
    <t xml:space="preserve">AKO-GK-157</t>
  </si>
  <si>
    <t xml:space="preserve">AKO-GK-158</t>
  </si>
  <si>
    <t xml:space="preserve">AKO-GK-159</t>
  </si>
  <si>
    <t xml:space="preserve">AKO-GK-160</t>
  </si>
  <si>
    <t xml:space="preserve">AKO-GK-161</t>
  </si>
  <si>
    <t xml:space="preserve">AKO-GK-162</t>
  </si>
  <si>
    <t xml:space="preserve">AKO-GK-163</t>
  </si>
  <si>
    <t xml:space="preserve">AKO-GK-164</t>
  </si>
  <si>
    <t xml:space="preserve">AKO-GK-165</t>
  </si>
  <si>
    <t xml:space="preserve">AKO-GK-166</t>
  </si>
  <si>
    <t xml:space="preserve">AKO-GK-167</t>
  </si>
  <si>
    <t xml:space="preserve">AKO-GK-168</t>
  </si>
  <si>
    <t xml:space="preserve">AKO-GK-169</t>
  </si>
  <si>
    <t xml:space="preserve">AKO-GK-170</t>
  </si>
  <si>
    <t xml:space="preserve">AKO-GK-171</t>
  </si>
  <si>
    <t xml:space="preserve">AKO-GK-172</t>
  </si>
  <si>
    <t xml:space="preserve">AKO-GK-173</t>
  </si>
  <si>
    <t xml:space="preserve">AKO-GK-174</t>
  </si>
  <si>
    <t xml:space="preserve">AKO-GK-175</t>
  </si>
  <si>
    <t xml:space="preserve">AKO-GK-176</t>
  </si>
  <si>
    <t xml:space="preserve">AKO-GK-177</t>
  </si>
  <si>
    <t xml:space="preserve">AKO-GK-178</t>
  </si>
  <si>
    <t xml:space="preserve">AKO-GK-179</t>
  </si>
  <si>
    <t xml:space="preserve">AKO-GK-180</t>
  </si>
  <si>
    <t xml:space="preserve">AKO-GK-181</t>
  </si>
  <si>
    <t xml:space="preserve">AKO-GK-182</t>
  </si>
  <si>
    <t xml:space="preserve">AKO-GK-183</t>
  </si>
  <si>
    <t xml:space="preserve">AKO-GK-184</t>
  </si>
  <si>
    <t xml:space="preserve">AKO-GK-185</t>
  </si>
  <si>
    <t xml:space="preserve">AKO-GK-186</t>
  </si>
  <si>
    <t xml:space="preserve">AKO-GK-187</t>
  </si>
  <si>
    <t xml:space="preserve">AKO-GK-188</t>
  </si>
  <si>
    <t xml:space="preserve">AKO-GK-189</t>
  </si>
  <si>
    <t xml:space="preserve">AKO-GK-190</t>
  </si>
  <si>
    <t xml:space="preserve">AKO-GK-191</t>
  </si>
  <si>
    <t xml:space="preserve">AKO-GK-192</t>
  </si>
  <si>
    <t xml:space="preserve">AKO-GK-193</t>
  </si>
  <si>
    <t xml:space="preserve">AKO-GK-194</t>
  </si>
  <si>
    <t xml:space="preserve">AKO-GK-195</t>
  </si>
  <si>
    <t xml:space="preserve">AKO-GK-196</t>
  </si>
  <si>
    <t xml:space="preserve">AKO-GK-197</t>
  </si>
  <si>
    <t xml:space="preserve">AKO-GK-198</t>
  </si>
  <si>
    <t xml:space="preserve">AKO-GK-199</t>
  </si>
  <si>
    <t xml:space="preserve">AKO-GK-200</t>
  </si>
  <si>
    <t xml:space="preserve">AKO-GK-201</t>
  </si>
  <si>
    <t xml:space="preserve">AKO-GK-202</t>
  </si>
  <si>
    <t xml:space="preserve">AKO-GK-203</t>
  </si>
  <si>
    <t xml:space="preserve">AKO-GK-204</t>
  </si>
  <si>
    <t xml:space="preserve">AKO-GK-205</t>
  </si>
  <si>
    <t xml:space="preserve">AKO-GK-206</t>
  </si>
  <si>
    <t xml:space="preserve">AKO-GK-207</t>
  </si>
  <si>
    <t xml:space="preserve">AKO-GK-208</t>
  </si>
  <si>
    <t xml:space="preserve">AKO-GK-209</t>
  </si>
  <si>
    <t xml:space="preserve">AKO-GK-210</t>
  </si>
  <si>
    <t xml:space="preserve">AKO-GK-211</t>
  </si>
  <si>
    <t xml:space="preserve">AKO-GK-212</t>
  </si>
  <si>
    <t xml:space="preserve">AKO-GK-213</t>
  </si>
  <si>
    <t xml:space="preserve">AKO-GK-214</t>
  </si>
  <si>
    <t xml:space="preserve">AKO-GK-215</t>
  </si>
  <si>
    <t xml:space="preserve">AKO-GK-216</t>
  </si>
  <si>
    <t xml:space="preserve">AKO-GK-217</t>
  </si>
  <si>
    <t xml:space="preserve">AKO-GK-218</t>
  </si>
  <si>
    <t xml:space="preserve">AKO-GK-219</t>
  </si>
  <si>
    <t xml:space="preserve">AKO-GK-220</t>
  </si>
  <si>
    <t xml:space="preserve">AKO-GK-221</t>
  </si>
  <si>
    <t xml:space="preserve">AKO-GK-222</t>
  </si>
  <si>
    <t xml:space="preserve">AKO-GK-223</t>
  </si>
  <si>
    <t xml:space="preserve">AKO-GK-224</t>
  </si>
  <si>
    <t xml:space="preserve">AKO-GK-225</t>
  </si>
  <si>
    <t xml:space="preserve">AKO-GK-226</t>
  </si>
  <si>
    <t xml:space="preserve">AKO-GK-227</t>
  </si>
  <si>
    <t xml:space="preserve">AKO-GK-228</t>
  </si>
  <si>
    <t xml:space="preserve">AKO-GK-229</t>
  </si>
  <si>
    <t xml:space="preserve">AKO-GK-230</t>
  </si>
  <si>
    <t xml:space="preserve">AKO-GK-231</t>
  </si>
  <si>
    <t xml:space="preserve">AKO-GK-232</t>
  </si>
  <si>
    <t xml:space="preserve">AKO-GK-233</t>
  </si>
  <si>
    <t xml:space="preserve">AKO-GK-234</t>
  </si>
  <si>
    <t xml:space="preserve">AKO-GK-235</t>
  </si>
  <si>
    <t xml:space="preserve">AKO-GK-236</t>
  </si>
  <si>
    <t xml:space="preserve">AKO-GK-237</t>
  </si>
  <si>
    <t xml:space="preserve">AKO-GK-238</t>
  </si>
  <si>
    <t xml:space="preserve">AKO-GK-239</t>
  </si>
  <si>
    <t xml:space="preserve">AKO-GK-240</t>
  </si>
  <si>
    <t xml:space="preserve">AKO-GK-241</t>
  </si>
  <si>
    <t xml:space="preserve">AKO-GK-242</t>
  </si>
  <si>
    <t xml:space="preserve">AKO-GK-243</t>
  </si>
  <si>
    <t xml:space="preserve">AKO-GK-244</t>
  </si>
  <si>
    <t xml:space="preserve">AKO-GK-245</t>
  </si>
  <si>
    <t xml:space="preserve">AKO-GK-246</t>
  </si>
  <si>
    <t xml:space="preserve">AKO-GK-247</t>
  </si>
  <si>
    <t xml:space="preserve">AKO-GK-248</t>
  </si>
  <si>
    <t xml:space="preserve">AKO-GK-249</t>
  </si>
  <si>
    <t xml:space="preserve">AKO-GK-250</t>
  </si>
  <si>
    <t xml:space="preserve">AKO-GK-251</t>
  </si>
  <si>
    <t xml:space="preserve">AKO-GK-252</t>
  </si>
  <si>
    <t xml:space="preserve">AKO-GK-253</t>
  </si>
  <si>
    <t xml:space="preserve">AKO-GK-254</t>
  </si>
  <si>
    <t xml:space="preserve">AKO-GK-255</t>
  </si>
  <si>
    <t xml:space="preserve">AKO-GK-256</t>
  </si>
  <si>
    <t xml:space="preserve">AKO-GK-257</t>
  </si>
  <si>
    <t xml:space="preserve">AKO-GK-258</t>
  </si>
  <si>
    <t xml:space="preserve">AKO-GK-259</t>
  </si>
  <si>
    <t xml:space="preserve">AKO-GK-260</t>
  </si>
  <si>
    <t xml:space="preserve">AKO-GK-261</t>
  </si>
  <si>
    <t xml:space="preserve">AKO-GK-262</t>
  </si>
  <si>
    <t xml:space="preserve">AKO-GK-263</t>
  </si>
  <si>
    <t xml:space="preserve">AKO-GK-264</t>
  </si>
  <si>
    <t xml:space="preserve">AKO-GK-265</t>
  </si>
  <si>
    <t xml:space="preserve">AKO-GK-266</t>
  </si>
  <si>
    <t xml:space="preserve">AKO-GK-267</t>
  </si>
  <si>
    <t xml:space="preserve">AKO-GK-268</t>
  </si>
  <si>
    <t xml:space="preserve">AKO-GK-269</t>
  </si>
  <si>
    <t xml:space="preserve">AKO-GK-270</t>
  </si>
  <si>
    <t xml:space="preserve">AKO-GK-271</t>
  </si>
  <si>
    <t xml:space="preserve">AKO-GK-272</t>
  </si>
  <si>
    <t xml:space="preserve">AKO-GK-273</t>
  </si>
  <si>
    <t xml:space="preserve">AKO-GK-274</t>
  </si>
  <si>
    <t xml:space="preserve">AKO-GK-275</t>
  </si>
  <si>
    <t xml:space="preserve">AKO-GK-276</t>
  </si>
  <si>
    <t xml:space="preserve">AKO-GK-277</t>
  </si>
  <si>
    <t xml:space="preserve">AKO-GK-278</t>
  </si>
  <si>
    <t xml:space="preserve">AKO-GK-279</t>
  </si>
  <si>
    <t xml:space="preserve">AKO-GK-280</t>
  </si>
  <si>
    <t xml:space="preserve">AKO-GK-281</t>
  </si>
  <si>
    <t xml:space="preserve">AKO-GK-282</t>
  </si>
  <si>
    <t xml:space="preserve">AKO-GK-283</t>
  </si>
  <si>
    <t xml:space="preserve">AKO-GK-284</t>
  </si>
  <si>
    <t xml:space="preserve">AKO-GK-285</t>
  </si>
  <si>
    <t xml:space="preserve">AKO-GK-286</t>
  </si>
  <si>
    <t xml:space="preserve">AKO-GK-287</t>
  </si>
  <si>
    <t xml:space="preserve">AKO-GK-288</t>
  </si>
  <si>
    <t xml:space="preserve">AKO-GK-289</t>
  </si>
  <si>
    <t xml:space="preserve">AKO-GK-290</t>
  </si>
  <si>
    <t xml:space="preserve">AKO-GK-291</t>
  </si>
  <si>
    <t xml:space="preserve">AKO-GK-292</t>
  </si>
  <si>
    <t xml:space="preserve">AKO-GK-293</t>
  </si>
  <si>
    <t xml:space="preserve">AKO-GK-294</t>
  </si>
  <si>
    <t xml:space="preserve">AKO-GK-295</t>
  </si>
  <si>
    <t xml:space="preserve">AKO-GK-296</t>
  </si>
  <si>
    <t xml:space="preserve">AKO-GK-297</t>
  </si>
  <si>
    <t xml:space="preserve">AKO-GK-298</t>
  </si>
  <si>
    <t xml:space="preserve">AKO-GK-299</t>
  </si>
  <si>
    <t xml:space="preserve">AKO-GK-300</t>
  </si>
  <si>
    <t xml:space="preserve">Тип (сиденье / цепь / гнездо / подвес)</t>
  </si>
  <si>
    <t xml:space="preserve">Высота / толщина, мм</t>
  </si>
  <si>
    <t xml:space="preserve">Возраст</t>
  </si>
  <si>
    <t xml:space="preserve">Круглое резиновое сиденье Ø280×65 мм для канатных конструкций</t>
  </si>
  <si>
    <t xml:space="preserve">Круглое резиновое сиденье диаметром 280 мм и высотой 65 мм. Используется в качестве сиденья или опорного уступа в канатных игровых конструкциях. Поставляется без подвесов и крепежных элементов.</t>
  </si>
  <si>
    <t xml:space="preserve">Круглое сиденье изготовлено из резины и предназначено для установки в составе детских игровых и канатных конструкций. Может использоваться как сиденье или уступ для лазания.
Монтаж выполняется с применением соответствующих шайб и алюминиевых резьбовых втулок. Для крепления могут использоваться шайбы, а также алюминиевые втулки.</t>
  </si>
  <si>
    <t xml:space="preserve">Резина</t>
  </si>
  <si>
    <t xml:space="preserve">S04-176</t>
  </si>
  <si>
    <t xml:space="preserve">BS-1 №10</t>
  </si>
  <si>
    <t xml:space="preserve">Гибкое пластиковое сиденье 660×139 мм с цепными подвесами</t>
  </si>
  <si>
    <t xml:space="preserve">Сиденья</t>
  </si>
  <si>
    <t xml:space="preserve">Гибкое сиденье с цепными подвесами в частичном ПВХ-покрытии, крепёж в комплекте.</t>
  </si>
  <si>
    <t xml:space="preserve">Гибкое пластиковое сиденье размером 660×139×12 мм. Подвесы — металлические цепи с частичным ПВХ-покрытием (защита рук). Комплект: сиденье, подвесы, монтажный крепёж.</t>
  </si>
  <si>
    <t xml:space="preserve">Сталь + ПВХ</t>
  </si>
  <si>
    <t xml:space="preserve">сиденье с подвесами</t>
  </si>
  <si>
    <t xml:space="preserve">BS-1 №11</t>
  </si>
  <si>
    <t xml:space="preserve">Качели «Гнездо» Ø1000 мм с подвесами, нагрузка до 250 кг</t>
  </si>
  <si>
    <t xml:space="preserve">Гнёзда</t>
  </si>
  <si>
    <t xml:space="preserve">Качели-гнездо Ø1000 мм: стальная рама в оплётке из каната Ø19 мм и сетка из армированного каната Ø16 мм.</t>
  </si>
  <si>
    <t xml:space="preserve">Качели «Гнездо» диаметром 1000 мм. Рама стальная, оплетена трёхпрядным канатом Ø19 мм, сетка — из четырёхпрядного армированного каната Ø16 мм. Длина подвесов 1390 мм. Максимальная нагрузка 250 кг.</t>
  </si>
  <si>
    <t xml:space="preserve">Сталь + канат ПП</t>
  </si>
  <si>
    <t xml:space="preserve">гнездо</t>
  </si>
  <si>
    <t xml:space="preserve">ИЗКНТ-00141</t>
  </si>
  <si>
    <t xml:space="preserve">SDN-1 №1; SDN-2-2 №8</t>
  </si>
  <si>
    <t xml:space="preserve">Пластиковое сиденье 420×165×85 мм с подвесами 1,8 м</t>
  </si>
  <si>
    <t xml:space="preserve">Сиденье из полиэтилена с канатными подвесами длиной 1,8 м, нагрузка до 70 кг.</t>
  </si>
  <si>
    <t xml:space="preserve">Пластиковое сиденье для качелей размером 420×165×85 мм. Подвесы из полиэтиленового каната длиной 1,8 м. Максимальная нагрузка 70 кг.</t>
  </si>
  <si>
    <t xml:space="preserve">BS-1 №5</t>
  </si>
  <si>
    <t xml:space="preserve">Сиденье-люлька Forto 450×355×251 мм (до 3 лет), без подвесов</t>
  </si>
  <si>
    <t xml:space="preserve">Люльки</t>
  </si>
  <si>
    <t xml:space="preserve">Детская люлька с вертикальными ограждениями и бортиком, ТЭП с алюминиевой пластиной внутри.</t>
  </si>
  <si>
    <t xml:space="preserve">Сиденье-люлька Forto для детей до 3 лет, размер 450×355×251 мм. Термоэластопласт (ТЭП) с внутренним усилением алюминиевой пластиной. Защитные вертикальные ограждения и бортик. Поставляется без подвесов.</t>
  </si>
  <si>
    <t xml:space="preserve">ТЭП + алюминий</t>
  </si>
  <si>
    <t xml:space="preserve">люлька</t>
  </si>
  <si>
    <t xml:space="preserve">до 3 лет</t>
  </si>
  <si>
    <t xml:space="preserve">BS-1 №7</t>
  </si>
  <si>
    <t xml:space="preserve">Сиденье-люлька Basic 440×175×219 мм (до 3 лет), без подвесов</t>
  </si>
  <si>
    <t xml:space="preserve">Люлька с нескользящим сиденьем, ограждениями и бортиком; металл в покрытии ТЭП.</t>
  </si>
  <si>
    <t xml:space="preserve">Сиденье-люлька Basic для детей до 3 лет, 440×175×219 мм. Прямоугольное нескользящее сиденье, вертикальные ограждения и защитный бортик. Все элементы из металла с покрытием ТЭП. Рекомендуются подвесы на нержавеющей цепи. Поставляется без подвесов.</t>
  </si>
  <si>
    <t xml:space="preserve">BS-1 №8</t>
  </si>
  <si>
    <t xml:space="preserve">Сиденье для качелей 440×175×25 мм, ТЭП, под крепёж М8</t>
  </si>
  <si>
    <t xml:space="preserve">Сиденье из ТЭП с алюминиевой пластиной, рифлёная нескользящая поверхность, 4 отв. Ø8,5 мм под М8.</t>
  </si>
  <si>
    <t xml:space="preserve">Сиденье без подвесов 440×175×25 мм. Термоэластопласт с внутренней алюминиевой пластиной, рифлёная нескользящая поверхность. 4 отверстия Ø8,5 мм под резьбовой крепёж М8 для подвесов.</t>
  </si>
  <si>
    <t xml:space="preserve">сиденье</t>
  </si>
  <si>
    <t xml:space="preserve">BS-1 №12</t>
  </si>
  <si>
    <t xml:space="preserve">Сиденье для качелей 438×174×26 мм, ТЭП, с дренажным отверстием, под М10</t>
  </si>
  <si>
    <t xml:space="preserve">Сиденье из ТЭП с алюминиевой пластиной и центральным дренажным отверстием, 4 отв. Ø11 мм под М10.</t>
  </si>
  <si>
    <t xml:space="preserve">Сиденье без подвесов 438×174×26 мм. Термоэластопласт с внутренней алюминиевой пластиной, центральное отверстие для стока воды. 4 отверстия Ø11 мм под резьбовой крепёж М10.</t>
  </si>
  <si>
    <t xml:space="preserve">BS-1 №13</t>
  </si>
  <si>
    <t xml:space="preserve">Сиденье для качелей из полиэтилена 440×178 мм</t>
  </si>
  <si>
    <t xml:space="preserve">Пластиковое сиденье для качелей 440×178 мм.</t>
  </si>
  <si>
    <t xml:space="preserve">Сиденье для качелей из полиэтилена, размер 440×178 мм. Поставляется без подвесов.</t>
  </si>
  <si>
    <t xml:space="preserve">SDN-1 №11</t>
  </si>
  <si>
    <t xml:space="preserve">AKO-KK-010</t>
  </si>
  <si>
    <t xml:space="preserve">AKO-KK-011</t>
  </si>
  <si>
    <t xml:space="preserve">AKO-KK-012</t>
  </si>
  <si>
    <t xml:space="preserve">AKO-KK-013</t>
  </si>
  <si>
    <t xml:space="preserve">AKO-KK-014</t>
  </si>
  <si>
    <t xml:space="preserve">AKO-KK-015</t>
  </si>
  <si>
    <t xml:space="preserve">AKO-KK-016</t>
  </si>
  <si>
    <t xml:space="preserve">AKO-KK-017</t>
  </si>
  <si>
    <t xml:space="preserve">AKO-KK-018</t>
  </si>
  <si>
    <t xml:space="preserve">AKO-KK-019</t>
  </si>
  <si>
    <t xml:space="preserve">AKO-KK-020</t>
  </si>
  <si>
    <t xml:space="preserve">AKO-KK-021</t>
  </si>
  <si>
    <t xml:space="preserve">AKO-KK-022</t>
  </si>
  <si>
    <t xml:space="preserve">AKO-KK-023</t>
  </si>
  <si>
    <t xml:space="preserve">AKO-KK-024</t>
  </si>
  <si>
    <t xml:space="preserve">AKO-KK-025</t>
  </si>
  <si>
    <t xml:space="preserve">AKO-KK-026</t>
  </si>
  <si>
    <t xml:space="preserve">AKO-KK-027</t>
  </si>
  <si>
    <t xml:space="preserve">AKO-KK-028</t>
  </si>
  <si>
    <t xml:space="preserve">AKO-KK-029</t>
  </si>
  <si>
    <t xml:space="preserve">AKO-KK-030</t>
  </si>
  <si>
    <t xml:space="preserve">AKO-KK-031</t>
  </si>
  <si>
    <t xml:space="preserve">AKO-KK-032</t>
  </si>
  <si>
    <t xml:space="preserve">AKO-KK-033</t>
  </si>
  <si>
    <t xml:space="preserve">AKO-KK-034</t>
  </si>
  <si>
    <t xml:space="preserve">AKO-KK-035</t>
  </si>
  <si>
    <t xml:space="preserve">AKO-KK-036</t>
  </si>
  <si>
    <t xml:space="preserve">AKO-KK-037</t>
  </si>
  <si>
    <t xml:space="preserve">AKO-KK-038</t>
  </si>
  <si>
    <t xml:space="preserve">AKO-KK-039</t>
  </si>
  <si>
    <t xml:space="preserve">AKO-KK-040</t>
  </si>
  <si>
    <t xml:space="preserve">AKO-KK-041</t>
  </si>
  <si>
    <t xml:space="preserve">AKO-KK-042</t>
  </si>
  <si>
    <t xml:space="preserve">AKO-KK-043</t>
  </si>
  <si>
    <t xml:space="preserve">AKO-KK-044</t>
  </si>
  <si>
    <t xml:space="preserve">AKO-KK-045</t>
  </si>
  <si>
    <t xml:space="preserve">AKO-KK-046</t>
  </si>
  <si>
    <t xml:space="preserve">AKO-KK-047</t>
  </si>
  <si>
    <t xml:space="preserve">AKO-KK-048</t>
  </si>
  <si>
    <t xml:space="preserve">AKO-KK-049</t>
  </si>
  <si>
    <t xml:space="preserve">AKO-KK-050</t>
  </si>
  <si>
    <t xml:space="preserve">AKO-KK-051</t>
  </si>
  <si>
    <t xml:space="preserve">AKO-KK-052</t>
  </si>
  <si>
    <t xml:space="preserve">AKO-KK-053</t>
  </si>
  <si>
    <t xml:space="preserve">AKO-KK-054</t>
  </si>
  <si>
    <t xml:space="preserve">AKO-KK-055</t>
  </si>
  <si>
    <t xml:space="preserve">AKO-KK-056</t>
  </si>
  <si>
    <t xml:space="preserve">AKO-KK-057</t>
  </si>
  <si>
    <t xml:space="preserve">AKO-KK-058</t>
  </si>
  <si>
    <t xml:space="preserve">AKO-KK-059</t>
  </si>
  <si>
    <t xml:space="preserve">AKO-KK-060</t>
  </si>
  <si>
    <t xml:space="preserve">AKO-KK-061</t>
  </si>
  <si>
    <t xml:space="preserve">AKO-KK-062</t>
  </si>
  <si>
    <t xml:space="preserve">AKO-KK-063</t>
  </si>
  <si>
    <t xml:space="preserve">AKO-KK-064</t>
  </si>
  <si>
    <t xml:space="preserve">AKO-KK-065</t>
  </si>
  <si>
    <t xml:space="preserve">AKO-KK-066</t>
  </si>
  <si>
    <t xml:space="preserve">AKO-KK-067</t>
  </si>
  <si>
    <t xml:space="preserve">AKO-KK-068</t>
  </si>
  <si>
    <t xml:space="preserve">AKO-KK-069</t>
  </si>
  <si>
    <t xml:space="preserve">AKO-KK-070</t>
  </si>
  <si>
    <t xml:space="preserve">AKO-KK-071</t>
  </si>
  <si>
    <t xml:space="preserve">AKO-KK-072</t>
  </si>
  <si>
    <t xml:space="preserve">AKO-KK-073</t>
  </si>
  <si>
    <t xml:space="preserve">AKO-KK-074</t>
  </si>
  <si>
    <t xml:space="preserve">AKO-KK-075</t>
  </si>
  <si>
    <t xml:space="preserve">AKO-KK-076</t>
  </si>
  <si>
    <t xml:space="preserve">AKO-KK-077</t>
  </si>
  <si>
    <t xml:space="preserve">AKO-KK-078</t>
  </si>
  <si>
    <t xml:space="preserve">AKO-KK-079</t>
  </si>
  <si>
    <t xml:space="preserve">AKO-KK-080</t>
  </si>
  <si>
    <t xml:space="preserve">AKO-KK-081</t>
  </si>
  <si>
    <t xml:space="preserve">AKO-KK-082</t>
  </si>
  <si>
    <t xml:space="preserve">AKO-KK-083</t>
  </si>
  <si>
    <t xml:space="preserve">AKO-KK-084</t>
  </si>
  <si>
    <t xml:space="preserve">AKO-KK-085</t>
  </si>
  <si>
    <t xml:space="preserve">AKO-KK-086</t>
  </si>
  <si>
    <t xml:space="preserve">AKO-KK-087</t>
  </si>
  <si>
    <t xml:space="preserve">AKO-KK-088</t>
  </si>
  <si>
    <t xml:space="preserve">AKO-KK-089</t>
  </si>
  <si>
    <t xml:space="preserve">AKO-KK-090</t>
  </si>
  <si>
    <t xml:space="preserve">AKO-KK-091</t>
  </si>
  <si>
    <t xml:space="preserve">AKO-KK-092</t>
  </si>
  <si>
    <t xml:space="preserve">AKO-KK-093</t>
  </si>
  <si>
    <t xml:space="preserve">AKO-KK-094</t>
  </si>
  <si>
    <t xml:space="preserve">AKO-KK-095</t>
  </si>
  <si>
    <t xml:space="preserve">AKO-KK-096</t>
  </si>
  <si>
    <t xml:space="preserve">AKO-KK-097</t>
  </si>
  <si>
    <t xml:space="preserve">AKO-KK-098</t>
  </si>
  <si>
    <t xml:space="preserve">AKO-KK-099</t>
  </si>
  <si>
    <t xml:space="preserve">AKO-KK-100</t>
  </si>
  <si>
    <t xml:space="preserve">AKO-KK-101</t>
  </si>
  <si>
    <t xml:space="preserve">AKO-KK-102</t>
  </si>
  <si>
    <t xml:space="preserve">AKO-KK-103</t>
  </si>
  <si>
    <t xml:space="preserve">AKO-KK-104</t>
  </si>
  <si>
    <t xml:space="preserve">AKO-KK-105</t>
  </si>
  <si>
    <t xml:space="preserve">AKO-KK-106</t>
  </si>
  <si>
    <t xml:space="preserve">AKO-KK-107</t>
  </si>
  <si>
    <t xml:space="preserve">AKO-KK-108</t>
  </si>
  <si>
    <t xml:space="preserve">AKO-KK-109</t>
  </si>
  <si>
    <t xml:space="preserve">AKO-KK-110</t>
  </si>
  <si>
    <t xml:space="preserve">AKO-KK-111</t>
  </si>
  <si>
    <t xml:space="preserve">AKO-KK-112</t>
  </si>
  <si>
    <t xml:space="preserve">AKO-KK-113</t>
  </si>
  <si>
    <t xml:space="preserve">AKO-KK-114</t>
  </si>
  <si>
    <t xml:space="preserve">AKO-KK-115</t>
  </si>
  <si>
    <t xml:space="preserve">AKO-KK-116</t>
  </si>
  <si>
    <t xml:space="preserve">AKO-KK-117</t>
  </si>
  <si>
    <t xml:space="preserve">AKO-KK-118</t>
  </si>
  <si>
    <t xml:space="preserve">AKO-KK-119</t>
  </si>
  <si>
    <t xml:space="preserve">AKO-KK-120</t>
  </si>
  <si>
    <t xml:space="preserve">AKO-KK-121</t>
  </si>
  <si>
    <t xml:space="preserve">AKO-KK-122</t>
  </si>
  <si>
    <t xml:space="preserve">AKO-KK-123</t>
  </si>
  <si>
    <t xml:space="preserve">AKO-KK-124</t>
  </si>
  <si>
    <t xml:space="preserve">AKO-KK-125</t>
  </si>
  <si>
    <t xml:space="preserve">AKO-KK-126</t>
  </si>
  <si>
    <t xml:space="preserve">AKO-KK-127</t>
  </si>
  <si>
    <t xml:space="preserve">AKO-KK-128</t>
  </si>
  <si>
    <t xml:space="preserve">AKO-KK-129</t>
  </si>
  <si>
    <t xml:space="preserve">AKO-KK-130</t>
  </si>
  <si>
    <t xml:space="preserve">AKO-KK-131</t>
  </si>
  <si>
    <t xml:space="preserve">AKO-KK-132</t>
  </si>
  <si>
    <t xml:space="preserve">AKO-KK-133</t>
  </si>
  <si>
    <t xml:space="preserve">AKO-KK-134</t>
  </si>
  <si>
    <t xml:space="preserve">AKO-KK-135</t>
  </si>
  <si>
    <t xml:space="preserve">AKO-KK-136</t>
  </si>
  <si>
    <t xml:space="preserve">AKO-KK-137</t>
  </si>
  <si>
    <t xml:space="preserve">AKO-KK-138</t>
  </si>
  <si>
    <t xml:space="preserve">AKO-KK-139</t>
  </si>
  <si>
    <t xml:space="preserve">AKO-KK-140</t>
  </si>
  <si>
    <t xml:space="preserve">AKO-KK-141</t>
  </si>
  <si>
    <t xml:space="preserve">AKO-KK-142</t>
  </si>
  <si>
    <t xml:space="preserve">AKO-KK-143</t>
  </si>
  <si>
    <t xml:space="preserve">AKO-KK-144</t>
  </si>
  <si>
    <t xml:space="preserve">AKO-KK-145</t>
  </si>
  <si>
    <t xml:space="preserve">AKO-KK-146</t>
  </si>
  <si>
    <t xml:space="preserve">AKO-KK-147</t>
  </si>
  <si>
    <t xml:space="preserve">AKO-KK-148</t>
  </si>
  <si>
    <t xml:space="preserve">AKO-KK-149</t>
  </si>
  <si>
    <t xml:space="preserve">AKO-KK-150</t>
  </si>
  <si>
    <t xml:space="preserve">AKO-KK-151</t>
  </si>
  <si>
    <t xml:space="preserve">AKO-KK-152</t>
  </si>
  <si>
    <t xml:space="preserve">AKO-KK-153</t>
  </si>
  <si>
    <t xml:space="preserve">AKO-KK-154</t>
  </si>
  <si>
    <t xml:space="preserve">AKO-KK-155</t>
  </si>
  <si>
    <t xml:space="preserve">AKO-KK-156</t>
  </si>
  <si>
    <t xml:space="preserve">AKO-KK-157</t>
  </si>
  <si>
    <t xml:space="preserve">AKO-KK-158</t>
  </si>
  <si>
    <t xml:space="preserve">AKO-KK-159</t>
  </si>
  <si>
    <t xml:space="preserve">AKO-KK-160</t>
  </si>
  <si>
    <t xml:space="preserve">AKO-KK-161</t>
  </si>
  <si>
    <t xml:space="preserve">AKO-KK-162</t>
  </si>
  <si>
    <t xml:space="preserve">AKO-KK-163</t>
  </si>
  <si>
    <t xml:space="preserve">AKO-KK-164</t>
  </si>
  <si>
    <t xml:space="preserve">AKO-KK-165</t>
  </si>
  <si>
    <t xml:space="preserve">AKO-KK-166</t>
  </si>
  <si>
    <t xml:space="preserve">AKO-KK-167</t>
  </si>
  <si>
    <t xml:space="preserve">AKO-KK-168</t>
  </si>
  <si>
    <t xml:space="preserve">AKO-KK-169</t>
  </si>
  <si>
    <t xml:space="preserve">AKO-KK-170</t>
  </si>
  <si>
    <t xml:space="preserve">AKO-KK-171</t>
  </si>
  <si>
    <t xml:space="preserve">AKO-KK-172</t>
  </si>
  <si>
    <t xml:space="preserve">AKO-KK-173</t>
  </si>
  <si>
    <t xml:space="preserve">AKO-KK-174</t>
  </si>
  <si>
    <t xml:space="preserve">AKO-KK-175</t>
  </si>
  <si>
    <t xml:space="preserve">AKO-KK-176</t>
  </si>
  <si>
    <t xml:space="preserve">AKO-KK-177</t>
  </si>
  <si>
    <t xml:space="preserve">AKO-KK-178</t>
  </si>
  <si>
    <t xml:space="preserve">AKO-KK-179</t>
  </si>
  <si>
    <t xml:space="preserve">AKO-KK-180</t>
  </si>
  <si>
    <t xml:space="preserve">AKO-KK-181</t>
  </si>
  <si>
    <t xml:space="preserve">AKO-KK-182</t>
  </si>
  <si>
    <t xml:space="preserve">AKO-KK-183</t>
  </si>
  <si>
    <t xml:space="preserve">AKO-KK-184</t>
  </si>
  <si>
    <t xml:space="preserve">AKO-KK-185</t>
  </si>
  <si>
    <t xml:space="preserve">AKO-KK-186</t>
  </si>
  <si>
    <t xml:space="preserve">AKO-KK-187</t>
  </si>
  <si>
    <t xml:space="preserve">AKO-KK-188</t>
  </si>
  <si>
    <t xml:space="preserve">AKO-KK-189</t>
  </si>
  <si>
    <t xml:space="preserve">AKO-KK-190</t>
  </si>
  <si>
    <t xml:space="preserve">AKO-KK-191</t>
  </si>
  <si>
    <t xml:space="preserve">AKO-KK-192</t>
  </si>
  <si>
    <t xml:space="preserve">AKO-KK-193</t>
  </si>
  <si>
    <t xml:space="preserve">AKO-KK-194</t>
  </si>
  <si>
    <t xml:space="preserve">AKO-KK-195</t>
  </si>
  <si>
    <t xml:space="preserve">AKO-KK-196</t>
  </si>
  <si>
    <t xml:space="preserve">AKO-KK-197</t>
  </si>
  <si>
    <t xml:space="preserve">AKO-KK-198</t>
  </si>
  <si>
    <t xml:space="preserve">AKO-KK-199</t>
  </si>
  <si>
    <t xml:space="preserve">AKO-KK-200</t>
  </si>
  <si>
    <t xml:space="preserve">AKO-KK-201</t>
  </si>
  <si>
    <t xml:space="preserve">AKO-KK-202</t>
  </si>
  <si>
    <t xml:space="preserve">AKO-KK-203</t>
  </si>
  <si>
    <t xml:space="preserve">AKO-KK-204</t>
  </si>
  <si>
    <t xml:space="preserve">AKO-KK-205</t>
  </si>
  <si>
    <t xml:space="preserve">AKO-KK-206</t>
  </si>
  <si>
    <t xml:space="preserve">AKO-KK-207</t>
  </si>
  <si>
    <t xml:space="preserve">AKO-KK-208</t>
  </si>
  <si>
    <t xml:space="preserve">AKO-KK-209</t>
  </si>
  <si>
    <t xml:space="preserve">AKO-KK-210</t>
  </si>
  <si>
    <t xml:space="preserve">AKO-KK-211</t>
  </si>
  <si>
    <t xml:space="preserve">AKO-KK-212</t>
  </si>
  <si>
    <t xml:space="preserve">AKO-KK-213</t>
  </si>
  <si>
    <t xml:space="preserve">AKO-KK-214</t>
  </si>
  <si>
    <t xml:space="preserve">AKO-KK-215</t>
  </si>
  <si>
    <t xml:space="preserve">AKO-KK-216</t>
  </si>
  <si>
    <t xml:space="preserve">AKO-KK-217</t>
  </si>
  <si>
    <t xml:space="preserve">AKO-KK-218</t>
  </si>
  <si>
    <t xml:space="preserve">AKO-KK-219</t>
  </si>
  <si>
    <t xml:space="preserve">AKO-KK-220</t>
  </si>
  <si>
    <t xml:space="preserve">AKO-KK-221</t>
  </si>
  <si>
    <t xml:space="preserve">AKO-KK-222</t>
  </si>
  <si>
    <t xml:space="preserve">AKO-KK-223</t>
  </si>
  <si>
    <t xml:space="preserve">AKO-KK-224</t>
  </si>
  <si>
    <t xml:space="preserve">AKO-KK-225</t>
  </si>
  <si>
    <t xml:space="preserve">AKO-KK-226</t>
  </si>
  <si>
    <t xml:space="preserve">AKO-KK-227</t>
  </si>
  <si>
    <t xml:space="preserve">AKO-KK-228</t>
  </si>
  <si>
    <t xml:space="preserve">AKO-KK-229</t>
  </si>
  <si>
    <t xml:space="preserve">AKO-KK-230</t>
  </si>
  <si>
    <t xml:space="preserve">AKO-KK-231</t>
  </si>
  <si>
    <t xml:space="preserve">AKO-KK-232</t>
  </si>
  <si>
    <t xml:space="preserve">AKO-KK-233</t>
  </si>
  <si>
    <t xml:space="preserve">AKO-KK-234</t>
  </si>
  <si>
    <t xml:space="preserve">AKO-KK-235</t>
  </si>
  <si>
    <t xml:space="preserve">AKO-KK-236</t>
  </si>
  <si>
    <t xml:space="preserve">AKO-KK-237</t>
  </si>
  <si>
    <t xml:space="preserve">AKO-KK-238</t>
  </si>
  <si>
    <t xml:space="preserve">AKO-KK-239</t>
  </si>
  <si>
    <t xml:space="preserve">AKO-KK-240</t>
  </si>
  <si>
    <t xml:space="preserve">AKO-KK-241</t>
  </si>
  <si>
    <t xml:space="preserve">AKO-KK-242</t>
  </si>
  <si>
    <t xml:space="preserve">AKO-KK-243</t>
  </si>
  <si>
    <t xml:space="preserve">AKO-KK-244</t>
  </si>
  <si>
    <t xml:space="preserve">AKO-KK-245</t>
  </si>
  <si>
    <t xml:space="preserve">AKO-KK-246</t>
  </si>
  <si>
    <t xml:space="preserve">AKO-KK-247</t>
  </si>
  <si>
    <t xml:space="preserve">AKO-KK-248</t>
  </si>
  <si>
    <t xml:space="preserve">AKO-KK-249</t>
  </si>
  <si>
    <t xml:space="preserve">AKO-KK-250</t>
  </si>
  <si>
    <t xml:space="preserve">AKO-KK-251</t>
  </si>
  <si>
    <t xml:space="preserve">AKO-KK-252</t>
  </si>
  <si>
    <t xml:space="preserve">AKO-KK-253</t>
  </si>
  <si>
    <t xml:space="preserve">AKO-KK-254</t>
  </si>
  <si>
    <t xml:space="preserve">AKO-KK-255</t>
  </si>
  <si>
    <t xml:space="preserve">AKO-KK-256</t>
  </si>
  <si>
    <t xml:space="preserve">AKO-KK-257</t>
  </si>
  <si>
    <t xml:space="preserve">AKO-KK-258</t>
  </si>
  <si>
    <t xml:space="preserve">AKO-KK-259</t>
  </si>
  <si>
    <t xml:space="preserve">AKO-KK-260</t>
  </si>
  <si>
    <t xml:space="preserve">AKO-KK-261</t>
  </si>
  <si>
    <t xml:space="preserve">AKO-KK-262</t>
  </si>
  <si>
    <t xml:space="preserve">AKO-KK-263</t>
  </si>
  <si>
    <t xml:space="preserve">AKO-KK-264</t>
  </si>
  <si>
    <t xml:space="preserve">AKO-KK-265</t>
  </si>
  <si>
    <t xml:space="preserve">AKO-KK-266</t>
  </si>
  <si>
    <t xml:space="preserve">AKO-KK-267</t>
  </si>
  <si>
    <t xml:space="preserve">AKO-KK-268</t>
  </si>
  <si>
    <t xml:space="preserve">AKO-KK-269</t>
  </si>
  <si>
    <t xml:space="preserve">AKO-KK-270</t>
  </si>
  <si>
    <t xml:space="preserve">AKO-KK-271</t>
  </si>
  <si>
    <t xml:space="preserve">AKO-KK-272</t>
  </si>
  <si>
    <t xml:space="preserve">AKO-KK-273</t>
  </si>
  <si>
    <t xml:space="preserve">AKO-KK-274</t>
  </si>
  <si>
    <t xml:space="preserve">AKO-KK-275</t>
  </si>
  <si>
    <t xml:space="preserve">AKO-KK-276</t>
  </si>
  <si>
    <t xml:space="preserve">AKO-KK-277</t>
  </si>
  <si>
    <t xml:space="preserve">AKO-KK-278</t>
  </si>
  <si>
    <t xml:space="preserve">AKO-KK-279</t>
  </si>
  <si>
    <t xml:space="preserve">AKO-KK-280</t>
  </si>
  <si>
    <t xml:space="preserve">AKO-KK-281</t>
  </si>
  <si>
    <t xml:space="preserve">AKO-KK-282</t>
  </si>
  <si>
    <t xml:space="preserve">AKO-KK-283</t>
  </si>
  <si>
    <t xml:space="preserve">AKO-KK-284</t>
  </si>
  <si>
    <t xml:space="preserve">AKO-KK-285</t>
  </si>
  <si>
    <t xml:space="preserve">AKO-KK-286</t>
  </si>
  <si>
    <t xml:space="preserve">AKO-KK-287</t>
  </si>
  <si>
    <t xml:space="preserve">AKO-KK-288</t>
  </si>
  <si>
    <t xml:space="preserve">AKO-KK-289</t>
  </si>
  <si>
    <t xml:space="preserve">AKO-KK-290</t>
  </si>
  <si>
    <t xml:space="preserve">AKO-KK-291</t>
  </si>
  <si>
    <t xml:space="preserve">AKO-KK-292</t>
  </si>
  <si>
    <t xml:space="preserve">AKO-KK-293</t>
  </si>
  <si>
    <t xml:space="preserve">AKO-KK-294</t>
  </si>
  <si>
    <t xml:space="preserve">AKO-KK-295</t>
  </si>
  <si>
    <t xml:space="preserve">AKO-KK-296</t>
  </si>
  <si>
    <t xml:space="preserve">AKO-KK-297</t>
  </si>
  <si>
    <t xml:space="preserve">AKO-KK-298</t>
  </si>
  <si>
    <t xml:space="preserve">AKO-KK-299</t>
  </si>
  <si>
    <t xml:space="preserve">AKO-KK-300</t>
  </si>
  <si>
    <t xml:space="preserve">Размер (XS / S / M / L / XL)</t>
  </si>
  <si>
    <t xml:space="preserve">Форма / тип хвата</t>
  </si>
  <si>
    <t xml:space="preserve">Длина × ширина, мм</t>
  </si>
  <si>
    <t xml:space="preserve">Крепёж (болт М10 и т.п.)</t>
  </si>
  <si>
    <t xml:space="preserve">Кол-во в наборе, шт</t>
  </si>
  <si>
    <t xml:space="preserve">Текстура</t>
  </si>
  <si>
    <t xml:space="preserve">Зацеп скалодромный нейлоновый 103×100 мм</t>
  </si>
  <si>
    <t xml:space="preserve">Зацепы</t>
  </si>
  <si>
    <t xml:space="preserve">Нейлоновый зацеп для детского скалодрома, 103×100 мм, отверстие под болт Ø10 мм.</t>
  </si>
  <si>
    <t xml:space="preserve">Скалодромный зацеп из нейлона. Габарит 103×100 мм, внутренний диаметр отверстия 10 мм. 5 цветов.</t>
  </si>
  <si>
    <t xml:space="preserve">M</t>
  </si>
  <si>
    <t xml:space="preserve">103×100</t>
  </si>
  <si>
    <t xml:space="preserve">болт М10</t>
  </si>
  <si>
    <t xml:space="preserve">SDN-1 №12; SDN-1 №13; SDN-1 №14; SDN-1 №15; SDN-1 №16</t>
  </si>
  <si>
    <t xml:space="preserve">Набор малых скалодромных зацепов, 5 шт, с крепежом</t>
  </si>
  <si>
    <t xml:space="preserve">Наборы зацепов</t>
  </si>
  <si>
    <t xml:space="preserve">5 малых зацепов из композита разных цветов + крепёж, нагрузка до 70 кг.</t>
  </si>
  <si>
    <t xml:space="preserve">Малые зацепы для детских скалодромов из композитного материала. В каждом зацепе металлическая шайба под болт, болт вкручивается в закладной анкер, край фиксируется саморезом. Набор из 5 зацепов разных цветов с крепежом. Максимальная нагрузка 70 кг.</t>
  </si>
  <si>
    <t xml:space="preserve">Композит</t>
  </si>
  <si>
    <t xml:space="preserve">S</t>
  </si>
  <si>
    <t xml:space="preserve">болт + анкер + саморез</t>
  </si>
  <si>
    <t xml:space="preserve">BS-1 №18</t>
  </si>
  <si>
    <t xml:space="preserve">Пластиковая ручка-поручень 242×75 мм с крепежом</t>
  </si>
  <si>
    <t xml:space="preserve">Ручки</t>
  </si>
  <si>
    <t xml:space="preserve">Ручка для детских площадок и скалодромов, 242×75 мм, болты и заглушки в комплекте.</t>
  </si>
  <si>
    <t xml:space="preserve">Пластиковая ручка-поручень 242×75 мм для игровых комплексов и скалодромов. Комплект: ручка, болты, гайки, декоративные заглушки.</t>
  </si>
  <si>
    <t xml:space="preserve">ручка</t>
  </si>
  <si>
    <t xml:space="preserve">242×75</t>
  </si>
  <si>
    <t xml:space="preserve">2 болта</t>
  </si>
  <si>
    <t xml:space="preserve">QDF-1 №9</t>
  </si>
  <si>
    <t xml:space="preserve">AKO-ZS-004</t>
  </si>
  <si>
    <t xml:space="preserve">AKO-ZS-005</t>
  </si>
  <si>
    <t xml:space="preserve">AKO-ZS-006</t>
  </si>
  <si>
    <t xml:space="preserve">AKO-ZS-007</t>
  </si>
  <si>
    <t xml:space="preserve">AKO-ZS-008</t>
  </si>
  <si>
    <t xml:space="preserve">AKO-ZS-009</t>
  </si>
  <si>
    <t xml:space="preserve">AKO-ZS-010</t>
  </si>
  <si>
    <t xml:space="preserve">AKO-ZS-011</t>
  </si>
  <si>
    <t xml:space="preserve">AKO-ZS-012</t>
  </si>
  <si>
    <t xml:space="preserve">AKO-ZS-013</t>
  </si>
  <si>
    <t xml:space="preserve">AKO-ZS-014</t>
  </si>
  <si>
    <t xml:space="preserve">AKO-ZS-015</t>
  </si>
  <si>
    <t xml:space="preserve">AKO-ZS-016</t>
  </si>
  <si>
    <t xml:space="preserve">AKO-ZS-017</t>
  </si>
  <si>
    <t xml:space="preserve">AKO-ZS-018</t>
  </si>
  <si>
    <t xml:space="preserve">AKO-ZS-019</t>
  </si>
  <si>
    <t xml:space="preserve">AKO-ZS-020</t>
  </si>
  <si>
    <t xml:space="preserve">AKO-ZS-021</t>
  </si>
  <si>
    <t xml:space="preserve">AKO-ZS-022</t>
  </si>
  <si>
    <t xml:space="preserve">AKO-ZS-023</t>
  </si>
  <si>
    <t xml:space="preserve">AKO-ZS-024</t>
  </si>
  <si>
    <t xml:space="preserve">AKO-ZS-025</t>
  </si>
  <si>
    <t xml:space="preserve">AKO-ZS-026</t>
  </si>
  <si>
    <t xml:space="preserve">AKO-ZS-027</t>
  </si>
  <si>
    <t xml:space="preserve">AKO-ZS-028</t>
  </si>
  <si>
    <t xml:space="preserve">AKO-ZS-029</t>
  </si>
  <si>
    <t xml:space="preserve">AKO-ZS-030</t>
  </si>
  <si>
    <t xml:space="preserve">AKO-ZS-031</t>
  </si>
  <si>
    <t xml:space="preserve">AKO-ZS-032</t>
  </si>
  <si>
    <t xml:space="preserve">AKO-ZS-033</t>
  </si>
  <si>
    <t xml:space="preserve">AKO-ZS-034</t>
  </si>
  <si>
    <t xml:space="preserve">AKO-ZS-035</t>
  </si>
  <si>
    <t xml:space="preserve">AKO-ZS-036</t>
  </si>
  <si>
    <t xml:space="preserve">AKO-ZS-037</t>
  </si>
  <si>
    <t xml:space="preserve">AKO-ZS-038</t>
  </si>
  <si>
    <t xml:space="preserve">AKO-ZS-039</t>
  </si>
  <si>
    <t xml:space="preserve">AKO-ZS-040</t>
  </si>
  <si>
    <t xml:space="preserve">AKO-ZS-041</t>
  </si>
  <si>
    <t xml:space="preserve">AKO-ZS-042</t>
  </si>
  <si>
    <t xml:space="preserve">AKO-ZS-043</t>
  </si>
  <si>
    <t xml:space="preserve">AKO-ZS-044</t>
  </si>
  <si>
    <t xml:space="preserve">AKO-ZS-045</t>
  </si>
  <si>
    <t xml:space="preserve">AKO-ZS-046</t>
  </si>
  <si>
    <t xml:space="preserve">AKO-ZS-047</t>
  </si>
  <si>
    <t xml:space="preserve">AKO-ZS-048</t>
  </si>
  <si>
    <t xml:space="preserve">AKO-ZS-049</t>
  </si>
  <si>
    <t xml:space="preserve">AKO-ZS-050</t>
  </si>
  <si>
    <t xml:space="preserve">AKO-ZS-051</t>
  </si>
  <si>
    <t xml:space="preserve">AKO-ZS-052</t>
  </si>
  <si>
    <t xml:space="preserve">AKO-ZS-053</t>
  </si>
  <si>
    <t xml:space="preserve">AKO-ZS-054</t>
  </si>
  <si>
    <t xml:space="preserve">AKO-ZS-055</t>
  </si>
  <si>
    <t xml:space="preserve">AKO-ZS-056</t>
  </si>
  <si>
    <t xml:space="preserve">AKO-ZS-057</t>
  </si>
  <si>
    <t xml:space="preserve">AKO-ZS-058</t>
  </si>
  <si>
    <t xml:space="preserve">AKO-ZS-059</t>
  </si>
  <si>
    <t xml:space="preserve">AKO-ZS-060</t>
  </si>
  <si>
    <t xml:space="preserve">AKO-ZS-061</t>
  </si>
  <si>
    <t xml:space="preserve">AKO-ZS-062</t>
  </si>
  <si>
    <t xml:space="preserve">AKO-ZS-063</t>
  </si>
  <si>
    <t xml:space="preserve">AKO-ZS-064</t>
  </si>
  <si>
    <t xml:space="preserve">AKO-ZS-065</t>
  </si>
  <si>
    <t xml:space="preserve">AKO-ZS-066</t>
  </si>
  <si>
    <t xml:space="preserve">AKO-ZS-067</t>
  </si>
  <si>
    <t xml:space="preserve">AKO-ZS-068</t>
  </si>
  <si>
    <t xml:space="preserve">AKO-ZS-069</t>
  </si>
  <si>
    <t xml:space="preserve">AKO-ZS-070</t>
  </si>
  <si>
    <t xml:space="preserve">AKO-ZS-071</t>
  </si>
  <si>
    <t xml:space="preserve">AKO-ZS-072</t>
  </si>
  <si>
    <t xml:space="preserve">AKO-ZS-073</t>
  </si>
  <si>
    <t xml:space="preserve">AKO-ZS-074</t>
  </si>
  <si>
    <t xml:space="preserve">AKO-ZS-075</t>
  </si>
  <si>
    <t xml:space="preserve">AKO-ZS-076</t>
  </si>
  <si>
    <t xml:space="preserve">AKO-ZS-077</t>
  </si>
  <si>
    <t xml:space="preserve">AKO-ZS-078</t>
  </si>
  <si>
    <t xml:space="preserve">AKO-ZS-079</t>
  </si>
  <si>
    <t xml:space="preserve">AKO-ZS-080</t>
  </si>
  <si>
    <t xml:space="preserve">AKO-ZS-081</t>
  </si>
  <si>
    <t xml:space="preserve">AKO-ZS-082</t>
  </si>
  <si>
    <t xml:space="preserve">AKO-ZS-083</t>
  </si>
  <si>
    <t xml:space="preserve">AKO-ZS-084</t>
  </si>
  <si>
    <t xml:space="preserve">AKO-ZS-085</t>
  </si>
  <si>
    <t xml:space="preserve">AKO-ZS-086</t>
  </si>
  <si>
    <t xml:space="preserve">AKO-ZS-087</t>
  </si>
  <si>
    <t xml:space="preserve">AKO-ZS-088</t>
  </si>
  <si>
    <t xml:space="preserve">AKO-ZS-089</t>
  </si>
  <si>
    <t xml:space="preserve">AKO-ZS-090</t>
  </si>
  <si>
    <t xml:space="preserve">AKO-ZS-091</t>
  </si>
  <si>
    <t xml:space="preserve">AKO-ZS-092</t>
  </si>
  <si>
    <t xml:space="preserve">AKO-ZS-093</t>
  </si>
  <si>
    <t xml:space="preserve">AKO-ZS-094</t>
  </si>
  <si>
    <t xml:space="preserve">AKO-ZS-095</t>
  </si>
  <si>
    <t xml:space="preserve">AKO-ZS-096</t>
  </si>
  <si>
    <t xml:space="preserve">AKO-ZS-097</t>
  </si>
  <si>
    <t xml:space="preserve">AKO-ZS-098</t>
  </si>
  <si>
    <t xml:space="preserve">AKO-ZS-099</t>
  </si>
  <si>
    <t xml:space="preserve">AKO-ZS-100</t>
  </si>
  <si>
    <t xml:space="preserve">AKO-ZS-101</t>
  </si>
  <si>
    <t xml:space="preserve">AKO-ZS-102</t>
  </si>
  <si>
    <t xml:space="preserve">AKO-ZS-103</t>
  </si>
  <si>
    <t xml:space="preserve">AKO-ZS-104</t>
  </si>
  <si>
    <t xml:space="preserve">AKO-ZS-105</t>
  </si>
  <si>
    <t xml:space="preserve">AKO-ZS-106</t>
  </si>
  <si>
    <t xml:space="preserve">AKO-ZS-107</t>
  </si>
  <si>
    <t xml:space="preserve">AKO-ZS-108</t>
  </si>
  <si>
    <t xml:space="preserve">AKO-ZS-109</t>
  </si>
  <si>
    <t xml:space="preserve">AKO-ZS-110</t>
  </si>
  <si>
    <t xml:space="preserve">AKO-ZS-111</t>
  </si>
  <si>
    <t xml:space="preserve">AKO-ZS-112</t>
  </si>
  <si>
    <t xml:space="preserve">AKO-ZS-113</t>
  </si>
  <si>
    <t xml:space="preserve">AKO-ZS-114</t>
  </si>
  <si>
    <t xml:space="preserve">AKO-ZS-115</t>
  </si>
  <si>
    <t xml:space="preserve">AKO-ZS-116</t>
  </si>
  <si>
    <t xml:space="preserve">AKO-ZS-117</t>
  </si>
  <si>
    <t xml:space="preserve">AKO-ZS-118</t>
  </si>
  <si>
    <t xml:space="preserve">AKO-ZS-119</t>
  </si>
  <si>
    <t xml:space="preserve">AKO-ZS-120</t>
  </si>
  <si>
    <t xml:space="preserve">AKO-ZS-121</t>
  </si>
  <si>
    <t xml:space="preserve">AKO-ZS-122</t>
  </si>
  <si>
    <t xml:space="preserve">AKO-ZS-123</t>
  </si>
  <si>
    <t xml:space="preserve">AKO-ZS-124</t>
  </si>
  <si>
    <t xml:space="preserve">AKO-ZS-125</t>
  </si>
  <si>
    <t xml:space="preserve">AKO-ZS-126</t>
  </si>
  <si>
    <t xml:space="preserve">AKO-ZS-127</t>
  </si>
  <si>
    <t xml:space="preserve">AKO-ZS-128</t>
  </si>
  <si>
    <t xml:space="preserve">AKO-ZS-129</t>
  </si>
  <si>
    <t xml:space="preserve">AKO-ZS-130</t>
  </si>
  <si>
    <t xml:space="preserve">AKO-ZS-131</t>
  </si>
  <si>
    <t xml:space="preserve">AKO-ZS-132</t>
  </si>
  <si>
    <t xml:space="preserve">AKO-ZS-133</t>
  </si>
  <si>
    <t xml:space="preserve">AKO-ZS-134</t>
  </si>
  <si>
    <t xml:space="preserve">AKO-ZS-135</t>
  </si>
  <si>
    <t xml:space="preserve">AKO-ZS-136</t>
  </si>
  <si>
    <t xml:space="preserve">AKO-ZS-137</t>
  </si>
  <si>
    <t xml:space="preserve">AKO-ZS-138</t>
  </si>
  <si>
    <t xml:space="preserve">AKO-ZS-139</t>
  </si>
  <si>
    <t xml:space="preserve">AKO-ZS-140</t>
  </si>
  <si>
    <t xml:space="preserve">AKO-ZS-141</t>
  </si>
  <si>
    <t xml:space="preserve">AKO-ZS-142</t>
  </si>
  <si>
    <t xml:space="preserve">AKO-ZS-143</t>
  </si>
  <si>
    <t xml:space="preserve">AKO-ZS-144</t>
  </si>
  <si>
    <t xml:space="preserve">AKO-ZS-145</t>
  </si>
  <si>
    <t xml:space="preserve">AKO-ZS-146</t>
  </si>
  <si>
    <t xml:space="preserve">AKO-ZS-147</t>
  </si>
  <si>
    <t xml:space="preserve">AKO-ZS-148</t>
  </si>
  <si>
    <t xml:space="preserve">AKO-ZS-149</t>
  </si>
  <si>
    <t xml:space="preserve">AKO-ZS-150</t>
  </si>
  <si>
    <t xml:space="preserve">AKO-ZS-151</t>
  </si>
  <si>
    <t xml:space="preserve">AKO-ZS-152</t>
  </si>
  <si>
    <t xml:space="preserve">AKO-ZS-153</t>
  </si>
  <si>
    <t xml:space="preserve">AKO-ZS-154</t>
  </si>
  <si>
    <t xml:space="preserve">AKO-ZS-155</t>
  </si>
  <si>
    <t xml:space="preserve">AKO-ZS-156</t>
  </si>
  <si>
    <t xml:space="preserve">AKO-ZS-157</t>
  </si>
  <si>
    <t xml:space="preserve">AKO-ZS-158</t>
  </si>
  <si>
    <t xml:space="preserve">AKO-ZS-159</t>
  </si>
  <si>
    <t xml:space="preserve">AKO-ZS-160</t>
  </si>
  <si>
    <t xml:space="preserve">AKO-ZS-161</t>
  </si>
  <si>
    <t xml:space="preserve">AKO-ZS-162</t>
  </si>
  <si>
    <t xml:space="preserve">AKO-ZS-163</t>
  </si>
  <si>
    <t xml:space="preserve">AKO-ZS-164</t>
  </si>
  <si>
    <t xml:space="preserve">AKO-ZS-165</t>
  </si>
  <si>
    <t xml:space="preserve">AKO-ZS-166</t>
  </si>
  <si>
    <t xml:space="preserve">AKO-ZS-167</t>
  </si>
  <si>
    <t xml:space="preserve">AKO-ZS-168</t>
  </si>
  <si>
    <t xml:space="preserve">AKO-ZS-169</t>
  </si>
  <si>
    <t xml:space="preserve">AKO-ZS-170</t>
  </si>
  <si>
    <t xml:space="preserve">AKO-ZS-171</t>
  </si>
  <si>
    <t xml:space="preserve">AKO-ZS-172</t>
  </si>
  <si>
    <t xml:space="preserve">AKO-ZS-173</t>
  </si>
  <si>
    <t xml:space="preserve">AKO-ZS-174</t>
  </si>
  <si>
    <t xml:space="preserve">AKO-ZS-175</t>
  </si>
  <si>
    <t xml:space="preserve">AKO-ZS-176</t>
  </si>
  <si>
    <t xml:space="preserve">AKO-ZS-177</t>
  </si>
  <si>
    <t xml:space="preserve">AKO-ZS-178</t>
  </si>
  <si>
    <t xml:space="preserve">AKO-ZS-179</t>
  </si>
  <si>
    <t xml:space="preserve">AKO-ZS-180</t>
  </si>
  <si>
    <t xml:space="preserve">AKO-ZS-181</t>
  </si>
  <si>
    <t xml:space="preserve">AKO-ZS-182</t>
  </si>
  <si>
    <t xml:space="preserve">AKO-ZS-183</t>
  </si>
  <si>
    <t xml:space="preserve">AKO-ZS-184</t>
  </si>
  <si>
    <t xml:space="preserve">AKO-ZS-185</t>
  </si>
  <si>
    <t xml:space="preserve">AKO-ZS-186</t>
  </si>
  <si>
    <t xml:space="preserve">AKO-ZS-187</t>
  </si>
  <si>
    <t xml:space="preserve">AKO-ZS-188</t>
  </si>
  <si>
    <t xml:space="preserve">AKO-ZS-189</t>
  </si>
  <si>
    <t xml:space="preserve">AKO-ZS-190</t>
  </si>
  <si>
    <t xml:space="preserve">AKO-ZS-191</t>
  </si>
  <si>
    <t xml:space="preserve">AKO-ZS-192</t>
  </si>
  <si>
    <t xml:space="preserve">AKO-ZS-193</t>
  </si>
  <si>
    <t xml:space="preserve">AKO-ZS-194</t>
  </si>
  <si>
    <t xml:space="preserve">AKO-ZS-195</t>
  </si>
  <si>
    <t xml:space="preserve">AKO-ZS-196</t>
  </si>
  <si>
    <t xml:space="preserve">AKO-ZS-197</t>
  </si>
  <si>
    <t xml:space="preserve">AKO-ZS-198</t>
  </si>
  <si>
    <t xml:space="preserve">AKO-ZS-199</t>
  </si>
  <si>
    <t xml:space="preserve">AKO-ZS-200</t>
  </si>
  <si>
    <t xml:space="preserve">AKO-ZS-201</t>
  </si>
  <si>
    <t xml:space="preserve">AKO-ZS-202</t>
  </si>
  <si>
    <t xml:space="preserve">AKO-ZS-203</t>
  </si>
  <si>
    <t xml:space="preserve">AKO-ZS-204</t>
  </si>
  <si>
    <t xml:space="preserve">AKO-ZS-205</t>
  </si>
  <si>
    <t xml:space="preserve">AKO-ZS-206</t>
  </si>
  <si>
    <t xml:space="preserve">AKO-ZS-207</t>
  </si>
  <si>
    <t xml:space="preserve">AKO-ZS-208</t>
  </si>
  <si>
    <t xml:space="preserve">AKO-ZS-209</t>
  </si>
  <si>
    <t xml:space="preserve">AKO-ZS-210</t>
  </si>
  <si>
    <t xml:space="preserve">AKO-ZS-211</t>
  </si>
  <si>
    <t xml:space="preserve">AKO-ZS-212</t>
  </si>
  <si>
    <t xml:space="preserve">AKO-ZS-213</t>
  </si>
  <si>
    <t xml:space="preserve">AKO-ZS-214</t>
  </si>
  <si>
    <t xml:space="preserve">AKO-ZS-215</t>
  </si>
  <si>
    <t xml:space="preserve">AKO-ZS-216</t>
  </si>
  <si>
    <t xml:space="preserve">AKO-ZS-217</t>
  </si>
  <si>
    <t xml:space="preserve">AKO-ZS-218</t>
  </si>
  <si>
    <t xml:space="preserve">AKO-ZS-219</t>
  </si>
  <si>
    <t xml:space="preserve">AKO-ZS-220</t>
  </si>
  <si>
    <t xml:space="preserve">AKO-ZS-221</t>
  </si>
  <si>
    <t xml:space="preserve">AKO-ZS-222</t>
  </si>
  <si>
    <t xml:space="preserve">AKO-ZS-223</t>
  </si>
  <si>
    <t xml:space="preserve">AKO-ZS-224</t>
  </si>
  <si>
    <t xml:space="preserve">AKO-ZS-225</t>
  </si>
  <si>
    <t xml:space="preserve">AKO-ZS-226</t>
  </si>
  <si>
    <t xml:space="preserve">AKO-ZS-227</t>
  </si>
  <si>
    <t xml:space="preserve">AKO-ZS-228</t>
  </si>
  <si>
    <t xml:space="preserve">AKO-ZS-229</t>
  </si>
  <si>
    <t xml:space="preserve">AKO-ZS-230</t>
  </si>
  <si>
    <t xml:space="preserve">AKO-ZS-231</t>
  </si>
  <si>
    <t xml:space="preserve">AKO-ZS-232</t>
  </si>
  <si>
    <t xml:space="preserve">AKO-ZS-233</t>
  </si>
  <si>
    <t xml:space="preserve">AKO-ZS-234</t>
  </si>
  <si>
    <t xml:space="preserve">AKO-ZS-235</t>
  </si>
  <si>
    <t xml:space="preserve">AKO-ZS-236</t>
  </si>
  <si>
    <t xml:space="preserve">AKO-ZS-237</t>
  </si>
  <si>
    <t xml:space="preserve">AKO-ZS-238</t>
  </si>
  <si>
    <t xml:space="preserve">AKO-ZS-239</t>
  </si>
  <si>
    <t xml:space="preserve">AKO-ZS-240</t>
  </si>
  <si>
    <t xml:space="preserve">AKO-ZS-241</t>
  </si>
  <si>
    <t xml:space="preserve">AKO-ZS-242</t>
  </si>
  <si>
    <t xml:space="preserve">AKO-ZS-243</t>
  </si>
  <si>
    <t xml:space="preserve">AKO-ZS-244</t>
  </si>
  <si>
    <t xml:space="preserve">AKO-ZS-245</t>
  </si>
  <si>
    <t xml:space="preserve">AKO-ZS-246</t>
  </si>
  <si>
    <t xml:space="preserve">AKO-ZS-247</t>
  </si>
  <si>
    <t xml:space="preserve">AKO-ZS-248</t>
  </si>
  <si>
    <t xml:space="preserve">AKO-ZS-249</t>
  </si>
  <si>
    <t xml:space="preserve">AKO-ZS-250</t>
  </si>
  <si>
    <t xml:space="preserve">AKO-ZS-251</t>
  </si>
  <si>
    <t xml:space="preserve">AKO-ZS-252</t>
  </si>
  <si>
    <t xml:space="preserve">AKO-ZS-253</t>
  </si>
  <si>
    <t xml:space="preserve">AKO-ZS-254</t>
  </si>
  <si>
    <t xml:space="preserve">AKO-ZS-255</t>
  </si>
  <si>
    <t xml:space="preserve">AKO-ZS-256</t>
  </si>
  <si>
    <t xml:space="preserve">AKO-ZS-257</t>
  </si>
  <si>
    <t xml:space="preserve">AKO-ZS-258</t>
  </si>
  <si>
    <t xml:space="preserve">AKO-ZS-259</t>
  </si>
  <si>
    <t xml:space="preserve">AKO-ZS-260</t>
  </si>
  <si>
    <t xml:space="preserve">AKO-ZS-261</t>
  </si>
  <si>
    <t xml:space="preserve">AKO-ZS-262</t>
  </si>
  <si>
    <t xml:space="preserve">AKO-ZS-263</t>
  </si>
  <si>
    <t xml:space="preserve">AKO-ZS-264</t>
  </si>
  <si>
    <t xml:space="preserve">AKO-ZS-265</t>
  </si>
  <si>
    <t xml:space="preserve">AKO-ZS-266</t>
  </si>
  <si>
    <t xml:space="preserve">AKO-ZS-267</t>
  </si>
  <si>
    <t xml:space="preserve">AKO-ZS-268</t>
  </si>
  <si>
    <t xml:space="preserve">AKO-ZS-269</t>
  </si>
  <si>
    <t xml:space="preserve">AKO-ZS-270</t>
  </si>
  <si>
    <t xml:space="preserve">AKO-ZS-271</t>
  </si>
  <si>
    <t xml:space="preserve">AKO-ZS-272</t>
  </si>
  <si>
    <t xml:space="preserve">AKO-ZS-273</t>
  </si>
  <si>
    <t xml:space="preserve">AKO-ZS-274</t>
  </si>
  <si>
    <t xml:space="preserve">AKO-ZS-275</t>
  </si>
  <si>
    <t xml:space="preserve">AKO-ZS-276</t>
  </si>
  <si>
    <t xml:space="preserve">AKO-ZS-277</t>
  </si>
  <si>
    <t xml:space="preserve">AKO-ZS-278</t>
  </si>
  <si>
    <t xml:space="preserve">AKO-ZS-279</t>
  </si>
  <si>
    <t xml:space="preserve">AKO-ZS-280</t>
  </si>
  <si>
    <t xml:space="preserve">AKO-ZS-281</t>
  </si>
  <si>
    <t xml:space="preserve">AKO-ZS-282</t>
  </si>
  <si>
    <t xml:space="preserve">AKO-ZS-283</t>
  </si>
  <si>
    <t xml:space="preserve">AKO-ZS-284</t>
  </si>
  <si>
    <t xml:space="preserve">AKO-ZS-285</t>
  </si>
  <si>
    <t xml:space="preserve">AKO-ZS-286</t>
  </si>
  <si>
    <t xml:space="preserve">AKO-ZS-287</t>
  </si>
  <si>
    <t xml:space="preserve">AKO-ZS-288</t>
  </si>
  <si>
    <t xml:space="preserve">AKO-ZS-289</t>
  </si>
  <si>
    <t xml:space="preserve">AKO-ZS-290</t>
  </si>
  <si>
    <t xml:space="preserve">AKO-ZS-291</t>
  </si>
  <si>
    <t xml:space="preserve">AKO-ZS-292</t>
  </si>
  <si>
    <t xml:space="preserve">AKO-ZS-293</t>
  </si>
  <si>
    <t xml:space="preserve">AKO-ZS-294</t>
  </si>
  <si>
    <t xml:space="preserve">AKO-ZS-295</t>
  </si>
  <si>
    <t xml:space="preserve">AKO-ZS-296</t>
  </si>
  <si>
    <t xml:space="preserve">AKO-ZS-297</t>
  </si>
  <si>
    <t xml:space="preserve">AKO-ZS-298</t>
  </si>
  <si>
    <t xml:space="preserve">AKO-ZS-299</t>
  </si>
  <si>
    <t xml:space="preserve">AKO-ZS-300</t>
  </si>
  <si>
    <t xml:space="preserve">Тип (подвес / шарнир / кронштейн)</t>
  </si>
  <si>
    <t xml:space="preserve">Под трубу / балку Ø, мм</t>
  </si>
  <si>
    <t xml:space="preserve">Резьба / крепёж</t>
  </si>
  <si>
    <t xml:space="preserve">Подшипник / вкладыш</t>
  </si>
  <si>
    <t xml:space="preserve">Крепление для качелей из нержавеющей стали, пластина 90 мм</t>
  </si>
  <si>
    <t xml:space="preserve">Шарниры и крепления</t>
  </si>
  <si>
    <t xml:space="preserve">Шарнирное крепление качелей, пластина 90×6 мм, высота 84 мм.</t>
  </si>
  <si>
    <t xml:space="preserve">Крепление для подвесных качелей из нержавеющей стали. Длина монтажной пластины 90 мм, толщина 6 мм, общая высота 84 мм.</t>
  </si>
  <si>
    <t xml:space="preserve">шарнир</t>
  </si>
  <si>
    <t xml:space="preserve">без покрытия</t>
  </si>
  <si>
    <t xml:space="preserve">SDN-1 №2</t>
  </si>
  <si>
    <t xml:space="preserve">Крепление для качелей из нержавеющей стали 120×110 мм</t>
  </si>
  <si>
    <t xml:space="preserve">Усиленное крепление качелей из нержавеющей стали, 120×110 мм.</t>
  </si>
  <si>
    <t xml:space="preserve">Крепление для подвесных качелей из нержавеющей стали, габарит 120×110 мм.</t>
  </si>
  <si>
    <t xml:space="preserve">SDN-1 №8</t>
  </si>
  <si>
    <t xml:space="preserve">Подвес для качелей со шпилькой М12×60 мм, оцинкованный</t>
  </si>
  <si>
    <t xml:space="preserve">Подвесы</t>
  </si>
  <si>
    <t xml:space="preserve">Подвес для качелей и спортивного оборудования, шпилька М12×60, общая длина 140 мм.</t>
  </si>
  <si>
    <t xml:space="preserve">Подвес для детских качелей и спортивного оборудования. Метрическая шпилька М12×60 мм, общая длина 140 мм. Оцинкованная сталь. В комплекте шайба и 2 гайки.</t>
  </si>
  <si>
    <t xml:space="preserve">подвес</t>
  </si>
  <si>
    <t xml:space="preserve">М12×60</t>
  </si>
  <si>
    <t xml:space="preserve">цинк</t>
  </si>
  <si>
    <t xml:space="preserve">BS-1 №14</t>
  </si>
  <si>
    <t xml:space="preserve">Кронштейн для подвесных качелей 110×46×90 мм, кольцо Ø15 мм</t>
  </si>
  <si>
    <t xml:space="preserve">Кронштейны</t>
  </si>
  <si>
    <t xml:space="preserve">Кронштейн для подвесных качелей: пластина, втулка и кольцо Ø15 мм.</t>
  </si>
  <si>
    <t xml:space="preserve">Кронштейн для подвеса качелей 110×46×90 мм. Состоит из монтажной пластины, втулки и кольца диаметром 15 мм. Устойчив к атмосферным воздействиям и коррозии.</t>
  </si>
  <si>
    <t xml:space="preserve">кронштейн</t>
  </si>
  <si>
    <t xml:space="preserve">цинк (белый)</t>
  </si>
  <si>
    <t xml:space="preserve">BS-1 №15</t>
  </si>
  <si>
    <t xml:space="preserve">Подвес для качелей со шпилькой М10×90 мм, оцинкованный</t>
  </si>
  <si>
    <t xml:space="preserve">Подвес для качелей, шпилька М10×90, общая длина 100 мм, крепёж в комплекте.</t>
  </si>
  <si>
    <t xml:space="preserve">Подвес для детских качелей. Метрическая шпилька М10×90 мм, общая длина 100 мм. Оцинкованная сталь. В комплекте 2 шайбы и 2 гайки.</t>
  </si>
  <si>
    <t xml:space="preserve">М10×90</t>
  </si>
  <si>
    <t xml:space="preserve">BS-1 №16</t>
  </si>
  <si>
    <t xml:space="preserve">Шарнирное крепление из нержавеющей стали для качелей-скамеек и люлек</t>
  </si>
  <si>
    <t xml:space="preserve">Шарнир из нержавеющей стали с нейлоновыми вкладышами, монтаж на 2 болта М12.</t>
  </si>
  <si>
    <t xml:space="preserve">Металлическое крепление для подвесных качелей к ровной деревянной или металлической поверхности. Нержавеющая сталь, в подвижной части нейлоновые вкладыши — меньше износ. Монтаж двумя болтами М12. Для качелей-скамеек и люлек.</t>
  </si>
  <si>
    <t xml:space="preserve">2× М12</t>
  </si>
  <si>
    <t xml:space="preserve">нейлоновые вкладыши</t>
  </si>
  <si>
    <t xml:space="preserve">BS-1 №17</t>
  </si>
  <si>
    <t xml:space="preserve">Резьбовой подвес М8 из нержавеющей стали для качелей «Гнездо»</t>
  </si>
  <si>
    <t xml:space="preserve">Резьбовое крепление М8 с проушиной для подвеса качелей «Гнездо».</t>
  </si>
  <si>
    <t xml:space="preserve">Резьбовой подвес из нержавеющей стали с резьбой М8 и проушиной. Применяется для крепления подвесов качелей «Гнездо».</t>
  </si>
  <si>
    <t xml:space="preserve">М8</t>
  </si>
  <si>
    <t xml:space="preserve">QDF-1 №5</t>
  </si>
  <si>
    <t xml:space="preserve">Подвес для качелей М12×135 мм с карабином, оцинкованный</t>
  </si>
  <si>
    <t xml:space="preserve">Оцинкованный подвес со шпилькой М12×135 мм и карабином.</t>
  </si>
  <si>
    <t xml:space="preserve">Подвес для качелей из оцинкованной стали со шпилькой М12×135 мм и карабином для быстрой навески качелей.</t>
  </si>
  <si>
    <t xml:space="preserve">М12×135</t>
  </si>
  <si>
    <t xml:space="preserve">QDF-1 №6</t>
  </si>
  <si>
    <t xml:space="preserve">Шарнирный подвес для качелей из нержавеющей стали</t>
  </si>
  <si>
    <t xml:space="preserve">Шарнир для подвесных качелей на монтажной пластине, нержавеющая сталь.</t>
  </si>
  <si>
    <t xml:space="preserve">Шарнирный подвес из нержавеющей стали на монтажной пластине. Обеспечивает качание подвесных качелей, устойчив к коррозии.</t>
  </si>
  <si>
    <t xml:space="preserve">QDF-1 №7</t>
  </si>
  <si>
    <t xml:space="preserve">AKO-KR-010</t>
  </si>
  <si>
    <t xml:space="preserve">AKO-KR-011</t>
  </si>
  <si>
    <t xml:space="preserve">AKO-KR-012</t>
  </si>
  <si>
    <t xml:space="preserve">AKO-KR-013</t>
  </si>
  <si>
    <t xml:space="preserve">AKO-KR-014</t>
  </si>
  <si>
    <t xml:space="preserve">AKO-KR-015</t>
  </si>
  <si>
    <t xml:space="preserve">AKO-KR-016</t>
  </si>
  <si>
    <t xml:space="preserve">AKO-KR-017</t>
  </si>
  <si>
    <t xml:space="preserve">AKO-KR-018</t>
  </si>
  <si>
    <t xml:space="preserve">AKO-KR-019</t>
  </si>
  <si>
    <t xml:space="preserve">AKO-KR-020</t>
  </si>
  <si>
    <t xml:space="preserve">AKO-KR-021</t>
  </si>
  <si>
    <t xml:space="preserve">AKO-KR-022</t>
  </si>
  <si>
    <t xml:space="preserve">AKO-KR-023</t>
  </si>
  <si>
    <t xml:space="preserve">AKO-KR-024</t>
  </si>
  <si>
    <t xml:space="preserve">AKO-KR-025</t>
  </si>
  <si>
    <t xml:space="preserve">AKO-KR-026</t>
  </si>
  <si>
    <t xml:space="preserve">AKO-KR-027</t>
  </si>
  <si>
    <t xml:space="preserve">AKO-KR-028</t>
  </si>
  <si>
    <t xml:space="preserve">AKO-KR-029</t>
  </si>
  <si>
    <t xml:space="preserve">AKO-KR-030</t>
  </si>
  <si>
    <t xml:space="preserve">AKO-KR-031</t>
  </si>
  <si>
    <t xml:space="preserve">AKO-KR-032</t>
  </si>
  <si>
    <t xml:space="preserve">AKO-KR-033</t>
  </si>
  <si>
    <t xml:space="preserve">AKO-KR-034</t>
  </si>
  <si>
    <t xml:space="preserve">AKO-KR-035</t>
  </si>
  <si>
    <t xml:space="preserve">AKO-KR-036</t>
  </si>
  <si>
    <t xml:space="preserve">AKO-KR-037</t>
  </si>
  <si>
    <t xml:space="preserve">AKO-KR-038</t>
  </si>
  <si>
    <t xml:space="preserve">AKO-KR-039</t>
  </si>
  <si>
    <t xml:space="preserve">AKO-KR-040</t>
  </si>
  <si>
    <t xml:space="preserve">AKO-KR-041</t>
  </si>
  <si>
    <t xml:space="preserve">AKO-KR-042</t>
  </si>
  <si>
    <t xml:space="preserve">AKO-KR-043</t>
  </si>
  <si>
    <t xml:space="preserve">AKO-KR-044</t>
  </si>
  <si>
    <t xml:space="preserve">AKO-KR-045</t>
  </si>
  <si>
    <t xml:space="preserve">AKO-KR-046</t>
  </si>
  <si>
    <t xml:space="preserve">AKO-KR-047</t>
  </si>
  <si>
    <t xml:space="preserve">AKO-KR-048</t>
  </si>
  <si>
    <t xml:space="preserve">AKO-KR-049</t>
  </si>
  <si>
    <t xml:space="preserve">AKO-KR-050</t>
  </si>
  <si>
    <t xml:space="preserve">AKO-KR-051</t>
  </si>
  <si>
    <t xml:space="preserve">AKO-KR-052</t>
  </si>
  <si>
    <t xml:space="preserve">AKO-KR-053</t>
  </si>
  <si>
    <t xml:space="preserve">AKO-KR-054</t>
  </si>
  <si>
    <t xml:space="preserve">AKO-KR-055</t>
  </si>
  <si>
    <t xml:space="preserve">AKO-KR-056</t>
  </si>
  <si>
    <t xml:space="preserve">AKO-KR-057</t>
  </si>
  <si>
    <t xml:space="preserve">AKO-KR-058</t>
  </si>
  <si>
    <t xml:space="preserve">AKO-KR-059</t>
  </si>
  <si>
    <t xml:space="preserve">AKO-KR-060</t>
  </si>
  <si>
    <t xml:space="preserve">AKO-KR-061</t>
  </si>
  <si>
    <t xml:space="preserve">AKO-KR-062</t>
  </si>
  <si>
    <t xml:space="preserve">AKO-KR-063</t>
  </si>
  <si>
    <t xml:space="preserve">AKO-KR-064</t>
  </si>
  <si>
    <t xml:space="preserve">AKO-KR-065</t>
  </si>
  <si>
    <t xml:space="preserve">AKO-KR-066</t>
  </si>
  <si>
    <t xml:space="preserve">AKO-KR-067</t>
  </si>
  <si>
    <t xml:space="preserve">AKO-KR-068</t>
  </si>
  <si>
    <t xml:space="preserve">AKO-KR-069</t>
  </si>
  <si>
    <t xml:space="preserve">AKO-KR-070</t>
  </si>
  <si>
    <t xml:space="preserve">AKO-KR-071</t>
  </si>
  <si>
    <t xml:space="preserve">AKO-KR-072</t>
  </si>
  <si>
    <t xml:space="preserve">AKO-KR-073</t>
  </si>
  <si>
    <t xml:space="preserve">AKO-KR-074</t>
  </si>
  <si>
    <t xml:space="preserve">AKO-KR-075</t>
  </si>
  <si>
    <t xml:space="preserve">AKO-KR-076</t>
  </si>
  <si>
    <t xml:space="preserve">AKO-KR-077</t>
  </si>
  <si>
    <t xml:space="preserve">AKO-KR-078</t>
  </si>
  <si>
    <t xml:space="preserve">AKO-KR-079</t>
  </si>
  <si>
    <t xml:space="preserve">AKO-KR-080</t>
  </si>
  <si>
    <t xml:space="preserve">AKO-KR-081</t>
  </si>
  <si>
    <t xml:space="preserve">AKO-KR-082</t>
  </si>
  <si>
    <t xml:space="preserve">AKO-KR-083</t>
  </si>
  <si>
    <t xml:space="preserve">AKO-KR-084</t>
  </si>
  <si>
    <t xml:space="preserve">AKO-KR-085</t>
  </si>
  <si>
    <t xml:space="preserve">AKO-KR-086</t>
  </si>
  <si>
    <t xml:space="preserve">AKO-KR-087</t>
  </si>
  <si>
    <t xml:space="preserve">AKO-KR-088</t>
  </si>
  <si>
    <t xml:space="preserve">AKO-KR-089</t>
  </si>
  <si>
    <t xml:space="preserve">AKO-KR-090</t>
  </si>
  <si>
    <t xml:space="preserve">AKO-KR-091</t>
  </si>
  <si>
    <t xml:space="preserve">AKO-KR-092</t>
  </si>
  <si>
    <t xml:space="preserve">AKO-KR-093</t>
  </si>
  <si>
    <t xml:space="preserve">AKO-KR-094</t>
  </si>
  <si>
    <t xml:space="preserve">AKO-KR-095</t>
  </si>
  <si>
    <t xml:space="preserve">AKO-KR-096</t>
  </si>
  <si>
    <t xml:space="preserve">AKO-KR-097</t>
  </si>
  <si>
    <t xml:space="preserve">AKO-KR-098</t>
  </si>
  <si>
    <t xml:space="preserve">AKO-KR-099</t>
  </si>
  <si>
    <t xml:space="preserve">AKO-KR-100</t>
  </si>
  <si>
    <t xml:space="preserve">AKO-KR-101</t>
  </si>
  <si>
    <t xml:space="preserve">AKO-KR-102</t>
  </si>
  <si>
    <t xml:space="preserve">AKO-KR-103</t>
  </si>
  <si>
    <t xml:space="preserve">AKO-KR-104</t>
  </si>
  <si>
    <t xml:space="preserve">AKO-KR-105</t>
  </si>
  <si>
    <t xml:space="preserve">AKO-KR-106</t>
  </si>
  <si>
    <t xml:space="preserve">AKO-KR-107</t>
  </si>
  <si>
    <t xml:space="preserve">AKO-KR-108</t>
  </si>
  <si>
    <t xml:space="preserve">AKO-KR-109</t>
  </si>
  <si>
    <t xml:space="preserve">AKO-KR-110</t>
  </si>
  <si>
    <t xml:space="preserve">AKO-KR-111</t>
  </si>
  <si>
    <t xml:space="preserve">AKO-KR-112</t>
  </si>
  <si>
    <t xml:space="preserve">AKO-KR-113</t>
  </si>
  <si>
    <t xml:space="preserve">AKO-KR-114</t>
  </si>
  <si>
    <t xml:space="preserve">AKO-KR-115</t>
  </si>
  <si>
    <t xml:space="preserve">AKO-KR-116</t>
  </si>
  <si>
    <t xml:space="preserve">AKO-KR-117</t>
  </si>
  <si>
    <t xml:space="preserve">AKO-KR-118</t>
  </si>
  <si>
    <t xml:space="preserve">AKO-KR-119</t>
  </si>
  <si>
    <t xml:space="preserve">AKO-KR-120</t>
  </si>
  <si>
    <t xml:space="preserve">AKO-KR-121</t>
  </si>
  <si>
    <t xml:space="preserve">AKO-KR-122</t>
  </si>
  <si>
    <t xml:space="preserve">AKO-KR-123</t>
  </si>
  <si>
    <t xml:space="preserve">AKO-KR-124</t>
  </si>
  <si>
    <t xml:space="preserve">AKO-KR-125</t>
  </si>
  <si>
    <t xml:space="preserve">AKO-KR-126</t>
  </si>
  <si>
    <t xml:space="preserve">AKO-KR-127</t>
  </si>
  <si>
    <t xml:space="preserve">AKO-KR-128</t>
  </si>
  <si>
    <t xml:space="preserve">AKO-KR-129</t>
  </si>
  <si>
    <t xml:space="preserve">AKO-KR-130</t>
  </si>
  <si>
    <t xml:space="preserve">AKO-KR-131</t>
  </si>
  <si>
    <t xml:space="preserve">AKO-KR-132</t>
  </si>
  <si>
    <t xml:space="preserve">AKO-KR-133</t>
  </si>
  <si>
    <t xml:space="preserve">AKO-KR-134</t>
  </si>
  <si>
    <t xml:space="preserve">AKO-KR-135</t>
  </si>
  <si>
    <t xml:space="preserve">AKO-KR-136</t>
  </si>
  <si>
    <t xml:space="preserve">AKO-KR-137</t>
  </si>
  <si>
    <t xml:space="preserve">AKO-KR-138</t>
  </si>
  <si>
    <t xml:space="preserve">AKO-KR-139</t>
  </si>
  <si>
    <t xml:space="preserve">AKO-KR-140</t>
  </si>
  <si>
    <t xml:space="preserve">AKO-KR-141</t>
  </si>
  <si>
    <t xml:space="preserve">AKO-KR-142</t>
  </si>
  <si>
    <t xml:space="preserve">AKO-KR-143</t>
  </si>
  <si>
    <t xml:space="preserve">AKO-KR-144</t>
  </si>
  <si>
    <t xml:space="preserve">AKO-KR-145</t>
  </si>
  <si>
    <t xml:space="preserve">AKO-KR-146</t>
  </si>
  <si>
    <t xml:space="preserve">AKO-KR-147</t>
  </si>
  <si>
    <t xml:space="preserve">AKO-KR-148</t>
  </si>
  <si>
    <t xml:space="preserve">AKO-KR-149</t>
  </si>
  <si>
    <t xml:space="preserve">AKO-KR-150</t>
  </si>
  <si>
    <t xml:space="preserve">AKO-KR-151</t>
  </si>
  <si>
    <t xml:space="preserve">AKO-KR-152</t>
  </si>
  <si>
    <t xml:space="preserve">AKO-KR-153</t>
  </si>
  <si>
    <t xml:space="preserve">AKO-KR-154</t>
  </si>
  <si>
    <t xml:space="preserve">AKO-KR-155</t>
  </si>
  <si>
    <t xml:space="preserve">AKO-KR-156</t>
  </si>
  <si>
    <t xml:space="preserve">AKO-KR-157</t>
  </si>
  <si>
    <t xml:space="preserve">AKO-KR-158</t>
  </si>
  <si>
    <t xml:space="preserve">AKO-KR-159</t>
  </si>
  <si>
    <t xml:space="preserve">AKO-KR-160</t>
  </si>
  <si>
    <t xml:space="preserve">AKO-KR-161</t>
  </si>
  <si>
    <t xml:space="preserve">AKO-KR-162</t>
  </si>
  <si>
    <t xml:space="preserve">AKO-KR-163</t>
  </si>
  <si>
    <t xml:space="preserve">AKO-KR-164</t>
  </si>
  <si>
    <t xml:space="preserve">AKO-KR-165</t>
  </si>
  <si>
    <t xml:space="preserve">AKO-KR-166</t>
  </si>
  <si>
    <t xml:space="preserve">AKO-KR-167</t>
  </si>
  <si>
    <t xml:space="preserve">AKO-KR-168</t>
  </si>
  <si>
    <t xml:space="preserve">AKO-KR-169</t>
  </si>
  <si>
    <t xml:space="preserve">AKO-KR-170</t>
  </si>
  <si>
    <t xml:space="preserve">AKO-KR-171</t>
  </si>
  <si>
    <t xml:space="preserve">AKO-KR-172</t>
  </si>
  <si>
    <t xml:space="preserve">AKO-KR-173</t>
  </si>
  <si>
    <t xml:space="preserve">AKO-KR-174</t>
  </si>
  <si>
    <t xml:space="preserve">AKO-KR-175</t>
  </si>
  <si>
    <t xml:space="preserve">AKO-KR-176</t>
  </si>
  <si>
    <t xml:space="preserve">AKO-KR-177</t>
  </si>
  <si>
    <t xml:space="preserve">AKO-KR-178</t>
  </si>
  <si>
    <t xml:space="preserve">AKO-KR-179</t>
  </si>
  <si>
    <t xml:space="preserve">AKO-KR-180</t>
  </si>
  <si>
    <t xml:space="preserve">AKO-KR-181</t>
  </si>
  <si>
    <t xml:space="preserve">AKO-KR-182</t>
  </si>
  <si>
    <t xml:space="preserve">AKO-KR-183</t>
  </si>
  <si>
    <t xml:space="preserve">AKO-KR-184</t>
  </si>
  <si>
    <t xml:space="preserve">AKO-KR-185</t>
  </si>
  <si>
    <t xml:space="preserve">AKO-KR-186</t>
  </si>
  <si>
    <t xml:space="preserve">AKO-KR-187</t>
  </si>
  <si>
    <t xml:space="preserve">AKO-KR-188</t>
  </si>
  <si>
    <t xml:space="preserve">AKO-KR-189</t>
  </si>
  <si>
    <t xml:space="preserve">AKO-KR-190</t>
  </si>
  <si>
    <t xml:space="preserve">AKO-KR-191</t>
  </si>
  <si>
    <t xml:space="preserve">AKO-KR-192</t>
  </si>
  <si>
    <t xml:space="preserve">AKO-KR-193</t>
  </si>
  <si>
    <t xml:space="preserve">AKO-KR-194</t>
  </si>
  <si>
    <t xml:space="preserve">AKO-KR-195</t>
  </si>
  <si>
    <t xml:space="preserve">AKO-KR-196</t>
  </si>
  <si>
    <t xml:space="preserve">AKO-KR-197</t>
  </si>
  <si>
    <t xml:space="preserve">AKO-KR-198</t>
  </si>
  <si>
    <t xml:space="preserve">AKO-KR-199</t>
  </si>
  <si>
    <t xml:space="preserve">AKO-KR-200</t>
  </si>
  <si>
    <t xml:space="preserve">AKO-KR-201</t>
  </si>
  <si>
    <t xml:space="preserve">AKO-KR-202</t>
  </si>
  <si>
    <t xml:space="preserve">AKO-KR-203</t>
  </si>
  <si>
    <t xml:space="preserve">AKO-KR-204</t>
  </si>
  <si>
    <t xml:space="preserve">AKO-KR-205</t>
  </si>
  <si>
    <t xml:space="preserve">AKO-KR-206</t>
  </si>
  <si>
    <t xml:space="preserve">AKO-KR-207</t>
  </si>
  <si>
    <t xml:space="preserve">AKO-KR-208</t>
  </si>
  <si>
    <t xml:space="preserve">AKO-KR-209</t>
  </si>
  <si>
    <t xml:space="preserve">AKO-KR-210</t>
  </si>
  <si>
    <t xml:space="preserve">AKO-KR-211</t>
  </si>
  <si>
    <t xml:space="preserve">AKO-KR-212</t>
  </si>
  <si>
    <t xml:space="preserve">AKO-KR-213</t>
  </si>
  <si>
    <t xml:space="preserve">AKO-KR-214</t>
  </si>
  <si>
    <t xml:space="preserve">AKO-KR-215</t>
  </si>
  <si>
    <t xml:space="preserve">AKO-KR-216</t>
  </si>
  <si>
    <t xml:space="preserve">AKO-KR-217</t>
  </si>
  <si>
    <t xml:space="preserve">AKO-KR-218</t>
  </si>
  <si>
    <t xml:space="preserve">AKO-KR-219</t>
  </si>
  <si>
    <t xml:space="preserve">AKO-KR-220</t>
  </si>
  <si>
    <t xml:space="preserve">AKO-KR-221</t>
  </si>
  <si>
    <t xml:space="preserve">AKO-KR-222</t>
  </si>
  <si>
    <t xml:space="preserve">AKO-KR-223</t>
  </si>
  <si>
    <t xml:space="preserve">AKO-KR-224</t>
  </si>
  <si>
    <t xml:space="preserve">AKO-KR-225</t>
  </si>
  <si>
    <t xml:space="preserve">AKO-KR-226</t>
  </si>
  <si>
    <t xml:space="preserve">AKO-KR-227</t>
  </si>
  <si>
    <t xml:space="preserve">AKO-KR-228</t>
  </si>
  <si>
    <t xml:space="preserve">AKO-KR-229</t>
  </si>
  <si>
    <t xml:space="preserve">AKO-KR-230</t>
  </si>
  <si>
    <t xml:space="preserve">AKO-KR-231</t>
  </si>
  <si>
    <t xml:space="preserve">AKO-KR-232</t>
  </si>
  <si>
    <t xml:space="preserve">AKO-KR-233</t>
  </si>
  <si>
    <t xml:space="preserve">AKO-KR-234</t>
  </si>
  <si>
    <t xml:space="preserve">AKO-KR-235</t>
  </si>
  <si>
    <t xml:space="preserve">AKO-KR-236</t>
  </si>
  <si>
    <t xml:space="preserve">AKO-KR-237</t>
  </si>
  <si>
    <t xml:space="preserve">AKO-KR-238</t>
  </si>
  <si>
    <t xml:space="preserve">AKO-KR-239</t>
  </si>
  <si>
    <t xml:space="preserve">AKO-KR-240</t>
  </si>
  <si>
    <t xml:space="preserve">AKO-KR-241</t>
  </si>
  <si>
    <t xml:space="preserve">AKO-KR-242</t>
  </si>
  <si>
    <t xml:space="preserve">AKO-KR-243</t>
  </si>
  <si>
    <t xml:space="preserve">AKO-KR-244</t>
  </si>
  <si>
    <t xml:space="preserve">AKO-KR-245</t>
  </si>
  <si>
    <t xml:space="preserve">AKO-KR-246</t>
  </si>
  <si>
    <t xml:space="preserve">AKO-KR-247</t>
  </si>
  <si>
    <t xml:space="preserve">AKO-KR-248</t>
  </si>
  <si>
    <t xml:space="preserve">AKO-KR-249</t>
  </si>
  <si>
    <t xml:space="preserve">AKO-KR-250</t>
  </si>
  <si>
    <t xml:space="preserve">AKO-KR-251</t>
  </si>
  <si>
    <t xml:space="preserve">AKO-KR-252</t>
  </si>
  <si>
    <t xml:space="preserve">AKO-KR-253</t>
  </si>
  <si>
    <t xml:space="preserve">AKO-KR-254</t>
  </si>
  <si>
    <t xml:space="preserve">AKO-KR-255</t>
  </si>
  <si>
    <t xml:space="preserve">AKO-KR-256</t>
  </si>
  <si>
    <t xml:space="preserve">AKO-KR-257</t>
  </si>
  <si>
    <t xml:space="preserve">AKO-KR-258</t>
  </si>
  <si>
    <t xml:space="preserve">AKO-KR-259</t>
  </si>
  <si>
    <t xml:space="preserve">AKO-KR-260</t>
  </si>
  <si>
    <t xml:space="preserve">AKO-KR-261</t>
  </si>
  <si>
    <t xml:space="preserve">AKO-KR-262</t>
  </si>
  <si>
    <t xml:space="preserve">AKO-KR-263</t>
  </si>
  <si>
    <t xml:space="preserve">AKO-KR-264</t>
  </si>
  <si>
    <t xml:space="preserve">AKO-KR-265</t>
  </si>
  <si>
    <t xml:space="preserve">AKO-KR-266</t>
  </si>
  <si>
    <t xml:space="preserve">AKO-KR-267</t>
  </si>
  <si>
    <t xml:space="preserve">AKO-KR-268</t>
  </si>
  <si>
    <t xml:space="preserve">AKO-KR-269</t>
  </si>
  <si>
    <t xml:space="preserve">AKO-KR-270</t>
  </si>
  <si>
    <t xml:space="preserve">AKO-KR-271</t>
  </si>
  <si>
    <t xml:space="preserve">AKO-KR-272</t>
  </si>
  <si>
    <t xml:space="preserve">AKO-KR-273</t>
  </si>
  <si>
    <t xml:space="preserve">AKO-KR-274</t>
  </si>
  <si>
    <t xml:space="preserve">AKO-KR-275</t>
  </si>
  <si>
    <t xml:space="preserve">AKO-KR-276</t>
  </si>
  <si>
    <t xml:space="preserve">AKO-KR-277</t>
  </si>
  <si>
    <t xml:space="preserve">AKO-KR-278</t>
  </si>
  <si>
    <t xml:space="preserve">AKO-KR-279</t>
  </si>
  <si>
    <t xml:space="preserve">AKO-KR-280</t>
  </si>
  <si>
    <t xml:space="preserve">AKO-KR-281</t>
  </si>
  <si>
    <t xml:space="preserve">AKO-KR-282</t>
  </si>
  <si>
    <t xml:space="preserve">AKO-KR-283</t>
  </si>
  <si>
    <t xml:space="preserve">AKO-KR-284</t>
  </si>
  <si>
    <t xml:space="preserve">AKO-KR-285</t>
  </si>
  <si>
    <t xml:space="preserve">AKO-KR-286</t>
  </si>
  <si>
    <t xml:space="preserve">AKO-KR-287</t>
  </si>
  <si>
    <t xml:space="preserve">AKO-KR-288</t>
  </si>
  <si>
    <t xml:space="preserve">AKO-KR-289</t>
  </si>
  <si>
    <t xml:space="preserve">AKO-KR-290</t>
  </si>
  <si>
    <t xml:space="preserve">AKO-KR-291</t>
  </si>
  <si>
    <t xml:space="preserve">AKO-KR-292</t>
  </si>
  <si>
    <t xml:space="preserve">AKO-KR-293</t>
  </si>
  <si>
    <t xml:space="preserve">AKO-KR-294</t>
  </si>
  <si>
    <t xml:space="preserve">AKO-KR-295</t>
  </si>
  <si>
    <t xml:space="preserve">AKO-KR-296</t>
  </si>
  <si>
    <t xml:space="preserve">AKO-KR-297</t>
  </si>
  <si>
    <t xml:space="preserve">AKO-KR-298</t>
  </si>
  <si>
    <t xml:space="preserve">AKO-KR-299</t>
  </si>
  <si>
    <t xml:space="preserve">AKO-KR-300</t>
  </si>
  <si>
    <t xml:space="preserve">Тип (скоба / рым-гайка / крюк / хомут)</t>
  </si>
  <si>
    <t xml:space="preserve">Резьба / винт</t>
  </si>
  <si>
    <t xml:space="preserve">Размер, мм</t>
  </si>
  <si>
    <t xml:space="preserve">Под трубу Ø, мм</t>
  </si>
  <si>
    <t xml:space="preserve">Соединительный хомут из алюминия для трубы Ø114 мм, H 50 мм</t>
  </si>
  <si>
    <t xml:space="preserve">Хомуты</t>
  </si>
  <si>
    <t xml:space="preserve">Алюминиевый соединительный хомут для стойки Ø114 мм, высота 50 мм, 285 г.</t>
  </si>
  <si>
    <t xml:space="preserve">Соединительный хомут из алюминия для труб/стоек диаметром 114 мм. Высота 50 мм, вес 285 г.</t>
  </si>
  <si>
    <t xml:space="preserve">хомут соединительный</t>
  </si>
  <si>
    <t xml:space="preserve">SDN-1 №4</t>
  </si>
  <si>
    <t xml:space="preserve">Трубный хомут из алюминия для трубы Ø114 мм</t>
  </si>
  <si>
    <t xml:space="preserve">Алюминиевый хомут для крепления к стойке Ø114 мм.</t>
  </si>
  <si>
    <t xml:space="preserve">Трубный хомут из алюминия для стоек диаметром 114 мм.</t>
  </si>
  <si>
    <t xml:space="preserve">хомут</t>
  </si>
  <si>
    <t xml:space="preserve">SDN-1 №5</t>
  </si>
  <si>
    <t xml:space="preserve">Скоба такелажная D-образная из нержавеющей стали М10</t>
  </si>
  <si>
    <t xml:space="preserve">Скобы</t>
  </si>
  <si>
    <t xml:space="preserve">Прямая (D) такелажная скоба М10 из нержавеющей стали.</t>
  </si>
  <si>
    <t xml:space="preserve">D-образная такелажная скоба с винтом М10 из нержавеющей стали для соединения канатов, тросов и цепей.</t>
  </si>
  <si>
    <t xml:space="preserve">скоба D</t>
  </si>
  <si>
    <t xml:space="preserve">М10</t>
  </si>
  <si>
    <t xml:space="preserve">SDN-1 №6</t>
  </si>
  <si>
    <t xml:space="preserve">Скоба такелажная из нержавеющей стали с винтом М10</t>
  </si>
  <si>
    <t xml:space="preserve">Такелажная скоба М10 из нержавеющей стали, 112 г.</t>
  </si>
  <si>
    <t xml:space="preserve">Такелажная скоба с винтом М10 из нержавеющей стали. Соединительный элемент для канатов, тросов и цепей в детском игровом и спортивном оборудовании. Вес 112 г.</t>
  </si>
  <si>
    <t xml:space="preserve">скоба</t>
  </si>
  <si>
    <t xml:space="preserve">DSR015-10</t>
  </si>
  <si>
    <t xml:space="preserve">SDN-1 №7</t>
  </si>
  <si>
    <t xml:space="preserve">Скоба такелажная из нержавеющей стали, винт М5, 20×29 мм</t>
  </si>
  <si>
    <t xml:space="preserve">Такелажная скоба 20×29 мм с винтом М5 из нержавеющей стали.</t>
  </si>
  <si>
    <t xml:space="preserve">Такелажная скоба из нержавеющей стали со специальным винтом М5, размер 20×29 мм. Соединяет канаты, тросы и цепи. Устойчива к коррозии и перепадам температур.</t>
  </si>
  <si>
    <t xml:space="preserve">М5</t>
  </si>
  <si>
    <t xml:space="preserve">20×29</t>
  </si>
  <si>
    <t xml:space="preserve">SDN-2-1 №21</t>
  </si>
  <si>
    <t xml:space="preserve">Скоба такелажная из нержавеющей стали, винт М6, 25×36 мм</t>
  </si>
  <si>
    <t xml:space="preserve">Такелажная скоба 25×36 мм с винтом М6 из нержавеющей стали.</t>
  </si>
  <si>
    <t xml:space="preserve">Такелажная скоба из нержавеющей стали с винтом М6, размер 25×36 мм. Соединительный элемент для канатов, тросов и цепей в игровом оборудовании.</t>
  </si>
  <si>
    <t xml:space="preserve">М6</t>
  </si>
  <si>
    <t xml:space="preserve">25×36</t>
  </si>
  <si>
    <t xml:space="preserve">DSR015-6s</t>
  </si>
  <si>
    <t xml:space="preserve">SDN-2-1 №22</t>
  </si>
  <si>
    <t xml:space="preserve">Скоба омегообразная из нержавеющей стали, винт М6, 32×38 мм</t>
  </si>
  <si>
    <t xml:space="preserve">Омегообразная скоба 32×38 мм с винтом М6 из нержавеющей стали.</t>
  </si>
  <si>
    <t xml:space="preserve">Омегообразная такелажная скоба из нержавеющей стали со специальным винтом М6, размер 32×38 мм. Для соединения канатов, тросов и цепей.</t>
  </si>
  <si>
    <t xml:space="preserve">скоба омега</t>
  </si>
  <si>
    <t xml:space="preserve">32×38</t>
  </si>
  <si>
    <t xml:space="preserve">SDN-2-1 №23</t>
  </si>
  <si>
    <t xml:space="preserve">Скоба такелажная из нержавеющей стали, винт М6, 24×28 мм</t>
  </si>
  <si>
    <t xml:space="preserve">Такелажная скоба 24×28 мм с винтом М6 из нержавеющей стали.</t>
  </si>
  <si>
    <t xml:space="preserve">Такелажная скоба из нержавеющей стали с винтом М6, размер 24×28 мм. Соединительный элемент для канатов, тросов и цепей.</t>
  </si>
  <si>
    <t xml:space="preserve">24×28</t>
  </si>
  <si>
    <t xml:space="preserve">SDN-2-1 №24</t>
  </si>
  <si>
    <t xml:space="preserve">Рым-гайка М6 из нержавеющей стали</t>
  </si>
  <si>
    <t xml:space="preserve">Рым-гайки и рым-болты</t>
  </si>
  <si>
    <t xml:space="preserve">Рым-гайка с внутренней резьбой М6, нержавеющая сталь.</t>
  </si>
  <si>
    <t xml:space="preserve">Рым-гайка с внутренней резьбой М6 из нержавеющей стали для крепления канатов, цепей и тросов.</t>
  </si>
  <si>
    <t xml:space="preserve">рым-гайка</t>
  </si>
  <si>
    <t xml:space="preserve">DSR068-6</t>
  </si>
  <si>
    <t xml:space="preserve">Аналог на zaglushka.ru есть, цену найти не удалось — впиши</t>
  </si>
  <si>
    <t xml:space="preserve">SDN-2-1 №25</t>
  </si>
  <si>
    <t xml:space="preserve">Рым-гайка М10 из нержавеющей стали, до 230 кг</t>
  </si>
  <si>
    <t xml:space="preserve">Рым-гайка М10 для канатов, цепей и тросов, нагрузка до 230 кг.</t>
  </si>
  <si>
    <t xml:space="preserve">Рым-гайка М10 из нержавеющей стали для надёжного крепления канатов, цепей, тросов и фурнитуры в конструкциях детских площадок. Максимальная нагрузка 230 кг.</t>
  </si>
  <si>
    <t xml:space="preserve">YA-M04-3111-3</t>
  </si>
  <si>
    <t xml:space="preserve">SDN-2-1 №26</t>
  </si>
  <si>
    <t xml:space="preserve">Шуруп-кольцо М10×100 из нержавеющей стали</t>
  </si>
  <si>
    <t xml:space="preserve">Шуруп с кольцом М10×100, отверстие 10 мм — для крепления цепей и канатов к деревянной опоре.</t>
  </si>
  <si>
    <t xml:space="preserve">Шуруп-кольцо (рым-шуруп) М10×100 из нержавеющей стали, диаметр отверстия 10 мм. Крепит цепи или канаты к деревянной стойке через такелажную скобу.</t>
  </si>
  <si>
    <t xml:space="preserve">шуруп-кольцо</t>
  </si>
  <si>
    <t xml:space="preserve">100</t>
  </si>
  <si>
    <t xml:space="preserve">SDN-2-1 №27</t>
  </si>
  <si>
    <t xml:space="preserve">Крюк со шпилькой М8×24 мм</t>
  </si>
  <si>
    <t xml:space="preserve">Крюки</t>
  </si>
  <si>
    <t xml:space="preserve">Металлический крюк с метрической резьбой М8×24 мм.</t>
  </si>
  <si>
    <t xml:space="preserve">Металлический крюк с метрической резьбой М8×24 мм для навески канатов, сеток и подвесов.</t>
  </si>
  <si>
    <t xml:space="preserve">Сталь</t>
  </si>
  <si>
    <t xml:space="preserve">крюк</t>
  </si>
  <si>
    <t xml:space="preserve">М8×24</t>
  </si>
  <si>
    <t xml:space="preserve">QDF-1 №4</t>
  </si>
  <si>
    <t xml:space="preserve">Крюк из нержавеющей стали М8×26 мм</t>
  </si>
  <si>
    <t xml:space="preserve">Крюк из нержавеющей стали с резьбой М8×26 мм.</t>
  </si>
  <si>
    <t xml:space="preserve">Крюк из нержавеющей стали с резьбой М8×26 мм для навески канатов, сеток и подвесов.</t>
  </si>
  <si>
    <t xml:space="preserve">М8×26</t>
  </si>
  <si>
    <t xml:space="preserve">QDF-1 №10</t>
  </si>
  <si>
    <t xml:space="preserve">AKO-KT-014</t>
  </si>
  <si>
    <t xml:space="preserve">AKO-KT-015</t>
  </si>
  <si>
    <t xml:space="preserve">AKO-KT-016</t>
  </si>
  <si>
    <t xml:space="preserve">AKO-KT-017</t>
  </si>
  <si>
    <t xml:space="preserve">AKO-KT-018</t>
  </si>
  <si>
    <t xml:space="preserve">AKO-KT-019</t>
  </si>
  <si>
    <t xml:space="preserve">AKO-KT-020</t>
  </si>
  <si>
    <t xml:space="preserve">AKO-KT-021</t>
  </si>
  <si>
    <t xml:space="preserve">AKO-KT-022</t>
  </si>
  <si>
    <t xml:space="preserve">AKO-KT-023</t>
  </si>
  <si>
    <t xml:space="preserve">AKO-KT-024</t>
  </si>
  <si>
    <t xml:space="preserve">AKO-KT-025</t>
  </si>
  <si>
    <t xml:space="preserve">AKO-KT-026</t>
  </si>
  <si>
    <t xml:space="preserve">AKO-KT-027</t>
  </si>
  <si>
    <t xml:space="preserve">AKO-KT-028</t>
  </si>
  <si>
    <t xml:space="preserve">AKO-KT-029</t>
  </si>
  <si>
    <t xml:space="preserve">AKO-KT-030</t>
  </si>
  <si>
    <t xml:space="preserve">AKO-KT-031</t>
  </si>
  <si>
    <t xml:space="preserve">AKO-KT-032</t>
  </si>
  <si>
    <t xml:space="preserve">AKO-KT-033</t>
  </si>
  <si>
    <t xml:space="preserve">AKO-KT-034</t>
  </si>
  <si>
    <t xml:space="preserve">AKO-KT-035</t>
  </si>
  <si>
    <t xml:space="preserve">AKO-KT-036</t>
  </si>
  <si>
    <t xml:space="preserve">AKO-KT-037</t>
  </si>
  <si>
    <t xml:space="preserve">AKO-KT-038</t>
  </si>
  <si>
    <t xml:space="preserve">AKO-KT-039</t>
  </si>
  <si>
    <t xml:space="preserve">AKO-KT-040</t>
  </si>
  <si>
    <t xml:space="preserve">AKO-KT-041</t>
  </si>
  <si>
    <t xml:space="preserve">AKO-KT-042</t>
  </si>
  <si>
    <t xml:space="preserve">AKO-KT-043</t>
  </si>
  <si>
    <t xml:space="preserve">AKO-KT-044</t>
  </si>
  <si>
    <t xml:space="preserve">AKO-KT-045</t>
  </si>
  <si>
    <t xml:space="preserve">AKO-KT-046</t>
  </si>
  <si>
    <t xml:space="preserve">AKO-KT-047</t>
  </si>
  <si>
    <t xml:space="preserve">AKO-KT-048</t>
  </si>
  <si>
    <t xml:space="preserve">AKO-KT-049</t>
  </si>
  <si>
    <t xml:space="preserve">AKO-KT-050</t>
  </si>
  <si>
    <t xml:space="preserve">AKO-KT-051</t>
  </si>
  <si>
    <t xml:space="preserve">AKO-KT-052</t>
  </si>
  <si>
    <t xml:space="preserve">AKO-KT-053</t>
  </si>
  <si>
    <t xml:space="preserve">AKO-KT-054</t>
  </si>
  <si>
    <t xml:space="preserve">AKO-KT-055</t>
  </si>
  <si>
    <t xml:space="preserve">AKO-KT-056</t>
  </si>
  <si>
    <t xml:space="preserve">AKO-KT-057</t>
  </si>
  <si>
    <t xml:space="preserve">AKO-KT-058</t>
  </si>
  <si>
    <t xml:space="preserve">AKO-KT-059</t>
  </si>
  <si>
    <t xml:space="preserve">AKO-KT-060</t>
  </si>
  <si>
    <t xml:space="preserve">AKO-KT-061</t>
  </si>
  <si>
    <t xml:space="preserve">AKO-KT-062</t>
  </si>
  <si>
    <t xml:space="preserve">AKO-KT-063</t>
  </si>
  <si>
    <t xml:space="preserve">AKO-KT-064</t>
  </si>
  <si>
    <t xml:space="preserve">AKO-KT-065</t>
  </si>
  <si>
    <t xml:space="preserve">AKO-KT-066</t>
  </si>
  <si>
    <t xml:space="preserve">AKO-KT-067</t>
  </si>
  <si>
    <t xml:space="preserve">AKO-KT-068</t>
  </si>
  <si>
    <t xml:space="preserve">AKO-KT-069</t>
  </si>
  <si>
    <t xml:space="preserve">AKO-KT-070</t>
  </si>
  <si>
    <t xml:space="preserve">AKO-KT-071</t>
  </si>
  <si>
    <t xml:space="preserve">AKO-KT-072</t>
  </si>
  <si>
    <t xml:space="preserve">AKO-KT-073</t>
  </si>
  <si>
    <t xml:space="preserve">AKO-KT-074</t>
  </si>
  <si>
    <t xml:space="preserve">AKO-KT-075</t>
  </si>
  <si>
    <t xml:space="preserve">AKO-KT-076</t>
  </si>
  <si>
    <t xml:space="preserve">AKO-KT-077</t>
  </si>
  <si>
    <t xml:space="preserve">AKO-KT-078</t>
  </si>
  <si>
    <t xml:space="preserve">AKO-KT-079</t>
  </si>
  <si>
    <t xml:space="preserve">AKO-KT-080</t>
  </si>
  <si>
    <t xml:space="preserve">AKO-KT-081</t>
  </si>
  <si>
    <t xml:space="preserve">AKO-KT-082</t>
  </si>
  <si>
    <t xml:space="preserve">AKO-KT-083</t>
  </si>
  <si>
    <t xml:space="preserve">AKO-KT-084</t>
  </si>
  <si>
    <t xml:space="preserve">AKO-KT-085</t>
  </si>
  <si>
    <t xml:space="preserve">AKO-KT-086</t>
  </si>
  <si>
    <t xml:space="preserve">AKO-KT-087</t>
  </si>
  <si>
    <t xml:space="preserve">AKO-KT-088</t>
  </si>
  <si>
    <t xml:space="preserve">AKO-KT-089</t>
  </si>
  <si>
    <t xml:space="preserve">AKO-KT-090</t>
  </si>
  <si>
    <t xml:space="preserve">AKO-KT-091</t>
  </si>
  <si>
    <t xml:space="preserve">AKO-KT-092</t>
  </si>
  <si>
    <t xml:space="preserve">AKO-KT-093</t>
  </si>
  <si>
    <t xml:space="preserve">AKO-KT-094</t>
  </si>
  <si>
    <t xml:space="preserve">AKO-KT-095</t>
  </si>
  <si>
    <t xml:space="preserve">AKO-KT-096</t>
  </si>
  <si>
    <t xml:space="preserve">AKO-KT-097</t>
  </si>
  <si>
    <t xml:space="preserve">AKO-KT-098</t>
  </si>
  <si>
    <t xml:space="preserve">AKO-KT-099</t>
  </si>
  <si>
    <t xml:space="preserve">AKO-KT-100</t>
  </si>
  <si>
    <t xml:space="preserve">AKO-KT-101</t>
  </si>
  <si>
    <t xml:space="preserve">AKO-KT-102</t>
  </si>
  <si>
    <t xml:space="preserve">AKO-KT-103</t>
  </si>
  <si>
    <t xml:space="preserve">AKO-KT-104</t>
  </si>
  <si>
    <t xml:space="preserve">AKO-KT-105</t>
  </si>
  <si>
    <t xml:space="preserve">AKO-KT-106</t>
  </si>
  <si>
    <t xml:space="preserve">AKO-KT-107</t>
  </si>
  <si>
    <t xml:space="preserve">AKO-KT-108</t>
  </si>
  <si>
    <t xml:space="preserve">AKO-KT-109</t>
  </si>
  <si>
    <t xml:space="preserve">AKO-KT-110</t>
  </si>
  <si>
    <t xml:space="preserve">AKO-KT-111</t>
  </si>
  <si>
    <t xml:space="preserve">AKO-KT-112</t>
  </si>
  <si>
    <t xml:space="preserve">AKO-KT-113</t>
  </si>
  <si>
    <t xml:space="preserve">AKO-KT-114</t>
  </si>
  <si>
    <t xml:space="preserve">AKO-KT-115</t>
  </si>
  <si>
    <t xml:space="preserve">AKO-KT-116</t>
  </si>
  <si>
    <t xml:space="preserve">AKO-KT-117</t>
  </si>
  <si>
    <t xml:space="preserve">AKO-KT-118</t>
  </si>
  <si>
    <t xml:space="preserve">AKO-KT-119</t>
  </si>
  <si>
    <t xml:space="preserve">AKO-KT-120</t>
  </si>
  <si>
    <t xml:space="preserve">AKO-KT-121</t>
  </si>
  <si>
    <t xml:space="preserve">AKO-KT-122</t>
  </si>
  <si>
    <t xml:space="preserve">AKO-KT-123</t>
  </si>
  <si>
    <t xml:space="preserve">AKO-KT-124</t>
  </si>
  <si>
    <t xml:space="preserve">AKO-KT-125</t>
  </si>
  <si>
    <t xml:space="preserve">AKO-KT-126</t>
  </si>
  <si>
    <t xml:space="preserve">AKO-KT-127</t>
  </si>
  <si>
    <t xml:space="preserve">AKO-KT-128</t>
  </si>
  <si>
    <t xml:space="preserve">AKO-KT-129</t>
  </si>
  <si>
    <t xml:space="preserve">AKO-KT-130</t>
  </si>
  <si>
    <t xml:space="preserve">AKO-KT-131</t>
  </si>
  <si>
    <t xml:space="preserve">AKO-KT-132</t>
  </si>
  <si>
    <t xml:space="preserve">AKO-KT-133</t>
  </si>
  <si>
    <t xml:space="preserve">AKO-KT-134</t>
  </si>
  <si>
    <t xml:space="preserve">AKO-KT-135</t>
  </si>
  <si>
    <t xml:space="preserve">AKO-KT-136</t>
  </si>
  <si>
    <t xml:space="preserve">AKO-KT-137</t>
  </si>
  <si>
    <t xml:space="preserve">AKO-KT-138</t>
  </si>
  <si>
    <t xml:space="preserve">AKO-KT-139</t>
  </si>
  <si>
    <t xml:space="preserve">AKO-KT-140</t>
  </si>
  <si>
    <t xml:space="preserve">AKO-KT-141</t>
  </si>
  <si>
    <t xml:space="preserve">AKO-KT-142</t>
  </si>
  <si>
    <t xml:space="preserve">AKO-KT-143</t>
  </si>
  <si>
    <t xml:space="preserve">AKO-KT-144</t>
  </si>
  <si>
    <t xml:space="preserve">AKO-KT-145</t>
  </si>
  <si>
    <t xml:space="preserve">AKO-KT-146</t>
  </si>
  <si>
    <t xml:space="preserve">AKO-KT-147</t>
  </si>
  <si>
    <t xml:space="preserve">AKO-KT-148</t>
  </si>
  <si>
    <t xml:space="preserve">AKO-KT-149</t>
  </si>
  <si>
    <t xml:space="preserve">AKO-KT-150</t>
  </si>
  <si>
    <t xml:space="preserve">AKO-KT-151</t>
  </si>
  <si>
    <t xml:space="preserve">AKO-KT-152</t>
  </si>
  <si>
    <t xml:space="preserve">AKO-KT-153</t>
  </si>
  <si>
    <t xml:space="preserve">AKO-KT-154</t>
  </si>
  <si>
    <t xml:space="preserve">AKO-KT-155</t>
  </si>
  <si>
    <t xml:space="preserve">AKO-KT-156</t>
  </si>
  <si>
    <t xml:space="preserve">AKO-KT-157</t>
  </si>
  <si>
    <t xml:space="preserve">AKO-KT-158</t>
  </si>
  <si>
    <t xml:space="preserve">AKO-KT-159</t>
  </si>
  <si>
    <t xml:space="preserve">AKO-KT-160</t>
  </si>
  <si>
    <t xml:space="preserve">AKO-KT-161</t>
  </si>
  <si>
    <t xml:space="preserve">AKO-KT-162</t>
  </si>
  <si>
    <t xml:space="preserve">AKO-KT-163</t>
  </si>
  <si>
    <t xml:space="preserve">AKO-KT-164</t>
  </si>
  <si>
    <t xml:space="preserve">AKO-KT-165</t>
  </si>
  <si>
    <t xml:space="preserve">AKO-KT-166</t>
  </si>
  <si>
    <t xml:space="preserve">AKO-KT-167</t>
  </si>
  <si>
    <t xml:space="preserve">AKO-KT-168</t>
  </si>
  <si>
    <t xml:space="preserve">AKO-KT-169</t>
  </si>
  <si>
    <t xml:space="preserve">AKO-KT-170</t>
  </si>
  <si>
    <t xml:space="preserve">AKO-KT-171</t>
  </si>
  <si>
    <t xml:space="preserve">AKO-KT-172</t>
  </si>
  <si>
    <t xml:space="preserve">AKO-KT-173</t>
  </si>
  <si>
    <t xml:space="preserve">AKO-KT-174</t>
  </si>
  <si>
    <t xml:space="preserve">AKO-KT-175</t>
  </si>
  <si>
    <t xml:space="preserve">AKO-KT-176</t>
  </si>
  <si>
    <t xml:space="preserve">AKO-KT-177</t>
  </si>
  <si>
    <t xml:space="preserve">AKO-KT-178</t>
  </si>
  <si>
    <t xml:space="preserve">AKO-KT-179</t>
  </si>
  <si>
    <t xml:space="preserve">AKO-KT-180</t>
  </si>
  <si>
    <t xml:space="preserve">AKO-KT-181</t>
  </si>
  <si>
    <t xml:space="preserve">AKO-KT-182</t>
  </si>
  <si>
    <t xml:space="preserve">AKO-KT-183</t>
  </si>
  <si>
    <t xml:space="preserve">AKO-KT-184</t>
  </si>
  <si>
    <t xml:space="preserve">AKO-KT-185</t>
  </si>
  <si>
    <t xml:space="preserve">AKO-KT-186</t>
  </si>
  <si>
    <t xml:space="preserve">AKO-KT-187</t>
  </si>
  <si>
    <t xml:space="preserve">AKO-KT-188</t>
  </si>
  <si>
    <t xml:space="preserve">AKO-KT-189</t>
  </si>
  <si>
    <t xml:space="preserve">AKO-KT-190</t>
  </si>
  <si>
    <t xml:space="preserve">AKO-KT-191</t>
  </si>
  <si>
    <t xml:space="preserve">AKO-KT-192</t>
  </si>
  <si>
    <t xml:space="preserve">AKO-KT-193</t>
  </si>
  <si>
    <t xml:space="preserve">AKO-KT-194</t>
  </si>
  <si>
    <t xml:space="preserve">AKO-KT-195</t>
  </si>
  <si>
    <t xml:space="preserve">AKO-KT-196</t>
  </si>
  <si>
    <t xml:space="preserve">AKO-KT-197</t>
  </si>
  <si>
    <t xml:space="preserve">AKO-KT-198</t>
  </si>
  <si>
    <t xml:space="preserve">AKO-KT-199</t>
  </si>
  <si>
    <t xml:space="preserve">AKO-KT-200</t>
  </si>
  <si>
    <t xml:space="preserve">AKO-KT-201</t>
  </si>
  <si>
    <t xml:space="preserve">AKO-KT-202</t>
  </si>
  <si>
    <t xml:space="preserve">AKO-KT-203</t>
  </si>
  <si>
    <t xml:space="preserve">AKO-KT-204</t>
  </si>
  <si>
    <t xml:space="preserve">AKO-KT-205</t>
  </si>
  <si>
    <t xml:space="preserve">AKO-KT-206</t>
  </si>
  <si>
    <t xml:space="preserve">AKO-KT-207</t>
  </si>
  <si>
    <t xml:space="preserve">AKO-KT-208</t>
  </si>
  <si>
    <t xml:space="preserve">AKO-KT-209</t>
  </si>
  <si>
    <t xml:space="preserve">AKO-KT-210</t>
  </si>
  <si>
    <t xml:space="preserve">AKO-KT-211</t>
  </si>
  <si>
    <t xml:space="preserve">AKO-KT-212</t>
  </si>
  <si>
    <t xml:space="preserve">AKO-KT-213</t>
  </si>
  <si>
    <t xml:space="preserve">AKO-KT-214</t>
  </si>
  <si>
    <t xml:space="preserve">AKO-KT-215</t>
  </si>
  <si>
    <t xml:space="preserve">AKO-KT-216</t>
  </si>
  <si>
    <t xml:space="preserve">AKO-KT-217</t>
  </si>
  <si>
    <t xml:space="preserve">AKO-KT-218</t>
  </si>
  <si>
    <t xml:space="preserve">AKO-KT-219</t>
  </si>
  <si>
    <t xml:space="preserve">AKO-KT-220</t>
  </si>
  <si>
    <t xml:space="preserve">AKO-KT-221</t>
  </si>
  <si>
    <t xml:space="preserve">AKO-KT-222</t>
  </si>
  <si>
    <t xml:space="preserve">AKO-KT-223</t>
  </si>
  <si>
    <t xml:space="preserve">AKO-KT-224</t>
  </si>
  <si>
    <t xml:space="preserve">AKO-KT-225</t>
  </si>
  <si>
    <t xml:space="preserve">AKO-KT-226</t>
  </si>
  <si>
    <t xml:space="preserve">AKO-KT-227</t>
  </si>
  <si>
    <t xml:space="preserve">AKO-KT-228</t>
  </si>
  <si>
    <t xml:space="preserve">AKO-KT-229</t>
  </si>
  <si>
    <t xml:space="preserve">AKO-KT-230</t>
  </si>
  <si>
    <t xml:space="preserve">AKO-KT-231</t>
  </si>
  <si>
    <t xml:space="preserve">AKO-KT-232</t>
  </si>
  <si>
    <t xml:space="preserve">AKO-KT-233</t>
  </si>
  <si>
    <t xml:space="preserve">AKO-KT-234</t>
  </si>
  <si>
    <t xml:space="preserve">AKO-KT-235</t>
  </si>
  <si>
    <t xml:space="preserve">AKO-KT-236</t>
  </si>
  <si>
    <t xml:space="preserve">AKO-KT-237</t>
  </si>
  <si>
    <t xml:space="preserve">AKO-KT-238</t>
  </si>
  <si>
    <t xml:space="preserve">AKO-KT-239</t>
  </si>
  <si>
    <t xml:space="preserve">AKO-KT-240</t>
  </si>
  <si>
    <t xml:space="preserve">AKO-KT-241</t>
  </si>
  <si>
    <t xml:space="preserve">AKO-KT-242</t>
  </si>
  <si>
    <t xml:space="preserve">AKO-KT-243</t>
  </si>
  <si>
    <t xml:space="preserve">AKO-KT-244</t>
  </si>
  <si>
    <t xml:space="preserve">AKO-KT-245</t>
  </si>
  <si>
    <t xml:space="preserve">AKO-KT-246</t>
  </si>
  <si>
    <t xml:space="preserve">AKO-KT-247</t>
  </si>
  <si>
    <t xml:space="preserve">AKO-KT-248</t>
  </si>
  <si>
    <t xml:space="preserve">AKO-KT-249</t>
  </si>
  <si>
    <t xml:space="preserve">AKO-KT-250</t>
  </si>
  <si>
    <t xml:space="preserve">AKO-KT-251</t>
  </si>
  <si>
    <t xml:space="preserve">AKO-KT-252</t>
  </si>
  <si>
    <t xml:space="preserve">AKO-KT-253</t>
  </si>
  <si>
    <t xml:space="preserve">AKO-KT-254</t>
  </si>
  <si>
    <t xml:space="preserve">AKO-KT-255</t>
  </si>
  <si>
    <t xml:space="preserve">AKO-KT-256</t>
  </si>
  <si>
    <t xml:space="preserve">AKO-KT-257</t>
  </si>
  <si>
    <t xml:space="preserve">AKO-KT-258</t>
  </si>
  <si>
    <t xml:space="preserve">AKO-KT-259</t>
  </si>
  <si>
    <t xml:space="preserve">AKO-KT-260</t>
  </si>
  <si>
    <t xml:space="preserve">AKO-KT-261</t>
  </si>
  <si>
    <t xml:space="preserve">AKO-KT-262</t>
  </si>
  <si>
    <t xml:space="preserve">AKO-KT-263</t>
  </si>
  <si>
    <t xml:space="preserve">AKO-KT-264</t>
  </si>
  <si>
    <t xml:space="preserve">AKO-KT-265</t>
  </si>
  <si>
    <t xml:space="preserve">AKO-KT-266</t>
  </si>
  <si>
    <t xml:space="preserve">AKO-KT-267</t>
  </si>
  <si>
    <t xml:space="preserve">AKO-KT-268</t>
  </si>
  <si>
    <t xml:space="preserve">AKO-KT-269</t>
  </si>
  <si>
    <t xml:space="preserve">AKO-KT-270</t>
  </si>
  <si>
    <t xml:space="preserve">AKO-KT-271</t>
  </si>
  <si>
    <t xml:space="preserve">AKO-KT-272</t>
  </si>
  <si>
    <t xml:space="preserve">AKO-KT-273</t>
  </si>
  <si>
    <t xml:space="preserve">AKO-KT-274</t>
  </si>
  <si>
    <t xml:space="preserve">AKO-KT-275</t>
  </si>
  <si>
    <t xml:space="preserve">AKO-KT-276</t>
  </si>
  <si>
    <t xml:space="preserve">AKO-KT-277</t>
  </si>
  <si>
    <t xml:space="preserve">AKO-KT-278</t>
  </si>
  <si>
    <t xml:space="preserve">AKO-KT-279</t>
  </si>
  <si>
    <t xml:space="preserve">AKO-KT-280</t>
  </si>
  <si>
    <t xml:space="preserve">AKO-KT-281</t>
  </si>
  <si>
    <t xml:space="preserve">AKO-KT-282</t>
  </si>
  <si>
    <t xml:space="preserve">AKO-KT-283</t>
  </si>
  <si>
    <t xml:space="preserve">AKO-KT-284</t>
  </si>
  <si>
    <t xml:space="preserve">AKO-KT-285</t>
  </si>
  <si>
    <t xml:space="preserve">AKO-KT-286</t>
  </si>
  <si>
    <t xml:space="preserve">AKO-KT-287</t>
  </si>
  <si>
    <t xml:space="preserve">AKO-KT-288</t>
  </si>
  <si>
    <t xml:space="preserve">AKO-KT-289</t>
  </si>
  <si>
    <t xml:space="preserve">AKO-KT-290</t>
  </si>
  <si>
    <t xml:space="preserve">AKO-KT-291</t>
  </si>
  <si>
    <t xml:space="preserve">AKO-KT-292</t>
  </si>
  <si>
    <t xml:space="preserve">AKO-KT-293</t>
  </si>
  <si>
    <t xml:space="preserve">AKO-KT-294</t>
  </si>
  <si>
    <t xml:space="preserve">AKO-KT-295</t>
  </si>
  <si>
    <t xml:space="preserve">AKO-KT-296</t>
  </si>
  <si>
    <t xml:space="preserve">AKO-KT-297</t>
  </si>
  <si>
    <t xml:space="preserve">AKO-KT-298</t>
  </si>
  <si>
    <t xml:space="preserve">AKO-KT-299</t>
  </si>
  <si>
    <t xml:space="preserve">AKO-KT-300</t>
  </si>
  <si>
    <t xml:space="preserve">Коды ТН ВЭД и ставки ввозной пошлины (ЕТТ ЕАЭС)</t>
  </si>
  <si>
    <t xml:space="preserve">Ставки — ориентир из открытых справочников (alta.ru, tws.by, ifcg.ru, kodtnved.ru), а не официальная база. Перед ввозом сверь код и ставку с брокером. Жёлтое — меняй: себестоимость пересчитается везде.</t>
  </si>
  <si>
    <t xml:space="preserve">Описание по ЕТТ</t>
  </si>
  <si>
    <t xml:space="preserve">НДС РК при ввозе</t>
  </si>
  <si>
    <t xml:space="preserve">Что у нас по этому коду</t>
  </si>
  <si>
    <t xml:space="preserve">Комментарий / насколько уверены</t>
  </si>
  <si>
    <t xml:space="preserve">Канаты и тросы из полипропилена / полиэтилена, линейная плотность &gt; 50 000 дтекс</t>
  </si>
  <si>
    <t xml:space="preserve">Канаты Ø16 / Ø19 (армированные и ПП)</t>
  </si>
  <si>
    <t xml:space="preserve">Ставка 10% подтверждена в справочниках до 2022 г. — проверь у брокера. Канат со стальным сердечником иногда оформляют по 7312 (стальные канаты) — уточни классификацию.</t>
  </si>
  <si>
    <t xml:space="preserve">Изделия из алюминия прочие</t>
  </si>
  <si>
    <t xml:space="preserve">Обжимные гильзы, втулки, алюминиевые соединители, хомуты</t>
  </si>
  <si>
    <t xml:space="preserve">Ставка 9% (по справочникам после 01.10.2022) — проверь.</t>
  </si>
  <si>
    <t xml:space="preserve">Изделия из чёрных металлов прочие (в т.ч. нержавеющая и оцинкованная сталь)</t>
  </si>
  <si>
    <t xml:space="preserve">Коуши, скобы, S-крюки, подвесы и шарниры качелей, кронштейны</t>
  </si>
  <si>
    <t xml:space="preserve">Ставка 7,5% — проверь.</t>
  </si>
  <si>
    <t xml:space="preserve">Гайки из чёрных металлов (рым-гайки). 10-значный код зависит от диаметра резьбы</t>
  </si>
  <si>
    <t xml:space="preserve">Рым-гайки М6 / М10</t>
  </si>
  <si>
    <t xml:space="preserve">Ставка по группе 7318 16 — 8%. Последние 4 знака кода уточни у брокера.</t>
  </si>
  <si>
    <t xml:space="preserve">Крюки и кольца ввертные (шурупы-кольца, крюки с резьбой)</t>
  </si>
  <si>
    <t xml:space="preserve">Шуруп-кольцо М10, крюки М8</t>
  </si>
  <si>
    <t xml:space="preserve">Ставку не нашёл, взял как у соседней группы 7318 (8%) — проверь.</t>
  </si>
  <si>
    <t xml:space="preserve">Изделия из пластмасс прочие</t>
  </si>
  <si>
    <t xml:space="preserve">Пластиковые соединители, коуши, вставки, перекладины, ручки, зацеп на канат</t>
  </si>
  <si>
    <t xml:space="preserve">Ставка 6,5% — проверь.</t>
  </si>
  <si>
    <t xml:space="preserve">Инвентарь для спорта и игр на открытом воздухе прочий</t>
  </si>
  <si>
    <t xml:space="preserve">Качели, сиденья, гнёзда, скалодромные зацепы</t>
  </si>
  <si>
    <t xml:space="preserve">Ставка 5% (ifcg.ru, kodtnved.ru). Качели иногда оформляют по 9506 91 — уточни.</t>
  </si>
  <si>
    <t xml:space="preserve">Инвентарь для общей физкультуры, гимнастики — прочий</t>
  </si>
  <si>
    <t xml:space="preserve">Гимнастические кольца</t>
  </si>
  <si>
    <t xml:space="preserve">Ставку точно не нашёл, взял 5% как у 9506 99 — проверь.</t>
  </si>
  <si>
    <t xml:space="preserve">НДС РК 16% платится на таможне с (таможенная стоимость + пошлина). Сбор за таможенное оформление и услуги брокера заложены в % логистики на листе «Сводка заказов».</t>
  </si>
  <si>
    <t xml:space="preserve">Поставщик (короткое имя)</t>
  </si>
  <si>
    <t xml:space="preserve">Полное название компании</t>
  </si>
  <si>
    <t xml:space="preserve">Город / страна</t>
  </si>
  <si>
    <t xml:space="preserve">Контактное лицо</t>
  </si>
  <si>
    <t xml:space="preserve">WeChat / WhatsApp</t>
  </si>
  <si>
    <t xml:space="preserve">Email</t>
  </si>
  <si>
    <t xml:space="preserve">Сайт / Alibaba / 1688</t>
  </si>
  <si>
    <t xml:space="preserve">Что поставляет</t>
  </si>
  <si>
    <t xml:space="preserve">MOQ / условия</t>
  </si>
  <si>
    <t xml:space="preserve">Срок производства, дн</t>
  </si>
  <si>
    <t xml:space="preserve">Оценка 1–5</t>
  </si>
  <si>
    <t xml:space="preserve">Нинбо, Китай</t>
  </si>
  <si>
    <t xml:space="preserve">Канаты, алюминиевые гильзы, коуши, скобы, рым-гайки, гнёзда, зацепы</t>
  </si>
  <si>
    <t xml:space="preserve">30% аванс / 70% (№1 — после приёмки, №2 — до отгрузки)</t>
  </si>
  <si>
    <t xml:space="preserve">Поставка DPU Хоргос (склад Dituo)</t>
  </si>
  <si>
    <t xml:space="preserve">Канаты, сиденья и люльки, подвесы, кронштейны, кольца, зацепы</t>
  </si>
  <si>
    <t xml:space="preserve">Ningbo P&amp;M</t>
  </si>
  <si>
    <t xml:space="preserve">Qingdao Florescence (реквизиты в договоре не заполнены)</t>
  </si>
  <si>
    <t xml:space="preserve">Циндао, Китай</t>
  </si>
  <si>
    <t xml:space="preserve">Гимнастические кольца, крепёж качелей, крюки, ручки, зацепы на канат</t>
  </si>
  <si>
    <t xml:space="preserve">30% аванс / 70% до отгрузки</t>
  </si>
  <si>
    <t xml:space="preserve">Поставка DPU Хоргос (склад Dituo). Брали сэмплы 3 позиций.</t>
  </si>
  <si>
    <t xml:space="preserve">Справочники и допущения (жёлтое — меняй, всё остальное подтянется)</t>
  </si>
  <si>
    <t xml:space="preserve">ЦВЕТА — коды пойдут в заголовки колонок и в артикулы вариантов (AKO-KN-001-BLACK). Переименуй COLOR-11/12 под свои.</t>
  </si>
  <si>
    <t xml:space="preserve">Да/Нет</t>
  </si>
  <si>
    <t xml:space="preserve">Код цвета</t>
  </si>
  <si>
    <t xml:space="preserve">Образец</t>
  </si>
  <si>
    <t xml:space="preserve">KZT</t>
  </si>
  <si>
    <t xml:space="preserve">Курсы примерные — обнови перед расчётом цен</t>
  </si>
  <si>
    <t xml:space="preserve">Чёрный</t>
  </si>
  <si>
    <t xml:space="preserve">Оранжевый</t>
  </si>
  <si>
    <t xml:space="preserve">Аванс оплачен</t>
  </si>
  <si>
    <t xml:space="preserve">USD</t>
  </si>
  <si>
    <t xml:space="preserve">Красный</t>
  </si>
  <si>
    <t xml:space="preserve">В производстве</t>
  </si>
  <si>
    <t xml:space="preserve">RUB</t>
  </si>
  <si>
    <t xml:space="preserve">Снят</t>
  </si>
  <si>
    <t xml:space="preserve">кг</t>
  </si>
  <si>
    <t xml:space="preserve">ПЭТ</t>
  </si>
  <si>
    <t xml:space="preserve">Синий</t>
  </si>
  <si>
    <t xml:space="preserve">Отгружено</t>
  </si>
  <si>
    <t xml:space="preserve">бухта</t>
  </si>
  <si>
    <t xml:space="preserve">Серый</t>
  </si>
  <si>
    <t xml:space="preserve">В пути</t>
  </si>
  <si>
    <t xml:space="preserve">Параметр</t>
  </si>
  <si>
    <t xml:space="preserve">Значение</t>
  </si>
  <si>
    <t xml:space="preserve">Зелёный</t>
  </si>
  <si>
    <t xml:space="preserve">На складе</t>
  </si>
  <si>
    <t xml:space="preserve">Логистика + растаможка, % к закупке — ОЦЕНКА, только для товаров без заказа</t>
  </si>
  <si>
    <t xml:space="preserve">Жёлтый</t>
  </si>
  <si>
    <t xml:space="preserve">Частично</t>
  </si>
  <si>
    <t xml:space="preserve">Скидка к цене zagluskha.ru, %</t>
  </si>
  <si>
    <t xml:space="preserve">WHITE</t>
  </si>
  <si>
    <t xml:space="preserve">Белый</t>
  </si>
  <si>
    <t xml:space="preserve">Отменён</t>
  </si>
  <si>
    <t xml:space="preserve">НДС Казахстан (платится при ввозе и в нашей цене)</t>
  </si>
  <si>
    <t xml:space="preserve">BEIGE</t>
  </si>
  <si>
    <t xml:space="preserve">Бежевый</t>
  </si>
  <si>
    <t xml:space="preserve">НДС Россия (сидит в цене на zagluskha.ru)</t>
  </si>
  <si>
    <t xml:space="preserve">Ставка РФ 22% — проверь; если цена на их сайте без НДС, поставь 0</t>
  </si>
  <si>
    <t xml:space="preserve">EPDM</t>
  </si>
  <si>
    <t xml:space="preserve">BROWN</t>
  </si>
  <si>
    <t xml:space="preserve">Коричневый</t>
  </si>
  <si>
    <t xml:space="preserve">Порог, шт</t>
  </si>
  <si>
    <t xml:space="preserve">Скидка от цены MOQ</t>
  </si>
  <si>
    <t xml:space="preserve">Полиуретан</t>
  </si>
  <si>
    <t xml:space="preserve">NATURAL</t>
  </si>
  <si>
    <t xml:space="preserve">Без окраски (металл)</t>
  </si>
  <si>
    <t xml:space="preserve">Пороги и скидки — мои допущения, подставь свои</t>
  </si>
  <si>
    <t xml:space="preserve">Полиэфирная смола</t>
  </si>
  <si>
    <t xml:space="preserve">MULTI</t>
  </si>
  <si>
    <t xml:space="preserve">Многоцвет / набор</t>
  </si>
  <si>
    <t xml:space="preserve">Стеклопластик</t>
  </si>
  <si>
    <t xml:space="preserve">Дерево</t>
  </si>
  <si>
    <t xml:space="preserve">Расчёт себестоимости и цен</t>
  </si>
  <si>
    <t xml:space="preserve">Ввозной НДС идёт в зачёт? (Да — не входит в себестоимость)</t>
  </si>
  <si>
    <t xml:space="preserve">Если ТОО не плательщик НДС — поставь «Нет», НДС при ввозе добавится в себестоимость</t>
  </si>
  <si>
    <t xml:space="preserve">Целевая маржа для автоцены (без НДС), если нет аналога</t>
  </si>
  <si>
    <t xml:space="preserve">Автоцена = ориентир zagluskha, но не ниже себестоимости с мин. маржой; без аналога — себестоимость с целевой маржой</t>
  </si>
  <si>
    <t xml:space="preserve">Минимальная маржа (ниже — красным; автоцена не опускается ниже)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</si>
</sst>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#,##0;\-#,##0;\-"/>
    <numFmt numFmtId="167" formatCode="0.0%;\-0.0%;\-"/>
    <numFmt numFmtId="168" formatCode="dd\.mm\.yyyy"/>
    <numFmt numFmtId="169" formatCode="#,##0.00;\-#,##0.00;\-"/>
    <numFmt numFmtId="170" formatCode="General"/>
    <numFmt numFmtId="171" formatCode="0.000"/>
    <numFmt numFmtId="172" formatCode="#,##0;\-#,##0;;"/>
    <numFmt numFmtId="173" formatCode="#,##0.00"/>
    <numFmt numFmtId="174" formatCode="0%"/>
  </numFmts>
  <fonts count="2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theme="1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F4E79"/>
        <bgColor rgb="FF1E5BC6"/>
      </patternFill>
    </fill>
    <fill>
      <patternFill patternType="solid">
        <fgColor rgb="FF6A1B9A"/>
        <bgColor rgb="FF7030A0"/>
      </patternFill>
    </fill>
    <fill>
      <patternFill patternType="solid">
        <fgColor rgb="FFF2F2F2"/>
        <bgColor rgb="FFFFF8D6"/>
      </patternFill>
    </fill>
    <fill>
      <patternFill patternType="solid">
        <fgColor rgb="FFDDEBF7"/>
        <bgColor rgb="FFE0E0E0"/>
      </patternFill>
    </fill>
    <fill>
      <patternFill patternType="solid">
        <fgColor rgb="FF00838F"/>
        <bgColor rgb="FF1E5BC6"/>
      </patternFill>
    </fill>
    <fill>
      <patternFill patternType="solid">
        <fgColor rgb="FFFFF8D6"/>
        <bgColor rgb="FFF2F2F2"/>
      </patternFill>
    </fill>
    <fill>
      <patternFill patternType="solid">
        <fgColor rgb="FFC55A11"/>
        <bgColor rgb="FFD32F2F"/>
      </patternFill>
    </fill>
    <fill>
      <patternFill patternType="solid">
        <fgColor rgb="FF2E7D32"/>
        <bgColor rgb="FF2E9E44"/>
      </patternFill>
    </fill>
    <fill>
      <patternFill patternType="solid">
        <fgColor rgb="FF595959"/>
        <bgColor rgb="FF6D4C41"/>
      </patternFill>
    </fill>
    <fill>
      <patternFill patternType="solid">
        <fgColor rgb="FF6D4C41"/>
        <bgColor rgb="FF7B4A2A"/>
      </patternFill>
    </fill>
    <fill>
      <patternFill patternType="solid">
        <fgColor rgb="FF7030A0"/>
        <bgColor rgb="FF6A1B9A"/>
      </patternFill>
    </fill>
    <fill>
      <patternFill patternType="solid">
        <fgColor rgb="FF000000"/>
        <bgColor rgb="FF003300"/>
      </patternFill>
    </fill>
    <fill>
      <patternFill patternType="solid">
        <fgColor rgb="FFF28C28"/>
        <bgColor rgb="FFFF8080"/>
      </patternFill>
    </fill>
    <fill>
      <patternFill patternType="solid">
        <fgColor rgb="FFD32F2F"/>
        <bgColor rgb="FFC55A11"/>
      </patternFill>
    </fill>
    <fill>
      <patternFill patternType="solid">
        <fgColor rgb="FF1E5BC6"/>
        <bgColor rgb="FF3366FF"/>
      </patternFill>
    </fill>
    <fill>
      <patternFill patternType="solid">
        <fgColor rgb="FF8C8C8C"/>
        <bgColor rgb="FF7F7F7F"/>
      </patternFill>
    </fill>
    <fill>
      <patternFill patternType="solid">
        <fgColor rgb="FF2E9E44"/>
        <bgColor rgb="FF2E7D32"/>
      </patternFill>
    </fill>
    <fill>
      <patternFill patternType="solid">
        <fgColor rgb="FFF2C200"/>
        <bgColor rgb="FFFFC000"/>
      </patternFill>
    </fill>
    <fill>
      <patternFill patternType="solid">
        <fgColor rgb="FFFFFFFF"/>
        <bgColor rgb="FFF2F2F2"/>
      </patternFill>
    </fill>
    <fill>
      <patternFill patternType="solid">
        <fgColor rgb="FFD8C3A0"/>
        <bgColor rgb="FFBFBFBF"/>
      </patternFill>
    </fill>
    <fill>
      <patternFill patternType="solid">
        <fgColor rgb="FF7B4A2A"/>
        <bgColor rgb="FF6D4C41"/>
      </patternFill>
    </fill>
    <fill>
      <patternFill patternType="solid">
        <fgColor rgb="FFE0E0E0"/>
        <bgColor rgb="FFDDEB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3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3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13" fillId="7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0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13" fillId="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22" fillId="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3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3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4">
    <dxf>
      <fill>
        <patternFill>
          <bgColor rgb="FFF8CBAD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FF8D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F28C28"/>
          <bgColor rgb="FF000000"/>
        </patternFill>
      </fill>
    </dxf>
    <dxf>
      <fill>
        <patternFill patternType="solid">
          <fgColor rgb="FFD32F2F"/>
          <bgColor rgb="FF000000"/>
        </patternFill>
      </fill>
    </dxf>
    <dxf>
      <fill>
        <patternFill patternType="solid">
          <fgColor rgb="FF1E5BC6"/>
          <bgColor rgb="FF000000"/>
        </patternFill>
      </fill>
    </dxf>
    <dxf>
      <fill>
        <patternFill patternType="solid">
          <fgColor rgb="FF8C8C8C"/>
          <bgColor rgb="FF000000"/>
        </patternFill>
      </fill>
    </dxf>
    <dxf>
      <fill>
        <patternFill patternType="solid">
          <fgColor rgb="FF2E9E44"/>
          <bgColor rgb="FF000000"/>
        </patternFill>
      </fill>
    </dxf>
    <dxf>
      <fill>
        <patternFill patternType="solid">
          <fgColor rgb="FFF2C200"/>
          <bgColor rgb="FF000000"/>
        </patternFill>
      </fill>
    </dxf>
    <dxf>
      <fill>
        <patternFill patternType="solid">
          <fgColor rgb="FFD8C3A0"/>
          <bgColor rgb="FF000000"/>
        </patternFill>
      </fill>
    </dxf>
    <dxf>
      <fill>
        <patternFill patternType="solid">
          <fgColor rgb="FF7B4A2A"/>
          <bgColor rgb="FF000000"/>
        </patternFill>
      </fill>
    </dxf>
    <dxf>
      <fill>
        <patternFill patternType="solid">
          <fgColor rgb="FFE0E0E0"/>
          <bgColor rgb="FF000000"/>
        </patternFill>
      </fill>
    </dxf>
    <dxf>
      <fill>
        <patternFill patternType="solid">
          <fgColor rgb="FF00838F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ont>
        <name val="Arial"/>
        <charset val="1"/>
        <family val="0"/>
        <b val="1"/>
        <color rgb="FF1B5E20"/>
      </font>
      <fill>
        <patternFill>
          <bgColor rgb="FFC8E6C9"/>
        </patternFill>
      </fill>
    </dxf>
    <dxf>
      <font>
        <name val="Arial"/>
        <charset val="1"/>
        <family val="0"/>
        <color rgb="FFBFBFBF"/>
      </font>
    </dxf>
    <dxf>
      <font>
        <name val="Arial"/>
        <charset val="1"/>
        <family val="0"/>
        <strike val="1"/>
        <color rgb="FFA6A6A6"/>
      </font>
    </dxf>
    <dxf>
      <fill>
        <patternFill>
          <bgColor rgb="FFF4B6B6"/>
        </patternFill>
      </fill>
    </dxf>
    <dxf>
      <fill>
        <patternFill>
          <bgColor rgb="FFFFC000"/>
        </patternFill>
      </fill>
    </dxf>
    <dxf>
      <fill>
        <patternFill patternType="solid">
          <fgColor rgb="FFFFC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2C200"/>
      <rgbColor rgb="FFFF00FF"/>
      <rgbColor rgb="FF00FFFF"/>
      <rgbColor rgb="FFD32F2F"/>
      <rgbColor rgb="FF008000"/>
      <rgbColor rgb="FF000080"/>
      <rgbColor rgb="FF808000"/>
      <rgbColor rgb="FF6A1B9A"/>
      <rgbColor rgb="FF00838F"/>
      <rgbColor rgb="FFBFBFBF"/>
      <rgbColor rgb="FF7F7F7F"/>
      <rgbColor rgb="FFA6A6A6"/>
      <rgbColor rgb="FF7030A0"/>
      <rgbColor rgb="FFFFF8D6"/>
      <rgbColor rgb="FFDDEBF7"/>
      <rgbColor rgb="FF660066"/>
      <rgbColor rgb="FFFF8080"/>
      <rgbColor rgb="FF1E5BC6"/>
      <rgbColor rgb="FFD0D0D0"/>
      <rgbColor rgb="FF000080"/>
      <rgbColor rgb="FFFF00FF"/>
      <rgbColor rgb="FFE0E0E0"/>
      <rgbColor rgb="FF00FFFF"/>
      <rgbColor rgb="FF800080"/>
      <rgbColor rgb="FF800000"/>
      <rgbColor rgb="FF2E7D32"/>
      <rgbColor rgb="FF0000FF"/>
      <rgbColor rgb="FF00CCFF"/>
      <rgbColor rgb="FFF2F2F2"/>
      <rgbColor rgb="FFC6EFCE"/>
      <rgbColor rgb="FFFFEB9C"/>
      <rgbColor rgb="FFC8E6C9"/>
      <rgbColor rgb="FFF4B6B6"/>
      <rgbColor rgb="FFD8C3A0"/>
      <rgbColor rgb="FFF8CBAD"/>
      <rgbColor rgb="FF3366FF"/>
      <rgbColor rgb="FF33CCCC"/>
      <rgbColor rgb="FF99CC00"/>
      <rgbColor rgb="FFFFC000"/>
      <rgbColor rgb="FFF28C28"/>
      <rgbColor rgb="FFC55A11"/>
      <rgbColor rgb="FF595959"/>
      <rgbColor rgb="FF8C8C8C"/>
      <rgbColor rgb="FF003366"/>
      <rgbColor rgb="FF2E9E44"/>
      <rgbColor rgb="FF003300"/>
      <rgbColor rgb="FF333300"/>
      <rgbColor rgb="FF7B4A2A"/>
      <rgbColor rgb="FF6D4C41"/>
      <rgbColor rgb="FF1F4E79"/>
      <rgbColor rgb="FF1B5E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2.jpeg"/><Relationship Id="rId14" Type="http://schemas.openxmlformats.org/officeDocument/2006/relationships/image" Target="../media/image12.jpeg"/><Relationship Id="rId15" Type="http://schemas.openxmlformats.org/officeDocument/2006/relationships/image" Target="../media/image12.jpeg"/><Relationship Id="rId16" Type="http://schemas.openxmlformats.org/officeDocument/2006/relationships/image" Target="../media/image12.jpeg"/><Relationship Id="rId17" Type="http://schemas.openxmlformats.org/officeDocument/2006/relationships/image" Target="../media/image13.jpeg"/><Relationship Id="rId18" Type="http://schemas.openxmlformats.org/officeDocument/2006/relationships/image" Target="../media/image14.jpeg"/><Relationship Id="rId19" Type="http://schemas.openxmlformats.org/officeDocument/2006/relationships/image" Target="../media/image15.jpeg"/><Relationship Id="rId20" Type="http://schemas.openxmlformats.org/officeDocument/2006/relationships/image" Target="../media/image16.jpeg"/><Relationship Id="rId21" Type="http://schemas.openxmlformats.org/officeDocument/2006/relationships/image" Target="../media/image17.jpeg"/><Relationship Id="rId22" Type="http://schemas.openxmlformats.org/officeDocument/2006/relationships/image" Target="../media/image18.jpeg"/><Relationship Id="rId23" Type="http://schemas.openxmlformats.org/officeDocument/2006/relationships/image" Target="../media/image19.jpeg"/><Relationship Id="rId24" Type="http://schemas.openxmlformats.org/officeDocument/2006/relationships/image" Target="../media/image20.jpeg"/><Relationship Id="rId25" Type="http://schemas.openxmlformats.org/officeDocument/2006/relationships/image" Target="../media/image21.jpeg"/><Relationship Id="rId26" Type="http://schemas.openxmlformats.org/officeDocument/2006/relationships/image" Target="../media/image22.jpeg"/><Relationship Id="rId27" Type="http://schemas.openxmlformats.org/officeDocument/2006/relationships/image" Target="../media/image23.jpeg"/><Relationship Id="rId28" Type="http://schemas.openxmlformats.org/officeDocument/2006/relationships/image" Target="../media/image24.jpeg"/><Relationship Id="rId29" Type="http://schemas.openxmlformats.org/officeDocument/2006/relationships/image" Target="../media/image25.jpeg"/><Relationship Id="rId30" Type="http://schemas.openxmlformats.org/officeDocument/2006/relationships/image" Target="../media/image26.jpeg"/><Relationship Id="rId31" Type="http://schemas.openxmlformats.org/officeDocument/2006/relationships/image" Target="../media/image27.jpeg"/><Relationship Id="rId32" Type="http://schemas.openxmlformats.org/officeDocument/2006/relationships/image" Target="../media/image28.jpeg"/><Relationship Id="rId33" Type="http://schemas.openxmlformats.org/officeDocument/2006/relationships/image" Target="../media/image29.jpeg"/><Relationship Id="rId34" Type="http://schemas.openxmlformats.org/officeDocument/2006/relationships/image" Target="../media/image30.jpeg"/><Relationship Id="rId35" Type="http://schemas.openxmlformats.org/officeDocument/2006/relationships/image" Target="../media/image31.jpeg"/><Relationship Id="rId36" Type="http://schemas.openxmlformats.org/officeDocument/2006/relationships/image" Target="../media/image32.jpeg"/><Relationship Id="rId37" Type="http://schemas.openxmlformats.org/officeDocument/2006/relationships/image" Target="../media/image33.jpeg"/><Relationship Id="rId38" Type="http://schemas.openxmlformats.org/officeDocument/2006/relationships/image" Target="../media/image34.jpeg"/><Relationship Id="rId39" Type="http://schemas.openxmlformats.org/officeDocument/2006/relationships/image" Target="../media/image35.jpeg"/><Relationship Id="rId40" Type="http://schemas.openxmlformats.org/officeDocument/2006/relationships/image" Target="../media/image36.jpeg"/><Relationship Id="rId41" Type="http://schemas.openxmlformats.org/officeDocument/2006/relationships/image" Target="../media/image37.jpeg"/><Relationship Id="rId42" Type="http://schemas.openxmlformats.org/officeDocument/2006/relationships/image" Target="../media/image38.jpeg"/><Relationship Id="rId43" Type="http://schemas.openxmlformats.org/officeDocument/2006/relationships/image" Target="../media/image39.jpeg"/><Relationship Id="rId44" Type="http://schemas.openxmlformats.org/officeDocument/2006/relationships/image" Target="../media/image40.jpeg"/><Relationship Id="rId45" Type="http://schemas.openxmlformats.org/officeDocument/2006/relationships/image" Target="../media/image41.jpeg"/><Relationship Id="rId46" Type="http://schemas.openxmlformats.org/officeDocument/2006/relationships/image" Target="../media/image42.jpeg"/><Relationship Id="rId47" Type="http://schemas.openxmlformats.org/officeDocument/2006/relationships/image" Target="../media/image43.jpeg"/><Relationship Id="rId48" Type="http://schemas.openxmlformats.org/officeDocument/2006/relationships/image" Target="../media/image44.jpeg"/><Relationship Id="rId49" Type="http://schemas.openxmlformats.org/officeDocument/2006/relationships/image" Target="../media/image45.jpeg"/><Relationship Id="rId50" Type="http://schemas.openxmlformats.org/officeDocument/2006/relationships/image" Target="../media/image46.jpeg"/><Relationship Id="rId51" Type="http://schemas.openxmlformats.org/officeDocument/2006/relationships/image" Target="../media/image47.jpeg"/><Relationship Id="rId52" Type="http://schemas.openxmlformats.org/officeDocument/2006/relationships/image" Target="../media/image48.jpeg"/><Relationship Id="rId53" Type="http://schemas.openxmlformats.org/officeDocument/2006/relationships/image" Target="../media/image49.jpeg"/><Relationship Id="rId54" Type="http://schemas.openxmlformats.org/officeDocument/2006/relationships/image" Target="../media/image50.jpeg"/><Relationship Id="rId55" Type="http://schemas.openxmlformats.org/officeDocument/2006/relationships/image" Target="../media/image51.jpeg"/><Relationship Id="rId56" Type="http://schemas.openxmlformats.org/officeDocument/2006/relationships/image" Target="../media/image52.jpeg"/><Relationship Id="rId57" Type="http://schemas.openxmlformats.org/officeDocument/2006/relationships/image" Target="../media/image53.jpeg"/><Relationship Id="rId58" Type="http://schemas.openxmlformats.org/officeDocument/2006/relationships/image" Target="../media/image54.jpeg"/><Relationship Id="rId59" Type="http://schemas.openxmlformats.org/officeDocument/2006/relationships/image" Target="../media/image55.jpeg"/><Relationship Id="rId60" Type="http://schemas.openxmlformats.org/officeDocument/2006/relationships/image" Target="../media/image56.jpeg"/><Relationship Id="rId61" Type="http://schemas.openxmlformats.org/officeDocument/2006/relationships/image" Target="../media/image57.jpeg"/><Relationship Id="rId62" Type="http://schemas.openxmlformats.org/officeDocument/2006/relationships/image" Target="../media/image58.jpeg"/><Relationship Id="rId63" Type="http://schemas.openxmlformats.org/officeDocument/2006/relationships/image" Target="../media/image59.jpeg"/><Relationship Id="rId64" Type="http://schemas.openxmlformats.org/officeDocument/2006/relationships/image" Target="../media/image60.jpeg"/><Relationship Id="rId65" Type="http://schemas.openxmlformats.org/officeDocument/2006/relationships/image" Target="../media/image61.jpeg"/><Relationship Id="rId66" Type="http://schemas.openxmlformats.org/officeDocument/2006/relationships/image" Target="../media/image62.jpeg"/><Relationship Id="rId67" Type="http://schemas.openxmlformats.org/officeDocument/2006/relationships/image" Target="../media/image63.jpeg"/><Relationship Id="rId68" Type="http://schemas.openxmlformats.org/officeDocument/2006/relationships/image" Target="../media/image64.jpeg"/><Relationship Id="rId69" Type="http://schemas.openxmlformats.org/officeDocument/2006/relationships/image" Target="../media/image65.jpeg"/><Relationship Id="rId70" Type="http://schemas.openxmlformats.org/officeDocument/2006/relationships/image" Target="../media/image66.jpeg"/><Relationship Id="rId71" Type="http://schemas.openxmlformats.org/officeDocument/2006/relationships/image" Target="../media/image67.jpeg"/><Relationship Id="rId72" Type="http://schemas.openxmlformats.org/officeDocument/2006/relationships/image" Target="../media/image68.jpeg"/><Relationship Id="rId73" Type="http://schemas.openxmlformats.org/officeDocument/2006/relationships/image" Target="../media/image69.jpeg"/><Relationship Id="rId74" Type="http://schemas.openxmlformats.org/officeDocument/2006/relationships/image" Target="../media/image70.jpeg"/><Relationship Id="rId75" Type="http://schemas.openxmlformats.org/officeDocument/2006/relationships/image" Target="../media/image71.jpeg"/><Relationship Id="rId76" Type="http://schemas.openxmlformats.org/officeDocument/2006/relationships/image" Target="../media/image72.jpeg"/><Relationship Id="rId77" Type="http://schemas.openxmlformats.org/officeDocument/2006/relationships/image" Target="../media/image73.jpeg"/><Relationship Id="rId78" Type="http://schemas.openxmlformats.org/officeDocument/2006/relationships/image" Target="../media/image74.jpeg"/><Relationship Id="rId79" Type="http://schemas.openxmlformats.org/officeDocument/2006/relationships/image" Target="../media/image75.jpeg"/><Relationship Id="rId80" Type="http://schemas.openxmlformats.org/officeDocument/2006/relationships/image" Target="../media/image76.jpeg"/><Relationship Id="rId81" Type="http://schemas.openxmlformats.org/officeDocument/2006/relationships/image" Target="../media/image77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79.png"/><Relationship Id="rId3" Type="http://schemas.openxmlformats.org/officeDocument/2006/relationships/image" Target="../media/image80.png"/><Relationship Id="rId4" Type="http://schemas.openxmlformats.org/officeDocument/2006/relationships/image" Target="../media/image8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82.png"/><Relationship Id="rId2" Type="http://schemas.openxmlformats.org/officeDocument/2006/relationships/image" Target="../media/image83.png"/><Relationship Id="rId3" Type="http://schemas.openxmlformats.org/officeDocument/2006/relationships/image" Target="../media/image84.png"/><Relationship Id="rId4" Type="http://schemas.openxmlformats.org/officeDocument/2006/relationships/image" Target="../media/image85.png"/><Relationship Id="rId5" Type="http://schemas.openxmlformats.org/officeDocument/2006/relationships/image" Target="../media/image86.png"/><Relationship Id="rId6" Type="http://schemas.openxmlformats.org/officeDocument/2006/relationships/image" Target="../media/image87.png"/><Relationship Id="rId7" Type="http://schemas.openxmlformats.org/officeDocument/2006/relationships/image" Target="../media/image88.png"/><Relationship Id="rId8" Type="http://schemas.openxmlformats.org/officeDocument/2006/relationships/image" Target="../media/image89.png"/><Relationship Id="rId9" Type="http://schemas.openxmlformats.org/officeDocument/2006/relationships/image" Target="../media/image90.png"/><Relationship Id="rId10" Type="http://schemas.openxmlformats.org/officeDocument/2006/relationships/image" Target="../media/image91.png"/><Relationship Id="rId11" Type="http://schemas.openxmlformats.org/officeDocument/2006/relationships/image" Target="../media/image92.png"/><Relationship Id="rId12" Type="http://schemas.openxmlformats.org/officeDocument/2006/relationships/image" Target="../media/image93.png"/><Relationship Id="rId13" Type="http://schemas.openxmlformats.org/officeDocument/2006/relationships/image" Target="../media/image34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94.png"/><Relationship Id="rId2" Type="http://schemas.openxmlformats.org/officeDocument/2006/relationships/image" Target="../media/image95.png"/><Relationship Id="rId3" Type="http://schemas.openxmlformats.org/officeDocument/2006/relationships/image" Target="../media/image96.png"/><Relationship Id="rId4" Type="http://schemas.openxmlformats.org/officeDocument/2006/relationships/image" Target="../media/image97.png"/><Relationship Id="rId5" Type="http://schemas.openxmlformats.org/officeDocument/2006/relationships/image" Target="../media/image98.png"/><Relationship Id="rId6" Type="http://schemas.openxmlformats.org/officeDocument/2006/relationships/image" Target="../media/image99.png"/><Relationship Id="rId7" Type="http://schemas.openxmlformats.org/officeDocument/2006/relationships/image" Target="../media/image100.png"/><Relationship Id="rId8" Type="http://schemas.openxmlformats.org/officeDocument/2006/relationships/image" Target="../media/image101.png"/><Relationship Id="rId9" Type="http://schemas.openxmlformats.org/officeDocument/2006/relationships/image" Target="../media/image102.png"/><Relationship Id="rId10" Type="http://schemas.openxmlformats.org/officeDocument/2006/relationships/image" Target="../media/image103.png"/><Relationship Id="rId11" Type="http://schemas.openxmlformats.org/officeDocument/2006/relationships/image" Target="../media/image104.png"/><Relationship Id="rId12" Type="http://schemas.openxmlformats.org/officeDocument/2006/relationships/image" Target="../media/image105.png"/><Relationship Id="rId13" Type="http://schemas.openxmlformats.org/officeDocument/2006/relationships/image" Target="../media/image106.png"/><Relationship Id="rId14" Type="http://schemas.openxmlformats.org/officeDocument/2006/relationships/image" Target="../media/image107.png"/><Relationship Id="rId15" Type="http://schemas.openxmlformats.org/officeDocument/2006/relationships/image" Target="../media/image9.jpeg"/><Relationship Id="rId16" Type="http://schemas.openxmlformats.org/officeDocument/2006/relationships/image" Target="../media/image10.jpeg"/><Relationship Id="rId17" Type="http://schemas.openxmlformats.org/officeDocument/2006/relationships/image" Target="../media/image75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08.png"/><Relationship Id="rId2" Type="http://schemas.openxmlformats.org/officeDocument/2006/relationships/image" Target="../media/image109.png"/><Relationship Id="rId3" Type="http://schemas.openxmlformats.org/officeDocument/2006/relationships/image" Target="../media/image110.png"/><Relationship Id="rId4" Type="http://schemas.openxmlformats.org/officeDocument/2006/relationships/image" Target="../media/image11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12.png"/><Relationship Id="rId2" Type="http://schemas.openxmlformats.org/officeDocument/2006/relationships/image" Target="../media/image113.png"/><Relationship Id="rId3" Type="http://schemas.openxmlformats.org/officeDocument/2006/relationships/image" Target="../media/image1.jpeg"/><Relationship Id="rId4" Type="http://schemas.openxmlformats.org/officeDocument/2006/relationships/image" Target="../media/image54.jpeg"/><Relationship Id="rId5" Type="http://schemas.openxmlformats.org/officeDocument/2006/relationships/image" Target="../media/image56.jpeg"/><Relationship Id="rId6" Type="http://schemas.openxmlformats.org/officeDocument/2006/relationships/image" Target="../media/image57.jpeg"/><Relationship Id="rId7" Type="http://schemas.openxmlformats.org/officeDocument/2006/relationships/image" Target="../media/image61.jpeg"/><Relationship Id="rId8" Type="http://schemas.openxmlformats.org/officeDocument/2006/relationships/image" Target="../media/image62.jpeg"/><Relationship Id="rId9" Type="http://schemas.openxmlformats.org/officeDocument/2006/relationships/image" Target="../media/image11.jpe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2.jpeg"/><Relationship Id="rId2" Type="http://schemas.openxmlformats.org/officeDocument/2006/relationships/image" Target="../media/image67.jpeg"/><Relationship Id="rId3" Type="http://schemas.openxmlformats.org/officeDocument/2006/relationships/image" Target="../media/image76.jpe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8.jpeg"/><Relationship Id="rId3" Type="http://schemas.openxmlformats.org/officeDocument/2006/relationships/image" Target="../media/image63.jpeg"/><Relationship Id="rId4" Type="http://schemas.openxmlformats.org/officeDocument/2006/relationships/image" Target="../media/image64.jpeg"/><Relationship Id="rId5" Type="http://schemas.openxmlformats.org/officeDocument/2006/relationships/image" Target="../media/image65.jpeg"/><Relationship Id="rId6" Type="http://schemas.openxmlformats.org/officeDocument/2006/relationships/image" Target="../media/image66.jpeg"/><Relationship Id="rId7" Type="http://schemas.openxmlformats.org/officeDocument/2006/relationships/image" Target="../media/image72.jpeg"/><Relationship Id="rId8" Type="http://schemas.openxmlformats.org/officeDocument/2006/relationships/image" Target="../media/image73.jpeg"/><Relationship Id="rId9" Type="http://schemas.openxmlformats.org/officeDocument/2006/relationships/image" Target="../media/image74.jpe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4.jpeg"/><Relationship Id="rId2" Type="http://schemas.openxmlformats.org/officeDocument/2006/relationships/image" Target="../media/image5.jpeg"/><Relationship Id="rId3" Type="http://schemas.openxmlformats.org/officeDocument/2006/relationships/image" Target="../media/image6.jpeg"/><Relationship Id="rId4" Type="http://schemas.openxmlformats.org/officeDocument/2006/relationships/image" Target="../media/image7.jpeg"/><Relationship Id="rId5" Type="http://schemas.openxmlformats.org/officeDocument/2006/relationships/image" Target="../media/image35.jpeg"/><Relationship Id="rId6" Type="http://schemas.openxmlformats.org/officeDocument/2006/relationships/image" Target="../media/image36.jpeg"/><Relationship Id="rId7" Type="http://schemas.openxmlformats.org/officeDocument/2006/relationships/image" Target="../media/image37.jpeg"/><Relationship Id="rId8" Type="http://schemas.openxmlformats.org/officeDocument/2006/relationships/image" Target="../media/image38.jpeg"/><Relationship Id="rId9" Type="http://schemas.openxmlformats.org/officeDocument/2006/relationships/image" Target="../media/image39.jpeg"/><Relationship Id="rId10" Type="http://schemas.openxmlformats.org/officeDocument/2006/relationships/image" Target="../media/image40.jpeg"/><Relationship Id="rId11" Type="http://schemas.openxmlformats.org/officeDocument/2006/relationships/image" Target="../media/image41.jpeg"/><Relationship Id="rId12" Type="http://schemas.openxmlformats.org/officeDocument/2006/relationships/image" Target="../media/image71.jpeg"/><Relationship Id="rId13" Type="http://schemas.openxmlformats.org/officeDocument/2006/relationships/image" Target="../media/image77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4</xdr:col>
      <xdr:colOff>742680</xdr:colOff>
      <xdr:row>2</xdr:row>
      <xdr:rowOff>742680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3030840" y="1009800"/>
          <a:ext cx="74268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790200</xdr:colOff>
      <xdr:row>3</xdr:row>
      <xdr:rowOff>742680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3030840" y="1790640"/>
          <a:ext cx="79020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837720</xdr:colOff>
      <xdr:row>4</xdr:row>
      <xdr:rowOff>609120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3030840" y="2571840"/>
          <a:ext cx="8377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761760</xdr:colOff>
      <xdr:row>5</xdr:row>
      <xdr:rowOff>742680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3030840" y="3352680"/>
          <a:ext cx="76176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742680</xdr:colOff>
      <xdr:row>6</xdr:row>
      <xdr:rowOff>742680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3030840" y="4133880"/>
          <a:ext cx="74268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742680</xdr:colOff>
      <xdr:row>7</xdr:row>
      <xdr:rowOff>742680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3030840" y="4915080"/>
          <a:ext cx="74268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837720</xdr:colOff>
      <xdr:row>8</xdr:row>
      <xdr:rowOff>580680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3030840" y="5695920"/>
          <a:ext cx="837720" cy="580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742680</xdr:colOff>
      <xdr:row>9</xdr:row>
      <xdr:rowOff>742680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3030840" y="6477120"/>
          <a:ext cx="74268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837720</xdr:colOff>
      <xdr:row>10</xdr:row>
      <xdr:rowOff>685440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3030840" y="7257960"/>
          <a:ext cx="83772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685440</xdr:colOff>
      <xdr:row>11</xdr:row>
      <xdr:rowOff>742680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3030840" y="8039160"/>
          <a:ext cx="68544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837720</xdr:colOff>
      <xdr:row>12</xdr:row>
      <xdr:rowOff>561600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3030840" y="8820000"/>
          <a:ext cx="837720" cy="56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818640</xdr:colOff>
      <xdr:row>13</xdr:row>
      <xdr:rowOff>742680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3030840" y="9601200"/>
          <a:ext cx="81864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818640</xdr:colOff>
      <xdr:row>14</xdr:row>
      <xdr:rowOff>742680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3030840" y="10382400"/>
          <a:ext cx="81864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818640</xdr:colOff>
      <xdr:row>15</xdr:row>
      <xdr:rowOff>742680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3030840" y="11163240"/>
          <a:ext cx="81864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818640</xdr:colOff>
      <xdr:row>16</xdr:row>
      <xdr:rowOff>742680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3030840" y="11944440"/>
          <a:ext cx="81864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818640</xdr:colOff>
      <xdr:row>17</xdr:row>
      <xdr:rowOff>742680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3030840" y="12725280"/>
          <a:ext cx="81864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837720</xdr:colOff>
      <xdr:row>18</xdr:row>
      <xdr:rowOff>456840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3030840" y="13506480"/>
          <a:ext cx="837720" cy="45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837720</xdr:colOff>
      <xdr:row>19</xdr:row>
      <xdr:rowOff>466200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3030840" y="14287680"/>
          <a:ext cx="837720" cy="466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837720</xdr:colOff>
      <xdr:row>20</xdr:row>
      <xdr:rowOff>409320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3030840" y="15068520"/>
          <a:ext cx="837720" cy="409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837720</xdr:colOff>
      <xdr:row>21</xdr:row>
      <xdr:rowOff>409320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3030840" y="15849720"/>
          <a:ext cx="837720" cy="409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837720</xdr:colOff>
      <xdr:row>22</xdr:row>
      <xdr:rowOff>533160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3030840" y="16630560"/>
          <a:ext cx="8377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837720</xdr:colOff>
      <xdr:row>23</xdr:row>
      <xdr:rowOff>418680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3030840" y="1741176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837720</xdr:colOff>
      <xdr:row>24</xdr:row>
      <xdr:rowOff>418680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3030840" y="1819260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837720</xdr:colOff>
      <xdr:row>25</xdr:row>
      <xdr:rowOff>418680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3030840" y="1897380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837720</xdr:colOff>
      <xdr:row>26</xdr:row>
      <xdr:rowOff>418680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3030840" y="1975500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837720</xdr:colOff>
      <xdr:row>27</xdr:row>
      <xdr:rowOff>418680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3030840" y="2053584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837720</xdr:colOff>
      <xdr:row>28</xdr:row>
      <xdr:rowOff>418680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3030840" y="2131704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552240</xdr:colOff>
      <xdr:row>29</xdr:row>
      <xdr:rowOff>742680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3030840" y="22097880"/>
          <a:ext cx="55224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837720</xdr:colOff>
      <xdr:row>30</xdr:row>
      <xdr:rowOff>371160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3030840" y="22879080"/>
          <a:ext cx="837720" cy="371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837720</xdr:colOff>
      <xdr:row>31</xdr:row>
      <xdr:rowOff>418680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3030840" y="2366028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837720</xdr:colOff>
      <xdr:row>32</xdr:row>
      <xdr:rowOff>685440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3030840" y="24441120"/>
          <a:ext cx="83772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837720</xdr:colOff>
      <xdr:row>33</xdr:row>
      <xdr:rowOff>418680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3030840" y="2522232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837720</xdr:colOff>
      <xdr:row>34</xdr:row>
      <xdr:rowOff>418680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3030840" y="2600316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837720</xdr:colOff>
      <xdr:row>35</xdr:row>
      <xdr:rowOff>418680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3030840" y="2678436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837720</xdr:colOff>
      <xdr:row>36</xdr:row>
      <xdr:rowOff>418680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3030840" y="2756520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837720</xdr:colOff>
      <xdr:row>37</xdr:row>
      <xdr:rowOff>418680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3030840" y="2834640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837720</xdr:colOff>
      <xdr:row>38</xdr:row>
      <xdr:rowOff>418680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3030840" y="2912760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837720</xdr:colOff>
      <xdr:row>39</xdr:row>
      <xdr:rowOff>599760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3030840" y="29908440"/>
          <a:ext cx="837720" cy="59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837720</xdr:colOff>
      <xdr:row>40</xdr:row>
      <xdr:rowOff>418680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3030840" y="3068964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837720</xdr:colOff>
      <xdr:row>41</xdr:row>
      <xdr:rowOff>418680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3030840" y="3147048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837720</xdr:colOff>
      <xdr:row>42</xdr:row>
      <xdr:rowOff>418680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3030840" y="3225168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837720</xdr:colOff>
      <xdr:row>43</xdr:row>
      <xdr:rowOff>418680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3030840" y="3303288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837720</xdr:colOff>
      <xdr:row>44</xdr:row>
      <xdr:rowOff>418680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3030840" y="3381372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837720</xdr:colOff>
      <xdr:row>45</xdr:row>
      <xdr:rowOff>418680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3030840" y="3459492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837720</xdr:colOff>
      <xdr:row>46</xdr:row>
      <xdr:rowOff>418680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3030840" y="3537576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837720</xdr:colOff>
      <xdr:row>47</xdr:row>
      <xdr:rowOff>390240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3030840" y="36156960"/>
          <a:ext cx="837720" cy="390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837720</xdr:colOff>
      <xdr:row>48</xdr:row>
      <xdr:rowOff>371160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3030840" y="36937800"/>
          <a:ext cx="837720" cy="371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837720</xdr:colOff>
      <xdr:row>49</xdr:row>
      <xdr:rowOff>409320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3030840" y="37719000"/>
          <a:ext cx="837720" cy="409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837720</xdr:colOff>
      <xdr:row>50</xdr:row>
      <xdr:rowOff>390240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3030840" y="38500200"/>
          <a:ext cx="837720" cy="390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837720</xdr:colOff>
      <xdr:row>51</xdr:row>
      <xdr:rowOff>418680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3030840" y="3928104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837720</xdr:colOff>
      <xdr:row>52</xdr:row>
      <xdr:rowOff>418680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3030840" y="4006224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837720</xdr:colOff>
      <xdr:row>53</xdr:row>
      <xdr:rowOff>418680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3030840" y="4084308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837720</xdr:colOff>
      <xdr:row>54</xdr:row>
      <xdr:rowOff>418680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3030840" y="4162428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837720</xdr:colOff>
      <xdr:row>55</xdr:row>
      <xdr:rowOff>409320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3030840" y="42405480"/>
          <a:ext cx="837720" cy="409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837720</xdr:colOff>
      <xdr:row>56</xdr:row>
      <xdr:rowOff>409320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3030840" y="43186320"/>
          <a:ext cx="837720" cy="409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837720</xdr:colOff>
      <xdr:row>57</xdr:row>
      <xdr:rowOff>399600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3030840" y="43967520"/>
          <a:ext cx="837720" cy="399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837720</xdr:colOff>
      <xdr:row>58</xdr:row>
      <xdr:rowOff>418680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3030840" y="4474836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837720</xdr:colOff>
      <xdr:row>59</xdr:row>
      <xdr:rowOff>409320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3030840" y="45529560"/>
          <a:ext cx="837720" cy="409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837720</xdr:colOff>
      <xdr:row>60</xdr:row>
      <xdr:rowOff>418680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3030840" y="4631040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837720</xdr:colOff>
      <xdr:row>61</xdr:row>
      <xdr:rowOff>371160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3030840" y="47091600"/>
          <a:ext cx="837720" cy="371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837720</xdr:colOff>
      <xdr:row>62</xdr:row>
      <xdr:rowOff>371160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3030840" y="47872800"/>
          <a:ext cx="837720" cy="371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837720</xdr:colOff>
      <xdr:row>63</xdr:row>
      <xdr:rowOff>418680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3030840" y="4865364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837720</xdr:colOff>
      <xdr:row>64</xdr:row>
      <xdr:rowOff>371160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3030840" y="49434840"/>
          <a:ext cx="837720" cy="371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837720</xdr:colOff>
      <xdr:row>65</xdr:row>
      <xdr:rowOff>418680</xdr:rowOff>
    </xdr:to>
    <xdr:pic>
      <xdr:nvPicPr>
        <xdr:cNvPr id="63" name="Image 64" descr="Picture"/>
        <xdr:cNvPicPr/>
      </xdr:nvPicPr>
      <xdr:blipFill>
        <a:blip r:embed="rId64"/>
        <a:stretch/>
      </xdr:blipFill>
      <xdr:spPr>
        <a:xfrm>
          <a:off x="3030840" y="5021568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837720</xdr:colOff>
      <xdr:row>66</xdr:row>
      <xdr:rowOff>361440</xdr:rowOff>
    </xdr:to>
    <xdr:pic>
      <xdr:nvPicPr>
        <xdr:cNvPr id="64" name="Image 65" descr="Picture"/>
        <xdr:cNvPicPr/>
      </xdr:nvPicPr>
      <xdr:blipFill>
        <a:blip r:embed="rId65"/>
        <a:stretch/>
      </xdr:blipFill>
      <xdr:spPr>
        <a:xfrm>
          <a:off x="3030840" y="50996880"/>
          <a:ext cx="837720" cy="361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837720</xdr:colOff>
      <xdr:row>67</xdr:row>
      <xdr:rowOff>342720</xdr:rowOff>
    </xdr:to>
    <xdr:pic>
      <xdr:nvPicPr>
        <xdr:cNvPr id="65" name="Image 66" descr="Picture"/>
        <xdr:cNvPicPr/>
      </xdr:nvPicPr>
      <xdr:blipFill>
        <a:blip r:embed="rId66"/>
        <a:stretch/>
      </xdr:blipFill>
      <xdr:spPr>
        <a:xfrm>
          <a:off x="3030840" y="51778080"/>
          <a:ext cx="837720" cy="34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837720</xdr:colOff>
      <xdr:row>68</xdr:row>
      <xdr:rowOff>418680</xdr:rowOff>
    </xdr:to>
    <xdr:pic>
      <xdr:nvPicPr>
        <xdr:cNvPr id="66" name="Image 67" descr="Picture"/>
        <xdr:cNvPicPr/>
      </xdr:nvPicPr>
      <xdr:blipFill>
        <a:blip r:embed="rId67"/>
        <a:stretch/>
      </xdr:blipFill>
      <xdr:spPr>
        <a:xfrm>
          <a:off x="3030840" y="5255892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837720</xdr:colOff>
      <xdr:row>69</xdr:row>
      <xdr:rowOff>418680</xdr:rowOff>
    </xdr:to>
    <xdr:pic>
      <xdr:nvPicPr>
        <xdr:cNvPr id="67" name="Image 68" descr="Picture"/>
        <xdr:cNvPicPr/>
      </xdr:nvPicPr>
      <xdr:blipFill>
        <a:blip r:embed="rId68"/>
        <a:stretch/>
      </xdr:blipFill>
      <xdr:spPr>
        <a:xfrm>
          <a:off x="3030840" y="5334012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837720</xdr:colOff>
      <xdr:row>70</xdr:row>
      <xdr:rowOff>418680</xdr:rowOff>
    </xdr:to>
    <xdr:pic>
      <xdr:nvPicPr>
        <xdr:cNvPr id="68" name="Image 69" descr="Picture"/>
        <xdr:cNvPicPr/>
      </xdr:nvPicPr>
      <xdr:blipFill>
        <a:blip r:embed="rId69"/>
        <a:stretch/>
      </xdr:blipFill>
      <xdr:spPr>
        <a:xfrm>
          <a:off x="3030840" y="5412096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837720</xdr:colOff>
      <xdr:row>71</xdr:row>
      <xdr:rowOff>418680</xdr:rowOff>
    </xdr:to>
    <xdr:pic>
      <xdr:nvPicPr>
        <xdr:cNvPr id="69" name="Image 70" descr="Picture"/>
        <xdr:cNvPicPr/>
      </xdr:nvPicPr>
      <xdr:blipFill>
        <a:blip r:embed="rId70"/>
        <a:stretch/>
      </xdr:blipFill>
      <xdr:spPr>
        <a:xfrm>
          <a:off x="3030840" y="5490216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837720</xdr:colOff>
      <xdr:row>72</xdr:row>
      <xdr:rowOff>418680</xdr:rowOff>
    </xdr:to>
    <xdr:pic>
      <xdr:nvPicPr>
        <xdr:cNvPr id="70" name="Image 71" descr="Picture"/>
        <xdr:cNvPicPr/>
      </xdr:nvPicPr>
      <xdr:blipFill>
        <a:blip r:embed="rId71"/>
        <a:stretch/>
      </xdr:blipFill>
      <xdr:spPr>
        <a:xfrm>
          <a:off x="3030840" y="55683000"/>
          <a:ext cx="8377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837720</xdr:colOff>
      <xdr:row>73</xdr:row>
      <xdr:rowOff>580680</xdr:rowOff>
    </xdr:to>
    <xdr:pic>
      <xdr:nvPicPr>
        <xdr:cNvPr id="71" name="Image 72" descr="Picture"/>
        <xdr:cNvPicPr/>
      </xdr:nvPicPr>
      <xdr:blipFill>
        <a:blip r:embed="rId72"/>
        <a:stretch/>
      </xdr:blipFill>
      <xdr:spPr>
        <a:xfrm>
          <a:off x="3030840" y="56464200"/>
          <a:ext cx="837720" cy="580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495000</xdr:colOff>
      <xdr:row>74</xdr:row>
      <xdr:rowOff>742680</xdr:rowOff>
    </xdr:to>
    <xdr:pic>
      <xdr:nvPicPr>
        <xdr:cNvPr id="72" name="Image 73" descr="Picture"/>
        <xdr:cNvPicPr/>
      </xdr:nvPicPr>
      <xdr:blipFill>
        <a:blip r:embed="rId73"/>
        <a:stretch/>
      </xdr:blipFill>
      <xdr:spPr>
        <a:xfrm>
          <a:off x="3030840" y="57245400"/>
          <a:ext cx="49500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837720</xdr:colOff>
      <xdr:row>75</xdr:row>
      <xdr:rowOff>647280</xdr:rowOff>
    </xdr:to>
    <xdr:pic>
      <xdr:nvPicPr>
        <xdr:cNvPr id="73" name="Image 74" descr="Picture"/>
        <xdr:cNvPicPr/>
      </xdr:nvPicPr>
      <xdr:blipFill>
        <a:blip r:embed="rId74"/>
        <a:stretch/>
      </xdr:blipFill>
      <xdr:spPr>
        <a:xfrm>
          <a:off x="3030840" y="58026240"/>
          <a:ext cx="837720" cy="64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685440</xdr:colOff>
      <xdr:row>76</xdr:row>
      <xdr:rowOff>742680</xdr:rowOff>
    </xdr:to>
    <xdr:pic>
      <xdr:nvPicPr>
        <xdr:cNvPr id="74" name="Image 75" descr="Picture"/>
        <xdr:cNvPicPr/>
      </xdr:nvPicPr>
      <xdr:blipFill>
        <a:blip r:embed="rId75"/>
        <a:stretch/>
      </xdr:blipFill>
      <xdr:spPr>
        <a:xfrm>
          <a:off x="3030840" y="58807440"/>
          <a:ext cx="68544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799920</xdr:colOff>
      <xdr:row>77</xdr:row>
      <xdr:rowOff>742680</xdr:rowOff>
    </xdr:to>
    <xdr:pic>
      <xdr:nvPicPr>
        <xdr:cNvPr id="75" name="Image 76" descr="Picture"/>
        <xdr:cNvPicPr/>
      </xdr:nvPicPr>
      <xdr:blipFill>
        <a:blip r:embed="rId76"/>
        <a:stretch/>
      </xdr:blipFill>
      <xdr:spPr>
        <a:xfrm>
          <a:off x="3030840" y="59588280"/>
          <a:ext cx="79992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837720</xdr:colOff>
      <xdr:row>78</xdr:row>
      <xdr:rowOff>618840</xdr:rowOff>
    </xdr:to>
    <xdr:pic>
      <xdr:nvPicPr>
        <xdr:cNvPr id="76" name="Image 77" descr="Picture"/>
        <xdr:cNvPicPr/>
      </xdr:nvPicPr>
      <xdr:blipFill>
        <a:blip r:embed="rId77"/>
        <a:stretch/>
      </xdr:blipFill>
      <xdr:spPr>
        <a:xfrm>
          <a:off x="3030840" y="60369480"/>
          <a:ext cx="837720" cy="61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837720</xdr:colOff>
      <xdr:row>79</xdr:row>
      <xdr:rowOff>637920</xdr:rowOff>
    </xdr:to>
    <xdr:pic>
      <xdr:nvPicPr>
        <xdr:cNvPr id="77" name="Image 78" descr="Picture"/>
        <xdr:cNvPicPr/>
      </xdr:nvPicPr>
      <xdr:blipFill>
        <a:blip r:embed="rId78"/>
        <a:stretch/>
      </xdr:blipFill>
      <xdr:spPr>
        <a:xfrm>
          <a:off x="3030840" y="61150680"/>
          <a:ext cx="837720" cy="637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828360</xdr:colOff>
      <xdr:row>80</xdr:row>
      <xdr:rowOff>742680</xdr:rowOff>
    </xdr:to>
    <xdr:pic>
      <xdr:nvPicPr>
        <xdr:cNvPr id="78" name="Image 79" descr="Picture"/>
        <xdr:cNvPicPr/>
      </xdr:nvPicPr>
      <xdr:blipFill>
        <a:blip r:embed="rId79"/>
        <a:stretch/>
      </xdr:blipFill>
      <xdr:spPr>
        <a:xfrm>
          <a:off x="3030840" y="61931520"/>
          <a:ext cx="82836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837720</xdr:colOff>
      <xdr:row>81</xdr:row>
      <xdr:rowOff>609120</xdr:rowOff>
    </xdr:to>
    <xdr:pic>
      <xdr:nvPicPr>
        <xdr:cNvPr id="79" name="Image 80" descr="Picture"/>
        <xdr:cNvPicPr/>
      </xdr:nvPicPr>
      <xdr:blipFill>
        <a:blip r:embed="rId80"/>
        <a:stretch/>
      </xdr:blipFill>
      <xdr:spPr>
        <a:xfrm>
          <a:off x="3030840" y="62712720"/>
          <a:ext cx="8377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780840</xdr:colOff>
      <xdr:row>82</xdr:row>
      <xdr:rowOff>742680</xdr:rowOff>
    </xdr:to>
    <xdr:pic>
      <xdr:nvPicPr>
        <xdr:cNvPr id="80" name="Image 81" descr="Picture"/>
        <xdr:cNvPicPr/>
      </xdr:nvPicPr>
      <xdr:blipFill>
        <a:blip r:embed="rId81"/>
        <a:stretch/>
      </xdr:blipFill>
      <xdr:spPr>
        <a:xfrm>
          <a:off x="3030840" y="63493560"/>
          <a:ext cx="78084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</xdr:col>
      <xdr:colOff>342720</xdr:colOff>
      <xdr:row>2</xdr:row>
      <xdr:rowOff>199800</xdr:rowOff>
    </xdr:to>
    <xdr:pic>
      <xdr:nvPicPr>
        <xdr:cNvPr id="81" name="image1.png" descr=""/>
        <xdr:cNvPicPr/>
      </xdr:nvPicPr>
      <xdr:blipFill>
        <a:blip r:embed="rId1"/>
        <a:stretch/>
      </xdr:blipFill>
      <xdr:spPr>
        <a:xfrm>
          <a:off x="1832760" y="857160"/>
          <a:ext cx="34272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199800</xdr:colOff>
      <xdr:row>3</xdr:row>
      <xdr:rowOff>199800</xdr:rowOff>
    </xdr:to>
    <xdr:pic>
      <xdr:nvPicPr>
        <xdr:cNvPr id="82" name="image6.png" descr=""/>
        <xdr:cNvPicPr/>
      </xdr:nvPicPr>
      <xdr:blipFill>
        <a:blip r:embed="rId2"/>
        <a:stretch/>
      </xdr:blipFill>
      <xdr:spPr>
        <a:xfrm>
          <a:off x="1832760" y="1866960"/>
          <a:ext cx="19980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171000</xdr:colOff>
      <xdr:row>4</xdr:row>
      <xdr:rowOff>199800</xdr:rowOff>
    </xdr:to>
    <xdr:pic>
      <xdr:nvPicPr>
        <xdr:cNvPr id="83" name="image7.png" descr=""/>
        <xdr:cNvPicPr/>
      </xdr:nvPicPr>
      <xdr:blipFill>
        <a:blip r:embed="rId3"/>
        <a:stretch/>
      </xdr:blipFill>
      <xdr:spPr>
        <a:xfrm>
          <a:off x="1832760" y="2876400"/>
          <a:ext cx="17100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199800</xdr:colOff>
      <xdr:row>5</xdr:row>
      <xdr:rowOff>199800</xdr:rowOff>
    </xdr:to>
    <xdr:pic>
      <xdr:nvPicPr>
        <xdr:cNvPr id="84" name="image11.png" descr=""/>
        <xdr:cNvPicPr/>
      </xdr:nvPicPr>
      <xdr:blipFill>
        <a:blip r:embed="rId4"/>
        <a:stretch/>
      </xdr:blipFill>
      <xdr:spPr>
        <a:xfrm>
          <a:off x="1832760" y="3886200"/>
          <a:ext cx="199800" cy="19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</xdr:col>
      <xdr:colOff>228240</xdr:colOff>
      <xdr:row>2</xdr:row>
      <xdr:rowOff>199800</xdr:rowOff>
    </xdr:to>
    <xdr:pic>
      <xdr:nvPicPr>
        <xdr:cNvPr id="85" name="image25.png" descr=""/>
        <xdr:cNvPicPr/>
      </xdr:nvPicPr>
      <xdr:blipFill>
        <a:blip r:embed="rId1"/>
        <a:stretch/>
      </xdr:blipFill>
      <xdr:spPr>
        <a:xfrm>
          <a:off x="1832760" y="857160"/>
          <a:ext cx="22824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294840</xdr:colOff>
      <xdr:row>3</xdr:row>
      <xdr:rowOff>199800</xdr:rowOff>
    </xdr:to>
    <xdr:pic>
      <xdr:nvPicPr>
        <xdr:cNvPr id="86" name="image10.png" descr=""/>
        <xdr:cNvPicPr/>
      </xdr:nvPicPr>
      <xdr:blipFill>
        <a:blip r:embed="rId2"/>
        <a:stretch/>
      </xdr:blipFill>
      <xdr:spPr>
        <a:xfrm>
          <a:off x="1832760" y="1866960"/>
          <a:ext cx="29484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266400</xdr:colOff>
      <xdr:row>4</xdr:row>
      <xdr:rowOff>199800</xdr:rowOff>
    </xdr:to>
    <xdr:pic>
      <xdr:nvPicPr>
        <xdr:cNvPr id="87" name="image26.png" descr=""/>
        <xdr:cNvPicPr/>
      </xdr:nvPicPr>
      <xdr:blipFill>
        <a:blip r:embed="rId3"/>
        <a:stretch/>
      </xdr:blipFill>
      <xdr:spPr>
        <a:xfrm>
          <a:off x="1832760" y="2876400"/>
          <a:ext cx="26640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304560</xdr:colOff>
      <xdr:row>5</xdr:row>
      <xdr:rowOff>199800</xdr:rowOff>
    </xdr:to>
    <xdr:pic>
      <xdr:nvPicPr>
        <xdr:cNvPr id="88" name="image8.png" descr=""/>
        <xdr:cNvPicPr/>
      </xdr:nvPicPr>
      <xdr:blipFill>
        <a:blip r:embed="rId4"/>
        <a:stretch/>
      </xdr:blipFill>
      <xdr:spPr>
        <a:xfrm>
          <a:off x="1832760" y="3886200"/>
          <a:ext cx="30456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323640</xdr:colOff>
      <xdr:row>6</xdr:row>
      <xdr:rowOff>199800</xdr:rowOff>
    </xdr:to>
    <xdr:pic>
      <xdr:nvPicPr>
        <xdr:cNvPr id="89" name="image24.png" descr=""/>
        <xdr:cNvPicPr/>
      </xdr:nvPicPr>
      <xdr:blipFill>
        <a:blip r:embed="rId5"/>
        <a:stretch/>
      </xdr:blipFill>
      <xdr:spPr>
        <a:xfrm>
          <a:off x="1832760" y="4896000"/>
          <a:ext cx="32364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266400</xdr:colOff>
      <xdr:row>7</xdr:row>
      <xdr:rowOff>199800</xdr:rowOff>
    </xdr:to>
    <xdr:pic>
      <xdr:nvPicPr>
        <xdr:cNvPr id="90" name="image33.png" descr=""/>
        <xdr:cNvPicPr/>
      </xdr:nvPicPr>
      <xdr:blipFill>
        <a:blip r:embed="rId6"/>
        <a:stretch/>
      </xdr:blipFill>
      <xdr:spPr>
        <a:xfrm>
          <a:off x="1832760" y="5905440"/>
          <a:ext cx="26640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256680</xdr:colOff>
      <xdr:row>8</xdr:row>
      <xdr:rowOff>199800</xdr:rowOff>
    </xdr:to>
    <xdr:pic>
      <xdr:nvPicPr>
        <xdr:cNvPr id="91" name="image30.png" descr=""/>
        <xdr:cNvPicPr/>
      </xdr:nvPicPr>
      <xdr:blipFill>
        <a:blip r:embed="rId7"/>
        <a:stretch/>
      </xdr:blipFill>
      <xdr:spPr>
        <a:xfrm>
          <a:off x="1832760" y="6915240"/>
          <a:ext cx="25668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294840</xdr:colOff>
      <xdr:row>9</xdr:row>
      <xdr:rowOff>199800</xdr:rowOff>
    </xdr:to>
    <xdr:pic>
      <xdr:nvPicPr>
        <xdr:cNvPr id="92" name="image13.png" descr=""/>
        <xdr:cNvPicPr/>
      </xdr:nvPicPr>
      <xdr:blipFill>
        <a:blip r:embed="rId8"/>
        <a:stretch/>
      </xdr:blipFill>
      <xdr:spPr>
        <a:xfrm>
          <a:off x="1832760" y="7924680"/>
          <a:ext cx="29484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218880</xdr:colOff>
      <xdr:row>10</xdr:row>
      <xdr:rowOff>199800</xdr:rowOff>
    </xdr:to>
    <xdr:pic>
      <xdr:nvPicPr>
        <xdr:cNvPr id="93" name="image19.png" descr=""/>
        <xdr:cNvPicPr/>
      </xdr:nvPicPr>
      <xdr:blipFill>
        <a:blip r:embed="rId9"/>
        <a:stretch/>
      </xdr:blipFill>
      <xdr:spPr>
        <a:xfrm>
          <a:off x="1832760" y="8934480"/>
          <a:ext cx="21888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237600</xdr:colOff>
      <xdr:row>11</xdr:row>
      <xdr:rowOff>199800</xdr:rowOff>
    </xdr:to>
    <xdr:pic>
      <xdr:nvPicPr>
        <xdr:cNvPr id="94" name="image32.png" descr=""/>
        <xdr:cNvPicPr/>
      </xdr:nvPicPr>
      <xdr:blipFill>
        <a:blip r:embed="rId10"/>
        <a:stretch/>
      </xdr:blipFill>
      <xdr:spPr>
        <a:xfrm>
          <a:off x="1832760" y="9944280"/>
          <a:ext cx="23760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237600</xdr:colOff>
      <xdr:row>12</xdr:row>
      <xdr:rowOff>199800</xdr:rowOff>
    </xdr:to>
    <xdr:pic>
      <xdr:nvPicPr>
        <xdr:cNvPr id="95" name="image17.png" descr=""/>
        <xdr:cNvPicPr/>
      </xdr:nvPicPr>
      <xdr:blipFill>
        <a:blip r:embed="rId11"/>
        <a:stretch/>
      </xdr:blipFill>
      <xdr:spPr>
        <a:xfrm>
          <a:off x="1832760" y="10953720"/>
          <a:ext cx="23760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399600</xdr:colOff>
      <xdr:row>13</xdr:row>
      <xdr:rowOff>199800</xdr:rowOff>
    </xdr:to>
    <xdr:pic>
      <xdr:nvPicPr>
        <xdr:cNvPr id="96" name="image20.png" descr=""/>
        <xdr:cNvPicPr/>
      </xdr:nvPicPr>
      <xdr:blipFill>
        <a:blip r:embed="rId12"/>
        <a:stretch/>
      </xdr:blipFill>
      <xdr:spPr>
        <a:xfrm>
          <a:off x="1832760" y="11963520"/>
          <a:ext cx="39960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1114200</xdr:colOff>
      <xdr:row>14</xdr:row>
      <xdr:rowOff>799920</xdr:rowOff>
    </xdr:to>
    <xdr:pic>
      <xdr:nvPicPr>
        <xdr:cNvPr id="97" name="Image 13" descr="Picture"/>
        <xdr:cNvPicPr/>
      </xdr:nvPicPr>
      <xdr:blipFill>
        <a:blip r:embed="rId13"/>
        <a:stretch/>
      </xdr:blipFill>
      <xdr:spPr>
        <a:xfrm>
          <a:off x="1832760" y="12972960"/>
          <a:ext cx="1114200" cy="799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</xdr:col>
      <xdr:colOff>247320</xdr:colOff>
      <xdr:row>2</xdr:row>
      <xdr:rowOff>199800</xdr:rowOff>
    </xdr:to>
    <xdr:pic>
      <xdr:nvPicPr>
        <xdr:cNvPr id="98" name="image16.png" descr=""/>
        <xdr:cNvPicPr/>
      </xdr:nvPicPr>
      <xdr:blipFill>
        <a:blip r:embed="rId1"/>
        <a:stretch/>
      </xdr:blipFill>
      <xdr:spPr>
        <a:xfrm>
          <a:off x="1832760" y="857160"/>
          <a:ext cx="24732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228240</xdr:colOff>
      <xdr:row>3</xdr:row>
      <xdr:rowOff>199800</xdr:rowOff>
    </xdr:to>
    <xdr:pic>
      <xdr:nvPicPr>
        <xdr:cNvPr id="99" name="image9.png" descr=""/>
        <xdr:cNvPicPr/>
      </xdr:nvPicPr>
      <xdr:blipFill>
        <a:blip r:embed="rId2"/>
        <a:stretch/>
      </xdr:blipFill>
      <xdr:spPr>
        <a:xfrm>
          <a:off x="1832760" y="1866960"/>
          <a:ext cx="22824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418680</xdr:colOff>
      <xdr:row>4</xdr:row>
      <xdr:rowOff>199800</xdr:rowOff>
    </xdr:to>
    <xdr:pic>
      <xdr:nvPicPr>
        <xdr:cNvPr id="100" name="image27.png" descr=""/>
        <xdr:cNvPicPr/>
      </xdr:nvPicPr>
      <xdr:blipFill>
        <a:blip r:embed="rId3"/>
        <a:stretch/>
      </xdr:blipFill>
      <xdr:spPr>
        <a:xfrm>
          <a:off x="1832760" y="2876400"/>
          <a:ext cx="41868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285480</xdr:colOff>
      <xdr:row>5</xdr:row>
      <xdr:rowOff>199800</xdr:rowOff>
    </xdr:to>
    <xdr:pic>
      <xdr:nvPicPr>
        <xdr:cNvPr id="101" name="image3.png" descr=""/>
        <xdr:cNvPicPr/>
      </xdr:nvPicPr>
      <xdr:blipFill>
        <a:blip r:embed="rId4"/>
        <a:stretch/>
      </xdr:blipFill>
      <xdr:spPr>
        <a:xfrm>
          <a:off x="1832760" y="3886200"/>
          <a:ext cx="28548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199800</xdr:colOff>
      <xdr:row>6</xdr:row>
      <xdr:rowOff>199800</xdr:rowOff>
    </xdr:to>
    <xdr:pic>
      <xdr:nvPicPr>
        <xdr:cNvPr id="102" name="image4.png" descr=""/>
        <xdr:cNvPicPr/>
      </xdr:nvPicPr>
      <xdr:blipFill>
        <a:blip r:embed="rId5"/>
        <a:stretch/>
      </xdr:blipFill>
      <xdr:spPr>
        <a:xfrm>
          <a:off x="1832760" y="4896000"/>
          <a:ext cx="19980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256680</xdr:colOff>
      <xdr:row>7</xdr:row>
      <xdr:rowOff>199800</xdr:rowOff>
    </xdr:to>
    <xdr:pic>
      <xdr:nvPicPr>
        <xdr:cNvPr id="103" name="image31.png" descr=""/>
        <xdr:cNvPicPr/>
      </xdr:nvPicPr>
      <xdr:blipFill>
        <a:blip r:embed="rId6"/>
        <a:stretch/>
      </xdr:blipFill>
      <xdr:spPr>
        <a:xfrm>
          <a:off x="1832760" y="5905440"/>
          <a:ext cx="25668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275760</xdr:colOff>
      <xdr:row>8</xdr:row>
      <xdr:rowOff>199800</xdr:rowOff>
    </xdr:to>
    <xdr:pic>
      <xdr:nvPicPr>
        <xdr:cNvPr id="104" name="image14.png" descr=""/>
        <xdr:cNvPicPr/>
      </xdr:nvPicPr>
      <xdr:blipFill>
        <a:blip r:embed="rId7"/>
        <a:stretch/>
      </xdr:blipFill>
      <xdr:spPr>
        <a:xfrm>
          <a:off x="1832760" y="6915240"/>
          <a:ext cx="27576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294840</xdr:colOff>
      <xdr:row>9</xdr:row>
      <xdr:rowOff>199800</xdr:rowOff>
    </xdr:to>
    <xdr:pic>
      <xdr:nvPicPr>
        <xdr:cNvPr id="105" name="image15.png" descr=""/>
        <xdr:cNvPicPr/>
      </xdr:nvPicPr>
      <xdr:blipFill>
        <a:blip r:embed="rId8"/>
        <a:stretch/>
      </xdr:blipFill>
      <xdr:spPr>
        <a:xfrm>
          <a:off x="1832760" y="7924680"/>
          <a:ext cx="29484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228240</xdr:colOff>
      <xdr:row>10</xdr:row>
      <xdr:rowOff>199800</xdr:rowOff>
    </xdr:to>
    <xdr:pic>
      <xdr:nvPicPr>
        <xdr:cNvPr id="106" name="image28.png" descr=""/>
        <xdr:cNvPicPr/>
      </xdr:nvPicPr>
      <xdr:blipFill>
        <a:blip r:embed="rId9"/>
        <a:stretch/>
      </xdr:blipFill>
      <xdr:spPr>
        <a:xfrm>
          <a:off x="1832760" y="8934480"/>
          <a:ext cx="22824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333000</xdr:colOff>
      <xdr:row>11</xdr:row>
      <xdr:rowOff>199800</xdr:rowOff>
    </xdr:to>
    <xdr:pic>
      <xdr:nvPicPr>
        <xdr:cNvPr id="107" name="image5.png" descr=""/>
        <xdr:cNvPicPr/>
      </xdr:nvPicPr>
      <xdr:blipFill>
        <a:blip r:embed="rId10"/>
        <a:stretch/>
      </xdr:blipFill>
      <xdr:spPr>
        <a:xfrm>
          <a:off x="1832760" y="9944280"/>
          <a:ext cx="33300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313920</xdr:colOff>
      <xdr:row>12</xdr:row>
      <xdr:rowOff>199800</xdr:rowOff>
    </xdr:to>
    <xdr:pic>
      <xdr:nvPicPr>
        <xdr:cNvPr id="108" name="image23.png" descr=""/>
        <xdr:cNvPicPr/>
      </xdr:nvPicPr>
      <xdr:blipFill>
        <a:blip r:embed="rId11"/>
        <a:stretch/>
      </xdr:blipFill>
      <xdr:spPr>
        <a:xfrm>
          <a:off x="1832760" y="10953720"/>
          <a:ext cx="31392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275760</xdr:colOff>
      <xdr:row>13</xdr:row>
      <xdr:rowOff>199800</xdr:rowOff>
    </xdr:to>
    <xdr:pic>
      <xdr:nvPicPr>
        <xdr:cNvPr id="109" name="image34.png" descr=""/>
        <xdr:cNvPicPr/>
      </xdr:nvPicPr>
      <xdr:blipFill>
        <a:blip r:embed="rId12"/>
        <a:stretch/>
      </xdr:blipFill>
      <xdr:spPr>
        <a:xfrm>
          <a:off x="1832760" y="11963520"/>
          <a:ext cx="27576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237600</xdr:colOff>
      <xdr:row>14</xdr:row>
      <xdr:rowOff>199800</xdr:rowOff>
    </xdr:to>
    <xdr:pic>
      <xdr:nvPicPr>
        <xdr:cNvPr id="110" name="image18.png" descr=""/>
        <xdr:cNvPicPr/>
      </xdr:nvPicPr>
      <xdr:blipFill>
        <a:blip r:embed="rId13"/>
        <a:stretch/>
      </xdr:blipFill>
      <xdr:spPr>
        <a:xfrm>
          <a:off x="1832760" y="12972960"/>
          <a:ext cx="23760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256680</xdr:colOff>
      <xdr:row>15</xdr:row>
      <xdr:rowOff>199800</xdr:rowOff>
    </xdr:to>
    <xdr:pic>
      <xdr:nvPicPr>
        <xdr:cNvPr id="111" name="image21.png" descr=""/>
        <xdr:cNvPicPr/>
      </xdr:nvPicPr>
      <xdr:blipFill>
        <a:blip r:embed="rId14"/>
        <a:stretch/>
      </xdr:blipFill>
      <xdr:spPr>
        <a:xfrm>
          <a:off x="1832760" y="13982760"/>
          <a:ext cx="25668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1114200</xdr:colOff>
      <xdr:row>16</xdr:row>
      <xdr:rowOff>923400</xdr:rowOff>
    </xdr:to>
    <xdr:pic>
      <xdr:nvPicPr>
        <xdr:cNvPr id="112" name="Image 15" descr="Picture"/>
        <xdr:cNvPicPr/>
      </xdr:nvPicPr>
      <xdr:blipFill>
        <a:blip r:embed="rId15"/>
        <a:stretch/>
      </xdr:blipFill>
      <xdr:spPr>
        <a:xfrm>
          <a:off x="1832760" y="14992200"/>
          <a:ext cx="1114200" cy="923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885600</xdr:colOff>
      <xdr:row>17</xdr:row>
      <xdr:rowOff>952200</xdr:rowOff>
    </xdr:to>
    <xdr:pic>
      <xdr:nvPicPr>
        <xdr:cNvPr id="113" name="Image 16" descr="Picture"/>
        <xdr:cNvPicPr/>
      </xdr:nvPicPr>
      <xdr:blipFill>
        <a:blip r:embed="rId16"/>
        <a:stretch/>
      </xdr:blipFill>
      <xdr:spPr>
        <a:xfrm>
          <a:off x="1832760" y="16002000"/>
          <a:ext cx="8856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1066320</xdr:colOff>
      <xdr:row>18</xdr:row>
      <xdr:rowOff>952200</xdr:rowOff>
    </xdr:to>
    <xdr:pic>
      <xdr:nvPicPr>
        <xdr:cNvPr id="114" name="Image 17" descr="Picture"/>
        <xdr:cNvPicPr/>
      </xdr:nvPicPr>
      <xdr:blipFill>
        <a:blip r:embed="rId17"/>
        <a:stretch/>
      </xdr:blipFill>
      <xdr:spPr>
        <a:xfrm>
          <a:off x="1832760" y="17011800"/>
          <a:ext cx="1066320" cy="952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</xdr:col>
      <xdr:colOff>428400</xdr:colOff>
      <xdr:row>2</xdr:row>
      <xdr:rowOff>199800</xdr:rowOff>
    </xdr:to>
    <xdr:pic>
      <xdr:nvPicPr>
        <xdr:cNvPr id="115" name="image12.png" descr=""/>
        <xdr:cNvPicPr/>
      </xdr:nvPicPr>
      <xdr:blipFill>
        <a:blip r:embed="rId1"/>
        <a:stretch/>
      </xdr:blipFill>
      <xdr:spPr>
        <a:xfrm>
          <a:off x="1832760" y="857160"/>
          <a:ext cx="42840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399600</xdr:colOff>
      <xdr:row>3</xdr:row>
      <xdr:rowOff>199800</xdr:rowOff>
    </xdr:to>
    <xdr:pic>
      <xdr:nvPicPr>
        <xdr:cNvPr id="116" name="image29.png" descr=""/>
        <xdr:cNvPicPr/>
      </xdr:nvPicPr>
      <xdr:blipFill>
        <a:blip r:embed="rId2"/>
        <a:stretch/>
      </xdr:blipFill>
      <xdr:spPr>
        <a:xfrm>
          <a:off x="1832760" y="1866960"/>
          <a:ext cx="39960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390240</xdr:colOff>
      <xdr:row>4</xdr:row>
      <xdr:rowOff>199800</xdr:rowOff>
    </xdr:to>
    <xdr:pic>
      <xdr:nvPicPr>
        <xdr:cNvPr id="117" name="image22.png" descr=""/>
        <xdr:cNvPicPr/>
      </xdr:nvPicPr>
      <xdr:blipFill>
        <a:blip r:embed="rId3"/>
        <a:stretch/>
      </xdr:blipFill>
      <xdr:spPr>
        <a:xfrm>
          <a:off x="1832760" y="2876400"/>
          <a:ext cx="39024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399600</xdr:colOff>
      <xdr:row>5</xdr:row>
      <xdr:rowOff>199800</xdr:rowOff>
    </xdr:to>
    <xdr:pic>
      <xdr:nvPicPr>
        <xdr:cNvPr id="118" name="image2.png" descr=""/>
        <xdr:cNvPicPr/>
      </xdr:nvPicPr>
      <xdr:blipFill>
        <a:blip r:embed="rId4"/>
        <a:stretch/>
      </xdr:blipFill>
      <xdr:spPr>
        <a:xfrm>
          <a:off x="1832760" y="3886200"/>
          <a:ext cx="399600" cy="19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</xdr:col>
      <xdr:colOff>437760</xdr:colOff>
      <xdr:row>2</xdr:row>
      <xdr:rowOff>199800</xdr:rowOff>
    </xdr:to>
    <xdr:pic>
      <xdr:nvPicPr>
        <xdr:cNvPr id="119" name="image36.png" descr=""/>
        <xdr:cNvPicPr/>
      </xdr:nvPicPr>
      <xdr:blipFill>
        <a:blip r:embed="rId1"/>
        <a:stretch/>
      </xdr:blipFill>
      <xdr:spPr>
        <a:xfrm>
          <a:off x="1832760" y="857160"/>
          <a:ext cx="43776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428400</xdr:colOff>
      <xdr:row>3</xdr:row>
      <xdr:rowOff>199800</xdr:rowOff>
    </xdr:to>
    <xdr:pic>
      <xdr:nvPicPr>
        <xdr:cNvPr id="120" name="image35.png" descr=""/>
        <xdr:cNvPicPr/>
      </xdr:nvPicPr>
      <xdr:blipFill>
        <a:blip r:embed="rId2"/>
        <a:stretch/>
      </xdr:blipFill>
      <xdr:spPr>
        <a:xfrm>
          <a:off x="1832760" y="1866960"/>
          <a:ext cx="428400" cy="1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961560</xdr:colOff>
      <xdr:row>4</xdr:row>
      <xdr:rowOff>952200</xdr:rowOff>
    </xdr:to>
    <xdr:pic>
      <xdr:nvPicPr>
        <xdr:cNvPr id="121" name="Image 3" descr="Picture"/>
        <xdr:cNvPicPr/>
      </xdr:nvPicPr>
      <xdr:blipFill>
        <a:blip r:embed="rId3"/>
        <a:stretch/>
      </xdr:blipFill>
      <xdr:spPr>
        <a:xfrm>
          <a:off x="1832760" y="2876400"/>
          <a:ext cx="96156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1123560</xdr:colOff>
      <xdr:row>5</xdr:row>
      <xdr:rowOff>552240</xdr:rowOff>
    </xdr:to>
    <xdr:pic>
      <xdr:nvPicPr>
        <xdr:cNvPr id="122" name="Image 4" descr="Picture"/>
        <xdr:cNvPicPr/>
      </xdr:nvPicPr>
      <xdr:blipFill>
        <a:blip r:embed="rId4"/>
        <a:stretch/>
      </xdr:blipFill>
      <xdr:spPr>
        <a:xfrm>
          <a:off x="1832760" y="3886200"/>
          <a:ext cx="1123560" cy="55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1123560</xdr:colOff>
      <xdr:row>6</xdr:row>
      <xdr:rowOff>495000</xdr:rowOff>
    </xdr:to>
    <xdr:pic>
      <xdr:nvPicPr>
        <xdr:cNvPr id="123" name="Image 5" descr="Picture"/>
        <xdr:cNvPicPr/>
      </xdr:nvPicPr>
      <xdr:blipFill>
        <a:blip r:embed="rId5"/>
        <a:stretch/>
      </xdr:blipFill>
      <xdr:spPr>
        <a:xfrm>
          <a:off x="1832760" y="4896000"/>
          <a:ext cx="1123560" cy="49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1123560</xdr:colOff>
      <xdr:row>7</xdr:row>
      <xdr:rowOff>504360</xdr:rowOff>
    </xdr:to>
    <xdr:pic>
      <xdr:nvPicPr>
        <xdr:cNvPr id="124" name="Image 6" descr="Picture"/>
        <xdr:cNvPicPr/>
      </xdr:nvPicPr>
      <xdr:blipFill>
        <a:blip r:embed="rId6"/>
        <a:stretch/>
      </xdr:blipFill>
      <xdr:spPr>
        <a:xfrm>
          <a:off x="1832760" y="5905440"/>
          <a:ext cx="1123560" cy="50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1123560</xdr:colOff>
      <xdr:row>8</xdr:row>
      <xdr:rowOff>495000</xdr:rowOff>
    </xdr:to>
    <xdr:pic>
      <xdr:nvPicPr>
        <xdr:cNvPr id="125" name="Image 7" descr="Picture"/>
        <xdr:cNvPicPr/>
      </xdr:nvPicPr>
      <xdr:blipFill>
        <a:blip r:embed="rId7"/>
        <a:stretch/>
      </xdr:blipFill>
      <xdr:spPr>
        <a:xfrm>
          <a:off x="1832760" y="6915240"/>
          <a:ext cx="1123560" cy="49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1123560</xdr:colOff>
      <xdr:row>9</xdr:row>
      <xdr:rowOff>466200</xdr:rowOff>
    </xdr:to>
    <xdr:pic>
      <xdr:nvPicPr>
        <xdr:cNvPr id="126" name="Image 8" descr="Picture"/>
        <xdr:cNvPicPr/>
      </xdr:nvPicPr>
      <xdr:blipFill>
        <a:blip r:embed="rId8"/>
        <a:stretch/>
      </xdr:blipFill>
      <xdr:spPr>
        <a:xfrm>
          <a:off x="1832760" y="7924680"/>
          <a:ext cx="1123560" cy="466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1114200</xdr:colOff>
      <xdr:row>10</xdr:row>
      <xdr:rowOff>752040</xdr:rowOff>
    </xdr:to>
    <xdr:pic>
      <xdr:nvPicPr>
        <xdr:cNvPr id="127" name="Image 9" descr="Picture"/>
        <xdr:cNvPicPr/>
      </xdr:nvPicPr>
      <xdr:blipFill>
        <a:blip r:embed="rId9"/>
        <a:stretch/>
      </xdr:blipFill>
      <xdr:spPr>
        <a:xfrm>
          <a:off x="1832760" y="8934480"/>
          <a:ext cx="1114200" cy="752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</xdr:col>
      <xdr:colOff>1047240</xdr:colOff>
      <xdr:row>2</xdr:row>
      <xdr:rowOff>952200</xdr:rowOff>
    </xdr:to>
    <xdr:pic>
      <xdr:nvPicPr>
        <xdr:cNvPr id="128" name="Image 1" descr="Picture"/>
        <xdr:cNvPicPr/>
      </xdr:nvPicPr>
      <xdr:blipFill>
        <a:blip r:embed="rId1"/>
        <a:stretch/>
      </xdr:blipFill>
      <xdr:spPr>
        <a:xfrm>
          <a:off x="1832760" y="857160"/>
          <a:ext cx="104724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1123560</xdr:colOff>
      <xdr:row>3</xdr:row>
      <xdr:rowOff>561600</xdr:rowOff>
    </xdr:to>
    <xdr:pic>
      <xdr:nvPicPr>
        <xdr:cNvPr id="129" name="Image 2" descr="Picture"/>
        <xdr:cNvPicPr/>
      </xdr:nvPicPr>
      <xdr:blipFill>
        <a:blip r:embed="rId2"/>
        <a:stretch/>
      </xdr:blipFill>
      <xdr:spPr>
        <a:xfrm>
          <a:off x="1832760" y="1866960"/>
          <a:ext cx="1123560" cy="56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1123560</xdr:colOff>
      <xdr:row>4</xdr:row>
      <xdr:rowOff>828360</xdr:rowOff>
    </xdr:to>
    <xdr:pic>
      <xdr:nvPicPr>
        <xdr:cNvPr id="130" name="Image 3" descr="Picture"/>
        <xdr:cNvPicPr/>
      </xdr:nvPicPr>
      <xdr:blipFill>
        <a:blip r:embed="rId3"/>
        <a:stretch/>
      </xdr:blipFill>
      <xdr:spPr>
        <a:xfrm>
          <a:off x="1832760" y="2876400"/>
          <a:ext cx="1123560" cy="828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</xdr:col>
      <xdr:colOff>1009440</xdr:colOff>
      <xdr:row>2</xdr:row>
      <xdr:rowOff>952200</xdr:rowOff>
    </xdr:to>
    <xdr:pic>
      <xdr:nvPicPr>
        <xdr:cNvPr id="131" name="Image 1" descr="Picture"/>
        <xdr:cNvPicPr/>
      </xdr:nvPicPr>
      <xdr:blipFill>
        <a:blip r:embed="rId1"/>
        <a:stretch/>
      </xdr:blipFill>
      <xdr:spPr>
        <a:xfrm>
          <a:off x="1832760" y="857160"/>
          <a:ext cx="100944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952200</xdr:colOff>
      <xdr:row>3</xdr:row>
      <xdr:rowOff>952200</xdr:rowOff>
    </xdr:to>
    <xdr:pic>
      <xdr:nvPicPr>
        <xdr:cNvPr id="132" name="Image 2" descr="Picture"/>
        <xdr:cNvPicPr/>
      </xdr:nvPicPr>
      <xdr:blipFill>
        <a:blip r:embed="rId2"/>
        <a:stretch/>
      </xdr:blipFill>
      <xdr:spPr>
        <a:xfrm>
          <a:off x="1832760" y="186696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1123560</xdr:colOff>
      <xdr:row>4</xdr:row>
      <xdr:rowOff>561600</xdr:rowOff>
    </xdr:to>
    <xdr:pic>
      <xdr:nvPicPr>
        <xdr:cNvPr id="133" name="Image 3" descr="Picture"/>
        <xdr:cNvPicPr/>
      </xdr:nvPicPr>
      <xdr:blipFill>
        <a:blip r:embed="rId3"/>
        <a:stretch/>
      </xdr:blipFill>
      <xdr:spPr>
        <a:xfrm>
          <a:off x="1832760" y="2876400"/>
          <a:ext cx="1123560" cy="56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1123560</xdr:colOff>
      <xdr:row>5</xdr:row>
      <xdr:rowOff>561600</xdr:rowOff>
    </xdr:to>
    <xdr:pic>
      <xdr:nvPicPr>
        <xdr:cNvPr id="134" name="Image 4" descr="Picture"/>
        <xdr:cNvPicPr/>
      </xdr:nvPicPr>
      <xdr:blipFill>
        <a:blip r:embed="rId4"/>
        <a:stretch/>
      </xdr:blipFill>
      <xdr:spPr>
        <a:xfrm>
          <a:off x="1832760" y="3886200"/>
          <a:ext cx="1123560" cy="56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1123560</xdr:colOff>
      <xdr:row>6</xdr:row>
      <xdr:rowOff>561600</xdr:rowOff>
    </xdr:to>
    <xdr:pic>
      <xdr:nvPicPr>
        <xdr:cNvPr id="135" name="Image 5" descr="Picture"/>
        <xdr:cNvPicPr/>
      </xdr:nvPicPr>
      <xdr:blipFill>
        <a:blip r:embed="rId5"/>
        <a:stretch/>
      </xdr:blipFill>
      <xdr:spPr>
        <a:xfrm>
          <a:off x="1832760" y="4896000"/>
          <a:ext cx="1123560" cy="56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1123560</xdr:colOff>
      <xdr:row>7</xdr:row>
      <xdr:rowOff>561600</xdr:rowOff>
    </xdr:to>
    <xdr:pic>
      <xdr:nvPicPr>
        <xdr:cNvPr id="136" name="Image 6" descr="Picture"/>
        <xdr:cNvPicPr/>
      </xdr:nvPicPr>
      <xdr:blipFill>
        <a:blip r:embed="rId6"/>
        <a:stretch/>
      </xdr:blipFill>
      <xdr:spPr>
        <a:xfrm>
          <a:off x="1832760" y="5905440"/>
          <a:ext cx="1123560" cy="56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1018800</xdr:colOff>
      <xdr:row>8</xdr:row>
      <xdr:rowOff>952200</xdr:rowOff>
    </xdr:to>
    <xdr:pic>
      <xdr:nvPicPr>
        <xdr:cNvPr id="137" name="Image 7" descr="Picture"/>
        <xdr:cNvPicPr/>
      </xdr:nvPicPr>
      <xdr:blipFill>
        <a:blip r:embed="rId7"/>
        <a:stretch/>
      </xdr:blipFill>
      <xdr:spPr>
        <a:xfrm>
          <a:off x="1832760" y="6915240"/>
          <a:ext cx="10188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1123560</xdr:colOff>
      <xdr:row>9</xdr:row>
      <xdr:rowOff>837720</xdr:rowOff>
    </xdr:to>
    <xdr:pic>
      <xdr:nvPicPr>
        <xdr:cNvPr id="138" name="Image 8" descr="Picture"/>
        <xdr:cNvPicPr/>
      </xdr:nvPicPr>
      <xdr:blipFill>
        <a:blip r:embed="rId8"/>
        <a:stretch/>
      </xdr:blipFill>
      <xdr:spPr>
        <a:xfrm>
          <a:off x="1832760" y="7924680"/>
          <a:ext cx="1123560" cy="83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1123560</xdr:colOff>
      <xdr:row>10</xdr:row>
      <xdr:rowOff>856800</xdr:rowOff>
    </xdr:to>
    <xdr:pic>
      <xdr:nvPicPr>
        <xdr:cNvPr id="139" name="Image 9" descr="Picture"/>
        <xdr:cNvPicPr/>
      </xdr:nvPicPr>
      <xdr:blipFill>
        <a:blip r:embed="rId9"/>
        <a:stretch/>
      </xdr:blipFill>
      <xdr:spPr>
        <a:xfrm>
          <a:off x="1832760" y="8934480"/>
          <a:ext cx="1123560" cy="856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</xdr:col>
      <xdr:colOff>971280</xdr:colOff>
      <xdr:row>2</xdr:row>
      <xdr:rowOff>952200</xdr:rowOff>
    </xdr:to>
    <xdr:pic>
      <xdr:nvPicPr>
        <xdr:cNvPr id="140" name="Image 1" descr="Picture"/>
        <xdr:cNvPicPr/>
      </xdr:nvPicPr>
      <xdr:blipFill>
        <a:blip r:embed="rId1"/>
        <a:stretch/>
      </xdr:blipFill>
      <xdr:spPr>
        <a:xfrm>
          <a:off x="1832760" y="857160"/>
          <a:ext cx="97128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952200</xdr:colOff>
      <xdr:row>3</xdr:row>
      <xdr:rowOff>952200</xdr:rowOff>
    </xdr:to>
    <xdr:pic>
      <xdr:nvPicPr>
        <xdr:cNvPr id="141" name="Image 2" descr="Picture"/>
        <xdr:cNvPicPr/>
      </xdr:nvPicPr>
      <xdr:blipFill>
        <a:blip r:embed="rId2"/>
        <a:stretch/>
      </xdr:blipFill>
      <xdr:spPr>
        <a:xfrm>
          <a:off x="1832760" y="186696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952200</xdr:colOff>
      <xdr:row>4</xdr:row>
      <xdr:rowOff>952200</xdr:rowOff>
    </xdr:to>
    <xdr:pic>
      <xdr:nvPicPr>
        <xdr:cNvPr id="142" name="Image 3" descr="Picture"/>
        <xdr:cNvPicPr/>
      </xdr:nvPicPr>
      <xdr:blipFill>
        <a:blip r:embed="rId3"/>
        <a:stretch/>
      </xdr:blipFill>
      <xdr:spPr>
        <a:xfrm>
          <a:off x="1832760" y="287640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1123560</xdr:colOff>
      <xdr:row>5</xdr:row>
      <xdr:rowOff>780840</xdr:rowOff>
    </xdr:to>
    <xdr:pic>
      <xdr:nvPicPr>
        <xdr:cNvPr id="143" name="Image 4" descr="Picture"/>
        <xdr:cNvPicPr/>
      </xdr:nvPicPr>
      <xdr:blipFill>
        <a:blip r:embed="rId4"/>
        <a:stretch/>
      </xdr:blipFill>
      <xdr:spPr>
        <a:xfrm>
          <a:off x="1832760" y="3886200"/>
          <a:ext cx="1123560" cy="78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1123560</xdr:colOff>
      <xdr:row>6</xdr:row>
      <xdr:rowOff>561600</xdr:rowOff>
    </xdr:to>
    <xdr:pic>
      <xdr:nvPicPr>
        <xdr:cNvPr id="144" name="Image 5" descr="Picture"/>
        <xdr:cNvPicPr/>
      </xdr:nvPicPr>
      <xdr:blipFill>
        <a:blip r:embed="rId5"/>
        <a:stretch/>
      </xdr:blipFill>
      <xdr:spPr>
        <a:xfrm>
          <a:off x="1832760" y="4896000"/>
          <a:ext cx="1123560" cy="56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1123560</xdr:colOff>
      <xdr:row>7</xdr:row>
      <xdr:rowOff>561600</xdr:rowOff>
    </xdr:to>
    <xdr:pic>
      <xdr:nvPicPr>
        <xdr:cNvPr id="145" name="Image 6" descr="Picture"/>
        <xdr:cNvPicPr/>
      </xdr:nvPicPr>
      <xdr:blipFill>
        <a:blip r:embed="rId6"/>
        <a:stretch/>
      </xdr:blipFill>
      <xdr:spPr>
        <a:xfrm>
          <a:off x="1832760" y="5905440"/>
          <a:ext cx="1123560" cy="56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1123560</xdr:colOff>
      <xdr:row>8</xdr:row>
      <xdr:rowOff>561600</xdr:rowOff>
    </xdr:to>
    <xdr:pic>
      <xdr:nvPicPr>
        <xdr:cNvPr id="146" name="Image 7" descr="Picture"/>
        <xdr:cNvPicPr/>
      </xdr:nvPicPr>
      <xdr:blipFill>
        <a:blip r:embed="rId7"/>
        <a:stretch/>
      </xdr:blipFill>
      <xdr:spPr>
        <a:xfrm>
          <a:off x="1832760" y="6915240"/>
          <a:ext cx="1123560" cy="56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1123560</xdr:colOff>
      <xdr:row>9</xdr:row>
      <xdr:rowOff>561600</xdr:rowOff>
    </xdr:to>
    <xdr:pic>
      <xdr:nvPicPr>
        <xdr:cNvPr id="147" name="Image 8" descr="Picture"/>
        <xdr:cNvPicPr/>
      </xdr:nvPicPr>
      <xdr:blipFill>
        <a:blip r:embed="rId8"/>
        <a:stretch/>
      </xdr:blipFill>
      <xdr:spPr>
        <a:xfrm>
          <a:off x="1832760" y="7924680"/>
          <a:ext cx="1123560" cy="56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1123560</xdr:colOff>
      <xdr:row>10</xdr:row>
      <xdr:rowOff>561600</xdr:rowOff>
    </xdr:to>
    <xdr:pic>
      <xdr:nvPicPr>
        <xdr:cNvPr id="148" name="Image 9" descr="Picture"/>
        <xdr:cNvPicPr/>
      </xdr:nvPicPr>
      <xdr:blipFill>
        <a:blip r:embed="rId9"/>
        <a:stretch/>
      </xdr:blipFill>
      <xdr:spPr>
        <a:xfrm>
          <a:off x="1832760" y="8934480"/>
          <a:ext cx="1123560" cy="56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1123560</xdr:colOff>
      <xdr:row>11</xdr:row>
      <xdr:rowOff>561600</xdr:rowOff>
    </xdr:to>
    <xdr:pic>
      <xdr:nvPicPr>
        <xdr:cNvPr id="149" name="Image 10" descr="Picture"/>
        <xdr:cNvPicPr/>
      </xdr:nvPicPr>
      <xdr:blipFill>
        <a:blip r:embed="rId10"/>
        <a:stretch/>
      </xdr:blipFill>
      <xdr:spPr>
        <a:xfrm>
          <a:off x="1832760" y="9944280"/>
          <a:ext cx="1123560" cy="56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1123560</xdr:colOff>
      <xdr:row>12</xdr:row>
      <xdr:rowOff>561600</xdr:rowOff>
    </xdr:to>
    <xdr:pic>
      <xdr:nvPicPr>
        <xdr:cNvPr id="150" name="Image 11" descr="Picture"/>
        <xdr:cNvPicPr/>
      </xdr:nvPicPr>
      <xdr:blipFill>
        <a:blip r:embed="rId11"/>
        <a:stretch/>
      </xdr:blipFill>
      <xdr:spPr>
        <a:xfrm>
          <a:off x="1832760" y="10953720"/>
          <a:ext cx="1123560" cy="56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885600</xdr:colOff>
      <xdr:row>13</xdr:row>
      <xdr:rowOff>952200</xdr:rowOff>
    </xdr:to>
    <xdr:pic>
      <xdr:nvPicPr>
        <xdr:cNvPr id="151" name="Image 12" descr="Picture"/>
        <xdr:cNvPicPr/>
      </xdr:nvPicPr>
      <xdr:blipFill>
        <a:blip r:embed="rId12"/>
        <a:stretch/>
      </xdr:blipFill>
      <xdr:spPr>
        <a:xfrm>
          <a:off x="1832760" y="11963520"/>
          <a:ext cx="8856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1009440</xdr:colOff>
      <xdr:row>14</xdr:row>
      <xdr:rowOff>952200</xdr:rowOff>
    </xdr:to>
    <xdr:pic>
      <xdr:nvPicPr>
        <xdr:cNvPr id="152" name="Image 13" descr="Picture"/>
        <xdr:cNvPicPr/>
      </xdr:nvPicPr>
      <xdr:blipFill>
        <a:blip r:embed="rId13"/>
        <a:stretch/>
      </xdr:blipFill>
      <xdr:spPr>
        <a:xfrm>
          <a:off x="1832760" y="12972960"/>
          <a:ext cx="1009440" cy="952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9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0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Q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5" min="3" style="0" width="12"/>
    <col collapsed="false" customWidth="true" hidden="false" outlineLevel="0" max="9" min="6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3" min="12" style="0" width="12"/>
    <col collapsed="false" customWidth="true" hidden="false" outlineLevel="0" max="15" min="14" style="0" width="16"/>
    <col collapsed="false" customWidth="true" hidden="false" outlineLevel="0" max="16" min="16" style="0" width="15"/>
    <col collapsed="false" customWidth="true" hidden="false" outlineLevel="0" max="17" min="17" style="0" width="9"/>
  </cols>
  <sheetData>
    <row r="1" customFormat="false" ht="15.75" hidden="false" customHeight="true" outlineLevel="0" collapsed="false">
      <c r="A1" s="1" t="s">
        <v>0</v>
      </c>
    </row>
    <row r="2" customFormat="false" ht="15.75" hidden="false" customHeight="true" outlineLevel="0" collapsed="false">
      <c r="A2" s="2" t="s">
        <v>1</v>
      </c>
    </row>
    <row r="3" customFormat="false" ht="15.75" hidden="false" customHeight="true" outlineLevel="0" collapsed="false"/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</row>
    <row r="5" customFormat="false" ht="15.75" hidden="false" customHeight="true" outlineLevel="0" collapsed="false">
      <c r="A5" s="5" t="s">
        <v>19</v>
      </c>
      <c r="B5" s="6" t="s">
        <v>20</v>
      </c>
      <c r="C5" s="7" t="n">
        <f aca="false">COUNTIF(КАНАТЫ!$E$3:$E$302,"?*")</f>
        <v>4</v>
      </c>
      <c r="D5" s="7" t="n">
        <f aca="false">COUNTIF(КАНАТЫ!$B$3:$B$302,"Готов к сайту")</f>
        <v>0</v>
      </c>
      <c r="E5" s="7" t="n">
        <f aca="false">COUNTIF(КАНАТЫ!$B$3:$B$302,"На сайте")</f>
        <v>1</v>
      </c>
      <c r="F5" s="7" t="n">
        <f aca="false">COUNTIF(КАНАТЫ!$D$3:$D$302,"Да")</f>
        <v>1</v>
      </c>
      <c r="G5" s="7" t="n">
        <f aca="false">COUNTIFS(КАНАТЫ!$E$3:$E$302,"?*",КАНАТЫ!$L$3:$L$302,"&lt;&gt;Да")</f>
        <v>4</v>
      </c>
      <c r="H5" s="7" t="n">
        <f aca="false">COUNTIFS(КАНАТЫ!$E$3:$E$302,"?*",КАНАТЫ!$M$3:$M$302,"&lt;&gt;Да")</f>
        <v>4</v>
      </c>
      <c r="I5" s="7" t="n">
        <f aca="false">COUNTIFS(КАНАТЫ!$E$3:$E$302,"?*",КАНАТЫ!$AT$3:$AT$302,"")</f>
        <v>0</v>
      </c>
      <c r="J5" s="7" t="n">
        <f aca="false">COUNTIFS(КАНАТЫ!$E$3:$E$302,"?*",КАНАТЫ!$BB$3:$BB$302,"")</f>
        <v>0</v>
      </c>
      <c r="K5" s="7" t="n">
        <f aca="false">SUM(КАНАТЫ!$AK$3:$AK$302)</f>
        <v>23000</v>
      </c>
      <c r="L5" s="7" t="n">
        <f aca="false">SUM(КАНАТЫ!$BN$3:$BN$302)</f>
        <v>23000</v>
      </c>
      <c r="M5" s="7" t="n">
        <f aca="false">SUM(КАНАТЫ!$BO$3:$BO$302)</f>
        <v>0</v>
      </c>
      <c r="N5" s="7" t="n">
        <f aca="false">SUMIF(ЗАКАЗЫ!$F$3:$F$500,"AKO-KN-*",ЗАКАЗЫ!$Y$3:$Y$500)</f>
        <v>13233000</v>
      </c>
      <c r="O5" s="7" t="n">
        <f aca="false">SUMIF(ЗАКАЗЫ!$F$3:$F$500,"AKO-KN-*",ЗАКАЗЫ!$AH$3:$AH$500)</f>
        <v>33150000</v>
      </c>
      <c r="P5" s="7" t="n">
        <f aca="false">SUMIF(ЗАКАЗЫ!$F$3:$F$500,"AKO-KN-*",ЗАКАЗЫ!$AI$3:$AI$500)</f>
        <v>19917000</v>
      </c>
      <c r="Q5" s="8" t="n">
        <f aca="false">IF(N(O5)=0,"",P5/O5)</f>
        <v>0.600814479638009</v>
      </c>
    </row>
    <row r="6" customFormat="false" ht="15.75" hidden="false" customHeight="true" outlineLevel="0" collapsed="false">
      <c r="A6" s="5" t="s">
        <v>21</v>
      </c>
      <c r="B6" s="6" t="s">
        <v>22</v>
      </c>
      <c r="C6" s="7" t="n">
        <f aca="false">COUNTIF('ГИЛЬЗЫ И ВТУЛКИ'!$E$3:$E$302,"?*")</f>
        <v>13</v>
      </c>
      <c r="D6" s="7" t="n">
        <f aca="false">COUNTIF('ГИЛЬЗЫ И ВТУЛКИ'!$B$3:$B$302,"Готов к сайту")</f>
        <v>1</v>
      </c>
      <c r="E6" s="7" t="n">
        <f aca="false">COUNTIF('ГИЛЬЗЫ И ВТУЛКИ'!$B$3:$B$302,"На сайте")</f>
        <v>0</v>
      </c>
      <c r="F6" s="7" t="n">
        <f aca="false">COUNTIF('ГИЛЬЗЫ И ВТУЛКИ'!$D$3:$D$302,"Да")</f>
        <v>0</v>
      </c>
      <c r="G6" s="7" t="n">
        <f aca="false">COUNTIFS('ГИЛЬЗЫ И ВТУЛКИ'!$E$3:$E$302,"?*",'ГИЛЬЗЫ И ВТУЛКИ'!$L$3:$L$302,"&lt;&gt;Да")</f>
        <v>13</v>
      </c>
      <c r="H6" s="7" t="n">
        <f aca="false">COUNTIFS('ГИЛЬЗЫ И ВТУЛКИ'!$E$3:$E$302,"?*",'ГИЛЬЗЫ И ВТУЛКИ'!$M$3:$M$302,"&lt;&gt;Да")</f>
        <v>13</v>
      </c>
      <c r="I6" s="7" t="n">
        <f aca="false">COUNTIFS('ГИЛЬЗЫ И ВТУЛКИ'!$E$3:$E$302,"?*",'ГИЛЬЗЫ И ВТУЛКИ'!$AT$3:$AT$302,"")</f>
        <v>0</v>
      </c>
      <c r="J6" s="7" t="n">
        <f aca="false">COUNTIFS('ГИЛЬЗЫ И ВТУЛКИ'!$E$3:$E$302,"?*",'ГИЛЬЗЫ И ВТУЛКИ'!$BB$3:$BB$302,"")</f>
        <v>0</v>
      </c>
      <c r="K6" s="7" t="n">
        <f aca="false">SUM('ГИЛЬЗЫ И ВТУЛКИ'!$AK$3:$AK$302)</f>
        <v>17600</v>
      </c>
      <c r="L6" s="7" t="n">
        <f aca="false">SUM('ГИЛЬЗЫ И ВТУЛКИ'!$BN$3:$BN$302)</f>
        <v>17600</v>
      </c>
      <c r="M6" s="7" t="n">
        <f aca="false">SUM('ГИЛЬЗЫ И ВТУЛКИ'!$BO$3:$BO$302)</f>
        <v>0</v>
      </c>
      <c r="N6" s="7" t="n">
        <f aca="false">SUMIF(ЗАКАЗЫ!$F$3:$F$500,"AKO-GV-*",ЗАКАЗЫ!$Y$3:$Y$500)</f>
        <v>4840500</v>
      </c>
      <c r="O6" s="7" t="n">
        <f aca="false">SUMIF(ЗАКАЗЫ!$F$3:$F$500,"AKO-GV-*",ЗАКАЗЫ!$AH$3:$AH$500)</f>
        <v>13581700</v>
      </c>
      <c r="P6" s="7" t="n">
        <f aca="false">SUMIF(ЗАКАЗЫ!$F$3:$F$500,"AKO-GV-*",ЗАКАЗЫ!$AI$3:$AI$500)</f>
        <v>8741200</v>
      </c>
      <c r="Q6" s="8" t="n">
        <f aca="false">IF(N(O6)=0,"",P6/O6)</f>
        <v>0.643601316477319</v>
      </c>
    </row>
    <row r="7" customFormat="false" ht="15.75" hidden="false" customHeight="true" outlineLevel="0" collapsed="false">
      <c r="A7" s="5" t="s">
        <v>23</v>
      </c>
      <c r="B7" s="6" t="s">
        <v>24</v>
      </c>
      <c r="C7" s="7" t="n">
        <f aca="false">COUNTIF('Изделия для каната'!$E$3:$E$302,"?*")</f>
        <v>17</v>
      </c>
      <c r="D7" s="7" t="n">
        <f aca="false">COUNTIF('Изделия для каната'!$B$3:$B$302,"Готов к сайту")</f>
        <v>0</v>
      </c>
      <c r="E7" s="7" t="n">
        <f aca="false">COUNTIF('Изделия для каната'!$B$3:$B$302,"На сайте")</f>
        <v>0</v>
      </c>
      <c r="F7" s="7" t="n">
        <f aca="false">COUNTIF('Изделия для каната'!$D$3:$D$302,"Да")</f>
        <v>0</v>
      </c>
      <c r="G7" s="7" t="n">
        <f aca="false">COUNTIFS('Изделия для каната'!$E$3:$E$302,"?*",'Изделия для каната'!$L$3:$L$302,"&lt;&gt;Да")</f>
        <v>17</v>
      </c>
      <c r="H7" s="7" t="n">
        <f aca="false">COUNTIFS('Изделия для каната'!$E$3:$E$302,"?*",'Изделия для каната'!$M$3:$M$302,"&lt;&gt;Да")</f>
        <v>17</v>
      </c>
      <c r="I7" s="7" t="n">
        <f aca="false">COUNTIFS('Изделия для каната'!$E$3:$E$302,"?*",'Изделия для каната'!$AT$3:$AT$302,"")</f>
        <v>0</v>
      </c>
      <c r="J7" s="7" t="n">
        <f aca="false">COUNTIFS('Изделия для каната'!$E$3:$E$302,"?*",'Изделия для каната'!$BB$3:$BB$302,"")</f>
        <v>0</v>
      </c>
      <c r="K7" s="7" t="n">
        <f aca="false">SUM('Изделия для каната'!$AK$3:$AK$302)</f>
        <v>34000</v>
      </c>
      <c r="L7" s="7" t="n">
        <f aca="false">SUM('Изделия для каната'!$BN$3:$BN$302)</f>
        <v>34000</v>
      </c>
      <c r="M7" s="7" t="n">
        <f aca="false">SUM('Изделия для каната'!$BO$3:$BO$302)</f>
        <v>0</v>
      </c>
      <c r="N7" s="7" t="n">
        <f aca="false">SUMIF(ЗАКАЗЫ!$F$3:$F$500,"AKO-IK-*",ЗАКАЗЫ!$Y$3:$Y$500)</f>
        <v>5628500</v>
      </c>
      <c r="O7" s="7" t="n">
        <f aca="false">SUMIF(ЗАКАЗЫ!$F$3:$F$500,"AKO-IK-*",ЗАКАЗЫ!$AH$3:$AH$500)</f>
        <v>11914500</v>
      </c>
      <c r="P7" s="7" t="n">
        <f aca="false">SUMIF(ЗАКАЗЫ!$F$3:$F$500,"AKO-IK-*",ЗАКАЗЫ!$AI$3:$AI$500)</f>
        <v>6286000</v>
      </c>
      <c r="Q7" s="8" t="n">
        <f aca="false">IF(N(O7)=0,"",P7/O7)</f>
        <v>0.527592429392757</v>
      </c>
    </row>
    <row r="8" customFormat="false" ht="15.75" hidden="false" customHeight="true" outlineLevel="0" collapsed="false">
      <c r="A8" s="5" t="s">
        <v>25</v>
      </c>
      <c r="B8" s="6" t="s">
        <v>26</v>
      </c>
      <c r="C8" s="7" t="n">
        <f aca="false">COUNTIF('Гимнастические кольца и подвесы'!$E$3:$E$302,"?*")</f>
        <v>4</v>
      </c>
      <c r="D8" s="7" t="n">
        <f aca="false">COUNTIF('Гимнастические кольца и подвесы'!$B$3:$B$302,"Готов к сайту")</f>
        <v>0</v>
      </c>
      <c r="E8" s="7" t="n">
        <f aca="false">COUNTIF('Гимнастические кольца и подвесы'!$B$3:$B$302,"На сайте")</f>
        <v>0</v>
      </c>
      <c r="F8" s="7" t="n">
        <f aca="false">COUNTIF('Гимнастические кольца и подвесы'!$D$3:$D$302,"Да")</f>
        <v>0</v>
      </c>
      <c r="G8" s="7" t="n">
        <f aca="false">COUNTIFS('Гимнастические кольца и подвесы'!$E$3:$E$302,"?*",'Гимнастические кольца и подвесы'!$L$3:$L$302,"&lt;&gt;Да")</f>
        <v>4</v>
      </c>
      <c r="H8" s="7" t="n">
        <f aca="false">COUNTIFS('Гимнастические кольца и подвесы'!$E$3:$E$302,"?*",'Гимнастические кольца и подвесы'!$M$3:$M$302,"&lt;&gt;Да")</f>
        <v>4</v>
      </c>
      <c r="I8" s="7" t="n">
        <f aca="false">COUNTIFS('Гимнастические кольца и подвесы'!$E$3:$E$302,"?*",'Гимнастические кольца и подвесы'!$AT$3:$AT$302,"")</f>
        <v>0</v>
      </c>
      <c r="J8" s="7" t="n">
        <f aca="false">COUNTIFS('Гимнастические кольца и подвесы'!$E$3:$E$302,"?*",'Гимнастические кольца и подвесы'!$BB$3:$BB$302,"")</f>
        <v>0</v>
      </c>
      <c r="K8" s="7" t="n">
        <f aca="false">SUM('Гимнастические кольца и подвесы'!$AK$3:$AK$302)</f>
        <v>1550</v>
      </c>
      <c r="L8" s="7" t="n">
        <f aca="false">SUM('Гимнастические кольца и подвесы'!$BN$3:$BN$302)</f>
        <v>1600</v>
      </c>
      <c r="M8" s="7" t="n">
        <f aca="false">SUM('Гимнастические кольца и подвесы'!$BO$3:$BO$302)</f>
        <v>0</v>
      </c>
      <c r="N8" s="7" t="n">
        <f aca="false">SUMIF(ЗАКАЗЫ!$F$3:$F$500,"AKO-GK-*",ЗАКАЗЫ!$Y$3:$Y$500)</f>
        <v>791400</v>
      </c>
      <c r="O8" s="7" t="n">
        <f aca="false">SUMIF(ЗАКАЗЫ!$F$3:$F$500,"AKO-GK-*",ЗАКАЗЫ!$AH$3:$AH$500)</f>
        <v>4351000</v>
      </c>
      <c r="P8" s="7" t="n">
        <f aca="false">SUMIF(ЗАКАЗЫ!$F$3:$F$500,"AKO-GK-*",ЗАКАЗЫ!$AI$3:$AI$500)</f>
        <v>3559600</v>
      </c>
      <c r="Q8" s="8" t="n">
        <f aca="false">IF(N(O8)=0,"",P8/O8)</f>
        <v>0.818110779131234</v>
      </c>
    </row>
    <row r="9" customFormat="false" ht="15.75" hidden="false" customHeight="true" outlineLevel="0" collapsed="false">
      <c r="A9" s="5" t="s">
        <v>27</v>
      </c>
      <c r="B9" s="6" t="s">
        <v>28</v>
      </c>
      <c r="C9" s="7" t="n">
        <f aca="false">COUNTIF('Комплектующие для качелей'!$E$3:$E$302,"?*")</f>
        <v>9</v>
      </c>
      <c r="D9" s="7" t="n">
        <f aca="false">COUNTIF('Комплектующие для качелей'!$B$3:$B$302,"Готов к сайту")</f>
        <v>0</v>
      </c>
      <c r="E9" s="7" t="n">
        <f aca="false">COUNTIF('Комплектующие для качелей'!$B$3:$B$302,"На сайте")</f>
        <v>0</v>
      </c>
      <c r="F9" s="7" t="n">
        <f aca="false">COUNTIF('Комплектующие для качелей'!$D$3:$D$302,"Да")</f>
        <v>0</v>
      </c>
      <c r="G9" s="7" t="n">
        <f aca="false">COUNTIFS('Комплектующие для качелей'!$E$3:$E$302,"?*",'Комплектующие для качелей'!$L$3:$L$302,"&lt;&gt;Да")</f>
        <v>9</v>
      </c>
      <c r="H9" s="7" t="n">
        <f aca="false">COUNTIFS('Комплектующие для качелей'!$E$3:$E$302,"?*",'Комплектующие для качелей'!$M$3:$M$302,"&lt;&gt;Да")</f>
        <v>9</v>
      </c>
      <c r="I9" s="7" t="n">
        <f aca="false">COUNTIFS('Комплектующие для качелей'!$E$3:$E$302,"?*",'Комплектующие для качелей'!$AT$3:$AT$302,"")</f>
        <v>0</v>
      </c>
      <c r="J9" s="7" t="n">
        <f aca="false">COUNTIFS('Комплектующие для качелей'!$E$3:$E$302,"?*",'Комплектующие для качелей'!$BB$3:$BB$302,"")</f>
        <v>0</v>
      </c>
      <c r="K9" s="7" t="n">
        <f aca="false">SUM('Комплектующие для качелей'!$AK$3:$AK$302)</f>
        <v>1280</v>
      </c>
      <c r="L9" s="7" t="n">
        <f aca="false">SUM('Комплектующие для качелей'!$BN$3:$BN$302)</f>
        <v>1280</v>
      </c>
      <c r="M9" s="7" t="n">
        <f aca="false">SUM('Комплектующие для качелей'!$BO$3:$BO$302)</f>
        <v>0</v>
      </c>
      <c r="N9" s="7" t="n">
        <f aca="false">SUMIF(ЗАКАЗЫ!$F$3:$F$500,"AKO-KK-*",ЗАКАЗЫ!$Y$3:$Y$500)</f>
        <v>25185710</v>
      </c>
      <c r="O9" s="7" t="n">
        <f aca="false">SUMIF(ЗАКАЗЫ!$F$3:$F$500,"AKO-KK-*",ЗАКАЗЫ!$AH$3:$AH$500)</f>
        <v>60729310</v>
      </c>
      <c r="P9" s="7" t="n">
        <f aca="false">SUMIF(ЗАКАЗЫ!$F$3:$F$500,"AKO-KK-*",ЗАКАЗЫ!$AI$3:$AI$500)</f>
        <v>35543600</v>
      </c>
      <c r="Q9" s="8" t="n">
        <f aca="false">IF(N(O9)=0,"",P9/O9)</f>
        <v>0.585279167505773</v>
      </c>
    </row>
    <row r="10" customFormat="false" ht="15.75" hidden="false" customHeight="true" outlineLevel="0" collapsed="false">
      <c r="A10" s="5" t="s">
        <v>29</v>
      </c>
      <c r="B10" s="6" t="s">
        <v>30</v>
      </c>
      <c r="C10" s="7" t="n">
        <f aca="false">COUNTIF('Зацепы скалодромные'!$E$3:$E$302,"?*")</f>
        <v>3</v>
      </c>
      <c r="D10" s="7" t="n">
        <f aca="false">COUNTIF('Зацепы скалодромные'!$B$3:$B$302,"Готов к сайту")</f>
        <v>0</v>
      </c>
      <c r="E10" s="7" t="n">
        <f aca="false">COUNTIF('Зацепы скалодромные'!$B$3:$B$302,"На сайте")</f>
        <v>0</v>
      </c>
      <c r="F10" s="7" t="n">
        <f aca="false">COUNTIF('Зацепы скалодромные'!$D$3:$D$302,"Да")</f>
        <v>0</v>
      </c>
      <c r="G10" s="7" t="n">
        <f aca="false">COUNTIFS('Зацепы скалодромные'!$E$3:$E$302,"?*",'Зацепы скалодромные'!$L$3:$L$302,"&lt;&gt;Да")</f>
        <v>3</v>
      </c>
      <c r="H10" s="7" t="n">
        <f aca="false">COUNTIFS('Зацепы скалодромные'!$E$3:$E$302,"?*",'Зацепы скалодромные'!$M$3:$M$302,"&lt;&gt;Да")</f>
        <v>3</v>
      </c>
      <c r="I10" s="7" t="n">
        <f aca="false">COUNTIFS('Зацепы скалодромные'!$E$3:$E$302,"?*",'Зацепы скалодромные'!$AT$3:$AT$302,"")</f>
        <v>0</v>
      </c>
      <c r="J10" s="7" t="n">
        <f aca="false">COUNTIFS('Зацепы скалодромные'!$E$3:$E$302,"?*",'Зацепы скалодромные'!$BB$3:$BB$302,"")</f>
        <v>0</v>
      </c>
      <c r="K10" s="7" t="n">
        <f aca="false">SUM('Зацепы скалодромные'!$AK$3:$AK$302)</f>
        <v>1400</v>
      </c>
      <c r="L10" s="7" t="n">
        <f aca="false">SUM('Зацепы скалодромные'!$BN$3:$BN$302)</f>
        <v>1400</v>
      </c>
      <c r="M10" s="7" t="n">
        <f aca="false">SUM('Зацепы скалодромные'!$BO$3:$BO$302)</f>
        <v>0</v>
      </c>
      <c r="N10" s="7" t="n">
        <f aca="false">SUMIF(ЗАКАЗЫ!$F$3:$F$500,"AKO-ZS-*",ЗАКАЗЫ!$Y$3:$Y$500)</f>
        <v>936200</v>
      </c>
      <c r="O10" s="7" t="n">
        <f aca="false">SUMIF(ЗАКАЗЫ!$F$3:$F$500,"AKO-ZS-*",ЗАКАЗЫ!$AH$3:$AH$500)</f>
        <v>2194200</v>
      </c>
      <c r="P10" s="7" t="n">
        <f aca="false">SUMIF(ЗАКАЗЫ!$F$3:$F$500,"AKO-ZS-*",ЗАКАЗЫ!$AI$3:$AI$500)</f>
        <v>1258000</v>
      </c>
      <c r="Q10" s="8" t="n">
        <f aca="false">IF(N(O10)=0,"",P10/O10)</f>
        <v>0.573329687357579</v>
      </c>
    </row>
    <row r="11" customFormat="false" ht="15.75" hidden="false" customHeight="true" outlineLevel="0" collapsed="false">
      <c r="A11" s="5" t="s">
        <v>31</v>
      </c>
      <c r="B11" s="6" t="s">
        <v>32</v>
      </c>
      <c r="C11" s="7" t="n">
        <f aca="false">COUNTIF('Крепление для качелей'!$E$3:$E$302,"?*")</f>
        <v>9</v>
      </c>
      <c r="D11" s="7" t="n">
        <f aca="false">COUNTIF('Крепление для качелей'!$B$3:$B$302,"Готов к сайту")</f>
        <v>0</v>
      </c>
      <c r="E11" s="7" t="n">
        <f aca="false">COUNTIF('Крепление для качелей'!$B$3:$B$302,"На сайте")</f>
        <v>0</v>
      </c>
      <c r="F11" s="7" t="n">
        <f aca="false">COUNTIF('Крепление для качелей'!$D$3:$D$302,"Да")</f>
        <v>0</v>
      </c>
      <c r="G11" s="7" t="n">
        <f aca="false">COUNTIFS('Крепление для качелей'!$E$3:$E$302,"?*",'Крепление для качелей'!$L$3:$L$302,"&lt;&gt;Да")</f>
        <v>9</v>
      </c>
      <c r="H11" s="7" t="n">
        <f aca="false">COUNTIFS('Крепление для качелей'!$E$3:$E$302,"?*",'Крепление для качелей'!$M$3:$M$302,"&lt;&gt;Да")</f>
        <v>9</v>
      </c>
      <c r="I11" s="7" t="n">
        <f aca="false">COUNTIFS('Крепление для качелей'!$E$3:$E$302,"?*",'Крепление для качелей'!$AT$3:$AT$302,"")</f>
        <v>0</v>
      </c>
      <c r="J11" s="7" t="n">
        <f aca="false">COUNTIFS('Крепление для качелей'!$E$3:$E$302,"?*",'Крепление для качелей'!$BB$3:$BB$302,"")</f>
        <v>0</v>
      </c>
      <c r="K11" s="7" t="n">
        <f aca="false">SUM('Крепление для качелей'!$AK$3:$AK$302)</f>
        <v>2420</v>
      </c>
      <c r="L11" s="7" t="n">
        <f aca="false">SUM('Крепление для качелей'!$BN$3:$BN$302)</f>
        <v>2420</v>
      </c>
      <c r="M11" s="7" t="n">
        <f aca="false">SUM('Крепление для качелей'!$BO$3:$BO$302)</f>
        <v>0</v>
      </c>
      <c r="N11" s="7" t="n">
        <f aca="false">SUMIF(ЗАКАЗЫ!$F$3:$F$500,"AKO-KR-*",ЗАКАЗЫ!$Y$3:$Y$500)</f>
        <v>4373120</v>
      </c>
      <c r="O11" s="7" t="n">
        <f aca="false">SUMIF(ЗАКАЗЫ!$F$3:$F$500,"AKO-KR-*",ЗАКАЗЫ!$AH$3:$AH$500)</f>
        <v>11458310</v>
      </c>
      <c r="P11" s="7" t="n">
        <f aca="false">SUMIF(ЗАКАЗЫ!$F$3:$F$500,"AKO-KR-*",ЗАКАЗЫ!$AI$3:$AI$500)</f>
        <v>7085190</v>
      </c>
      <c r="Q11" s="8" t="n">
        <f aca="false">IF(N(O11)=0,"",P11/O11)</f>
        <v>0.618345113720959</v>
      </c>
    </row>
    <row r="12" customFormat="false" ht="15.75" hidden="false" customHeight="true" outlineLevel="0" collapsed="false">
      <c r="A12" s="9" t="s">
        <v>33</v>
      </c>
      <c r="B12" s="9" t="s">
        <v>34</v>
      </c>
      <c r="C12" s="7" t="n">
        <f aca="false">COUNTIF('Крепёж и такелаж'!$E$3:$E$302,"?*")</f>
        <v>13</v>
      </c>
      <c r="D12" s="7" t="n">
        <f aca="false">COUNTIF('Крепёж и такелаж'!$B$3:$B$302,"Готов к сайту")</f>
        <v>0</v>
      </c>
      <c r="E12" s="7" t="n">
        <f aca="false">COUNTIF('Крепёж и такелаж'!$B$3:$B$302,"На сайте")</f>
        <v>0</v>
      </c>
      <c r="F12" s="7" t="n">
        <f aca="false">COUNTIF('Крепёж и такелаж'!$D$3:$D$302,"Да")</f>
        <v>0</v>
      </c>
      <c r="G12" s="7" t="n">
        <f aca="false">COUNTIFS('Крепёж и такелаж'!$E$3:$E$302,"?*",'Крепёж и такелаж'!$L$3:$L$302,"&lt;&gt;Да")</f>
        <v>13</v>
      </c>
      <c r="H12" s="7" t="n">
        <f aca="false">COUNTIFS('Крепёж и такелаж'!$E$3:$E$302,"?*",'Крепёж и такелаж'!$M$3:$M$302,"&lt;&gt;Да")</f>
        <v>13</v>
      </c>
      <c r="I12" s="7" t="n">
        <f aca="false">COUNTIFS('Крепёж и такелаж'!$E$3:$E$302,"?*",'Крепёж и такелаж'!$AT$3:$AT$302,"")</f>
        <v>0</v>
      </c>
      <c r="J12" s="7" t="n">
        <f aca="false">COUNTIFS('Крепёж и такелаж'!$E$3:$E$302,"?*",'Крепёж и такелаж'!$BB$3:$BB$302,"")</f>
        <v>0</v>
      </c>
      <c r="K12" s="7" t="n">
        <f aca="false">SUM('Крепёж и такелаж'!$AK$3:$AK$302)</f>
        <v>14950</v>
      </c>
      <c r="L12" s="7" t="n">
        <f aca="false">SUM('Крепёж и такелаж'!$BN$3:$BN$302)</f>
        <v>14950</v>
      </c>
      <c r="M12" s="7" t="n">
        <f aca="false">SUM('Крепёж и такелаж'!$BO$3:$BO$302)</f>
        <v>0</v>
      </c>
      <c r="N12" s="7" t="n">
        <f aca="false">SUMIF(ЗАКАЗЫ!$F$3:$F$500,"AKO-KT-*",ЗАКАЗЫ!$Y$3:$Y$500)</f>
        <v>4778500</v>
      </c>
      <c r="O12" s="7" t="n">
        <f aca="false">SUMIF(ЗАКАЗЫ!$F$3:$F$500,"AKO-KT-*",ЗАКАЗЫ!$AH$3:$AH$500)</f>
        <v>15891600</v>
      </c>
      <c r="P12" s="7" t="n">
        <f aca="false">SUMIF(ЗАКАЗЫ!$F$3:$F$500,"AKO-KT-*",ЗАКАЗЫ!$AI$3:$AI$500)</f>
        <v>11113100</v>
      </c>
      <c r="Q12" s="8" t="n">
        <f aca="false">IF(N(O12)=0,"",P12/O12)</f>
        <v>0.699306551889048</v>
      </c>
    </row>
    <row r="13" customFormat="false" ht="15.75" hidden="false" customHeight="true" outlineLevel="0" collapsed="false">
      <c r="A13" s="10" t="s">
        <v>35</v>
      </c>
      <c r="B13" s="11"/>
      <c r="C13" s="12" t="n">
        <f aca="false">SUM(C5:C12)</f>
        <v>72</v>
      </c>
      <c r="D13" s="12" t="n">
        <f aca="false">SUM(D5:D12)</f>
        <v>1</v>
      </c>
      <c r="E13" s="12" t="n">
        <f aca="false">SUM(E5:E12)</f>
        <v>1</v>
      </c>
      <c r="F13" s="12" t="n">
        <f aca="false">SUM(F5:F12)</f>
        <v>1</v>
      </c>
      <c r="G13" s="12" t="n">
        <f aca="false">SUM(G5:G12)</f>
        <v>72</v>
      </c>
      <c r="H13" s="12" t="n">
        <f aca="false">SUM(H5:H12)</f>
        <v>72</v>
      </c>
      <c r="I13" s="12" t="n">
        <f aca="false">SUM(I5:I12)</f>
        <v>0</v>
      </c>
      <c r="J13" s="12" t="n">
        <f aca="false">SUM(J5:J12)</f>
        <v>0</v>
      </c>
      <c r="K13" s="12" t="n">
        <f aca="false">SUM(K5:K12)</f>
        <v>96200</v>
      </c>
      <c r="L13" s="12" t="n">
        <f aca="false">SUM(L5:L12)</f>
        <v>96250</v>
      </c>
      <c r="M13" s="12" t="n">
        <f aca="false">SUM(M5:M12)</f>
        <v>0</v>
      </c>
      <c r="N13" s="12" t="n">
        <f aca="false">SUM(N5:N12)</f>
        <v>59766930</v>
      </c>
      <c r="O13" s="12" t="n">
        <f aca="false">SUM(O5:O12)</f>
        <v>153270620</v>
      </c>
      <c r="P13" s="12" t="n">
        <f aca="false">SUM(P5:P12)</f>
        <v>93503690</v>
      </c>
      <c r="Q13" s="13" t="n">
        <f aca="false">IF(N(O13)=0,"",P13/O13)</f>
        <v>0.610056186893483</v>
      </c>
    </row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>
      <c r="A16" s="14" t="s">
        <v>36</v>
      </c>
    </row>
    <row r="17" customFormat="false" ht="30" hidden="false" customHeight="true" outlineLevel="0" collapsed="false">
      <c r="A17" s="15" t="s">
        <v>37</v>
      </c>
      <c r="B17" s="15" t="s">
        <v>38</v>
      </c>
      <c r="C17" s="15" t="s">
        <v>39</v>
      </c>
      <c r="D17" s="15" t="s">
        <v>40</v>
      </c>
      <c r="E17" s="15" t="s">
        <v>41</v>
      </c>
      <c r="F17" s="15" t="s">
        <v>42</v>
      </c>
      <c r="G17" s="15" t="s">
        <v>43</v>
      </c>
      <c r="H17" s="15" t="s">
        <v>17</v>
      </c>
      <c r="I17" s="15" t="s">
        <v>18</v>
      </c>
      <c r="J17" s="15" t="s">
        <v>44</v>
      </c>
      <c r="K17" s="15" t="s">
        <v>45</v>
      </c>
      <c r="L17" s="15" t="s">
        <v>46</v>
      </c>
    </row>
    <row r="18" customFormat="false" ht="15.75" hidden="false" customHeight="true" outlineLevel="0" collapsed="false">
      <c r="A18" s="16" t="str">
        <f aca="false">IF('Сводка заказов'!A5="","",'Сводка заказов'!A5)</f>
        <v>SDN-1</v>
      </c>
      <c r="B18" s="16" t="str">
        <f aca="false">IF('Сводка заказов'!B5="","",'Сводка заказов'!B5)</f>
        <v>Ningbo Sidana</v>
      </c>
      <c r="C18" s="17" t="n">
        <f aca="false">IF('Сводка заказов'!D5="","",'Сводка заказов'!D5)</f>
        <v>46286</v>
      </c>
      <c r="D18" s="18" t="n">
        <f aca="false">IF('Сводка заказов'!K5="","",'Сводка заказов'!K5)</f>
        <v>56285</v>
      </c>
      <c r="E18" s="19" t="n">
        <f aca="false">IF('Сводка заказов'!L5="","",'Сводка заказов'!L5)</f>
        <v>3855523</v>
      </c>
      <c r="F18" s="19" t="n">
        <f aca="false">IF('Сводка заказов'!Y5="","",'Сводка заказов'!Y5)</f>
        <v>4678620</v>
      </c>
      <c r="G18" s="19" t="n">
        <f aca="false">IF('Сводка заказов'!Z5="","",'Сводка заказов'!Z5)</f>
        <v>12398480</v>
      </c>
      <c r="H18" s="19" t="n">
        <f aca="false">IF('Сводка заказов'!AA5="","",'Сводка заказов'!AA5)</f>
        <v>7719860</v>
      </c>
      <c r="I18" s="20" t="n">
        <f aca="false">IF('Сводка заказов'!AB5="","",'Сводка заказов'!AB5)</f>
        <v>0.622645679147767</v>
      </c>
      <c r="J18" s="17" t="n">
        <f aca="false">IF('Сводка заказов'!V5="","",'Сводка заказов'!V5)</f>
        <v>46323</v>
      </c>
      <c r="K18" s="16" t="str">
        <f aca="false">IF('Сводка заказов'!AC5="","",'Сводка заказов'!AC5)</f>
        <v>0 из 18</v>
      </c>
      <c r="L18" s="16" t="str">
        <f aca="false">IF('Сводка заказов'!AD5="","",'Сводка заказов'!AD5)</f>
        <v>Заказано</v>
      </c>
    </row>
    <row r="19" customFormat="false" ht="15.75" hidden="false" customHeight="true" outlineLevel="0" collapsed="false">
      <c r="A19" s="16" t="str">
        <f aca="false">IF('Сводка заказов'!A6="","",'Сводка заказов'!A6)</f>
        <v>SDN-2-1</v>
      </c>
      <c r="B19" s="16" t="str">
        <f aca="false">IF('Сводка заказов'!B6="","",'Сводка заказов'!B6)</f>
        <v>Ningbo Sidana</v>
      </c>
      <c r="C19" s="17" t="n">
        <f aca="false">IF('Сводка заказов'!D6="","",'Сводка заказов'!D6)</f>
        <v>46309</v>
      </c>
      <c r="D19" s="18" t="n">
        <f aca="false">IF('Сводка заказов'!K6="","",'Сводка заказов'!K6)</f>
        <v>143075</v>
      </c>
      <c r="E19" s="19" t="n">
        <f aca="false">IF('Сводка заказов'!L6="","",'Сводка заказов'!L6)</f>
        <v>9800638</v>
      </c>
      <c r="F19" s="19" t="n">
        <f aca="false">IF('Сводка заказов'!Y6="","",'Сводка заказов'!Y6)</f>
        <v>12062000</v>
      </c>
      <c r="G19" s="19" t="n">
        <f aca="false">IF('Сводка заказов'!Z6="","",'Сводка заказов'!Z6)</f>
        <v>36043500</v>
      </c>
      <c r="H19" s="19" t="n">
        <f aca="false">IF('Сводка заказов'!AA6="","",'Сводка заказов'!AA6)</f>
        <v>23981500</v>
      </c>
      <c r="I19" s="20" t="n">
        <f aca="false">IF('Сводка заказов'!AB6="","",'Сводка заказов'!AB6)</f>
        <v>0.66534881462677</v>
      </c>
      <c r="J19" s="17" t="n">
        <f aca="false">IF('Сводка заказов'!V6="","",'Сводка заказов'!V6)</f>
        <v>46346</v>
      </c>
      <c r="K19" s="16" t="str">
        <f aca="false">IF('Сводка заказов'!AC6="","",'Сводка заказов'!AC6)</f>
        <v>0 из 27</v>
      </c>
      <c r="L19" s="16" t="str">
        <f aca="false">IF('Сводка заказов'!AD6="","",'Сводка заказов'!AD6)</f>
        <v>Заказано</v>
      </c>
    </row>
    <row r="20" customFormat="false" ht="15.75" hidden="false" customHeight="true" outlineLevel="0" collapsed="false">
      <c r="A20" s="16" t="str">
        <f aca="false">IF('Сводка заказов'!A7="","",'Сводка заказов'!A7)</f>
        <v>SDN-2-2</v>
      </c>
      <c r="B20" s="16" t="str">
        <f aca="false">IF('Сводка заказов'!B7="","",'Сводка заказов'!B7)</f>
        <v>Ningbo Sidana</v>
      </c>
      <c r="C20" s="17" t="n">
        <f aca="false">IF('Сводка заказов'!D7="","",'Сводка заказов'!D7)</f>
        <v>46309</v>
      </c>
      <c r="D20" s="18" t="n">
        <f aca="false">IF('Сводка заказов'!K7="","",'Сводка заказов'!K7)</f>
        <v>207190</v>
      </c>
      <c r="E20" s="19" t="n">
        <f aca="false">IF('Сводка заказов'!L7="","",'Сводка заказов'!L7)</f>
        <v>14192515</v>
      </c>
      <c r="F20" s="19" t="n">
        <f aca="false">IF('Сводка заказов'!Y7="","",'Сводка заказов'!Y7)</f>
        <v>17132500</v>
      </c>
      <c r="G20" s="19" t="n">
        <f aca="false">IF('Сводка заказов'!Z7="","",'Сводка заказов'!Z7)</f>
        <v>46265500</v>
      </c>
      <c r="H20" s="19" t="n">
        <f aca="false">IF('Сводка заказов'!AA7="","",'Сводка заказов'!AA7)</f>
        <v>29133000</v>
      </c>
      <c r="I20" s="20" t="n">
        <f aca="false">IF('Сводка заказов'!AB7="","",'Сводка заказов'!AB7)</f>
        <v>0.629691670899482</v>
      </c>
      <c r="J20" s="17" t="n">
        <f aca="false">IF('Сводка заказов'!V7="","",'Сводка заказов'!V7)</f>
        <v>46372</v>
      </c>
      <c r="K20" s="16" t="str">
        <f aca="false">IF('Сводка заказов'!AC7="","",'Сводка заказов'!AC7)</f>
        <v>0 из 8</v>
      </c>
      <c r="L20" s="16" t="str">
        <f aca="false">IF('Сводка заказов'!AD7="","",'Сводка заказов'!AD7)</f>
        <v>Заказано</v>
      </c>
    </row>
    <row r="21" customFormat="false" ht="15.75" hidden="false" customHeight="true" outlineLevel="0" collapsed="false">
      <c r="A21" s="16" t="str">
        <f aca="false">IF('Сводка заказов'!A8="","",'Сводка заказов'!A8)</f>
        <v>BS-1</v>
      </c>
      <c r="B21" s="16" t="str">
        <f aca="false">IF('Сводка заказов'!B8="","",'Сводка заказов'!B8)</f>
        <v>Ningbo Best Swing</v>
      </c>
      <c r="C21" s="17" t="str">
        <f aca="false">IF('Сводка заказов'!D8="","",'Сводка заказов'!D8)</f>
        <v/>
      </c>
      <c r="D21" s="18" t="n">
        <f aca="false">IF('Сводка заказов'!K8="","",'Сводка заказов'!K8)</f>
        <v>274649</v>
      </c>
      <c r="E21" s="19" t="n">
        <f aca="false">IF('Сводка заказов'!L8="","",'Сводка заказов'!L8)</f>
        <v>18813457</v>
      </c>
      <c r="F21" s="19" t="n">
        <f aca="false">IF('Сводка заказов'!Y8="","",'Сводка заказов'!Y8)</f>
        <v>23047210</v>
      </c>
      <c r="G21" s="19" t="n">
        <f aca="false">IF('Сводка заказов'!Z8="","",'Сводка заказов'!Z8)</f>
        <v>50499440</v>
      </c>
      <c r="H21" s="19" t="n">
        <f aca="false">IF('Сводка заказов'!AA8="","",'Сводка заказов'!AA8)</f>
        <v>27452230</v>
      </c>
      <c r="I21" s="20" t="n">
        <f aca="false">IF('Сводка заказов'!AB8="","",'Сводка заказов'!AB8)</f>
        <v>0.543614543052359</v>
      </c>
      <c r="J21" s="17" t="str">
        <f aca="false">IF('Сводка заказов'!V8="","",'Сводка заказов'!V8)</f>
        <v/>
      </c>
      <c r="K21" s="16" t="str">
        <f aca="false">IF('Сводка заказов'!AC8="","",'Сводка заказов'!AC8)</f>
        <v>0 из 18</v>
      </c>
      <c r="L21" s="16" t="str">
        <f aca="false">IF('Сводка заказов'!AD8="","",'Сводка заказов'!AD8)</f>
        <v>Заказано</v>
      </c>
    </row>
    <row r="22" customFormat="false" ht="15.75" hidden="false" customHeight="true" outlineLevel="0" collapsed="false">
      <c r="A22" s="16" t="str">
        <f aca="false">IF('Сводка заказов'!A9="","",'Сводка заказов'!A9)</f>
        <v>QDF-1</v>
      </c>
      <c r="B22" s="16" t="str">
        <f aca="false">IF('Сводка заказов'!B9="","",'Сводка заказов'!B9)</f>
        <v>Qingdao Florescence</v>
      </c>
      <c r="C22" s="17" t="str">
        <f aca="false">IF('Сводка заказов'!D9="","",'Сводка заказов'!D9)</f>
        <v/>
      </c>
      <c r="D22" s="18" t="n">
        <f aca="false">IF('Сводка заказов'!K9="","",'Сводка заказов'!K9)</f>
        <v>34194.5</v>
      </c>
      <c r="E22" s="19" t="n">
        <f aca="false">IF('Сводка заказов'!L9="","",'Сводка заказов'!L9)</f>
        <v>2342323</v>
      </c>
      <c r="F22" s="19" t="n">
        <f aca="false">IF('Сводка заказов'!Y9="","",'Сводка заказов'!Y9)</f>
        <v>2846600</v>
      </c>
      <c r="G22" s="19" t="n">
        <f aca="false">IF('Сводка заказов'!Z9="","",'Сводка заказов'!Z9)</f>
        <v>8063700</v>
      </c>
      <c r="H22" s="19" t="n">
        <f aca="false">IF('Сводка заказов'!AA9="","",'Сводка заказов'!AA9)</f>
        <v>5217100</v>
      </c>
      <c r="I22" s="20" t="n">
        <f aca="false">IF('Сводка заказов'!AB9="","",'Сводка заказов'!AB9)</f>
        <v>0.646985874970547</v>
      </c>
      <c r="J22" s="17" t="str">
        <f aca="false">IF('Сводка заказов'!V9="","",'Сводка заказов'!V9)</f>
        <v/>
      </c>
      <c r="K22" s="16" t="str">
        <f aca="false">IF('Сводка заказов'!AC9="","",'Сводка заказов'!AC9)</f>
        <v>0 из 10</v>
      </c>
      <c r="L22" s="16" t="str">
        <f aca="false">IF('Сводка заказов'!AD9="","",'Сводка заказов'!AD9)</f>
        <v>Заказано</v>
      </c>
    </row>
    <row r="23" customFormat="false" ht="15.75" hidden="false" customHeight="true" outlineLevel="0" collapsed="false">
      <c r="A23" s="10" t="s">
        <v>35</v>
      </c>
      <c r="B23" s="11"/>
      <c r="C23" s="11"/>
      <c r="D23" s="21" t="n">
        <f aca="false">'Сводка заказов'!K25</f>
        <v>715393.5</v>
      </c>
      <c r="E23" s="12" t="n">
        <f aca="false">'Сводка заказов'!L25</f>
        <v>49004456</v>
      </c>
      <c r="F23" s="12" t="n">
        <f aca="false">'Сводка заказов'!Y25</f>
        <v>59766930</v>
      </c>
      <c r="G23" s="12" t="n">
        <f aca="false">'Сводка заказов'!Z25</f>
        <v>153270620</v>
      </c>
      <c r="H23" s="12" t="n">
        <f aca="false">'Сводка заказов'!AA25</f>
        <v>93503690</v>
      </c>
      <c r="I23" s="13" t="n">
        <f aca="false">'Сводка заказов'!AB25</f>
        <v>0.610056186893483</v>
      </c>
      <c r="J23" s="11"/>
      <c r="K23" s="11"/>
      <c r="L23" s="11"/>
    </row>
    <row r="24" customFormat="false" ht="15.75" hidden="false" customHeight="true" outlineLevel="0" collapsed="false"/>
    <row r="25" customFormat="false" ht="15.75" hidden="false" customHeight="true" outlineLevel="0" collapsed="false">
      <c r="A25" s="22" t="s">
        <v>47</v>
      </c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Q5:Q13">
    <cfRule type="expression" priority="2" aboveAverage="0" equalAverage="0" bottom="0" percent="0" rank="0" text="" dxfId="0">
      <formula>AND(ISNUMBER(Q5),Q5&lt;Справочники!$B$24)</formula>
    </cfRule>
  </conditionalFormatting>
  <hyperlinks>
    <hyperlink ref="A5" r:id="rId1" location="'КАНАТЫ'!A1" display="КАНАТЫ"/>
    <hyperlink ref="A6" r:id="rId2" location="'ГИЛЬЗЫ%20И%20ВТУЛКИ'!A1" display="ГИЛЬЗЫ И ВТУЛКИ"/>
    <hyperlink ref="A7" r:id="rId3" location="'Изделия%20для%20каната'!A1" display="Изделия для каната"/>
    <hyperlink ref="A8" r:id="rId4" location="'Гимнастические%20кольца%20и%20подвесы'!A1" display="Гимнастические кольца и подвесы"/>
    <hyperlink ref="A9" r:id="rId5" location="'Комплектующие%20для%20качелей'!A1" display="Комплектующие для качелей"/>
    <hyperlink ref="A10" r:id="rId6" location="'Зацепы%20скалодромные'!A1" display="Зацепы скалодромные"/>
    <hyperlink ref="A11" r:id="rId7" location="'Крепление%20для%20качелей'!A1" display="Крепление для качелей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48"/>
    <col collapsed="false" customWidth="true" hidden="false" outlineLevel="0" max="26" min="3" style="0" width="8.63"/>
  </cols>
  <sheetData>
    <row r="1" customFormat="false" ht="15" hidden="false" customHeight="false" outlineLevel="0" collapsed="false">
      <c r="A1" s="23" t="s">
        <v>48</v>
      </c>
    </row>
    <row r="2" customFormat="false" ht="15" hidden="false" customHeight="false" outlineLevel="0" collapsed="false">
      <c r="A2" s="24" t="s">
        <v>49</v>
      </c>
    </row>
    <row r="3" customFormat="false" ht="15" hidden="false" customHeight="false" outlineLevel="0" collapsed="false">
      <c r="A3" s="25" t="s">
        <v>50</v>
      </c>
    </row>
    <row r="4" customFormat="false" ht="15" hidden="false" customHeight="false" outlineLevel="0" collapsed="false">
      <c r="A4" s="26" t="s">
        <v>51</v>
      </c>
    </row>
    <row r="5" customFormat="false" ht="15" hidden="false" customHeight="false" outlineLevel="0" collapsed="false">
      <c r="A5" s="26" t="s">
        <v>52</v>
      </c>
    </row>
    <row r="6" customFormat="false" ht="15" hidden="false" customHeight="false" outlineLevel="0" collapsed="false">
      <c r="A6" s="26" t="s">
        <v>53</v>
      </c>
    </row>
    <row r="7" customFormat="false" ht="15" hidden="false" customHeight="false" outlineLevel="0" collapsed="false">
      <c r="A7" s="26" t="s">
        <v>54</v>
      </c>
    </row>
    <row r="8" customFormat="false" ht="15" hidden="false" customHeight="false" outlineLevel="0" collapsed="false">
      <c r="A8" s="26"/>
    </row>
    <row r="9" customFormat="false" ht="15" hidden="false" customHeight="false" outlineLevel="0" collapsed="false">
      <c r="A9" s="23" t="s">
        <v>55</v>
      </c>
    </row>
    <row r="10" customFormat="false" ht="15" hidden="false" customHeight="false" outlineLevel="0" collapsed="false">
      <c r="A10" s="26" t="s">
        <v>56</v>
      </c>
    </row>
    <row r="11" customFormat="false" ht="15" hidden="false" customHeight="false" outlineLevel="0" collapsed="false">
      <c r="A11" s="26" t="s">
        <v>57</v>
      </c>
    </row>
    <row r="12" customFormat="false" ht="15" hidden="false" customHeight="false" outlineLevel="0" collapsed="false">
      <c r="A12" s="26" t="s">
        <v>58</v>
      </c>
    </row>
    <row r="13" customFormat="false" ht="15" hidden="false" customHeight="false" outlineLevel="0" collapsed="false">
      <c r="A13" s="26" t="s">
        <v>59</v>
      </c>
    </row>
    <row r="14" customFormat="false" ht="15" hidden="false" customHeight="false" outlineLevel="0" collapsed="false">
      <c r="A14" s="26"/>
    </row>
    <row r="15" customFormat="false" ht="15" hidden="false" customHeight="false" outlineLevel="0" collapsed="false">
      <c r="A15" s="23" t="s">
        <v>60</v>
      </c>
    </row>
    <row r="16" customFormat="false" ht="15" hidden="false" customHeight="false" outlineLevel="0" collapsed="false">
      <c r="A16" s="26" t="s">
        <v>61</v>
      </c>
    </row>
    <row r="17" customFormat="false" ht="15" hidden="false" customHeight="false" outlineLevel="0" collapsed="false">
      <c r="A17" s="26" t="s">
        <v>62</v>
      </c>
    </row>
    <row r="18" customFormat="false" ht="15" hidden="false" customHeight="false" outlineLevel="0" collapsed="false">
      <c r="A18" s="26" t="s">
        <v>63</v>
      </c>
    </row>
    <row r="19" customFormat="false" ht="15" hidden="false" customHeight="false" outlineLevel="0" collapsed="false">
      <c r="A19" s="26"/>
    </row>
    <row r="20" customFormat="false" ht="15" hidden="false" customHeight="false" outlineLevel="0" collapsed="false">
      <c r="A20" s="23" t="s">
        <v>64</v>
      </c>
    </row>
    <row r="21" customFormat="false" ht="15.75" hidden="false" customHeight="true" outlineLevel="0" collapsed="false">
      <c r="A21" s="26" t="s">
        <v>65</v>
      </c>
    </row>
    <row r="22" customFormat="false" ht="15.75" hidden="false" customHeight="true" outlineLevel="0" collapsed="false">
      <c r="A22" s="26" t="s">
        <v>66</v>
      </c>
    </row>
    <row r="23" customFormat="false" ht="15.75" hidden="false" customHeight="true" outlineLevel="0" collapsed="false">
      <c r="A23" s="26" t="s">
        <v>67</v>
      </c>
    </row>
    <row r="24" customFormat="false" ht="15.75" hidden="false" customHeight="true" outlineLevel="0" collapsed="false">
      <c r="A24" s="26" t="s">
        <v>68</v>
      </c>
    </row>
    <row r="25" customFormat="false" ht="15.75" hidden="false" customHeight="true" outlineLevel="0" collapsed="false">
      <c r="A25" s="26" t="s">
        <v>69</v>
      </c>
    </row>
    <row r="26" customFormat="false" ht="15.75" hidden="false" customHeight="true" outlineLevel="0" collapsed="false">
      <c r="A26" s="26"/>
    </row>
    <row r="27" customFormat="false" ht="15.75" hidden="false" customHeight="true" outlineLevel="0" collapsed="false">
      <c r="A27" s="23" t="s">
        <v>70</v>
      </c>
    </row>
    <row r="28" customFormat="false" ht="15.75" hidden="false" customHeight="true" outlineLevel="0" collapsed="false">
      <c r="A28" s="27" t="s">
        <v>71</v>
      </c>
      <c r="B28" s="27" t="s">
        <v>72</v>
      </c>
    </row>
    <row r="29" customFormat="false" ht="15.75" hidden="false" customHeight="true" outlineLevel="0" collapsed="false">
      <c r="A29" s="28" t="s">
        <v>73</v>
      </c>
      <c r="B29" s="29" t="s">
        <v>74</v>
      </c>
    </row>
    <row r="30" customFormat="false" ht="15.75" hidden="false" customHeight="true" outlineLevel="0" collapsed="false">
      <c r="A30" s="28" t="s">
        <v>46</v>
      </c>
      <c r="B30" s="29" t="s">
        <v>75</v>
      </c>
    </row>
    <row r="31" customFormat="false" ht="15.75" hidden="false" customHeight="true" outlineLevel="0" collapsed="false">
      <c r="A31" s="28" t="s">
        <v>76</v>
      </c>
      <c r="B31" s="29" t="s">
        <v>77</v>
      </c>
    </row>
    <row r="32" customFormat="false" ht="15.75" hidden="false" customHeight="true" outlineLevel="0" collapsed="false">
      <c r="A32" s="28" t="s">
        <v>78</v>
      </c>
      <c r="B32" s="29" t="s">
        <v>79</v>
      </c>
    </row>
    <row r="33" customFormat="false" ht="15.75" hidden="false" customHeight="true" outlineLevel="0" collapsed="false">
      <c r="A33" s="28" t="s">
        <v>80</v>
      </c>
      <c r="B33" s="29" t="s">
        <v>81</v>
      </c>
    </row>
    <row r="34" customFormat="false" ht="15.75" hidden="false" customHeight="true" outlineLevel="0" collapsed="false">
      <c r="A34" s="28" t="s">
        <v>82</v>
      </c>
      <c r="B34" s="29" t="s">
        <v>83</v>
      </c>
    </row>
    <row r="35" customFormat="false" ht="15.75" hidden="false" customHeight="true" outlineLevel="0" collapsed="false">
      <c r="A35" s="28" t="s">
        <v>84</v>
      </c>
      <c r="B35" s="29" t="s">
        <v>85</v>
      </c>
    </row>
    <row r="36" customFormat="false" ht="15.75" hidden="false" customHeight="true" outlineLevel="0" collapsed="false">
      <c r="A36" s="28" t="s">
        <v>86</v>
      </c>
      <c r="B36" s="29" t="n">
        <v>5000</v>
      </c>
    </row>
    <row r="37" customFormat="false" ht="15.75" hidden="false" customHeight="true" outlineLevel="0" collapsed="false">
      <c r="A37" s="28" t="s">
        <v>87</v>
      </c>
      <c r="B37" s="29" t="n">
        <v>3000</v>
      </c>
    </row>
    <row r="38" customFormat="false" ht="15.75" hidden="false" customHeight="true" outlineLevel="0" collapsed="false">
      <c r="A38" s="28" t="s">
        <v>88</v>
      </c>
      <c r="B38" s="29" t="n">
        <v>16</v>
      </c>
    </row>
    <row r="39" customFormat="false" ht="15.75" hidden="false" customHeight="true" outlineLevel="0" collapsed="false">
      <c r="A39" s="28" t="s">
        <v>89</v>
      </c>
      <c r="B39" s="29" t="n">
        <v>24</v>
      </c>
    </row>
    <row r="40" customFormat="false" ht="15.75" hidden="false" customHeight="true" outlineLevel="0" collapsed="false">
      <c r="A40" s="28" t="s">
        <v>90</v>
      </c>
      <c r="B40" s="29" t="n">
        <v>17</v>
      </c>
    </row>
    <row r="41" customFormat="false" ht="15.75" hidden="false" customHeight="true" outlineLevel="0" collapsed="false">
      <c r="A41" s="28" t="s">
        <v>91</v>
      </c>
      <c r="B41" s="29" t="n">
        <v>30</v>
      </c>
    </row>
    <row r="42" customFormat="false" ht="15.75" hidden="false" customHeight="true" outlineLevel="0" collapsed="false">
      <c r="A42" s="28" t="s">
        <v>92</v>
      </c>
      <c r="B42" s="29" t="s">
        <v>93</v>
      </c>
    </row>
    <row r="43" customFormat="false" ht="15.75" hidden="false" customHeight="true" outlineLevel="0" collapsed="false">
      <c r="A43" s="28" t="s">
        <v>94</v>
      </c>
      <c r="B43" s="29" t="n">
        <v>22</v>
      </c>
    </row>
    <row r="44" customFormat="false" ht="15.75" hidden="false" customHeight="true" outlineLevel="0" collapsed="false">
      <c r="A44" s="28" t="s">
        <v>95</v>
      </c>
      <c r="B44" s="29" t="s">
        <v>96</v>
      </c>
    </row>
    <row r="45" customFormat="false" ht="15.75" hidden="false" customHeight="true" outlineLevel="0" collapsed="false">
      <c r="A45" s="28" t="s">
        <v>97</v>
      </c>
      <c r="B45" s="29" t="n">
        <v>500</v>
      </c>
    </row>
    <row r="46" customFormat="false" ht="15.75" hidden="false" customHeight="true" outlineLevel="0" collapsed="false">
      <c r="A46" s="28" t="s">
        <v>98</v>
      </c>
      <c r="B46" s="29" t="n">
        <v>45</v>
      </c>
    </row>
    <row r="47" customFormat="false" ht="15.75" hidden="false" customHeight="true" outlineLevel="0" collapsed="false">
      <c r="A47" s="28" t="s">
        <v>99</v>
      </c>
      <c r="B47" s="29" t="n">
        <v>260</v>
      </c>
    </row>
    <row r="48" customFormat="false" ht="15.75" hidden="false" customHeight="true" outlineLevel="0" collapsed="false">
      <c r="A48" s="28" t="s">
        <v>38</v>
      </c>
      <c r="B48" s="29" t="s">
        <v>100</v>
      </c>
    </row>
    <row r="49" customFormat="false" ht="15.75" hidden="false" customHeight="true" outlineLevel="0" collapsed="false">
      <c r="A49" s="28" t="s">
        <v>101</v>
      </c>
      <c r="B49" s="29" t="n">
        <v>1.2</v>
      </c>
    </row>
    <row r="50" customFormat="false" ht="15.75" hidden="false" customHeight="true" outlineLevel="0" collapsed="false">
      <c r="A50" s="28" t="s">
        <v>102</v>
      </c>
      <c r="B50" s="29" t="s">
        <v>103</v>
      </c>
    </row>
    <row r="51" customFormat="false" ht="15.75" hidden="false" customHeight="true" outlineLevel="0" collapsed="false">
      <c r="A51" s="28" t="s">
        <v>104</v>
      </c>
      <c r="B51" s="29" t="n">
        <v>20</v>
      </c>
    </row>
    <row r="52" customFormat="false" ht="15.75" hidden="false" customHeight="true" outlineLevel="0" collapsed="false">
      <c r="A52" s="30" t="s">
        <v>105</v>
      </c>
    </row>
    <row r="53" customFormat="false" ht="15.75" hidden="false" customHeight="true" outlineLevel="0" collapsed="false"/>
    <row r="54" customFormat="false" ht="15.75" hidden="false" customHeight="true" outlineLevel="0" collapsed="false">
      <c r="A54" s="31" t="s">
        <v>106</v>
      </c>
    </row>
    <row r="55" customFormat="false" ht="15.75" hidden="false" customHeight="true" outlineLevel="0" collapsed="false">
      <c r="A55" s="32" t="s">
        <v>107</v>
      </c>
    </row>
    <row r="56" customFormat="false" ht="15.75" hidden="false" customHeight="true" outlineLevel="0" collapsed="false">
      <c r="A56" s="32" t="s">
        <v>108</v>
      </c>
    </row>
    <row r="57" customFormat="false" ht="15.75" hidden="false" customHeight="true" outlineLevel="0" collapsed="false">
      <c r="A57" s="32" t="s">
        <v>109</v>
      </c>
    </row>
    <row r="58" customFormat="false" ht="15.75" hidden="false" customHeight="true" outlineLevel="0" collapsed="false">
      <c r="A58" s="32" t="s">
        <v>110</v>
      </c>
    </row>
    <row r="59" customFormat="false" ht="15.75" hidden="false" customHeight="true" outlineLevel="0" collapsed="false">
      <c r="A59" s="32" t="s">
        <v>111</v>
      </c>
    </row>
    <row r="60" customFormat="false" ht="15.75" hidden="false" customHeight="true" outlineLevel="0" collapsed="false">
      <c r="A60" s="32" t="s">
        <v>112</v>
      </c>
    </row>
    <row r="61" customFormat="false" ht="15.75" hidden="false" customHeight="true" outlineLevel="0" collapsed="false">
      <c r="A61" s="32" t="s">
        <v>113</v>
      </c>
    </row>
    <row r="62" customFormat="false" ht="15.75" hidden="false" customHeight="true" outlineLevel="0" collapsed="false">
      <c r="A62" s="32" t="s">
        <v>114</v>
      </c>
    </row>
    <row r="63" customFormat="false" ht="15.75" hidden="false" customHeight="true" outlineLevel="0" collapsed="false">
      <c r="A63" s="32" t="s">
        <v>115</v>
      </c>
    </row>
    <row r="64" customFormat="false" ht="15.75" hidden="false" customHeight="true" outlineLevel="0" collapsed="false">
      <c r="A64" s="32" t="s">
        <v>116</v>
      </c>
    </row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38F"/>
    <pageSetUpPr fitToPage="false"/>
  </sheetPr>
  <dimension ref="A1:A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5" min="4" style="0" width="12"/>
    <col collapsed="false" customWidth="true" hidden="false" outlineLevel="0" max="6" min="6" style="0" width="40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11" min="9" style="0" width="12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7" min="16" style="0" width="9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12"/>
    <col collapsed="false" customWidth="true" hidden="false" outlineLevel="0" max="24" min="23" style="0" width="13"/>
    <col collapsed="false" customWidth="true" hidden="false" outlineLevel="0" max="26" min="25" style="0" width="15"/>
    <col collapsed="false" customWidth="true" hidden="false" outlineLevel="0" max="27" min="27" style="0" width="14"/>
    <col collapsed="false" customWidth="true" hidden="false" outlineLevel="0" max="28" min="28" style="0" width="8"/>
    <col collapsed="false" customWidth="true" hidden="false" outlineLevel="0" max="29" min="29" style="0" width="10"/>
    <col collapsed="false" customWidth="true" hidden="false" outlineLevel="0" max="30" min="30" style="0" width="14"/>
    <col collapsed="false" customWidth="true" hidden="false" outlineLevel="0" max="31" min="31" style="0" width="60"/>
  </cols>
  <sheetData>
    <row r="1" customFormat="false" ht="17.35" hidden="false" customHeight="false" outlineLevel="0" collapsed="false">
      <c r="A1" s="14" t="s">
        <v>117</v>
      </c>
    </row>
    <row r="2" customFormat="false" ht="15" hidden="false" customHeight="false" outlineLevel="0" collapsed="false">
      <c r="A2" s="22" t="s">
        <v>118</v>
      </c>
    </row>
    <row r="3" customFormat="false" ht="15" hidden="false" customHeight="true" outlineLevel="0" collapsed="false">
      <c r="A3" s="33" t="s">
        <v>119</v>
      </c>
      <c r="B3" s="33"/>
      <c r="C3" s="33"/>
      <c r="D3" s="33"/>
      <c r="E3" s="33"/>
      <c r="F3" s="33"/>
      <c r="G3" s="34" t="s">
        <v>120</v>
      </c>
      <c r="H3" s="34"/>
      <c r="I3" s="34"/>
      <c r="J3" s="34"/>
      <c r="K3" s="34"/>
      <c r="L3" s="34"/>
      <c r="M3" s="35" t="s">
        <v>121</v>
      </c>
      <c r="N3" s="35"/>
      <c r="O3" s="35"/>
      <c r="P3" s="35"/>
      <c r="Q3" s="36" t="s">
        <v>122</v>
      </c>
      <c r="R3" s="36"/>
      <c r="S3" s="36"/>
      <c r="T3" s="36"/>
      <c r="U3" s="36"/>
      <c r="V3" s="36"/>
      <c r="W3" s="37" t="s">
        <v>123</v>
      </c>
      <c r="X3" s="37"/>
      <c r="Y3" s="37"/>
      <c r="Z3" s="37"/>
      <c r="AA3" s="37"/>
      <c r="AB3" s="37"/>
      <c r="AC3" s="37"/>
      <c r="AD3" s="38" t="s">
        <v>46</v>
      </c>
      <c r="AE3" s="38"/>
    </row>
    <row r="4" customFormat="false" ht="60" hidden="false" customHeight="true" outlineLevel="0" collapsed="false">
      <c r="A4" s="39" t="s">
        <v>37</v>
      </c>
      <c r="B4" s="39" t="s">
        <v>38</v>
      </c>
      <c r="C4" s="39" t="s">
        <v>124</v>
      </c>
      <c r="D4" s="39" t="s">
        <v>125</v>
      </c>
      <c r="E4" s="39" t="s">
        <v>126</v>
      </c>
      <c r="F4" s="39" t="s">
        <v>127</v>
      </c>
      <c r="G4" s="39" t="s">
        <v>128</v>
      </c>
      <c r="H4" s="39" t="s">
        <v>129</v>
      </c>
      <c r="I4" s="39" t="s">
        <v>130</v>
      </c>
      <c r="J4" s="39" t="s">
        <v>131</v>
      </c>
      <c r="K4" s="39" t="s">
        <v>40</v>
      </c>
      <c r="L4" s="39" t="s">
        <v>132</v>
      </c>
      <c r="M4" s="39" t="s">
        <v>133</v>
      </c>
      <c r="N4" s="39" t="s">
        <v>134</v>
      </c>
      <c r="O4" s="39" t="s">
        <v>135</v>
      </c>
      <c r="P4" s="39" t="s">
        <v>136</v>
      </c>
      <c r="Q4" s="39" t="s">
        <v>137</v>
      </c>
      <c r="R4" s="39" t="s">
        <v>138</v>
      </c>
      <c r="S4" s="39" t="s">
        <v>139</v>
      </c>
      <c r="T4" s="39" t="s">
        <v>140</v>
      </c>
      <c r="U4" s="39" t="s">
        <v>141</v>
      </c>
      <c r="V4" s="39" t="s">
        <v>44</v>
      </c>
      <c r="W4" s="39" t="s">
        <v>142</v>
      </c>
      <c r="X4" s="39" t="s">
        <v>143</v>
      </c>
      <c r="Y4" s="39" t="s">
        <v>42</v>
      </c>
      <c r="Z4" s="39" t="s">
        <v>16</v>
      </c>
      <c r="AA4" s="39" t="s">
        <v>17</v>
      </c>
      <c r="AB4" s="39" t="s">
        <v>18</v>
      </c>
      <c r="AC4" s="39" t="s">
        <v>45</v>
      </c>
      <c r="AD4" s="39" t="s">
        <v>144</v>
      </c>
      <c r="AE4" s="39" t="s">
        <v>145</v>
      </c>
    </row>
    <row r="5" customFormat="false" ht="45" hidden="false" customHeight="true" outlineLevel="0" collapsed="false">
      <c r="A5" s="40" t="s">
        <v>146</v>
      </c>
      <c r="B5" s="40" t="s">
        <v>147</v>
      </c>
      <c r="C5" s="41" t="s">
        <v>148</v>
      </c>
      <c r="D5" s="42" t="n">
        <v>46286</v>
      </c>
      <c r="E5" s="42"/>
      <c r="F5" s="41" t="s">
        <v>149</v>
      </c>
      <c r="G5" s="43" t="n">
        <f aca="false">IF($A5="","",COUNTIF(ЗАКАЗЫ!$A$3:$A$500,$A5))</f>
        <v>18</v>
      </c>
      <c r="H5" s="7" t="n">
        <f aca="false">IF($A5="","",SUMIF(ЗАКАЗЫ!$A$3:$A$500,$A5,ЗАКАЗЫ!$J$3:$J$500))</f>
        <v>6900</v>
      </c>
      <c r="I5" s="44" t="n">
        <f aca="false">IF($A5="","",SUMIF(ЗАКАЗЫ!$A$3:$A$500,$A5,ЗАКАЗЫ!$M$3:$M$500))</f>
        <v>56285</v>
      </c>
      <c r="J5" s="45" t="n">
        <v>0</v>
      </c>
      <c r="K5" s="44" t="n">
        <f aca="false">IF($A5="","",I5+N(J5))</f>
        <v>56285</v>
      </c>
      <c r="L5" s="7" t="n">
        <f aca="false">IF($A5="","",ROUND(K5*Справочники!$B$5,0))</f>
        <v>3855523</v>
      </c>
      <c r="M5" s="44" t="n">
        <f aca="false">IF($A5="","",ROUND(K5*0.3,2))</f>
        <v>16885.5</v>
      </c>
      <c r="N5" s="40" t="s">
        <v>150</v>
      </c>
      <c r="O5" s="44" t="n">
        <f aca="false">IF($A5="","",K5-M5)</f>
        <v>39399.5</v>
      </c>
      <c r="P5" s="40" t="s">
        <v>150</v>
      </c>
      <c r="Q5" s="8" t="n">
        <f aca="false">IF(N(I5)=0,"",N(J5)/I5)</f>
        <v>0</v>
      </c>
      <c r="R5" s="46" t="n">
        <v>0</v>
      </c>
      <c r="S5" s="46" t="n">
        <v>0.15</v>
      </c>
      <c r="T5" s="40" t="n">
        <v>12</v>
      </c>
      <c r="U5" s="40" t="n">
        <v>7</v>
      </c>
      <c r="V5" s="47" t="n">
        <f aca="false">IF(OR($A5="",T5="",AND(D5="",E5="")),"",WORKDAY(IF(E5&lt;&gt;"",E5,D5+14),T5)+N(U5))</f>
        <v>46323</v>
      </c>
      <c r="W5" s="7" t="n">
        <f aca="false">IF($A5="","",SUMIF(ЗАКАЗЫ!$A$3:$A$500,$A5,ЗАКАЗЫ!$Z$3:$Z$500))</f>
        <v>245166.7</v>
      </c>
      <c r="X5" s="7" t="n">
        <f aca="false">IF($A5="","",SUMIF(ЗАКАЗЫ!$A$3:$A$500,$A5,ЗАКАЗЫ!$AA$3:$AA$500))</f>
        <v>656104.5</v>
      </c>
      <c r="Y5" s="7" t="n">
        <f aca="false">IF($A5="","",SUMIF(ЗАКАЗЫ!$A$3:$A$500,$A5,ЗАКАЗЫ!$Y$3:$Y$500))</f>
        <v>4678620</v>
      </c>
      <c r="Z5" s="7" t="n">
        <f aca="false">IF($A5="","",SUMIF(ЗАКАЗЫ!$A$3:$A$500,$A5,ЗАКАЗЫ!$AH$3:$AH$500))</f>
        <v>12398480</v>
      </c>
      <c r="AA5" s="7" t="n">
        <f aca="false">IF($A5="","",SUMIF(ЗАКАЗЫ!$A$3:$A$500,$A5,ЗАКАЗЫ!$AI$3:$AI$500))</f>
        <v>7719860</v>
      </c>
      <c r="AB5" s="8" t="n">
        <f aca="false">IF(N(Z5)=0,"",AA5/Z5)</f>
        <v>0.622645679147767</v>
      </c>
      <c r="AC5" s="43" t="str">
        <f aca="false">IF($A5="","",COUNTIFS(ЗАКАЗЫ!$A$3:$A$500,$A5,ЗАКАЗЫ!$AN$3:$AN$500,"Да")&amp;" из "&amp;G5)</f>
        <v>0 из 18</v>
      </c>
      <c r="AD5" s="40" t="s">
        <v>151</v>
      </c>
      <c r="AE5" s="41" t="s">
        <v>152</v>
      </c>
    </row>
    <row r="6" customFormat="false" ht="45" hidden="false" customHeight="true" outlineLevel="0" collapsed="false">
      <c r="A6" s="40" t="s">
        <v>153</v>
      </c>
      <c r="B6" s="40" t="s">
        <v>147</v>
      </c>
      <c r="C6" s="41" t="s">
        <v>154</v>
      </c>
      <c r="D6" s="42" t="n">
        <v>46309</v>
      </c>
      <c r="E6" s="42"/>
      <c r="F6" s="41" t="s">
        <v>155</v>
      </c>
      <c r="G6" s="43" t="n">
        <f aca="false">IF($A6="","",COUNTIF(ЗАКАЗЫ!$A$3:$A$500,$A6))</f>
        <v>27</v>
      </c>
      <c r="H6" s="7" t="n">
        <f aca="false">IF($A6="","",SUMIF(ЗАКАЗЫ!$A$3:$A$500,$A6,ЗАКАЗЫ!$J$3:$J$500))</f>
        <v>55000</v>
      </c>
      <c r="I6" s="44" t="n">
        <f aca="false">IF($A6="","",SUMIF(ЗАКАЗЫ!$A$3:$A$500,$A6,ЗАКАЗЫ!$M$3:$M$500))</f>
        <v>143075</v>
      </c>
      <c r="J6" s="45" t="n">
        <v>0</v>
      </c>
      <c r="K6" s="44" t="n">
        <f aca="false">IF($A6="","",I6+N(J6))</f>
        <v>143075</v>
      </c>
      <c r="L6" s="7" t="n">
        <f aca="false">IF($A6="","",ROUND(K6*Справочники!$B$5,0))</f>
        <v>9800638</v>
      </c>
      <c r="M6" s="44" t="n">
        <f aca="false">IF($A6="","",ROUND(K6*0.3,2))</f>
        <v>42922.5</v>
      </c>
      <c r="N6" s="40" t="s">
        <v>150</v>
      </c>
      <c r="O6" s="44" t="n">
        <f aca="false">IF($A6="","",K6-M6)</f>
        <v>100152.5</v>
      </c>
      <c r="P6" s="40" t="s">
        <v>150</v>
      </c>
      <c r="Q6" s="8" t="n">
        <f aca="false">IF(N(I6)=0,"",N(J6)/I6)</f>
        <v>0</v>
      </c>
      <c r="R6" s="46" t="n">
        <v>0</v>
      </c>
      <c r="S6" s="46" t="n">
        <v>0.15</v>
      </c>
      <c r="T6" s="40" t="n">
        <v>12</v>
      </c>
      <c r="U6" s="40" t="n">
        <v>7</v>
      </c>
      <c r="V6" s="47" t="n">
        <f aca="false">IF(OR($A6="",T6="",AND(D6="",E6="")),"",WORKDAY(IF(E6&lt;&gt;"",E6,D6+14),T6)+N(U6))</f>
        <v>46346</v>
      </c>
      <c r="W6" s="7" t="n">
        <f aca="false">IF($A6="","",SUMIF(ЗАКАЗЫ!$A$3:$A$500,$A6,ЗАКАЗЫ!$Z$3:$Z$500))</f>
        <v>788300</v>
      </c>
      <c r="X6" s="7" t="n">
        <f aca="false">IF($A6="","",SUMIF(ЗАКАЗЫ!$A$3:$A$500,$A6,ЗАКАЗЫ!$AA$3:$AA$500))</f>
        <v>1694230</v>
      </c>
      <c r="Y6" s="7" t="n">
        <f aca="false">IF($A6="","",SUMIF(ЗАКАЗЫ!$A$3:$A$500,$A6,ЗАКАЗЫ!$Y$3:$Y$500))</f>
        <v>12062000</v>
      </c>
      <c r="Z6" s="7" t="n">
        <f aca="false">IF($A6="","",SUMIF(ЗАКАЗЫ!$A$3:$A$500,$A6,ЗАКАЗЫ!$AH$3:$AH$500))</f>
        <v>36043500</v>
      </c>
      <c r="AA6" s="7" t="n">
        <f aca="false">IF($A6="","",SUMIF(ЗАКАЗЫ!$A$3:$A$500,$A6,ЗАКАЗЫ!$AI$3:$AI$500))</f>
        <v>23981500</v>
      </c>
      <c r="AB6" s="8" t="n">
        <f aca="false">IF(N(Z6)=0,"",AA6/Z6)</f>
        <v>0.66534881462677</v>
      </c>
      <c r="AC6" s="43" t="str">
        <f aca="false">IF($A6="","",COUNTIFS(ЗАКАЗЫ!$A$3:$A$500,$A6,ЗАКАЗЫ!$AN$3:$AN$500,"Да")&amp;" из "&amp;G6)</f>
        <v>0 из 27</v>
      </c>
      <c r="AD6" s="40" t="s">
        <v>151</v>
      </c>
      <c r="AE6" s="41" t="s">
        <v>156</v>
      </c>
    </row>
    <row r="7" customFormat="false" ht="45" hidden="false" customHeight="true" outlineLevel="0" collapsed="false">
      <c r="A7" s="40" t="s">
        <v>157</v>
      </c>
      <c r="B7" s="40" t="s">
        <v>147</v>
      </c>
      <c r="C7" s="41" t="s">
        <v>158</v>
      </c>
      <c r="D7" s="42" t="n">
        <v>46309</v>
      </c>
      <c r="E7" s="42"/>
      <c r="F7" s="41" t="s">
        <v>159</v>
      </c>
      <c r="G7" s="43" t="n">
        <f aca="false">IF($A7="","",COUNTIF(ЗАКАЗЫ!$A$3:$A$500,$A7))</f>
        <v>8</v>
      </c>
      <c r="H7" s="7" t="n">
        <f aca="false">IF($A7="","",SUMIF(ЗАКАЗЫ!$A$3:$A$500,$A7,ЗАКАЗЫ!$J$3:$J$500))</f>
        <v>11300</v>
      </c>
      <c r="I7" s="44" t="n">
        <f aca="false">IF($A7="","",SUMIF(ЗАКАЗЫ!$A$3:$A$500,$A7,ЗАКАЗЫ!$M$3:$M$500))</f>
        <v>207190</v>
      </c>
      <c r="J7" s="45" t="n">
        <v>0</v>
      </c>
      <c r="K7" s="44" t="n">
        <f aca="false">IF($A7="","",I7+N(J7))</f>
        <v>207190</v>
      </c>
      <c r="L7" s="7" t="n">
        <f aca="false">IF($A7="","",ROUND(K7*Справочники!$B$5,0))</f>
        <v>14192515</v>
      </c>
      <c r="M7" s="44" t="n">
        <f aca="false">IF($A7="","",ROUND(K7*0.3,2))</f>
        <v>62157</v>
      </c>
      <c r="N7" s="40" t="s">
        <v>150</v>
      </c>
      <c r="O7" s="44" t="n">
        <f aca="false">IF($A7="","",K7-M7)</f>
        <v>145033</v>
      </c>
      <c r="P7" s="40" t="s">
        <v>150</v>
      </c>
      <c r="Q7" s="8" t="n">
        <f aca="false">IF(N(I7)=0,"",N(J7)/I7)</f>
        <v>0</v>
      </c>
      <c r="R7" s="46" t="n">
        <v>0</v>
      </c>
      <c r="S7" s="46" t="n">
        <v>0.15</v>
      </c>
      <c r="T7" s="40" t="n">
        <v>30</v>
      </c>
      <c r="U7" s="40" t="n">
        <v>7</v>
      </c>
      <c r="V7" s="47" t="n">
        <f aca="false">IF(OR($A7="",T7="",AND(D7="",E7="")),"",WORKDAY(IF(E7&lt;&gt;"",E7,D7+14),T7)+N(U7))</f>
        <v>46372</v>
      </c>
      <c r="W7" s="7" t="n">
        <f aca="false">IF($A7="","",SUMIF(ЗАКАЗЫ!$A$3:$A$500,$A7,ЗАКАЗЫ!$Z$3:$Z$500))</f>
        <v>811547</v>
      </c>
      <c r="X7" s="7" t="n">
        <f aca="false">IF($A7="","",SUMIF(ЗАКАЗЫ!$A$3:$A$500,$A7,ЗАКАЗЫ!$AA$3:$AA$500))</f>
        <v>2400645</v>
      </c>
      <c r="Y7" s="7" t="n">
        <f aca="false">IF($A7="","",SUMIF(ЗАКАЗЫ!$A$3:$A$500,$A7,ЗАКАЗЫ!$Y$3:$Y$500))</f>
        <v>17132500</v>
      </c>
      <c r="Z7" s="7" t="n">
        <f aca="false">IF($A7="","",SUMIF(ЗАКАЗЫ!$A$3:$A$500,$A7,ЗАКАЗЫ!$AH$3:$AH$500))</f>
        <v>46265500</v>
      </c>
      <c r="AA7" s="7" t="n">
        <f aca="false">IF($A7="","",SUMIF(ЗАКАЗЫ!$A$3:$A$500,$A7,ЗАКАЗЫ!$AI$3:$AI$500))</f>
        <v>29133000</v>
      </c>
      <c r="AB7" s="8" t="n">
        <f aca="false">IF(N(Z7)=0,"",AA7/Z7)</f>
        <v>0.629691670899482</v>
      </c>
      <c r="AC7" s="43" t="str">
        <f aca="false">IF($A7="","",COUNTIFS(ЗАКАЗЫ!$A$3:$A$500,$A7,ЗАКАЗЫ!$AN$3:$AN$500,"Да")&amp;" из "&amp;G7)</f>
        <v>0 из 8</v>
      </c>
      <c r="AD7" s="40" t="s">
        <v>151</v>
      </c>
      <c r="AE7" s="41" t="s">
        <v>160</v>
      </c>
    </row>
    <row r="8" customFormat="false" ht="45" hidden="false" customHeight="true" outlineLevel="0" collapsed="false">
      <c r="A8" s="40" t="s">
        <v>161</v>
      </c>
      <c r="B8" s="40" t="s">
        <v>100</v>
      </c>
      <c r="C8" s="41" t="s">
        <v>162</v>
      </c>
      <c r="D8" s="42"/>
      <c r="E8" s="42"/>
      <c r="F8" s="41" t="s">
        <v>163</v>
      </c>
      <c r="G8" s="43" t="n">
        <f aca="false">IF($A8="","",COUNTIF(ЗАКАЗЫ!$A$3:$A$500,$A8))</f>
        <v>18</v>
      </c>
      <c r="H8" s="7" t="n">
        <f aca="false">IF($A8="","",SUMIF(ЗАКАЗЫ!$A$3:$A$500,$A8,ЗАКАЗЫ!$J$3:$J$500))</f>
        <v>19000</v>
      </c>
      <c r="I8" s="44" t="n">
        <f aca="false">IF($A8="","",SUMIF(ЗАКАЗЫ!$A$3:$A$500,$A8,ЗАКАЗЫ!$M$3:$M$500))</f>
        <v>274649</v>
      </c>
      <c r="J8" s="45" t="n">
        <v>0</v>
      </c>
      <c r="K8" s="44" t="n">
        <f aca="false">IF($A8="","",I8+N(J8))</f>
        <v>274649</v>
      </c>
      <c r="L8" s="7" t="n">
        <f aca="false">IF($A8="","",ROUND(K8*Справочники!$B$5,0))</f>
        <v>18813457</v>
      </c>
      <c r="M8" s="44" t="n">
        <f aca="false">IF($A8="","",ROUND(K8*0.3,2))</f>
        <v>82394.7</v>
      </c>
      <c r="N8" s="40" t="s">
        <v>150</v>
      </c>
      <c r="O8" s="44" t="n">
        <f aca="false">IF($A8="","",K8-M8)</f>
        <v>192254.3</v>
      </c>
      <c r="P8" s="40" t="s">
        <v>150</v>
      </c>
      <c r="Q8" s="8" t="n">
        <f aca="false">IF(N(I8)=0,"",N(J8)/I8)</f>
        <v>0</v>
      </c>
      <c r="R8" s="46" t="n">
        <v>0</v>
      </c>
      <c r="S8" s="46" t="n">
        <v>0.15</v>
      </c>
      <c r="T8" s="40"/>
      <c r="U8" s="40" t="n">
        <v>7</v>
      </c>
      <c r="V8" s="47" t="str">
        <f aca="false">IF(OR($A8="",T8="",AND(D8="",E8="")),"",WORKDAY(IF(E8&lt;&gt;"",E8,D8+14),T8)+N(U8))</f>
        <v/>
      </c>
      <c r="W8" s="7" t="n">
        <f aca="false">IF($A8="","",SUMIF(ЗАКАЗЫ!$A$3:$A$500,$A8,ЗАКАЗЫ!$Z$3:$Z$500))</f>
        <v>1412015.8</v>
      </c>
      <c r="X8" s="7" t="n">
        <f aca="false">IF($A8="","",SUMIF(ЗАКАЗЫ!$A$3:$A$500,$A8,ЗАКАЗЫ!$AA$3:$AA$500))</f>
        <v>3236109.6</v>
      </c>
      <c r="Y8" s="7" t="n">
        <f aca="false">IF($A8="","",SUMIF(ЗАКАЗЫ!$A$3:$A$500,$A8,ЗАКАЗЫ!$Y$3:$Y$500))</f>
        <v>23047210</v>
      </c>
      <c r="Z8" s="7" t="n">
        <f aca="false">IF($A8="","",SUMIF(ЗАКАЗЫ!$A$3:$A$500,$A8,ЗАКАЗЫ!$AH$3:$AH$500))</f>
        <v>50499440</v>
      </c>
      <c r="AA8" s="7" t="n">
        <f aca="false">IF($A8="","",SUMIF(ЗАКАЗЫ!$A$3:$A$500,$A8,ЗАКАЗЫ!$AI$3:$AI$500))</f>
        <v>27452230</v>
      </c>
      <c r="AB8" s="8" t="n">
        <f aca="false">IF(N(Z8)=0,"",AA8/Z8)</f>
        <v>0.543614543052359</v>
      </c>
      <c r="AC8" s="43" t="str">
        <f aca="false">IF($A8="","",COUNTIFS(ЗАКАЗЫ!$A$3:$A$500,$A8,ЗАКАЗЫ!$AN$3:$AN$500,"Да")&amp;" из "&amp;G8)</f>
        <v>0 из 18</v>
      </c>
      <c r="AD8" s="40" t="s">
        <v>151</v>
      </c>
      <c r="AE8" s="41" t="s">
        <v>164</v>
      </c>
    </row>
    <row r="9" customFormat="false" ht="45" hidden="false" customHeight="true" outlineLevel="0" collapsed="false">
      <c r="A9" s="40" t="s">
        <v>165</v>
      </c>
      <c r="B9" s="40" t="s">
        <v>166</v>
      </c>
      <c r="C9" s="41" t="s">
        <v>167</v>
      </c>
      <c r="D9" s="42"/>
      <c r="E9" s="42"/>
      <c r="F9" s="41" t="s">
        <v>168</v>
      </c>
      <c r="G9" s="43" t="n">
        <f aca="false">IF($A9="","",COUNTIF(ЗАКАЗЫ!$A$3:$A$500,$A9))</f>
        <v>10</v>
      </c>
      <c r="H9" s="7" t="n">
        <f aca="false">IF($A9="","",SUMIF(ЗАКАЗЫ!$A$3:$A$500,$A9,ЗАКАЗЫ!$J$3:$J$500))</f>
        <v>4050</v>
      </c>
      <c r="I9" s="44" t="n">
        <f aca="false">IF($A9="","",SUMIF(ЗАКАЗЫ!$A$3:$A$500,$A9,ЗАКАЗЫ!$M$3:$M$500))</f>
        <v>33025</v>
      </c>
      <c r="J9" s="45" t="n">
        <v>1169.5</v>
      </c>
      <c r="K9" s="44" t="n">
        <f aca="false">IF($A9="","",I9+N(J9))</f>
        <v>34194.5</v>
      </c>
      <c r="L9" s="7" t="n">
        <f aca="false">IF($A9="","",ROUND(K9*Справочники!$B$5,0))</f>
        <v>2342323</v>
      </c>
      <c r="M9" s="44" t="n">
        <f aca="false">IF($A9="","",ROUND(K9*0.3,2))</f>
        <v>10258.35</v>
      </c>
      <c r="N9" s="40" t="s">
        <v>150</v>
      </c>
      <c r="O9" s="44" t="n">
        <f aca="false">IF($A9="","",K9-M9)</f>
        <v>23936.15</v>
      </c>
      <c r="P9" s="40" t="s">
        <v>150</v>
      </c>
      <c r="Q9" s="8" t="n">
        <f aca="false">IF(N(I9)=0,"",N(J9)/I9)</f>
        <v>0.0354125662376987</v>
      </c>
      <c r="R9" s="46" t="n">
        <v>0</v>
      </c>
      <c r="S9" s="46" t="n">
        <v>0.15</v>
      </c>
      <c r="T9" s="40"/>
      <c r="U9" s="40" t="n">
        <v>7</v>
      </c>
      <c r="V9" s="47" t="str">
        <f aca="false">IF(OR($A9="",T9="",AND(D9="",E9="")),"",WORKDAY(IF(E9&lt;&gt;"",E9,D9+14),T9)+N(U9))</f>
        <v/>
      </c>
      <c r="W9" s="7" t="n">
        <f aca="false">IF($A9="","",SUMIF(ЗАКАЗЫ!$A$3:$A$500,$A9,ЗАКАЗЫ!$Z$3:$Z$500))</f>
        <v>164770</v>
      </c>
      <c r="X9" s="7" t="n">
        <f aca="false">IF($A9="","",SUMIF(ЗАКАЗЫ!$A$3:$A$500,$A9,ЗАКАЗЫ!$AA$3:$AA$500))</f>
        <v>401131</v>
      </c>
      <c r="Y9" s="7" t="n">
        <f aca="false">IF($A9="","",SUMIF(ЗАКАЗЫ!$A$3:$A$500,$A9,ЗАКАЗЫ!$Y$3:$Y$500))</f>
        <v>2846600</v>
      </c>
      <c r="Z9" s="7" t="n">
        <f aca="false">IF($A9="","",SUMIF(ЗАКАЗЫ!$A$3:$A$500,$A9,ЗАКАЗЫ!$AH$3:$AH$500))</f>
        <v>8063700</v>
      </c>
      <c r="AA9" s="7" t="n">
        <f aca="false">IF($A9="","",SUMIF(ЗАКАЗЫ!$A$3:$A$500,$A9,ЗАКАЗЫ!$AI$3:$AI$500))</f>
        <v>5217100</v>
      </c>
      <c r="AB9" s="8" t="n">
        <f aca="false">IF(N(Z9)=0,"",AA9/Z9)</f>
        <v>0.646985874970547</v>
      </c>
      <c r="AC9" s="43" t="str">
        <f aca="false">IF($A9="","",COUNTIFS(ЗАКАЗЫ!$A$3:$A$500,$A9,ЗАКАЗЫ!$AN$3:$AN$500,"Да")&amp;" из "&amp;G9)</f>
        <v>0 из 10</v>
      </c>
      <c r="AD9" s="40" t="s">
        <v>151</v>
      </c>
      <c r="AE9" s="41" t="s">
        <v>169</v>
      </c>
    </row>
    <row r="10" customFormat="false" ht="15" hidden="false" customHeight="true" outlineLevel="0" collapsed="false">
      <c r="A10" s="40"/>
      <c r="B10" s="40"/>
      <c r="C10" s="41"/>
      <c r="D10" s="42"/>
      <c r="E10" s="42"/>
      <c r="F10" s="41"/>
      <c r="G10" s="43" t="str">
        <f aca="false">IF($A10="","",COUNTIF(ЗАКАЗЫ!$A$3:$A$500,$A10))</f>
        <v/>
      </c>
      <c r="H10" s="7" t="str">
        <f aca="false">IF($A10="","",SUMIF(ЗАКАЗЫ!$A$3:$A$500,$A10,ЗАКАЗЫ!$J$3:$J$500))</f>
        <v/>
      </c>
      <c r="I10" s="44" t="str">
        <f aca="false">IF($A10="","",SUMIF(ЗАКАЗЫ!$A$3:$A$500,$A10,ЗАКАЗЫ!$M$3:$M$500))</f>
        <v/>
      </c>
      <c r="J10" s="45"/>
      <c r="K10" s="44" t="str">
        <f aca="false">IF($A10="","",I10+N(J10))</f>
        <v/>
      </c>
      <c r="L10" s="7" t="str">
        <f aca="false">IF($A10="","",ROUND(K10*Справочники!$B$5,0))</f>
        <v/>
      </c>
      <c r="M10" s="44" t="str">
        <f aca="false">IF($A10="","",ROUND(K10*0.3,2))</f>
        <v/>
      </c>
      <c r="N10" s="40"/>
      <c r="O10" s="44" t="str">
        <f aca="false">IF($A10="","",K10-M10)</f>
        <v/>
      </c>
      <c r="P10" s="40"/>
      <c r="Q10" s="8" t="str">
        <f aca="false">IF(N(I10)=0,"",N(J10)/I10)</f>
        <v/>
      </c>
      <c r="R10" s="46"/>
      <c r="S10" s="46"/>
      <c r="T10" s="40"/>
      <c r="U10" s="40"/>
      <c r="V10" s="47" t="str">
        <f aca="false">IF(OR($A10="",T10="",AND(D10="",E10="")),"",WORKDAY(IF(E10&lt;&gt;"",E10,D10+14),T10)+N(U10))</f>
        <v/>
      </c>
      <c r="W10" s="7" t="str">
        <f aca="false">IF($A10="","",SUMIF(ЗАКАЗЫ!$A$3:$A$500,$A10,ЗАКАЗЫ!$Z$3:$Z$500))</f>
        <v/>
      </c>
      <c r="X10" s="7" t="str">
        <f aca="false">IF($A10="","",SUMIF(ЗАКАЗЫ!$A$3:$A$500,$A10,ЗАКАЗЫ!$AA$3:$AA$500))</f>
        <v/>
      </c>
      <c r="Y10" s="7" t="str">
        <f aca="false">IF($A10="","",SUMIF(ЗАКАЗЫ!$A$3:$A$500,$A10,ЗАКАЗЫ!$Y$3:$Y$500))</f>
        <v/>
      </c>
      <c r="Z10" s="7" t="str">
        <f aca="false">IF($A10="","",SUMIF(ЗАКАЗЫ!$A$3:$A$500,$A10,ЗАКАЗЫ!$AH$3:$AH$500))</f>
        <v/>
      </c>
      <c r="AA10" s="7" t="str">
        <f aca="false">IF($A10="","",SUMIF(ЗАКАЗЫ!$A$3:$A$500,$A10,ЗАКАЗЫ!$AI$3:$AI$500))</f>
        <v/>
      </c>
      <c r="AB10" s="8" t="str">
        <f aca="false">IF(N(Z10)=0,"",AA10/Z10)</f>
        <v/>
      </c>
      <c r="AC10" s="43" t="str">
        <f aca="false">IF($A10="","",COUNTIFS(ЗАКАЗЫ!$A$3:$A$500,$A10,ЗАКАЗЫ!$AN$3:$AN$500,"Да")&amp;" из "&amp;G10)</f>
        <v/>
      </c>
      <c r="AD10" s="40"/>
      <c r="AE10" s="41"/>
    </row>
    <row r="11" customFormat="false" ht="15" hidden="false" customHeight="true" outlineLevel="0" collapsed="false">
      <c r="A11" s="40"/>
      <c r="B11" s="40"/>
      <c r="C11" s="41"/>
      <c r="D11" s="42"/>
      <c r="E11" s="42"/>
      <c r="F11" s="41"/>
      <c r="G11" s="43" t="str">
        <f aca="false">IF($A11="","",COUNTIF(ЗАКАЗЫ!$A$3:$A$500,$A11))</f>
        <v/>
      </c>
      <c r="H11" s="7" t="str">
        <f aca="false">IF($A11="","",SUMIF(ЗАКАЗЫ!$A$3:$A$500,$A11,ЗАКАЗЫ!$J$3:$J$500))</f>
        <v/>
      </c>
      <c r="I11" s="44" t="str">
        <f aca="false">IF($A11="","",SUMIF(ЗАКАЗЫ!$A$3:$A$500,$A11,ЗАКАЗЫ!$M$3:$M$500))</f>
        <v/>
      </c>
      <c r="J11" s="45"/>
      <c r="K11" s="44" t="str">
        <f aca="false">IF($A11="","",I11+N(J11))</f>
        <v/>
      </c>
      <c r="L11" s="7" t="str">
        <f aca="false">IF($A11="","",ROUND(K11*Справочники!$B$5,0))</f>
        <v/>
      </c>
      <c r="M11" s="44" t="str">
        <f aca="false">IF($A11="","",ROUND(K11*0.3,2))</f>
        <v/>
      </c>
      <c r="N11" s="40"/>
      <c r="O11" s="44" t="str">
        <f aca="false">IF($A11="","",K11-M11)</f>
        <v/>
      </c>
      <c r="P11" s="40"/>
      <c r="Q11" s="8" t="str">
        <f aca="false">IF(N(I11)=0,"",N(J11)/I11)</f>
        <v/>
      </c>
      <c r="R11" s="46"/>
      <c r="S11" s="46"/>
      <c r="T11" s="40"/>
      <c r="U11" s="40"/>
      <c r="V11" s="47" t="str">
        <f aca="false">IF(OR($A11="",T11="",AND(D11="",E11="")),"",WORKDAY(IF(E11&lt;&gt;"",E11,D11+14),T11)+N(U11))</f>
        <v/>
      </c>
      <c r="W11" s="7" t="str">
        <f aca="false">IF($A11="","",SUMIF(ЗАКАЗЫ!$A$3:$A$500,$A11,ЗАКАЗЫ!$Z$3:$Z$500))</f>
        <v/>
      </c>
      <c r="X11" s="7" t="str">
        <f aca="false">IF($A11="","",SUMIF(ЗАКАЗЫ!$A$3:$A$500,$A11,ЗАКАЗЫ!$AA$3:$AA$500))</f>
        <v/>
      </c>
      <c r="Y11" s="7" t="str">
        <f aca="false">IF($A11="","",SUMIF(ЗАКАЗЫ!$A$3:$A$500,$A11,ЗАКАЗЫ!$Y$3:$Y$500))</f>
        <v/>
      </c>
      <c r="Z11" s="7" t="str">
        <f aca="false">IF($A11="","",SUMIF(ЗАКАЗЫ!$A$3:$A$500,$A11,ЗАКАЗЫ!$AH$3:$AH$500))</f>
        <v/>
      </c>
      <c r="AA11" s="7" t="str">
        <f aca="false">IF($A11="","",SUMIF(ЗАКАЗЫ!$A$3:$A$500,$A11,ЗАКАЗЫ!$AI$3:$AI$500))</f>
        <v/>
      </c>
      <c r="AB11" s="8" t="str">
        <f aca="false">IF(N(Z11)=0,"",AA11/Z11)</f>
        <v/>
      </c>
      <c r="AC11" s="43" t="str">
        <f aca="false">IF($A11="","",COUNTIFS(ЗАКАЗЫ!$A$3:$A$500,$A11,ЗАКАЗЫ!$AN$3:$AN$500,"Да")&amp;" из "&amp;G11)</f>
        <v/>
      </c>
      <c r="AD11" s="40"/>
      <c r="AE11" s="41"/>
    </row>
    <row r="12" customFormat="false" ht="15" hidden="false" customHeight="true" outlineLevel="0" collapsed="false">
      <c r="A12" s="40"/>
      <c r="B12" s="40"/>
      <c r="C12" s="41"/>
      <c r="D12" s="42"/>
      <c r="E12" s="42"/>
      <c r="F12" s="41"/>
      <c r="G12" s="43" t="str">
        <f aca="false">IF($A12="","",COUNTIF(ЗАКАЗЫ!$A$3:$A$500,$A12))</f>
        <v/>
      </c>
      <c r="H12" s="7" t="str">
        <f aca="false">IF($A12="","",SUMIF(ЗАКАЗЫ!$A$3:$A$500,$A12,ЗАКАЗЫ!$J$3:$J$500))</f>
        <v/>
      </c>
      <c r="I12" s="44" t="str">
        <f aca="false">IF($A12="","",SUMIF(ЗАКАЗЫ!$A$3:$A$500,$A12,ЗАКАЗЫ!$M$3:$M$500))</f>
        <v/>
      </c>
      <c r="J12" s="45"/>
      <c r="K12" s="44" t="str">
        <f aca="false">IF($A12="","",I12+N(J12))</f>
        <v/>
      </c>
      <c r="L12" s="7" t="str">
        <f aca="false">IF($A12="","",ROUND(K12*Справочники!$B$5,0))</f>
        <v/>
      </c>
      <c r="M12" s="44" t="str">
        <f aca="false">IF($A12="","",ROUND(K12*0.3,2))</f>
        <v/>
      </c>
      <c r="N12" s="40"/>
      <c r="O12" s="44" t="str">
        <f aca="false">IF($A12="","",K12-M12)</f>
        <v/>
      </c>
      <c r="P12" s="40"/>
      <c r="Q12" s="8" t="str">
        <f aca="false">IF(N(I12)=0,"",N(J12)/I12)</f>
        <v/>
      </c>
      <c r="R12" s="46"/>
      <c r="S12" s="46"/>
      <c r="T12" s="40"/>
      <c r="U12" s="40"/>
      <c r="V12" s="47" t="str">
        <f aca="false">IF(OR($A12="",T12="",AND(D12="",E12="")),"",WORKDAY(IF(E12&lt;&gt;"",E12,D12+14),T12)+N(U12))</f>
        <v/>
      </c>
      <c r="W12" s="7" t="str">
        <f aca="false">IF($A12="","",SUMIF(ЗАКАЗЫ!$A$3:$A$500,$A12,ЗАКАЗЫ!$Z$3:$Z$500))</f>
        <v/>
      </c>
      <c r="X12" s="7" t="str">
        <f aca="false">IF($A12="","",SUMIF(ЗАКАЗЫ!$A$3:$A$500,$A12,ЗАКАЗЫ!$AA$3:$AA$500))</f>
        <v/>
      </c>
      <c r="Y12" s="7" t="str">
        <f aca="false">IF($A12="","",SUMIF(ЗАКАЗЫ!$A$3:$A$500,$A12,ЗАКАЗЫ!$Y$3:$Y$500))</f>
        <v/>
      </c>
      <c r="Z12" s="7" t="str">
        <f aca="false">IF($A12="","",SUMIF(ЗАКАЗЫ!$A$3:$A$500,$A12,ЗАКАЗЫ!$AH$3:$AH$500))</f>
        <v/>
      </c>
      <c r="AA12" s="7" t="str">
        <f aca="false">IF($A12="","",SUMIF(ЗАКАЗЫ!$A$3:$A$500,$A12,ЗАКАЗЫ!$AI$3:$AI$500))</f>
        <v/>
      </c>
      <c r="AB12" s="8" t="str">
        <f aca="false">IF(N(Z12)=0,"",AA12/Z12)</f>
        <v/>
      </c>
      <c r="AC12" s="43" t="str">
        <f aca="false">IF($A12="","",COUNTIFS(ЗАКАЗЫ!$A$3:$A$500,$A12,ЗАКАЗЫ!$AN$3:$AN$500,"Да")&amp;" из "&amp;G12)</f>
        <v/>
      </c>
      <c r="AD12" s="40"/>
      <c r="AE12" s="41"/>
    </row>
    <row r="13" customFormat="false" ht="15" hidden="false" customHeight="true" outlineLevel="0" collapsed="false">
      <c r="A13" s="40"/>
      <c r="B13" s="40"/>
      <c r="C13" s="41"/>
      <c r="D13" s="42"/>
      <c r="E13" s="42"/>
      <c r="F13" s="41"/>
      <c r="G13" s="43" t="str">
        <f aca="false">IF($A13="","",COUNTIF(ЗАКАЗЫ!$A$3:$A$500,$A13))</f>
        <v/>
      </c>
      <c r="H13" s="7" t="str">
        <f aca="false">IF($A13="","",SUMIF(ЗАКАЗЫ!$A$3:$A$500,$A13,ЗАКАЗЫ!$J$3:$J$500))</f>
        <v/>
      </c>
      <c r="I13" s="44" t="str">
        <f aca="false">IF($A13="","",SUMIF(ЗАКАЗЫ!$A$3:$A$500,$A13,ЗАКАЗЫ!$M$3:$M$500))</f>
        <v/>
      </c>
      <c r="J13" s="45"/>
      <c r="K13" s="44" t="str">
        <f aca="false">IF($A13="","",I13+N(J13))</f>
        <v/>
      </c>
      <c r="L13" s="7" t="str">
        <f aca="false">IF($A13="","",ROUND(K13*Справочники!$B$5,0))</f>
        <v/>
      </c>
      <c r="M13" s="44" t="str">
        <f aca="false">IF($A13="","",ROUND(K13*0.3,2))</f>
        <v/>
      </c>
      <c r="N13" s="40"/>
      <c r="O13" s="44" t="str">
        <f aca="false">IF($A13="","",K13-M13)</f>
        <v/>
      </c>
      <c r="P13" s="40"/>
      <c r="Q13" s="8" t="str">
        <f aca="false">IF(N(I13)=0,"",N(J13)/I13)</f>
        <v/>
      </c>
      <c r="R13" s="46"/>
      <c r="S13" s="46"/>
      <c r="T13" s="40"/>
      <c r="U13" s="40"/>
      <c r="V13" s="47" t="str">
        <f aca="false">IF(OR($A13="",T13="",AND(D13="",E13="")),"",WORKDAY(IF(E13&lt;&gt;"",E13,D13+14),T13)+N(U13))</f>
        <v/>
      </c>
      <c r="W13" s="7" t="str">
        <f aca="false">IF($A13="","",SUMIF(ЗАКАЗЫ!$A$3:$A$500,$A13,ЗАКАЗЫ!$Z$3:$Z$500))</f>
        <v/>
      </c>
      <c r="X13" s="7" t="str">
        <f aca="false">IF($A13="","",SUMIF(ЗАКАЗЫ!$A$3:$A$500,$A13,ЗАКАЗЫ!$AA$3:$AA$500))</f>
        <v/>
      </c>
      <c r="Y13" s="7" t="str">
        <f aca="false">IF($A13="","",SUMIF(ЗАКАЗЫ!$A$3:$A$500,$A13,ЗАКАЗЫ!$Y$3:$Y$500))</f>
        <v/>
      </c>
      <c r="Z13" s="7" t="str">
        <f aca="false">IF($A13="","",SUMIF(ЗАКАЗЫ!$A$3:$A$500,$A13,ЗАКАЗЫ!$AH$3:$AH$500))</f>
        <v/>
      </c>
      <c r="AA13" s="7" t="str">
        <f aca="false">IF($A13="","",SUMIF(ЗАКАЗЫ!$A$3:$A$500,$A13,ЗАКАЗЫ!$AI$3:$AI$500))</f>
        <v/>
      </c>
      <c r="AB13" s="8" t="str">
        <f aca="false">IF(N(Z13)=0,"",AA13/Z13)</f>
        <v/>
      </c>
      <c r="AC13" s="43" t="str">
        <f aca="false">IF($A13="","",COUNTIFS(ЗАКАЗЫ!$A$3:$A$500,$A13,ЗАКАЗЫ!$AN$3:$AN$500,"Да")&amp;" из "&amp;G13)</f>
        <v/>
      </c>
      <c r="AD13" s="40"/>
      <c r="AE13" s="41"/>
    </row>
    <row r="14" customFormat="false" ht="15" hidden="false" customHeight="true" outlineLevel="0" collapsed="false">
      <c r="A14" s="40"/>
      <c r="B14" s="40"/>
      <c r="C14" s="41"/>
      <c r="D14" s="42"/>
      <c r="E14" s="42"/>
      <c r="F14" s="41"/>
      <c r="G14" s="43" t="str">
        <f aca="false">IF($A14="","",COUNTIF(ЗАКАЗЫ!$A$3:$A$500,$A14))</f>
        <v/>
      </c>
      <c r="H14" s="7" t="str">
        <f aca="false">IF($A14="","",SUMIF(ЗАКАЗЫ!$A$3:$A$500,$A14,ЗАКАЗЫ!$J$3:$J$500))</f>
        <v/>
      </c>
      <c r="I14" s="44" t="str">
        <f aca="false">IF($A14="","",SUMIF(ЗАКАЗЫ!$A$3:$A$500,$A14,ЗАКАЗЫ!$M$3:$M$500))</f>
        <v/>
      </c>
      <c r="J14" s="45"/>
      <c r="K14" s="44" t="str">
        <f aca="false">IF($A14="","",I14+N(J14))</f>
        <v/>
      </c>
      <c r="L14" s="7" t="str">
        <f aca="false">IF($A14="","",ROUND(K14*Справочники!$B$5,0))</f>
        <v/>
      </c>
      <c r="M14" s="44" t="str">
        <f aca="false">IF($A14="","",ROUND(K14*0.3,2))</f>
        <v/>
      </c>
      <c r="N14" s="40"/>
      <c r="O14" s="44" t="str">
        <f aca="false">IF($A14="","",K14-M14)</f>
        <v/>
      </c>
      <c r="P14" s="40"/>
      <c r="Q14" s="8" t="str">
        <f aca="false">IF(N(I14)=0,"",N(J14)/I14)</f>
        <v/>
      </c>
      <c r="R14" s="46"/>
      <c r="S14" s="46"/>
      <c r="T14" s="40"/>
      <c r="U14" s="40"/>
      <c r="V14" s="47" t="str">
        <f aca="false">IF(OR($A14="",T14="",AND(D14="",E14="")),"",WORKDAY(IF(E14&lt;&gt;"",E14,D14+14),T14)+N(U14))</f>
        <v/>
      </c>
      <c r="W14" s="7" t="str">
        <f aca="false">IF($A14="","",SUMIF(ЗАКАЗЫ!$A$3:$A$500,$A14,ЗАКАЗЫ!$Z$3:$Z$500))</f>
        <v/>
      </c>
      <c r="X14" s="7" t="str">
        <f aca="false">IF($A14="","",SUMIF(ЗАКАЗЫ!$A$3:$A$500,$A14,ЗАКАЗЫ!$AA$3:$AA$500))</f>
        <v/>
      </c>
      <c r="Y14" s="7" t="str">
        <f aca="false">IF($A14="","",SUMIF(ЗАКАЗЫ!$A$3:$A$500,$A14,ЗАКАЗЫ!$Y$3:$Y$500))</f>
        <v/>
      </c>
      <c r="Z14" s="7" t="str">
        <f aca="false">IF($A14="","",SUMIF(ЗАКАЗЫ!$A$3:$A$500,$A14,ЗАКАЗЫ!$AH$3:$AH$500))</f>
        <v/>
      </c>
      <c r="AA14" s="7" t="str">
        <f aca="false">IF($A14="","",SUMIF(ЗАКАЗЫ!$A$3:$A$500,$A14,ЗАКАЗЫ!$AI$3:$AI$500))</f>
        <v/>
      </c>
      <c r="AB14" s="8" t="str">
        <f aca="false">IF(N(Z14)=0,"",AA14/Z14)</f>
        <v/>
      </c>
      <c r="AC14" s="43" t="str">
        <f aca="false">IF($A14="","",COUNTIFS(ЗАКАЗЫ!$A$3:$A$500,$A14,ЗАКАЗЫ!$AN$3:$AN$500,"Да")&amp;" из "&amp;G14)</f>
        <v/>
      </c>
      <c r="AD14" s="40"/>
      <c r="AE14" s="41"/>
    </row>
    <row r="15" customFormat="false" ht="15" hidden="false" customHeight="true" outlineLevel="0" collapsed="false">
      <c r="A15" s="40"/>
      <c r="B15" s="40"/>
      <c r="C15" s="41"/>
      <c r="D15" s="42"/>
      <c r="E15" s="42"/>
      <c r="F15" s="41"/>
      <c r="G15" s="43" t="str">
        <f aca="false">IF($A15="","",COUNTIF(ЗАКАЗЫ!$A$3:$A$500,$A15))</f>
        <v/>
      </c>
      <c r="H15" s="7" t="str">
        <f aca="false">IF($A15="","",SUMIF(ЗАКАЗЫ!$A$3:$A$500,$A15,ЗАКАЗЫ!$J$3:$J$500))</f>
        <v/>
      </c>
      <c r="I15" s="44" t="str">
        <f aca="false">IF($A15="","",SUMIF(ЗАКАЗЫ!$A$3:$A$500,$A15,ЗАКАЗЫ!$M$3:$M$500))</f>
        <v/>
      </c>
      <c r="J15" s="45"/>
      <c r="K15" s="44" t="str">
        <f aca="false">IF($A15="","",I15+N(J15))</f>
        <v/>
      </c>
      <c r="L15" s="7" t="str">
        <f aca="false">IF($A15="","",ROUND(K15*Справочники!$B$5,0))</f>
        <v/>
      </c>
      <c r="M15" s="44" t="str">
        <f aca="false">IF($A15="","",ROUND(K15*0.3,2))</f>
        <v/>
      </c>
      <c r="N15" s="40"/>
      <c r="O15" s="44" t="str">
        <f aca="false">IF($A15="","",K15-M15)</f>
        <v/>
      </c>
      <c r="P15" s="40"/>
      <c r="Q15" s="8" t="str">
        <f aca="false">IF(N(I15)=0,"",N(J15)/I15)</f>
        <v/>
      </c>
      <c r="R15" s="46"/>
      <c r="S15" s="46"/>
      <c r="T15" s="40"/>
      <c r="U15" s="40"/>
      <c r="V15" s="47" t="str">
        <f aca="false">IF(OR($A15="",T15="",AND(D15="",E15="")),"",WORKDAY(IF(E15&lt;&gt;"",E15,D15+14),T15)+N(U15))</f>
        <v/>
      </c>
      <c r="W15" s="7" t="str">
        <f aca="false">IF($A15="","",SUMIF(ЗАКАЗЫ!$A$3:$A$500,$A15,ЗАКАЗЫ!$Z$3:$Z$500))</f>
        <v/>
      </c>
      <c r="X15" s="7" t="str">
        <f aca="false">IF($A15="","",SUMIF(ЗАКАЗЫ!$A$3:$A$500,$A15,ЗАКАЗЫ!$AA$3:$AA$500))</f>
        <v/>
      </c>
      <c r="Y15" s="7" t="str">
        <f aca="false">IF($A15="","",SUMIF(ЗАКАЗЫ!$A$3:$A$500,$A15,ЗАКАЗЫ!$Y$3:$Y$500))</f>
        <v/>
      </c>
      <c r="Z15" s="7" t="str">
        <f aca="false">IF($A15="","",SUMIF(ЗАКАЗЫ!$A$3:$A$500,$A15,ЗАКАЗЫ!$AH$3:$AH$500))</f>
        <v/>
      </c>
      <c r="AA15" s="7" t="str">
        <f aca="false">IF($A15="","",SUMIF(ЗАКАЗЫ!$A$3:$A$500,$A15,ЗАКАЗЫ!$AI$3:$AI$500))</f>
        <v/>
      </c>
      <c r="AB15" s="8" t="str">
        <f aca="false">IF(N(Z15)=0,"",AA15/Z15)</f>
        <v/>
      </c>
      <c r="AC15" s="43" t="str">
        <f aca="false">IF($A15="","",COUNTIFS(ЗАКАЗЫ!$A$3:$A$500,$A15,ЗАКАЗЫ!$AN$3:$AN$500,"Да")&amp;" из "&amp;G15)</f>
        <v/>
      </c>
      <c r="AD15" s="40"/>
      <c r="AE15" s="41"/>
    </row>
    <row r="16" customFormat="false" ht="15" hidden="false" customHeight="true" outlineLevel="0" collapsed="false">
      <c r="A16" s="40"/>
      <c r="B16" s="40"/>
      <c r="C16" s="41"/>
      <c r="D16" s="42"/>
      <c r="E16" s="42"/>
      <c r="F16" s="41"/>
      <c r="G16" s="43" t="str">
        <f aca="false">IF($A16="","",COUNTIF(ЗАКАЗЫ!$A$3:$A$500,$A16))</f>
        <v/>
      </c>
      <c r="H16" s="7" t="str">
        <f aca="false">IF($A16="","",SUMIF(ЗАКАЗЫ!$A$3:$A$500,$A16,ЗАКАЗЫ!$J$3:$J$500))</f>
        <v/>
      </c>
      <c r="I16" s="44" t="str">
        <f aca="false">IF($A16="","",SUMIF(ЗАКАЗЫ!$A$3:$A$500,$A16,ЗАКАЗЫ!$M$3:$M$500))</f>
        <v/>
      </c>
      <c r="J16" s="45"/>
      <c r="K16" s="44" t="str">
        <f aca="false">IF($A16="","",I16+N(J16))</f>
        <v/>
      </c>
      <c r="L16" s="7" t="str">
        <f aca="false">IF($A16="","",ROUND(K16*Справочники!$B$5,0))</f>
        <v/>
      </c>
      <c r="M16" s="44" t="str">
        <f aca="false">IF($A16="","",ROUND(K16*0.3,2))</f>
        <v/>
      </c>
      <c r="N16" s="40"/>
      <c r="O16" s="44" t="str">
        <f aca="false">IF($A16="","",K16-M16)</f>
        <v/>
      </c>
      <c r="P16" s="40"/>
      <c r="Q16" s="8" t="str">
        <f aca="false">IF(N(I16)=0,"",N(J16)/I16)</f>
        <v/>
      </c>
      <c r="R16" s="46"/>
      <c r="S16" s="46"/>
      <c r="T16" s="40"/>
      <c r="U16" s="40"/>
      <c r="V16" s="47" t="str">
        <f aca="false">IF(OR($A16="",T16="",AND(D16="",E16="")),"",WORKDAY(IF(E16&lt;&gt;"",E16,D16+14),T16)+N(U16))</f>
        <v/>
      </c>
      <c r="W16" s="7" t="str">
        <f aca="false">IF($A16="","",SUMIF(ЗАКАЗЫ!$A$3:$A$500,$A16,ЗАКАЗЫ!$Z$3:$Z$500))</f>
        <v/>
      </c>
      <c r="X16" s="7" t="str">
        <f aca="false">IF($A16="","",SUMIF(ЗАКАЗЫ!$A$3:$A$500,$A16,ЗАКАЗЫ!$AA$3:$AA$500))</f>
        <v/>
      </c>
      <c r="Y16" s="7" t="str">
        <f aca="false">IF($A16="","",SUMIF(ЗАКАЗЫ!$A$3:$A$500,$A16,ЗАКАЗЫ!$Y$3:$Y$500))</f>
        <v/>
      </c>
      <c r="Z16" s="7" t="str">
        <f aca="false">IF($A16="","",SUMIF(ЗАКАЗЫ!$A$3:$A$500,$A16,ЗАКАЗЫ!$AH$3:$AH$500))</f>
        <v/>
      </c>
      <c r="AA16" s="7" t="str">
        <f aca="false">IF($A16="","",SUMIF(ЗАКАЗЫ!$A$3:$A$500,$A16,ЗАКАЗЫ!$AI$3:$AI$500))</f>
        <v/>
      </c>
      <c r="AB16" s="8" t="str">
        <f aca="false">IF(N(Z16)=0,"",AA16/Z16)</f>
        <v/>
      </c>
      <c r="AC16" s="43" t="str">
        <f aca="false">IF($A16="","",COUNTIFS(ЗАКАЗЫ!$A$3:$A$500,$A16,ЗАКАЗЫ!$AN$3:$AN$500,"Да")&amp;" из "&amp;G16)</f>
        <v/>
      </c>
      <c r="AD16" s="40"/>
      <c r="AE16" s="41"/>
    </row>
    <row r="17" customFormat="false" ht="15" hidden="false" customHeight="true" outlineLevel="0" collapsed="false">
      <c r="A17" s="40"/>
      <c r="B17" s="40"/>
      <c r="C17" s="41"/>
      <c r="D17" s="42"/>
      <c r="E17" s="42"/>
      <c r="F17" s="41"/>
      <c r="G17" s="43" t="str">
        <f aca="false">IF($A17="","",COUNTIF(ЗАКАЗЫ!$A$3:$A$500,$A17))</f>
        <v/>
      </c>
      <c r="H17" s="7" t="str">
        <f aca="false">IF($A17="","",SUMIF(ЗАКАЗЫ!$A$3:$A$500,$A17,ЗАКАЗЫ!$J$3:$J$500))</f>
        <v/>
      </c>
      <c r="I17" s="44" t="str">
        <f aca="false">IF($A17="","",SUMIF(ЗАКАЗЫ!$A$3:$A$500,$A17,ЗАКАЗЫ!$M$3:$M$500))</f>
        <v/>
      </c>
      <c r="J17" s="45"/>
      <c r="K17" s="44" t="str">
        <f aca="false">IF($A17="","",I17+N(J17))</f>
        <v/>
      </c>
      <c r="L17" s="7" t="str">
        <f aca="false">IF($A17="","",ROUND(K17*Справочники!$B$5,0))</f>
        <v/>
      </c>
      <c r="M17" s="44" t="str">
        <f aca="false">IF($A17="","",ROUND(K17*0.3,2))</f>
        <v/>
      </c>
      <c r="N17" s="40"/>
      <c r="O17" s="44" t="str">
        <f aca="false">IF($A17="","",K17-M17)</f>
        <v/>
      </c>
      <c r="P17" s="40"/>
      <c r="Q17" s="8" t="str">
        <f aca="false">IF(N(I17)=0,"",N(J17)/I17)</f>
        <v/>
      </c>
      <c r="R17" s="46"/>
      <c r="S17" s="46"/>
      <c r="T17" s="40"/>
      <c r="U17" s="40"/>
      <c r="V17" s="47" t="str">
        <f aca="false">IF(OR($A17="",T17="",AND(D17="",E17="")),"",WORKDAY(IF(E17&lt;&gt;"",E17,D17+14),T17)+N(U17))</f>
        <v/>
      </c>
      <c r="W17" s="7" t="str">
        <f aca="false">IF($A17="","",SUMIF(ЗАКАЗЫ!$A$3:$A$500,$A17,ЗАКАЗЫ!$Z$3:$Z$500))</f>
        <v/>
      </c>
      <c r="X17" s="7" t="str">
        <f aca="false">IF($A17="","",SUMIF(ЗАКАЗЫ!$A$3:$A$500,$A17,ЗАКАЗЫ!$AA$3:$AA$500))</f>
        <v/>
      </c>
      <c r="Y17" s="7" t="str">
        <f aca="false">IF($A17="","",SUMIF(ЗАКАЗЫ!$A$3:$A$500,$A17,ЗАКАЗЫ!$Y$3:$Y$500))</f>
        <v/>
      </c>
      <c r="Z17" s="7" t="str">
        <f aca="false">IF($A17="","",SUMIF(ЗАКАЗЫ!$A$3:$A$500,$A17,ЗАКАЗЫ!$AH$3:$AH$500))</f>
        <v/>
      </c>
      <c r="AA17" s="7" t="str">
        <f aca="false">IF($A17="","",SUMIF(ЗАКАЗЫ!$A$3:$A$500,$A17,ЗАКАЗЫ!$AI$3:$AI$500))</f>
        <v/>
      </c>
      <c r="AB17" s="8" t="str">
        <f aca="false">IF(N(Z17)=0,"",AA17/Z17)</f>
        <v/>
      </c>
      <c r="AC17" s="43" t="str">
        <f aca="false">IF($A17="","",COUNTIFS(ЗАКАЗЫ!$A$3:$A$500,$A17,ЗАКАЗЫ!$AN$3:$AN$500,"Да")&amp;" из "&amp;G17)</f>
        <v/>
      </c>
      <c r="AD17" s="40"/>
      <c r="AE17" s="41"/>
    </row>
    <row r="18" customFormat="false" ht="15" hidden="false" customHeight="true" outlineLevel="0" collapsed="false">
      <c r="A18" s="40"/>
      <c r="B18" s="40"/>
      <c r="C18" s="41"/>
      <c r="D18" s="42"/>
      <c r="E18" s="42"/>
      <c r="F18" s="41"/>
      <c r="G18" s="43" t="str">
        <f aca="false">IF($A18="","",COUNTIF(ЗАКАЗЫ!$A$3:$A$500,$A18))</f>
        <v/>
      </c>
      <c r="H18" s="7" t="str">
        <f aca="false">IF($A18="","",SUMIF(ЗАКАЗЫ!$A$3:$A$500,$A18,ЗАКАЗЫ!$J$3:$J$500))</f>
        <v/>
      </c>
      <c r="I18" s="44" t="str">
        <f aca="false">IF($A18="","",SUMIF(ЗАКАЗЫ!$A$3:$A$500,$A18,ЗАКАЗЫ!$M$3:$M$500))</f>
        <v/>
      </c>
      <c r="J18" s="45"/>
      <c r="K18" s="44" t="str">
        <f aca="false">IF($A18="","",I18+N(J18))</f>
        <v/>
      </c>
      <c r="L18" s="7" t="str">
        <f aca="false">IF($A18="","",ROUND(K18*Справочники!$B$5,0))</f>
        <v/>
      </c>
      <c r="M18" s="44" t="str">
        <f aca="false">IF($A18="","",ROUND(K18*0.3,2))</f>
        <v/>
      </c>
      <c r="N18" s="40"/>
      <c r="O18" s="44" t="str">
        <f aca="false">IF($A18="","",K18-M18)</f>
        <v/>
      </c>
      <c r="P18" s="40"/>
      <c r="Q18" s="8" t="str">
        <f aca="false">IF(N(I18)=0,"",N(J18)/I18)</f>
        <v/>
      </c>
      <c r="R18" s="46"/>
      <c r="S18" s="46"/>
      <c r="T18" s="40"/>
      <c r="U18" s="40"/>
      <c r="V18" s="47" t="str">
        <f aca="false">IF(OR($A18="",T18="",AND(D18="",E18="")),"",WORKDAY(IF(E18&lt;&gt;"",E18,D18+14),T18)+N(U18))</f>
        <v/>
      </c>
      <c r="W18" s="7" t="str">
        <f aca="false">IF($A18="","",SUMIF(ЗАКАЗЫ!$A$3:$A$500,$A18,ЗАКАЗЫ!$Z$3:$Z$500))</f>
        <v/>
      </c>
      <c r="X18" s="7" t="str">
        <f aca="false">IF($A18="","",SUMIF(ЗАКАЗЫ!$A$3:$A$500,$A18,ЗАКАЗЫ!$AA$3:$AA$500))</f>
        <v/>
      </c>
      <c r="Y18" s="7" t="str">
        <f aca="false">IF($A18="","",SUMIF(ЗАКАЗЫ!$A$3:$A$500,$A18,ЗАКАЗЫ!$Y$3:$Y$500))</f>
        <v/>
      </c>
      <c r="Z18" s="7" t="str">
        <f aca="false">IF($A18="","",SUMIF(ЗАКАЗЫ!$A$3:$A$500,$A18,ЗАКАЗЫ!$AH$3:$AH$500))</f>
        <v/>
      </c>
      <c r="AA18" s="7" t="str">
        <f aca="false">IF($A18="","",SUMIF(ЗАКАЗЫ!$A$3:$A$500,$A18,ЗАКАЗЫ!$AI$3:$AI$500))</f>
        <v/>
      </c>
      <c r="AB18" s="8" t="str">
        <f aca="false">IF(N(Z18)=0,"",AA18/Z18)</f>
        <v/>
      </c>
      <c r="AC18" s="43" t="str">
        <f aca="false">IF($A18="","",COUNTIFS(ЗАКАЗЫ!$A$3:$A$500,$A18,ЗАКАЗЫ!$AN$3:$AN$500,"Да")&amp;" из "&amp;G18)</f>
        <v/>
      </c>
      <c r="AD18" s="40"/>
      <c r="AE18" s="41"/>
    </row>
    <row r="19" customFormat="false" ht="15" hidden="false" customHeight="true" outlineLevel="0" collapsed="false">
      <c r="A19" s="40"/>
      <c r="B19" s="40"/>
      <c r="C19" s="41"/>
      <c r="D19" s="42"/>
      <c r="E19" s="42"/>
      <c r="F19" s="41"/>
      <c r="G19" s="43" t="str">
        <f aca="false">IF($A19="","",COUNTIF(ЗАКАЗЫ!$A$3:$A$500,$A19))</f>
        <v/>
      </c>
      <c r="H19" s="7" t="str">
        <f aca="false">IF($A19="","",SUMIF(ЗАКАЗЫ!$A$3:$A$500,$A19,ЗАКАЗЫ!$J$3:$J$500))</f>
        <v/>
      </c>
      <c r="I19" s="44" t="str">
        <f aca="false">IF($A19="","",SUMIF(ЗАКАЗЫ!$A$3:$A$500,$A19,ЗАКАЗЫ!$M$3:$M$500))</f>
        <v/>
      </c>
      <c r="J19" s="45"/>
      <c r="K19" s="44" t="str">
        <f aca="false">IF($A19="","",I19+N(J19))</f>
        <v/>
      </c>
      <c r="L19" s="7" t="str">
        <f aca="false">IF($A19="","",ROUND(K19*Справочники!$B$5,0))</f>
        <v/>
      </c>
      <c r="M19" s="44" t="str">
        <f aca="false">IF($A19="","",ROUND(K19*0.3,2))</f>
        <v/>
      </c>
      <c r="N19" s="40"/>
      <c r="O19" s="44" t="str">
        <f aca="false">IF($A19="","",K19-M19)</f>
        <v/>
      </c>
      <c r="P19" s="40"/>
      <c r="Q19" s="8" t="str">
        <f aca="false">IF(N(I19)=0,"",N(J19)/I19)</f>
        <v/>
      </c>
      <c r="R19" s="46"/>
      <c r="S19" s="46"/>
      <c r="T19" s="40"/>
      <c r="U19" s="40"/>
      <c r="V19" s="47" t="str">
        <f aca="false">IF(OR($A19="",T19="",AND(D19="",E19="")),"",WORKDAY(IF(E19&lt;&gt;"",E19,D19+14),T19)+N(U19))</f>
        <v/>
      </c>
      <c r="W19" s="7" t="str">
        <f aca="false">IF($A19="","",SUMIF(ЗАКАЗЫ!$A$3:$A$500,$A19,ЗАКАЗЫ!$Z$3:$Z$500))</f>
        <v/>
      </c>
      <c r="X19" s="7" t="str">
        <f aca="false">IF($A19="","",SUMIF(ЗАКАЗЫ!$A$3:$A$500,$A19,ЗАКАЗЫ!$AA$3:$AA$500))</f>
        <v/>
      </c>
      <c r="Y19" s="7" t="str">
        <f aca="false">IF($A19="","",SUMIF(ЗАКАЗЫ!$A$3:$A$500,$A19,ЗАКАЗЫ!$Y$3:$Y$500))</f>
        <v/>
      </c>
      <c r="Z19" s="7" t="str">
        <f aca="false">IF($A19="","",SUMIF(ЗАКАЗЫ!$A$3:$A$500,$A19,ЗАКАЗЫ!$AH$3:$AH$500))</f>
        <v/>
      </c>
      <c r="AA19" s="7" t="str">
        <f aca="false">IF($A19="","",SUMIF(ЗАКАЗЫ!$A$3:$A$500,$A19,ЗАКАЗЫ!$AI$3:$AI$500))</f>
        <v/>
      </c>
      <c r="AB19" s="8" t="str">
        <f aca="false">IF(N(Z19)=0,"",AA19/Z19)</f>
        <v/>
      </c>
      <c r="AC19" s="43" t="str">
        <f aca="false">IF($A19="","",COUNTIFS(ЗАКАЗЫ!$A$3:$A$500,$A19,ЗАКАЗЫ!$AN$3:$AN$500,"Да")&amp;" из "&amp;G19)</f>
        <v/>
      </c>
      <c r="AD19" s="40"/>
      <c r="AE19" s="41"/>
    </row>
    <row r="20" customFormat="false" ht="15" hidden="false" customHeight="true" outlineLevel="0" collapsed="false">
      <c r="A20" s="40"/>
      <c r="B20" s="40"/>
      <c r="C20" s="41"/>
      <c r="D20" s="42"/>
      <c r="E20" s="42"/>
      <c r="F20" s="41"/>
      <c r="G20" s="43" t="str">
        <f aca="false">IF($A20="","",COUNTIF(ЗАКАЗЫ!$A$3:$A$500,$A20))</f>
        <v/>
      </c>
      <c r="H20" s="7" t="str">
        <f aca="false">IF($A20="","",SUMIF(ЗАКАЗЫ!$A$3:$A$500,$A20,ЗАКАЗЫ!$J$3:$J$500))</f>
        <v/>
      </c>
      <c r="I20" s="44" t="str">
        <f aca="false">IF($A20="","",SUMIF(ЗАКАЗЫ!$A$3:$A$500,$A20,ЗАКАЗЫ!$M$3:$M$500))</f>
        <v/>
      </c>
      <c r="J20" s="45"/>
      <c r="K20" s="44" t="str">
        <f aca="false">IF($A20="","",I20+N(J20))</f>
        <v/>
      </c>
      <c r="L20" s="7" t="str">
        <f aca="false">IF($A20="","",ROUND(K20*Справочники!$B$5,0))</f>
        <v/>
      </c>
      <c r="M20" s="44" t="str">
        <f aca="false">IF($A20="","",ROUND(K20*0.3,2))</f>
        <v/>
      </c>
      <c r="N20" s="40"/>
      <c r="O20" s="44" t="str">
        <f aca="false">IF($A20="","",K20-M20)</f>
        <v/>
      </c>
      <c r="P20" s="40"/>
      <c r="Q20" s="8" t="str">
        <f aca="false">IF(N(I20)=0,"",N(J20)/I20)</f>
        <v/>
      </c>
      <c r="R20" s="46"/>
      <c r="S20" s="46"/>
      <c r="T20" s="40"/>
      <c r="U20" s="40"/>
      <c r="V20" s="47" t="str">
        <f aca="false">IF(OR($A20="",T20="",AND(D20="",E20="")),"",WORKDAY(IF(E20&lt;&gt;"",E20,D20+14),T20)+N(U20))</f>
        <v/>
      </c>
      <c r="W20" s="7" t="str">
        <f aca="false">IF($A20="","",SUMIF(ЗАКАЗЫ!$A$3:$A$500,$A20,ЗАКАЗЫ!$Z$3:$Z$500))</f>
        <v/>
      </c>
      <c r="X20" s="7" t="str">
        <f aca="false">IF($A20="","",SUMIF(ЗАКАЗЫ!$A$3:$A$500,$A20,ЗАКАЗЫ!$AA$3:$AA$500))</f>
        <v/>
      </c>
      <c r="Y20" s="7" t="str">
        <f aca="false">IF($A20="","",SUMIF(ЗАКАЗЫ!$A$3:$A$500,$A20,ЗАКАЗЫ!$Y$3:$Y$500))</f>
        <v/>
      </c>
      <c r="Z20" s="7" t="str">
        <f aca="false">IF($A20="","",SUMIF(ЗАКАЗЫ!$A$3:$A$500,$A20,ЗАКАЗЫ!$AH$3:$AH$500))</f>
        <v/>
      </c>
      <c r="AA20" s="7" t="str">
        <f aca="false">IF($A20="","",SUMIF(ЗАКАЗЫ!$A$3:$A$500,$A20,ЗАКАЗЫ!$AI$3:$AI$500))</f>
        <v/>
      </c>
      <c r="AB20" s="8" t="str">
        <f aca="false">IF(N(Z20)=0,"",AA20/Z20)</f>
        <v/>
      </c>
      <c r="AC20" s="43" t="str">
        <f aca="false">IF($A20="","",COUNTIFS(ЗАКАЗЫ!$A$3:$A$500,$A20,ЗАКАЗЫ!$AN$3:$AN$500,"Да")&amp;" из "&amp;G20)</f>
        <v/>
      </c>
      <c r="AD20" s="40"/>
      <c r="AE20" s="41"/>
    </row>
    <row r="21" customFormat="false" ht="15" hidden="false" customHeight="true" outlineLevel="0" collapsed="false">
      <c r="A21" s="40"/>
      <c r="B21" s="40"/>
      <c r="C21" s="41"/>
      <c r="D21" s="42"/>
      <c r="E21" s="42"/>
      <c r="F21" s="41"/>
      <c r="G21" s="43" t="str">
        <f aca="false">IF($A21="","",COUNTIF(ЗАКАЗЫ!$A$3:$A$500,$A21))</f>
        <v/>
      </c>
      <c r="H21" s="7" t="str">
        <f aca="false">IF($A21="","",SUMIF(ЗАКАЗЫ!$A$3:$A$500,$A21,ЗАКАЗЫ!$J$3:$J$500))</f>
        <v/>
      </c>
      <c r="I21" s="44" t="str">
        <f aca="false">IF($A21="","",SUMIF(ЗАКАЗЫ!$A$3:$A$500,$A21,ЗАКАЗЫ!$M$3:$M$500))</f>
        <v/>
      </c>
      <c r="J21" s="45"/>
      <c r="K21" s="44" t="str">
        <f aca="false">IF($A21="","",I21+N(J21))</f>
        <v/>
      </c>
      <c r="L21" s="7" t="str">
        <f aca="false">IF($A21="","",ROUND(K21*Справочники!$B$5,0))</f>
        <v/>
      </c>
      <c r="M21" s="44" t="str">
        <f aca="false">IF($A21="","",ROUND(K21*0.3,2))</f>
        <v/>
      </c>
      <c r="N21" s="40"/>
      <c r="O21" s="44" t="str">
        <f aca="false">IF($A21="","",K21-M21)</f>
        <v/>
      </c>
      <c r="P21" s="40"/>
      <c r="Q21" s="8" t="str">
        <f aca="false">IF(N(I21)=0,"",N(J21)/I21)</f>
        <v/>
      </c>
      <c r="R21" s="46"/>
      <c r="S21" s="46"/>
      <c r="T21" s="40"/>
      <c r="U21" s="40"/>
      <c r="V21" s="47" t="str">
        <f aca="false">IF(OR($A21="",T21="",AND(D21="",E21="")),"",WORKDAY(IF(E21&lt;&gt;"",E21,D21+14),T21)+N(U21))</f>
        <v/>
      </c>
      <c r="W21" s="7" t="str">
        <f aca="false">IF($A21="","",SUMIF(ЗАКАЗЫ!$A$3:$A$500,$A21,ЗАКАЗЫ!$Z$3:$Z$500))</f>
        <v/>
      </c>
      <c r="X21" s="7" t="str">
        <f aca="false">IF($A21="","",SUMIF(ЗАКАЗЫ!$A$3:$A$500,$A21,ЗАКАЗЫ!$AA$3:$AA$500))</f>
        <v/>
      </c>
      <c r="Y21" s="7" t="str">
        <f aca="false">IF($A21="","",SUMIF(ЗАКАЗЫ!$A$3:$A$500,$A21,ЗАКАЗЫ!$Y$3:$Y$500))</f>
        <v/>
      </c>
      <c r="Z21" s="7" t="str">
        <f aca="false">IF($A21="","",SUMIF(ЗАКАЗЫ!$A$3:$A$500,$A21,ЗАКАЗЫ!$AH$3:$AH$500))</f>
        <v/>
      </c>
      <c r="AA21" s="7" t="str">
        <f aca="false">IF($A21="","",SUMIF(ЗАКАЗЫ!$A$3:$A$500,$A21,ЗАКАЗЫ!$AI$3:$AI$500))</f>
        <v/>
      </c>
      <c r="AB21" s="8" t="str">
        <f aca="false">IF(N(Z21)=0,"",AA21/Z21)</f>
        <v/>
      </c>
      <c r="AC21" s="43" t="str">
        <f aca="false">IF($A21="","",COUNTIFS(ЗАКАЗЫ!$A$3:$A$500,$A21,ЗАКАЗЫ!$AN$3:$AN$500,"Да")&amp;" из "&amp;G21)</f>
        <v/>
      </c>
      <c r="AD21" s="40"/>
      <c r="AE21" s="41"/>
    </row>
    <row r="22" customFormat="false" ht="15" hidden="false" customHeight="true" outlineLevel="0" collapsed="false">
      <c r="A22" s="40"/>
      <c r="B22" s="40"/>
      <c r="C22" s="41"/>
      <c r="D22" s="42"/>
      <c r="E22" s="42"/>
      <c r="F22" s="41"/>
      <c r="G22" s="43" t="str">
        <f aca="false">IF($A22="","",COUNTIF(ЗАКАЗЫ!$A$3:$A$500,$A22))</f>
        <v/>
      </c>
      <c r="H22" s="7" t="str">
        <f aca="false">IF($A22="","",SUMIF(ЗАКАЗЫ!$A$3:$A$500,$A22,ЗАКАЗЫ!$J$3:$J$500))</f>
        <v/>
      </c>
      <c r="I22" s="44" t="str">
        <f aca="false">IF($A22="","",SUMIF(ЗАКАЗЫ!$A$3:$A$500,$A22,ЗАКАЗЫ!$M$3:$M$500))</f>
        <v/>
      </c>
      <c r="J22" s="45"/>
      <c r="K22" s="44" t="str">
        <f aca="false">IF($A22="","",I22+N(J22))</f>
        <v/>
      </c>
      <c r="L22" s="7" t="str">
        <f aca="false">IF($A22="","",ROUND(K22*Справочники!$B$5,0))</f>
        <v/>
      </c>
      <c r="M22" s="44" t="str">
        <f aca="false">IF($A22="","",ROUND(K22*0.3,2))</f>
        <v/>
      </c>
      <c r="N22" s="40"/>
      <c r="O22" s="44" t="str">
        <f aca="false">IF($A22="","",K22-M22)</f>
        <v/>
      </c>
      <c r="P22" s="40"/>
      <c r="Q22" s="8" t="str">
        <f aca="false">IF(N(I22)=0,"",N(J22)/I22)</f>
        <v/>
      </c>
      <c r="R22" s="46"/>
      <c r="S22" s="46"/>
      <c r="T22" s="40"/>
      <c r="U22" s="40"/>
      <c r="V22" s="47" t="str">
        <f aca="false">IF(OR($A22="",T22="",AND(D22="",E22="")),"",WORKDAY(IF(E22&lt;&gt;"",E22,D22+14),T22)+N(U22))</f>
        <v/>
      </c>
      <c r="W22" s="7" t="str">
        <f aca="false">IF($A22="","",SUMIF(ЗАКАЗЫ!$A$3:$A$500,$A22,ЗАКАЗЫ!$Z$3:$Z$500))</f>
        <v/>
      </c>
      <c r="X22" s="7" t="str">
        <f aca="false">IF($A22="","",SUMIF(ЗАКАЗЫ!$A$3:$A$500,$A22,ЗАКАЗЫ!$AA$3:$AA$500))</f>
        <v/>
      </c>
      <c r="Y22" s="7" t="str">
        <f aca="false">IF($A22="","",SUMIF(ЗАКАЗЫ!$A$3:$A$500,$A22,ЗАКАЗЫ!$Y$3:$Y$500))</f>
        <v/>
      </c>
      <c r="Z22" s="7" t="str">
        <f aca="false">IF($A22="","",SUMIF(ЗАКАЗЫ!$A$3:$A$500,$A22,ЗАКАЗЫ!$AH$3:$AH$500))</f>
        <v/>
      </c>
      <c r="AA22" s="7" t="str">
        <f aca="false">IF($A22="","",SUMIF(ЗАКАЗЫ!$A$3:$A$500,$A22,ЗАКАЗЫ!$AI$3:$AI$500))</f>
        <v/>
      </c>
      <c r="AB22" s="8" t="str">
        <f aca="false">IF(N(Z22)=0,"",AA22/Z22)</f>
        <v/>
      </c>
      <c r="AC22" s="43" t="str">
        <f aca="false">IF($A22="","",COUNTIFS(ЗАКАЗЫ!$A$3:$A$500,$A22,ЗАКАЗЫ!$AN$3:$AN$500,"Да")&amp;" из "&amp;G22)</f>
        <v/>
      </c>
      <c r="AD22" s="40"/>
      <c r="AE22" s="41"/>
    </row>
    <row r="23" customFormat="false" ht="15" hidden="false" customHeight="true" outlineLevel="0" collapsed="false">
      <c r="A23" s="40"/>
      <c r="B23" s="40"/>
      <c r="C23" s="41"/>
      <c r="D23" s="42"/>
      <c r="E23" s="42"/>
      <c r="F23" s="41"/>
      <c r="G23" s="43" t="str">
        <f aca="false">IF($A23="","",COUNTIF(ЗАКАЗЫ!$A$3:$A$500,$A23))</f>
        <v/>
      </c>
      <c r="H23" s="7" t="str">
        <f aca="false">IF($A23="","",SUMIF(ЗАКАЗЫ!$A$3:$A$500,$A23,ЗАКАЗЫ!$J$3:$J$500))</f>
        <v/>
      </c>
      <c r="I23" s="44" t="str">
        <f aca="false">IF($A23="","",SUMIF(ЗАКАЗЫ!$A$3:$A$500,$A23,ЗАКАЗЫ!$M$3:$M$500))</f>
        <v/>
      </c>
      <c r="J23" s="45"/>
      <c r="K23" s="44" t="str">
        <f aca="false">IF($A23="","",I23+N(J23))</f>
        <v/>
      </c>
      <c r="L23" s="7" t="str">
        <f aca="false">IF($A23="","",ROUND(K23*Справочники!$B$5,0))</f>
        <v/>
      </c>
      <c r="M23" s="44" t="str">
        <f aca="false">IF($A23="","",ROUND(K23*0.3,2))</f>
        <v/>
      </c>
      <c r="N23" s="40"/>
      <c r="O23" s="44" t="str">
        <f aca="false">IF($A23="","",K23-M23)</f>
        <v/>
      </c>
      <c r="P23" s="40"/>
      <c r="Q23" s="8" t="str">
        <f aca="false">IF(N(I23)=0,"",N(J23)/I23)</f>
        <v/>
      </c>
      <c r="R23" s="46"/>
      <c r="S23" s="46"/>
      <c r="T23" s="40"/>
      <c r="U23" s="40"/>
      <c r="V23" s="47" t="str">
        <f aca="false">IF(OR($A23="",T23="",AND(D23="",E23="")),"",WORKDAY(IF(E23&lt;&gt;"",E23,D23+14),T23)+N(U23))</f>
        <v/>
      </c>
      <c r="W23" s="7" t="str">
        <f aca="false">IF($A23="","",SUMIF(ЗАКАЗЫ!$A$3:$A$500,$A23,ЗАКАЗЫ!$Z$3:$Z$500))</f>
        <v/>
      </c>
      <c r="X23" s="7" t="str">
        <f aca="false">IF($A23="","",SUMIF(ЗАКАЗЫ!$A$3:$A$500,$A23,ЗАКАЗЫ!$AA$3:$AA$500))</f>
        <v/>
      </c>
      <c r="Y23" s="7" t="str">
        <f aca="false">IF($A23="","",SUMIF(ЗАКАЗЫ!$A$3:$A$500,$A23,ЗАКАЗЫ!$Y$3:$Y$500))</f>
        <v/>
      </c>
      <c r="Z23" s="7" t="str">
        <f aca="false">IF($A23="","",SUMIF(ЗАКАЗЫ!$A$3:$A$500,$A23,ЗАКАЗЫ!$AH$3:$AH$500))</f>
        <v/>
      </c>
      <c r="AA23" s="7" t="str">
        <f aca="false">IF($A23="","",SUMIF(ЗАКАЗЫ!$A$3:$A$500,$A23,ЗАКАЗЫ!$AI$3:$AI$500))</f>
        <v/>
      </c>
      <c r="AB23" s="8" t="str">
        <f aca="false">IF(N(Z23)=0,"",AA23/Z23)</f>
        <v/>
      </c>
      <c r="AC23" s="43" t="str">
        <f aca="false">IF($A23="","",COUNTIFS(ЗАКАЗЫ!$A$3:$A$500,$A23,ЗАКАЗЫ!$AN$3:$AN$500,"Да")&amp;" из "&amp;G23)</f>
        <v/>
      </c>
      <c r="AD23" s="40"/>
      <c r="AE23" s="41"/>
    </row>
    <row r="24" customFormat="false" ht="15" hidden="false" customHeight="true" outlineLevel="0" collapsed="false">
      <c r="A24" s="40"/>
      <c r="B24" s="40"/>
      <c r="C24" s="41"/>
      <c r="D24" s="42"/>
      <c r="E24" s="42"/>
      <c r="F24" s="41"/>
      <c r="G24" s="43" t="str">
        <f aca="false">IF($A24="","",COUNTIF(ЗАКАЗЫ!$A$3:$A$500,$A24))</f>
        <v/>
      </c>
      <c r="H24" s="7" t="str">
        <f aca="false">IF($A24="","",SUMIF(ЗАКАЗЫ!$A$3:$A$500,$A24,ЗАКАЗЫ!$J$3:$J$500))</f>
        <v/>
      </c>
      <c r="I24" s="44" t="str">
        <f aca="false">IF($A24="","",SUMIF(ЗАКАЗЫ!$A$3:$A$500,$A24,ЗАКАЗЫ!$M$3:$M$500))</f>
        <v/>
      </c>
      <c r="J24" s="45"/>
      <c r="K24" s="44" t="str">
        <f aca="false">IF($A24="","",I24+N(J24))</f>
        <v/>
      </c>
      <c r="L24" s="7" t="str">
        <f aca="false">IF($A24="","",ROUND(K24*Справочники!$B$5,0))</f>
        <v/>
      </c>
      <c r="M24" s="44" t="str">
        <f aca="false">IF($A24="","",ROUND(K24*0.3,2))</f>
        <v/>
      </c>
      <c r="N24" s="40"/>
      <c r="O24" s="44" t="str">
        <f aca="false">IF($A24="","",K24-M24)</f>
        <v/>
      </c>
      <c r="P24" s="40"/>
      <c r="Q24" s="8" t="str">
        <f aca="false">IF(N(I24)=0,"",N(J24)/I24)</f>
        <v/>
      </c>
      <c r="R24" s="46"/>
      <c r="S24" s="46"/>
      <c r="T24" s="40"/>
      <c r="U24" s="40"/>
      <c r="V24" s="47" t="str">
        <f aca="false">IF(OR($A24="",T24="",AND(D24="",E24="")),"",WORKDAY(IF(E24&lt;&gt;"",E24,D24+14),T24)+N(U24))</f>
        <v/>
      </c>
      <c r="W24" s="7" t="str">
        <f aca="false">IF($A24="","",SUMIF(ЗАКАЗЫ!$A$3:$A$500,$A24,ЗАКАЗЫ!$Z$3:$Z$500))</f>
        <v/>
      </c>
      <c r="X24" s="7" t="str">
        <f aca="false">IF($A24="","",SUMIF(ЗАКАЗЫ!$A$3:$A$500,$A24,ЗАКАЗЫ!$AA$3:$AA$500))</f>
        <v/>
      </c>
      <c r="Y24" s="7" t="str">
        <f aca="false">IF($A24="","",SUMIF(ЗАКАЗЫ!$A$3:$A$500,$A24,ЗАКАЗЫ!$Y$3:$Y$500))</f>
        <v/>
      </c>
      <c r="Z24" s="7" t="str">
        <f aca="false">IF($A24="","",SUMIF(ЗАКАЗЫ!$A$3:$A$500,$A24,ЗАКАЗЫ!$AH$3:$AH$500))</f>
        <v/>
      </c>
      <c r="AA24" s="7" t="str">
        <f aca="false">IF($A24="","",SUMIF(ЗАКАЗЫ!$A$3:$A$500,$A24,ЗАКАЗЫ!$AI$3:$AI$500))</f>
        <v/>
      </c>
      <c r="AB24" s="8" t="str">
        <f aca="false">IF(N(Z24)=0,"",AA24/Z24)</f>
        <v/>
      </c>
      <c r="AC24" s="43" t="str">
        <f aca="false">IF($A24="","",COUNTIFS(ЗАКАЗЫ!$A$3:$A$500,$A24,ЗАКАЗЫ!$AN$3:$AN$500,"Да")&amp;" из "&amp;G24)</f>
        <v/>
      </c>
      <c r="AD24" s="40"/>
      <c r="AE24" s="41"/>
    </row>
    <row r="25" customFormat="false" ht="15" hidden="false" customHeight="false" outlineLevel="0" collapsed="false">
      <c r="A25" s="10" t="s">
        <v>35</v>
      </c>
      <c r="B25" s="48"/>
      <c r="C25" s="48"/>
      <c r="D25" s="48"/>
      <c r="E25" s="48"/>
      <c r="F25" s="48"/>
      <c r="G25" s="10" t="n">
        <f aca="false">SUM(G5:G24)</f>
        <v>81</v>
      </c>
      <c r="H25" s="12" t="n">
        <f aca="false">SUM(H5:H24)</f>
        <v>96250</v>
      </c>
      <c r="I25" s="21" t="n">
        <f aca="false">SUM(I5:I24)</f>
        <v>714224</v>
      </c>
      <c r="J25" s="21" t="n">
        <f aca="false">SUM(J5:J24)</f>
        <v>1169.5</v>
      </c>
      <c r="K25" s="21" t="n">
        <f aca="false">SUM(K5:K24)</f>
        <v>715393.5</v>
      </c>
      <c r="L25" s="12" t="n">
        <f aca="false">SUM(L5:L24)</f>
        <v>49004456</v>
      </c>
      <c r="M25" s="21" t="n">
        <f aca="false">SUM(M5:M24)</f>
        <v>214618.05</v>
      </c>
      <c r="N25" s="48"/>
      <c r="O25" s="21" t="n">
        <f aca="false">SUM(O5:O24)</f>
        <v>500775.45</v>
      </c>
      <c r="P25" s="48"/>
      <c r="Q25" s="48"/>
      <c r="R25" s="48"/>
      <c r="S25" s="48"/>
      <c r="T25" s="48"/>
      <c r="U25" s="48"/>
      <c r="V25" s="48"/>
      <c r="W25" s="12" t="n">
        <f aca="false">SUM(W5:W24)</f>
        <v>3421799.5</v>
      </c>
      <c r="X25" s="12" t="n">
        <f aca="false">SUM(X5:X24)</f>
        <v>8388220.1</v>
      </c>
      <c r="Y25" s="12" t="n">
        <f aca="false">SUM(Y5:Y24)</f>
        <v>59766930</v>
      </c>
      <c r="Z25" s="12" t="n">
        <f aca="false">SUM(Z5:Z24)</f>
        <v>153270620</v>
      </c>
      <c r="AA25" s="12" t="n">
        <f aca="false">SUM(AA5:AA24)</f>
        <v>93503690</v>
      </c>
      <c r="AB25" s="13" t="n">
        <f aca="false">IF(N(Z25)=0,"",AA25/Z25)</f>
        <v>0.610056186893483</v>
      </c>
      <c r="AC25" s="48"/>
      <c r="AD25" s="48"/>
      <c r="AE25" s="48"/>
    </row>
    <row r="28" customFormat="false" ht="15" hidden="false" customHeight="false" outlineLevel="0" collapsed="false">
      <c r="A28" s="49" t="s">
        <v>170</v>
      </c>
    </row>
    <row r="29" customFormat="false" ht="23.85" hidden="false" customHeight="false" outlineLevel="0" collapsed="false">
      <c r="A29" s="39" t="s">
        <v>171</v>
      </c>
      <c r="B29" s="39" t="s">
        <v>172</v>
      </c>
      <c r="C29" s="39" t="s">
        <v>173</v>
      </c>
      <c r="D29" s="39" t="s">
        <v>174</v>
      </c>
      <c r="E29" s="39" t="s">
        <v>175</v>
      </c>
    </row>
    <row r="30" customFormat="false" ht="15" hidden="false" customHeight="false" outlineLevel="0" collapsed="false">
      <c r="A30" s="40" t="n">
        <v>11</v>
      </c>
      <c r="B30" s="40" t="s">
        <v>176</v>
      </c>
      <c r="C30" s="50" t="n">
        <v>9</v>
      </c>
      <c r="D30" s="51" t="n">
        <v>3.3</v>
      </c>
      <c r="E30" s="45" t="n">
        <v>29.97</v>
      </c>
    </row>
    <row r="31" customFormat="false" ht="15" hidden="false" customHeight="false" outlineLevel="0" collapsed="false">
      <c r="A31" s="40" t="n">
        <v>12</v>
      </c>
      <c r="B31" s="40" t="s">
        <v>177</v>
      </c>
      <c r="C31" s="50" t="n">
        <v>30</v>
      </c>
      <c r="D31" s="51" t="n">
        <v>3.651</v>
      </c>
      <c r="E31" s="45" t="n">
        <v>109.53</v>
      </c>
    </row>
    <row r="32" customFormat="false" ht="15" hidden="false" customHeight="false" outlineLevel="0" collapsed="false">
      <c r="A32" s="40" t="n">
        <v>13</v>
      </c>
      <c r="B32" s="40" t="s">
        <v>176</v>
      </c>
      <c r="C32" s="50" t="n">
        <v>12</v>
      </c>
      <c r="D32" s="51" t="n">
        <v>2.5</v>
      </c>
      <c r="E32" s="45" t="n">
        <v>30</v>
      </c>
    </row>
    <row r="33" customFormat="false" ht="15" hidden="false" customHeight="false" outlineLevel="0" collapsed="false">
      <c r="D33" s="43" t="s">
        <v>178</v>
      </c>
      <c r="E33" s="44" t="n">
        <f aca="false">SUM(E30:E32)</f>
        <v>169.5</v>
      </c>
    </row>
    <row r="34" customFormat="false" ht="15" hidden="false" customHeight="false" outlineLevel="0" collapsed="false">
      <c r="A34" s="22" t="s">
        <v>179</v>
      </c>
    </row>
  </sheetData>
  <mergeCells count="6">
    <mergeCell ref="A3:F3"/>
    <mergeCell ref="G3:L3"/>
    <mergeCell ref="M3:P3"/>
    <mergeCell ref="Q3:V3"/>
    <mergeCell ref="W3:AC3"/>
    <mergeCell ref="AD3:AE3"/>
  </mergeCells>
  <dataValidations count="3">
    <dataValidation allowBlank="true" errorStyle="stop" operator="between" showDropDown="false" showErrorMessage="false" showInputMessage="false" sqref="AD5:AD24" type="list">
      <formula1>Справочники!$O$4:$O$11</formula1>
      <formula2>0</formula2>
    </dataValidation>
    <dataValidation allowBlank="true" errorStyle="stop" operator="between" showDropDown="false" showErrorMessage="false" showInputMessage="false" sqref="N5:N24 P5:P24" type="list">
      <formula1>Справочники!$P$4:$P$5</formula1>
      <formula2>0</formula2>
    </dataValidation>
    <dataValidation allowBlank="true" errorStyle="stop" operator="between" showDropDown="false" showErrorMessage="false" showInputMessage="false" sqref="B5:B24" type="list">
      <formula1>Поставщики!$A$2:$A$101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AP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2" topLeftCell="H3" activePane="bottomRight" state="frozen"/>
      <selection pane="topLeft" activeCell="A1" activeCellId="0" sqref="A1"/>
      <selection pane="topRight" activeCell="H1" activeCellId="0" sqref="H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6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34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9"/>
    <col collapsed="false" customWidth="true" hidden="false" outlineLevel="0" max="11" min="11" style="0" width="6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14"/>
    <col collapsed="false" customWidth="true" hidden="false" outlineLevel="0" max="15" min="15" style="0" width="8"/>
    <col collapsed="false" customWidth="true" hidden="false" outlineLevel="0" max="16" min="16" style="0" width="7"/>
    <col collapsed="false" customWidth="true" hidden="false" outlineLevel="0" max="19" min="17" style="0" width="10"/>
    <col collapsed="false" customWidth="true" hidden="false" outlineLevel="0" max="20" min="20" style="0" width="11"/>
    <col collapsed="false" customWidth="true" hidden="false" outlineLevel="0" max="21" min="21" style="0" width="9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12"/>
    <col collapsed="false" customWidth="true" hidden="false" outlineLevel="0" max="25" min="25" style="0" width="13"/>
    <col collapsed="false" customWidth="true" hidden="false" outlineLevel="0" max="27" min="26" style="0" width="12"/>
    <col collapsed="false" customWidth="true" hidden="false" outlineLevel="0" max="28" min="28" style="0" width="10"/>
    <col collapsed="false" customWidth="true" hidden="false" outlineLevel="0" max="31" min="29" style="0" width="11"/>
    <col collapsed="false" customWidth="true" hidden="false" outlineLevel="0" max="32" min="32" style="0" width="10"/>
    <col collapsed="false" customWidth="true" hidden="false" outlineLevel="0" max="33" min="33" style="0" width="8"/>
    <col collapsed="false" customWidth="true" hidden="false" outlineLevel="0" max="36" min="34" style="0" width="13"/>
    <col collapsed="false" customWidth="true" hidden="false" outlineLevel="0" max="37" min="37" style="0" width="11"/>
    <col collapsed="false" customWidth="true" hidden="false" outlineLevel="0" max="38" min="38" style="0" width="10"/>
    <col collapsed="false" customWidth="true" hidden="false" outlineLevel="0" max="39" min="39" style="0" width="11"/>
    <col collapsed="false" customWidth="true" hidden="false" outlineLevel="0" max="40" min="40" style="0" width="9"/>
    <col collapsed="false" customWidth="true" hidden="false" outlineLevel="0" max="41" min="41" style="0" width="10"/>
    <col collapsed="false" customWidth="true" hidden="false" outlineLevel="0" max="42" min="42" style="0" width="45"/>
  </cols>
  <sheetData>
    <row r="1" customFormat="false" ht="19.5" hidden="false" customHeight="true" outlineLevel="0" collapsed="false">
      <c r="A1" s="33" t="s">
        <v>119</v>
      </c>
      <c r="B1" s="33"/>
      <c r="C1" s="33"/>
      <c r="D1" s="33"/>
      <c r="E1" s="33"/>
      <c r="F1" s="34" t="s">
        <v>180</v>
      </c>
      <c r="G1" s="34"/>
      <c r="H1" s="34"/>
      <c r="I1" s="34"/>
      <c r="J1" s="34"/>
      <c r="K1" s="34"/>
      <c r="L1" s="34"/>
      <c r="M1" s="34"/>
      <c r="N1" s="52" t="s">
        <v>181</v>
      </c>
      <c r="O1" s="52"/>
      <c r="P1" s="52"/>
      <c r="Q1" s="37" t="s">
        <v>182</v>
      </c>
      <c r="R1" s="37"/>
      <c r="S1" s="37"/>
      <c r="T1" s="37"/>
      <c r="U1" s="37"/>
      <c r="V1" s="37"/>
      <c r="W1" s="37"/>
      <c r="X1" s="37"/>
      <c r="Y1" s="37"/>
      <c r="Z1" s="37"/>
      <c r="AA1" s="37"/>
      <c r="AB1" s="35" t="s">
        <v>183</v>
      </c>
      <c r="AC1" s="35"/>
      <c r="AD1" s="35"/>
      <c r="AE1" s="35"/>
      <c r="AF1" s="35"/>
      <c r="AG1" s="35"/>
      <c r="AH1" s="35"/>
      <c r="AI1" s="35"/>
      <c r="AJ1" s="36" t="s">
        <v>184</v>
      </c>
      <c r="AK1" s="36"/>
      <c r="AL1" s="36"/>
      <c r="AM1" s="36"/>
      <c r="AN1" s="36"/>
      <c r="AO1" s="36"/>
      <c r="AP1" s="39"/>
    </row>
    <row r="2" customFormat="false" ht="60" hidden="false" customHeight="true" outlineLevel="0" collapsed="false">
      <c r="A2" s="39" t="s">
        <v>37</v>
      </c>
      <c r="B2" s="39" t="s">
        <v>38</v>
      </c>
      <c r="C2" s="39" t="s">
        <v>39</v>
      </c>
      <c r="D2" s="39" t="s">
        <v>185</v>
      </c>
      <c r="E2" s="39" t="s">
        <v>186</v>
      </c>
      <c r="F2" s="39" t="s">
        <v>73</v>
      </c>
      <c r="G2" s="39" t="s">
        <v>187</v>
      </c>
      <c r="H2" s="39" t="s">
        <v>188</v>
      </c>
      <c r="I2" s="39" t="s">
        <v>189</v>
      </c>
      <c r="J2" s="39" t="s">
        <v>190</v>
      </c>
      <c r="K2" s="39" t="s">
        <v>191</v>
      </c>
      <c r="L2" s="39" t="s">
        <v>174</v>
      </c>
      <c r="M2" s="39" t="s">
        <v>175</v>
      </c>
      <c r="N2" s="39" t="s">
        <v>192</v>
      </c>
      <c r="O2" s="39" t="s">
        <v>193</v>
      </c>
      <c r="P2" s="39" t="s">
        <v>194</v>
      </c>
      <c r="Q2" s="39" t="s">
        <v>195</v>
      </c>
      <c r="R2" s="39" t="s">
        <v>196</v>
      </c>
      <c r="S2" s="39" t="s">
        <v>197</v>
      </c>
      <c r="T2" s="39" t="s">
        <v>198</v>
      </c>
      <c r="U2" s="39" t="s">
        <v>199</v>
      </c>
      <c r="V2" s="39" t="s">
        <v>200</v>
      </c>
      <c r="W2" s="39" t="s">
        <v>201</v>
      </c>
      <c r="X2" s="39" t="s">
        <v>202</v>
      </c>
      <c r="Y2" s="39" t="s">
        <v>42</v>
      </c>
      <c r="Z2" s="39" t="s">
        <v>203</v>
      </c>
      <c r="AA2" s="39" t="s">
        <v>204</v>
      </c>
      <c r="AB2" s="39" t="s">
        <v>205</v>
      </c>
      <c r="AC2" s="39" t="s">
        <v>206</v>
      </c>
      <c r="AD2" s="39" t="s">
        <v>207</v>
      </c>
      <c r="AE2" s="39" t="s">
        <v>208</v>
      </c>
      <c r="AF2" s="39" t="s">
        <v>209</v>
      </c>
      <c r="AG2" s="39" t="s">
        <v>18</v>
      </c>
      <c r="AH2" s="39" t="s">
        <v>16</v>
      </c>
      <c r="AI2" s="39" t="s">
        <v>17</v>
      </c>
      <c r="AJ2" s="39" t="s">
        <v>210</v>
      </c>
      <c r="AK2" s="39" t="s">
        <v>44</v>
      </c>
      <c r="AL2" s="39" t="s">
        <v>211</v>
      </c>
      <c r="AM2" s="39" t="s">
        <v>212</v>
      </c>
      <c r="AN2" s="39" t="s">
        <v>213</v>
      </c>
      <c r="AO2" s="39" t="s">
        <v>214</v>
      </c>
      <c r="AP2" s="39" t="s">
        <v>145</v>
      </c>
    </row>
    <row r="3" customFormat="false" ht="61.5" hidden="false" customHeight="true" outlineLevel="0" collapsed="false">
      <c r="A3" s="40" t="s">
        <v>146</v>
      </c>
      <c r="B3" s="43" t="str">
        <f aca="false">IFERROR(INDEX('Сводка заказов'!$B$5:$B$24,MATCH($A3,'Сводка заказов'!$A$5:$A$24,0)),"")</f>
        <v>Ningbo Sidana</v>
      </c>
      <c r="C3" s="47" t="n">
        <f aca="false">IFERROR(IF(INDEX('Сводка заказов'!$D$5:$D$24,MATCH($A3,'Сводка заказов'!$A$5:$A$24,0))="","",INDEX('Сводка заказов'!$D$5:$D$24,MATCH($A3,'Сводка заказов'!$A$5:$A$24,0))),"")</f>
        <v>46286</v>
      </c>
      <c r="D3" s="40" t="n">
        <v>1</v>
      </c>
      <c r="E3" s="40"/>
      <c r="F3" s="40" t="s">
        <v>215</v>
      </c>
      <c r="G3" s="53" t="str">
        <f aca="false">'Комплектующие для качелей'!$E$5</f>
        <v>Качели «Гнездо» Ø1000 мм с подвесами, нагрузка до 250 кг</v>
      </c>
      <c r="H3" s="54" t="s">
        <v>216</v>
      </c>
      <c r="I3" s="54" t="s">
        <v>217</v>
      </c>
      <c r="J3" s="50" t="n">
        <v>30</v>
      </c>
      <c r="K3" s="40" t="s">
        <v>96</v>
      </c>
      <c r="L3" s="45" t="n">
        <v>850</v>
      </c>
      <c r="M3" s="44" t="n">
        <f aca="false">J3*L3</f>
        <v>25500</v>
      </c>
      <c r="N3" s="40" t="s">
        <v>218</v>
      </c>
      <c r="O3" s="8" t="n">
        <f aca="false">IFERROR(VLOOKUP($N3,'ТН ВЭД'!$A$4:$C$40,3,0),0)</f>
        <v>0.05</v>
      </c>
      <c r="P3" s="8" t="n">
        <f aca="false">Справочники!$B$12</f>
        <v>0.16</v>
      </c>
      <c r="Q3" s="44" t="n">
        <f aca="false">ROUND(L3*Справочники!$B$5,2)</f>
        <v>58225</v>
      </c>
      <c r="R3" s="44" t="n">
        <f aca="false">ROUND(Q3*N(IFERROR(INDEX('Сводка заказов'!$Q$5:$Q$24,MATCH($A3,'Сводка заказов'!$A$5:$A$24,0)),0)),2)</f>
        <v>0</v>
      </c>
      <c r="S3" s="44" t="n">
        <f aca="false">ROUND(Q3*N(IFERROR(INDEX('Сводка заказов'!$R$5:$R$24,MATCH($A3,'Сводка заказов'!$A$5:$A$24,0)),0)),2)</f>
        <v>0</v>
      </c>
      <c r="T3" s="44" t="n">
        <f aca="false">Q3+R3+S3</f>
        <v>58225</v>
      </c>
      <c r="U3" s="44" t="n">
        <f aca="false">ROUND(T3*O3,2)</f>
        <v>2911.25</v>
      </c>
      <c r="V3" s="44" t="n">
        <f aca="false">ROUND((T3+U3)*P3,2)</f>
        <v>9781.8</v>
      </c>
      <c r="W3" s="44" t="n">
        <f aca="false">ROUND(Q3*N(IFERROR(INDEX('Сводка заказов'!$S$5:$S$24,MATCH($A3,'Сводка заказов'!$A$5:$A$24,0)),0)),2)</f>
        <v>8733.75</v>
      </c>
      <c r="X3" s="7" t="n">
        <f aca="false">ROUND(T3+U3+W3+IF(Справочники!$B$22="Да",0,V3),0)</f>
        <v>69870</v>
      </c>
      <c r="Y3" s="7" t="n">
        <f aca="false">X3*J3</f>
        <v>2096100</v>
      </c>
      <c r="Z3" s="7" t="n">
        <f aca="false">U3*J3</f>
        <v>87337.5</v>
      </c>
      <c r="AA3" s="7" t="n">
        <f aca="false">V3*J3</f>
        <v>293454</v>
      </c>
      <c r="AB3" s="19" t="n">
        <f aca="false">IF('Комплектующие для качелей'!$AO$5="","",'Комплектующие для качелей'!$AO$5)</f>
        <v>39000</v>
      </c>
      <c r="AC3" s="19" t="n">
        <f aca="false">IF('Комплектующие для качелей'!$AR$5="","",'Комплектующие для качелей'!$AR$5)</f>
        <v>239772</v>
      </c>
      <c r="AD3" s="19" t="n">
        <f aca="false">IF('Комплектующие для качелей'!$AT$5="","",'Комплектующие для качелей'!$AT$5)</f>
        <v>220590</v>
      </c>
      <c r="AE3" s="7" t="n">
        <f aca="false">IF(AD3="","",ROUND(AD3/(1+P3),0))</f>
        <v>190164</v>
      </c>
      <c r="AF3" s="7" t="n">
        <f aca="false">IF(AE3="","",AE3-X3)</f>
        <v>120294</v>
      </c>
      <c r="AG3" s="8" t="n">
        <f aca="false">IF(OR(AE3="",AE3=0),"",AF3/AE3)</f>
        <v>0.632580299110242</v>
      </c>
      <c r="AH3" s="7" t="n">
        <f aca="false">IF(AE3="",0,AE3*J3)</f>
        <v>5704920</v>
      </c>
      <c r="AI3" s="7" t="n">
        <f aca="false">IF(AF3="",0,AF3*J3)</f>
        <v>3608820</v>
      </c>
      <c r="AJ3" s="40" t="s">
        <v>151</v>
      </c>
      <c r="AK3" s="47" t="n">
        <f aca="false">IFERROR(IF(INDEX('Сводка заказов'!$V$5:$V$24,MATCH($A3,'Сводка заказов'!$A$5:$A$24,0))="","",INDEX('Сводка заказов'!$V$5:$V$24,MATCH($A3,'Сводка заказов'!$A$5:$A$24,0))),"")</f>
        <v>46323</v>
      </c>
      <c r="AL3" s="50"/>
      <c r="AM3" s="42"/>
      <c r="AN3" s="55" t="str">
        <f aca="false">IF(N(AL3)=0,"Нет",IF(AL3&gt;=J3,"Да","Частично"))</f>
        <v>Нет</v>
      </c>
      <c r="AO3" s="7" t="n">
        <f aca="false">J3-N(AL3)</f>
        <v>30</v>
      </c>
      <c r="AP3" s="54" t="s">
        <v>219</v>
      </c>
    </row>
    <row r="4" customFormat="false" ht="61.5" hidden="false" customHeight="true" outlineLevel="0" collapsed="false">
      <c r="A4" s="40" t="s">
        <v>146</v>
      </c>
      <c r="B4" s="43" t="str">
        <f aca="false">IFERROR(INDEX('Сводка заказов'!$B$5:$B$24,MATCH($A4,'Сводка заказов'!$A$5:$A$24,0)),"")</f>
        <v>Ningbo Sidana</v>
      </c>
      <c r="C4" s="47" t="n">
        <f aca="false">IFERROR(IF(INDEX('Сводка заказов'!$D$5:$D$24,MATCH($A4,'Сводка заказов'!$A$5:$A$24,0))="","",INDEX('Сводка заказов'!$D$5:$D$24,MATCH($A4,'Сводка заказов'!$A$5:$A$24,0))),"")</f>
        <v>46286</v>
      </c>
      <c r="D4" s="40" t="n">
        <v>2</v>
      </c>
      <c r="E4" s="40"/>
      <c r="F4" s="40" t="s">
        <v>220</v>
      </c>
      <c r="G4" s="53" t="str">
        <f aca="false">'Крепление для качелей'!$E$3</f>
        <v>Крепление для качелей из нержавеющей стали, пластина 90 мм</v>
      </c>
      <c r="H4" s="54" t="s">
        <v>221</v>
      </c>
      <c r="I4" s="54" t="s">
        <v>222</v>
      </c>
      <c r="J4" s="50" t="n">
        <v>10</v>
      </c>
      <c r="K4" s="40" t="s">
        <v>96</v>
      </c>
      <c r="L4" s="45" t="n">
        <v>33</v>
      </c>
      <c r="M4" s="44" t="n">
        <f aca="false">J4*L4</f>
        <v>330</v>
      </c>
      <c r="N4" s="40" t="s">
        <v>223</v>
      </c>
      <c r="O4" s="8" t="n">
        <f aca="false">IFERROR(VLOOKUP($N4,'ТН ВЭД'!$A$4:$C$40,3,0),0)</f>
        <v>0.075</v>
      </c>
      <c r="P4" s="8" t="n">
        <f aca="false">Справочники!$B$12</f>
        <v>0.16</v>
      </c>
      <c r="Q4" s="44" t="n">
        <f aca="false">ROUND(L4*Справочники!$B$5,2)</f>
        <v>2260.5</v>
      </c>
      <c r="R4" s="44" t="n">
        <f aca="false">ROUND(Q4*N(IFERROR(INDEX('Сводка заказов'!$Q$5:$Q$24,MATCH($A4,'Сводка заказов'!$A$5:$A$24,0)),0)),2)</f>
        <v>0</v>
      </c>
      <c r="S4" s="44" t="n">
        <f aca="false">ROUND(Q4*N(IFERROR(INDEX('Сводка заказов'!$R$5:$R$24,MATCH($A4,'Сводка заказов'!$A$5:$A$24,0)),0)),2)</f>
        <v>0</v>
      </c>
      <c r="T4" s="44" t="n">
        <f aca="false">Q4+R4+S4</f>
        <v>2260.5</v>
      </c>
      <c r="U4" s="44" t="n">
        <f aca="false">ROUND(T4*O4,2)</f>
        <v>169.54</v>
      </c>
      <c r="V4" s="44" t="n">
        <f aca="false">ROUND((T4+U4)*P4,2)</f>
        <v>388.81</v>
      </c>
      <c r="W4" s="44" t="n">
        <f aca="false">ROUND(Q4*N(IFERROR(INDEX('Сводка заказов'!$S$5:$S$24,MATCH($A4,'Сводка заказов'!$A$5:$A$24,0)),0)),2)</f>
        <v>339.08</v>
      </c>
      <c r="X4" s="7" t="n">
        <f aca="false">ROUND(T4+U4+W4+IF(Справочники!$B$22="Да",0,V4),0)</f>
        <v>2769</v>
      </c>
      <c r="Y4" s="7" t="n">
        <f aca="false">X4*J4</f>
        <v>27690</v>
      </c>
      <c r="Z4" s="7" t="n">
        <f aca="false">U4*J4</f>
        <v>1695.4</v>
      </c>
      <c r="AA4" s="7" t="n">
        <f aca="false">V4*J4</f>
        <v>3888.1</v>
      </c>
      <c r="AB4" s="19" t="str">
        <f aca="false">IF('Крепление для качелей'!$AO$3="","",'Крепление для качелей'!$AO$3)</f>
        <v/>
      </c>
      <c r="AC4" s="19" t="str">
        <f aca="false">IF('Крепление для качелей'!$AR$3="","",'Крепление для качелей'!$AR$3)</f>
        <v/>
      </c>
      <c r="AD4" s="19" t="n">
        <f aca="false">IF('Крепление для качелей'!$AT$3="","",'Крепление для качелей'!$AT$3)</f>
        <v>6430</v>
      </c>
      <c r="AE4" s="7" t="n">
        <f aca="false">IF(AD4="","",ROUND(AD4/(1+P4),0))</f>
        <v>5543</v>
      </c>
      <c r="AF4" s="7" t="n">
        <f aca="false">IF(AE4="","",AE4-X4)</f>
        <v>2774</v>
      </c>
      <c r="AG4" s="8" t="n">
        <f aca="false">IF(OR(AE4="",AE4=0),"",AF4/AE4)</f>
        <v>0.500451019303626</v>
      </c>
      <c r="AH4" s="7" t="n">
        <f aca="false">IF(AE4="",0,AE4*J4)</f>
        <v>55430</v>
      </c>
      <c r="AI4" s="7" t="n">
        <f aca="false">IF(AF4="",0,AF4*J4)</f>
        <v>27740</v>
      </c>
      <c r="AJ4" s="40" t="s">
        <v>151</v>
      </c>
      <c r="AK4" s="47" t="n">
        <f aca="false">IFERROR(IF(INDEX('Сводка заказов'!$V$5:$V$24,MATCH($A4,'Сводка заказов'!$A$5:$A$24,0))="","",INDEX('Сводка заказов'!$V$5:$V$24,MATCH($A4,'Сводка заказов'!$A$5:$A$24,0))),"")</f>
        <v>46323</v>
      </c>
      <c r="AL4" s="50"/>
      <c r="AM4" s="42"/>
      <c r="AN4" s="55" t="str">
        <f aca="false">IF(N(AL4)=0,"Нет",IF(AL4&gt;=J4,"Да","Частично"))</f>
        <v>Нет</v>
      </c>
      <c r="AO4" s="7" t="n">
        <f aca="false">J4-N(AL4)</f>
        <v>10</v>
      </c>
      <c r="AP4" s="54"/>
    </row>
    <row r="5" customFormat="false" ht="61.5" hidden="false" customHeight="true" outlineLevel="0" collapsed="false">
      <c r="A5" s="40" t="s">
        <v>146</v>
      </c>
      <c r="B5" s="43" t="str">
        <f aca="false">IFERROR(INDEX('Сводка заказов'!$B$5:$B$24,MATCH($A5,'Сводка заказов'!$A$5:$A$24,0)),"")</f>
        <v>Ningbo Sidana</v>
      </c>
      <c r="C5" s="47" t="n">
        <f aca="false">IFERROR(IF(INDEX('Сводка заказов'!$D$5:$D$24,MATCH($A5,'Сводка заказов'!$A$5:$A$24,0))="","",INDEX('Сводка заказов'!$D$5:$D$24,MATCH($A5,'Сводка заказов'!$A$5:$A$24,0))),"")</f>
        <v>46286</v>
      </c>
      <c r="D5" s="40" t="n">
        <v>3</v>
      </c>
      <c r="E5" s="40"/>
      <c r="F5" s="40" t="s">
        <v>224</v>
      </c>
      <c r="G5" s="53" t="str">
        <f aca="false">'ГИЛЬЗЫ И ВТУЛКИ'!$E$4</f>
        <v>Овальная алюминиевая обжимная гильза 40х45х29 мм для каната Ø16 мм</v>
      </c>
      <c r="H5" s="54" t="s">
        <v>225</v>
      </c>
      <c r="I5" s="54" t="s">
        <v>222</v>
      </c>
      <c r="J5" s="50" t="n">
        <v>2000</v>
      </c>
      <c r="K5" s="40" t="s">
        <v>96</v>
      </c>
      <c r="L5" s="45" t="n">
        <v>1.98</v>
      </c>
      <c r="M5" s="44" t="n">
        <f aca="false">J5*L5</f>
        <v>3960</v>
      </c>
      <c r="N5" s="40" t="s">
        <v>226</v>
      </c>
      <c r="O5" s="8" t="n">
        <f aca="false">IFERROR(VLOOKUP($N5,'ТН ВЭД'!$A$4:$C$40,3,0),0)</f>
        <v>0.09</v>
      </c>
      <c r="P5" s="8" t="n">
        <f aca="false">Справочники!$B$12</f>
        <v>0.16</v>
      </c>
      <c r="Q5" s="44" t="n">
        <f aca="false">ROUND(L5*Справочники!$B$5,2)</f>
        <v>135.63</v>
      </c>
      <c r="R5" s="44" t="n">
        <f aca="false">ROUND(Q5*N(IFERROR(INDEX('Сводка заказов'!$Q$5:$Q$24,MATCH($A5,'Сводка заказов'!$A$5:$A$24,0)),0)),2)</f>
        <v>0</v>
      </c>
      <c r="S5" s="44" t="n">
        <f aca="false">ROUND(Q5*N(IFERROR(INDEX('Сводка заказов'!$R$5:$R$24,MATCH($A5,'Сводка заказов'!$A$5:$A$24,0)),0)),2)</f>
        <v>0</v>
      </c>
      <c r="T5" s="44" t="n">
        <f aca="false">Q5+R5+S5</f>
        <v>135.63</v>
      </c>
      <c r="U5" s="44" t="n">
        <f aca="false">ROUND(T5*O5,2)</f>
        <v>12.21</v>
      </c>
      <c r="V5" s="44" t="n">
        <f aca="false">ROUND((T5+U5)*P5,2)</f>
        <v>23.65</v>
      </c>
      <c r="W5" s="44" t="n">
        <f aca="false">ROUND(Q5*N(IFERROR(INDEX('Сводка заказов'!$S$5:$S$24,MATCH($A5,'Сводка заказов'!$A$5:$A$24,0)),0)),2)</f>
        <v>20.34</v>
      </c>
      <c r="X5" s="7" t="n">
        <f aca="false">ROUND(T5+U5+W5+IF(Справочники!$B$22="Да",0,V5),0)</f>
        <v>168</v>
      </c>
      <c r="Y5" s="7" t="n">
        <f aca="false">X5*J5</f>
        <v>336000</v>
      </c>
      <c r="Z5" s="7" t="n">
        <f aca="false">U5*J5</f>
        <v>24420</v>
      </c>
      <c r="AA5" s="7" t="n">
        <f aca="false">V5*J5</f>
        <v>47300</v>
      </c>
      <c r="AB5" s="19" t="n">
        <f aca="false">IF('ГИЛЬЗЫ И ВТУЛКИ'!$AO$4="","",'ГИЛЬЗЫ И ВТУЛКИ'!$AO$4)</f>
        <v>100.5</v>
      </c>
      <c r="AC5" s="19" t="n">
        <f aca="false">IF('ГИЛЬЗЫ И ВТУЛКИ'!$AR$4="","",'ГИЛЬЗЫ И ВТУЛКИ'!$AR$4)</f>
        <v>618</v>
      </c>
      <c r="AD5" s="19" t="n">
        <f aca="false">IF('ГИЛЬЗЫ И ВТУЛКИ'!$AT$4="","",'ГИЛЬЗЫ И ВТУЛКИ'!$AT$4)</f>
        <v>400</v>
      </c>
      <c r="AE5" s="7" t="n">
        <f aca="false">IF(AD5="","",ROUND(AD5/(1+P5),0))</f>
        <v>345</v>
      </c>
      <c r="AF5" s="7" t="n">
        <f aca="false">IF(AE5="","",AE5-X5)</f>
        <v>177</v>
      </c>
      <c r="AG5" s="8" t="n">
        <f aca="false">IF(OR(AE5="",AE5=0),"",AF5/AE5)</f>
        <v>0.51304347826087</v>
      </c>
      <c r="AH5" s="7" t="n">
        <f aca="false">IF(AE5="",0,AE5*J5)</f>
        <v>690000</v>
      </c>
      <c r="AI5" s="7" t="n">
        <f aca="false">IF(AF5="",0,AF5*J5)</f>
        <v>354000</v>
      </c>
      <c r="AJ5" s="40" t="s">
        <v>151</v>
      </c>
      <c r="AK5" s="47" t="n">
        <f aca="false">IFERROR(IF(INDEX('Сводка заказов'!$V$5:$V$24,MATCH($A5,'Сводка заказов'!$A$5:$A$24,0))="","",INDEX('Сводка заказов'!$V$5:$V$24,MATCH($A5,'Сводка заказов'!$A$5:$A$24,0))),"")</f>
        <v>46323</v>
      </c>
      <c r="AL5" s="50"/>
      <c r="AM5" s="42"/>
      <c r="AN5" s="55" t="str">
        <f aca="false">IF(N(AL5)=0,"Нет",IF(AL5&gt;=J5,"Да","Частично"))</f>
        <v>Нет</v>
      </c>
      <c r="AO5" s="7" t="n">
        <f aca="false">J5-N(AL5)</f>
        <v>2000</v>
      </c>
      <c r="AP5" s="54" t="s">
        <v>227</v>
      </c>
    </row>
    <row r="6" customFormat="false" ht="61.5" hidden="false" customHeight="true" outlineLevel="0" collapsed="false">
      <c r="A6" s="40" t="s">
        <v>146</v>
      </c>
      <c r="B6" s="43" t="str">
        <f aca="false">IFERROR(INDEX('Сводка заказов'!$B$5:$B$24,MATCH($A6,'Сводка заказов'!$A$5:$A$24,0)),"")</f>
        <v>Ningbo Sidana</v>
      </c>
      <c r="C6" s="47" t="n">
        <f aca="false">IFERROR(IF(INDEX('Сводка заказов'!$D$5:$D$24,MATCH($A6,'Сводка заказов'!$A$5:$A$24,0))="","",INDEX('Сводка заказов'!$D$5:$D$24,MATCH($A6,'Сводка заказов'!$A$5:$A$24,0))),"")</f>
        <v>46286</v>
      </c>
      <c r="D6" s="40" t="n">
        <v>4</v>
      </c>
      <c r="E6" s="40"/>
      <c r="F6" s="40" t="s">
        <v>228</v>
      </c>
      <c r="G6" s="53" t="str">
        <f aca="false">'Крепёж и такелаж'!$E$3</f>
        <v>Соединительный хомут из алюминия для трубы Ø114 мм, H 50 мм</v>
      </c>
      <c r="H6" s="54" t="s">
        <v>229</v>
      </c>
      <c r="I6" s="54" t="s">
        <v>222</v>
      </c>
      <c r="J6" s="50" t="n">
        <v>100</v>
      </c>
      <c r="K6" s="40" t="s">
        <v>96</v>
      </c>
      <c r="L6" s="45" t="n">
        <v>18.5</v>
      </c>
      <c r="M6" s="44" t="n">
        <f aca="false">J6*L6</f>
        <v>1850</v>
      </c>
      <c r="N6" s="40" t="s">
        <v>226</v>
      </c>
      <c r="O6" s="8" t="n">
        <f aca="false">IFERROR(VLOOKUP($N6,'ТН ВЭД'!$A$4:$C$40,3,0),0)</f>
        <v>0.09</v>
      </c>
      <c r="P6" s="8" t="n">
        <f aca="false">Справочники!$B$12</f>
        <v>0.16</v>
      </c>
      <c r="Q6" s="44" t="n">
        <f aca="false">ROUND(L6*Справочники!$B$5,2)</f>
        <v>1267.25</v>
      </c>
      <c r="R6" s="44" t="n">
        <f aca="false">ROUND(Q6*N(IFERROR(INDEX('Сводка заказов'!$Q$5:$Q$24,MATCH($A6,'Сводка заказов'!$A$5:$A$24,0)),0)),2)</f>
        <v>0</v>
      </c>
      <c r="S6" s="44" t="n">
        <f aca="false">ROUND(Q6*N(IFERROR(INDEX('Сводка заказов'!$R$5:$R$24,MATCH($A6,'Сводка заказов'!$A$5:$A$24,0)),0)),2)</f>
        <v>0</v>
      </c>
      <c r="T6" s="44" t="n">
        <f aca="false">Q6+R6+S6</f>
        <v>1267.25</v>
      </c>
      <c r="U6" s="44" t="n">
        <f aca="false">ROUND(T6*O6,2)</f>
        <v>114.05</v>
      </c>
      <c r="V6" s="44" t="n">
        <f aca="false">ROUND((T6+U6)*P6,2)</f>
        <v>221.01</v>
      </c>
      <c r="W6" s="44" t="n">
        <f aca="false">ROUND(Q6*N(IFERROR(INDEX('Сводка заказов'!$S$5:$S$24,MATCH($A6,'Сводка заказов'!$A$5:$A$24,0)),0)),2)</f>
        <v>190.09</v>
      </c>
      <c r="X6" s="7" t="n">
        <f aca="false">ROUND(T6+U6+W6+IF(Справочники!$B$22="Да",0,V6),0)</f>
        <v>1571</v>
      </c>
      <c r="Y6" s="7" t="n">
        <f aca="false">X6*J6</f>
        <v>157100</v>
      </c>
      <c r="Z6" s="7" t="n">
        <f aca="false">U6*J6</f>
        <v>11405</v>
      </c>
      <c r="AA6" s="7" t="n">
        <f aca="false">V6*J6</f>
        <v>22101</v>
      </c>
      <c r="AB6" s="19" t="str">
        <f aca="false">IF('Крепёж и такелаж'!$AO$3="","",'Крепёж и такелаж'!$AO$3)</f>
        <v/>
      </c>
      <c r="AC6" s="19" t="str">
        <f aca="false">IF('Крепёж и такелаж'!$AR$3="","",'Крепёж и такелаж'!$AR$3)</f>
        <v/>
      </c>
      <c r="AD6" s="19" t="n">
        <f aca="false">IF('Крепёж и такелаж'!$AT$3="","",'Крепёж и такелаж'!$AT$3)</f>
        <v>3650</v>
      </c>
      <c r="AE6" s="7" t="n">
        <f aca="false">IF(AD6="","",ROUND(AD6/(1+P6),0))</f>
        <v>3147</v>
      </c>
      <c r="AF6" s="7" t="n">
        <f aca="false">IF(AE6="","",AE6-X6)</f>
        <v>1576</v>
      </c>
      <c r="AG6" s="8" t="n">
        <f aca="false">IF(OR(AE6="",AE6=0),"",AF6/AE6)</f>
        <v>0.500794407372101</v>
      </c>
      <c r="AH6" s="7" t="n">
        <f aca="false">IF(AE6="",0,AE6*J6)</f>
        <v>314700</v>
      </c>
      <c r="AI6" s="7" t="n">
        <f aca="false">IF(AF6="",0,AF6*J6)</f>
        <v>157600</v>
      </c>
      <c r="AJ6" s="40" t="s">
        <v>151</v>
      </c>
      <c r="AK6" s="47" t="n">
        <f aca="false">IFERROR(IF(INDEX('Сводка заказов'!$V$5:$V$24,MATCH($A6,'Сводка заказов'!$A$5:$A$24,0))="","",INDEX('Сводка заказов'!$V$5:$V$24,MATCH($A6,'Сводка заказов'!$A$5:$A$24,0))),"")</f>
        <v>46323</v>
      </c>
      <c r="AL6" s="50"/>
      <c r="AM6" s="42"/>
      <c r="AN6" s="55" t="str">
        <f aca="false">IF(N(AL6)=0,"Нет",IF(AL6&gt;=J6,"Да","Частично"))</f>
        <v>Нет</v>
      </c>
      <c r="AO6" s="7" t="n">
        <f aca="false">J6-N(AL6)</f>
        <v>100</v>
      </c>
      <c r="AP6" s="54"/>
    </row>
    <row r="7" customFormat="false" ht="61.5" hidden="false" customHeight="true" outlineLevel="0" collapsed="false">
      <c r="A7" s="40" t="s">
        <v>146</v>
      </c>
      <c r="B7" s="43" t="str">
        <f aca="false">IFERROR(INDEX('Сводка заказов'!$B$5:$B$24,MATCH($A7,'Сводка заказов'!$A$5:$A$24,0)),"")</f>
        <v>Ningbo Sidana</v>
      </c>
      <c r="C7" s="47" t="n">
        <f aca="false">IFERROR(IF(INDEX('Сводка заказов'!$D$5:$D$24,MATCH($A7,'Сводка заказов'!$A$5:$A$24,0))="","",INDEX('Сводка заказов'!$D$5:$D$24,MATCH($A7,'Сводка заказов'!$A$5:$A$24,0))),"")</f>
        <v>46286</v>
      </c>
      <c r="D7" s="40" t="n">
        <v>5</v>
      </c>
      <c r="E7" s="40"/>
      <c r="F7" s="40" t="s">
        <v>230</v>
      </c>
      <c r="G7" s="53" t="str">
        <f aca="false">'Крепёж и такелаж'!$E$4</f>
        <v>Трубный хомут из алюминия для трубы Ø114 мм</v>
      </c>
      <c r="H7" s="54" t="s">
        <v>231</v>
      </c>
      <c r="I7" s="54" t="s">
        <v>222</v>
      </c>
      <c r="J7" s="50" t="n">
        <v>100</v>
      </c>
      <c r="K7" s="40" t="s">
        <v>96</v>
      </c>
      <c r="L7" s="45" t="n">
        <v>10</v>
      </c>
      <c r="M7" s="44" t="n">
        <f aca="false">J7*L7</f>
        <v>1000</v>
      </c>
      <c r="N7" s="40" t="s">
        <v>226</v>
      </c>
      <c r="O7" s="8" t="n">
        <f aca="false">IFERROR(VLOOKUP($N7,'ТН ВЭД'!$A$4:$C$40,3,0),0)</f>
        <v>0.09</v>
      </c>
      <c r="P7" s="8" t="n">
        <f aca="false">Справочники!$B$12</f>
        <v>0.16</v>
      </c>
      <c r="Q7" s="44" t="n">
        <f aca="false">ROUND(L7*Справочники!$B$5,2)</f>
        <v>685</v>
      </c>
      <c r="R7" s="44" t="n">
        <f aca="false">ROUND(Q7*N(IFERROR(INDEX('Сводка заказов'!$Q$5:$Q$24,MATCH($A7,'Сводка заказов'!$A$5:$A$24,0)),0)),2)</f>
        <v>0</v>
      </c>
      <c r="S7" s="44" t="n">
        <f aca="false">ROUND(Q7*N(IFERROR(INDEX('Сводка заказов'!$R$5:$R$24,MATCH($A7,'Сводка заказов'!$A$5:$A$24,0)),0)),2)</f>
        <v>0</v>
      </c>
      <c r="T7" s="44" t="n">
        <f aca="false">Q7+R7+S7</f>
        <v>685</v>
      </c>
      <c r="U7" s="44" t="n">
        <f aca="false">ROUND(T7*O7,2)</f>
        <v>61.65</v>
      </c>
      <c r="V7" s="44" t="n">
        <f aca="false">ROUND((T7+U7)*P7,2)</f>
        <v>119.46</v>
      </c>
      <c r="W7" s="44" t="n">
        <f aca="false">ROUND(Q7*N(IFERROR(INDEX('Сводка заказов'!$S$5:$S$24,MATCH($A7,'Сводка заказов'!$A$5:$A$24,0)),0)),2)</f>
        <v>102.75</v>
      </c>
      <c r="X7" s="7" t="n">
        <f aca="false">ROUND(T7+U7+W7+IF(Справочники!$B$22="Да",0,V7),0)</f>
        <v>849</v>
      </c>
      <c r="Y7" s="7" t="n">
        <f aca="false">X7*J7</f>
        <v>84900</v>
      </c>
      <c r="Z7" s="7" t="n">
        <f aca="false">U7*J7</f>
        <v>6165</v>
      </c>
      <c r="AA7" s="7" t="n">
        <f aca="false">V7*J7</f>
        <v>11946</v>
      </c>
      <c r="AB7" s="19" t="str">
        <f aca="false">IF('Крепёж и такелаж'!$AO$4="","",'Крепёж и такелаж'!$AO$4)</f>
        <v/>
      </c>
      <c r="AC7" s="19" t="str">
        <f aca="false">IF('Крепёж и такелаж'!$AR$4="","",'Крепёж и такелаж'!$AR$4)</f>
        <v/>
      </c>
      <c r="AD7" s="19" t="n">
        <f aca="false">IF('Крепёж и такелаж'!$AT$4="","",'Крепёж и такелаж'!$AT$4)</f>
        <v>1970</v>
      </c>
      <c r="AE7" s="7" t="n">
        <f aca="false">IF(AD7="","",ROUND(AD7/(1+P7),0))</f>
        <v>1698</v>
      </c>
      <c r="AF7" s="7" t="n">
        <f aca="false">IF(AE7="","",AE7-X7)</f>
        <v>849</v>
      </c>
      <c r="AG7" s="8" t="n">
        <f aca="false">IF(OR(AE7="",AE7=0),"",AF7/AE7)</f>
        <v>0.5</v>
      </c>
      <c r="AH7" s="7" t="n">
        <f aca="false">IF(AE7="",0,AE7*J7)</f>
        <v>169800</v>
      </c>
      <c r="AI7" s="7" t="n">
        <f aca="false">IF(AF7="",0,AF7*J7)</f>
        <v>84900</v>
      </c>
      <c r="AJ7" s="40" t="s">
        <v>151</v>
      </c>
      <c r="AK7" s="47" t="n">
        <f aca="false">IFERROR(IF(INDEX('Сводка заказов'!$V$5:$V$24,MATCH($A7,'Сводка заказов'!$A$5:$A$24,0))="","",INDEX('Сводка заказов'!$V$5:$V$24,MATCH($A7,'Сводка заказов'!$A$5:$A$24,0))),"")</f>
        <v>46323</v>
      </c>
      <c r="AL7" s="50"/>
      <c r="AM7" s="42"/>
      <c r="AN7" s="55" t="str">
        <f aca="false">IF(N(AL7)=0,"Нет",IF(AL7&gt;=J7,"Да","Частично"))</f>
        <v>Нет</v>
      </c>
      <c r="AO7" s="7" t="n">
        <f aca="false">J7-N(AL7)</f>
        <v>100</v>
      </c>
      <c r="AP7" s="54"/>
    </row>
    <row r="8" customFormat="false" ht="61.5" hidden="false" customHeight="true" outlineLevel="0" collapsed="false">
      <c r="A8" s="40" t="s">
        <v>146</v>
      </c>
      <c r="B8" s="43" t="str">
        <f aca="false">IFERROR(INDEX('Сводка заказов'!$B$5:$B$24,MATCH($A8,'Сводка заказов'!$A$5:$A$24,0)),"")</f>
        <v>Ningbo Sidana</v>
      </c>
      <c r="C8" s="47" t="n">
        <f aca="false">IFERROR(IF(INDEX('Сводка заказов'!$D$5:$D$24,MATCH($A8,'Сводка заказов'!$A$5:$A$24,0))="","",INDEX('Сводка заказов'!$D$5:$D$24,MATCH($A8,'Сводка заказов'!$A$5:$A$24,0))),"")</f>
        <v>46286</v>
      </c>
      <c r="D8" s="40" t="n">
        <v>6</v>
      </c>
      <c r="E8" s="40"/>
      <c r="F8" s="40" t="s">
        <v>232</v>
      </c>
      <c r="G8" s="53" t="str">
        <f aca="false">'Крепёж и такелаж'!$E$5</f>
        <v>Скоба такелажная D-образная из нержавеющей стали М10</v>
      </c>
      <c r="H8" s="54" t="s">
        <v>233</v>
      </c>
      <c r="I8" s="54" t="s">
        <v>222</v>
      </c>
      <c r="J8" s="50" t="n">
        <v>600</v>
      </c>
      <c r="K8" s="40" t="s">
        <v>96</v>
      </c>
      <c r="L8" s="45" t="n">
        <v>5.4</v>
      </c>
      <c r="M8" s="44" t="n">
        <f aca="false">J8*L8</f>
        <v>3240</v>
      </c>
      <c r="N8" s="40" t="s">
        <v>223</v>
      </c>
      <c r="O8" s="8" t="n">
        <f aca="false">IFERROR(VLOOKUP($N8,'ТН ВЭД'!$A$4:$C$40,3,0),0)</f>
        <v>0.075</v>
      </c>
      <c r="P8" s="8" t="n">
        <f aca="false">Справочники!$B$12</f>
        <v>0.16</v>
      </c>
      <c r="Q8" s="44" t="n">
        <f aca="false">ROUND(L8*Справочники!$B$5,2)</f>
        <v>369.9</v>
      </c>
      <c r="R8" s="44" t="n">
        <f aca="false">ROUND(Q8*N(IFERROR(INDEX('Сводка заказов'!$Q$5:$Q$24,MATCH($A8,'Сводка заказов'!$A$5:$A$24,0)),0)),2)</f>
        <v>0</v>
      </c>
      <c r="S8" s="44" t="n">
        <f aca="false">ROUND(Q8*N(IFERROR(INDEX('Сводка заказов'!$R$5:$R$24,MATCH($A8,'Сводка заказов'!$A$5:$A$24,0)),0)),2)</f>
        <v>0</v>
      </c>
      <c r="T8" s="44" t="n">
        <f aca="false">Q8+R8+S8</f>
        <v>369.9</v>
      </c>
      <c r="U8" s="44" t="n">
        <f aca="false">ROUND(T8*O8,2)</f>
        <v>27.74</v>
      </c>
      <c r="V8" s="44" t="n">
        <f aca="false">ROUND((T8+U8)*P8,2)</f>
        <v>63.62</v>
      </c>
      <c r="W8" s="44" t="n">
        <f aca="false">ROUND(Q8*N(IFERROR(INDEX('Сводка заказов'!$S$5:$S$24,MATCH($A8,'Сводка заказов'!$A$5:$A$24,0)),0)),2)</f>
        <v>55.49</v>
      </c>
      <c r="X8" s="7" t="n">
        <f aca="false">ROUND(T8+U8+W8+IF(Справочники!$B$22="Да",0,V8),0)</f>
        <v>453</v>
      </c>
      <c r="Y8" s="7" t="n">
        <f aca="false">X8*J8</f>
        <v>271800</v>
      </c>
      <c r="Z8" s="7" t="n">
        <f aca="false">U8*J8</f>
        <v>16644</v>
      </c>
      <c r="AA8" s="7" t="n">
        <f aca="false">V8*J8</f>
        <v>38172</v>
      </c>
      <c r="AB8" s="19" t="str">
        <f aca="false">IF('Крепёж и такелаж'!$AO$5="","",'Крепёж и такелаж'!$AO$5)</f>
        <v/>
      </c>
      <c r="AC8" s="19" t="str">
        <f aca="false">IF('Крепёж и такелаж'!$AR$5="","",'Крепёж и такелаж'!$AR$5)</f>
        <v/>
      </c>
      <c r="AD8" s="19" t="n">
        <f aca="false">IF('Крепёж и такелаж'!$AT$5="","",'Крепёж и такелаж'!$AT$5)</f>
        <v>1060</v>
      </c>
      <c r="AE8" s="7" t="n">
        <f aca="false">IF(AD8="","",ROUND(AD8/(1+P8),0))</f>
        <v>914</v>
      </c>
      <c r="AF8" s="7" t="n">
        <f aca="false">IF(AE8="","",AE8-X8)</f>
        <v>461</v>
      </c>
      <c r="AG8" s="8" t="n">
        <f aca="false">IF(OR(AE8="",AE8=0),"",AF8/AE8)</f>
        <v>0.50437636761488</v>
      </c>
      <c r="AH8" s="7" t="n">
        <f aca="false">IF(AE8="",0,AE8*J8)</f>
        <v>548400</v>
      </c>
      <c r="AI8" s="7" t="n">
        <f aca="false">IF(AF8="",0,AF8*J8)</f>
        <v>276600</v>
      </c>
      <c r="AJ8" s="40" t="s">
        <v>151</v>
      </c>
      <c r="AK8" s="47" t="n">
        <f aca="false">IFERROR(IF(INDEX('Сводка заказов'!$V$5:$V$24,MATCH($A8,'Сводка заказов'!$A$5:$A$24,0))="","",INDEX('Сводка заказов'!$V$5:$V$24,MATCH($A8,'Сводка заказов'!$A$5:$A$24,0))),"")</f>
        <v>46323</v>
      </c>
      <c r="AL8" s="50"/>
      <c r="AM8" s="42"/>
      <c r="AN8" s="55" t="str">
        <f aca="false">IF(N(AL8)=0,"Нет",IF(AL8&gt;=J8,"Да","Частично"))</f>
        <v>Нет</v>
      </c>
      <c r="AO8" s="7" t="n">
        <f aca="false">J8-N(AL8)</f>
        <v>600</v>
      </c>
      <c r="AP8" s="54"/>
    </row>
    <row r="9" customFormat="false" ht="61.5" hidden="false" customHeight="true" outlineLevel="0" collapsed="false">
      <c r="A9" s="40" t="s">
        <v>146</v>
      </c>
      <c r="B9" s="43" t="str">
        <f aca="false">IFERROR(INDEX('Сводка заказов'!$B$5:$B$24,MATCH($A9,'Сводка заказов'!$A$5:$A$24,0)),"")</f>
        <v>Ningbo Sidana</v>
      </c>
      <c r="C9" s="47" t="n">
        <f aca="false">IFERROR(IF(INDEX('Сводка заказов'!$D$5:$D$24,MATCH($A9,'Сводка заказов'!$A$5:$A$24,0))="","",INDEX('Сводка заказов'!$D$5:$D$24,MATCH($A9,'Сводка заказов'!$A$5:$A$24,0))),"")</f>
        <v>46286</v>
      </c>
      <c r="D9" s="40" t="n">
        <v>7</v>
      </c>
      <c r="E9" s="40"/>
      <c r="F9" s="40" t="s">
        <v>234</v>
      </c>
      <c r="G9" s="53" t="str">
        <f aca="false">'Крепёж и такелаж'!$E$6</f>
        <v>Скоба такелажная из нержавеющей стали с винтом М10</v>
      </c>
      <c r="H9" s="54" t="s">
        <v>235</v>
      </c>
      <c r="I9" s="54" t="s">
        <v>222</v>
      </c>
      <c r="J9" s="50" t="n">
        <v>500</v>
      </c>
      <c r="K9" s="40" t="s">
        <v>96</v>
      </c>
      <c r="L9" s="45" t="n">
        <v>7.2</v>
      </c>
      <c r="M9" s="44" t="n">
        <f aca="false">J9*L9</f>
        <v>3600</v>
      </c>
      <c r="N9" s="40" t="s">
        <v>223</v>
      </c>
      <c r="O9" s="8" t="n">
        <f aca="false">IFERROR(VLOOKUP($N9,'ТН ВЭД'!$A$4:$C$40,3,0),0)</f>
        <v>0.075</v>
      </c>
      <c r="P9" s="8" t="n">
        <f aca="false">Справочники!$B$12</f>
        <v>0.16</v>
      </c>
      <c r="Q9" s="44" t="n">
        <f aca="false">ROUND(L9*Справочники!$B$5,2)</f>
        <v>493.2</v>
      </c>
      <c r="R9" s="44" t="n">
        <f aca="false">ROUND(Q9*N(IFERROR(INDEX('Сводка заказов'!$Q$5:$Q$24,MATCH($A9,'Сводка заказов'!$A$5:$A$24,0)),0)),2)</f>
        <v>0</v>
      </c>
      <c r="S9" s="44" t="n">
        <f aca="false">ROUND(Q9*N(IFERROR(INDEX('Сводка заказов'!$R$5:$R$24,MATCH($A9,'Сводка заказов'!$A$5:$A$24,0)),0)),2)</f>
        <v>0</v>
      </c>
      <c r="T9" s="44" t="n">
        <f aca="false">Q9+R9+S9</f>
        <v>493.2</v>
      </c>
      <c r="U9" s="44" t="n">
        <f aca="false">ROUND(T9*O9,2)</f>
        <v>36.99</v>
      </c>
      <c r="V9" s="44" t="n">
        <f aca="false">ROUND((T9+U9)*P9,2)</f>
        <v>84.83</v>
      </c>
      <c r="W9" s="44" t="n">
        <f aca="false">ROUND(Q9*N(IFERROR(INDEX('Сводка заказов'!$S$5:$S$24,MATCH($A9,'Сводка заказов'!$A$5:$A$24,0)),0)),2)</f>
        <v>73.98</v>
      </c>
      <c r="X9" s="7" t="n">
        <f aca="false">ROUND(T9+U9+W9+IF(Справочники!$B$22="Да",0,V9),0)</f>
        <v>604</v>
      </c>
      <c r="Y9" s="7" t="n">
        <f aca="false">X9*J9</f>
        <v>302000</v>
      </c>
      <c r="Z9" s="7" t="n">
        <f aca="false">U9*J9</f>
        <v>18495</v>
      </c>
      <c r="AA9" s="7" t="n">
        <f aca="false">V9*J9</f>
        <v>42415</v>
      </c>
      <c r="AB9" s="19" t="n">
        <f aca="false">IF('Крепёж и такелаж'!$AO$6="","",'Крепёж и такелаж'!$AO$6)</f>
        <v>560</v>
      </c>
      <c r="AC9" s="19" t="n">
        <f aca="false">IF('Крепёж и такелаж'!$AR$6="","",'Крепёж и такелаж'!$AR$6)</f>
        <v>3443</v>
      </c>
      <c r="AD9" s="19" t="n">
        <f aca="false">IF('Крепёж и такелаж'!$AT$6="","",'Крепёж и такелаж'!$AT$6)</f>
        <v>3168</v>
      </c>
      <c r="AE9" s="7" t="n">
        <f aca="false">IF(AD9="","",ROUND(AD9/(1+P9),0))</f>
        <v>2731</v>
      </c>
      <c r="AF9" s="7" t="n">
        <f aca="false">IF(AE9="","",AE9-X9)</f>
        <v>2127</v>
      </c>
      <c r="AG9" s="8" t="n">
        <f aca="false">IF(OR(AE9="",AE9=0),"",AF9/AE9)</f>
        <v>0.778835591358477</v>
      </c>
      <c r="AH9" s="7" t="n">
        <f aca="false">IF(AE9="",0,AE9*J9)</f>
        <v>1365500</v>
      </c>
      <c r="AI9" s="7" t="n">
        <f aca="false">IF(AF9="",0,AF9*J9)</f>
        <v>1063500</v>
      </c>
      <c r="AJ9" s="40" t="s">
        <v>151</v>
      </c>
      <c r="AK9" s="47" t="n">
        <f aca="false">IFERROR(IF(INDEX('Сводка заказов'!$V$5:$V$24,MATCH($A9,'Сводка заказов'!$A$5:$A$24,0))="","",INDEX('Сводка заказов'!$V$5:$V$24,MATCH($A9,'Сводка заказов'!$A$5:$A$24,0))),"")</f>
        <v>46323</v>
      </c>
      <c r="AL9" s="50"/>
      <c r="AM9" s="42"/>
      <c r="AN9" s="55" t="str">
        <f aca="false">IF(N(AL9)=0,"Нет",IF(AL9&gt;=J9,"Да","Частично"))</f>
        <v>Нет</v>
      </c>
      <c r="AO9" s="7" t="n">
        <f aca="false">J9-N(AL9)</f>
        <v>500</v>
      </c>
      <c r="AP9" s="54"/>
    </row>
    <row r="10" customFormat="false" ht="61.5" hidden="false" customHeight="true" outlineLevel="0" collapsed="false">
      <c r="A10" s="40" t="s">
        <v>146</v>
      </c>
      <c r="B10" s="43" t="str">
        <f aca="false">IFERROR(INDEX('Сводка заказов'!$B$5:$B$24,MATCH($A10,'Сводка заказов'!$A$5:$A$24,0)),"")</f>
        <v>Ningbo Sidana</v>
      </c>
      <c r="C10" s="47" t="n">
        <f aca="false">IFERROR(IF(INDEX('Сводка заказов'!$D$5:$D$24,MATCH($A10,'Сводка заказов'!$A$5:$A$24,0))="","",INDEX('Сводка заказов'!$D$5:$D$24,MATCH($A10,'Сводка заказов'!$A$5:$A$24,0))),"")</f>
        <v>46286</v>
      </c>
      <c r="D10" s="40" t="n">
        <v>8</v>
      </c>
      <c r="E10" s="40"/>
      <c r="F10" s="40" t="s">
        <v>236</v>
      </c>
      <c r="G10" s="53" t="str">
        <f aca="false">'Крепление для качелей'!$E$4</f>
        <v>Крепление для качелей из нержавеющей стали 120×110 мм</v>
      </c>
      <c r="H10" s="54" t="s">
        <v>237</v>
      </c>
      <c r="I10" s="54" t="s">
        <v>222</v>
      </c>
      <c r="J10" s="50" t="n">
        <v>10</v>
      </c>
      <c r="K10" s="40" t="s">
        <v>96</v>
      </c>
      <c r="L10" s="45" t="n">
        <v>98</v>
      </c>
      <c r="M10" s="44" t="n">
        <f aca="false">J10*L10</f>
        <v>980</v>
      </c>
      <c r="N10" s="40" t="s">
        <v>223</v>
      </c>
      <c r="O10" s="8" t="n">
        <f aca="false">IFERROR(VLOOKUP($N10,'ТН ВЭД'!$A$4:$C$40,3,0),0)</f>
        <v>0.075</v>
      </c>
      <c r="P10" s="8" t="n">
        <f aca="false">Справочники!$B$12</f>
        <v>0.16</v>
      </c>
      <c r="Q10" s="44" t="n">
        <f aca="false">ROUND(L10*Справочники!$B$5,2)</f>
        <v>6713</v>
      </c>
      <c r="R10" s="44" t="n">
        <f aca="false">ROUND(Q10*N(IFERROR(INDEX('Сводка заказов'!$Q$5:$Q$24,MATCH($A10,'Сводка заказов'!$A$5:$A$24,0)),0)),2)</f>
        <v>0</v>
      </c>
      <c r="S10" s="44" t="n">
        <f aca="false">ROUND(Q10*N(IFERROR(INDEX('Сводка заказов'!$R$5:$R$24,MATCH($A10,'Сводка заказов'!$A$5:$A$24,0)),0)),2)</f>
        <v>0</v>
      </c>
      <c r="T10" s="44" t="n">
        <f aca="false">Q10+R10+S10</f>
        <v>6713</v>
      </c>
      <c r="U10" s="44" t="n">
        <f aca="false">ROUND(T10*O10,2)</f>
        <v>503.48</v>
      </c>
      <c r="V10" s="44" t="n">
        <f aca="false">ROUND((T10+U10)*P10,2)</f>
        <v>1154.64</v>
      </c>
      <c r="W10" s="44" t="n">
        <f aca="false">ROUND(Q10*N(IFERROR(INDEX('Сводка заказов'!$S$5:$S$24,MATCH($A10,'Сводка заказов'!$A$5:$A$24,0)),0)),2)</f>
        <v>1006.95</v>
      </c>
      <c r="X10" s="7" t="n">
        <f aca="false">ROUND(T10+U10+W10+IF(Справочники!$B$22="Да",0,V10),0)</f>
        <v>8223</v>
      </c>
      <c r="Y10" s="7" t="n">
        <f aca="false">X10*J10</f>
        <v>82230</v>
      </c>
      <c r="Z10" s="7" t="n">
        <f aca="false">U10*J10</f>
        <v>5034.8</v>
      </c>
      <c r="AA10" s="7" t="n">
        <f aca="false">V10*J10</f>
        <v>11546.4</v>
      </c>
      <c r="AB10" s="19" t="str">
        <f aca="false">IF('Крепление для качелей'!$AO$4="","",'Крепление для качелей'!$AO$4)</f>
        <v/>
      </c>
      <c r="AC10" s="19" t="str">
        <f aca="false">IF('Крепление для качелей'!$AR$4="","",'Крепление для качелей'!$AR$4)</f>
        <v/>
      </c>
      <c r="AD10" s="19" t="n">
        <f aca="false">IF('Крепление для качелей'!$AT$4="","",'Крепление для качелей'!$AT$4)</f>
        <v>19080</v>
      </c>
      <c r="AE10" s="7" t="n">
        <f aca="false">IF(AD10="","",ROUND(AD10/(1+P10),0))</f>
        <v>16448</v>
      </c>
      <c r="AF10" s="7" t="n">
        <f aca="false">IF(AE10="","",AE10-X10)</f>
        <v>8225</v>
      </c>
      <c r="AG10" s="8" t="n">
        <f aca="false">IF(OR(AE10="",AE10=0),"",AF10/AE10)</f>
        <v>0.50006079766537</v>
      </c>
      <c r="AH10" s="7" t="n">
        <f aca="false">IF(AE10="",0,AE10*J10)</f>
        <v>164480</v>
      </c>
      <c r="AI10" s="7" t="n">
        <f aca="false">IF(AF10="",0,AF10*J10)</f>
        <v>82250</v>
      </c>
      <c r="AJ10" s="40" t="s">
        <v>151</v>
      </c>
      <c r="AK10" s="47" t="n">
        <f aca="false">IFERROR(IF(INDEX('Сводка заказов'!$V$5:$V$24,MATCH($A10,'Сводка заказов'!$A$5:$A$24,0))="","",INDEX('Сводка заказов'!$V$5:$V$24,MATCH($A10,'Сводка заказов'!$A$5:$A$24,0))),"")</f>
        <v>46323</v>
      </c>
      <c r="AL10" s="50"/>
      <c r="AM10" s="42"/>
      <c r="AN10" s="55" t="str">
        <f aca="false">IF(N(AL10)=0,"Нет",IF(AL10&gt;=J10,"Да","Частично"))</f>
        <v>Нет</v>
      </c>
      <c r="AO10" s="7" t="n">
        <f aca="false">J10-N(AL10)</f>
        <v>10</v>
      </c>
      <c r="AP10" s="54"/>
    </row>
    <row r="11" customFormat="false" ht="61.5" hidden="false" customHeight="true" outlineLevel="0" collapsed="false">
      <c r="A11" s="40" t="s">
        <v>146</v>
      </c>
      <c r="B11" s="43" t="str">
        <f aca="false">IFERROR(INDEX('Сводка заказов'!$B$5:$B$24,MATCH($A11,'Сводка заказов'!$A$5:$A$24,0)),"")</f>
        <v>Ningbo Sidana</v>
      </c>
      <c r="C11" s="47" t="n">
        <f aca="false">IFERROR(IF(INDEX('Сводка заказов'!$D$5:$D$24,MATCH($A11,'Сводка заказов'!$A$5:$A$24,0))="","",INDEX('Сводка заказов'!$D$5:$D$24,MATCH($A11,'Сводка заказов'!$A$5:$A$24,0))),"")</f>
        <v>46286</v>
      </c>
      <c r="D11" s="40" t="n">
        <v>9</v>
      </c>
      <c r="E11" s="40"/>
      <c r="F11" s="40" t="s">
        <v>238</v>
      </c>
      <c r="G11" s="53" t="str">
        <f aca="false">'Изделия для каната'!$E$17</f>
        <v>Нейлоновое кольцо-вкладыш под М10 для каната Ø16 мм</v>
      </c>
      <c r="H11" s="54" t="s">
        <v>239</v>
      </c>
      <c r="I11" s="54" t="s">
        <v>240</v>
      </c>
      <c r="J11" s="50" t="n">
        <v>500</v>
      </c>
      <c r="K11" s="40" t="s">
        <v>96</v>
      </c>
      <c r="L11" s="45" t="n">
        <v>1.8</v>
      </c>
      <c r="M11" s="44" t="n">
        <f aca="false">J11*L11</f>
        <v>900</v>
      </c>
      <c r="N11" s="40" t="s">
        <v>241</v>
      </c>
      <c r="O11" s="8" t="n">
        <f aca="false">IFERROR(VLOOKUP($N11,'ТН ВЭД'!$A$4:$C$40,3,0),0)</f>
        <v>0.065</v>
      </c>
      <c r="P11" s="8" t="n">
        <f aca="false">Справочники!$B$12</f>
        <v>0.16</v>
      </c>
      <c r="Q11" s="44" t="n">
        <f aca="false">ROUND(L11*Справочники!$B$5,2)</f>
        <v>123.3</v>
      </c>
      <c r="R11" s="44" t="n">
        <f aca="false">ROUND(Q11*N(IFERROR(INDEX('Сводка заказов'!$Q$5:$Q$24,MATCH($A11,'Сводка заказов'!$A$5:$A$24,0)),0)),2)</f>
        <v>0</v>
      </c>
      <c r="S11" s="44" t="n">
        <f aca="false">ROUND(Q11*N(IFERROR(INDEX('Сводка заказов'!$R$5:$R$24,MATCH($A11,'Сводка заказов'!$A$5:$A$24,0)),0)),2)</f>
        <v>0</v>
      </c>
      <c r="T11" s="44" t="n">
        <f aca="false">Q11+R11+S11</f>
        <v>123.3</v>
      </c>
      <c r="U11" s="44" t="n">
        <f aca="false">ROUND(T11*O11,2)</f>
        <v>8.01</v>
      </c>
      <c r="V11" s="44" t="n">
        <f aca="false">ROUND((T11+U11)*P11,2)</f>
        <v>21.01</v>
      </c>
      <c r="W11" s="44" t="n">
        <f aca="false">ROUND(Q11*N(IFERROR(INDEX('Сводка заказов'!$S$5:$S$24,MATCH($A11,'Сводка заказов'!$A$5:$A$24,0)),0)),2)</f>
        <v>18.5</v>
      </c>
      <c r="X11" s="7" t="n">
        <f aca="false">ROUND(T11+U11+W11+IF(Справочники!$B$22="Да",0,V11),0)</f>
        <v>150</v>
      </c>
      <c r="Y11" s="7" t="n">
        <f aca="false">X11*J11</f>
        <v>75000</v>
      </c>
      <c r="Z11" s="7" t="n">
        <f aca="false">U11*J11</f>
        <v>4005</v>
      </c>
      <c r="AA11" s="7" t="n">
        <f aca="false">V11*J11</f>
        <v>10505</v>
      </c>
      <c r="AB11" s="19" t="str">
        <f aca="false">IF('Изделия для каната'!$AO$17="","",'Изделия для каната'!$AO$17)</f>
        <v/>
      </c>
      <c r="AC11" s="19" t="str">
        <f aca="false">IF('Изделия для каната'!$AR$17="","",'Изделия для каната'!$AR$17)</f>
        <v/>
      </c>
      <c r="AD11" s="19" t="n">
        <f aca="false">IF('Изделия для каната'!$AT$17="","",'Изделия для каната'!$AT$17)</f>
        <v>350</v>
      </c>
      <c r="AE11" s="7" t="n">
        <f aca="false">IF(AD11="","",ROUND(AD11/(1+P11),0))</f>
        <v>302</v>
      </c>
      <c r="AF11" s="7" t="n">
        <f aca="false">IF(AE11="","",AE11-X11)</f>
        <v>152</v>
      </c>
      <c r="AG11" s="8" t="n">
        <f aca="false">IF(OR(AE11="",AE11=0),"",AF11/AE11)</f>
        <v>0.503311258278146</v>
      </c>
      <c r="AH11" s="7" t="n">
        <f aca="false">IF(AE11="",0,AE11*J11)</f>
        <v>151000</v>
      </c>
      <c r="AI11" s="7" t="n">
        <f aca="false">IF(AF11="",0,AF11*J11)</f>
        <v>76000</v>
      </c>
      <c r="AJ11" s="40" t="s">
        <v>151</v>
      </c>
      <c r="AK11" s="47" t="n">
        <f aca="false">IFERROR(IF(INDEX('Сводка заказов'!$V$5:$V$24,MATCH($A11,'Сводка заказов'!$A$5:$A$24,0))="","",INDEX('Сводка заказов'!$V$5:$V$24,MATCH($A11,'Сводка заказов'!$A$5:$A$24,0))),"")</f>
        <v>46323</v>
      </c>
      <c r="AL11" s="50"/>
      <c r="AM11" s="42"/>
      <c r="AN11" s="55" t="str">
        <f aca="false">IF(N(AL11)=0,"Нет",IF(AL11&gt;=J11,"Да","Частично"))</f>
        <v>Нет</v>
      </c>
      <c r="AO11" s="7" t="n">
        <f aca="false">J11-N(AL11)</f>
        <v>500</v>
      </c>
      <c r="AP11" s="54" t="s">
        <v>242</v>
      </c>
    </row>
    <row r="12" customFormat="false" ht="61.5" hidden="false" customHeight="true" outlineLevel="0" collapsed="false">
      <c r="A12" s="40" t="s">
        <v>146</v>
      </c>
      <c r="B12" s="43" t="str">
        <f aca="false">IFERROR(INDEX('Сводка заказов'!$B$5:$B$24,MATCH($A12,'Сводка заказов'!$A$5:$A$24,0)),"")</f>
        <v>Ningbo Sidana</v>
      </c>
      <c r="C12" s="47" t="n">
        <f aca="false">IFERROR(IF(INDEX('Сводка заказов'!$D$5:$D$24,MATCH($A12,'Сводка заказов'!$A$5:$A$24,0))="","",INDEX('Сводка заказов'!$D$5:$D$24,MATCH($A12,'Сводка заказов'!$A$5:$A$24,0))),"")</f>
        <v>46286</v>
      </c>
      <c r="D12" s="40" t="n">
        <v>10</v>
      </c>
      <c r="E12" s="40"/>
      <c r="F12" s="40" t="s">
        <v>243</v>
      </c>
      <c r="G12" s="53" t="str">
        <f aca="false">'Изделия для каната'!$E$18</f>
        <v>Нейлоновое кольцо для каната Ø16 мм</v>
      </c>
      <c r="H12" s="54" t="s">
        <v>244</v>
      </c>
      <c r="I12" s="54" t="s">
        <v>245</v>
      </c>
      <c r="J12" s="50" t="n">
        <v>500</v>
      </c>
      <c r="K12" s="40" t="s">
        <v>96</v>
      </c>
      <c r="L12" s="45" t="n">
        <v>1.1</v>
      </c>
      <c r="M12" s="44" t="n">
        <f aca="false">J12*L12</f>
        <v>550</v>
      </c>
      <c r="N12" s="40" t="s">
        <v>241</v>
      </c>
      <c r="O12" s="8" t="n">
        <f aca="false">IFERROR(VLOOKUP($N12,'ТН ВЭД'!$A$4:$C$40,3,0),0)</f>
        <v>0.065</v>
      </c>
      <c r="P12" s="8" t="n">
        <f aca="false">Справочники!$B$12</f>
        <v>0.16</v>
      </c>
      <c r="Q12" s="44" t="n">
        <f aca="false">ROUND(L12*Справочники!$B$5,2)</f>
        <v>75.35</v>
      </c>
      <c r="R12" s="44" t="n">
        <f aca="false">ROUND(Q12*N(IFERROR(INDEX('Сводка заказов'!$Q$5:$Q$24,MATCH($A12,'Сводка заказов'!$A$5:$A$24,0)),0)),2)</f>
        <v>0</v>
      </c>
      <c r="S12" s="44" t="n">
        <f aca="false">ROUND(Q12*N(IFERROR(INDEX('Сводка заказов'!$R$5:$R$24,MATCH($A12,'Сводка заказов'!$A$5:$A$24,0)),0)),2)</f>
        <v>0</v>
      </c>
      <c r="T12" s="44" t="n">
        <f aca="false">Q12+R12+S12</f>
        <v>75.35</v>
      </c>
      <c r="U12" s="44" t="n">
        <f aca="false">ROUND(T12*O12,2)</f>
        <v>4.9</v>
      </c>
      <c r="V12" s="44" t="n">
        <f aca="false">ROUND((T12+U12)*P12,2)</f>
        <v>12.84</v>
      </c>
      <c r="W12" s="44" t="n">
        <f aca="false">ROUND(Q12*N(IFERROR(INDEX('Сводка заказов'!$S$5:$S$24,MATCH($A12,'Сводка заказов'!$A$5:$A$24,0)),0)),2)</f>
        <v>11.3</v>
      </c>
      <c r="X12" s="7" t="n">
        <f aca="false">ROUND(T12+U12+W12+IF(Справочники!$B$22="Да",0,V12),0)</f>
        <v>92</v>
      </c>
      <c r="Y12" s="7" t="n">
        <f aca="false">X12*J12</f>
        <v>46000</v>
      </c>
      <c r="Z12" s="7" t="n">
        <f aca="false">U12*J12</f>
        <v>2450</v>
      </c>
      <c r="AA12" s="7" t="n">
        <f aca="false">V12*J12</f>
        <v>6420</v>
      </c>
      <c r="AB12" s="19" t="str">
        <f aca="false">IF('Изделия для каната'!$AO$18="","",'Изделия для каната'!$AO$18)</f>
        <v/>
      </c>
      <c r="AC12" s="19" t="str">
        <f aca="false">IF('Изделия для каната'!$AR$18="","",'Изделия для каната'!$AR$18)</f>
        <v/>
      </c>
      <c r="AD12" s="19" t="n">
        <f aca="false">IF('Изделия для каната'!$AT$18="","",'Изделия для каната'!$AT$18)</f>
        <v>220</v>
      </c>
      <c r="AE12" s="7" t="n">
        <f aca="false">IF(AD12="","",ROUND(AD12/(1+P12),0))</f>
        <v>190</v>
      </c>
      <c r="AF12" s="7" t="n">
        <f aca="false">IF(AE12="","",AE12-X12)</f>
        <v>98</v>
      </c>
      <c r="AG12" s="8" t="n">
        <f aca="false">IF(OR(AE12="",AE12=0),"",AF12/AE12)</f>
        <v>0.515789473684211</v>
      </c>
      <c r="AH12" s="7" t="n">
        <f aca="false">IF(AE12="",0,AE12*J12)</f>
        <v>95000</v>
      </c>
      <c r="AI12" s="7" t="n">
        <f aca="false">IF(AF12="",0,AF12*J12)</f>
        <v>49000</v>
      </c>
      <c r="AJ12" s="40" t="s">
        <v>151</v>
      </c>
      <c r="AK12" s="47" t="n">
        <f aca="false">IFERROR(IF(INDEX('Сводка заказов'!$V$5:$V$24,MATCH($A12,'Сводка заказов'!$A$5:$A$24,0))="","",INDEX('Сводка заказов'!$V$5:$V$24,MATCH($A12,'Сводка заказов'!$A$5:$A$24,0))),"")</f>
        <v>46323</v>
      </c>
      <c r="AL12" s="50"/>
      <c r="AM12" s="42"/>
      <c r="AN12" s="55" t="str">
        <f aca="false">IF(N(AL12)=0,"Нет",IF(AL12&gt;=J12,"Да","Частично"))</f>
        <v>Нет</v>
      </c>
      <c r="AO12" s="7" t="n">
        <f aca="false">J12-N(AL12)</f>
        <v>500</v>
      </c>
      <c r="AP12" s="54" t="s">
        <v>242</v>
      </c>
    </row>
    <row r="13" customFormat="false" ht="61.5" hidden="false" customHeight="true" outlineLevel="0" collapsed="false">
      <c r="A13" s="40" t="s">
        <v>146</v>
      </c>
      <c r="B13" s="43" t="str">
        <f aca="false">IFERROR(INDEX('Сводка заказов'!$B$5:$B$24,MATCH($A13,'Сводка заказов'!$A$5:$A$24,0)),"")</f>
        <v>Ningbo Sidana</v>
      </c>
      <c r="C13" s="47" t="n">
        <f aca="false">IFERROR(IF(INDEX('Сводка заказов'!$D$5:$D$24,MATCH($A13,'Сводка заказов'!$A$5:$A$24,0))="","",INDEX('Сводка заказов'!$D$5:$D$24,MATCH($A13,'Сводка заказов'!$A$5:$A$24,0))),"")</f>
        <v>46286</v>
      </c>
      <c r="D13" s="40" t="n">
        <v>11</v>
      </c>
      <c r="E13" s="40"/>
      <c r="F13" s="40" t="s">
        <v>246</v>
      </c>
      <c r="G13" s="53" t="str">
        <f aca="false">'Комплектующие для качелей'!$E$11</f>
        <v>Сиденье для качелей из полиэтилена 440×178 мм</v>
      </c>
      <c r="H13" s="54" t="s">
        <v>247</v>
      </c>
      <c r="I13" s="54" t="s">
        <v>248</v>
      </c>
      <c r="J13" s="50" t="n">
        <v>50</v>
      </c>
      <c r="K13" s="40" t="s">
        <v>96</v>
      </c>
      <c r="L13" s="45" t="n">
        <v>80</v>
      </c>
      <c r="M13" s="44" t="n">
        <f aca="false">J13*L13</f>
        <v>4000</v>
      </c>
      <c r="N13" s="40" t="s">
        <v>218</v>
      </c>
      <c r="O13" s="8" t="n">
        <f aca="false">IFERROR(VLOOKUP($N13,'ТН ВЭД'!$A$4:$C$40,3,0),0)</f>
        <v>0.05</v>
      </c>
      <c r="P13" s="8" t="n">
        <f aca="false">Справочники!$B$12</f>
        <v>0.16</v>
      </c>
      <c r="Q13" s="44" t="n">
        <f aca="false">ROUND(L13*Справочники!$B$5,2)</f>
        <v>5480</v>
      </c>
      <c r="R13" s="44" t="n">
        <f aca="false">ROUND(Q13*N(IFERROR(INDEX('Сводка заказов'!$Q$5:$Q$24,MATCH($A13,'Сводка заказов'!$A$5:$A$24,0)),0)),2)</f>
        <v>0</v>
      </c>
      <c r="S13" s="44" t="n">
        <f aca="false">ROUND(Q13*N(IFERROR(INDEX('Сводка заказов'!$R$5:$R$24,MATCH($A13,'Сводка заказов'!$A$5:$A$24,0)),0)),2)</f>
        <v>0</v>
      </c>
      <c r="T13" s="44" t="n">
        <f aca="false">Q13+R13+S13</f>
        <v>5480</v>
      </c>
      <c r="U13" s="44" t="n">
        <f aca="false">ROUND(T13*O13,2)</f>
        <v>274</v>
      </c>
      <c r="V13" s="44" t="n">
        <f aca="false">ROUND((T13+U13)*P13,2)</f>
        <v>920.64</v>
      </c>
      <c r="W13" s="44" t="n">
        <f aca="false">ROUND(Q13*N(IFERROR(INDEX('Сводка заказов'!$S$5:$S$24,MATCH($A13,'Сводка заказов'!$A$5:$A$24,0)),0)),2)</f>
        <v>822</v>
      </c>
      <c r="X13" s="7" t="n">
        <f aca="false">ROUND(T13+U13+W13+IF(Справочники!$B$22="Да",0,V13),0)</f>
        <v>6576</v>
      </c>
      <c r="Y13" s="7" t="n">
        <f aca="false">X13*J13</f>
        <v>328800</v>
      </c>
      <c r="Z13" s="7" t="n">
        <f aca="false">U13*J13</f>
        <v>13700</v>
      </c>
      <c r="AA13" s="7" t="n">
        <f aca="false">V13*J13</f>
        <v>46032</v>
      </c>
      <c r="AB13" s="19" t="str">
        <f aca="false">IF('Комплектующие для качелей'!$AO$11="","",'Комплектующие для качелей'!$AO$11)</f>
        <v/>
      </c>
      <c r="AC13" s="19" t="str">
        <f aca="false">IF('Комплектующие для качелей'!$AR$11="","",'Комплектующие для качелей'!$AR$11)</f>
        <v/>
      </c>
      <c r="AD13" s="19" t="n">
        <f aca="false">IF('Комплектующие для качелей'!$AT$11="","",'Комплектующие для качелей'!$AT$11)</f>
        <v>15260</v>
      </c>
      <c r="AE13" s="7" t="n">
        <f aca="false">IF(AD13="","",ROUND(AD13/(1+P13),0))</f>
        <v>13155</v>
      </c>
      <c r="AF13" s="7" t="n">
        <f aca="false">IF(AE13="","",AE13-X13)</f>
        <v>6579</v>
      </c>
      <c r="AG13" s="8" t="n">
        <f aca="false">IF(OR(AE13="",AE13=0),"",AF13/AE13)</f>
        <v>0.500114025085519</v>
      </c>
      <c r="AH13" s="7" t="n">
        <f aca="false">IF(AE13="",0,AE13*J13)</f>
        <v>657750</v>
      </c>
      <c r="AI13" s="7" t="n">
        <f aca="false">IF(AF13="",0,AF13*J13)</f>
        <v>328950</v>
      </c>
      <c r="AJ13" s="40" t="s">
        <v>151</v>
      </c>
      <c r="AK13" s="47" t="n">
        <f aca="false">IFERROR(IF(INDEX('Сводка заказов'!$V$5:$V$24,MATCH($A13,'Сводка заказов'!$A$5:$A$24,0))="","",INDEX('Сводка заказов'!$V$5:$V$24,MATCH($A13,'Сводка заказов'!$A$5:$A$24,0))),"")</f>
        <v>46323</v>
      </c>
      <c r="AL13" s="50"/>
      <c r="AM13" s="42"/>
      <c r="AN13" s="55" t="str">
        <f aca="false">IF(N(AL13)=0,"Нет",IF(AL13&gt;=J13,"Да","Частично"))</f>
        <v>Нет</v>
      </c>
      <c r="AO13" s="7" t="n">
        <f aca="false">J13-N(AL13)</f>
        <v>50</v>
      </c>
      <c r="AP13" s="54" t="s">
        <v>242</v>
      </c>
    </row>
    <row r="14" customFormat="false" ht="61.5" hidden="false" customHeight="true" outlineLevel="0" collapsed="false">
      <c r="A14" s="40" t="s">
        <v>146</v>
      </c>
      <c r="B14" s="43" t="str">
        <f aca="false">IFERROR(INDEX('Сводка заказов'!$B$5:$B$24,MATCH($A14,'Сводка заказов'!$A$5:$A$24,0)),"")</f>
        <v>Ningbo Sidana</v>
      </c>
      <c r="C14" s="47" t="n">
        <f aca="false">IFERROR(IF(INDEX('Сводка заказов'!$D$5:$D$24,MATCH($A14,'Сводка заказов'!$A$5:$A$24,0))="","",INDEX('Сводка заказов'!$D$5:$D$24,MATCH($A14,'Сводка заказов'!$A$5:$A$24,0))),"")</f>
        <v>46286</v>
      </c>
      <c r="D14" s="40" t="n">
        <v>12</v>
      </c>
      <c r="E14" s="40"/>
      <c r="F14" s="40" t="s">
        <v>249</v>
      </c>
      <c r="G14" s="53" t="str">
        <f aca="false">'Зацепы скалодромные'!$E$3</f>
        <v>Зацеп скалодромный нейлоновый 103×100 мм</v>
      </c>
      <c r="H14" s="54" t="s">
        <v>250</v>
      </c>
      <c r="I14" s="54" t="s">
        <v>251</v>
      </c>
      <c r="J14" s="50" t="n">
        <v>200</v>
      </c>
      <c r="K14" s="40" t="s">
        <v>96</v>
      </c>
      <c r="L14" s="45" t="n">
        <v>4.5</v>
      </c>
      <c r="M14" s="44" t="n">
        <f aca="false">J14*L14</f>
        <v>900</v>
      </c>
      <c r="N14" s="40" t="s">
        <v>218</v>
      </c>
      <c r="O14" s="8" t="n">
        <f aca="false">IFERROR(VLOOKUP($N14,'ТН ВЭД'!$A$4:$C$40,3,0),0)</f>
        <v>0.05</v>
      </c>
      <c r="P14" s="8" t="n">
        <f aca="false">Справочники!$B$12</f>
        <v>0.16</v>
      </c>
      <c r="Q14" s="44" t="n">
        <f aca="false">ROUND(L14*Справочники!$B$5,2)</f>
        <v>308.25</v>
      </c>
      <c r="R14" s="44" t="n">
        <f aca="false">ROUND(Q14*N(IFERROR(INDEX('Сводка заказов'!$Q$5:$Q$24,MATCH($A14,'Сводка заказов'!$A$5:$A$24,0)),0)),2)</f>
        <v>0</v>
      </c>
      <c r="S14" s="44" t="n">
        <f aca="false">ROUND(Q14*N(IFERROR(INDEX('Сводка заказов'!$R$5:$R$24,MATCH($A14,'Сводка заказов'!$A$5:$A$24,0)),0)),2)</f>
        <v>0</v>
      </c>
      <c r="T14" s="44" t="n">
        <f aca="false">Q14+R14+S14</f>
        <v>308.25</v>
      </c>
      <c r="U14" s="44" t="n">
        <f aca="false">ROUND(T14*O14,2)</f>
        <v>15.41</v>
      </c>
      <c r="V14" s="44" t="n">
        <f aca="false">ROUND((T14+U14)*P14,2)</f>
        <v>51.79</v>
      </c>
      <c r="W14" s="44" t="n">
        <f aca="false">ROUND(Q14*N(IFERROR(INDEX('Сводка заказов'!$S$5:$S$24,MATCH($A14,'Сводка заказов'!$A$5:$A$24,0)),0)),2)</f>
        <v>46.24</v>
      </c>
      <c r="X14" s="7" t="n">
        <f aca="false">ROUND(T14+U14+W14+IF(Справочники!$B$22="Да",0,V14),0)</f>
        <v>370</v>
      </c>
      <c r="Y14" s="7" t="n">
        <f aca="false">X14*J14</f>
        <v>74000</v>
      </c>
      <c r="Z14" s="7" t="n">
        <f aca="false">U14*J14</f>
        <v>3082</v>
      </c>
      <c r="AA14" s="7" t="n">
        <f aca="false">V14*J14</f>
        <v>10358</v>
      </c>
      <c r="AB14" s="19" t="str">
        <f aca="false">IF('Зацепы скалодромные'!$AO$3="","",'Зацепы скалодромные'!$AO$3)</f>
        <v/>
      </c>
      <c r="AC14" s="19" t="str">
        <f aca="false">IF('Зацепы скалодромные'!$AR$3="","",'Зацепы скалодромные'!$AR$3)</f>
        <v/>
      </c>
      <c r="AD14" s="19" t="n">
        <f aca="false">IF('Зацепы скалодромные'!$AT$3="","",'Зацепы скалодромные'!$AT$3)</f>
        <v>860</v>
      </c>
      <c r="AE14" s="7" t="n">
        <f aca="false">IF(AD14="","",ROUND(AD14/(1+P14),0))</f>
        <v>741</v>
      </c>
      <c r="AF14" s="7" t="n">
        <f aca="false">IF(AE14="","",AE14-X14)</f>
        <v>371</v>
      </c>
      <c r="AG14" s="8" t="n">
        <f aca="false">IF(OR(AE14="",AE14=0),"",AF14/AE14)</f>
        <v>0.500674763832659</v>
      </c>
      <c r="AH14" s="7" t="n">
        <f aca="false">IF(AE14="",0,AE14*J14)</f>
        <v>148200</v>
      </c>
      <c r="AI14" s="7" t="n">
        <f aca="false">IF(AF14="",0,AF14*J14)</f>
        <v>74200</v>
      </c>
      <c r="AJ14" s="40" t="s">
        <v>151</v>
      </c>
      <c r="AK14" s="47" t="n">
        <f aca="false">IFERROR(IF(INDEX('Сводка заказов'!$V$5:$V$24,MATCH($A14,'Сводка заказов'!$A$5:$A$24,0))="","",INDEX('Сводка заказов'!$V$5:$V$24,MATCH($A14,'Сводка заказов'!$A$5:$A$24,0))),"")</f>
        <v>46323</v>
      </c>
      <c r="AL14" s="50"/>
      <c r="AM14" s="42"/>
      <c r="AN14" s="55" t="str">
        <f aca="false">IF(N(AL14)=0,"Нет",IF(AL14&gt;=J14,"Да","Частично"))</f>
        <v>Нет</v>
      </c>
      <c r="AO14" s="7" t="n">
        <f aca="false">J14-N(AL14)</f>
        <v>200</v>
      </c>
      <c r="AP14" s="54"/>
    </row>
    <row r="15" customFormat="false" ht="61.5" hidden="false" customHeight="true" outlineLevel="0" collapsed="false">
      <c r="A15" s="40" t="s">
        <v>146</v>
      </c>
      <c r="B15" s="43" t="str">
        <f aca="false">IFERROR(INDEX('Сводка заказов'!$B$5:$B$24,MATCH($A15,'Сводка заказов'!$A$5:$A$24,0)),"")</f>
        <v>Ningbo Sidana</v>
      </c>
      <c r="C15" s="47" t="n">
        <f aca="false">IFERROR(IF(INDEX('Сводка заказов'!$D$5:$D$24,MATCH($A15,'Сводка заказов'!$A$5:$A$24,0))="","",INDEX('Сводка заказов'!$D$5:$D$24,MATCH($A15,'Сводка заказов'!$A$5:$A$24,0))),"")</f>
        <v>46286</v>
      </c>
      <c r="D15" s="40" t="n">
        <v>13</v>
      </c>
      <c r="E15" s="40"/>
      <c r="F15" s="40" t="s">
        <v>249</v>
      </c>
      <c r="G15" s="53" t="str">
        <f aca="false">'Зацепы скалодромные'!$E$3</f>
        <v>Зацеп скалодромный нейлоновый 103×100 мм</v>
      </c>
      <c r="H15" s="54" t="s">
        <v>250</v>
      </c>
      <c r="I15" s="54" t="s">
        <v>252</v>
      </c>
      <c r="J15" s="50" t="n">
        <v>200</v>
      </c>
      <c r="K15" s="40" t="s">
        <v>96</v>
      </c>
      <c r="L15" s="45" t="n">
        <v>4.5</v>
      </c>
      <c r="M15" s="44" t="n">
        <f aca="false">J15*L15</f>
        <v>900</v>
      </c>
      <c r="N15" s="40" t="s">
        <v>218</v>
      </c>
      <c r="O15" s="8" t="n">
        <f aca="false">IFERROR(VLOOKUP($N15,'ТН ВЭД'!$A$4:$C$40,3,0),0)</f>
        <v>0.05</v>
      </c>
      <c r="P15" s="8" t="n">
        <f aca="false">Справочники!$B$12</f>
        <v>0.16</v>
      </c>
      <c r="Q15" s="44" t="n">
        <f aca="false">ROUND(L15*Справочники!$B$5,2)</f>
        <v>308.25</v>
      </c>
      <c r="R15" s="44" t="n">
        <f aca="false">ROUND(Q15*N(IFERROR(INDEX('Сводка заказов'!$Q$5:$Q$24,MATCH($A15,'Сводка заказов'!$A$5:$A$24,0)),0)),2)</f>
        <v>0</v>
      </c>
      <c r="S15" s="44" t="n">
        <f aca="false">ROUND(Q15*N(IFERROR(INDEX('Сводка заказов'!$R$5:$R$24,MATCH($A15,'Сводка заказов'!$A$5:$A$24,0)),0)),2)</f>
        <v>0</v>
      </c>
      <c r="T15" s="44" t="n">
        <f aca="false">Q15+R15+S15</f>
        <v>308.25</v>
      </c>
      <c r="U15" s="44" t="n">
        <f aca="false">ROUND(T15*O15,2)</f>
        <v>15.41</v>
      </c>
      <c r="V15" s="44" t="n">
        <f aca="false">ROUND((T15+U15)*P15,2)</f>
        <v>51.79</v>
      </c>
      <c r="W15" s="44" t="n">
        <f aca="false">ROUND(Q15*N(IFERROR(INDEX('Сводка заказов'!$S$5:$S$24,MATCH($A15,'Сводка заказов'!$A$5:$A$24,0)),0)),2)</f>
        <v>46.24</v>
      </c>
      <c r="X15" s="7" t="n">
        <f aca="false">ROUND(T15+U15+W15+IF(Справочники!$B$22="Да",0,V15),0)</f>
        <v>370</v>
      </c>
      <c r="Y15" s="7" t="n">
        <f aca="false">X15*J15</f>
        <v>74000</v>
      </c>
      <c r="Z15" s="7" t="n">
        <f aca="false">U15*J15</f>
        <v>3082</v>
      </c>
      <c r="AA15" s="7" t="n">
        <f aca="false">V15*J15</f>
        <v>10358</v>
      </c>
      <c r="AB15" s="19" t="str">
        <f aca="false">IF('Зацепы скалодромные'!$AO$3="","",'Зацепы скалодромные'!$AO$3)</f>
        <v/>
      </c>
      <c r="AC15" s="19" t="str">
        <f aca="false">IF('Зацепы скалодромные'!$AR$3="","",'Зацепы скалодромные'!$AR$3)</f>
        <v/>
      </c>
      <c r="AD15" s="19" t="n">
        <f aca="false">IF('Зацепы скалодромные'!$AT$3="","",'Зацепы скалодромные'!$AT$3)</f>
        <v>860</v>
      </c>
      <c r="AE15" s="7" t="n">
        <f aca="false">IF(AD15="","",ROUND(AD15/(1+P15),0))</f>
        <v>741</v>
      </c>
      <c r="AF15" s="7" t="n">
        <f aca="false">IF(AE15="","",AE15-X15)</f>
        <v>371</v>
      </c>
      <c r="AG15" s="8" t="n">
        <f aca="false">IF(OR(AE15="",AE15=0),"",AF15/AE15)</f>
        <v>0.500674763832659</v>
      </c>
      <c r="AH15" s="7" t="n">
        <f aca="false">IF(AE15="",0,AE15*J15)</f>
        <v>148200</v>
      </c>
      <c r="AI15" s="7" t="n">
        <f aca="false">IF(AF15="",0,AF15*J15)</f>
        <v>74200</v>
      </c>
      <c r="AJ15" s="40" t="s">
        <v>151</v>
      </c>
      <c r="AK15" s="47" t="n">
        <f aca="false">IFERROR(IF(INDEX('Сводка заказов'!$V$5:$V$24,MATCH($A15,'Сводка заказов'!$A$5:$A$24,0))="","",INDEX('Сводка заказов'!$V$5:$V$24,MATCH($A15,'Сводка заказов'!$A$5:$A$24,0))),"")</f>
        <v>46323</v>
      </c>
      <c r="AL15" s="50"/>
      <c r="AM15" s="42"/>
      <c r="AN15" s="55" t="str">
        <f aca="false">IF(N(AL15)=0,"Нет",IF(AL15&gt;=J15,"Да","Частично"))</f>
        <v>Нет</v>
      </c>
      <c r="AO15" s="7" t="n">
        <f aca="false">J15-N(AL15)</f>
        <v>200</v>
      </c>
      <c r="AP15" s="54"/>
    </row>
    <row r="16" customFormat="false" ht="61.5" hidden="false" customHeight="true" outlineLevel="0" collapsed="false">
      <c r="A16" s="40" t="s">
        <v>146</v>
      </c>
      <c r="B16" s="43" t="str">
        <f aca="false">IFERROR(INDEX('Сводка заказов'!$B$5:$B$24,MATCH($A16,'Сводка заказов'!$A$5:$A$24,0)),"")</f>
        <v>Ningbo Sidana</v>
      </c>
      <c r="C16" s="47" t="n">
        <f aca="false">IFERROR(IF(INDEX('Сводка заказов'!$D$5:$D$24,MATCH($A16,'Сводка заказов'!$A$5:$A$24,0))="","",INDEX('Сводка заказов'!$D$5:$D$24,MATCH($A16,'Сводка заказов'!$A$5:$A$24,0))),"")</f>
        <v>46286</v>
      </c>
      <c r="D16" s="40" t="n">
        <v>14</v>
      </c>
      <c r="E16" s="40"/>
      <c r="F16" s="40" t="s">
        <v>249</v>
      </c>
      <c r="G16" s="53" t="str">
        <f aca="false">'Зацепы скалодромные'!$E$3</f>
        <v>Зацеп скалодромный нейлоновый 103×100 мм</v>
      </c>
      <c r="H16" s="54" t="s">
        <v>250</v>
      </c>
      <c r="I16" s="54" t="s">
        <v>253</v>
      </c>
      <c r="J16" s="50" t="n">
        <v>200</v>
      </c>
      <c r="K16" s="40" t="s">
        <v>96</v>
      </c>
      <c r="L16" s="45" t="n">
        <v>4.5</v>
      </c>
      <c r="M16" s="44" t="n">
        <f aca="false">J16*L16</f>
        <v>900</v>
      </c>
      <c r="N16" s="40" t="s">
        <v>218</v>
      </c>
      <c r="O16" s="8" t="n">
        <f aca="false">IFERROR(VLOOKUP($N16,'ТН ВЭД'!$A$4:$C$40,3,0),0)</f>
        <v>0.05</v>
      </c>
      <c r="P16" s="8" t="n">
        <f aca="false">Справочники!$B$12</f>
        <v>0.16</v>
      </c>
      <c r="Q16" s="44" t="n">
        <f aca="false">ROUND(L16*Справочники!$B$5,2)</f>
        <v>308.25</v>
      </c>
      <c r="R16" s="44" t="n">
        <f aca="false">ROUND(Q16*N(IFERROR(INDEX('Сводка заказов'!$Q$5:$Q$24,MATCH($A16,'Сводка заказов'!$A$5:$A$24,0)),0)),2)</f>
        <v>0</v>
      </c>
      <c r="S16" s="44" t="n">
        <f aca="false">ROUND(Q16*N(IFERROR(INDEX('Сводка заказов'!$R$5:$R$24,MATCH($A16,'Сводка заказов'!$A$5:$A$24,0)),0)),2)</f>
        <v>0</v>
      </c>
      <c r="T16" s="44" t="n">
        <f aca="false">Q16+R16+S16</f>
        <v>308.25</v>
      </c>
      <c r="U16" s="44" t="n">
        <f aca="false">ROUND(T16*O16,2)</f>
        <v>15.41</v>
      </c>
      <c r="V16" s="44" t="n">
        <f aca="false">ROUND((T16+U16)*P16,2)</f>
        <v>51.79</v>
      </c>
      <c r="W16" s="44" t="n">
        <f aca="false">ROUND(Q16*N(IFERROR(INDEX('Сводка заказов'!$S$5:$S$24,MATCH($A16,'Сводка заказов'!$A$5:$A$24,0)),0)),2)</f>
        <v>46.24</v>
      </c>
      <c r="X16" s="7" t="n">
        <f aca="false">ROUND(T16+U16+W16+IF(Справочники!$B$22="Да",0,V16),0)</f>
        <v>370</v>
      </c>
      <c r="Y16" s="7" t="n">
        <f aca="false">X16*J16</f>
        <v>74000</v>
      </c>
      <c r="Z16" s="7" t="n">
        <f aca="false">U16*J16</f>
        <v>3082</v>
      </c>
      <c r="AA16" s="7" t="n">
        <f aca="false">V16*J16</f>
        <v>10358</v>
      </c>
      <c r="AB16" s="19" t="str">
        <f aca="false">IF('Зацепы скалодромные'!$AO$3="","",'Зацепы скалодромные'!$AO$3)</f>
        <v/>
      </c>
      <c r="AC16" s="19" t="str">
        <f aca="false">IF('Зацепы скалодромные'!$AR$3="","",'Зацепы скалодромные'!$AR$3)</f>
        <v/>
      </c>
      <c r="AD16" s="19" t="n">
        <f aca="false">IF('Зацепы скалодромные'!$AT$3="","",'Зацепы скалодромные'!$AT$3)</f>
        <v>860</v>
      </c>
      <c r="AE16" s="7" t="n">
        <f aca="false">IF(AD16="","",ROUND(AD16/(1+P16),0))</f>
        <v>741</v>
      </c>
      <c r="AF16" s="7" t="n">
        <f aca="false">IF(AE16="","",AE16-X16)</f>
        <v>371</v>
      </c>
      <c r="AG16" s="8" t="n">
        <f aca="false">IF(OR(AE16="",AE16=0),"",AF16/AE16)</f>
        <v>0.500674763832659</v>
      </c>
      <c r="AH16" s="7" t="n">
        <f aca="false">IF(AE16="",0,AE16*J16)</f>
        <v>148200</v>
      </c>
      <c r="AI16" s="7" t="n">
        <f aca="false">IF(AF16="",0,AF16*J16)</f>
        <v>74200</v>
      </c>
      <c r="AJ16" s="40" t="s">
        <v>151</v>
      </c>
      <c r="AK16" s="47" t="n">
        <f aca="false">IFERROR(IF(INDEX('Сводка заказов'!$V$5:$V$24,MATCH($A16,'Сводка заказов'!$A$5:$A$24,0))="","",INDEX('Сводка заказов'!$V$5:$V$24,MATCH($A16,'Сводка заказов'!$A$5:$A$24,0))),"")</f>
        <v>46323</v>
      </c>
      <c r="AL16" s="50"/>
      <c r="AM16" s="42"/>
      <c r="AN16" s="55" t="str">
        <f aca="false">IF(N(AL16)=0,"Нет",IF(AL16&gt;=J16,"Да","Частично"))</f>
        <v>Нет</v>
      </c>
      <c r="AO16" s="7" t="n">
        <f aca="false">J16-N(AL16)</f>
        <v>200</v>
      </c>
      <c r="AP16" s="54"/>
    </row>
    <row r="17" customFormat="false" ht="61.5" hidden="false" customHeight="true" outlineLevel="0" collapsed="false">
      <c r="A17" s="40" t="s">
        <v>146</v>
      </c>
      <c r="B17" s="43" t="str">
        <f aca="false">IFERROR(INDEX('Сводка заказов'!$B$5:$B$24,MATCH($A17,'Сводка заказов'!$A$5:$A$24,0)),"")</f>
        <v>Ningbo Sidana</v>
      </c>
      <c r="C17" s="47" t="n">
        <f aca="false">IFERROR(IF(INDEX('Сводка заказов'!$D$5:$D$24,MATCH($A17,'Сводка заказов'!$A$5:$A$24,0))="","",INDEX('Сводка заказов'!$D$5:$D$24,MATCH($A17,'Сводка заказов'!$A$5:$A$24,0))),"")</f>
        <v>46286</v>
      </c>
      <c r="D17" s="40" t="n">
        <v>15</v>
      </c>
      <c r="E17" s="40"/>
      <c r="F17" s="40" t="s">
        <v>249</v>
      </c>
      <c r="G17" s="53" t="str">
        <f aca="false">'Зацепы скалодромные'!$E$3</f>
        <v>Зацеп скалодромный нейлоновый 103×100 мм</v>
      </c>
      <c r="H17" s="54" t="s">
        <v>250</v>
      </c>
      <c r="I17" s="54" t="s">
        <v>254</v>
      </c>
      <c r="J17" s="50" t="n">
        <v>200</v>
      </c>
      <c r="K17" s="40" t="s">
        <v>96</v>
      </c>
      <c r="L17" s="45" t="n">
        <v>4.5</v>
      </c>
      <c r="M17" s="44" t="n">
        <f aca="false">J17*L17</f>
        <v>900</v>
      </c>
      <c r="N17" s="40" t="s">
        <v>218</v>
      </c>
      <c r="O17" s="8" t="n">
        <f aca="false">IFERROR(VLOOKUP($N17,'ТН ВЭД'!$A$4:$C$40,3,0),0)</f>
        <v>0.05</v>
      </c>
      <c r="P17" s="8" t="n">
        <f aca="false">Справочники!$B$12</f>
        <v>0.16</v>
      </c>
      <c r="Q17" s="44" t="n">
        <f aca="false">ROUND(L17*Справочники!$B$5,2)</f>
        <v>308.25</v>
      </c>
      <c r="R17" s="44" t="n">
        <f aca="false">ROUND(Q17*N(IFERROR(INDEX('Сводка заказов'!$Q$5:$Q$24,MATCH($A17,'Сводка заказов'!$A$5:$A$24,0)),0)),2)</f>
        <v>0</v>
      </c>
      <c r="S17" s="44" t="n">
        <f aca="false">ROUND(Q17*N(IFERROR(INDEX('Сводка заказов'!$R$5:$R$24,MATCH($A17,'Сводка заказов'!$A$5:$A$24,0)),0)),2)</f>
        <v>0</v>
      </c>
      <c r="T17" s="44" t="n">
        <f aca="false">Q17+R17+S17</f>
        <v>308.25</v>
      </c>
      <c r="U17" s="44" t="n">
        <f aca="false">ROUND(T17*O17,2)</f>
        <v>15.41</v>
      </c>
      <c r="V17" s="44" t="n">
        <f aca="false">ROUND((T17+U17)*P17,2)</f>
        <v>51.79</v>
      </c>
      <c r="W17" s="44" t="n">
        <f aca="false">ROUND(Q17*N(IFERROR(INDEX('Сводка заказов'!$S$5:$S$24,MATCH($A17,'Сводка заказов'!$A$5:$A$24,0)),0)),2)</f>
        <v>46.24</v>
      </c>
      <c r="X17" s="7" t="n">
        <f aca="false">ROUND(T17+U17+W17+IF(Справочники!$B$22="Да",0,V17),0)</f>
        <v>370</v>
      </c>
      <c r="Y17" s="7" t="n">
        <f aca="false">X17*J17</f>
        <v>74000</v>
      </c>
      <c r="Z17" s="7" t="n">
        <f aca="false">U17*J17</f>
        <v>3082</v>
      </c>
      <c r="AA17" s="7" t="n">
        <f aca="false">V17*J17</f>
        <v>10358</v>
      </c>
      <c r="AB17" s="19" t="str">
        <f aca="false">IF('Зацепы скалодромные'!$AO$3="","",'Зацепы скалодромные'!$AO$3)</f>
        <v/>
      </c>
      <c r="AC17" s="19" t="str">
        <f aca="false">IF('Зацепы скалодромные'!$AR$3="","",'Зацепы скалодромные'!$AR$3)</f>
        <v/>
      </c>
      <c r="AD17" s="19" t="n">
        <f aca="false">IF('Зацепы скалодромные'!$AT$3="","",'Зацепы скалодромные'!$AT$3)</f>
        <v>860</v>
      </c>
      <c r="AE17" s="7" t="n">
        <f aca="false">IF(AD17="","",ROUND(AD17/(1+P17),0))</f>
        <v>741</v>
      </c>
      <c r="AF17" s="7" t="n">
        <f aca="false">IF(AE17="","",AE17-X17)</f>
        <v>371</v>
      </c>
      <c r="AG17" s="8" t="n">
        <f aca="false">IF(OR(AE17="",AE17=0),"",AF17/AE17)</f>
        <v>0.500674763832659</v>
      </c>
      <c r="AH17" s="7" t="n">
        <f aca="false">IF(AE17="",0,AE17*J17)</f>
        <v>148200</v>
      </c>
      <c r="AI17" s="7" t="n">
        <f aca="false">IF(AF17="",0,AF17*J17)</f>
        <v>74200</v>
      </c>
      <c r="AJ17" s="40" t="s">
        <v>151</v>
      </c>
      <c r="AK17" s="47" t="n">
        <f aca="false">IFERROR(IF(INDEX('Сводка заказов'!$V$5:$V$24,MATCH($A17,'Сводка заказов'!$A$5:$A$24,0))="","",INDEX('Сводка заказов'!$V$5:$V$24,MATCH($A17,'Сводка заказов'!$A$5:$A$24,0))),"")</f>
        <v>46323</v>
      </c>
      <c r="AL17" s="50"/>
      <c r="AM17" s="42"/>
      <c r="AN17" s="55" t="str">
        <f aca="false">IF(N(AL17)=0,"Нет",IF(AL17&gt;=J17,"Да","Частично"))</f>
        <v>Нет</v>
      </c>
      <c r="AO17" s="7" t="n">
        <f aca="false">J17-N(AL17)</f>
        <v>200</v>
      </c>
      <c r="AP17" s="54"/>
    </row>
    <row r="18" customFormat="false" ht="61.5" hidden="false" customHeight="true" outlineLevel="0" collapsed="false">
      <c r="A18" s="40" t="s">
        <v>146</v>
      </c>
      <c r="B18" s="43" t="str">
        <f aca="false">IFERROR(INDEX('Сводка заказов'!$B$5:$B$24,MATCH($A18,'Сводка заказов'!$A$5:$A$24,0)),"")</f>
        <v>Ningbo Sidana</v>
      </c>
      <c r="C18" s="47" t="n">
        <f aca="false">IFERROR(IF(INDEX('Сводка заказов'!$D$5:$D$24,MATCH($A18,'Сводка заказов'!$A$5:$A$24,0))="","",INDEX('Сводка заказов'!$D$5:$D$24,MATCH($A18,'Сводка заказов'!$A$5:$A$24,0))),"")</f>
        <v>46286</v>
      </c>
      <c r="D18" s="40" t="n">
        <v>16</v>
      </c>
      <c r="E18" s="40"/>
      <c r="F18" s="40" t="s">
        <v>249</v>
      </c>
      <c r="G18" s="53" t="str">
        <f aca="false">'Зацепы скалодромные'!$E$3</f>
        <v>Зацеп скалодромный нейлоновый 103×100 мм</v>
      </c>
      <c r="H18" s="54" t="s">
        <v>250</v>
      </c>
      <c r="I18" s="54" t="s">
        <v>255</v>
      </c>
      <c r="J18" s="50" t="n">
        <v>200</v>
      </c>
      <c r="K18" s="40" t="s">
        <v>96</v>
      </c>
      <c r="L18" s="45" t="n">
        <v>4.5</v>
      </c>
      <c r="M18" s="44" t="n">
        <f aca="false">J18*L18</f>
        <v>900</v>
      </c>
      <c r="N18" s="40" t="s">
        <v>218</v>
      </c>
      <c r="O18" s="8" t="n">
        <f aca="false">IFERROR(VLOOKUP($N18,'ТН ВЭД'!$A$4:$C$40,3,0),0)</f>
        <v>0.05</v>
      </c>
      <c r="P18" s="8" t="n">
        <f aca="false">Справочники!$B$12</f>
        <v>0.16</v>
      </c>
      <c r="Q18" s="44" t="n">
        <f aca="false">ROUND(L18*Справочники!$B$5,2)</f>
        <v>308.25</v>
      </c>
      <c r="R18" s="44" t="n">
        <f aca="false">ROUND(Q18*N(IFERROR(INDEX('Сводка заказов'!$Q$5:$Q$24,MATCH($A18,'Сводка заказов'!$A$5:$A$24,0)),0)),2)</f>
        <v>0</v>
      </c>
      <c r="S18" s="44" t="n">
        <f aca="false">ROUND(Q18*N(IFERROR(INDEX('Сводка заказов'!$R$5:$R$24,MATCH($A18,'Сводка заказов'!$A$5:$A$24,0)),0)),2)</f>
        <v>0</v>
      </c>
      <c r="T18" s="44" t="n">
        <f aca="false">Q18+R18+S18</f>
        <v>308.25</v>
      </c>
      <c r="U18" s="44" t="n">
        <f aca="false">ROUND(T18*O18,2)</f>
        <v>15.41</v>
      </c>
      <c r="V18" s="44" t="n">
        <f aca="false">ROUND((T18+U18)*P18,2)</f>
        <v>51.79</v>
      </c>
      <c r="W18" s="44" t="n">
        <f aca="false">ROUND(Q18*N(IFERROR(INDEX('Сводка заказов'!$S$5:$S$24,MATCH($A18,'Сводка заказов'!$A$5:$A$24,0)),0)),2)</f>
        <v>46.24</v>
      </c>
      <c r="X18" s="7" t="n">
        <f aca="false">ROUND(T18+U18+W18+IF(Справочники!$B$22="Да",0,V18),0)</f>
        <v>370</v>
      </c>
      <c r="Y18" s="7" t="n">
        <f aca="false">X18*J18</f>
        <v>74000</v>
      </c>
      <c r="Z18" s="7" t="n">
        <f aca="false">U18*J18</f>
        <v>3082</v>
      </c>
      <c r="AA18" s="7" t="n">
        <f aca="false">V18*J18</f>
        <v>10358</v>
      </c>
      <c r="AB18" s="19" t="str">
        <f aca="false">IF('Зацепы скалодромные'!$AO$3="","",'Зацепы скалодромные'!$AO$3)</f>
        <v/>
      </c>
      <c r="AC18" s="19" t="str">
        <f aca="false">IF('Зацепы скалодромные'!$AR$3="","",'Зацепы скалодромные'!$AR$3)</f>
        <v/>
      </c>
      <c r="AD18" s="19" t="n">
        <f aca="false">IF('Зацепы скалодромные'!$AT$3="","",'Зацепы скалодромные'!$AT$3)</f>
        <v>860</v>
      </c>
      <c r="AE18" s="7" t="n">
        <f aca="false">IF(AD18="","",ROUND(AD18/(1+P18),0))</f>
        <v>741</v>
      </c>
      <c r="AF18" s="7" t="n">
        <f aca="false">IF(AE18="","",AE18-X18)</f>
        <v>371</v>
      </c>
      <c r="AG18" s="8" t="n">
        <f aca="false">IF(OR(AE18="",AE18=0),"",AF18/AE18)</f>
        <v>0.500674763832659</v>
      </c>
      <c r="AH18" s="7" t="n">
        <f aca="false">IF(AE18="",0,AE18*J18)</f>
        <v>148200</v>
      </c>
      <c r="AI18" s="7" t="n">
        <f aca="false">IF(AF18="",0,AF18*J18)</f>
        <v>74200</v>
      </c>
      <c r="AJ18" s="40" t="s">
        <v>151</v>
      </c>
      <c r="AK18" s="47" t="n">
        <f aca="false">IFERROR(IF(INDEX('Сводка заказов'!$V$5:$V$24,MATCH($A18,'Сводка заказов'!$A$5:$A$24,0))="","",INDEX('Сводка заказов'!$V$5:$V$24,MATCH($A18,'Сводка заказов'!$A$5:$A$24,0))),"")</f>
        <v>46323</v>
      </c>
      <c r="AL18" s="50"/>
      <c r="AM18" s="42"/>
      <c r="AN18" s="55" t="str">
        <f aca="false">IF(N(AL18)=0,"Нет",IF(AL18&gt;=J18,"Да","Частично"))</f>
        <v>Нет</v>
      </c>
      <c r="AO18" s="7" t="n">
        <f aca="false">J18-N(AL18)</f>
        <v>200</v>
      </c>
      <c r="AP18" s="54"/>
    </row>
    <row r="19" customFormat="false" ht="61.5" hidden="false" customHeight="true" outlineLevel="0" collapsed="false">
      <c r="A19" s="40" t="s">
        <v>146</v>
      </c>
      <c r="B19" s="43" t="str">
        <f aca="false">IFERROR(INDEX('Сводка заказов'!$B$5:$B$24,MATCH($A19,'Сводка заказов'!$A$5:$A$24,0)),"")</f>
        <v>Ningbo Sidana</v>
      </c>
      <c r="C19" s="47" t="n">
        <f aca="false">IFERROR(IF(INDEX('Сводка заказов'!$D$5:$D$24,MATCH($A19,'Сводка заказов'!$A$5:$A$24,0))="","",INDEX('Сводка заказов'!$D$5:$D$24,MATCH($A19,'Сводка заказов'!$A$5:$A$24,0))),"")</f>
        <v>46286</v>
      </c>
      <c r="D19" s="40" t="n">
        <v>17</v>
      </c>
      <c r="E19" s="40"/>
      <c r="F19" s="40" t="s">
        <v>256</v>
      </c>
      <c r="G19" s="53" t="str">
        <f aca="false">'Изделия для каната'!$E$3</f>
        <v>Коуш из нержавеющей стали Ø16 мм (60×37,5 мм)</v>
      </c>
      <c r="H19" s="54" t="s">
        <v>257</v>
      </c>
      <c r="I19" s="54" t="s">
        <v>222</v>
      </c>
      <c r="J19" s="50" t="n">
        <v>500</v>
      </c>
      <c r="K19" s="40" t="s">
        <v>96</v>
      </c>
      <c r="L19" s="45" t="n">
        <v>2.15</v>
      </c>
      <c r="M19" s="44" t="n">
        <f aca="false">J19*L19</f>
        <v>1075</v>
      </c>
      <c r="N19" s="40" t="s">
        <v>223</v>
      </c>
      <c r="O19" s="8" t="n">
        <f aca="false">IFERROR(VLOOKUP($N19,'ТН ВЭД'!$A$4:$C$40,3,0),0)</f>
        <v>0.075</v>
      </c>
      <c r="P19" s="8" t="n">
        <f aca="false">Справочники!$B$12</f>
        <v>0.16</v>
      </c>
      <c r="Q19" s="44" t="n">
        <f aca="false">ROUND(L19*Справочники!$B$5,2)</f>
        <v>147.28</v>
      </c>
      <c r="R19" s="44" t="n">
        <f aca="false">ROUND(Q19*N(IFERROR(INDEX('Сводка заказов'!$Q$5:$Q$24,MATCH($A19,'Сводка заказов'!$A$5:$A$24,0)),0)),2)</f>
        <v>0</v>
      </c>
      <c r="S19" s="44" t="n">
        <f aca="false">ROUND(Q19*N(IFERROR(INDEX('Сводка заказов'!$R$5:$R$24,MATCH($A19,'Сводка заказов'!$A$5:$A$24,0)),0)),2)</f>
        <v>0</v>
      </c>
      <c r="T19" s="44" t="n">
        <f aca="false">Q19+R19+S19</f>
        <v>147.28</v>
      </c>
      <c r="U19" s="44" t="n">
        <f aca="false">ROUND(T19*O19,2)</f>
        <v>11.05</v>
      </c>
      <c r="V19" s="44" t="n">
        <f aca="false">ROUND((T19+U19)*P19,2)</f>
        <v>25.33</v>
      </c>
      <c r="W19" s="44" t="n">
        <f aca="false">ROUND(Q19*N(IFERROR(INDEX('Сводка заказов'!$S$5:$S$24,MATCH($A19,'Сводка заказов'!$A$5:$A$24,0)),0)),2)</f>
        <v>22.09</v>
      </c>
      <c r="X19" s="7" t="n">
        <f aca="false">ROUND(T19+U19+W19+IF(Справочники!$B$22="Да",0,V19),0)</f>
        <v>180</v>
      </c>
      <c r="Y19" s="7" t="n">
        <f aca="false">X19*J19</f>
        <v>90000</v>
      </c>
      <c r="Z19" s="7" t="n">
        <f aca="false">U19*J19</f>
        <v>5525</v>
      </c>
      <c r="AA19" s="7" t="n">
        <f aca="false">V19*J19</f>
        <v>12665</v>
      </c>
      <c r="AB19" s="19" t="n">
        <f aca="false">IF('Изделия для каната'!$AO$3="","",'Изделия для каната'!$AO$3)</f>
        <v>225</v>
      </c>
      <c r="AC19" s="19" t="n">
        <f aca="false">IF('Изделия для каната'!$AR$3="","",'Изделия для каната'!$AR$3)</f>
        <v>1383</v>
      </c>
      <c r="AD19" s="19" t="n">
        <f aca="false">IF('Изделия для каната'!$AT$3="","",'Изделия для каната'!$AT$3)</f>
        <v>700</v>
      </c>
      <c r="AE19" s="7" t="n">
        <f aca="false">IF(AD19="","",ROUND(AD19/(1+P19),0))</f>
        <v>603</v>
      </c>
      <c r="AF19" s="7" t="n">
        <f aca="false">IF(AE19="","",AE19-X19)</f>
        <v>423</v>
      </c>
      <c r="AG19" s="8" t="n">
        <f aca="false">IF(OR(AE19="",AE19=0),"",AF19/AE19)</f>
        <v>0.701492537313433</v>
      </c>
      <c r="AH19" s="7" t="n">
        <f aca="false">IF(AE19="",0,AE19*J19)</f>
        <v>301500</v>
      </c>
      <c r="AI19" s="7" t="n">
        <f aca="false">IF(AF19="",0,AF19*J19)</f>
        <v>211500</v>
      </c>
      <c r="AJ19" s="40" t="s">
        <v>151</v>
      </c>
      <c r="AK19" s="47" t="n">
        <f aca="false">IFERROR(IF(INDEX('Сводка заказов'!$V$5:$V$24,MATCH($A19,'Сводка заказов'!$A$5:$A$24,0))="","",INDEX('Сводка заказов'!$V$5:$V$24,MATCH($A19,'Сводка заказов'!$A$5:$A$24,0))),"")</f>
        <v>46323</v>
      </c>
      <c r="AL19" s="50"/>
      <c r="AM19" s="42"/>
      <c r="AN19" s="55" t="str">
        <f aca="false">IF(N(AL19)=0,"Нет",IF(AL19&gt;=J19,"Да","Частично"))</f>
        <v>Нет</v>
      </c>
      <c r="AO19" s="7" t="n">
        <f aca="false">J19-N(AL19)</f>
        <v>500</v>
      </c>
      <c r="AP19" s="54"/>
    </row>
    <row r="20" customFormat="false" ht="61.5" hidden="false" customHeight="true" outlineLevel="0" collapsed="false">
      <c r="A20" s="40" t="s">
        <v>146</v>
      </c>
      <c r="B20" s="43" t="str">
        <f aca="false">IFERROR(INDEX('Сводка заказов'!$B$5:$B$24,MATCH($A20,'Сводка заказов'!$A$5:$A$24,0)),"")</f>
        <v>Ningbo Sidana</v>
      </c>
      <c r="C20" s="47" t="n">
        <f aca="false">IFERROR(IF(INDEX('Сводка заказов'!$D$5:$D$24,MATCH($A20,'Сводка заказов'!$A$5:$A$24,0))="","",INDEX('Сводка заказов'!$D$5:$D$24,MATCH($A20,'Сводка заказов'!$A$5:$A$24,0))),"")</f>
        <v>46286</v>
      </c>
      <c r="D20" s="40" t="n">
        <v>18</v>
      </c>
      <c r="E20" s="40"/>
      <c r="F20" s="40" t="s">
        <v>258</v>
      </c>
      <c r="G20" s="53" t="str">
        <f aca="false">КАНАТЫ!$E$5</f>
        <v>Армированный шестипрядный гибкий канат Ø16 мм, выдерживает нагрузку до 2900кг
</v>
      </c>
      <c r="H20" s="54" t="s">
        <v>259</v>
      </c>
      <c r="I20" s="54" t="s">
        <v>260</v>
      </c>
      <c r="J20" s="50" t="n">
        <v>1000</v>
      </c>
      <c r="K20" s="40" t="s">
        <v>261</v>
      </c>
      <c r="L20" s="45" t="n">
        <v>4.8</v>
      </c>
      <c r="M20" s="44" t="n">
        <f aca="false">J20*L20</f>
        <v>4800</v>
      </c>
      <c r="N20" s="40" t="s">
        <v>262</v>
      </c>
      <c r="O20" s="8" t="n">
        <f aca="false">IFERROR(VLOOKUP($N20,'ТН ВЭД'!$A$4:$C$40,3,0),0)</f>
        <v>0.1</v>
      </c>
      <c r="P20" s="8" t="n">
        <f aca="false">Справочники!$B$12</f>
        <v>0.16</v>
      </c>
      <c r="Q20" s="44" t="n">
        <f aca="false">ROUND(L20*Справочники!$B$5,2)</f>
        <v>328.8</v>
      </c>
      <c r="R20" s="44" t="n">
        <f aca="false">ROUND(Q20*N(IFERROR(INDEX('Сводка заказов'!$Q$5:$Q$24,MATCH($A20,'Сводка заказов'!$A$5:$A$24,0)),0)),2)</f>
        <v>0</v>
      </c>
      <c r="S20" s="44" t="n">
        <f aca="false">ROUND(Q20*N(IFERROR(INDEX('Сводка заказов'!$R$5:$R$24,MATCH($A20,'Сводка заказов'!$A$5:$A$24,0)),0)),2)</f>
        <v>0</v>
      </c>
      <c r="T20" s="44" t="n">
        <f aca="false">Q20+R20+S20</f>
        <v>328.8</v>
      </c>
      <c r="U20" s="44" t="n">
        <f aca="false">ROUND(T20*O20,2)</f>
        <v>32.88</v>
      </c>
      <c r="V20" s="44" t="n">
        <f aca="false">ROUND((T20+U20)*P20,2)</f>
        <v>57.87</v>
      </c>
      <c r="W20" s="44" t="n">
        <f aca="false">ROUND(Q20*N(IFERROR(INDEX('Сводка заказов'!$S$5:$S$24,MATCH($A20,'Сводка заказов'!$A$5:$A$24,0)),0)),2)</f>
        <v>49.32</v>
      </c>
      <c r="X20" s="7" t="n">
        <f aca="false">ROUND(T20+U20+W20+IF(Справочники!$B$22="Да",0,V20),0)</f>
        <v>411</v>
      </c>
      <c r="Y20" s="7" t="n">
        <f aca="false">X20*J20</f>
        <v>411000</v>
      </c>
      <c r="Z20" s="7" t="n">
        <f aca="false">U20*J20</f>
        <v>32880</v>
      </c>
      <c r="AA20" s="7" t="n">
        <f aca="false">V20*J20</f>
        <v>57870</v>
      </c>
      <c r="AB20" s="19" t="n">
        <f aca="false">IF(КАНАТЫ!$AO$5="","",КАНАТЫ!$AO$5)</f>
        <v>295</v>
      </c>
      <c r="AC20" s="19" t="n">
        <f aca="false">IF(КАНАТЫ!$AR$5="","",КАНАТЫ!$AR$5)</f>
        <v>1814</v>
      </c>
      <c r="AD20" s="19" t="n">
        <f aca="false">IF(КАНАТЫ!$AT$5="","",КАНАТЫ!$AT$5)</f>
        <v>1669</v>
      </c>
      <c r="AE20" s="7" t="n">
        <f aca="false">IF(AD20="","",ROUND(AD20/(1+P20),0))</f>
        <v>1439</v>
      </c>
      <c r="AF20" s="7" t="n">
        <f aca="false">IF(AE20="","",AE20-X20)</f>
        <v>1028</v>
      </c>
      <c r="AG20" s="8" t="n">
        <f aca="false">IF(OR(AE20="",AE20=0),"",AF20/AE20)</f>
        <v>0.714384989576095</v>
      </c>
      <c r="AH20" s="7" t="n">
        <f aca="false">IF(AE20="",0,AE20*J20)</f>
        <v>1439000</v>
      </c>
      <c r="AI20" s="7" t="n">
        <f aca="false">IF(AF20="",0,AF20*J20)</f>
        <v>1028000</v>
      </c>
      <c r="AJ20" s="40" t="s">
        <v>151</v>
      </c>
      <c r="AK20" s="47" t="n">
        <f aca="false">IFERROR(IF(INDEX('Сводка заказов'!$V$5:$V$24,MATCH($A20,'Сводка заказов'!$A$5:$A$24,0))="","",INDEX('Сводка заказов'!$V$5:$V$24,MATCH($A20,'Сводка заказов'!$A$5:$A$24,0))),"")</f>
        <v>46323</v>
      </c>
      <c r="AL20" s="50"/>
      <c r="AM20" s="42"/>
      <c r="AN20" s="55" t="str">
        <f aca="false">IF(N(AL20)=0,"Нет",IF(AL20&gt;=J20,"Да","Частично"))</f>
        <v>Нет</v>
      </c>
      <c r="AO20" s="7" t="n">
        <f aca="false">J20-N(AL20)</f>
        <v>1000</v>
      </c>
      <c r="AP20" s="54" t="s">
        <v>263</v>
      </c>
    </row>
    <row r="21" customFormat="false" ht="61.5" hidden="false" customHeight="true" outlineLevel="0" collapsed="false">
      <c r="A21" s="40" t="s">
        <v>153</v>
      </c>
      <c r="B21" s="43" t="str">
        <f aca="false">IFERROR(INDEX('Сводка заказов'!$B$5:$B$24,MATCH($A21,'Сводка заказов'!$A$5:$A$24,0)),"")</f>
        <v>Ningbo Sidana</v>
      </c>
      <c r="C21" s="47" t="n">
        <f aca="false">IFERROR(IF(INDEX('Сводка заказов'!$D$5:$D$24,MATCH($A21,'Сводка заказов'!$A$5:$A$24,0))="","",INDEX('Сводка заказов'!$D$5:$D$24,MATCH($A21,'Сводка заказов'!$A$5:$A$24,0))),"")</f>
        <v>46309</v>
      </c>
      <c r="D21" s="40" t="n">
        <v>1</v>
      </c>
      <c r="E21" s="40"/>
      <c r="F21" s="40" t="s">
        <v>258</v>
      </c>
      <c r="G21" s="53" t="str">
        <f aca="false">КАНАТЫ!$E$5</f>
        <v>Армированный шестипрядный гибкий канат Ø16 мм, выдерживает нагрузку до 2900кг
</v>
      </c>
      <c r="H21" s="54" t="s">
        <v>264</v>
      </c>
      <c r="I21" s="54" t="s">
        <v>265</v>
      </c>
      <c r="J21" s="50" t="n">
        <v>5000</v>
      </c>
      <c r="K21" s="40" t="s">
        <v>261</v>
      </c>
      <c r="L21" s="45" t="n">
        <v>4.1</v>
      </c>
      <c r="M21" s="44" t="n">
        <f aca="false">J21*L21</f>
        <v>20500</v>
      </c>
      <c r="N21" s="40" t="s">
        <v>262</v>
      </c>
      <c r="O21" s="8" t="n">
        <f aca="false">IFERROR(VLOOKUP($N21,'ТН ВЭД'!$A$4:$C$40,3,0),0)</f>
        <v>0.1</v>
      </c>
      <c r="P21" s="8" t="n">
        <f aca="false">Справочники!$B$12</f>
        <v>0.16</v>
      </c>
      <c r="Q21" s="44" t="n">
        <f aca="false">ROUND(L21*Справочники!$B$5,2)</f>
        <v>280.85</v>
      </c>
      <c r="R21" s="44" t="n">
        <f aca="false">ROUND(Q21*N(IFERROR(INDEX('Сводка заказов'!$Q$5:$Q$24,MATCH($A21,'Сводка заказов'!$A$5:$A$24,0)),0)),2)</f>
        <v>0</v>
      </c>
      <c r="S21" s="44" t="n">
        <f aca="false">ROUND(Q21*N(IFERROR(INDEX('Сводка заказов'!$R$5:$R$24,MATCH($A21,'Сводка заказов'!$A$5:$A$24,0)),0)),2)</f>
        <v>0</v>
      </c>
      <c r="T21" s="44" t="n">
        <f aca="false">Q21+R21+S21</f>
        <v>280.85</v>
      </c>
      <c r="U21" s="44" t="n">
        <f aca="false">ROUND(T21*O21,2)</f>
        <v>28.09</v>
      </c>
      <c r="V21" s="44" t="n">
        <f aca="false">ROUND((T21+U21)*P21,2)</f>
        <v>49.43</v>
      </c>
      <c r="W21" s="44" t="n">
        <f aca="false">ROUND(Q21*N(IFERROR(INDEX('Сводка заказов'!$S$5:$S$24,MATCH($A21,'Сводка заказов'!$A$5:$A$24,0)),0)),2)</f>
        <v>42.13</v>
      </c>
      <c r="X21" s="7" t="n">
        <f aca="false">ROUND(T21+U21+W21+IF(Справочники!$B$22="Да",0,V21),0)</f>
        <v>351</v>
      </c>
      <c r="Y21" s="7" t="n">
        <f aca="false">X21*J21</f>
        <v>1755000</v>
      </c>
      <c r="Z21" s="7" t="n">
        <f aca="false">U21*J21</f>
        <v>140450</v>
      </c>
      <c r="AA21" s="7" t="n">
        <f aca="false">V21*J21</f>
        <v>247150</v>
      </c>
      <c r="AB21" s="19" t="n">
        <f aca="false">IF(КАНАТЫ!$AO$5="","",КАНАТЫ!$AO$5)</f>
        <v>295</v>
      </c>
      <c r="AC21" s="19" t="n">
        <f aca="false">IF(КАНАТЫ!$AR$5="","",КАНАТЫ!$AR$5)</f>
        <v>1814</v>
      </c>
      <c r="AD21" s="19" t="n">
        <f aca="false">IF(КАНАТЫ!$AT$5="","",КАНАТЫ!$AT$5)</f>
        <v>1669</v>
      </c>
      <c r="AE21" s="7" t="n">
        <f aca="false">IF(AD21="","",ROUND(AD21/(1+P21),0))</f>
        <v>1439</v>
      </c>
      <c r="AF21" s="7" t="n">
        <f aca="false">IF(AE21="","",AE21-X21)</f>
        <v>1088</v>
      </c>
      <c r="AG21" s="8" t="n">
        <f aca="false">IF(OR(AE21="",AE21=0),"",AF21/AE21)</f>
        <v>0.756080611535789</v>
      </c>
      <c r="AH21" s="7" t="n">
        <f aca="false">IF(AE21="",0,AE21*J21)</f>
        <v>7195000</v>
      </c>
      <c r="AI21" s="7" t="n">
        <f aca="false">IF(AF21="",0,AF21*J21)</f>
        <v>5440000</v>
      </c>
      <c r="AJ21" s="40" t="s">
        <v>151</v>
      </c>
      <c r="AK21" s="47" t="n">
        <f aca="false">IFERROR(IF(INDEX('Сводка заказов'!$V$5:$V$24,MATCH($A21,'Сводка заказов'!$A$5:$A$24,0))="","",INDEX('Сводка заказов'!$V$5:$V$24,MATCH($A21,'Сводка заказов'!$A$5:$A$24,0))),"")</f>
        <v>46346</v>
      </c>
      <c r="AL21" s="50"/>
      <c r="AM21" s="42"/>
      <c r="AN21" s="55" t="str">
        <f aca="false">IF(N(AL21)=0,"Нет",IF(AL21&gt;=J21,"Да","Частично"))</f>
        <v>Нет</v>
      </c>
      <c r="AO21" s="7" t="n">
        <f aca="false">J21-N(AL21)</f>
        <v>5000</v>
      </c>
      <c r="AP21" s="54" t="s">
        <v>266</v>
      </c>
    </row>
    <row r="22" customFormat="false" ht="61.5" hidden="false" customHeight="true" outlineLevel="0" collapsed="false">
      <c r="A22" s="40" t="s">
        <v>153</v>
      </c>
      <c r="B22" s="43" t="str">
        <f aca="false">IFERROR(INDEX('Сводка заказов'!$B$5:$B$24,MATCH($A22,'Сводка заказов'!$A$5:$A$24,0)),"")</f>
        <v>Ningbo Sidana</v>
      </c>
      <c r="C22" s="47" t="n">
        <f aca="false">IFERROR(IF(INDEX('Сводка заказов'!$D$5:$D$24,MATCH($A22,'Сводка заказов'!$A$5:$A$24,0))="","",INDEX('Сводка заказов'!$D$5:$D$24,MATCH($A22,'Сводка заказов'!$A$5:$A$24,0))),"")</f>
        <v>46309</v>
      </c>
      <c r="D22" s="40" t="n">
        <v>2</v>
      </c>
      <c r="E22" s="40"/>
      <c r="F22" s="40" t="s">
        <v>267</v>
      </c>
      <c r="G22" s="53" t="str">
        <f aca="false">КАНАТЫ!$E$4</f>
        <v>Армированный мягкий нейлоновый четырёхпрядный канат диаметром 16 мм
</v>
      </c>
      <c r="H22" s="54" t="s">
        <v>268</v>
      </c>
      <c r="I22" s="54" t="s">
        <v>265</v>
      </c>
      <c r="J22" s="50" t="n">
        <v>2000</v>
      </c>
      <c r="K22" s="40" t="s">
        <v>261</v>
      </c>
      <c r="L22" s="45" t="n">
        <v>6.7</v>
      </c>
      <c r="M22" s="44" t="n">
        <f aca="false">J22*L22</f>
        <v>13400</v>
      </c>
      <c r="N22" s="40" t="s">
        <v>262</v>
      </c>
      <c r="O22" s="8" t="n">
        <f aca="false">IFERROR(VLOOKUP($N22,'ТН ВЭД'!$A$4:$C$40,3,0),0)</f>
        <v>0.1</v>
      </c>
      <c r="P22" s="8" t="n">
        <f aca="false">Справочники!$B$12</f>
        <v>0.16</v>
      </c>
      <c r="Q22" s="44" t="n">
        <f aca="false">ROUND(L22*Справочники!$B$5,2)</f>
        <v>458.95</v>
      </c>
      <c r="R22" s="44" t="n">
        <f aca="false">ROUND(Q22*N(IFERROR(INDEX('Сводка заказов'!$Q$5:$Q$24,MATCH($A22,'Сводка заказов'!$A$5:$A$24,0)),0)),2)</f>
        <v>0</v>
      </c>
      <c r="S22" s="44" t="n">
        <f aca="false">ROUND(Q22*N(IFERROR(INDEX('Сводка заказов'!$R$5:$R$24,MATCH($A22,'Сводка заказов'!$A$5:$A$24,0)),0)),2)</f>
        <v>0</v>
      </c>
      <c r="T22" s="44" t="n">
        <f aca="false">Q22+R22+S22</f>
        <v>458.95</v>
      </c>
      <c r="U22" s="44" t="n">
        <f aca="false">ROUND(T22*O22,2)</f>
        <v>45.9</v>
      </c>
      <c r="V22" s="44" t="n">
        <f aca="false">ROUND((T22+U22)*P22,2)</f>
        <v>80.78</v>
      </c>
      <c r="W22" s="44" t="n">
        <f aca="false">ROUND(Q22*N(IFERROR(INDEX('Сводка заказов'!$S$5:$S$24,MATCH($A22,'Сводка заказов'!$A$5:$A$24,0)),0)),2)</f>
        <v>68.84</v>
      </c>
      <c r="X22" s="7" t="n">
        <f aca="false">ROUND(T22+U22+W22+IF(Справочники!$B$22="Да",0,V22),0)</f>
        <v>574</v>
      </c>
      <c r="Y22" s="7" t="n">
        <f aca="false">X22*J22</f>
        <v>1148000</v>
      </c>
      <c r="Z22" s="7" t="n">
        <f aca="false">U22*J22</f>
        <v>91800</v>
      </c>
      <c r="AA22" s="7" t="n">
        <f aca="false">V22*J22</f>
        <v>161560</v>
      </c>
      <c r="AB22" s="19" t="n">
        <f aca="false">IF(КАНАТЫ!$AO$4="","",КАНАТЫ!$AO$4)</f>
        <v>315</v>
      </c>
      <c r="AC22" s="19" t="n">
        <f aca="false">IF(КАНАТЫ!$AR$4="","",КАНАТЫ!$AR$4)</f>
        <v>1937</v>
      </c>
      <c r="AD22" s="19" t="n">
        <f aca="false">IF(КАНАТЫ!$AT$4="","",КАНАТЫ!$AT$4)</f>
        <v>1782</v>
      </c>
      <c r="AE22" s="7" t="n">
        <f aca="false">IF(AD22="","",ROUND(AD22/(1+P22),0))</f>
        <v>1536</v>
      </c>
      <c r="AF22" s="7" t="n">
        <f aca="false">IF(AE22="","",AE22-X22)</f>
        <v>962</v>
      </c>
      <c r="AG22" s="8" t="n">
        <f aca="false">IF(OR(AE22="",AE22=0),"",AF22/AE22)</f>
        <v>0.626302083333333</v>
      </c>
      <c r="AH22" s="7" t="n">
        <f aca="false">IF(AE22="",0,AE22*J22)</f>
        <v>3072000</v>
      </c>
      <c r="AI22" s="7" t="n">
        <f aca="false">IF(AF22="",0,AF22*J22)</f>
        <v>1924000</v>
      </c>
      <c r="AJ22" s="40" t="s">
        <v>151</v>
      </c>
      <c r="AK22" s="47" t="n">
        <f aca="false">IFERROR(IF(INDEX('Сводка заказов'!$V$5:$V$24,MATCH($A22,'Сводка заказов'!$A$5:$A$24,0))="","",INDEX('Сводка заказов'!$V$5:$V$24,MATCH($A22,'Сводка заказов'!$A$5:$A$24,0))),"")</f>
        <v>46346</v>
      </c>
      <c r="AL22" s="50"/>
      <c r="AM22" s="42"/>
      <c r="AN22" s="55" t="str">
        <f aca="false">IF(N(AL22)=0,"Нет",IF(AL22&gt;=J22,"Да","Частично"))</f>
        <v>Нет</v>
      </c>
      <c r="AO22" s="7" t="n">
        <f aca="false">J22-N(AL22)</f>
        <v>2000</v>
      </c>
      <c r="AP22" s="54" t="s">
        <v>266</v>
      </c>
    </row>
    <row r="23" customFormat="false" ht="61.5" hidden="false" customHeight="true" outlineLevel="0" collapsed="false">
      <c r="A23" s="40" t="s">
        <v>153</v>
      </c>
      <c r="B23" s="43" t="str">
        <f aca="false">IFERROR(INDEX('Сводка заказов'!$B$5:$B$24,MATCH($A23,'Сводка заказов'!$A$5:$A$24,0)),"")</f>
        <v>Ningbo Sidana</v>
      </c>
      <c r="C23" s="47" t="n">
        <f aca="false">IFERROR(IF(INDEX('Сводка заказов'!$D$5:$D$24,MATCH($A23,'Сводка заказов'!$A$5:$A$24,0))="","",INDEX('Сводка заказов'!$D$5:$D$24,MATCH($A23,'Сводка заказов'!$A$5:$A$24,0))),"")</f>
        <v>46309</v>
      </c>
      <c r="D23" s="40" t="n">
        <v>3</v>
      </c>
      <c r="E23" s="40"/>
      <c r="F23" s="40" t="s">
        <v>269</v>
      </c>
      <c r="G23" s="53" t="str">
        <f aca="false">'ГИЛЬЗЫ И ВТУЛКИ'!$E$5</f>
        <v>Овальная алюминиевая обжимная гильза 43х31х27  мм для каната Ø16 мм</v>
      </c>
      <c r="H23" s="54" t="s">
        <v>270</v>
      </c>
      <c r="I23" s="54" t="s">
        <v>222</v>
      </c>
      <c r="J23" s="50" t="n">
        <v>1000</v>
      </c>
      <c r="K23" s="40" t="s">
        <v>96</v>
      </c>
      <c r="L23" s="45" t="n">
        <v>1.6</v>
      </c>
      <c r="M23" s="44" t="n">
        <f aca="false">J23*L23</f>
        <v>1600</v>
      </c>
      <c r="N23" s="40" t="s">
        <v>226</v>
      </c>
      <c r="O23" s="8" t="n">
        <f aca="false">IFERROR(VLOOKUP($N23,'ТН ВЭД'!$A$4:$C$40,3,0),0)</f>
        <v>0.09</v>
      </c>
      <c r="P23" s="8" t="n">
        <f aca="false">Справочники!$B$12</f>
        <v>0.16</v>
      </c>
      <c r="Q23" s="44" t="n">
        <f aca="false">ROUND(L23*Справочники!$B$5,2)</f>
        <v>109.6</v>
      </c>
      <c r="R23" s="44" t="n">
        <f aca="false">ROUND(Q23*N(IFERROR(INDEX('Сводка заказов'!$Q$5:$Q$24,MATCH($A23,'Сводка заказов'!$A$5:$A$24,0)),0)),2)</f>
        <v>0</v>
      </c>
      <c r="S23" s="44" t="n">
        <f aca="false">ROUND(Q23*N(IFERROR(INDEX('Сводка заказов'!$R$5:$R$24,MATCH($A23,'Сводка заказов'!$A$5:$A$24,0)),0)),2)</f>
        <v>0</v>
      </c>
      <c r="T23" s="44" t="n">
        <f aca="false">Q23+R23+S23</f>
        <v>109.6</v>
      </c>
      <c r="U23" s="44" t="n">
        <f aca="false">ROUND(T23*O23,2)</f>
        <v>9.86</v>
      </c>
      <c r="V23" s="44" t="n">
        <f aca="false">ROUND((T23+U23)*P23,2)</f>
        <v>19.11</v>
      </c>
      <c r="W23" s="44" t="n">
        <f aca="false">ROUND(Q23*N(IFERROR(INDEX('Сводка заказов'!$S$5:$S$24,MATCH($A23,'Сводка заказов'!$A$5:$A$24,0)),0)),2)</f>
        <v>16.44</v>
      </c>
      <c r="X23" s="7" t="n">
        <f aca="false">ROUND(T23+U23+W23+IF(Справочники!$B$22="Да",0,V23),0)</f>
        <v>136</v>
      </c>
      <c r="Y23" s="7" t="n">
        <f aca="false">X23*J23</f>
        <v>136000</v>
      </c>
      <c r="Z23" s="7" t="n">
        <f aca="false">U23*J23</f>
        <v>9860</v>
      </c>
      <c r="AA23" s="7" t="n">
        <f aca="false">V23*J23</f>
        <v>19110</v>
      </c>
      <c r="AB23" s="19" t="str">
        <f aca="false">IF('ГИЛЬЗЫ И ВТУЛКИ'!$AO$5="","",'ГИЛЬЗЫ И ВТУЛКИ'!$AO$5)</f>
        <v/>
      </c>
      <c r="AC23" s="19" t="str">
        <f aca="false">IF('ГИЛЬЗЫ И ВТУЛКИ'!$AR$5="","",'ГИЛЬЗЫ И ВТУЛКИ'!$AR$5)</f>
        <v/>
      </c>
      <c r="AD23" s="19" t="n">
        <f aca="false">IF('ГИЛЬЗЫ И ВТУЛКИ'!$AT$5="","",'ГИЛЬЗЫ И ВТУЛКИ'!$AT$5)</f>
        <v>320</v>
      </c>
      <c r="AE23" s="7" t="n">
        <f aca="false">IF(AD23="","",ROUND(AD23/(1+P23),0))</f>
        <v>276</v>
      </c>
      <c r="AF23" s="7" t="n">
        <f aca="false">IF(AE23="","",AE23-X23)</f>
        <v>140</v>
      </c>
      <c r="AG23" s="8" t="n">
        <f aca="false">IF(OR(AE23="",AE23=0),"",AF23/AE23)</f>
        <v>0.507246376811594</v>
      </c>
      <c r="AH23" s="7" t="n">
        <f aca="false">IF(AE23="",0,AE23*J23)</f>
        <v>276000</v>
      </c>
      <c r="AI23" s="7" t="n">
        <f aca="false">IF(AF23="",0,AF23*J23)</f>
        <v>140000</v>
      </c>
      <c r="AJ23" s="40" t="s">
        <v>151</v>
      </c>
      <c r="AK23" s="47" t="n">
        <f aca="false">IFERROR(IF(INDEX('Сводка заказов'!$V$5:$V$24,MATCH($A23,'Сводка заказов'!$A$5:$A$24,0))="","",INDEX('Сводка заказов'!$V$5:$V$24,MATCH($A23,'Сводка заказов'!$A$5:$A$24,0))),"")</f>
        <v>46346</v>
      </c>
      <c r="AL23" s="50"/>
      <c r="AM23" s="42"/>
      <c r="AN23" s="55" t="str">
        <f aca="false">IF(N(AL23)=0,"Нет",IF(AL23&gt;=J23,"Да","Частично"))</f>
        <v>Нет</v>
      </c>
      <c r="AO23" s="7" t="n">
        <f aca="false">J23-N(AL23)</f>
        <v>1000</v>
      </c>
      <c r="AP23" s="54"/>
    </row>
    <row r="24" customFormat="false" ht="61.5" hidden="false" customHeight="true" outlineLevel="0" collapsed="false">
      <c r="A24" s="40" t="s">
        <v>153</v>
      </c>
      <c r="B24" s="43" t="str">
        <f aca="false">IFERROR(INDEX('Сводка заказов'!$B$5:$B$24,MATCH($A24,'Сводка заказов'!$A$5:$A$24,0)),"")</f>
        <v>Ningbo Sidana</v>
      </c>
      <c r="C24" s="47" t="n">
        <f aca="false">IFERROR(IF(INDEX('Сводка заказов'!$D$5:$D$24,MATCH($A24,'Сводка заказов'!$A$5:$A$24,0))="","",INDEX('Сводка заказов'!$D$5:$D$24,MATCH($A24,'Сводка заказов'!$A$5:$A$24,0))),"")</f>
        <v>46309</v>
      </c>
      <c r="D24" s="40" t="n">
        <v>4</v>
      </c>
      <c r="E24" s="40"/>
      <c r="F24" s="40" t="s">
        <v>271</v>
      </c>
      <c r="G24" s="53" t="str">
        <f aca="false">'ГИЛЬЗЫ И ВТУЛКИ'!$E$12</f>
        <v>Алюминиевый крестообразный соединитель 54 мм для каната Ø16 мм</v>
      </c>
      <c r="H24" s="54" t="s">
        <v>272</v>
      </c>
      <c r="I24" s="54" t="s">
        <v>222</v>
      </c>
      <c r="J24" s="50" t="n">
        <v>500</v>
      </c>
      <c r="K24" s="40" t="s">
        <v>96</v>
      </c>
      <c r="L24" s="45" t="n">
        <v>5</v>
      </c>
      <c r="M24" s="44" t="n">
        <f aca="false">J24*L24</f>
        <v>2500</v>
      </c>
      <c r="N24" s="40" t="s">
        <v>226</v>
      </c>
      <c r="O24" s="8" t="n">
        <f aca="false">IFERROR(VLOOKUP($N24,'ТН ВЭД'!$A$4:$C$40,3,0),0)</f>
        <v>0.09</v>
      </c>
      <c r="P24" s="8" t="n">
        <f aca="false">Справочники!$B$12</f>
        <v>0.16</v>
      </c>
      <c r="Q24" s="44" t="n">
        <f aca="false">ROUND(L24*Справочники!$B$5,2)</f>
        <v>342.5</v>
      </c>
      <c r="R24" s="44" t="n">
        <f aca="false">ROUND(Q24*N(IFERROR(INDEX('Сводка заказов'!$Q$5:$Q$24,MATCH($A24,'Сводка заказов'!$A$5:$A$24,0)),0)),2)</f>
        <v>0</v>
      </c>
      <c r="S24" s="44" t="n">
        <f aca="false">ROUND(Q24*N(IFERROR(INDEX('Сводка заказов'!$R$5:$R$24,MATCH($A24,'Сводка заказов'!$A$5:$A$24,0)),0)),2)</f>
        <v>0</v>
      </c>
      <c r="T24" s="44" t="n">
        <f aca="false">Q24+R24+S24</f>
        <v>342.5</v>
      </c>
      <c r="U24" s="44" t="n">
        <f aca="false">ROUND(T24*O24,2)</f>
        <v>30.83</v>
      </c>
      <c r="V24" s="44" t="n">
        <f aca="false">ROUND((T24+U24)*P24,2)</f>
        <v>59.73</v>
      </c>
      <c r="W24" s="44" t="n">
        <f aca="false">ROUND(Q24*N(IFERROR(INDEX('Сводка заказов'!$S$5:$S$24,MATCH($A24,'Сводка заказов'!$A$5:$A$24,0)),0)),2)</f>
        <v>51.38</v>
      </c>
      <c r="X24" s="7" t="n">
        <f aca="false">ROUND(T24+U24+W24+IF(Справочники!$B$22="Да",0,V24),0)</f>
        <v>425</v>
      </c>
      <c r="Y24" s="7" t="n">
        <f aca="false">X24*J24</f>
        <v>212500</v>
      </c>
      <c r="Z24" s="7" t="n">
        <f aca="false">U24*J24</f>
        <v>15415</v>
      </c>
      <c r="AA24" s="7" t="n">
        <f aca="false">V24*J24</f>
        <v>29865</v>
      </c>
      <c r="AB24" s="19" t="n">
        <f aca="false">IF('ГИЛЬЗЫ И ВТУЛКИ'!$AO$12="","",'ГИЛЬЗЫ И ВТУЛКИ'!$AO$12)</f>
        <v>485</v>
      </c>
      <c r="AC24" s="19" t="n">
        <f aca="false">IF('ГИЛЬЗЫ И ВТУЛКИ'!$AR$12="","",'ГИЛЬЗЫ И ВТУЛКИ'!$AR$12)</f>
        <v>2982</v>
      </c>
      <c r="AD24" s="19" t="n">
        <f aca="false">IF('ГИЛЬЗЫ И ВТУЛКИ'!$AT$12="","",'ГИЛЬЗЫ И ВТУЛКИ'!$AT$12)</f>
        <v>2000</v>
      </c>
      <c r="AE24" s="7" t="n">
        <f aca="false">IF(AD24="","",ROUND(AD24/(1+P24),0))</f>
        <v>1724</v>
      </c>
      <c r="AF24" s="7" t="n">
        <f aca="false">IF(AE24="","",AE24-X24)</f>
        <v>1299</v>
      </c>
      <c r="AG24" s="8" t="n">
        <f aca="false">IF(OR(AE24="",AE24=0),"",AF24/AE24)</f>
        <v>0.753480278422274</v>
      </c>
      <c r="AH24" s="7" t="n">
        <f aca="false">IF(AE24="",0,AE24*J24)</f>
        <v>862000</v>
      </c>
      <c r="AI24" s="7" t="n">
        <f aca="false">IF(AF24="",0,AF24*J24)</f>
        <v>649500</v>
      </c>
      <c r="AJ24" s="40" t="s">
        <v>151</v>
      </c>
      <c r="AK24" s="47" t="n">
        <f aca="false">IFERROR(IF(INDEX('Сводка заказов'!$V$5:$V$24,MATCH($A24,'Сводка заказов'!$A$5:$A$24,0))="","",INDEX('Сводка заказов'!$V$5:$V$24,MATCH($A24,'Сводка заказов'!$A$5:$A$24,0))),"")</f>
        <v>46346</v>
      </c>
      <c r="AL24" s="50"/>
      <c r="AM24" s="42"/>
      <c r="AN24" s="55" t="str">
        <f aca="false">IF(N(AL24)=0,"Нет",IF(AL24&gt;=J24,"Да","Частично"))</f>
        <v>Нет</v>
      </c>
      <c r="AO24" s="7" t="n">
        <f aca="false">J24-N(AL24)</f>
        <v>500</v>
      </c>
      <c r="AP24" s="54"/>
    </row>
    <row r="25" customFormat="false" ht="61.5" hidden="false" customHeight="true" outlineLevel="0" collapsed="false">
      <c r="A25" s="40" t="s">
        <v>153</v>
      </c>
      <c r="B25" s="43" t="str">
        <f aca="false">IFERROR(INDEX('Сводка заказов'!$B$5:$B$24,MATCH($A25,'Сводка заказов'!$A$5:$A$24,0)),"")</f>
        <v>Ningbo Sidana</v>
      </c>
      <c r="C25" s="47" t="n">
        <f aca="false">IFERROR(IF(INDEX('Сводка заказов'!$D$5:$D$24,MATCH($A25,'Сводка заказов'!$A$5:$A$24,0))="","",INDEX('Сводка заказов'!$D$5:$D$24,MATCH($A25,'Сводка заказов'!$A$5:$A$24,0))),"")</f>
        <v>46309</v>
      </c>
      <c r="D25" s="40" t="n">
        <v>5</v>
      </c>
      <c r="E25" s="40"/>
      <c r="F25" s="40" t="s">
        <v>273</v>
      </c>
      <c r="G25" s="53" t="str">
        <f aca="false">'ГИЛЬЗЫ И ВТУЛКИ'!$E$13</f>
        <v>Алюминиевый Т-образный соединитель для каната Ø16 мм</v>
      </c>
      <c r="H25" s="54" t="s">
        <v>274</v>
      </c>
      <c r="I25" s="54" t="s">
        <v>222</v>
      </c>
      <c r="J25" s="50" t="n">
        <v>1000</v>
      </c>
      <c r="K25" s="40" t="s">
        <v>96</v>
      </c>
      <c r="L25" s="45" t="n">
        <v>4.5</v>
      </c>
      <c r="M25" s="44" t="n">
        <f aca="false">J25*L25</f>
        <v>4500</v>
      </c>
      <c r="N25" s="40" t="s">
        <v>226</v>
      </c>
      <c r="O25" s="8" t="n">
        <f aca="false">IFERROR(VLOOKUP($N25,'ТН ВЭД'!$A$4:$C$40,3,0),0)</f>
        <v>0.09</v>
      </c>
      <c r="P25" s="8" t="n">
        <f aca="false">Справочники!$B$12</f>
        <v>0.16</v>
      </c>
      <c r="Q25" s="44" t="n">
        <f aca="false">ROUND(L25*Справочники!$B$5,2)</f>
        <v>308.25</v>
      </c>
      <c r="R25" s="44" t="n">
        <f aca="false">ROUND(Q25*N(IFERROR(INDEX('Сводка заказов'!$Q$5:$Q$24,MATCH($A25,'Сводка заказов'!$A$5:$A$24,0)),0)),2)</f>
        <v>0</v>
      </c>
      <c r="S25" s="44" t="n">
        <f aca="false">ROUND(Q25*N(IFERROR(INDEX('Сводка заказов'!$R$5:$R$24,MATCH($A25,'Сводка заказов'!$A$5:$A$24,0)),0)),2)</f>
        <v>0</v>
      </c>
      <c r="T25" s="44" t="n">
        <f aca="false">Q25+R25+S25</f>
        <v>308.25</v>
      </c>
      <c r="U25" s="44" t="n">
        <f aca="false">ROUND(T25*O25,2)</f>
        <v>27.74</v>
      </c>
      <c r="V25" s="44" t="n">
        <f aca="false">ROUND((T25+U25)*P25,2)</f>
        <v>53.76</v>
      </c>
      <c r="W25" s="44" t="n">
        <f aca="false">ROUND(Q25*N(IFERROR(INDEX('Сводка заказов'!$S$5:$S$24,MATCH($A25,'Сводка заказов'!$A$5:$A$24,0)),0)),2)</f>
        <v>46.24</v>
      </c>
      <c r="X25" s="7" t="n">
        <f aca="false">ROUND(T25+U25+W25+IF(Справочники!$B$22="Да",0,V25),0)</f>
        <v>382</v>
      </c>
      <c r="Y25" s="7" t="n">
        <f aca="false">X25*J25</f>
        <v>382000</v>
      </c>
      <c r="Z25" s="7" t="n">
        <f aca="false">U25*J25</f>
        <v>27740</v>
      </c>
      <c r="AA25" s="7" t="n">
        <f aca="false">V25*J25</f>
        <v>53760</v>
      </c>
      <c r="AB25" s="19" t="n">
        <f aca="false">IF('ГИЛЬЗЫ И ВТУЛКИ'!$AO$13="","",'ГИЛЬЗЫ И ВТУЛКИ'!$AO$13)</f>
        <v>535</v>
      </c>
      <c r="AC25" s="19" t="n">
        <f aca="false">IF('ГИЛЬЗЫ И ВТУЛКИ'!$AR$13="","",'ГИЛЬЗЫ И ВТУЛКИ'!$AR$13)</f>
        <v>3289</v>
      </c>
      <c r="AD25" s="19" t="n">
        <f aca="false">IF('ГИЛЬЗЫ И ВТУЛКИ'!$AT$13="","",'ГИЛЬЗЫ И ВТУЛКИ'!$AT$13)</f>
        <v>1600</v>
      </c>
      <c r="AE25" s="7" t="n">
        <f aca="false">IF(AD25="","",ROUND(AD25/(1+P25),0))</f>
        <v>1379</v>
      </c>
      <c r="AF25" s="7" t="n">
        <f aca="false">IF(AE25="","",AE25-X25)</f>
        <v>997</v>
      </c>
      <c r="AG25" s="8" t="n">
        <f aca="false">IF(OR(AE25="",AE25=0),"",AF25/AE25)</f>
        <v>0.722987672226251</v>
      </c>
      <c r="AH25" s="7" t="n">
        <f aca="false">IF(AE25="",0,AE25*J25)</f>
        <v>1379000</v>
      </c>
      <c r="AI25" s="7" t="n">
        <f aca="false">IF(AF25="",0,AF25*J25)</f>
        <v>997000</v>
      </c>
      <c r="AJ25" s="40" t="s">
        <v>151</v>
      </c>
      <c r="AK25" s="47" t="n">
        <f aca="false">IFERROR(IF(INDEX('Сводка заказов'!$V$5:$V$24,MATCH($A25,'Сводка заказов'!$A$5:$A$24,0))="","",INDEX('Сводка заказов'!$V$5:$V$24,MATCH($A25,'Сводка заказов'!$A$5:$A$24,0))),"")</f>
        <v>46346</v>
      </c>
      <c r="AL25" s="50"/>
      <c r="AM25" s="42"/>
      <c r="AN25" s="55" t="str">
        <f aca="false">IF(N(AL25)=0,"Нет",IF(AL25&gt;=J25,"Да","Частично"))</f>
        <v>Нет</v>
      </c>
      <c r="AO25" s="7" t="n">
        <f aca="false">J25-N(AL25)</f>
        <v>1000</v>
      </c>
      <c r="AP25" s="54"/>
    </row>
    <row r="26" customFormat="false" ht="61.5" hidden="false" customHeight="true" outlineLevel="0" collapsed="false">
      <c r="A26" s="40" t="s">
        <v>153</v>
      </c>
      <c r="B26" s="43" t="str">
        <f aca="false">IFERROR(INDEX('Сводка заказов'!$B$5:$B$24,MATCH($A26,'Сводка заказов'!$A$5:$A$24,0)),"")</f>
        <v>Ningbo Sidana</v>
      </c>
      <c r="C26" s="47" t="n">
        <f aca="false">IFERROR(IF(INDEX('Сводка заказов'!$D$5:$D$24,MATCH($A26,'Сводка заказов'!$A$5:$A$24,0))="","",INDEX('Сводка заказов'!$D$5:$D$24,MATCH($A26,'Сводка заказов'!$A$5:$A$24,0))),"")</f>
        <v>46309</v>
      </c>
      <c r="D26" s="40" t="n">
        <v>6</v>
      </c>
      <c r="E26" s="40"/>
      <c r="F26" s="40" t="s">
        <v>256</v>
      </c>
      <c r="G26" s="53" t="str">
        <f aca="false">'Изделия для каната'!$E$3</f>
        <v>Коуш из нержавеющей стали Ø16 мм (60×37,5 мм)</v>
      </c>
      <c r="H26" s="54" t="s">
        <v>275</v>
      </c>
      <c r="I26" s="54" t="s">
        <v>222</v>
      </c>
      <c r="J26" s="50" t="n">
        <v>1500</v>
      </c>
      <c r="K26" s="40" t="s">
        <v>96</v>
      </c>
      <c r="L26" s="45" t="n">
        <v>2.15</v>
      </c>
      <c r="M26" s="44" t="n">
        <f aca="false">J26*L26</f>
        <v>3225</v>
      </c>
      <c r="N26" s="40" t="s">
        <v>223</v>
      </c>
      <c r="O26" s="8" t="n">
        <f aca="false">IFERROR(VLOOKUP($N26,'ТН ВЭД'!$A$4:$C$40,3,0),0)</f>
        <v>0.075</v>
      </c>
      <c r="P26" s="8" t="n">
        <f aca="false">Справочники!$B$12</f>
        <v>0.16</v>
      </c>
      <c r="Q26" s="44" t="n">
        <f aca="false">ROUND(L26*Справочники!$B$5,2)</f>
        <v>147.28</v>
      </c>
      <c r="R26" s="44" t="n">
        <f aca="false">ROUND(Q26*N(IFERROR(INDEX('Сводка заказов'!$Q$5:$Q$24,MATCH($A26,'Сводка заказов'!$A$5:$A$24,0)),0)),2)</f>
        <v>0</v>
      </c>
      <c r="S26" s="44" t="n">
        <f aca="false">ROUND(Q26*N(IFERROR(INDEX('Сводка заказов'!$R$5:$R$24,MATCH($A26,'Сводка заказов'!$A$5:$A$24,0)),0)),2)</f>
        <v>0</v>
      </c>
      <c r="T26" s="44" t="n">
        <f aca="false">Q26+R26+S26</f>
        <v>147.28</v>
      </c>
      <c r="U26" s="44" t="n">
        <f aca="false">ROUND(T26*O26,2)</f>
        <v>11.05</v>
      </c>
      <c r="V26" s="44" t="n">
        <f aca="false">ROUND((T26+U26)*P26,2)</f>
        <v>25.33</v>
      </c>
      <c r="W26" s="44" t="n">
        <f aca="false">ROUND(Q26*N(IFERROR(INDEX('Сводка заказов'!$S$5:$S$24,MATCH($A26,'Сводка заказов'!$A$5:$A$24,0)),0)),2)</f>
        <v>22.09</v>
      </c>
      <c r="X26" s="7" t="n">
        <f aca="false">ROUND(T26+U26+W26+IF(Справочники!$B$22="Да",0,V26),0)</f>
        <v>180</v>
      </c>
      <c r="Y26" s="7" t="n">
        <f aca="false">X26*J26</f>
        <v>270000</v>
      </c>
      <c r="Z26" s="7" t="n">
        <f aca="false">U26*J26</f>
        <v>16575</v>
      </c>
      <c r="AA26" s="7" t="n">
        <f aca="false">V26*J26</f>
        <v>37995</v>
      </c>
      <c r="AB26" s="19" t="n">
        <f aca="false">IF('Изделия для каната'!$AO$3="","",'Изделия для каната'!$AO$3)</f>
        <v>225</v>
      </c>
      <c r="AC26" s="19" t="n">
        <f aca="false">IF('Изделия для каната'!$AR$3="","",'Изделия для каната'!$AR$3)</f>
        <v>1383</v>
      </c>
      <c r="AD26" s="19" t="n">
        <f aca="false">IF('Изделия для каната'!$AT$3="","",'Изделия для каната'!$AT$3)</f>
        <v>700</v>
      </c>
      <c r="AE26" s="7" t="n">
        <f aca="false">IF(AD26="","",ROUND(AD26/(1+P26),0))</f>
        <v>603</v>
      </c>
      <c r="AF26" s="7" t="n">
        <f aca="false">IF(AE26="","",AE26-X26)</f>
        <v>423</v>
      </c>
      <c r="AG26" s="8" t="n">
        <f aca="false">IF(OR(AE26="",AE26=0),"",AF26/AE26)</f>
        <v>0.701492537313433</v>
      </c>
      <c r="AH26" s="7" t="n">
        <f aca="false">IF(AE26="",0,AE26*J26)</f>
        <v>904500</v>
      </c>
      <c r="AI26" s="7" t="n">
        <f aca="false">IF(AF26="",0,AF26*J26)</f>
        <v>634500</v>
      </c>
      <c r="AJ26" s="40" t="s">
        <v>151</v>
      </c>
      <c r="AK26" s="47" t="n">
        <f aca="false">IFERROR(IF(INDEX('Сводка заказов'!$V$5:$V$24,MATCH($A26,'Сводка заказов'!$A$5:$A$24,0))="","",INDEX('Сводка заказов'!$V$5:$V$24,MATCH($A26,'Сводка заказов'!$A$5:$A$24,0))),"")</f>
        <v>46346</v>
      </c>
      <c r="AL26" s="50"/>
      <c r="AM26" s="42"/>
      <c r="AN26" s="55" t="str">
        <f aca="false">IF(N(AL26)=0,"Нет",IF(AL26&gt;=J26,"Да","Частично"))</f>
        <v>Нет</v>
      </c>
      <c r="AO26" s="7" t="n">
        <f aca="false">J26-N(AL26)</f>
        <v>1500</v>
      </c>
      <c r="AP26" s="54"/>
    </row>
    <row r="27" customFormat="false" ht="61.5" hidden="false" customHeight="true" outlineLevel="0" collapsed="false">
      <c r="A27" s="40" t="s">
        <v>153</v>
      </c>
      <c r="B27" s="43" t="str">
        <f aca="false">IFERROR(INDEX('Сводка заказов'!$B$5:$B$24,MATCH($A27,'Сводка заказов'!$A$5:$A$24,0)),"")</f>
        <v>Ningbo Sidana</v>
      </c>
      <c r="C27" s="47" t="n">
        <f aca="false">IFERROR(IF(INDEX('Сводка заказов'!$D$5:$D$24,MATCH($A27,'Сводка заказов'!$A$5:$A$24,0))="","",INDEX('Сводка заказов'!$D$5:$D$24,MATCH($A27,'Сводка заказов'!$A$5:$A$24,0))),"")</f>
        <v>46309</v>
      </c>
      <c r="D27" s="40" t="n">
        <v>7</v>
      </c>
      <c r="E27" s="40"/>
      <c r="F27" s="40" t="s">
        <v>276</v>
      </c>
      <c r="G27" s="53" t="str">
        <f aca="false">'Изделия для каната'!$E$4</f>
        <v>Коуш из нержавеющей стали Ø16 мм (81×55 мм)</v>
      </c>
      <c r="H27" s="54" t="s">
        <v>277</v>
      </c>
      <c r="I27" s="54" t="s">
        <v>222</v>
      </c>
      <c r="J27" s="50" t="n">
        <v>1000</v>
      </c>
      <c r="K27" s="40" t="s">
        <v>96</v>
      </c>
      <c r="L27" s="45" t="n">
        <v>8.5</v>
      </c>
      <c r="M27" s="44" t="n">
        <f aca="false">J27*L27</f>
        <v>8500</v>
      </c>
      <c r="N27" s="40" t="s">
        <v>223</v>
      </c>
      <c r="O27" s="8" t="n">
        <f aca="false">IFERROR(VLOOKUP($N27,'ТН ВЭД'!$A$4:$C$40,3,0),0)</f>
        <v>0.075</v>
      </c>
      <c r="P27" s="8" t="n">
        <f aca="false">Справочники!$B$12</f>
        <v>0.16</v>
      </c>
      <c r="Q27" s="44" t="n">
        <f aca="false">ROUND(L27*Справочники!$B$5,2)</f>
        <v>582.25</v>
      </c>
      <c r="R27" s="44" t="n">
        <f aca="false">ROUND(Q27*N(IFERROR(INDEX('Сводка заказов'!$Q$5:$Q$24,MATCH($A27,'Сводка заказов'!$A$5:$A$24,0)),0)),2)</f>
        <v>0</v>
      </c>
      <c r="S27" s="44" t="n">
        <f aca="false">ROUND(Q27*N(IFERROR(INDEX('Сводка заказов'!$R$5:$R$24,MATCH($A27,'Сводка заказов'!$A$5:$A$24,0)),0)),2)</f>
        <v>0</v>
      </c>
      <c r="T27" s="44" t="n">
        <f aca="false">Q27+R27+S27</f>
        <v>582.25</v>
      </c>
      <c r="U27" s="44" t="n">
        <f aca="false">ROUND(T27*O27,2)</f>
        <v>43.67</v>
      </c>
      <c r="V27" s="44" t="n">
        <f aca="false">ROUND((T27+U27)*P27,2)</f>
        <v>100.15</v>
      </c>
      <c r="W27" s="44" t="n">
        <f aca="false">ROUND(Q27*N(IFERROR(INDEX('Сводка заказов'!$S$5:$S$24,MATCH($A27,'Сводка заказов'!$A$5:$A$24,0)),0)),2)</f>
        <v>87.34</v>
      </c>
      <c r="X27" s="7" t="n">
        <f aca="false">ROUND(T27+U27+W27+IF(Справочники!$B$22="Да",0,V27),0)</f>
        <v>713</v>
      </c>
      <c r="Y27" s="7" t="n">
        <f aca="false">X27*J27</f>
        <v>713000</v>
      </c>
      <c r="Z27" s="7" t="n">
        <f aca="false">U27*J27</f>
        <v>43670</v>
      </c>
      <c r="AA27" s="7" t="n">
        <f aca="false">V27*J27</f>
        <v>100150</v>
      </c>
      <c r="AB27" s="19" t="n">
        <f aca="false">IF('Изделия для каната'!$AO$4="","",'Изделия для каната'!$AO$4)</f>
        <v>245</v>
      </c>
      <c r="AC27" s="19" t="n">
        <f aca="false">IF('Изделия для каната'!$AR$4="","",'Изделия для каната'!$AR$4)</f>
        <v>1506</v>
      </c>
      <c r="AD27" s="19" t="n">
        <f aca="false">IF('Изделия для каната'!$AT$4="","",'Изделия для каната'!$AT$4)</f>
        <v>1400</v>
      </c>
      <c r="AE27" s="7" t="n">
        <f aca="false">IF(AD27="","",ROUND(AD27/(1+P27),0))</f>
        <v>1207</v>
      </c>
      <c r="AF27" s="7" t="n">
        <f aca="false">IF(AE27="","",AE27-X27)</f>
        <v>494</v>
      </c>
      <c r="AG27" s="8" t="n">
        <f aca="false">IF(OR(AE27="",AE27=0),"",AF27/AE27)</f>
        <v>0.409279204639602</v>
      </c>
      <c r="AH27" s="7" t="n">
        <f aca="false">IF(AE27="",0,AE27*J27)</f>
        <v>1207000</v>
      </c>
      <c r="AI27" s="7" t="n">
        <f aca="false">IF(AF27="",0,AF27*J27)</f>
        <v>494000</v>
      </c>
      <c r="AJ27" s="40" t="s">
        <v>151</v>
      </c>
      <c r="AK27" s="47" t="n">
        <f aca="false">IFERROR(IF(INDEX('Сводка заказов'!$V$5:$V$24,MATCH($A27,'Сводка заказов'!$A$5:$A$24,0))="","",INDEX('Сводка заказов'!$V$5:$V$24,MATCH($A27,'Сводка заказов'!$A$5:$A$24,0))),"")</f>
        <v>46346</v>
      </c>
      <c r="AL27" s="50"/>
      <c r="AM27" s="42"/>
      <c r="AN27" s="55" t="str">
        <f aca="false">IF(N(AL27)=0,"Нет",IF(AL27&gt;=J27,"Да","Частично"))</f>
        <v>Нет</v>
      </c>
      <c r="AO27" s="7" t="n">
        <f aca="false">J27-N(AL27)</f>
        <v>1000</v>
      </c>
      <c r="AP27" s="54"/>
    </row>
    <row r="28" customFormat="false" ht="61.5" hidden="false" customHeight="true" outlineLevel="0" collapsed="false">
      <c r="A28" s="40" t="s">
        <v>153</v>
      </c>
      <c r="B28" s="43" t="str">
        <f aca="false">IFERROR(INDEX('Сводка заказов'!$B$5:$B$24,MATCH($A28,'Сводка заказов'!$A$5:$A$24,0)),"")</f>
        <v>Ningbo Sidana</v>
      </c>
      <c r="C28" s="47" t="n">
        <f aca="false">IFERROR(IF(INDEX('Сводка заказов'!$D$5:$D$24,MATCH($A28,'Сводка заказов'!$A$5:$A$24,0))="","",INDEX('Сводка заказов'!$D$5:$D$24,MATCH($A28,'Сводка заказов'!$A$5:$A$24,0))),"")</f>
        <v>46309</v>
      </c>
      <c r="D28" s="40" t="n">
        <v>8</v>
      </c>
      <c r="E28" s="40"/>
      <c r="F28" s="40" t="s">
        <v>278</v>
      </c>
      <c r="G28" s="53" t="str">
        <f aca="false">'Изделия для каната'!$E$5</f>
        <v>Соединитель типа «восьмёрка» из нержавеющей стали для двух канатов Ø16 мм</v>
      </c>
      <c r="H28" s="54" t="s">
        <v>279</v>
      </c>
      <c r="I28" s="54" t="s">
        <v>222</v>
      </c>
      <c r="J28" s="50" t="n">
        <v>2000</v>
      </c>
      <c r="K28" s="40" t="s">
        <v>96</v>
      </c>
      <c r="L28" s="45" t="n">
        <v>2.9</v>
      </c>
      <c r="M28" s="44" t="n">
        <f aca="false">J28*L28</f>
        <v>5800</v>
      </c>
      <c r="N28" s="40" t="s">
        <v>223</v>
      </c>
      <c r="O28" s="8" t="n">
        <f aca="false">IFERROR(VLOOKUP($N28,'ТН ВЭД'!$A$4:$C$40,3,0),0)</f>
        <v>0.075</v>
      </c>
      <c r="P28" s="8" t="n">
        <f aca="false">Справочники!$B$12</f>
        <v>0.16</v>
      </c>
      <c r="Q28" s="44" t="n">
        <f aca="false">ROUND(L28*Справочники!$B$5,2)</f>
        <v>198.65</v>
      </c>
      <c r="R28" s="44" t="n">
        <f aca="false">ROUND(Q28*N(IFERROR(INDEX('Сводка заказов'!$Q$5:$Q$24,MATCH($A28,'Сводка заказов'!$A$5:$A$24,0)),0)),2)</f>
        <v>0</v>
      </c>
      <c r="S28" s="44" t="n">
        <f aca="false">ROUND(Q28*N(IFERROR(INDEX('Сводка заказов'!$R$5:$R$24,MATCH($A28,'Сводка заказов'!$A$5:$A$24,0)),0)),2)</f>
        <v>0</v>
      </c>
      <c r="T28" s="44" t="n">
        <f aca="false">Q28+R28+S28</f>
        <v>198.65</v>
      </c>
      <c r="U28" s="44" t="n">
        <f aca="false">ROUND(T28*O28,2)</f>
        <v>14.9</v>
      </c>
      <c r="V28" s="44" t="n">
        <f aca="false">ROUND((T28+U28)*P28,2)</f>
        <v>34.17</v>
      </c>
      <c r="W28" s="44" t="n">
        <f aca="false">ROUND(Q28*N(IFERROR(INDEX('Сводка заказов'!$S$5:$S$24,MATCH($A28,'Сводка заказов'!$A$5:$A$24,0)),0)),2)</f>
        <v>29.8</v>
      </c>
      <c r="X28" s="7" t="n">
        <f aca="false">ROUND(T28+U28+W28+IF(Справочники!$B$22="Да",0,V28),0)</f>
        <v>243</v>
      </c>
      <c r="Y28" s="7" t="n">
        <f aca="false">X28*J28</f>
        <v>486000</v>
      </c>
      <c r="Z28" s="7" t="n">
        <f aca="false">U28*J28</f>
        <v>29800</v>
      </c>
      <c r="AA28" s="7" t="n">
        <f aca="false">V28*J28</f>
        <v>68340</v>
      </c>
      <c r="AB28" s="19" t="n">
        <f aca="false">IF('Изделия для каната'!$AO$5="","",'Изделия для каната'!$AO$5)</f>
        <v>200</v>
      </c>
      <c r="AC28" s="19" t="n">
        <f aca="false">IF('Изделия для каната'!$AR$5="","",'Изделия для каната'!$AR$5)</f>
        <v>1230</v>
      </c>
      <c r="AD28" s="19" t="n">
        <f aca="false">IF('Изделия для каната'!$AT$5="","",'Изделия для каната'!$AT$5)</f>
        <v>700</v>
      </c>
      <c r="AE28" s="7" t="n">
        <f aca="false">IF(AD28="","",ROUND(AD28/(1+P28),0))</f>
        <v>603</v>
      </c>
      <c r="AF28" s="7" t="n">
        <f aca="false">IF(AE28="","",AE28-X28)</f>
        <v>360</v>
      </c>
      <c r="AG28" s="8" t="n">
        <f aca="false">IF(OR(AE28="",AE28=0),"",AF28/AE28)</f>
        <v>0.597014925373134</v>
      </c>
      <c r="AH28" s="7" t="n">
        <f aca="false">IF(AE28="",0,AE28*J28)</f>
        <v>1206000</v>
      </c>
      <c r="AI28" s="7" t="n">
        <f aca="false">IF(AF28="",0,AF28*J28)</f>
        <v>720000</v>
      </c>
      <c r="AJ28" s="40" t="s">
        <v>151</v>
      </c>
      <c r="AK28" s="47" t="n">
        <f aca="false">IFERROR(IF(INDEX('Сводка заказов'!$V$5:$V$24,MATCH($A28,'Сводка заказов'!$A$5:$A$24,0))="","",INDEX('Сводка заказов'!$V$5:$V$24,MATCH($A28,'Сводка заказов'!$A$5:$A$24,0))),"")</f>
        <v>46346</v>
      </c>
      <c r="AL28" s="50"/>
      <c r="AM28" s="42"/>
      <c r="AN28" s="55" t="str">
        <f aca="false">IF(N(AL28)=0,"Нет",IF(AL28&gt;=J28,"Да","Частично"))</f>
        <v>Нет</v>
      </c>
      <c r="AO28" s="7" t="n">
        <f aca="false">J28-N(AL28)</f>
        <v>2000</v>
      </c>
      <c r="AP28" s="54"/>
    </row>
    <row r="29" customFormat="false" ht="61.5" hidden="false" customHeight="true" outlineLevel="0" collapsed="false">
      <c r="A29" s="40" t="s">
        <v>153</v>
      </c>
      <c r="B29" s="43" t="str">
        <f aca="false">IFERROR(INDEX('Сводка заказов'!$B$5:$B$24,MATCH($A29,'Сводка заказов'!$A$5:$A$24,0)),"")</f>
        <v>Ningbo Sidana</v>
      </c>
      <c r="C29" s="47" t="n">
        <f aca="false">IFERROR(IF(INDEX('Сводка заказов'!$D$5:$D$24,MATCH($A29,'Сводка заказов'!$A$5:$A$24,0))="","",INDEX('Сводка заказов'!$D$5:$D$24,MATCH($A29,'Сводка заказов'!$A$5:$A$24,0))),"")</f>
        <v>46309</v>
      </c>
      <c r="D29" s="40" t="n">
        <v>9</v>
      </c>
      <c r="E29" s="40"/>
      <c r="F29" s="40" t="s">
        <v>280</v>
      </c>
      <c r="G29" s="53" t="str">
        <f aca="false">'Изделия для каната'!$E$6</f>
        <v>Пластиковый крестообразный соединитель 2-секционный для каната Ø16 мм</v>
      </c>
      <c r="H29" s="54" t="s">
        <v>281</v>
      </c>
      <c r="I29" s="54" t="s">
        <v>282</v>
      </c>
      <c r="J29" s="50" t="n">
        <v>15000</v>
      </c>
      <c r="K29" s="40" t="s">
        <v>96</v>
      </c>
      <c r="L29" s="45" t="n">
        <v>1.5</v>
      </c>
      <c r="M29" s="44" t="n">
        <f aca="false">J29*L29</f>
        <v>22500</v>
      </c>
      <c r="N29" s="40" t="s">
        <v>241</v>
      </c>
      <c r="O29" s="8" t="n">
        <f aca="false">IFERROR(VLOOKUP($N29,'ТН ВЭД'!$A$4:$C$40,3,0),0)</f>
        <v>0.065</v>
      </c>
      <c r="P29" s="8" t="n">
        <f aca="false">Справочники!$B$12</f>
        <v>0.16</v>
      </c>
      <c r="Q29" s="44" t="n">
        <f aca="false">ROUND(L29*Справочники!$B$5,2)</f>
        <v>102.75</v>
      </c>
      <c r="R29" s="44" t="n">
        <f aca="false">ROUND(Q29*N(IFERROR(INDEX('Сводка заказов'!$Q$5:$Q$24,MATCH($A29,'Сводка заказов'!$A$5:$A$24,0)),0)),2)</f>
        <v>0</v>
      </c>
      <c r="S29" s="44" t="n">
        <f aca="false">ROUND(Q29*N(IFERROR(INDEX('Сводка заказов'!$R$5:$R$24,MATCH($A29,'Сводка заказов'!$A$5:$A$24,0)),0)),2)</f>
        <v>0</v>
      </c>
      <c r="T29" s="44" t="n">
        <f aca="false">Q29+R29+S29</f>
        <v>102.75</v>
      </c>
      <c r="U29" s="44" t="n">
        <f aca="false">ROUND(T29*O29,2)</f>
        <v>6.68</v>
      </c>
      <c r="V29" s="44" t="n">
        <f aca="false">ROUND((T29+U29)*P29,2)</f>
        <v>17.51</v>
      </c>
      <c r="W29" s="44" t="n">
        <f aca="false">ROUND(Q29*N(IFERROR(INDEX('Сводка заказов'!$S$5:$S$24,MATCH($A29,'Сводка заказов'!$A$5:$A$24,0)),0)),2)</f>
        <v>15.41</v>
      </c>
      <c r="X29" s="7" t="n">
        <f aca="false">ROUND(T29+U29+W29+IF(Справочники!$B$22="Да",0,V29),0)</f>
        <v>125</v>
      </c>
      <c r="Y29" s="7" t="n">
        <f aca="false">X29*J29</f>
        <v>1875000</v>
      </c>
      <c r="Z29" s="7" t="n">
        <f aca="false">U29*J29</f>
        <v>100200</v>
      </c>
      <c r="AA29" s="7" t="n">
        <f aca="false">V29*J29</f>
        <v>262650</v>
      </c>
      <c r="AB29" s="19" t="n">
        <f aca="false">IF('Изделия для каната'!$AO$6="","",'Изделия для каната'!$AO$6)</f>
        <v>44</v>
      </c>
      <c r="AC29" s="19" t="n">
        <f aca="false">IF('Изделия для каната'!$AR$6="","",'Изделия для каната'!$AR$6)</f>
        <v>271</v>
      </c>
      <c r="AD29" s="19" t="n">
        <f aca="false">IF('Изделия для каната'!$AT$6="","",'Изделия для каната'!$AT$6)</f>
        <v>270</v>
      </c>
      <c r="AE29" s="7" t="n">
        <f aca="false">IF(AD29="","",ROUND(AD29/(1+P29),0))</f>
        <v>233</v>
      </c>
      <c r="AF29" s="7" t="n">
        <f aca="false">IF(AE29="","",AE29-X29)</f>
        <v>108</v>
      </c>
      <c r="AG29" s="8" t="n">
        <f aca="false">IF(OR(AE29="",AE29=0),"",AF29/AE29)</f>
        <v>0.463519313304721</v>
      </c>
      <c r="AH29" s="7" t="n">
        <f aca="false">IF(AE29="",0,AE29*J29)</f>
        <v>3495000</v>
      </c>
      <c r="AI29" s="7" t="n">
        <f aca="false">IF(AF29="",0,AF29*J29)</f>
        <v>1620000</v>
      </c>
      <c r="AJ29" s="40" t="s">
        <v>151</v>
      </c>
      <c r="AK29" s="47" t="n">
        <f aca="false">IFERROR(IF(INDEX('Сводка заказов'!$V$5:$V$24,MATCH($A29,'Сводка заказов'!$A$5:$A$24,0))="","",INDEX('Сводка заказов'!$V$5:$V$24,MATCH($A29,'Сводка заказов'!$A$5:$A$24,0))),"")</f>
        <v>46346</v>
      </c>
      <c r="AL29" s="50"/>
      <c r="AM29" s="42"/>
      <c r="AN29" s="55" t="str">
        <f aca="false">IF(N(AL29)=0,"Нет",IF(AL29&gt;=J29,"Да","Частично"))</f>
        <v>Нет</v>
      </c>
      <c r="AO29" s="7" t="n">
        <f aca="false">J29-N(AL29)</f>
        <v>15000</v>
      </c>
      <c r="AP29" s="54" t="s">
        <v>283</v>
      </c>
    </row>
    <row r="30" customFormat="false" ht="61.5" hidden="false" customHeight="true" outlineLevel="0" collapsed="false">
      <c r="A30" s="40" t="s">
        <v>153</v>
      </c>
      <c r="B30" s="43" t="str">
        <f aca="false">IFERROR(INDEX('Сводка заказов'!$B$5:$B$24,MATCH($A30,'Сводка заказов'!$A$5:$A$24,0)),"")</f>
        <v>Ningbo Sidana</v>
      </c>
      <c r="C30" s="47" t="n">
        <f aca="false">IFERROR(IF(INDEX('Сводка заказов'!$D$5:$D$24,MATCH($A30,'Сводка заказов'!$A$5:$A$24,0))="","",INDEX('Сводка заказов'!$D$5:$D$24,MATCH($A30,'Сводка заказов'!$A$5:$A$24,0))),"")</f>
        <v>46309</v>
      </c>
      <c r="D30" s="40" t="n">
        <v>10</v>
      </c>
      <c r="E30" s="40"/>
      <c r="F30" s="40" t="s">
        <v>284</v>
      </c>
      <c r="G30" s="53" t="str">
        <f aca="false">'Изделия для каната'!$E$7</f>
        <v>Цельнолитой алюминиевый крестообразный соединитель 46×39 мм для каната Ø16 мм</v>
      </c>
      <c r="H30" s="54" t="s">
        <v>285</v>
      </c>
      <c r="I30" s="54" t="s">
        <v>222</v>
      </c>
      <c r="J30" s="50" t="n">
        <v>1000</v>
      </c>
      <c r="K30" s="40" t="s">
        <v>96</v>
      </c>
      <c r="L30" s="45" t="n">
        <v>1.5</v>
      </c>
      <c r="M30" s="44" t="n">
        <f aca="false">J30*L30</f>
        <v>1500</v>
      </c>
      <c r="N30" s="40" t="s">
        <v>226</v>
      </c>
      <c r="O30" s="8" t="n">
        <f aca="false">IFERROR(VLOOKUP($N30,'ТН ВЭД'!$A$4:$C$40,3,0),0)</f>
        <v>0.09</v>
      </c>
      <c r="P30" s="8" t="n">
        <f aca="false">Справочники!$B$12</f>
        <v>0.16</v>
      </c>
      <c r="Q30" s="44" t="n">
        <f aca="false">ROUND(L30*Справочники!$B$5,2)</f>
        <v>102.75</v>
      </c>
      <c r="R30" s="44" t="n">
        <f aca="false">ROUND(Q30*N(IFERROR(INDEX('Сводка заказов'!$Q$5:$Q$24,MATCH($A30,'Сводка заказов'!$A$5:$A$24,0)),0)),2)</f>
        <v>0</v>
      </c>
      <c r="S30" s="44" t="n">
        <f aca="false">ROUND(Q30*N(IFERROR(INDEX('Сводка заказов'!$R$5:$R$24,MATCH($A30,'Сводка заказов'!$A$5:$A$24,0)),0)),2)</f>
        <v>0</v>
      </c>
      <c r="T30" s="44" t="n">
        <f aca="false">Q30+R30+S30</f>
        <v>102.75</v>
      </c>
      <c r="U30" s="44" t="n">
        <f aca="false">ROUND(T30*O30,2)</f>
        <v>9.25</v>
      </c>
      <c r="V30" s="44" t="n">
        <f aca="false">ROUND((T30+U30)*P30,2)</f>
        <v>17.92</v>
      </c>
      <c r="W30" s="44" t="n">
        <f aca="false">ROUND(Q30*N(IFERROR(INDEX('Сводка заказов'!$S$5:$S$24,MATCH($A30,'Сводка заказов'!$A$5:$A$24,0)),0)),2)</f>
        <v>15.41</v>
      </c>
      <c r="X30" s="7" t="n">
        <f aca="false">ROUND(T30+U30+W30+IF(Справочники!$B$22="Да",0,V30),0)</f>
        <v>127</v>
      </c>
      <c r="Y30" s="7" t="n">
        <f aca="false">X30*J30</f>
        <v>127000</v>
      </c>
      <c r="Z30" s="7" t="n">
        <f aca="false">U30*J30</f>
        <v>9250</v>
      </c>
      <c r="AA30" s="7" t="n">
        <f aca="false">V30*J30</f>
        <v>17920</v>
      </c>
      <c r="AB30" s="19" t="str">
        <f aca="false">IF('Изделия для каната'!$AO$7="","",'Изделия для каната'!$AO$7)</f>
        <v/>
      </c>
      <c r="AC30" s="19" t="str">
        <f aca="false">IF('Изделия для каната'!$AR$7="","",'Изделия для каната'!$AR$7)</f>
        <v/>
      </c>
      <c r="AD30" s="19" t="n">
        <f aca="false">IF('Изделия для каната'!$AT$7="","",'Изделия для каната'!$AT$7)</f>
        <v>350</v>
      </c>
      <c r="AE30" s="7" t="n">
        <f aca="false">IF(AD30="","",ROUND(AD30/(1+P30),0))</f>
        <v>302</v>
      </c>
      <c r="AF30" s="7" t="n">
        <f aca="false">IF(AE30="","",AE30-X30)</f>
        <v>175</v>
      </c>
      <c r="AG30" s="8" t="n">
        <f aca="false">IF(OR(AE30="",AE30=0),"",AF30/AE30)</f>
        <v>0.579470198675497</v>
      </c>
      <c r="AH30" s="7" t="n">
        <f aca="false">IF(AE30="",0,AE30*J30)</f>
        <v>302000</v>
      </c>
      <c r="AI30" s="7" t="n">
        <f aca="false">IF(AF30="",0,AF30*J30)</f>
        <v>175000</v>
      </c>
      <c r="AJ30" s="40" t="s">
        <v>151</v>
      </c>
      <c r="AK30" s="47" t="n">
        <f aca="false">IFERROR(IF(INDEX('Сводка заказов'!$V$5:$V$24,MATCH($A30,'Сводка заказов'!$A$5:$A$24,0))="","",INDEX('Сводка заказов'!$V$5:$V$24,MATCH($A30,'Сводка заказов'!$A$5:$A$24,0))),"")</f>
        <v>46346</v>
      </c>
      <c r="AL30" s="50"/>
      <c r="AM30" s="42"/>
      <c r="AN30" s="55" t="str">
        <f aca="false">IF(N(AL30)=0,"Нет",IF(AL30&gt;=J30,"Да","Частично"))</f>
        <v>Нет</v>
      </c>
      <c r="AO30" s="7" t="n">
        <f aca="false">J30-N(AL30)</f>
        <v>1000</v>
      </c>
      <c r="AP30" s="54" t="s">
        <v>286</v>
      </c>
    </row>
    <row r="31" customFormat="false" ht="61.5" hidden="false" customHeight="true" outlineLevel="0" collapsed="false">
      <c r="A31" s="40" t="s">
        <v>153</v>
      </c>
      <c r="B31" s="43" t="str">
        <f aca="false">IFERROR(INDEX('Сводка заказов'!$B$5:$B$24,MATCH($A31,'Сводка заказов'!$A$5:$A$24,0)),"")</f>
        <v>Ningbo Sidana</v>
      </c>
      <c r="C31" s="47" t="n">
        <f aca="false">IFERROR(IF(INDEX('Сводка заказов'!$D$5:$D$24,MATCH($A31,'Сводка заказов'!$A$5:$A$24,0))="","",INDEX('Сводка заказов'!$D$5:$D$24,MATCH($A31,'Сводка заказов'!$A$5:$A$24,0))),"")</f>
        <v>46309</v>
      </c>
      <c r="D31" s="40" t="n">
        <v>11</v>
      </c>
      <c r="E31" s="40"/>
      <c r="F31" s="40" t="s">
        <v>287</v>
      </c>
      <c r="G31" s="53" t="str">
        <f aca="false">'Изделия для каната'!$E$8</f>
        <v>Открытый пластиковый коуш 63×25 мм для каната Ø16 мм</v>
      </c>
      <c r="H31" s="54" t="s">
        <v>288</v>
      </c>
      <c r="I31" s="54" t="s">
        <v>260</v>
      </c>
      <c r="J31" s="50" t="n">
        <v>1000</v>
      </c>
      <c r="K31" s="40" t="s">
        <v>96</v>
      </c>
      <c r="L31" s="45" t="n">
        <v>1.1</v>
      </c>
      <c r="M31" s="44" t="n">
        <f aca="false">J31*L31</f>
        <v>1100</v>
      </c>
      <c r="N31" s="40" t="s">
        <v>241</v>
      </c>
      <c r="O31" s="8" t="n">
        <f aca="false">IFERROR(VLOOKUP($N31,'ТН ВЭД'!$A$4:$C$40,3,0),0)</f>
        <v>0.065</v>
      </c>
      <c r="P31" s="8" t="n">
        <f aca="false">Справочники!$B$12</f>
        <v>0.16</v>
      </c>
      <c r="Q31" s="44" t="n">
        <f aca="false">ROUND(L31*Справочники!$B$5,2)</f>
        <v>75.35</v>
      </c>
      <c r="R31" s="44" t="n">
        <f aca="false">ROUND(Q31*N(IFERROR(INDEX('Сводка заказов'!$Q$5:$Q$24,MATCH($A31,'Сводка заказов'!$A$5:$A$24,0)),0)),2)</f>
        <v>0</v>
      </c>
      <c r="S31" s="44" t="n">
        <f aca="false">ROUND(Q31*N(IFERROR(INDEX('Сводка заказов'!$R$5:$R$24,MATCH($A31,'Сводка заказов'!$A$5:$A$24,0)),0)),2)</f>
        <v>0</v>
      </c>
      <c r="T31" s="44" t="n">
        <f aca="false">Q31+R31+S31</f>
        <v>75.35</v>
      </c>
      <c r="U31" s="44" t="n">
        <f aca="false">ROUND(T31*O31,2)</f>
        <v>4.9</v>
      </c>
      <c r="V31" s="44" t="n">
        <f aca="false">ROUND((T31+U31)*P31,2)</f>
        <v>12.84</v>
      </c>
      <c r="W31" s="44" t="n">
        <f aca="false">ROUND(Q31*N(IFERROR(INDEX('Сводка заказов'!$S$5:$S$24,MATCH($A31,'Сводка заказов'!$A$5:$A$24,0)),0)),2)</f>
        <v>11.3</v>
      </c>
      <c r="X31" s="7" t="n">
        <f aca="false">ROUND(T31+U31+W31+IF(Справочники!$B$22="Да",0,V31),0)</f>
        <v>92</v>
      </c>
      <c r="Y31" s="7" t="n">
        <f aca="false">X31*J31</f>
        <v>92000</v>
      </c>
      <c r="Z31" s="7" t="n">
        <f aca="false">U31*J31</f>
        <v>4900</v>
      </c>
      <c r="AA31" s="7" t="n">
        <f aca="false">V31*J31</f>
        <v>12840</v>
      </c>
      <c r="AB31" s="19" t="n">
        <f aca="false">IF('Изделия для каната'!$AO$8="","",'Изделия для каната'!$AO$8)</f>
        <v>58</v>
      </c>
      <c r="AC31" s="19" t="n">
        <f aca="false">IF('Изделия для каната'!$AR$8="","",'Изделия для каната'!$AR$8)</f>
        <v>357</v>
      </c>
      <c r="AD31" s="19" t="n">
        <f aca="false">IF('Изделия для каната'!$AT$8="","",'Изделия для каната'!$AT$8)</f>
        <v>280</v>
      </c>
      <c r="AE31" s="7" t="n">
        <f aca="false">IF(AD31="","",ROUND(AD31/(1+P31),0))</f>
        <v>241</v>
      </c>
      <c r="AF31" s="7" t="n">
        <f aca="false">IF(AE31="","",AE31-X31)</f>
        <v>149</v>
      </c>
      <c r="AG31" s="8" t="n">
        <f aca="false">IF(OR(AE31="",AE31=0),"",AF31/AE31)</f>
        <v>0.618257261410788</v>
      </c>
      <c r="AH31" s="7" t="n">
        <f aca="false">IF(AE31="",0,AE31*J31)</f>
        <v>241000</v>
      </c>
      <c r="AI31" s="7" t="n">
        <f aca="false">IF(AF31="",0,AF31*J31)</f>
        <v>149000</v>
      </c>
      <c r="AJ31" s="40" t="s">
        <v>151</v>
      </c>
      <c r="AK31" s="47" t="n">
        <f aca="false">IFERROR(IF(INDEX('Сводка заказов'!$V$5:$V$24,MATCH($A31,'Сводка заказов'!$A$5:$A$24,0))="","",INDEX('Сводка заказов'!$V$5:$V$24,MATCH($A31,'Сводка заказов'!$A$5:$A$24,0))),"")</f>
        <v>46346</v>
      </c>
      <c r="AL31" s="50"/>
      <c r="AM31" s="42"/>
      <c r="AN31" s="55" t="str">
        <f aca="false">IF(N(AL31)=0,"Нет",IF(AL31&gt;=J31,"Да","Частично"))</f>
        <v>Нет</v>
      </c>
      <c r="AO31" s="7" t="n">
        <f aca="false">J31-N(AL31)</f>
        <v>1000</v>
      </c>
      <c r="AP31" s="54"/>
    </row>
    <row r="32" customFormat="false" ht="61.5" hidden="false" customHeight="true" outlineLevel="0" collapsed="false">
      <c r="A32" s="40" t="s">
        <v>153</v>
      </c>
      <c r="B32" s="43" t="str">
        <f aca="false">IFERROR(INDEX('Сводка заказов'!$B$5:$B$24,MATCH($A32,'Сводка заказов'!$A$5:$A$24,0)),"")</f>
        <v>Ningbo Sidana</v>
      </c>
      <c r="C32" s="47" t="n">
        <f aca="false">IFERROR(IF(INDEX('Сводка заказов'!$D$5:$D$24,MATCH($A32,'Сводка заказов'!$A$5:$A$24,0))="","",INDEX('Сводка заказов'!$D$5:$D$24,MATCH($A32,'Сводка заказов'!$A$5:$A$24,0))),"")</f>
        <v>46309</v>
      </c>
      <c r="D32" s="40" t="n">
        <v>12</v>
      </c>
      <c r="E32" s="40"/>
      <c r="F32" s="40" t="s">
        <v>289</v>
      </c>
      <c r="G32" s="53" t="str">
        <f aca="false">'Изделия для каната'!$E$9</f>
        <v>Пластиковый Т-образный сборный соединитель 63×75 мм для каната Ø16 мм</v>
      </c>
      <c r="H32" s="54" t="s">
        <v>290</v>
      </c>
      <c r="I32" s="54" t="s">
        <v>265</v>
      </c>
      <c r="J32" s="50" t="n">
        <v>500</v>
      </c>
      <c r="K32" s="40" t="s">
        <v>96</v>
      </c>
      <c r="L32" s="45" t="n">
        <v>3.3</v>
      </c>
      <c r="M32" s="44" t="n">
        <f aca="false">J32*L32</f>
        <v>1650</v>
      </c>
      <c r="N32" s="40" t="s">
        <v>241</v>
      </c>
      <c r="O32" s="8" t="n">
        <f aca="false">IFERROR(VLOOKUP($N32,'ТН ВЭД'!$A$4:$C$40,3,0),0)</f>
        <v>0.065</v>
      </c>
      <c r="P32" s="8" t="n">
        <f aca="false">Справочники!$B$12</f>
        <v>0.16</v>
      </c>
      <c r="Q32" s="44" t="n">
        <f aca="false">ROUND(L32*Справочники!$B$5,2)</f>
        <v>226.05</v>
      </c>
      <c r="R32" s="44" t="n">
        <f aca="false">ROUND(Q32*N(IFERROR(INDEX('Сводка заказов'!$Q$5:$Q$24,MATCH($A32,'Сводка заказов'!$A$5:$A$24,0)),0)),2)</f>
        <v>0</v>
      </c>
      <c r="S32" s="44" t="n">
        <f aca="false">ROUND(Q32*N(IFERROR(INDEX('Сводка заказов'!$R$5:$R$24,MATCH($A32,'Сводка заказов'!$A$5:$A$24,0)),0)),2)</f>
        <v>0</v>
      </c>
      <c r="T32" s="44" t="n">
        <f aca="false">Q32+R32+S32</f>
        <v>226.05</v>
      </c>
      <c r="U32" s="44" t="n">
        <f aca="false">ROUND(T32*O32,2)</f>
        <v>14.69</v>
      </c>
      <c r="V32" s="44" t="n">
        <f aca="false">ROUND((T32+U32)*P32,2)</f>
        <v>38.52</v>
      </c>
      <c r="W32" s="44" t="n">
        <f aca="false">ROUND(Q32*N(IFERROR(INDEX('Сводка заказов'!$S$5:$S$24,MATCH($A32,'Сводка заказов'!$A$5:$A$24,0)),0)),2)</f>
        <v>33.91</v>
      </c>
      <c r="X32" s="7" t="n">
        <f aca="false">ROUND(T32+U32+W32+IF(Справочники!$B$22="Да",0,V32),0)</f>
        <v>275</v>
      </c>
      <c r="Y32" s="7" t="n">
        <f aca="false">X32*J32</f>
        <v>137500</v>
      </c>
      <c r="Z32" s="7" t="n">
        <f aca="false">U32*J32</f>
        <v>7345</v>
      </c>
      <c r="AA32" s="7" t="n">
        <f aca="false">V32*J32</f>
        <v>19260</v>
      </c>
      <c r="AB32" s="19" t="n">
        <f aca="false">IF('Изделия для каната'!$AO$9="","",'Изделия для каната'!$AO$9)</f>
        <v>75</v>
      </c>
      <c r="AC32" s="19" t="n">
        <f aca="false">IF('Изделия для каната'!$AR$9="","",'Изделия для каната'!$AR$9)</f>
        <v>461</v>
      </c>
      <c r="AD32" s="19" t="n">
        <f aca="false">IF('Изделия для каната'!$AT$9="","",'Изделия для каната'!$AT$9)</f>
        <v>460</v>
      </c>
      <c r="AE32" s="7" t="n">
        <f aca="false">IF(AD32="","",ROUND(AD32/(1+P32),0))</f>
        <v>397</v>
      </c>
      <c r="AF32" s="7" t="n">
        <f aca="false">IF(AE32="","",AE32-X32)</f>
        <v>122</v>
      </c>
      <c r="AG32" s="8" t="n">
        <f aca="false">IF(OR(AE32="",AE32=0),"",AF32/AE32)</f>
        <v>0.307304785894207</v>
      </c>
      <c r="AH32" s="7" t="n">
        <f aca="false">IF(AE32="",0,AE32*J32)</f>
        <v>198500</v>
      </c>
      <c r="AI32" s="7" t="n">
        <f aca="false">IF(AF32="",0,AF32*J32)</f>
        <v>61000</v>
      </c>
      <c r="AJ32" s="40" t="s">
        <v>151</v>
      </c>
      <c r="AK32" s="47" t="n">
        <f aca="false">IFERROR(IF(INDEX('Сводка заказов'!$V$5:$V$24,MATCH($A32,'Сводка заказов'!$A$5:$A$24,0))="","",INDEX('Сводка заказов'!$V$5:$V$24,MATCH($A32,'Сводка заказов'!$A$5:$A$24,0))),"")</f>
        <v>46346</v>
      </c>
      <c r="AL32" s="50"/>
      <c r="AM32" s="42"/>
      <c r="AN32" s="55" t="str">
        <f aca="false">IF(N(AL32)=0,"Нет",IF(AL32&gt;=J32,"Да","Частично"))</f>
        <v>Нет</v>
      </c>
      <c r="AO32" s="7" t="n">
        <f aca="false">J32-N(AL32)</f>
        <v>500</v>
      </c>
      <c r="AP32" s="54"/>
    </row>
    <row r="33" customFormat="false" ht="61.5" hidden="false" customHeight="true" outlineLevel="0" collapsed="false">
      <c r="A33" s="40" t="s">
        <v>153</v>
      </c>
      <c r="B33" s="43" t="str">
        <f aca="false">IFERROR(INDEX('Сводка заказов'!$B$5:$B$24,MATCH($A33,'Сводка заказов'!$A$5:$A$24,0)),"")</f>
        <v>Ningbo Sidana</v>
      </c>
      <c r="C33" s="47" t="n">
        <f aca="false">IFERROR(IF(INDEX('Сводка заказов'!$D$5:$D$24,MATCH($A33,'Сводка заказов'!$A$5:$A$24,0))="","",INDEX('Сводка заказов'!$D$5:$D$24,MATCH($A33,'Сводка заказов'!$A$5:$A$24,0))),"")</f>
        <v>46309</v>
      </c>
      <c r="D33" s="40" t="n">
        <v>13</v>
      </c>
      <c r="E33" s="40"/>
      <c r="F33" s="40" t="s">
        <v>74</v>
      </c>
      <c r="G33" s="53" t="str">
        <f aca="false">'ГИЛЬЗЫ И ВТУЛКИ'!$E$3</f>
        <v>Алюминиевая обжимная втулка для каната Ø16 мм</v>
      </c>
      <c r="H33" s="54" t="s">
        <v>291</v>
      </c>
      <c r="I33" s="54" t="s">
        <v>222</v>
      </c>
      <c r="J33" s="50" t="n">
        <v>500</v>
      </c>
      <c r="K33" s="40" t="s">
        <v>96</v>
      </c>
      <c r="L33" s="45" t="n">
        <v>1</v>
      </c>
      <c r="M33" s="44" t="n">
        <f aca="false">J33*L33</f>
        <v>500</v>
      </c>
      <c r="N33" s="40" t="s">
        <v>226</v>
      </c>
      <c r="O33" s="8" t="n">
        <f aca="false">IFERROR(VLOOKUP($N33,'ТН ВЭД'!$A$4:$C$40,3,0),0)</f>
        <v>0.09</v>
      </c>
      <c r="P33" s="8" t="n">
        <f aca="false">Справочники!$B$12</f>
        <v>0.16</v>
      </c>
      <c r="Q33" s="44" t="n">
        <f aca="false">ROUND(L33*Справочники!$B$5,2)</f>
        <v>68.5</v>
      </c>
      <c r="R33" s="44" t="n">
        <f aca="false">ROUND(Q33*N(IFERROR(INDEX('Сводка заказов'!$Q$5:$Q$24,MATCH($A33,'Сводка заказов'!$A$5:$A$24,0)),0)),2)</f>
        <v>0</v>
      </c>
      <c r="S33" s="44" t="n">
        <f aca="false">ROUND(Q33*N(IFERROR(INDEX('Сводка заказов'!$R$5:$R$24,MATCH($A33,'Сводка заказов'!$A$5:$A$24,0)),0)),2)</f>
        <v>0</v>
      </c>
      <c r="T33" s="44" t="n">
        <f aca="false">Q33+R33+S33</f>
        <v>68.5</v>
      </c>
      <c r="U33" s="44" t="n">
        <f aca="false">ROUND(T33*O33,2)</f>
        <v>6.17</v>
      </c>
      <c r="V33" s="44" t="n">
        <f aca="false">ROUND((T33+U33)*P33,2)</f>
        <v>11.95</v>
      </c>
      <c r="W33" s="44" t="n">
        <f aca="false">ROUND(Q33*N(IFERROR(INDEX('Сводка заказов'!$S$5:$S$24,MATCH($A33,'Сводка заказов'!$A$5:$A$24,0)),0)),2)</f>
        <v>10.28</v>
      </c>
      <c r="X33" s="7" t="n">
        <f aca="false">ROUND(T33+U33+W33+IF(Справочники!$B$22="Да",0,V33),0)</f>
        <v>85</v>
      </c>
      <c r="Y33" s="7" t="n">
        <f aca="false">X33*J33</f>
        <v>42500</v>
      </c>
      <c r="Z33" s="7" t="n">
        <f aca="false">U33*J33</f>
        <v>3085</v>
      </c>
      <c r="AA33" s="7" t="n">
        <f aca="false">V33*J33</f>
        <v>5975</v>
      </c>
      <c r="AB33" s="19" t="str">
        <f aca="false">IF('ГИЛЬЗЫ И ВТУЛКИ'!$AO$3="","",'ГИЛЬЗЫ И ВТУЛКИ'!$AO$3)</f>
        <v/>
      </c>
      <c r="AC33" s="19" t="str">
        <f aca="false">IF('ГИЛЬЗЫ И ВТУЛКИ'!$AR$3="","",'ГИЛЬЗЫ И ВТУЛКИ'!$AR$3)</f>
        <v/>
      </c>
      <c r="AD33" s="19" t="n">
        <f aca="false">IF('ГИЛЬЗЫ И ВТУЛКИ'!$AT$3="","",'ГИЛЬЗЫ И ВТУЛКИ'!$AT$3)</f>
        <v>470</v>
      </c>
      <c r="AE33" s="7" t="n">
        <f aca="false">IF(AD33="","",ROUND(AD33/(1+P33),0))</f>
        <v>405</v>
      </c>
      <c r="AF33" s="7" t="n">
        <f aca="false">IF(AE33="","",AE33-X33)</f>
        <v>320</v>
      </c>
      <c r="AG33" s="8" t="n">
        <f aca="false">IF(OR(AE33="",AE33=0),"",AF33/AE33)</f>
        <v>0.790123456790123</v>
      </c>
      <c r="AH33" s="7" t="n">
        <f aca="false">IF(AE33="",0,AE33*J33)</f>
        <v>202500</v>
      </c>
      <c r="AI33" s="7" t="n">
        <f aca="false">IF(AF33="",0,AF33*J33)</f>
        <v>160000</v>
      </c>
      <c r="AJ33" s="40" t="s">
        <v>151</v>
      </c>
      <c r="AK33" s="47" t="n">
        <f aca="false">IFERROR(IF(INDEX('Сводка заказов'!$V$5:$V$24,MATCH($A33,'Сводка заказов'!$A$5:$A$24,0))="","",INDEX('Сводка заказов'!$V$5:$V$24,MATCH($A33,'Сводка заказов'!$A$5:$A$24,0))),"")</f>
        <v>46346</v>
      </c>
      <c r="AL33" s="50"/>
      <c r="AM33" s="42"/>
      <c r="AN33" s="55" t="str">
        <f aca="false">IF(N(AL33)=0,"Нет",IF(AL33&gt;=J33,"Да","Частично"))</f>
        <v>Нет</v>
      </c>
      <c r="AO33" s="7" t="n">
        <f aca="false">J33-N(AL33)</f>
        <v>500</v>
      </c>
      <c r="AP33" s="54" t="s">
        <v>292</v>
      </c>
    </row>
    <row r="34" customFormat="false" ht="61.5" hidden="false" customHeight="true" outlineLevel="0" collapsed="false">
      <c r="A34" s="40" t="s">
        <v>153</v>
      </c>
      <c r="B34" s="43" t="str">
        <f aca="false">IFERROR(INDEX('Сводка заказов'!$B$5:$B$24,MATCH($A34,'Сводка заказов'!$A$5:$A$24,0)),"")</f>
        <v>Ningbo Sidana</v>
      </c>
      <c r="C34" s="47" t="n">
        <f aca="false">IFERROR(IF(INDEX('Сводка заказов'!$D$5:$D$24,MATCH($A34,'Сводка заказов'!$A$5:$A$24,0))="","",INDEX('Сводка заказов'!$D$5:$D$24,MATCH($A34,'Сводка заказов'!$A$5:$A$24,0))),"")</f>
        <v>46309</v>
      </c>
      <c r="D34" s="40" t="n">
        <v>14</v>
      </c>
      <c r="E34" s="40"/>
      <c r="F34" s="40" t="s">
        <v>293</v>
      </c>
      <c r="G34" s="53" t="str">
        <f aca="false">'Изделия для каната'!$E$10</f>
        <v>Пластиковый коуш 53×45 мм для каната Ø16 мм</v>
      </c>
      <c r="H34" s="54" t="s">
        <v>294</v>
      </c>
      <c r="I34" s="54" t="s">
        <v>260</v>
      </c>
      <c r="J34" s="50" t="n">
        <v>2000</v>
      </c>
      <c r="K34" s="40" t="s">
        <v>96</v>
      </c>
      <c r="L34" s="45" t="n">
        <v>1.8</v>
      </c>
      <c r="M34" s="44" t="n">
        <f aca="false">J34*L34</f>
        <v>3600</v>
      </c>
      <c r="N34" s="40" t="s">
        <v>241</v>
      </c>
      <c r="O34" s="8" t="n">
        <f aca="false">IFERROR(VLOOKUP($N34,'ТН ВЭД'!$A$4:$C$40,3,0),0)</f>
        <v>0.065</v>
      </c>
      <c r="P34" s="8" t="n">
        <f aca="false">Справочники!$B$12</f>
        <v>0.16</v>
      </c>
      <c r="Q34" s="44" t="n">
        <f aca="false">ROUND(L34*Справочники!$B$5,2)</f>
        <v>123.3</v>
      </c>
      <c r="R34" s="44" t="n">
        <f aca="false">ROUND(Q34*N(IFERROR(INDEX('Сводка заказов'!$Q$5:$Q$24,MATCH($A34,'Сводка заказов'!$A$5:$A$24,0)),0)),2)</f>
        <v>0</v>
      </c>
      <c r="S34" s="44" t="n">
        <f aca="false">ROUND(Q34*N(IFERROR(INDEX('Сводка заказов'!$R$5:$R$24,MATCH($A34,'Сводка заказов'!$A$5:$A$24,0)),0)),2)</f>
        <v>0</v>
      </c>
      <c r="T34" s="44" t="n">
        <f aca="false">Q34+R34+S34</f>
        <v>123.3</v>
      </c>
      <c r="U34" s="44" t="n">
        <f aca="false">ROUND(T34*O34,2)</f>
        <v>8.01</v>
      </c>
      <c r="V34" s="44" t="n">
        <f aca="false">ROUND((T34+U34)*P34,2)</f>
        <v>21.01</v>
      </c>
      <c r="W34" s="44" t="n">
        <f aca="false">ROUND(Q34*N(IFERROR(INDEX('Сводка заказов'!$S$5:$S$24,MATCH($A34,'Сводка заказов'!$A$5:$A$24,0)),0)),2)</f>
        <v>18.5</v>
      </c>
      <c r="X34" s="7" t="n">
        <f aca="false">ROUND(T34+U34+W34+IF(Справочники!$B$22="Да",0,V34),0)</f>
        <v>150</v>
      </c>
      <c r="Y34" s="7" t="n">
        <f aca="false">X34*J34</f>
        <v>300000</v>
      </c>
      <c r="Z34" s="7" t="n">
        <f aca="false">U34*J34</f>
        <v>16020</v>
      </c>
      <c r="AA34" s="7" t="n">
        <f aca="false">V34*J34</f>
        <v>42020</v>
      </c>
      <c r="AB34" s="19" t="n">
        <f aca="false">IF('Изделия для каната'!$AO$10="","",'Изделия для каната'!$AO$10)</f>
        <v>75.5</v>
      </c>
      <c r="AC34" s="19" t="n">
        <f aca="false">IF('Изделия для каната'!$AR$10="","",'Изделия для каната'!$AR$10)</f>
        <v>464</v>
      </c>
      <c r="AD34" s="19" t="n">
        <f aca="false">IF('Изделия для каната'!$AT$10="","",'Изделия для каната'!$AT$10)</f>
        <v>350</v>
      </c>
      <c r="AE34" s="7" t="n">
        <f aca="false">IF(AD34="","",ROUND(AD34/(1+P34),0))</f>
        <v>302</v>
      </c>
      <c r="AF34" s="7" t="n">
        <f aca="false">IF(AE34="","",AE34-X34)</f>
        <v>152</v>
      </c>
      <c r="AG34" s="8" t="n">
        <f aca="false">IF(OR(AE34="",AE34=0),"",AF34/AE34)</f>
        <v>0.503311258278146</v>
      </c>
      <c r="AH34" s="7" t="n">
        <f aca="false">IF(AE34="",0,AE34*J34)</f>
        <v>604000</v>
      </c>
      <c r="AI34" s="7" t="n">
        <f aca="false">IF(AF34="",0,AF34*J34)</f>
        <v>304000</v>
      </c>
      <c r="AJ34" s="40" t="s">
        <v>151</v>
      </c>
      <c r="AK34" s="47" t="n">
        <f aca="false">IFERROR(IF(INDEX('Сводка заказов'!$V$5:$V$24,MATCH($A34,'Сводка заказов'!$A$5:$A$24,0))="","",INDEX('Сводка заказов'!$V$5:$V$24,MATCH($A34,'Сводка заказов'!$A$5:$A$24,0))),"")</f>
        <v>46346</v>
      </c>
      <c r="AL34" s="50"/>
      <c r="AM34" s="42"/>
      <c r="AN34" s="55" t="str">
        <f aca="false">IF(N(AL34)=0,"Нет",IF(AL34&gt;=J34,"Да","Частично"))</f>
        <v>Нет</v>
      </c>
      <c r="AO34" s="7" t="n">
        <f aca="false">J34-N(AL34)</f>
        <v>2000</v>
      </c>
      <c r="AP34" s="54"/>
    </row>
    <row r="35" customFormat="false" ht="61.5" hidden="false" customHeight="true" outlineLevel="0" collapsed="false">
      <c r="A35" s="40" t="s">
        <v>153</v>
      </c>
      <c r="B35" s="43" t="str">
        <f aca="false">IFERROR(INDEX('Сводка заказов'!$B$5:$B$24,MATCH($A35,'Сводка заказов'!$A$5:$A$24,0)),"")</f>
        <v>Ningbo Sidana</v>
      </c>
      <c r="C35" s="47" t="n">
        <f aca="false">IFERROR(IF(INDEX('Сводка заказов'!$D$5:$D$24,MATCH($A35,'Сводка заказов'!$A$5:$A$24,0))="","",INDEX('Сводка заказов'!$D$5:$D$24,MATCH($A35,'Сводка заказов'!$A$5:$A$24,0))),"")</f>
        <v>46309</v>
      </c>
      <c r="D35" s="40" t="n">
        <v>15</v>
      </c>
      <c r="E35" s="40"/>
      <c r="F35" s="40" t="s">
        <v>295</v>
      </c>
      <c r="G35" s="53" t="str">
        <f aca="false">'Изделия для каната'!$E$11</f>
        <v>Оцинкованный стальной коуш 60×88×16 мм для каната Ø16 мм</v>
      </c>
      <c r="H35" s="54" t="s">
        <v>296</v>
      </c>
      <c r="I35" s="54" t="s">
        <v>222</v>
      </c>
      <c r="J35" s="50" t="n">
        <v>5000</v>
      </c>
      <c r="K35" s="40" t="s">
        <v>96</v>
      </c>
      <c r="L35" s="45" t="n">
        <v>1</v>
      </c>
      <c r="M35" s="44" t="n">
        <f aca="false">J35*L35</f>
        <v>5000</v>
      </c>
      <c r="N35" s="40" t="s">
        <v>223</v>
      </c>
      <c r="O35" s="8" t="n">
        <f aca="false">IFERROR(VLOOKUP($N35,'ТН ВЭД'!$A$4:$C$40,3,0),0)</f>
        <v>0.075</v>
      </c>
      <c r="P35" s="8" t="n">
        <f aca="false">Справочники!$B$12</f>
        <v>0.16</v>
      </c>
      <c r="Q35" s="44" t="n">
        <f aca="false">ROUND(L35*Справочники!$B$5,2)</f>
        <v>68.5</v>
      </c>
      <c r="R35" s="44" t="n">
        <f aca="false">ROUND(Q35*N(IFERROR(INDEX('Сводка заказов'!$Q$5:$Q$24,MATCH($A35,'Сводка заказов'!$A$5:$A$24,0)),0)),2)</f>
        <v>0</v>
      </c>
      <c r="S35" s="44" t="n">
        <f aca="false">ROUND(Q35*N(IFERROR(INDEX('Сводка заказов'!$R$5:$R$24,MATCH($A35,'Сводка заказов'!$A$5:$A$24,0)),0)),2)</f>
        <v>0</v>
      </c>
      <c r="T35" s="44" t="n">
        <f aca="false">Q35+R35+S35</f>
        <v>68.5</v>
      </c>
      <c r="U35" s="44" t="n">
        <f aca="false">ROUND(T35*O35,2)</f>
        <v>5.14</v>
      </c>
      <c r="V35" s="44" t="n">
        <f aca="false">ROUND((T35+U35)*P35,2)</f>
        <v>11.78</v>
      </c>
      <c r="W35" s="44" t="n">
        <f aca="false">ROUND(Q35*N(IFERROR(INDEX('Сводка заказов'!$S$5:$S$24,MATCH($A35,'Сводка заказов'!$A$5:$A$24,0)),0)),2)</f>
        <v>10.28</v>
      </c>
      <c r="X35" s="7" t="n">
        <f aca="false">ROUND(T35+U35+W35+IF(Справочники!$B$22="Да",0,V35),0)</f>
        <v>84</v>
      </c>
      <c r="Y35" s="7" t="n">
        <f aca="false">X35*J35</f>
        <v>420000</v>
      </c>
      <c r="Z35" s="7" t="n">
        <f aca="false">U35*J35</f>
        <v>25700</v>
      </c>
      <c r="AA35" s="7" t="n">
        <f aca="false">V35*J35</f>
        <v>58900</v>
      </c>
      <c r="AB35" s="19" t="n">
        <f aca="false">IF('Изделия для каната'!$AO$11="","",'Изделия для каната'!$AO$11)</f>
        <v>77</v>
      </c>
      <c r="AC35" s="19" t="n">
        <f aca="false">IF('Изделия для каната'!$AR$11="","",'Изделия для каната'!$AR$11)</f>
        <v>473</v>
      </c>
      <c r="AD35" s="19" t="n">
        <f aca="false">IF('Изделия для каната'!$AT$11="","",'Изделия для каната'!$AT$11)</f>
        <v>300</v>
      </c>
      <c r="AE35" s="7" t="n">
        <f aca="false">IF(AD35="","",ROUND(AD35/(1+P35),0))</f>
        <v>259</v>
      </c>
      <c r="AF35" s="7" t="n">
        <f aca="false">IF(AE35="","",AE35-X35)</f>
        <v>175</v>
      </c>
      <c r="AG35" s="8" t="n">
        <f aca="false">IF(OR(AE35="",AE35=0),"",AF35/AE35)</f>
        <v>0.675675675675676</v>
      </c>
      <c r="AH35" s="7" t="n">
        <f aca="false">IF(AE35="",0,AE35*J35)</f>
        <v>1295000</v>
      </c>
      <c r="AI35" s="7" t="n">
        <f aca="false">IF(AF35="",0,AF35*J35)</f>
        <v>875000</v>
      </c>
      <c r="AJ35" s="40" t="s">
        <v>151</v>
      </c>
      <c r="AK35" s="47" t="n">
        <f aca="false">IFERROR(IF(INDEX('Сводка заказов'!$V$5:$V$24,MATCH($A35,'Сводка заказов'!$A$5:$A$24,0))="","",INDEX('Сводка заказов'!$V$5:$V$24,MATCH($A35,'Сводка заказов'!$A$5:$A$24,0))),"")</f>
        <v>46346</v>
      </c>
      <c r="AL35" s="50"/>
      <c r="AM35" s="42"/>
      <c r="AN35" s="55" t="str">
        <f aca="false">IF(N(AL35)=0,"Нет",IF(AL35&gt;=J35,"Да","Частично"))</f>
        <v>Нет</v>
      </c>
      <c r="AO35" s="7" t="n">
        <f aca="false">J35-N(AL35)</f>
        <v>5000</v>
      </c>
      <c r="AP35" s="54"/>
    </row>
    <row r="36" customFormat="false" ht="61.5" hidden="false" customHeight="true" outlineLevel="0" collapsed="false">
      <c r="A36" s="40" t="s">
        <v>153</v>
      </c>
      <c r="B36" s="43" t="str">
        <f aca="false">IFERROR(INDEX('Сводка заказов'!$B$5:$B$24,MATCH($A36,'Сводка заказов'!$A$5:$A$24,0)),"")</f>
        <v>Ningbo Sidana</v>
      </c>
      <c r="C36" s="47" t="n">
        <f aca="false">IFERROR(IF(INDEX('Сводка заказов'!$D$5:$D$24,MATCH($A36,'Сводка заказов'!$A$5:$A$24,0))="","",INDEX('Сводка заказов'!$D$5:$D$24,MATCH($A36,'Сводка заказов'!$A$5:$A$24,0))),"")</f>
        <v>46309</v>
      </c>
      <c r="D36" s="40" t="n">
        <v>16</v>
      </c>
      <c r="E36" s="40"/>
      <c r="F36" s="40" t="s">
        <v>297</v>
      </c>
      <c r="G36" s="53" t="str">
        <f aca="false">'Изделия для каната'!$E$12</f>
        <v>S-образный крюк из нержавеющей стали 53×28 мм для каната Ø16 мм</v>
      </c>
      <c r="H36" s="54" t="s">
        <v>298</v>
      </c>
      <c r="I36" s="54" t="s">
        <v>222</v>
      </c>
      <c r="J36" s="50" t="n">
        <v>500</v>
      </c>
      <c r="K36" s="40" t="s">
        <v>96</v>
      </c>
      <c r="L36" s="45" t="n">
        <v>1.1</v>
      </c>
      <c r="M36" s="44" t="n">
        <f aca="false">J36*L36</f>
        <v>550</v>
      </c>
      <c r="N36" s="40" t="s">
        <v>223</v>
      </c>
      <c r="O36" s="8" t="n">
        <f aca="false">IFERROR(VLOOKUP($N36,'ТН ВЭД'!$A$4:$C$40,3,0),0)</f>
        <v>0.075</v>
      </c>
      <c r="P36" s="8" t="n">
        <f aca="false">Справочники!$B$12</f>
        <v>0.16</v>
      </c>
      <c r="Q36" s="44" t="n">
        <f aca="false">ROUND(L36*Справочники!$B$5,2)</f>
        <v>75.35</v>
      </c>
      <c r="R36" s="44" t="n">
        <f aca="false">ROUND(Q36*N(IFERROR(INDEX('Сводка заказов'!$Q$5:$Q$24,MATCH($A36,'Сводка заказов'!$A$5:$A$24,0)),0)),2)</f>
        <v>0</v>
      </c>
      <c r="S36" s="44" t="n">
        <f aca="false">ROUND(Q36*N(IFERROR(INDEX('Сводка заказов'!$R$5:$R$24,MATCH($A36,'Сводка заказов'!$A$5:$A$24,0)),0)),2)</f>
        <v>0</v>
      </c>
      <c r="T36" s="44" t="n">
        <f aca="false">Q36+R36+S36</f>
        <v>75.35</v>
      </c>
      <c r="U36" s="44" t="n">
        <f aca="false">ROUND(T36*O36,2)</f>
        <v>5.65</v>
      </c>
      <c r="V36" s="44" t="n">
        <f aca="false">ROUND((T36+U36)*P36,2)</f>
        <v>12.96</v>
      </c>
      <c r="W36" s="44" t="n">
        <f aca="false">ROUND(Q36*N(IFERROR(INDEX('Сводка заказов'!$S$5:$S$24,MATCH($A36,'Сводка заказов'!$A$5:$A$24,0)),0)),2)</f>
        <v>11.3</v>
      </c>
      <c r="X36" s="7" t="n">
        <f aca="false">ROUND(T36+U36+W36+IF(Справочники!$B$22="Да",0,V36),0)</f>
        <v>92</v>
      </c>
      <c r="Y36" s="7" t="n">
        <f aca="false">X36*J36</f>
        <v>46000</v>
      </c>
      <c r="Z36" s="7" t="n">
        <f aca="false">U36*J36</f>
        <v>2825</v>
      </c>
      <c r="AA36" s="7" t="n">
        <f aca="false">V36*J36</f>
        <v>6480</v>
      </c>
      <c r="AB36" s="19" t="n">
        <f aca="false">IF('Изделия для каната'!$AO$12="","",'Изделия для каната'!$AO$12)</f>
        <v>100</v>
      </c>
      <c r="AC36" s="19" t="n">
        <f aca="false">IF('Изделия для каната'!$AR$12="","",'Изделия для каната'!$AR$12)</f>
        <v>615</v>
      </c>
      <c r="AD36" s="19" t="n">
        <f aca="false">IF('Изделия для каната'!$AT$12="","",'Изделия для каната'!$AT$12)</f>
        <v>300</v>
      </c>
      <c r="AE36" s="7" t="n">
        <f aca="false">IF(AD36="","",ROUND(AD36/(1+P36),0))</f>
        <v>259</v>
      </c>
      <c r="AF36" s="7" t="n">
        <f aca="false">IF(AE36="","",AE36-X36)</f>
        <v>167</v>
      </c>
      <c r="AG36" s="8" t="n">
        <f aca="false">IF(OR(AE36="",AE36=0),"",AF36/AE36)</f>
        <v>0.644787644787645</v>
      </c>
      <c r="AH36" s="7" t="n">
        <f aca="false">IF(AE36="",0,AE36*J36)</f>
        <v>129500</v>
      </c>
      <c r="AI36" s="7" t="n">
        <f aca="false">IF(AF36="",0,AF36*J36)</f>
        <v>83500</v>
      </c>
      <c r="AJ36" s="40" t="s">
        <v>151</v>
      </c>
      <c r="AK36" s="47" t="n">
        <f aca="false">IFERROR(IF(INDEX('Сводка заказов'!$V$5:$V$24,MATCH($A36,'Сводка заказов'!$A$5:$A$24,0))="","",INDEX('Сводка заказов'!$V$5:$V$24,MATCH($A36,'Сводка заказов'!$A$5:$A$24,0))),"")</f>
        <v>46346</v>
      </c>
      <c r="AL36" s="50"/>
      <c r="AM36" s="42"/>
      <c r="AN36" s="55" t="str">
        <f aca="false">IF(N(AL36)=0,"Нет",IF(AL36&gt;=J36,"Да","Частично"))</f>
        <v>Нет</v>
      </c>
      <c r="AO36" s="7" t="n">
        <f aca="false">J36-N(AL36)</f>
        <v>500</v>
      </c>
      <c r="AP36" s="54"/>
    </row>
    <row r="37" customFormat="false" ht="61.5" hidden="false" customHeight="true" outlineLevel="0" collapsed="false">
      <c r="A37" s="40" t="s">
        <v>153</v>
      </c>
      <c r="B37" s="43" t="str">
        <f aca="false">IFERROR(INDEX('Сводка заказов'!$B$5:$B$24,MATCH($A37,'Сводка заказов'!$A$5:$A$24,0)),"")</f>
        <v>Ningbo Sidana</v>
      </c>
      <c r="C37" s="47" t="n">
        <f aca="false">IFERROR(IF(INDEX('Сводка заказов'!$D$5:$D$24,MATCH($A37,'Сводка заказов'!$A$5:$A$24,0))="","",INDEX('Сводка заказов'!$D$5:$D$24,MATCH($A37,'Сводка заказов'!$A$5:$A$24,0))),"")</f>
        <v>46309</v>
      </c>
      <c r="D37" s="40" t="n">
        <v>17</v>
      </c>
      <c r="E37" s="40"/>
      <c r="F37" s="40" t="s">
        <v>299</v>
      </c>
      <c r="G37" s="53" t="str">
        <f aca="false">'Изделия для каната'!$E$13</f>
        <v>S-образный крюк из нержавеющей стали 53×40 мм для каната Ø16 мм</v>
      </c>
      <c r="H37" s="54" t="s">
        <v>300</v>
      </c>
      <c r="I37" s="54" t="s">
        <v>222</v>
      </c>
      <c r="J37" s="50" t="n">
        <v>500</v>
      </c>
      <c r="K37" s="40" t="s">
        <v>96</v>
      </c>
      <c r="L37" s="45" t="n">
        <v>1.1</v>
      </c>
      <c r="M37" s="44" t="n">
        <f aca="false">J37*L37</f>
        <v>550</v>
      </c>
      <c r="N37" s="40" t="s">
        <v>223</v>
      </c>
      <c r="O37" s="8" t="n">
        <f aca="false">IFERROR(VLOOKUP($N37,'ТН ВЭД'!$A$4:$C$40,3,0),0)</f>
        <v>0.075</v>
      </c>
      <c r="P37" s="8" t="n">
        <f aca="false">Справочники!$B$12</f>
        <v>0.16</v>
      </c>
      <c r="Q37" s="44" t="n">
        <f aca="false">ROUND(L37*Справочники!$B$5,2)</f>
        <v>75.35</v>
      </c>
      <c r="R37" s="44" t="n">
        <f aca="false">ROUND(Q37*N(IFERROR(INDEX('Сводка заказов'!$Q$5:$Q$24,MATCH($A37,'Сводка заказов'!$A$5:$A$24,0)),0)),2)</f>
        <v>0</v>
      </c>
      <c r="S37" s="44" t="n">
        <f aca="false">ROUND(Q37*N(IFERROR(INDEX('Сводка заказов'!$R$5:$R$24,MATCH($A37,'Сводка заказов'!$A$5:$A$24,0)),0)),2)</f>
        <v>0</v>
      </c>
      <c r="T37" s="44" t="n">
        <f aca="false">Q37+R37+S37</f>
        <v>75.35</v>
      </c>
      <c r="U37" s="44" t="n">
        <f aca="false">ROUND(T37*O37,2)</f>
        <v>5.65</v>
      </c>
      <c r="V37" s="44" t="n">
        <f aca="false">ROUND((T37+U37)*P37,2)</f>
        <v>12.96</v>
      </c>
      <c r="W37" s="44" t="n">
        <f aca="false">ROUND(Q37*N(IFERROR(INDEX('Сводка заказов'!$S$5:$S$24,MATCH($A37,'Сводка заказов'!$A$5:$A$24,0)),0)),2)</f>
        <v>11.3</v>
      </c>
      <c r="X37" s="7" t="n">
        <f aca="false">ROUND(T37+U37+W37+IF(Справочники!$B$22="Да",0,V37),0)</f>
        <v>92</v>
      </c>
      <c r="Y37" s="7" t="n">
        <f aca="false">X37*J37</f>
        <v>46000</v>
      </c>
      <c r="Z37" s="7" t="n">
        <f aca="false">U37*J37</f>
        <v>2825</v>
      </c>
      <c r="AA37" s="7" t="n">
        <f aca="false">V37*J37</f>
        <v>6480</v>
      </c>
      <c r="AB37" s="19" t="n">
        <f aca="false">IF('Изделия для каната'!$AO$13="","",'Изделия для каната'!$AO$13)</f>
        <v>110</v>
      </c>
      <c r="AC37" s="19" t="n">
        <f aca="false">IF('Изделия для каната'!$AR$13="","",'Изделия для каната'!$AR$13)</f>
        <v>676</v>
      </c>
      <c r="AD37" s="19" t="n">
        <f aca="false">IF('Изделия для каната'!$AT$13="","",'Изделия для каната'!$AT$13)</f>
        <v>350</v>
      </c>
      <c r="AE37" s="7" t="n">
        <f aca="false">IF(AD37="","",ROUND(AD37/(1+P37),0))</f>
        <v>302</v>
      </c>
      <c r="AF37" s="7" t="n">
        <f aca="false">IF(AE37="","",AE37-X37)</f>
        <v>210</v>
      </c>
      <c r="AG37" s="8" t="n">
        <f aca="false">IF(OR(AE37="",AE37=0),"",AF37/AE37)</f>
        <v>0.695364238410596</v>
      </c>
      <c r="AH37" s="7" t="n">
        <f aca="false">IF(AE37="",0,AE37*J37)</f>
        <v>151000</v>
      </c>
      <c r="AI37" s="7" t="n">
        <f aca="false">IF(AF37="",0,AF37*J37)</f>
        <v>105000</v>
      </c>
      <c r="AJ37" s="40" t="s">
        <v>151</v>
      </c>
      <c r="AK37" s="47" t="n">
        <f aca="false">IFERROR(IF(INDEX('Сводка заказов'!$V$5:$V$24,MATCH($A37,'Сводка заказов'!$A$5:$A$24,0))="","",INDEX('Сводка заказов'!$V$5:$V$24,MATCH($A37,'Сводка заказов'!$A$5:$A$24,0))),"")</f>
        <v>46346</v>
      </c>
      <c r="AL37" s="50"/>
      <c r="AM37" s="42"/>
      <c r="AN37" s="55" t="str">
        <f aca="false">IF(N(AL37)=0,"Нет",IF(AL37&gt;=J37,"Да","Частично"))</f>
        <v>Нет</v>
      </c>
      <c r="AO37" s="7" t="n">
        <f aca="false">J37-N(AL37)</f>
        <v>500</v>
      </c>
      <c r="AP37" s="54"/>
    </row>
    <row r="38" customFormat="false" ht="61.5" hidden="false" customHeight="true" outlineLevel="0" collapsed="false">
      <c r="A38" s="40" t="s">
        <v>153</v>
      </c>
      <c r="B38" s="43" t="str">
        <f aca="false">IFERROR(INDEX('Сводка заказов'!$B$5:$B$24,MATCH($A38,'Сводка заказов'!$A$5:$A$24,0)),"")</f>
        <v>Ningbo Sidana</v>
      </c>
      <c r="C38" s="47" t="n">
        <f aca="false">IFERROR(IF(INDEX('Сводка заказов'!$D$5:$D$24,MATCH($A38,'Сводка заказов'!$A$5:$A$24,0))="","",INDEX('Сводка заказов'!$D$5:$D$24,MATCH($A38,'Сводка заказов'!$A$5:$A$24,0))),"")</f>
        <v>46309</v>
      </c>
      <c r="D38" s="40" t="n">
        <v>18</v>
      </c>
      <c r="E38" s="40"/>
      <c r="F38" s="40" t="s">
        <v>301</v>
      </c>
      <c r="G38" s="53" t="str">
        <f aca="false">'Изделия для каната'!$E$14</f>
        <v>Пластиковый Т-образный соединитель 80×62×38 мм для каната Ø16 мм</v>
      </c>
      <c r="H38" s="54" t="s">
        <v>302</v>
      </c>
      <c r="I38" s="54" t="s">
        <v>255</v>
      </c>
      <c r="J38" s="50" t="n">
        <v>500</v>
      </c>
      <c r="K38" s="40" t="s">
        <v>96</v>
      </c>
      <c r="L38" s="45" t="n">
        <v>3.3</v>
      </c>
      <c r="M38" s="44" t="n">
        <f aca="false">J38*L38</f>
        <v>1650</v>
      </c>
      <c r="N38" s="40" t="s">
        <v>241</v>
      </c>
      <c r="O38" s="8" t="n">
        <f aca="false">IFERROR(VLOOKUP($N38,'ТН ВЭД'!$A$4:$C$40,3,0),0)</f>
        <v>0.065</v>
      </c>
      <c r="P38" s="8" t="n">
        <f aca="false">Справочники!$B$12</f>
        <v>0.16</v>
      </c>
      <c r="Q38" s="44" t="n">
        <f aca="false">ROUND(L38*Справочники!$B$5,2)</f>
        <v>226.05</v>
      </c>
      <c r="R38" s="44" t="n">
        <f aca="false">ROUND(Q38*N(IFERROR(INDEX('Сводка заказов'!$Q$5:$Q$24,MATCH($A38,'Сводка заказов'!$A$5:$A$24,0)),0)),2)</f>
        <v>0</v>
      </c>
      <c r="S38" s="44" t="n">
        <f aca="false">ROUND(Q38*N(IFERROR(INDEX('Сводка заказов'!$R$5:$R$24,MATCH($A38,'Сводка заказов'!$A$5:$A$24,0)),0)),2)</f>
        <v>0</v>
      </c>
      <c r="T38" s="44" t="n">
        <f aca="false">Q38+R38+S38</f>
        <v>226.05</v>
      </c>
      <c r="U38" s="44" t="n">
        <f aca="false">ROUND(T38*O38,2)</f>
        <v>14.69</v>
      </c>
      <c r="V38" s="44" t="n">
        <f aca="false">ROUND((T38+U38)*P38,2)</f>
        <v>38.52</v>
      </c>
      <c r="W38" s="44" t="n">
        <f aca="false">ROUND(Q38*N(IFERROR(INDEX('Сводка заказов'!$S$5:$S$24,MATCH($A38,'Сводка заказов'!$A$5:$A$24,0)),0)),2)</f>
        <v>33.91</v>
      </c>
      <c r="X38" s="7" t="n">
        <f aca="false">ROUND(T38+U38+W38+IF(Справочники!$B$22="Да",0,V38),0)</f>
        <v>275</v>
      </c>
      <c r="Y38" s="7" t="n">
        <f aca="false">X38*J38</f>
        <v>137500</v>
      </c>
      <c r="Z38" s="7" t="n">
        <f aca="false">U38*J38</f>
        <v>7345</v>
      </c>
      <c r="AA38" s="7" t="n">
        <f aca="false">V38*J38</f>
        <v>19260</v>
      </c>
      <c r="AB38" s="19" t="n">
        <f aca="false">IF('Изделия для каната'!$AO$14="","",'Изделия для каната'!$AO$14)</f>
        <v>185</v>
      </c>
      <c r="AC38" s="19" t="n">
        <f aca="false">IF('Изделия для каната'!$AR$14="","",'Изделия для каната'!$AR$14)</f>
        <v>1137</v>
      </c>
      <c r="AD38" s="19" t="n">
        <f aca="false">IF('Изделия для каната'!$AT$14="","",'Изделия для каната'!$AT$14)</f>
        <v>650</v>
      </c>
      <c r="AE38" s="7" t="n">
        <f aca="false">IF(AD38="","",ROUND(AD38/(1+P38),0))</f>
        <v>560</v>
      </c>
      <c r="AF38" s="7" t="n">
        <f aca="false">IF(AE38="","",AE38-X38)</f>
        <v>285</v>
      </c>
      <c r="AG38" s="8" t="n">
        <f aca="false">IF(OR(AE38="",AE38=0),"",AF38/AE38)</f>
        <v>0.508928571428571</v>
      </c>
      <c r="AH38" s="7" t="n">
        <f aca="false">IF(AE38="",0,AE38*J38)</f>
        <v>280000</v>
      </c>
      <c r="AI38" s="7" t="n">
        <f aca="false">IF(AF38="",0,AF38*J38)</f>
        <v>142500</v>
      </c>
      <c r="AJ38" s="40" t="s">
        <v>151</v>
      </c>
      <c r="AK38" s="47" t="n">
        <f aca="false">IFERROR(IF(INDEX('Сводка заказов'!$V$5:$V$24,MATCH($A38,'Сводка заказов'!$A$5:$A$24,0))="","",INDEX('Сводка заказов'!$V$5:$V$24,MATCH($A38,'Сводка заказов'!$A$5:$A$24,0))),"")</f>
        <v>46346</v>
      </c>
      <c r="AL38" s="50"/>
      <c r="AM38" s="42"/>
      <c r="AN38" s="55" t="str">
        <f aca="false">IF(N(AL38)=0,"Нет",IF(AL38&gt;=J38,"Да","Частично"))</f>
        <v>Нет</v>
      </c>
      <c r="AO38" s="7" t="n">
        <f aca="false">J38-N(AL38)</f>
        <v>500</v>
      </c>
      <c r="AP38" s="54"/>
    </row>
    <row r="39" customFormat="false" ht="61.5" hidden="false" customHeight="true" outlineLevel="0" collapsed="false">
      <c r="A39" s="40" t="s">
        <v>153</v>
      </c>
      <c r="B39" s="43" t="str">
        <f aca="false">IFERROR(INDEX('Сводка заказов'!$B$5:$B$24,MATCH($A39,'Сводка заказов'!$A$5:$A$24,0)),"")</f>
        <v>Ningbo Sidana</v>
      </c>
      <c r="C39" s="47" t="n">
        <f aca="false">IFERROR(IF(INDEX('Сводка заказов'!$D$5:$D$24,MATCH($A39,'Сводка заказов'!$A$5:$A$24,0))="","",INDEX('Сводка заказов'!$D$5:$D$24,MATCH($A39,'Сводка заказов'!$A$5:$A$24,0))),"")</f>
        <v>46309</v>
      </c>
      <c r="D39" s="40" t="n">
        <v>19</v>
      </c>
      <c r="E39" s="40"/>
      <c r="F39" s="40" t="s">
        <v>303</v>
      </c>
      <c r="G39" s="53" t="str">
        <f aca="false">'Изделия для каната'!$E$16</f>
        <v>Пластиковая декоративная вставка для коуша под канат Ø16 мм</v>
      </c>
      <c r="H39" s="54" t="s">
        <v>304</v>
      </c>
      <c r="I39" s="54" t="s">
        <v>305</v>
      </c>
      <c r="J39" s="50" t="n">
        <v>1000</v>
      </c>
      <c r="K39" s="40" t="s">
        <v>96</v>
      </c>
      <c r="L39" s="45" t="n">
        <v>0.8</v>
      </c>
      <c r="M39" s="44" t="n">
        <f aca="false">J39*L39</f>
        <v>800</v>
      </c>
      <c r="N39" s="40" t="s">
        <v>241</v>
      </c>
      <c r="O39" s="8" t="n">
        <f aca="false">IFERROR(VLOOKUP($N39,'ТН ВЭД'!$A$4:$C$40,3,0),0)</f>
        <v>0.065</v>
      </c>
      <c r="P39" s="8" t="n">
        <f aca="false">Справочники!$B$12</f>
        <v>0.16</v>
      </c>
      <c r="Q39" s="44" t="n">
        <f aca="false">ROUND(L39*Справочники!$B$5,2)</f>
        <v>54.8</v>
      </c>
      <c r="R39" s="44" t="n">
        <f aca="false">ROUND(Q39*N(IFERROR(INDEX('Сводка заказов'!$Q$5:$Q$24,MATCH($A39,'Сводка заказов'!$A$5:$A$24,0)),0)),2)</f>
        <v>0</v>
      </c>
      <c r="S39" s="44" t="n">
        <f aca="false">ROUND(Q39*N(IFERROR(INDEX('Сводка заказов'!$R$5:$R$24,MATCH($A39,'Сводка заказов'!$A$5:$A$24,0)),0)),2)</f>
        <v>0</v>
      </c>
      <c r="T39" s="44" t="n">
        <f aca="false">Q39+R39+S39</f>
        <v>54.8</v>
      </c>
      <c r="U39" s="44" t="n">
        <f aca="false">ROUND(T39*O39,2)</f>
        <v>3.56</v>
      </c>
      <c r="V39" s="44" t="n">
        <f aca="false">ROUND((T39+U39)*P39,2)</f>
        <v>9.34</v>
      </c>
      <c r="W39" s="44" t="n">
        <f aca="false">ROUND(Q39*N(IFERROR(INDEX('Сводка заказов'!$S$5:$S$24,MATCH($A39,'Сводка заказов'!$A$5:$A$24,0)),0)),2)</f>
        <v>8.22</v>
      </c>
      <c r="X39" s="7" t="n">
        <f aca="false">ROUND(T39+U39+W39+IF(Справочники!$B$22="Да",0,V39),0)</f>
        <v>67</v>
      </c>
      <c r="Y39" s="7" t="n">
        <f aca="false">X39*J39</f>
        <v>67000</v>
      </c>
      <c r="Z39" s="7" t="n">
        <f aca="false">U39*J39</f>
        <v>3560</v>
      </c>
      <c r="AA39" s="7" t="n">
        <f aca="false">V39*J39</f>
        <v>9340</v>
      </c>
      <c r="AB39" s="19" t="str">
        <f aca="false">IF('Изделия для каната'!$AO$16="","",'Изделия для каната'!$AO$16)</f>
        <v/>
      </c>
      <c r="AC39" s="19" t="str">
        <f aca="false">IF('Изделия для каната'!$AR$16="","",'Изделия для каната'!$AR$16)</f>
        <v/>
      </c>
      <c r="AD39" s="19" t="n">
        <f aca="false">IF('Изделия для каната'!$AT$16="","",'Изделия для каната'!$AT$16)</f>
        <v>160</v>
      </c>
      <c r="AE39" s="7" t="n">
        <f aca="false">IF(AD39="","",ROUND(AD39/(1+P39),0))</f>
        <v>138</v>
      </c>
      <c r="AF39" s="7" t="n">
        <f aca="false">IF(AE39="","",AE39-X39)</f>
        <v>71</v>
      </c>
      <c r="AG39" s="8" t="n">
        <f aca="false">IF(OR(AE39="",AE39=0),"",AF39/AE39)</f>
        <v>0.514492753623188</v>
      </c>
      <c r="AH39" s="7" t="n">
        <f aca="false">IF(AE39="",0,AE39*J39)</f>
        <v>138000</v>
      </c>
      <c r="AI39" s="7" t="n">
        <f aca="false">IF(AF39="",0,AF39*J39)</f>
        <v>71000</v>
      </c>
      <c r="AJ39" s="40" t="s">
        <v>151</v>
      </c>
      <c r="AK39" s="47" t="n">
        <f aca="false">IFERROR(IF(INDEX('Сводка заказов'!$V$5:$V$24,MATCH($A39,'Сводка заказов'!$A$5:$A$24,0))="","",INDEX('Сводка заказов'!$V$5:$V$24,MATCH($A39,'Сводка заказов'!$A$5:$A$24,0))),"")</f>
        <v>46346</v>
      </c>
      <c r="AL39" s="50"/>
      <c r="AM39" s="42"/>
      <c r="AN39" s="55" t="str">
        <f aca="false">IF(N(AL39)=0,"Нет",IF(AL39&gt;=J39,"Да","Частично"))</f>
        <v>Нет</v>
      </c>
      <c r="AO39" s="7" t="n">
        <f aca="false">J39-N(AL39)</f>
        <v>1000</v>
      </c>
      <c r="AP39" s="54"/>
    </row>
    <row r="40" customFormat="false" ht="61.5" hidden="false" customHeight="true" outlineLevel="0" collapsed="false">
      <c r="A40" s="40" t="s">
        <v>153</v>
      </c>
      <c r="B40" s="43" t="str">
        <f aca="false">IFERROR(INDEX('Сводка заказов'!$B$5:$B$24,MATCH($A40,'Сводка заказов'!$A$5:$A$24,0)),"")</f>
        <v>Ningbo Sidana</v>
      </c>
      <c r="C40" s="47" t="n">
        <f aca="false">IFERROR(IF(INDEX('Сводка заказов'!$D$5:$D$24,MATCH($A40,'Сводка заказов'!$A$5:$A$24,0))="","",INDEX('Сводка заказов'!$D$5:$D$24,MATCH($A40,'Сводка заказов'!$A$5:$A$24,0))),"")</f>
        <v>46309</v>
      </c>
      <c r="D40" s="40" t="n">
        <v>20</v>
      </c>
      <c r="E40" s="40"/>
      <c r="F40" s="40" t="s">
        <v>306</v>
      </c>
      <c r="G40" s="53" t="str">
        <f aca="false">'ГИЛЬЗЫ И ВТУЛКИ'!$E$15</f>
        <v>Алюминиевая концевая втулка для каната Ø16 мм под пластиковые соединители</v>
      </c>
      <c r="H40" s="54" t="s">
        <v>307</v>
      </c>
      <c r="I40" s="54" t="s">
        <v>222</v>
      </c>
      <c r="J40" s="50" t="n">
        <v>500</v>
      </c>
      <c r="K40" s="40" t="s">
        <v>96</v>
      </c>
      <c r="L40" s="45" t="n">
        <v>2.5</v>
      </c>
      <c r="M40" s="44" t="n">
        <f aca="false">J40*L40</f>
        <v>1250</v>
      </c>
      <c r="N40" s="40" t="s">
        <v>226</v>
      </c>
      <c r="O40" s="8" t="n">
        <f aca="false">IFERROR(VLOOKUP($N40,'ТН ВЭД'!$A$4:$C$40,3,0),0)</f>
        <v>0.09</v>
      </c>
      <c r="P40" s="8" t="n">
        <f aca="false">Справочники!$B$12</f>
        <v>0.16</v>
      </c>
      <c r="Q40" s="44" t="n">
        <f aca="false">ROUND(L40*Справочники!$B$5,2)</f>
        <v>171.25</v>
      </c>
      <c r="R40" s="44" t="n">
        <f aca="false">ROUND(Q40*N(IFERROR(INDEX('Сводка заказов'!$Q$5:$Q$24,MATCH($A40,'Сводка заказов'!$A$5:$A$24,0)),0)),2)</f>
        <v>0</v>
      </c>
      <c r="S40" s="44" t="n">
        <f aca="false">ROUND(Q40*N(IFERROR(INDEX('Сводка заказов'!$R$5:$R$24,MATCH($A40,'Сводка заказов'!$A$5:$A$24,0)),0)),2)</f>
        <v>0</v>
      </c>
      <c r="T40" s="44" t="n">
        <f aca="false">Q40+R40+S40</f>
        <v>171.25</v>
      </c>
      <c r="U40" s="44" t="n">
        <f aca="false">ROUND(T40*O40,2)</f>
        <v>15.41</v>
      </c>
      <c r="V40" s="44" t="n">
        <f aca="false">ROUND((T40+U40)*P40,2)</f>
        <v>29.87</v>
      </c>
      <c r="W40" s="44" t="n">
        <f aca="false">ROUND(Q40*N(IFERROR(INDEX('Сводка заказов'!$S$5:$S$24,MATCH($A40,'Сводка заказов'!$A$5:$A$24,0)),0)),2)</f>
        <v>25.69</v>
      </c>
      <c r="X40" s="7" t="n">
        <f aca="false">ROUND(T40+U40+W40+IF(Справочники!$B$22="Да",0,V40),0)</f>
        <v>212</v>
      </c>
      <c r="Y40" s="7" t="n">
        <f aca="false">X40*J40</f>
        <v>106000</v>
      </c>
      <c r="Z40" s="7" t="n">
        <f aca="false">U40*J40</f>
        <v>7705</v>
      </c>
      <c r="AA40" s="7" t="n">
        <f aca="false">V40*J40</f>
        <v>14935</v>
      </c>
      <c r="AB40" s="19" t="str">
        <f aca="false">IF('ГИЛЬЗЫ И ВТУЛКИ'!$AO$15="","",'ГИЛЬЗЫ И ВТУЛКИ'!$AO$15)</f>
        <v/>
      </c>
      <c r="AC40" s="19" t="str">
        <f aca="false">IF('ГИЛЬЗЫ И ВТУЛКИ'!$AR$15="","",'ГИЛЬЗЫ И ВТУЛКИ'!$AR$15)</f>
        <v/>
      </c>
      <c r="AD40" s="19" t="n">
        <f aca="false">IF('ГИЛЬЗЫ И ВТУЛКИ'!$AT$15="","",'ГИЛЬЗЫ И ВТУЛКИ'!$AT$15)</f>
        <v>500</v>
      </c>
      <c r="AE40" s="7" t="n">
        <f aca="false">IF(AD40="","",ROUND(AD40/(1+P40),0))</f>
        <v>431</v>
      </c>
      <c r="AF40" s="7" t="n">
        <f aca="false">IF(AE40="","",AE40-X40)</f>
        <v>219</v>
      </c>
      <c r="AG40" s="8" t="n">
        <f aca="false">IF(OR(AE40="",AE40=0),"",AF40/AE40)</f>
        <v>0.508120649651972</v>
      </c>
      <c r="AH40" s="7" t="n">
        <f aca="false">IF(AE40="",0,AE40*J40)</f>
        <v>215500</v>
      </c>
      <c r="AI40" s="7" t="n">
        <f aca="false">IF(AF40="",0,AF40*J40)</f>
        <v>109500</v>
      </c>
      <c r="AJ40" s="40" t="s">
        <v>151</v>
      </c>
      <c r="AK40" s="47" t="n">
        <f aca="false">IFERROR(IF(INDEX('Сводка заказов'!$V$5:$V$24,MATCH($A40,'Сводка заказов'!$A$5:$A$24,0))="","",INDEX('Сводка заказов'!$V$5:$V$24,MATCH($A40,'Сводка заказов'!$A$5:$A$24,0))),"")</f>
        <v>46346</v>
      </c>
      <c r="AL40" s="50"/>
      <c r="AM40" s="42"/>
      <c r="AN40" s="55" t="str">
        <f aca="false">IF(N(AL40)=0,"Нет",IF(AL40&gt;=J40,"Да","Частично"))</f>
        <v>Нет</v>
      </c>
      <c r="AO40" s="7" t="n">
        <f aca="false">J40-N(AL40)</f>
        <v>500</v>
      </c>
      <c r="AP40" s="54" t="s">
        <v>308</v>
      </c>
    </row>
    <row r="41" customFormat="false" ht="61.5" hidden="false" customHeight="true" outlineLevel="0" collapsed="false">
      <c r="A41" s="40" t="s">
        <v>153</v>
      </c>
      <c r="B41" s="43" t="str">
        <f aca="false">IFERROR(INDEX('Сводка заказов'!$B$5:$B$24,MATCH($A41,'Сводка заказов'!$A$5:$A$24,0)),"")</f>
        <v>Ningbo Sidana</v>
      </c>
      <c r="C41" s="47" t="n">
        <f aca="false">IFERROR(IF(INDEX('Сводка заказов'!$D$5:$D$24,MATCH($A41,'Сводка заказов'!$A$5:$A$24,0))="","",INDEX('Сводка заказов'!$D$5:$D$24,MATCH($A41,'Сводка заказов'!$A$5:$A$24,0))),"")</f>
        <v>46309</v>
      </c>
      <c r="D41" s="40" t="n">
        <v>21</v>
      </c>
      <c r="E41" s="40"/>
      <c r="F41" s="40" t="s">
        <v>309</v>
      </c>
      <c r="G41" s="53" t="str">
        <f aca="false">'Крепёж и такелаж'!$E$7</f>
        <v>Скоба такелажная из нержавеющей стали, винт М5, 20×29 мм</v>
      </c>
      <c r="H41" s="54" t="s">
        <v>310</v>
      </c>
      <c r="I41" s="54" t="s">
        <v>222</v>
      </c>
      <c r="J41" s="50" t="n">
        <v>1000</v>
      </c>
      <c r="K41" s="40" t="s">
        <v>96</v>
      </c>
      <c r="L41" s="45" t="n">
        <v>2.5</v>
      </c>
      <c r="M41" s="44" t="n">
        <f aca="false">J41*L41</f>
        <v>2500</v>
      </c>
      <c r="N41" s="40" t="s">
        <v>223</v>
      </c>
      <c r="O41" s="8" t="n">
        <f aca="false">IFERROR(VLOOKUP($N41,'ТН ВЭД'!$A$4:$C$40,3,0),0)</f>
        <v>0.075</v>
      </c>
      <c r="P41" s="8" t="n">
        <f aca="false">Справочники!$B$12</f>
        <v>0.16</v>
      </c>
      <c r="Q41" s="44" t="n">
        <f aca="false">ROUND(L41*Справочники!$B$5,2)</f>
        <v>171.25</v>
      </c>
      <c r="R41" s="44" t="n">
        <f aca="false">ROUND(Q41*N(IFERROR(INDEX('Сводка заказов'!$Q$5:$Q$24,MATCH($A41,'Сводка заказов'!$A$5:$A$24,0)),0)),2)</f>
        <v>0</v>
      </c>
      <c r="S41" s="44" t="n">
        <f aca="false">ROUND(Q41*N(IFERROR(INDEX('Сводка заказов'!$R$5:$R$24,MATCH($A41,'Сводка заказов'!$A$5:$A$24,0)),0)),2)</f>
        <v>0</v>
      </c>
      <c r="T41" s="44" t="n">
        <f aca="false">Q41+R41+S41</f>
        <v>171.25</v>
      </c>
      <c r="U41" s="44" t="n">
        <f aca="false">ROUND(T41*O41,2)</f>
        <v>12.84</v>
      </c>
      <c r="V41" s="44" t="n">
        <f aca="false">ROUND((T41+U41)*P41,2)</f>
        <v>29.45</v>
      </c>
      <c r="W41" s="44" t="n">
        <f aca="false">ROUND(Q41*N(IFERROR(INDEX('Сводка заказов'!$S$5:$S$24,MATCH($A41,'Сводка заказов'!$A$5:$A$24,0)),0)),2)</f>
        <v>25.69</v>
      </c>
      <c r="X41" s="7" t="n">
        <f aca="false">ROUND(T41+U41+W41+IF(Справочники!$B$22="Да",0,V41),0)</f>
        <v>210</v>
      </c>
      <c r="Y41" s="7" t="n">
        <f aca="false">X41*J41</f>
        <v>210000</v>
      </c>
      <c r="Z41" s="7" t="n">
        <f aca="false">U41*J41</f>
        <v>12840</v>
      </c>
      <c r="AA41" s="7" t="n">
        <f aca="false">V41*J41</f>
        <v>29450</v>
      </c>
      <c r="AB41" s="19" t="str">
        <f aca="false">IF('Крепёж и такелаж'!$AO$7="","",'Крепёж и такелаж'!$AO$7)</f>
        <v/>
      </c>
      <c r="AC41" s="19" t="str">
        <f aca="false">IF('Крепёж и такелаж'!$AR$7="","",'Крепёж и такелаж'!$AR$7)</f>
        <v/>
      </c>
      <c r="AD41" s="19" t="n">
        <f aca="false">IF('Крепёж и такелаж'!$AT$7="","",'Крепёж и такелаж'!$AT$7)</f>
        <v>490</v>
      </c>
      <c r="AE41" s="7" t="n">
        <f aca="false">IF(AD41="","",ROUND(AD41/(1+P41),0))</f>
        <v>422</v>
      </c>
      <c r="AF41" s="7" t="n">
        <f aca="false">IF(AE41="","",AE41-X41)</f>
        <v>212</v>
      </c>
      <c r="AG41" s="8" t="n">
        <f aca="false">IF(OR(AE41="",AE41=0),"",AF41/AE41)</f>
        <v>0.502369668246446</v>
      </c>
      <c r="AH41" s="7" t="n">
        <f aca="false">IF(AE41="",0,AE41*J41)</f>
        <v>422000</v>
      </c>
      <c r="AI41" s="7" t="n">
        <f aca="false">IF(AF41="",0,AF41*J41)</f>
        <v>212000</v>
      </c>
      <c r="AJ41" s="40" t="s">
        <v>151</v>
      </c>
      <c r="AK41" s="47" t="n">
        <f aca="false">IFERROR(IF(INDEX('Сводка заказов'!$V$5:$V$24,MATCH($A41,'Сводка заказов'!$A$5:$A$24,0))="","",INDEX('Сводка заказов'!$V$5:$V$24,MATCH($A41,'Сводка заказов'!$A$5:$A$24,0))),"")</f>
        <v>46346</v>
      </c>
      <c r="AL41" s="50"/>
      <c r="AM41" s="42"/>
      <c r="AN41" s="55" t="str">
        <f aca="false">IF(N(AL41)=0,"Нет",IF(AL41&gt;=J41,"Да","Частично"))</f>
        <v>Нет</v>
      </c>
      <c r="AO41" s="7" t="n">
        <f aca="false">J41-N(AL41)</f>
        <v>1000</v>
      </c>
      <c r="AP41" s="54"/>
    </row>
    <row r="42" customFormat="false" ht="61.5" hidden="false" customHeight="true" outlineLevel="0" collapsed="false">
      <c r="A42" s="40" t="s">
        <v>153</v>
      </c>
      <c r="B42" s="43" t="str">
        <f aca="false">IFERROR(INDEX('Сводка заказов'!$B$5:$B$24,MATCH($A42,'Сводка заказов'!$A$5:$A$24,0)),"")</f>
        <v>Ningbo Sidana</v>
      </c>
      <c r="C42" s="47" t="n">
        <f aca="false">IFERROR(IF(INDEX('Сводка заказов'!$D$5:$D$24,MATCH($A42,'Сводка заказов'!$A$5:$A$24,0))="","",INDEX('Сводка заказов'!$D$5:$D$24,MATCH($A42,'Сводка заказов'!$A$5:$A$24,0))),"")</f>
        <v>46309</v>
      </c>
      <c r="D42" s="40" t="n">
        <v>22</v>
      </c>
      <c r="E42" s="40"/>
      <c r="F42" s="40" t="s">
        <v>311</v>
      </c>
      <c r="G42" s="53" t="str">
        <f aca="false">'Крепёж и такелаж'!$E$8</f>
        <v>Скоба такелажная из нержавеющей стали, винт М6, 25×36 мм</v>
      </c>
      <c r="H42" s="54" t="s">
        <v>312</v>
      </c>
      <c r="I42" s="54" t="s">
        <v>222</v>
      </c>
      <c r="J42" s="50" t="n">
        <v>5000</v>
      </c>
      <c r="K42" s="40" t="s">
        <v>96</v>
      </c>
      <c r="L42" s="45" t="n">
        <v>3.1</v>
      </c>
      <c r="M42" s="44" t="n">
        <f aca="false">J42*L42</f>
        <v>15500</v>
      </c>
      <c r="N42" s="40" t="s">
        <v>223</v>
      </c>
      <c r="O42" s="8" t="n">
        <f aca="false">IFERROR(VLOOKUP($N42,'ТН ВЭД'!$A$4:$C$40,3,0),0)</f>
        <v>0.075</v>
      </c>
      <c r="P42" s="8" t="n">
        <f aca="false">Справочники!$B$12</f>
        <v>0.16</v>
      </c>
      <c r="Q42" s="44" t="n">
        <f aca="false">ROUND(L42*Справочники!$B$5,2)</f>
        <v>212.35</v>
      </c>
      <c r="R42" s="44" t="n">
        <f aca="false">ROUND(Q42*N(IFERROR(INDEX('Сводка заказов'!$Q$5:$Q$24,MATCH($A42,'Сводка заказов'!$A$5:$A$24,0)),0)),2)</f>
        <v>0</v>
      </c>
      <c r="S42" s="44" t="n">
        <f aca="false">ROUND(Q42*N(IFERROR(INDEX('Сводка заказов'!$R$5:$R$24,MATCH($A42,'Сводка заказов'!$A$5:$A$24,0)),0)),2)</f>
        <v>0</v>
      </c>
      <c r="T42" s="44" t="n">
        <f aca="false">Q42+R42+S42</f>
        <v>212.35</v>
      </c>
      <c r="U42" s="44" t="n">
        <f aca="false">ROUND(T42*O42,2)</f>
        <v>15.93</v>
      </c>
      <c r="V42" s="44" t="n">
        <f aca="false">ROUND((T42+U42)*P42,2)</f>
        <v>36.52</v>
      </c>
      <c r="W42" s="44" t="n">
        <f aca="false">ROUND(Q42*N(IFERROR(INDEX('Сводка заказов'!$S$5:$S$24,MATCH($A42,'Сводка заказов'!$A$5:$A$24,0)),0)),2)</f>
        <v>31.85</v>
      </c>
      <c r="X42" s="7" t="n">
        <f aca="false">ROUND(T42+U42+W42+IF(Справочники!$B$22="Да",0,V42),0)</f>
        <v>260</v>
      </c>
      <c r="Y42" s="7" t="n">
        <f aca="false">X42*J42</f>
        <v>1300000</v>
      </c>
      <c r="Z42" s="7" t="n">
        <f aca="false">U42*J42</f>
        <v>79650</v>
      </c>
      <c r="AA42" s="7" t="n">
        <f aca="false">V42*J42</f>
        <v>182600</v>
      </c>
      <c r="AB42" s="19" t="n">
        <f aca="false">IF('Крепёж и такелаж'!$AO$8="","",'Крепёж и такелаж'!$AO$8)</f>
        <v>333.5</v>
      </c>
      <c r="AC42" s="19" t="n">
        <f aca="false">IF('Крепёж и такелаж'!$AR$8="","",'Крепёж и такелаж'!$AR$8)</f>
        <v>2050</v>
      </c>
      <c r="AD42" s="19" t="n">
        <f aca="false">IF('Крепёж и такелаж'!$AT$8="","",'Крепёж и такелаж'!$AT$8)</f>
        <v>1886</v>
      </c>
      <c r="AE42" s="7" t="n">
        <f aca="false">IF(AD42="","",ROUND(AD42/(1+P42),0))</f>
        <v>1626</v>
      </c>
      <c r="AF42" s="7" t="n">
        <f aca="false">IF(AE42="","",AE42-X42)</f>
        <v>1366</v>
      </c>
      <c r="AG42" s="8" t="n">
        <f aca="false">IF(OR(AE42="",AE42=0),"",AF42/AE42)</f>
        <v>0.84009840098401</v>
      </c>
      <c r="AH42" s="7" t="n">
        <f aca="false">IF(AE42="",0,AE42*J42)</f>
        <v>8130000</v>
      </c>
      <c r="AI42" s="7" t="n">
        <f aca="false">IF(AF42="",0,AF42*J42)</f>
        <v>6830000</v>
      </c>
      <c r="AJ42" s="40" t="s">
        <v>151</v>
      </c>
      <c r="AK42" s="47" t="n">
        <f aca="false">IFERROR(IF(INDEX('Сводка заказов'!$V$5:$V$24,MATCH($A42,'Сводка заказов'!$A$5:$A$24,0))="","",INDEX('Сводка заказов'!$V$5:$V$24,MATCH($A42,'Сводка заказов'!$A$5:$A$24,0))),"")</f>
        <v>46346</v>
      </c>
      <c r="AL42" s="50"/>
      <c r="AM42" s="42"/>
      <c r="AN42" s="55" t="str">
        <f aca="false">IF(N(AL42)=0,"Нет",IF(AL42&gt;=J42,"Да","Частично"))</f>
        <v>Нет</v>
      </c>
      <c r="AO42" s="7" t="n">
        <f aca="false">J42-N(AL42)</f>
        <v>5000</v>
      </c>
      <c r="AP42" s="54"/>
    </row>
    <row r="43" customFormat="false" ht="61.5" hidden="false" customHeight="true" outlineLevel="0" collapsed="false">
      <c r="A43" s="40" t="s">
        <v>153</v>
      </c>
      <c r="B43" s="43" t="str">
        <f aca="false">IFERROR(INDEX('Сводка заказов'!$B$5:$B$24,MATCH($A43,'Сводка заказов'!$A$5:$A$24,0)),"")</f>
        <v>Ningbo Sidana</v>
      </c>
      <c r="C43" s="47" t="n">
        <f aca="false">IFERROR(IF(INDEX('Сводка заказов'!$D$5:$D$24,MATCH($A43,'Сводка заказов'!$A$5:$A$24,0))="","",INDEX('Сводка заказов'!$D$5:$D$24,MATCH($A43,'Сводка заказов'!$A$5:$A$24,0))),"")</f>
        <v>46309</v>
      </c>
      <c r="D43" s="40" t="n">
        <v>23</v>
      </c>
      <c r="E43" s="40"/>
      <c r="F43" s="40" t="s">
        <v>313</v>
      </c>
      <c r="G43" s="53" t="str">
        <f aca="false">'Крепёж и такелаж'!$E$9</f>
        <v>Скоба омегообразная из нержавеющей стали, винт М6, 32×38 мм</v>
      </c>
      <c r="H43" s="54" t="s">
        <v>314</v>
      </c>
      <c r="I43" s="54" t="s">
        <v>222</v>
      </c>
      <c r="J43" s="50" t="n">
        <v>2000</v>
      </c>
      <c r="K43" s="40" t="s">
        <v>96</v>
      </c>
      <c r="L43" s="45" t="n">
        <v>2.8</v>
      </c>
      <c r="M43" s="44" t="n">
        <f aca="false">J43*L43</f>
        <v>5600</v>
      </c>
      <c r="N43" s="40" t="s">
        <v>223</v>
      </c>
      <c r="O43" s="8" t="n">
        <f aca="false">IFERROR(VLOOKUP($N43,'ТН ВЭД'!$A$4:$C$40,3,0),0)</f>
        <v>0.075</v>
      </c>
      <c r="P43" s="8" t="n">
        <f aca="false">Справочники!$B$12</f>
        <v>0.16</v>
      </c>
      <c r="Q43" s="44" t="n">
        <f aca="false">ROUND(L43*Справочники!$B$5,2)</f>
        <v>191.8</v>
      </c>
      <c r="R43" s="44" t="n">
        <f aca="false">ROUND(Q43*N(IFERROR(INDEX('Сводка заказов'!$Q$5:$Q$24,MATCH($A43,'Сводка заказов'!$A$5:$A$24,0)),0)),2)</f>
        <v>0</v>
      </c>
      <c r="S43" s="44" t="n">
        <f aca="false">ROUND(Q43*N(IFERROR(INDEX('Сводка заказов'!$R$5:$R$24,MATCH($A43,'Сводка заказов'!$A$5:$A$24,0)),0)),2)</f>
        <v>0</v>
      </c>
      <c r="T43" s="44" t="n">
        <f aca="false">Q43+R43+S43</f>
        <v>191.8</v>
      </c>
      <c r="U43" s="44" t="n">
        <f aca="false">ROUND(T43*O43,2)</f>
        <v>14.39</v>
      </c>
      <c r="V43" s="44" t="n">
        <f aca="false">ROUND((T43+U43)*P43,2)</f>
        <v>32.99</v>
      </c>
      <c r="W43" s="44" t="n">
        <f aca="false">ROUND(Q43*N(IFERROR(INDEX('Сводка заказов'!$S$5:$S$24,MATCH($A43,'Сводка заказов'!$A$5:$A$24,0)),0)),2)</f>
        <v>28.77</v>
      </c>
      <c r="X43" s="7" t="n">
        <f aca="false">ROUND(T43+U43+W43+IF(Справочники!$B$22="Да",0,V43),0)</f>
        <v>235</v>
      </c>
      <c r="Y43" s="7" t="n">
        <f aca="false">X43*J43</f>
        <v>470000</v>
      </c>
      <c r="Z43" s="7" t="n">
        <f aca="false">U43*J43</f>
        <v>28780</v>
      </c>
      <c r="AA43" s="7" t="n">
        <f aca="false">V43*J43</f>
        <v>65980</v>
      </c>
      <c r="AB43" s="19" t="str">
        <f aca="false">IF('Крепёж и такелаж'!$AO$9="","",'Крепёж и такелаж'!$AO$9)</f>
        <v/>
      </c>
      <c r="AC43" s="19" t="str">
        <f aca="false">IF('Крепёж и такелаж'!$AR$9="","",'Крепёж и такелаж'!$AR$9)</f>
        <v/>
      </c>
      <c r="AD43" s="19" t="n">
        <f aca="false">IF('Крепёж и такелаж'!$AT$9="","",'Крепёж и такелаж'!$AT$9)</f>
        <v>550</v>
      </c>
      <c r="AE43" s="7" t="n">
        <f aca="false">IF(AD43="","",ROUND(AD43/(1+P43),0))</f>
        <v>474</v>
      </c>
      <c r="AF43" s="7" t="n">
        <f aca="false">IF(AE43="","",AE43-X43)</f>
        <v>239</v>
      </c>
      <c r="AG43" s="8" t="n">
        <f aca="false">IF(OR(AE43="",AE43=0),"",AF43/AE43)</f>
        <v>0.5042194092827</v>
      </c>
      <c r="AH43" s="7" t="n">
        <f aca="false">IF(AE43="",0,AE43*J43)</f>
        <v>948000</v>
      </c>
      <c r="AI43" s="7" t="n">
        <f aca="false">IF(AF43="",0,AF43*J43)</f>
        <v>478000</v>
      </c>
      <c r="AJ43" s="40" t="s">
        <v>151</v>
      </c>
      <c r="AK43" s="47" t="n">
        <f aca="false">IFERROR(IF(INDEX('Сводка заказов'!$V$5:$V$24,MATCH($A43,'Сводка заказов'!$A$5:$A$24,0))="","",INDEX('Сводка заказов'!$V$5:$V$24,MATCH($A43,'Сводка заказов'!$A$5:$A$24,0))),"")</f>
        <v>46346</v>
      </c>
      <c r="AL43" s="50"/>
      <c r="AM43" s="42"/>
      <c r="AN43" s="55" t="str">
        <f aca="false">IF(N(AL43)=0,"Нет",IF(AL43&gt;=J43,"Да","Частично"))</f>
        <v>Нет</v>
      </c>
      <c r="AO43" s="7" t="n">
        <f aca="false">J43-N(AL43)</f>
        <v>2000</v>
      </c>
      <c r="AP43" s="54"/>
    </row>
    <row r="44" customFormat="false" ht="61.5" hidden="false" customHeight="true" outlineLevel="0" collapsed="false">
      <c r="A44" s="40" t="s">
        <v>153</v>
      </c>
      <c r="B44" s="43" t="str">
        <f aca="false">IFERROR(INDEX('Сводка заказов'!$B$5:$B$24,MATCH($A44,'Сводка заказов'!$A$5:$A$24,0)),"")</f>
        <v>Ningbo Sidana</v>
      </c>
      <c r="C44" s="47" t="n">
        <f aca="false">IFERROR(IF(INDEX('Сводка заказов'!$D$5:$D$24,MATCH($A44,'Сводка заказов'!$A$5:$A$24,0))="","",INDEX('Сводка заказов'!$D$5:$D$24,MATCH($A44,'Сводка заказов'!$A$5:$A$24,0))),"")</f>
        <v>46309</v>
      </c>
      <c r="D44" s="40" t="n">
        <v>24</v>
      </c>
      <c r="E44" s="40"/>
      <c r="F44" s="40" t="s">
        <v>315</v>
      </c>
      <c r="G44" s="53" t="str">
        <f aca="false">'Крепёж и такелаж'!$E$10</f>
        <v>Скоба такелажная из нержавеющей стали, винт М6, 24×28 мм</v>
      </c>
      <c r="H44" s="54" t="s">
        <v>316</v>
      </c>
      <c r="I44" s="54" t="s">
        <v>222</v>
      </c>
      <c r="J44" s="50" t="n">
        <v>2000</v>
      </c>
      <c r="K44" s="40" t="s">
        <v>96</v>
      </c>
      <c r="L44" s="45" t="n">
        <v>3</v>
      </c>
      <c r="M44" s="44" t="n">
        <f aca="false">J44*L44</f>
        <v>6000</v>
      </c>
      <c r="N44" s="40" t="s">
        <v>223</v>
      </c>
      <c r="O44" s="8" t="n">
        <f aca="false">IFERROR(VLOOKUP($N44,'ТН ВЭД'!$A$4:$C$40,3,0),0)</f>
        <v>0.075</v>
      </c>
      <c r="P44" s="8" t="n">
        <f aca="false">Справочники!$B$12</f>
        <v>0.16</v>
      </c>
      <c r="Q44" s="44" t="n">
        <f aca="false">ROUND(L44*Справочники!$B$5,2)</f>
        <v>205.5</v>
      </c>
      <c r="R44" s="44" t="n">
        <f aca="false">ROUND(Q44*N(IFERROR(INDEX('Сводка заказов'!$Q$5:$Q$24,MATCH($A44,'Сводка заказов'!$A$5:$A$24,0)),0)),2)</f>
        <v>0</v>
      </c>
      <c r="S44" s="44" t="n">
        <f aca="false">ROUND(Q44*N(IFERROR(INDEX('Сводка заказов'!$R$5:$R$24,MATCH($A44,'Сводка заказов'!$A$5:$A$24,0)),0)),2)</f>
        <v>0</v>
      </c>
      <c r="T44" s="44" t="n">
        <f aca="false">Q44+R44+S44</f>
        <v>205.5</v>
      </c>
      <c r="U44" s="44" t="n">
        <f aca="false">ROUND(T44*O44,2)</f>
        <v>15.41</v>
      </c>
      <c r="V44" s="44" t="n">
        <f aca="false">ROUND((T44+U44)*P44,2)</f>
        <v>35.35</v>
      </c>
      <c r="W44" s="44" t="n">
        <f aca="false">ROUND(Q44*N(IFERROR(INDEX('Сводка заказов'!$S$5:$S$24,MATCH($A44,'Сводка заказов'!$A$5:$A$24,0)),0)),2)</f>
        <v>30.83</v>
      </c>
      <c r="X44" s="7" t="n">
        <f aca="false">ROUND(T44+U44+W44+IF(Справочники!$B$22="Да",0,V44),0)</f>
        <v>252</v>
      </c>
      <c r="Y44" s="7" t="n">
        <f aca="false">X44*J44</f>
        <v>504000</v>
      </c>
      <c r="Z44" s="7" t="n">
        <f aca="false">U44*J44</f>
        <v>30820</v>
      </c>
      <c r="AA44" s="7" t="n">
        <f aca="false">V44*J44</f>
        <v>70700</v>
      </c>
      <c r="AB44" s="19" t="str">
        <f aca="false">IF('Крепёж и такелаж'!$AO$10="","",'Крепёж и такелаж'!$AO$10)</f>
        <v/>
      </c>
      <c r="AC44" s="19" t="str">
        <f aca="false">IF('Крепёж и такелаж'!$AR$10="","",'Крепёж и такелаж'!$AR$10)</f>
        <v/>
      </c>
      <c r="AD44" s="19" t="n">
        <f aca="false">IF('Крепёж и такелаж'!$AT$10="","",'Крепёж и такелаж'!$AT$10)</f>
        <v>590</v>
      </c>
      <c r="AE44" s="7" t="n">
        <f aca="false">IF(AD44="","",ROUND(AD44/(1+P44),0))</f>
        <v>509</v>
      </c>
      <c r="AF44" s="7" t="n">
        <f aca="false">IF(AE44="","",AE44-X44)</f>
        <v>257</v>
      </c>
      <c r="AG44" s="8" t="n">
        <f aca="false">IF(OR(AE44="",AE44=0),"",AF44/AE44)</f>
        <v>0.504911591355599</v>
      </c>
      <c r="AH44" s="7" t="n">
        <f aca="false">IF(AE44="",0,AE44*J44)</f>
        <v>1018000</v>
      </c>
      <c r="AI44" s="7" t="n">
        <f aca="false">IF(AF44="",0,AF44*J44)</f>
        <v>514000</v>
      </c>
      <c r="AJ44" s="40" t="s">
        <v>151</v>
      </c>
      <c r="AK44" s="47" t="n">
        <f aca="false">IFERROR(IF(INDEX('Сводка заказов'!$V$5:$V$24,MATCH($A44,'Сводка заказов'!$A$5:$A$24,0))="","",INDEX('Сводка заказов'!$V$5:$V$24,MATCH($A44,'Сводка заказов'!$A$5:$A$24,0))),"")</f>
        <v>46346</v>
      </c>
      <c r="AL44" s="50"/>
      <c r="AM44" s="42"/>
      <c r="AN44" s="55" t="str">
        <f aca="false">IF(N(AL44)=0,"Нет",IF(AL44&gt;=J44,"Да","Частично"))</f>
        <v>Нет</v>
      </c>
      <c r="AO44" s="7" t="n">
        <f aca="false">J44-N(AL44)</f>
        <v>2000</v>
      </c>
      <c r="AP44" s="54"/>
    </row>
    <row r="45" customFormat="false" ht="61.5" hidden="false" customHeight="true" outlineLevel="0" collapsed="false">
      <c r="A45" s="40" t="s">
        <v>153</v>
      </c>
      <c r="B45" s="43" t="str">
        <f aca="false">IFERROR(INDEX('Сводка заказов'!$B$5:$B$24,MATCH($A45,'Сводка заказов'!$A$5:$A$24,0)),"")</f>
        <v>Ningbo Sidana</v>
      </c>
      <c r="C45" s="47" t="n">
        <f aca="false">IFERROR(IF(INDEX('Сводка заказов'!$D$5:$D$24,MATCH($A45,'Сводка заказов'!$A$5:$A$24,0))="","",INDEX('Сводка заказов'!$D$5:$D$24,MATCH($A45,'Сводка заказов'!$A$5:$A$24,0))),"")</f>
        <v>46309</v>
      </c>
      <c r="D45" s="40" t="n">
        <v>25</v>
      </c>
      <c r="E45" s="40"/>
      <c r="F45" s="40" t="s">
        <v>317</v>
      </c>
      <c r="G45" s="53" t="str">
        <f aca="false">'Крепёж и такелаж'!$E$11</f>
        <v>Рым-гайка М6 из нержавеющей стали</v>
      </c>
      <c r="H45" s="54" t="s">
        <v>318</v>
      </c>
      <c r="I45" s="54" t="s">
        <v>222</v>
      </c>
      <c r="J45" s="50" t="n">
        <v>1000</v>
      </c>
      <c r="K45" s="40" t="s">
        <v>96</v>
      </c>
      <c r="L45" s="45" t="n">
        <v>1.8</v>
      </c>
      <c r="M45" s="44" t="n">
        <f aca="false">J45*L45</f>
        <v>1800</v>
      </c>
      <c r="N45" s="40" t="s">
        <v>319</v>
      </c>
      <c r="O45" s="8" t="n">
        <f aca="false">IFERROR(VLOOKUP($N45,'ТН ВЭД'!$A$4:$C$40,3,0),0)</f>
        <v>0.08</v>
      </c>
      <c r="P45" s="8" t="n">
        <f aca="false">Справочники!$B$12</f>
        <v>0.16</v>
      </c>
      <c r="Q45" s="44" t="n">
        <f aca="false">ROUND(L45*Справочники!$B$5,2)</f>
        <v>123.3</v>
      </c>
      <c r="R45" s="44" t="n">
        <f aca="false">ROUND(Q45*N(IFERROR(INDEX('Сводка заказов'!$Q$5:$Q$24,MATCH($A45,'Сводка заказов'!$A$5:$A$24,0)),0)),2)</f>
        <v>0</v>
      </c>
      <c r="S45" s="44" t="n">
        <f aca="false">ROUND(Q45*N(IFERROR(INDEX('Сводка заказов'!$R$5:$R$24,MATCH($A45,'Сводка заказов'!$A$5:$A$24,0)),0)),2)</f>
        <v>0</v>
      </c>
      <c r="T45" s="44" t="n">
        <f aca="false">Q45+R45+S45</f>
        <v>123.3</v>
      </c>
      <c r="U45" s="44" t="n">
        <f aca="false">ROUND(T45*O45,2)</f>
        <v>9.86</v>
      </c>
      <c r="V45" s="44" t="n">
        <f aca="false">ROUND((T45+U45)*P45,2)</f>
        <v>21.31</v>
      </c>
      <c r="W45" s="44" t="n">
        <f aca="false">ROUND(Q45*N(IFERROR(INDEX('Сводка заказов'!$S$5:$S$24,MATCH($A45,'Сводка заказов'!$A$5:$A$24,0)),0)),2)</f>
        <v>18.5</v>
      </c>
      <c r="X45" s="7" t="n">
        <f aca="false">ROUND(T45+U45+W45+IF(Справочники!$B$22="Да",0,V45),0)</f>
        <v>152</v>
      </c>
      <c r="Y45" s="7" t="n">
        <f aca="false">X45*J45</f>
        <v>152000</v>
      </c>
      <c r="Z45" s="7" t="n">
        <f aca="false">U45*J45</f>
        <v>9860</v>
      </c>
      <c r="AA45" s="7" t="n">
        <f aca="false">V45*J45</f>
        <v>21310</v>
      </c>
      <c r="AB45" s="19" t="str">
        <f aca="false">IF('Крепёж и такелаж'!$AO$11="","",'Крепёж и такелаж'!$AO$11)</f>
        <v/>
      </c>
      <c r="AC45" s="19" t="str">
        <f aca="false">IF('Крепёж и такелаж'!$AR$11="","",'Крепёж и такелаж'!$AR$11)</f>
        <v/>
      </c>
      <c r="AD45" s="19" t="n">
        <f aca="false">IF('Крепёж и такелаж'!$AT$11="","",'Крепёж и такелаж'!$AT$11)</f>
        <v>360</v>
      </c>
      <c r="AE45" s="7" t="n">
        <f aca="false">IF(AD45="","",ROUND(AD45/(1+P45),0))</f>
        <v>310</v>
      </c>
      <c r="AF45" s="7" t="n">
        <f aca="false">IF(AE45="","",AE45-X45)</f>
        <v>158</v>
      </c>
      <c r="AG45" s="8" t="n">
        <f aca="false">IF(OR(AE45="",AE45=0),"",AF45/AE45)</f>
        <v>0.509677419354839</v>
      </c>
      <c r="AH45" s="7" t="n">
        <f aca="false">IF(AE45="",0,AE45*J45)</f>
        <v>310000</v>
      </c>
      <c r="AI45" s="7" t="n">
        <f aca="false">IF(AF45="",0,AF45*J45)</f>
        <v>158000</v>
      </c>
      <c r="AJ45" s="40" t="s">
        <v>151</v>
      </c>
      <c r="AK45" s="47" t="n">
        <f aca="false">IFERROR(IF(INDEX('Сводка заказов'!$V$5:$V$24,MATCH($A45,'Сводка заказов'!$A$5:$A$24,0))="","",INDEX('Сводка заказов'!$V$5:$V$24,MATCH($A45,'Сводка заказов'!$A$5:$A$24,0))),"")</f>
        <v>46346</v>
      </c>
      <c r="AL45" s="50"/>
      <c r="AM45" s="42"/>
      <c r="AN45" s="55" t="str">
        <f aca="false">IF(N(AL45)=0,"Нет",IF(AL45&gt;=J45,"Да","Частично"))</f>
        <v>Нет</v>
      </c>
      <c r="AO45" s="7" t="n">
        <f aca="false">J45-N(AL45)</f>
        <v>1000</v>
      </c>
      <c r="AP45" s="54"/>
    </row>
    <row r="46" customFormat="false" ht="61.5" hidden="false" customHeight="true" outlineLevel="0" collapsed="false">
      <c r="A46" s="40" t="s">
        <v>153</v>
      </c>
      <c r="B46" s="43" t="str">
        <f aca="false">IFERROR(INDEX('Сводка заказов'!$B$5:$B$24,MATCH($A46,'Сводка заказов'!$A$5:$A$24,0)),"")</f>
        <v>Ningbo Sidana</v>
      </c>
      <c r="C46" s="47" t="n">
        <f aca="false">IFERROR(IF(INDEX('Сводка заказов'!$D$5:$D$24,MATCH($A46,'Сводка заказов'!$A$5:$A$24,0))="","",INDEX('Сводка заказов'!$D$5:$D$24,MATCH($A46,'Сводка заказов'!$A$5:$A$24,0))),"")</f>
        <v>46309</v>
      </c>
      <c r="D46" s="40" t="n">
        <v>26</v>
      </c>
      <c r="E46" s="40"/>
      <c r="F46" s="40" t="s">
        <v>320</v>
      </c>
      <c r="G46" s="53" t="str">
        <f aca="false">'Крепёж и такелаж'!$E$12</f>
        <v>Рым-гайка М10 из нержавеющей стали, до 230 кг</v>
      </c>
      <c r="H46" s="54" t="s">
        <v>321</v>
      </c>
      <c r="I46" s="54" t="s">
        <v>222</v>
      </c>
      <c r="J46" s="50" t="n">
        <v>1000</v>
      </c>
      <c r="K46" s="40" t="s">
        <v>96</v>
      </c>
      <c r="L46" s="45" t="n">
        <v>3</v>
      </c>
      <c r="M46" s="44" t="n">
        <f aca="false">J46*L46</f>
        <v>3000</v>
      </c>
      <c r="N46" s="40" t="s">
        <v>319</v>
      </c>
      <c r="O46" s="8" t="n">
        <f aca="false">IFERROR(VLOOKUP($N46,'ТН ВЭД'!$A$4:$C$40,3,0),0)</f>
        <v>0.08</v>
      </c>
      <c r="P46" s="8" t="n">
        <f aca="false">Справочники!$B$12</f>
        <v>0.16</v>
      </c>
      <c r="Q46" s="44" t="n">
        <f aca="false">ROUND(L46*Справочники!$B$5,2)</f>
        <v>205.5</v>
      </c>
      <c r="R46" s="44" t="n">
        <f aca="false">ROUND(Q46*N(IFERROR(INDEX('Сводка заказов'!$Q$5:$Q$24,MATCH($A46,'Сводка заказов'!$A$5:$A$24,0)),0)),2)</f>
        <v>0</v>
      </c>
      <c r="S46" s="44" t="n">
        <f aca="false">ROUND(Q46*N(IFERROR(INDEX('Сводка заказов'!$R$5:$R$24,MATCH($A46,'Сводка заказов'!$A$5:$A$24,0)),0)),2)</f>
        <v>0</v>
      </c>
      <c r="T46" s="44" t="n">
        <f aca="false">Q46+R46+S46</f>
        <v>205.5</v>
      </c>
      <c r="U46" s="44" t="n">
        <f aca="false">ROUND(T46*O46,2)</f>
        <v>16.44</v>
      </c>
      <c r="V46" s="44" t="n">
        <f aca="false">ROUND((T46+U46)*P46,2)</f>
        <v>35.51</v>
      </c>
      <c r="W46" s="44" t="n">
        <f aca="false">ROUND(Q46*N(IFERROR(INDEX('Сводка заказов'!$S$5:$S$24,MATCH($A46,'Сводка заказов'!$A$5:$A$24,0)),0)),2)</f>
        <v>30.83</v>
      </c>
      <c r="X46" s="7" t="n">
        <f aca="false">ROUND(T46+U46+W46+IF(Справочники!$B$22="Да",0,V46),0)</f>
        <v>253</v>
      </c>
      <c r="Y46" s="7" t="n">
        <f aca="false">X46*J46</f>
        <v>253000</v>
      </c>
      <c r="Z46" s="7" t="n">
        <f aca="false">U46*J46</f>
        <v>16440</v>
      </c>
      <c r="AA46" s="7" t="n">
        <f aca="false">V46*J46</f>
        <v>35510</v>
      </c>
      <c r="AB46" s="19" t="str">
        <f aca="false">IF('Крепёж и такелаж'!$AO$12="","",'Крепёж и такелаж'!$AO$12)</f>
        <v/>
      </c>
      <c r="AC46" s="19" t="str">
        <f aca="false">IF('Крепёж и такелаж'!$AR$12="","",'Крепёж и такелаж'!$AR$12)</f>
        <v/>
      </c>
      <c r="AD46" s="19" t="n">
        <f aca="false">IF('Крепёж и такелаж'!$AT$12="","",'Крепёж и такелаж'!$AT$12)</f>
        <v>590</v>
      </c>
      <c r="AE46" s="7" t="n">
        <f aca="false">IF(AD46="","",ROUND(AD46/(1+P46),0))</f>
        <v>509</v>
      </c>
      <c r="AF46" s="7" t="n">
        <f aca="false">IF(AE46="","",AE46-X46)</f>
        <v>256</v>
      </c>
      <c r="AG46" s="8" t="n">
        <f aca="false">IF(OR(AE46="",AE46=0),"",AF46/AE46)</f>
        <v>0.50294695481336</v>
      </c>
      <c r="AH46" s="7" t="n">
        <f aca="false">IF(AE46="",0,AE46*J46)</f>
        <v>509000</v>
      </c>
      <c r="AI46" s="7" t="n">
        <f aca="false">IF(AF46="",0,AF46*J46)</f>
        <v>256000</v>
      </c>
      <c r="AJ46" s="40" t="s">
        <v>151</v>
      </c>
      <c r="AK46" s="47" t="n">
        <f aca="false">IFERROR(IF(INDEX('Сводка заказов'!$V$5:$V$24,MATCH($A46,'Сводка заказов'!$A$5:$A$24,0))="","",INDEX('Сводка заказов'!$V$5:$V$24,MATCH($A46,'Сводка заказов'!$A$5:$A$24,0))),"")</f>
        <v>46346</v>
      </c>
      <c r="AL46" s="50"/>
      <c r="AM46" s="42"/>
      <c r="AN46" s="55" t="str">
        <f aca="false">IF(N(AL46)=0,"Нет",IF(AL46&gt;=J46,"Да","Частично"))</f>
        <v>Нет</v>
      </c>
      <c r="AO46" s="7" t="n">
        <f aca="false">J46-N(AL46)</f>
        <v>1000</v>
      </c>
      <c r="AP46" s="54"/>
    </row>
    <row r="47" customFormat="false" ht="61.5" hidden="false" customHeight="true" outlineLevel="0" collapsed="false">
      <c r="A47" s="40" t="s">
        <v>153</v>
      </c>
      <c r="B47" s="43" t="str">
        <f aca="false">IFERROR(INDEX('Сводка заказов'!$B$5:$B$24,MATCH($A47,'Сводка заказов'!$A$5:$A$24,0)),"")</f>
        <v>Ningbo Sidana</v>
      </c>
      <c r="C47" s="47" t="n">
        <f aca="false">IFERROR(IF(INDEX('Сводка заказов'!$D$5:$D$24,MATCH($A47,'Сводка заказов'!$A$5:$A$24,0))="","",INDEX('Сводка заказов'!$D$5:$D$24,MATCH($A47,'Сводка заказов'!$A$5:$A$24,0))),"")</f>
        <v>46309</v>
      </c>
      <c r="D47" s="40" t="n">
        <v>27</v>
      </c>
      <c r="E47" s="40"/>
      <c r="F47" s="40" t="s">
        <v>322</v>
      </c>
      <c r="G47" s="53" t="str">
        <f aca="false">'Крепёж и такелаж'!$E$13</f>
        <v>Шуруп-кольцо М10×100 из нержавеющей стали</v>
      </c>
      <c r="H47" s="54" t="s">
        <v>323</v>
      </c>
      <c r="I47" s="54" t="s">
        <v>222</v>
      </c>
      <c r="J47" s="50" t="n">
        <v>1000</v>
      </c>
      <c r="K47" s="40" t="s">
        <v>96</v>
      </c>
      <c r="L47" s="45" t="n">
        <v>8</v>
      </c>
      <c r="M47" s="44" t="n">
        <f aca="false">J47*L47</f>
        <v>8000</v>
      </c>
      <c r="N47" s="40" t="s">
        <v>324</v>
      </c>
      <c r="O47" s="8" t="n">
        <f aca="false">IFERROR(VLOOKUP($N47,'ТН ВЭД'!$A$4:$C$40,3,0),0)</f>
        <v>0.08</v>
      </c>
      <c r="P47" s="8" t="n">
        <f aca="false">Справочники!$B$12</f>
        <v>0.16</v>
      </c>
      <c r="Q47" s="44" t="n">
        <f aca="false">ROUND(L47*Справочники!$B$5,2)</f>
        <v>548</v>
      </c>
      <c r="R47" s="44" t="n">
        <f aca="false">ROUND(Q47*N(IFERROR(INDEX('Сводка заказов'!$Q$5:$Q$24,MATCH($A47,'Сводка заказов'!$A$5:$A$24,0)),0)),2)</f>
        <v>0</v>
      </c>
      <c r="S47" s="44" t="n">
        <f aca="false">ROUND(Q47*N(IFERROR(INDEX('Сводка заказов'!$R$5:$R$24,MATCH($A47,'Сводка заказов'!$A$5:$A$24,0)),0)),2)</f>
        <v>0</v>
      </c>
      <c r="T47" s="44" t="n">
        <f aca="false">Q47+R47+S47</f>
        <v>548</v>
      </c>
      <c r="U47" s="44" t="n">
        <f aca="false">ROUND(T47*O47,2)</f>
        <v>43.84</v>
      </c>
      <c r="V47" s="44" t="n">
        <f aca="false">ROUND((T47+U47)*P47,2)</f>
        <v>94.69</v>
      </c>
      <c r="W47" s="44" t="n">
        <f aca="false">ROUND(Q47*N(IFERROR(INDEX('Сводка заказов'!$S$5:$S$24,MATCH($A47,'Сводка заказов'!$A$5:$A$24,0)),0)),2)</f>
        <v>82.2</v>
      </c>
      <c r="X47" s="7" t="n">
        <f aca="false">ROUND(T47+U47+W47+IF(Справочники!$B$22="Да",0,V47),0)</f>
        <v>674</v>
      </c>
      <c r="Y47" s="7" t="n">
        <f aca="false">X47*J47</f>
        <v>674000</v>
      </c>
      <c r="Z47" s="7" t="n">
        <f aca="false">U47*J47</f>
        <v>43840</v>
      </c>
      <c r="AA47" s="7" t="n">
        <f aca="false">V47*J47</f>
        <v>94690</v>
      </c>
      <c r="AB47" s="19" t="str">
        <f aca="false">IF('Крепёж и такелаж'!$AO$13="","",'Крепёж и такелаж'!$AO$13)</f>
        <v/>
      </c>
      <c r="AC47" s="19" t="str">
        <f aca="false">IF('Крепёж и такелаж'!$AR$13="","",'Крепёж и такелаж'!$AR$13)</f>
        <v/>
      </c>
      <c r="AD47" s="19" t="n">
        <f aca="false">IF('Крепёж и такелаж'!$AT$13="","",'Крепёж и такелаж'!$AT$13)</f>
        <v>1570</v>
      </c>
      <c r="AE47" s="7" t="n">
        <f aca="false">IF(AD47="","",ROUND(AD47/(1+P47),0))</f>
        <v>1353</v>
      </c>
      <c r="AF47" s="7" t="n">
        <f aca="false">IF(AE47="","",AE47-X47)</f>
        <v>679</v>
      </c>
      <c r="AG47" s="8" t="n">
        <f aca="false">IF(OR(AE47="",AE47=0),"",AF47/AE47)</f>
        <v>0.501847745750185</v>
      </c>
      <c r="AH47" s="7" t="n">
        <f aca="false">IF(AE47="",0,AE47*J47)</f>
        <v>1353000</v>
      </c>
      <c r="AI47" s="7" t="n">
        <f aca="false">IF(AF47="",0,AF47*J47)</f>
        <v>679000</v>
      </c>
      <c r="AJ47" s="40" t="s">
        <v>151</v>
      </c>
      <c r="AK47" s="47" t="n">
        <f aca="false">IFERROR(IF(INDEX('Сводка заказов'!$V$5:$V$24,MATCH($A47,'Сводка заказов'!$A$5:$A$24,0))="","",INDEX('Сводка заказов'!$V$5:$V$24,MATCH($A47,'Сводка заказов'!$A$5:$A$24,0))),"")</f>
        <v>46346</v>
      </c>
      <c r="AL47" s="50"/>
      <c r="AM47" s="42"/>
      <c r="AN47" s="55" t="str">
        <f aca="false">IF(N(AL47)=0,"Нет",IF(AL47&gt;=J47,"Да","Частично"))</f>
        <v>Нет</v>
      </c>
      <c r="AO47" s="7" t="n">
        <f aca="false">J47-N(AL47)</f>
        <v>1000</v>
      </c>
      <c r="AP47" s="54" t="s">
        <v>325</v>
      </c>
    </row>
    <row r="48" customFormat="false" ht="61.5" hidden="false" customHeight="true" outlineLevel="0" collapsed="false">
      <c r="A48" s="40" t="s">
        <v>157</v>
      </c>
      <c r="B48" s="43" t="str">
        <f aca="false">IFERROR(INDEX('Сводка заказов'!$B$5:$B$24,MATCH($A48,'Сводка заказов'!$A$5:$A$24,0)),"")</f>
        <v>Ningbo Sidana</v>
      </c>
      <c r="C48" s="47" t="n">
        <f aca="false">IFERROR(IF(INDEX('Сводка заказов'!$D$5:$D$24,MATCH($A48,'Сводка заказов'!$A$5:$A$24,0))="","",INDEX('Сводка заказов'!$D$5:$D$24,MATCH($A48,'Сводка заказов'!$A$5:$A$24,0))),"")</f>
        <v>46309</v>
      </c>
      <c r="D48" s="40" t="n">
        <v>1</v>
      </c>
      <c r="E48" s="40"/>
      <c r="F48" s="40" t="s">
        <v>224</v>
      </c>
      <c r="G48" s="53" t="str">
        <f aca="false">'ГИЛЬЗЫ И ВТУЛКИ'!$E$4</f>
        <v>Овальная алюминиевая обжимная гильза 40х45х29 мм для каната Ø16 мм</v>
      </c>
      <c r="H48" s="54" t="s">
        <v>326</v>
      </c>
      <c r="I48" s="54" t="s">
        <v>222</v>
      </c>
      <c r="J48" s="50" t="n">
        <v>3000</v>
      </c>
      <c r="K48" s="40" t="s">
        <v>96</v>
      </c>
      <c r="L48" s="45" t="n">
        <v>1.98</v>
      </c>
      <c r="M48" s="44" t="n">
        <f aca="false">J48*L48</f>
        <v>5940</v>
      </c>
      <c r="N48" s="40" t="s">
        <v>226</v>
      </c>
      <c r="O48" s="8" t="n">
        <f aca="false">IFERROR(VLOOKUP($N48,'ТН ВЭД'!$A$4:$C$40,3,0),0)</f>
        <v>0.09</v>
      </c>
      <c r="P48" s="8" t="n">
        <f aca="false">Справочники!$B$12</f>
        <v>0.16</v>
      </c>
      <c r="Q48" s="44" t="n">
        <f aca="false">ROUND(L48*Справочники!$B$5,2)</f>
        <v>135.63</v>
      </c>
      <c r="R48" s="44" t="n">
        <f aca="false">ROUND(Q48*N(IFERROR(INDEX('Сводка заказов'!$Q$5:$Q$24,MATCH($A48,'Сводка заказов'!$A$5:$A$24,0)),0)),2)</f>
        <v>0</v>
      </c>
      <c r="S48" s="44" t="n">
        <f aca="false">ROUND(Q48*N(IFERROR(INDEX('Сводка заказов'!$R$5:$R$24,MATCH($A48,'Сводка заказов'!$A$5:$A$24,0)),0)),2)</f>
        <v>0</v>
      </c>
      <c r="T48" s="44" t="n">
        <f aca="false">Q48+R48+S48</f>
        <v>135.63</v>
      </c>
      <c r="U48" s="44" t="n">
        <f aca="false">ROUND(T48*O48,2)</f>
        <v>12.21</v>
      </c>
      <c r="V48" s="44" t="n">
        <f aca="false">ROUND((T48+U48)*P48,2)</f>
        <v>23.65</v>
      </c>
      <c r="W48" s="44" t="n">
        <f aca="false">ROUND(Q48*N(IFERROR(INDEX('Сводка заказов'!$S$5:$S$24,MATCH($A48,'Сводка заказов'!$A$5:$A$24,0)),0)),2)</f>
        <v>20.34</v>
      </c>
      <c r="X48" s="7" t="n">
        <f aca="false">ROUND(T48+U48+W48+IF(Справочники!$B$22="Да",0,V48),0)</f>
        <v>168</v>
      </c>
      <c r="Y48" s="7" t="n">
        <f aca="false">X48*J48</f>
        <v>504000</v>
      </c>
      <c r="Z48" s="7" t="n">
        <f aca="false">U48*J48</f>
        <v>36630</v>
      </c>
      <c r="AA48" s="7" t="n">
        <f aca="false">V48*J48</f>
        <v>70950</v>
      </c>
      <c r="AB48" s="19" t="n">
        <f aca="false">IF('ГИЛЬЗЫ И ВТУЛКИ'!$AO$4="","",'ГИЛЬЗЫ И ВТУЛКИ'!$AO$4)</f>
        <v>100.5</v>
      </c>
      <c r="AC48" s="19" t="n">
        <f aca="false">IF('ГИЛЬЗЫ И ВТУЛКИ'!$AR$4="","",'ГИЛЬЗЫ И ВТУЛКИ'!$AR$4)</f>
        <v>618</v>
      </c>
      <c r="AD48" s="19" t="n">
        <f aca="false">IF('ГИЛЬЗЫ И ВТУЛКИ'!$AT$4="","",'ГИЛЬЗЫ И ВТУЛКИ'!$AT$4)</f>
        <v>400</v>
      </c>
      <c r="AE48" s="7" t="n">
        <f aca="false">IF(AD48="","",ROUND(AD48/(1+P48),0))</f>
        <v>345</v>
      </c>
      <c r="AF48" s="7" t="n">
        <f aca="false">IF(AE48="","",AE48-X48)</f>
        <v>177</v>
      </c>
      <c r="AG48" s="8" t="n">
        <f aca="false">IF(OR(AE48="",AE48=0),"",AF48/AE48)</f>
        <v>0.51304347826087</v>
      </c>
      <c r="AH48" s="7" t="n">
        <f aca="false">IF(AE48="",0,AE48*J48)</f>
        <v>1035000</v>
      </c>
      <c r="AI48" s="7" t="n">
        <f aca="false">IF(AF48="",0,AF48*J48)</f>
        <v>531000</v>
      </c>
      <c r="AJ48" s="40" t="s">
        <v>151</v>
      </c>
      <c r="AK48" s="47" t="n">
        <f aca="false">IFERROR(IF(INDEX('Сводка заказов'!$V$5:$V$24,MATCH($A48,'Сводка заказов'!$A$5:$A$24,0))="","",INDEX('Сводка заказов'!$V$5:$V$24,MATCH($A48,'Сводка заказов'!$A$5:$A$24,0))),"")</f>
        <v>46372</v>
      </c>
      <c r="AL48" s="50"/>
      <c r="AM48" s="42"/>
      <c r="AN48" s="55" t="str">
        <f aca="false">IF(N(AL48)=0,"Нет",IF(AL48&gt;=J48,"Да","Частично"))</f>
        <v>Нет</v>
      </c>
      <c r="AO48" s="7" t="n">
        <f aca="false">J48-N(AL48)</f>
        <v>3000</v>
      </c>
      <c r="AP48" s="54" t="s">
        <v>327</v>
      </c>
    </row>
    <row r="49" customFormat="false" ht="61.5" hidden="false" customHeight="true" outlineLevel="0" collapsed="false">
      <c r="A49" s="40" t="s">
        <v>157</v>
      </c>
      <c r="B49" s="43" t="str">
        <f aca="false">IFERROR(INDEX('Сводка заказов'!$B$5:$B$24,MATCH($A49,'Сводка заказов'!$A$5:$A$24,0)),"")</f>
        <v>Ningbo Sidana</v>
      </c>
      <c r="C49" s="47" t="n">
        <f aca="false">IFERROR(IF(INDEX('Сводка заказов'!$D$5:$D$24,MATCH($A49,'Сводка заказов'!$A$5:$A$24,0))="","",INDEX('Сводка заказов'!$D$5:$D$24,MATCH($A49,'Сводка заказов'!$A$5:$A$24,0))),"")</f>
        <v>46309</v>
      </c>
      <c r="D49" s="40" t="n">
        <v>2</v>
      </c>
      <c r="E49" s="40"/>
      <c r="F49" s="40" t="s">
        <v>328</v>
      </c>
      <c r="G49" s="53" t="str">
        <f aca="false">'ГИЛЬЗЫ И ВТУЛКИ'!$E$6</f>
        <v>Алюминиевая обжимная гильза 28×28 мм для каната Ø16 мм</v>
      </c>
      <c r="H49" s="54" t="s">
        <v>329</v>
      </c>
      <c r="I49" s="54" t="s">
        <v>222</v>
      </c>
      <c r="J49" s="50" t="n">
        <v>100</v>
      </c>
      <c r="K49" s="40" t="s">
        <v>96</v>
      </c>
      <c r="L49" s="45" t="n">
        <v>2.5</v>
      </c>
      <c r="M49" s="44" t="n">
        <f aca="false">J49*L49</f>
        <v>250</v>
      </c>
      <c r="N49" s="40" t="s">
        <v>226</v>
      </c>
      <c r="O49" s="8" t="n">
        <f aca="false">IFERROR(VLOOKUP($N49,'ТН ВЭД'!$A$4:$C$40,3,0),0)</f>
        <v>0.09</v>
      </c>
      <c r="P49" s="8" t="n">
        <f aca="false">Справочники!$B$12</f>
        <v>0.16</v>
      </c>
      <c r="Q49" s="44" t="n">
        <f aca="false">ROUND(L49*Справочники!$B$5,2)</f>
        <v>171.25</v>
      </c>
      <c r="R49" s="44" t="n">
        <f aca="false">ROUND(Q49*N(IFERROR(INDEX('Сводка заказов'!$Q$5:$Q$24,MATCH($A49,'Сводка заказов'!$A$5:$A$24,0)),0)),2)</f>
        <v>0</v>
      </c>
      <c r="S49" s="44" t="n">
        <f aca="false">ROUND(Q49*N(IFERROR(INDEX('Сводка заказов'!$R$5:$R$24,MATCH($A49,'Сводка заказов'!$A$5:$A$24,0)),0)),2)</f>
        <v>0</v>
      </c>
      <c r="T49" s="44" t="n">
        <f aca="false">Q49+R49+S49</f>
        <v>171.25</v>
      </c>
      <c r="U49" s="44" t="n">
        <f aca="false">ROUND(T49*O49,2)</f>
        <v>15.41</v>
      </c>
      <c r="V49" s="44" t="n">
        <f aca="false">ROUND((T49+U49)*P49,2)</f>
        <v>29.87</v>
      </c>
      <c r="W49" s="44" t="n">
        <f aca="false">ROUND(Q49*N(IFERROR(INDEX('Сводка заказов'!$S$5:$S$24,MATCH($A49,'Сводка заказов'!$A$5:$A$24,0)),0)),2)</f>
        <v>25.69</v>
      </c>
      <c r="X49" s="7" t="n">
        <f aca="false">ROUND(T49+U49+W49+IF(Справочники!$B$22="Да",0,V49),0)</f>
        <v>212</v>
      </c>
      <c r="Y49" s="7" t="n">
        <f aca="false">X49*J49</f>
        <v>21200</v>
      </c>
      <c r="Z49" s="7" t="n">
        <f aca="false">U49*J49</f>
        <v>1541</v>
      </c>
      <c r="AA49" s="7" t="n">
        <f aca="false">V49*J49</f>
        <v>2987</v>
      </c>
      <c r="AB49" s="19" t="n">
        <f aca="false">IF('ГИЛЬЗЫ И ВТУЛКИ'!$AO$6="","",'ГИЛЬЗЫ И ВТУЛКИ'!$AO$6)</f>
        <v>215</v>
      </c>
      <c r="AC49" s="19" t="n">
        <f aca="false">IF('ГИЛЬЗЫ И ВТУЛКИ'!$AR$6="","",'ГИЛЬЗЫ И ВТУЛКИ'!$AR$6)</f>
        <v>1322</v>
      </c>
      <c r="AD49" s="19" t="n">
        <f aca="false">IF('ГИЛЬЗЫ И ВТУЛКИ'!$AT$6="","",'ГИЛЬЗЫ И ВТУЛКИ'!$AT$6)</f>
        <v>750</v>
      </c>
      <c r="AE49" s="7" t="n">
        <f aca="false">IF(AD49="","",ROUND(AD49/(1+P49),0))</f>
        <v>647</v>
      </c>
      <c r="AF49" s="7" t="n">
        <f aca="false">IF(AE49="","",AE49-X49)</f>
        <v>435</v>
      </c>
      <c r="AG49" s="8" t="n">
        <f aca="false">IF(OR(AE49="",AE49=0),"",AF49/AE49)</f>
        <v>0.672333848531685</v>
      </c>
      <c r="AH49" s="7" t="n">
        <f aca="false">IF(AE49="",0,AE49*J49)</f>
        <v>64700</v>
      </c>
      <c r="AI49" s="7" t="n">
        <f aca="false">IF(AF49="",0,AF49*J49)</f>
        <v>43500</v>
      </c>
      <c r="AJ49" s="40" t="s">
        <v>151</v>
      </c>
      <c r="AK49" s="47" t="n">
        <f aca="false">IFERROR(IF(INDEX('Сводка заказов'!$V$5:$V$24,MATCH($A49,'Сводка заказов'!$A$5:$A$24,0))="","",INDEX('Сводка заказов'!$V$5:$V$24,MATCH($A49,'Сводка заказов'!$A$5:$A$24,0))),"")</f>
        <v>46372</v>
      </c>
      <c r="AL49" s="50"/>
      <c r="AM49" s="42"/>
      <c r="AN49" s="55" t="str">
        <f aca="false">IF(N(AL49)=0,"Нет",IF(AL49&gt;=J49,"Да","Частично"))</f>
        <v>Нет</v>
      </c>
      <c r="AO49" s="7" t="n">
        <f aca="false">J49-N(AL49)</f>
        <v>100</v>
      </c>
      <c r="AP49" s="54" t="s">
        <v>327</v>
      </c>
    </row>
    <row r="50" customFormat="false" ht="61.5" hidden="false" customHeight="true" outlineLevel="0" collapsed="false">
      <c r="A50" s="40" t="s">
        <v>157</v>
      </c>
      <c r="B50" s="43" t="str">
        <f aca="false">IFERROR(INDEX('Сводка заказов'!$B$5:$B$24,MATCH($A50,'Сводка заказов'!$A$5:$A$24,0)),"")</f>
        <v>Ningbo Sidana</v>
      </c>
      <c r="C50" s="47" t="n">
        <f aca="false">IFERROR(IF(INDEX('Сводка заказов'!$D$5:$D$24,MATCH($A50,'Сводка заказов'!$A$5:$A$24,0))="","",INDEX('Сводка заказов'!$D$5:$D$24,MATCH($A50,'Сводка заказов'!$A$5:$A$24,0))),"")</f>
        <v>46309</v>
      </c>
      <c r="D50" s="40" t="n">
        <v>3</v>
      </c>
      <c r="E50" s="40"/>
      <c r="F50" s="40" t="s">
        <v>330</v>
      </c>
      <c r="G50" s="53" t="str">
        <f aca="false">'ГИЛЬЗЫ И ВТУЛКИ'!$E$7</f>
        <v>Алюминиевая обжимная гильза 38×28 мм для каната Ø16 мм</v>
      </c>
      <c r="H50" s="54" t="s">
        <v>331</v>
      </c>
      <c r="I50" s="54" t="s">
        <v>222</v>
      </c>
      <c r="J50" s="50" t="n">
        <v>100</v>
      </c>
      <c r="K50" s="40" t="s">
        <v>96</v>
      </c>
      <c r="L50" s="45" t="n">
        <v>3</v>
      </c>
      <c r="M50" s="44" t="n">
        <f aca="false">J50*L50</f>
        <v>300</v>
      </c>
      <c r="N50" s="40" t="s">
        <v>226</v>
      </c>
      <c r="O50" s="8" t="n">
        <f aca="false">IFERROR(VLOOKUP($N50,'ТН ВЭД'!$A$4:$C$40,3,0),0)</f>
        <v>0.09</v>
      </c>
      <c r="P50" s="8" t="n">
        <f aca="false">Справочники!$B$12</f>
        <v>0.16</v>
      </c>
      <c r="Q50" s="44" t="n">
        <f aca="false">ROUND(L50*Справочники!$B$5,2)</f>
        <v>205.5</v>
      </c>
      <c r="R50" s="44" t="n">
        <f aca="false">ROUND(Q50*N(IFERROR(INDEX('Сводка заказов'!$Q$5:$Q$24,MATCH($A50,'Сводка заказов'!$A$5:$A$24,0)),0)),2)</f>
        <v>0</v>
      </c>
      <c r="S50" s="44" t="n">
        <f aca="false">ROUND(Q50*N(IFERROR(INDEX('Сводка заказов'!$R$5:$R$24,MATCH($A50,'Сводка заказов'!$A$5:$A$24,0)),0)),2)</f>
        <v>0</v>
      </c>
      <c r="T50" s="44" t="n">
        <f aca="false">Q50+R50+S50</f>
        <v>205.5</v>
      </c>
      <c r="U50" s="44" t="n">
        <f aca="false">ROUND(T50*O50,2)</f>
        <v>18.5</v>
      </c>
      <c r="V50" s="44" t="n">
        <f aca="false">ROUND((T50+U50)*P50,2)</f>
        <v>35.84</v>
      </c>
      <c r="W50" s="44" t="n">
        <f aca="false">ROUND(Q50*N(IFERROR(INDEX('Сводка заказов'!$S$5:$S$24,MATCH($A50,'Сводка заказов'!$A$5:$A$24,0)),0)),2)</f>
        <v>30.83</v>
      </c>
      <c r="X50" s="7" t="n">
        <f aca="false">ROUND(T50+U50+W50+IF(Справочники!$B$22="Да",0,V50),0)</f>
        <v>255</v>
      </c>
      <c r="Y50" s="7" t="n">
        <f aca="false">X50*J50</f>
        <v>25500</v>
      </c>
      <c r="Z50" s="7" t="n">
        <f aca="false">U50*J50</f>
        <v>1850</v>
      </c>
      <c r="AA50" s="7" t="n">
        <f aca="false">V50*J50</f>
        <v>3584</v>
      </c>
      <c r="AB50" s="19" t="n">
        <f aca="false">IF('ГИЛЬЗЫ И ВТУЛКИ'!$AO$7="","",'ГИЛЬЗЫ И ВТУЛКИ'!$AO$7)</f>
        <v>235</v>
      </c>
      <c r="AC50" s="19" t="n">
        <f aca="false">IF('ГИЛЬЗЫ И ВТУЛКИ'!$AR$7="","",'ГИЛЬЗЫ И ВТУЛКИ'!$AR$7)</f>
        <v>1445</v>
      </c>
      <c r="AD50" s="19" t="n">
        <f aca="false">IF('ГИЛЬЗЫ И ВТУЛКИ'!$AT$7="","",'ГИЛЬЗЫ И ВТУЛКИ'!$AT$7)</f>
        <v>850</v>
      </c>
      <c r="AE50" s="7" t="n">
        <f aca="false">IF(AD50="","",ROUND(AD50/(1+P50),0))</f>
        <v>733</v>
      </c>
      <c r="AF50" s="7" t="n">
        <f aca="false">IF(AE50="","",AE50-X50)</f>
        <v>478</v>
      </c>
      <c r="AG50" s="8" t="n">
        <f aca="false">IF(OR(AE50="",AE50=0),"",AF50/AE50)</f>
        <v>0.652114597544338</v>
      </c>
      <c r="AH50" s="7" t="n">
        <f aca="false">IF(AE50="",0,AE50*J50)</f>
        <v>73300</v>
      </c>
      <c r="AI50" s="7" t="n">
        <f aca="false">IF(AF50="",0,AF50*J50)</f>
        <v>47800</v>
      </c>
      <c r="AJ50" s="40" t="s">
        <v>151</v>
      </c>
      <c r="AK50" s="47" t="n">
        <f aca="false">IFERROR(IF(INDEX('Сводка заказов'!$V$5:$V$24,MATCH($A50,'Сводка заказов'!$A$5:$A$24,0))="","",INDEX('Сводка заказов'!$V$5:$V$24,MATCH($A50,'Сводка заказов'!$A$5:$A$24,0))),"")</f>
        <v>46372</v>
      </c>
      <c r="AL50" s="50"/>
      <c r="AM50" s="42"/>
      <c r="AN50" s="55" t="str">
        <f aca="false">IF(N(AL50)=0,"Нет",IF(AL50&gt;=J50,"Да","Частично"))</f>
        <v>Нет</v>
      </c>
      <c r="AO50" s="7" t="n">
        <f aca="false">J50-N(AL50)</f>
        <v>100</v>
      </c>
      <c r="AP50" s="54" t="s">
        <v>327</v>
      </c>
    </row>
    <row r="51" customFormat="false" ht="61.5" hidden="false" customHeight="true" outlineLevel="0" collapsed="false">
      <c r="A51" s="40" t="s">
        <v>157</v>
      </c>
      <c r="B51" s="43" t="str">
        <f aca="false">IFERROR(INDEX('Сводка заказов'!$B$5:$B$24,MATCH($A51,'Сводка заказов'!$A$5:$A$24,0)),"")</f>
        <v>Ningbo Sidana</v>
      </c>
      <c r="C51" s="47" t="n">
        <f aca="false">IFERROR(IF(INDEX('Сводка заказов'!$D$5:$D$24,MATCH($A51,'Сводка заказов'!$A$5:$A$24,0))="","",INDEX('Сводка заказов'!$D$5:$D$24,MATCH($A51,'Сводка заказов'!$A$5:$A$24,0))),"")</f>
        <v>46309</v>
      </c>
      <c r="D51" s="40" t="n">
        <v>4</v>
      </c>
      <c r="E51" s="40"/>
      <c r="F51" s="40" t="s">
        <v>332</v>
      </c>
      <c r="G51" s="53" t="str">
        <f aca="false">'ГИЛЬЗЫ И ВТУЛКИ'!$E$8</f>
        <v>Алюминиевая обжимная гильза BK для каната Ø16 мм, под шпильку М10/М12</v>
      </c>
      <c r="H51" s="54" t="s">
        <v>333</v>
      </c>
      <c r="I51" s="54" t="s">
        <v>222</v>
      </c>
      <c r="J51" s="50" t="n">
        <v>4000</v>
      </c>
      <c r="K51" s="40" t="s">
        <v>96</v>
      </c>
      <c r="L51" s="45" t="n">
        <v>3</v>
      </c>
      <c r="M51" s="44" t="n">
        <f aca="false">J51*L51</f>
        <v>12000</v>
      </c>
      <c r="N51" s="40" t="s">
        <v>226</v>
      </c>
      <c r="O51" s="8" t="n">
        <f aca="false">IFERROR(VLOOKUP($N51,'ТН ВЭД'!$A$4:$C$40,3,0),0)</f>
        <v>0.09</v>
      </c>
      <c r="P51" s="8" t="n">
        <f aca="false">Справочники!$B$12</f>
        <v>0.16</v>
      </c>
      <c r="Q51" s="44" t="n">
        <f aca="false">ROUND(L51*Справочники!$B$5,2)</f>
        <v>205.5</v>
      </c>
      <c r="R51" s="44" t="n">
        <f aca="false">ROUND(Q51*N(IFERROR(INDEX('Сводка заказов'!$Q$5:$Q$24,MATCH($A51,'Сводка заказов'!$A$5:$A$24,0)),0)),2)</f>
        <v>0</v>
      </c>
      <c r="S51" s="44" t="n">
        <f aca="false">ROUND(Q51*N(IFERROR(INDEX('Сводка заказов'!$R$5:$R$24,MATCH($A51,'Сводка заказов'!$A$5:$A$24,0)),0)),2)</f>
        <v>0</v>
      </c>
      <c r="T51" s="44" t="n">
        <f aca="false">Q51+R51+S51</f>
        <v>205.5</v>
      </c>
      <c r="U51" s="44" t="n">
        <f aca="false">ROUND(T51*O51,2)</f>
        <v>18.5</v>
      </c>
      <c r="V51" s="44" t="n">
        <f aca="false">ROUND((T51+U51)*P51,2)</f>
        <v>35.84</v>
      </c>
      <c r="W51" s="44" t="n">
        <f aca="false">ROUND(Q51*N(IFERROR(INDEX('Сводка заказов'!$S$5:$S$24,MATCH($A51,'Сводка заказов'!$A$5:$A$24,0)),0)),2)</f>
        <v>30.83</v>
      </c>
      <c r="X51" s="7" t="n">
        <f aca="false">ROUND(T51+U51+W51+IF(Справочники!$B$22="Да",0,V51),0)</f>
        <v>255</v>
      </c>
      <c r="Y51" s="7" t="n">
        <f aca="false">X51*J51</f>
        <v>1020000</v>
      </c>
      <c r="Z51" s="7" t="n">
        <f aca="false">U51*J51</f>
        <v>74000</v>
      </c>
      <c r="AA51" s="7" t="n">
        <f aca="false">V51*J51</f>
        <v>143360</v>
      </c>
      <c r="AB51" s="19" t="n">
        <f aca="false">IF('ГИЛЬЗЫ И ВТУЛКИ'!$AO$8="","",'ГИЛЬЗЫ И ВТУЛКИ'!$AO$8)</f>
        <v>295</v>
      </c>
      <c r="AC51" s="19" t="n">
        <f aca="false">IF('ГИЛЬЗЫ И ВТУЛКИ'!$AR$8="","",'ГИЛЬЗЫ И ВТУЛКИ'!$AR$8)</f>
        <v>1814</v>
      </c>
      <c r="AD51" s="19" t="n">
        <f aca="false">IF('ГИЛЬЗЫ И ВТУЛКИ'!$AT$8="","",'ГИЛЬЗЫ И ВТУЛКИ'!$AT$8)</f>
        <v>950</v>
      </c>
      <c r="AE51" s="7" t="n">
        <f aca="false">IF(AD51="","",ROUND(AD51/(1+P51),0))</f>
        <v>819</v>
      </c>
      <c r="AF51" s="7" t="n">
        <f aca="false">IF(AE51="","",AE51-X51)</f>
        <v>564</v>
      </c>
      <c r="AG51" s="8" t="n">
        <f aca="false">IF(OR(AE51="",AE51=0),"",AF51/AE51)</f>
        <v>0.688644688644689</v>
      </c>
      <c r="AH51" s="7" t="n">
        <f aca="false">IF(AE51="",0,AE51*J51)</f>
        <v>3276000</v>
      </c>
      <c r="AI51" s="7" t="n">
        <f aca="false">IF(AF51="",0,AF51*J51)</f>
        <v>2256000</v>
      </c>
      <c r="AJ51" s="40" t="s">
        <v>151</v>
      </c>
      <c r="AK51" s="47" t="n">
        <f aca="false">IFERROR(IF(INDEX('Сводка заказов'!$V$5:$V$24,MATCH($A51,'Сводка заказов'!$A$5:$A$24,0))="","",INDEX('Сводка заказов'!$V$5:$V$24,MATCH($A51,'Сводка заказов'!$A$5:$A$24,0))),"")</f>
        <v>46372</v>
      </c>
      <c r="AL51" s="50"/>
      <c r="AM51" s="42"/>
      <c r="AN51" s="55" t="str">
        <f aca="false">IF(N(AL51)=0,"Нет",IF(AL51&gt;=J51,"Да","Частично"))</f>
        <v>Нет</v>
      </c>
      <c r="AO51" s="7" t="n">
        <f aca="false">J51-N(AL51)</f>
        <v>4000</v>
      </c>
      <c r="AP51" s="54" t="s">
        <v>327</v>
      </c>
    </row>
    <row r="52" customFormat="false" ht="61.5" hidden="false" customHeight="true" outlineLevel="0" collapsed="false">
      <c r="A52" s="40" t="s">
        <v>157</v>
      </c>
      <c r="B52" s="43" t="str">
        <f aca="false">IFERROR(INDEX('Сводка заказов'!$B$5:$B$24,MATCH($A52,'Сводка заказов'!$A$5:$A$24,0)),"")</f>
        <v>Ningbo Sidana</v>
      </c>
      <c r="C52" s="47" t="n">
        <f aca="false">IFERROR(IF(INDEX('Сводка заказов'!$D$5:$D$24,MATCH($A52,'Сводка заказов'!$A$5:$A$24,0))="","",INDEX('Сводка заказов'!$D$5:$D$24,MATCH($A52,'Сводка заказов'!$A$5:$A$24,0))),"")</f>
        <v>46309</v>
      </c>
      <c r="D52" s="40" t="n">
        <v>5</v>
      </c>
      <c r="E52" s="40"/>
      <c r="F52" s="40" t="s">
        <v>334</v>
      </c>
      <c r="G52" s="53" t="str">
        <f aca="false">'ГИЛЬЗЫ И ВТУЛКИ'!$E$9</f>
        <v>Алюминиевая обжимная гильза 55 мм типа B для каната Ø16 мм</v>
      </c>
      <c r="H52" s="54" t="s">
        <v>335</v>
      </c>
      <c r="I52" s="54" t="s">
        <v>222</v>
      </c>
      <c r="J52" s="50" t="n">
        <v>3000</v>
      </c>
      <c r="K52" s="40" t="s">
        <v>96</v>
      </c>
      <c r="L52" s="45" t="n">
        <v>4.5</v>
      </c>
      <c r="M52" s="44" t="n">
        <f aca="false">J52*L52</f>
        <v>13500</v>
      </c>
      <c r="N52" s="40" t="s">
        <v>226</v>
      </c>
      <c r="O52" s="8" t="n">
        <f aca="false">IFERROR(VLOOKUP($N52,'ТН ВЭД'!$A$4:$C$40,3,0),0)</f>
        <v>0.09</v>
      </c>
      <c r="P52" s="8" t="n">
        <f aca="false">Справочники!$B$12</f>
        <v>0.16</v>
      </c>
      <c r="Q52" s="44" t="n">
        <f aca="false">ROUND(L52*Справочники!$B$5,2)</f>
        <v>308.25</v>
      </c>
      <c r="R52" s="44" t="n">
        <f aca="false">ROUND(Q52*N(IFERROR(INDEX('Сводка заказов'!$Q$5:$Q$24,MATCH($A52,'Сводка заказов'!$A$5:$A$24,0)),0)),2)</f>
        <v>0</v>
      </c>
      <c r="S52" s="44" t="n">
        <f aca="false">ROUND(Q52*N(IFERROR(INDEX('Сводка заказов'!$R$5:$R$24,MATCH($A52,'Сводка заказов'!$A$5:$A$24,0)),0)),2)</f>
        <v>0</v>
      </c>
      <c r="T52" s="44" t="n">
        <f aca="false">Q52+R52+S52</f>
        <v>308.25</v>
      </c>
      <c r="U52" s="44" t="n">
        <f aca="false">ROUND(T52*O52,2)</f>
        <v>27.74</v>
      </c>
      <c r="V52" s="44" t="n">
        <f aca="false">ROUND((T52+U52)*P52,2)</f>
        <v>53.76</v>
      </c>
      <c r="W52" s="44" t="n">
        <f aca="false">ROUND(Q52*N(IFERROR(INDEX('Сводка заказов'!$S$5:$S$24,MATCH($A52,'Сводка заказов'!$A$5:$A$24,0)),0)),2)</f>
        <v>46.24</v>
      </c>
      <c r="X52" s="7" t="n">
        <f aca="false">ROUND(T52+U52+W52+IF(Справочники!$B$22="Да",0,V52),0)</f>
        <v>382</v>
      </c>
      <c r="Y52" s="7" t="n">
        <f aca="false">X52*J52</f>
        <v>1146000</v>
      </c>
      <c r="Z52" s="7" t="n">
        <f aca="false">U52*J52</f>
        <v>83220</v>
      </c>
      <c r="AA52" s="7" t="n">
        <f aca="false">V52*J52</f>
        <v>161280</v>
      </c>
      <c r="AB52" s="19" t="n">
        <f aca="false">IF('ГИЛЬЗЫ И ВТУЛКИ'!$AO$9="","",'ГИЛЬЗЫ И ВТУЛКИ'!$AO$9)</f>
        <v>335</v>
      </c>
      <c r="AC52" s="19" t="n">
        <f aca="false">IF('ГИЛЬЗЫ И ВТУЛКИ'!$AR$9="","",'ГИЛЬЗЫ И ВТУЛКИ'!$AR$9)</f>
        <v>2060</v>
      </c>
      <c r="AD52" s="19" t="n">
        <f aca="false">IF('ГИЛЬЗЫ И ВТУЛКИ'!$AT$9="","",'ГИЛЬЗЫ И ВТУЛКИ'!$AT$9)</f>
        <v>1100</v>
      </c>
      <c r="AE52" s="7" t="n">
        <f aca="false">IF(AD52="","",ROUND(AD52/(1+P52),0))</f>
        <v>948</v>
      </c>
      <c r="AF52" s="7" t="n">
        <f aca="false">IF(AE52="","",AE52-X52)</f>
        <v>566</v>
      </c>
      <c r="AG52" s="8" t="n">
        <f aca="false">IF(OR(AE52="",AE52=0),"",AF52/AE52)</f>
        <v>0.59704641350211</v>
      </c>
      <c r="AH52" s="7" t="n">
        <f aca="false">IF(AE52="",0,AE52*J52)</f>
        <v>2844000</v>
      </c>
      <c r="AI52" s="7" t="n">
        <f aca="false">IF(AF52="",0,AF52*J52)</f>
        <v>1698000</v>
      </c>
      <c r="AJ52" s="40" t="s">
        <v>151</v>
      </c>
      <c r="AK52" s="47" t="n">
        <f aca="false">IFERROR(IF(INDEX('Сводка заказов'!$V$5:$V$24,MATCH($A52,'Сводка заказов'!$A$5:$A$24,0))="","",INDEX('Сводка заказов'!$V$5:$V$24,MATCH($A52,'Сводка заказов'!$A$5:$A$24,0))),"")</f>
        <v>46372</v>
      </c>
      <c r="AL52" s="50"/>
      <c r="AM52" s="42"/>
      <c r="AN52" s="55" t="str">
        <f aca="false">IF(N(AL52)=0,"Нет",IF(AL52&gt;=J52,"Да","Частично"))</f>
        <v>Нет</v>
      </c>
      <c r="AO52" s="7" t="n">
        <f aca="false">J52-N(AL52)</f>
        <v>3000</v>
      </c>
      <c r="AP52" s="54" t="s">
        <v>327</v>
      </c>
    </row>
    <row r="53" customFormat="false" ht="61.5" hidden="false" customHeight="true" outlineLevel="0" collapsed="false">
      <c r="A53" s="40" t="s">
        <v>157</v>
      </c>
      <c r="B53" s="43" t="str">
        <f aca="false">IFERROR(INDEX('Сводка заказов'!$B$5:$B$24,MATCH($A53,'Сводка заказов'!$A$5:$A$24,0)),"")</f>
        <v>Ningbo Sidana</v>
      </c>
      <c r="C53" s="47" t="n">
        <f aca="false">IFERROR(IF(INDEX('Сводка заказов'!$D$5:$D$24,MATCH($A53,'Сводка заказов'!$A$5:$A$24,0))="","",INDEX('Сводка заказов'!$D$5:$D$24,MATCH($A53,'Сводка заказов'!$A$5:$A$24,0))),"")</f>
        <v>46309</v>
      </c>
      <c r="D53" s="40" t="n">
        <v>6</v>
      </c>
      <c r="E53" s="40"/>
      <c r="F53" s="40" t="s">
        <v>336</v>
      </c>
      <c r="G53" s="53" t="str">
        <f aca="false">'ГИЛЬЗЫ И ВТУЛКИ'!$E$10</f>
        <v>Металлический наконечник 80 мм для каната Ø16 мм</v>
      </c>
      <c r="H53" s="54" t="s">
        <v>337</v>
      </c>
      <c r="I53" s="54" t="s">
        <v>222</v>
      </c>
      <c r="J53" s="50" t="n">
        <v>500</v>
      </c>
      <c r="K53" s="40" t="s">
        <v>96</v>
      </c>
      <c r="L53" s="45" t="n">
        <v>6.8</v>
      </c>
      <c r="M53" s="44" t="n">
        <f aca="false">J53*L53</f>
        <v>3400</v>
      </c>
      <c r="N53" s="40" t="s">
        <v>226</v>
      </c>
      <c r="O53" s="8" t="n">
        <f aca="false">IFERROR(VLOOKUP($N53,'ТН ВЭД'!$A$4:$C$40,3,0),0)</f>
        <v>0.09</v>
      </c>
      <c r="P53" s="8" t="n">
        <f aca="false">Справочники!$B$12</f>
        <v>0.16</v>
      </c>
      <c r="Q53" s="44" t="n">
        <f aca="false">ROUND(L53*Справочники!$B$5,2)</f>
        <v>465.8</v>
      </c>
      <c r="R53" s="44" t="n">
        <f aca="false">ROUND(Q53*N(IFERROR(INDEX('Сводка заказов'!$Q$5:$Q$24,MATCH($A53,'Сводка заказов'!$A$5:$A$24,0)),0)),2)</f>
        <v>0</v>
      </c>
      <c r="S53" s="44" t="n">
        <f aca="false">ROUND(Q53*N(IFERROR(INDEX('Сводка заказов'!$R$5:$R$24,MATCH($A53,'Сводка заказов'!$A$5:$A$24,0)),0)),2)</f>
        <v>0</v>
      </c>
      <c r="T53" s="44" t="n">
        <f aca="false">Q53+R53+S53</f>
        <v>465.8</v>
      </c>
      <c r="U53" s="44" t="n">
        <f aca="false">ROUND(T53*O53,2)</f>
        <v>41.92</v>
      </c>
      <c r="V53" s="44" t="n">
        <f aca="false">ROUND((T53+U53)*P53,2)</f>
        <v>81.24</v>
      </c>
      <c r="W53" s="44" t="n">
        <f aca="false">ROUND(Q53*N(IFERROR(INDEX('Сводка заказов'!$S$5:$S$24,MATCH($A53,'Сводка заказов'!$A$5:$A$24,0)),0)),2)</f>
        <v>69.87</v>
      </c>
      <c r="X53" s="7" t="n">
        <f aca="false">ROUND(T53+U53+W53+IF(Справочники!$B$22="Да",0,V53),0)</f>
        <v>578</v>
      </c>
      <c r="Y53" s="7" t="n">
        <f aca="false">X53*J53</f>
        <v>289000</v>
      </c>
      <c r="Z53" s="7" t="n">
        <f aca="false">U53*J53</f>
        <v>20960</v>
      </c>
      <c r="AA53" s="7" t="n">
        <f aca="false">V53*J53</f>
        <v>40620</v>
      </c>
      <c r="AB53" s="19" t="n">
        <f aca="false">IF('ГИЛЬЗЫ И ВТУЛКИ'!$AO$10="","",'ГИЛЬЗЫ И ВТУЛКИ'!$AO$10)</f>
        <v>455</v>
      </c>
      <c r="AC53" s="19" t="n">
        <f aca="false">IF('ГИЛЬЗЫ И ВТУЛКИ'!$AR$10="","",'ГИЛЬЗЫ И ВТУЛКИ'!$AR$10)</f>
        <v>2797</v>
      </c>
      <c r="AD53" s="19" t="n">
        <f aca="false">IF('ГИЛЬЗЫ И ВТУЛКИ'!$AT$10="","",'ГИЛЬЗЫ И ВТУЛКИ'!$AT$10)</f>
        <v>1500</v>
      </c>
      <c r="AE53" s="7" t="n">
        <f aca="false">IF(AD53="","",ROUND(AD53/(1+P53),0))</f>
        <v>1293</v>
      </c>
      <c r="AF53" s="7" t="n">
        <f aca="false">IF(AE53="","",AE53-X53)</f>
        <v>715</v>
      </c>
      <c r="AG53" s="8" t="n">
        <f aca="false">IF(OR(AE53="",AE53=0),"",AF53/AE53)</f>
        <v>0.552977571539057</v>
      </c>
      <c r="AH53" s="7" t="n">
        <f aca="false">IF(AE53="",0,AE53*J53)</f>
        <v>646500</v>
      </c>
      <c r="AI53" s="7" t="n">
        <f aca="false">IF(AF53="",0,AF53*J53)</f>
        <v>357500</v>
      </c>
      <c r="AJ53" s="40" t="s">
        <v>151</v>
      </c>
      <c r="AK53" s="47" t="n">
        <f aca="false">IFERROR(IF(INDEX('Сводка заказов'!$V$5:$V$24,MATCH($A53,'Сводка заказов'!$A$5:$A$24,0))="","",INDEX('Сводка заказов'!$V$5:$V$24,MATCH($A53,'Сводка заказов'!$A$5:$A$24,0))),"")</f>
        <v>46372</v>
      </c>
      <c r="AL53" s="50"/>
      <c r="AM53" s="42"/>
      <c r="AN53" s="55" t="str">
        <f aca="false">IF(N(AL53)=0,"Нет",IF(AL53&gt;=J53,"Да","Частично"))</f>
        <v>Нет</v>
      </c>
      <c r="AO53" s="7" t="n">
        <f aca="false">J53-N(AL53)</f>
        <v>500</v>
      </c>
      <c r="AP53" s="54" t="s">
        <v>327</v>
      </c>
    </row>
    <row r="54" customFormat="false" ht="61.5" hidden="false" customHeight="true" outlineLevel="0" collapsed="false">
      <c r="A54" s="40" t="s">
        <v>157</v>
      </c>
      <c r="B54" s="43" t="str">
        <f aca="false">IFERROR(INDEX('Сводка заказов'!$B$5:$B$24,MATCH($A54,'Сводка заказов'!$A$5:$A$24,0)),"")</f>
        <v>Ningbo Sidana</v>
      </c>
      <c r="C54" s="47" t="n">
        <f aca="false">IFERROR(IF(INDEX('Сводка заказов'!$D$5:$D$24,MATCH($A54,'Сводка заказов'!$A$5:$A$24,0))="","",INDEX('Сводка заказов'!$D$5:$D$24,MATCH($A54,'Сводка заказов'!$A$5:$A$24,0))),"")</f>
        <v>46309</v>
      </c>
      <c r="D54" s="40" t="n">
        <v>7</v>
      </c>
      <c r="E54" s="40"/>
      <c r="F54" s="40" t="s">
        <v>338</v>
      </c>
      <c r="G54" s="53" t="str">
        <f aca="false">'ГИЛЬЗЫ И ВТУЛКИ'!$E$11</f>
        <v>Обжимная алюминиевая гильза 77,3 мм типа J для каната Ø16 мм</v>
      </c>
      <c r="H54" s="54" t="s">
        <v>339</v>
      </c>
      <c r="I54" s="54" t="s">
        <v>222</v>
      </c>
      <c r="J54" s="50" t="n">
        <v>400</v>
      </c>
      <c r="K54" s="40" t="s">
        <v>96</v>
      </c>
      <c r="L54" s="45" t="n">
        <v>4.5</v>
      </c>
      <c r="M54" s="44" t="n">
        <f aca="false">J54*L54</f>
        <v>1800</v>
      </c>
      <c r="N54" s="40" t="s">
        <v>226</v>
      </c>
      <c r="O54" s="8" t="n">
        <f aca="false">IFERROR(VLOOKUP($N54,'ТН ВЭД'!$A$4:$C$40,3,0),0)</f>
        <v>0.09</v>
      </c>
      <c r="P54" s="8" t="n">
        <f aca="false">Справочники!$B$12</f>
        <v>0.16</v>
      </c>
      <c r="Q54" s="44" t="n">
        <f aca="false">ROUND(L54*Справочники!$B$5,2)</f>
        <v>308.25</v>
      </c>
      <c r="R54" s="44" t="n">
        <f aca="false">ROUND(Q54*N(IFERROR(INDEX('Сводка заказов'!$Q$5:$Q$24,MATCH($A54,'Сводка заказов'!$A$5:$A$24,0)),0)),2)</f>
        <v>0</v>
      </c>
      <c r="S54" s="44" t="n">
        <f aca="false">ROUND(Q54*N(IFERROR(INDEX('Сводка заказов'!$R$5:$R$24,MATCH($A54,'Сводка заказов'!$A$5:$A$24,0)),0)),2)</f>
        <v>0</v>
      </c>
      <c r="T54" s="44" t="n">
        <f aca="false">Q54+R54+S54</f>
        <v>308.25</v>
      </c>
      <c r="U54" s="44" t="n">
        <f aca="false">ROUND(T54*O54,2)</f>
        <v>27.74</v>
      </c>
      <c r="V54" s="44" t="n">
        <f aca="false">ROUND((T54+U54)*P54,2)</f>
        <v>53.76</v>
      </c>
      <c r="W54" s="44" t="n">
        <f aca="false">ROUND(Q54*N(IFERROR(INDEX('Сводка заказов'!$S$5:$S$24,MATCH($A54,'Сводка заказов'!$A$5:$A$24,0)),0)),2)</f>
        <v>46.24</v>
      </c>
      <c r="X54" s="7" t="n">
        <f aca="false">ROUND(T54+U54+W54+IF(Справочники!$B$22="Да",0,V54),0)</f>
        <v>382</v>
      </c>
      <c r="Y54" s="7" t="n">
        <f aca="false">X54*J54</f>
        <v>152800</v>
      </c>
      <c r="Z54" s="7" t="n">
        <f aca="false">U54*J54</f>
        <v>11096</v>
      </c>
      <c r="AA54" s="7" t="n">
        <f aca="false">V54*J54</f>
        <v>21504</v>
      </c>
      <c r="AB54" s="19" t="n">
        <f aca="false">IF('ГИЛЬЗЫ И ВТУЛКИ'!$AO$11="","",'ГИЛЬЗЫ И ВТУЛКИ'!$AO$11)</f>
        <v>355</v>
      </c>
      <c r="AC54" s="19" t="n">
        <f aca="false">IF('ГИЛЬЗЫ И ВТУЛКИ'!$AR$11="","",'ГИЛЬЗЫ И ВТУЛКИ'!$AR$11)</f>
        <v>2183</v>
      </c>
      <c r="AD54" s="19" t="n">
        <f aca="false">IF('ГИЛЬЗЫ И ВТУЛКИ'!$AT$11="","",'ГИЛЬЗЫ И ВТУЛКИ'!$AT$11)</f>
        <v>850</v>
      </c>
      <c r="AE54" s="7" t="n">
        <f aca="false">IF(AD54="","",ROUND(AD54/(1+P54),0))</f>
        <v>733</v>
      </c>
      <c r="AF54" s="7" t="n">
        <f aca="false">IF(AE54="","",AE54-X54)</f>
        <v>351</v>
      </c>
      <c r="AG54" s="8" t="n">
        <f aca="false">IF(OR(AE54="",AE54=0),"",AF54/AE54)</f>
        <v>0.478854024556617</v>
      </c>
      <c r="AH54" s="7" t="n">
        <f aca="false">IF(AE54="",0,AE54*J54)</f>
        <v>293200</v>
      </c>
      <c r="AI54" s="7" t="n">
        <f aca="false">IF(AF54="",0,AF54*J54)</f>
        <v>140400</v>
      </c>
      <c r="AJ54" s="40" t="s">
        <v>151</v>
      </c>
      <c r="AK54" s="47" t="n">
        <f aca="false">IFERROR(IF(INDEX('Сводка заказов'!$V$5:$V$24,MATCH($A54,'Сводка заказов'!$A$5:$A$24,0))="","",INDEX('Сводка заказов'!$V$5:$V$24,MATCH($A54,'Сводка заказов'!$A$5:$A$24,0))),"")</f>
        <v>46372</v>
      </c>
      <c r="AL54" s="50"/>
      <c r="AM54" s="42"/>
      <c r="AN54" s="55" t="str">
        <f aca="false">IF(N(AL54)=0,"Нет",IF(AL54&gt;=J54,"Да","Частично"))</f>
        <v>Нет</v>
      </c>
      <c r="AO54" s="7" t="n">
        <f aca="false">J54-N(AL54)</f>
        <v>400</v>
      </c>
      <c r="AP54" s="54" t="s">
        <v>327</v>
      </c>
    </row>
    <row r="55" customFormat="false" ht="61.5" hidden="false" customHeight="true" outlineLevel="0" collapsed="false">
      <c r="A55" s="40" t="s">
        <v>157</v>
      </c>
      <c r="B55" s="43" t="str">
        <f aca="false">IFERROR(INDEX('Сводка заказов'!$B$5:$B$24,MATCH($A55,'Сводка заказов'!$A$5:$A$24,0)),"")</f>
        <v>Ningbo Sidana</v>
      </c>
      <c r="C55" s="47" t="n">
        <f aca="false">IFERROR(IF(INDEX('Сводка заказов'!$D$5:$D$24,MATCH($A55,'Сводка заказов'!$A$5:$A$24,0))="","",INDEX('Сводка заказов'!$D$5:$D$24,MATCH($A55,'Сводка заказов'!$A$5:$A$24,0))),"")</f>
        <v>46309</v>
      </c>
      <c r="D55" s="40" t="n">
        <v>8</v>
      </c>
      <c r="E55" s="40"/>
      <c r="F55" s="40" t="s">
        <v>215</v>
      </c>
      <c r="G55" s="53" t="str">
        <f aca="false">'Комплектующие для качелей'!$E$5</f>
        <v>Качели «Гнездо» Ø1000 мм с подвесами, нагрузка до 250 кг</v>
      </c>
      <c r="H55" s="54" t="s">
        <v>340</v>
      </c>
      <c r="I55" s="54" t="s">
        <v>341</v>
      </c>
      <c r="J55" s="50" t="n">
        <v>200</v>
      </c>
      <c r="K55" s="40" t="s">
        <v>96</v>
      </c>
      <c r="L55" s="45" t="n">
        <v>850</v>
      </c>
      <c r="M55" s="44" t="n">
        <f aca="false">J55*L55</f>
        <v>170000</v>
      </c>
      <c r="N55" s="40" t="s">
        <v>218</v>
      </c>
      <c r="O55" s="8" t="n">
        <f aca="false">IFERROR(VLOOKUP($N55,'ТН ВЭД'!$A$4:$C$40,3,0),0)</f>
        <v>0.05</v>
      </c>
      <c r="P55" s="8" t="n">
        <f aca="false">Справочники!$B$12</f>
        <v>0.16</v>
      </c>
      <c r="Q55" s="44" t="n">
        <f aca="false">ROUND(L55*Справочники!$B$5,2)</f>
        <v>58225</v>
      </c>
      <c r="R55" s="44" t="n">
        <f aca="false">ROUND(Q55*N(IFERROR(INDEX('Сводка заказов'!$Q$5:$Q$24,MATCH($A55,'Сводка заказов'!$A$5:$A$24,0)),0)),2)</f>
        <v>0</v>
      </c>
      <c r="S55" s="44" t="n">
        <f aca="false">ROUND(Q55*N(IFERROR(INDEX('Сводка заказов'!$R$5:$R$24,MATCH($A55,'Сводка заказов'!$A$5:$A$24,0)),0)),2)</f>
        <v>0</v>
      </c>
      <c r="T55" s="44" t="n">
        <f aca="false">Q55+R55+S55</f>
        <v>58225</v>
      </c>
      <c r="U55" s="44" t="n">
        <f aca="false">ROUND(T55*O55,2)</f>
        <v>2911.25</v>
      </c>
      <c r="V55" s="44" t="n">
        <f aca="false">ROUND((T55+U55)*P55,2)</f>
        <v>9781.8</v>
      </c>
      <c r="W55" s="44" t="n">
        <f aca="false">ROUND(Q55*N(IFERROR(INDEX('Сводка заказов'!$S$5:$S$24,MATCH($A55,'Сводка заказов'!$A$5:$A$24,0)),0)),2)</f>
        <v>8733.75</v>
      </c>
      <c r="X55" s="7" t="n">
        <f aca="false">ROUND(T55+U55+W55+IF(Справочники!$B$22="Да",0,V55),0)</f>
        <v>69870</v>
      </c>
      <c r="Y55" s="7" t="n">
        <f aca="false">X55*J55</f>
        <v>13974000</v>
      </c>
      <c r="Z55" s="7" t="n">
        <f aca="false">U55*J55</f>
        <v>582250</v>
      </c>
      <c r="AA55" s="7" t="n">
        <f aca="false">V55*J55</f>
        <v>1956360</v>
      </c>
      <c r="AB55" s="19" t="n">
        <f aca="false">IF('Комплектующие для качелей'!$AO$5="","",'Комплектующие для качелей'!$AO$5)</f>
        <v>39000</v>
      </c>
      <c r="AC55" s="19" t="n">
        <f aca="false">IF('Комплектующие для качелей'!$AR$5="","",'Комплектующие для качелей'!$AR$5)</f>
        <v>239772</v>
      </c>
      <c r="AD55" s="19" t="n">
        <f aca="false">IF('Комплектующие для качелей'!$AT$5="","",'Комплектующие для качелей'!$AT$5)</f>
        <v>220590</v>
      </c>
      <c r="AE55" s="7" t="n">
        <f aca="false">IF(AD55="","",ROUND(AD55/(1+P55),0))</f>
        <v>190164</v>
      </c>
      <c r="AF55" s="7" t="n">
        <f aca="false">IF(AE55="","",AE55-X55)</f>
        <v>120294</v>
      </c>
      <c r="AG55" s="8" t="n">
        <f aca="false">IF(OR(AE55="",AE55=0),"",AF55/AE55)</f>
        <v>0.632580299110242</v>
      </c>
      <c r="AH55" s="7" t="n">
        <f aca="false">IF(AE55="",0,AE55*J55)</f>
        <v>38032800</v>
      </c>
      <c r="AI55" s="7" t="n">
        <f aca="false">IF(AF55="",0,AF55*J55)</f>
        <v>24058800</v>
      </c>
      <c r="AJ55" s="40" t="s">
        <v>151</v>
      </c>
      <c r="AK55" s="47" t="n">
        <f aca="false">IFERROR(IF(INDEX('Сводка заказов'!$V$5:$V$24,MATCH($A55,'Сводка заказов'!$A$5:$A$24,0))="","",INDEX('Сводка заказов'!$V$5:$V$24,MATCH($A55,'Сводка заказов'!$A$5:$A$24,0))),"")</f>
        <v>46372</v>
      </c>
      <c r="AL55" s="50"/>
      <c r="AM55" s="42"/>
      <c r="AN55" s="55" t="str">
        <f aca="false">IF(N(AL55)=0,"Нет",IF(AL55&gt;=J55,"Да","Частично"))</f>
        <v>Нет</v>
      </c>
      <c r="AO55" s="7" t="n">
        <f aca="false">J55-N(AL55)</f>
        <v>200</v>
      </c>
      <c r="AP55" s="54" t="s">
        <v>342</v>
      </c>
    </row>
    <row r="56" customFormat="false" ht="61.5" hidden="false" customHeight="true" outlineLevel="0" collapsed="false">
      <c r="A56" s="40" t="s">
        <v>161</v>
      </c>
      <c r="B56" s="43" t="str">
        <f aca="false">IFERROR(INDEX('Сводка заказов'!$B$5:$B$24,MATCH($A56,'Сводка заказов'!$A$5:$A$24,0)),"")</f>
        <v>Ningbo Best Swing</v>
      </c>
      <c r="C56" s="47" t="str">
        <f aca="false">IFERROR(IF(INDEX('Сводка заказов'!$D$5:$D$24,MATCH($A56,'Сводка заказов'!$A$5:$A$24,0))="","",INDEX('Сводка заказов'!$D$5:$D$24,MATCH($A56,'Сводка заказов'!$A$5:$A$24,0))),"")</f>
        <v/>
      </c>
      <c r="D56" s="40" t="n">
        <v>1</v>
      </c>
      <c r="E56" s="40"/>
      <c r="F56" s="40" t="s">
        <v>343</v>
      </c>
      <c r="G56" s="53" t="str">
        <f aca="false">КАНАТЫ!$E$3</f>
        <v>Армированный шестипрядный гибкий канат Ø16 мм, выдерживает нагрузку до 3300 кг
</v>
      </c>
      <c r="H56" s="54" t="s">
        <v>264</v>
      </c>
      <c r="I56" s="54" t="s">
        <v>344</v>
      </c>
      <c r="J56" s="50" t="n">
        <v>10000</v>
      </c>
      <c r="K56" s="40" t="s">
        <v>261</v>
      </c>
      <c r="L56" s="45" t="n">
        <v>9.24</v>
      </c>
      <c r="M56" s="44" t="n">
        <f aca="false">J56*L56</f>
        <v>92400</v>
      </c>
      <c r="N56" s="40" t="s">
        <v>262</v>
      </c>
      <c r="O56" s="8" t="n">
        <f aca="false">IFERROR(VLOOKUP($N56,'ТН ВЭД'!$A$4:$C$40,3,0),0)</f>
        <v>0.1</v>
      </c>
      <c r="P56" s="8" t="n">
        <f aca="false">Справочники!$B$12</f>
        <v>0.16</v>
      </c>
      <c r="Q56" s="44" t="n">
        <f aca="false">ROUND(L56*Справочники!$B$5,2)</f>
        <v>632.94</v>
      </c>
      <c r="R56" s="44" t="n">
        <f aca="false">ROUND(Q56*N(IFERROR(INDEX('Сводка заказов'!$Q$5:$Q$24,MATCH($A56,'Сводка заказов'!$A$5:$A$24,0)),0)),2)</f>
        <v>0</v>
      </c>
      <c r="S56" s="44" t="n">
        <f aca="false">ROUND(Q56*N(IFERROR(INDEX('Сводка заказов'!$R$5:$R$24,MATCH($A56,'Сводка заказов'!$A$5:$A$24,0)),0)),2)</f>
        <v>0</v>
      </c>
      <c r="T56" s="44" t="n">
        <f aca="false">Q56+R56+S56</f>
        <v>632.94</v>
      </c>
      <c r="U56" s="44" t="n">
        <f aca="false">ROUND(T56*O56,2)</f>
        <v>63.29</v>
      </c>
      <c r="V56" s="44" t="n">
        <f aca="false">ROUND((T56+U56)*P56,2)</f>
        <v>111.4</v>
      </c>
      <c r="W56" s="44" t="n">
        <f aca="false">ROUND(Q56*N(IFERROR(INDEX('Сводка заказов'!$S$5:$S$24,MATCH($A56,'Сводка заказов'!$A$5:$A$24,0)),0)),2)</f>
        <v>94.94</v>
      </c>
      <c r="X56" s="7" t="n">
        <f aca="false">ROUND(T56+U56+W56+IF(Справочники!$B$22="Да",0,V56),0)</f>
        <v>791</v>
      </c>
      <c r="Y56" s="7" t="n">
        <f aca="false">X56*J56</f>
        <v>7910000</v>
      </c>
      <c r="Z56" s="7" t="n">
        <f aca="false">U56*J56</f>
        <v>632900</v>
      </c>
      <c r="AA56" s="7" t="n">
        <f aca="false">V56*J56</f>
        <v>1114000</v>
      </c>
      <c r="AB56" s="19" t="n">
        <f aca="false">IF(КАНАТЫ!$AO$3="","",КАНАТЫ!$AO$3)</f>
        <v>295</v>
      </c>
      <c r="AC56" s="19" t="n">
        <f aca="false">IF(КАНАТЫ!$AR$3="","",КАНАТЫ!$AR$3)</f>
        <v>1814</v>
      </c>
      <c r="AD56" s="19" t="n">
        <f aca="false">IF(КАНАТЫ!$AT$3="","",КАНАТЫ!$AT$3)</f>
        <v>1800</v>
      </c>
      <c r="AE56" s="7" t="n">
        <f aca="false">IF(AD56="","",ROUND(AD56/(1+P56),0))</f>
        <v>1552</v>
      </c>
      <c r="AF56" s="7" t="n">
        <f aca="false">IF(AE56="","",AE56-X56)</f>
        <v>761</v>
      </c>
      <c r="AG56" s="8" t="n">
        <f aca="false">IF(OR(AE56="",AE56=0),"",AF56/AE56)</f>
        <v>0.490335051546392</v>
      </c>
      <c r="AH56" s="7" t="n">
        <f aca="false">IF(AE56="",0,AE56*J56)</f>
        <v>15520000</v>
      </c>
      <c r="AI56" s="7" t="n">
        <f aca="false">IF(AF56="",0,AF56*J56)</f>
        <v>7610000</v>
      </c>
      <c r="AJ56" s="40" t="s">
        <v>151</v>
      </c>
      <c r="AK56" s="47" t="str">
        <f aca="false">IFERROR(IF(INDEX('Сводка заказов'!$V$5:$V$24,MATCH($A56,'Сводка заказов'!$A$5:$A$24,0))="","",INDEX('Сводка заказов'!$V$5:$V$24,MATCH($A56,'Сводка заказов'!$A$5:$A$24,0))),"")</f>
        <v/>
      </c>
      <c r="AL56" s="50"/>
      <c r="AM56" s="42"/>
      <c r="AN56" s="55" t="str">
        <f aca="false">IF(N(AL56)=0,"Нет",IF(AL56&gt;=J56,"Да","Частично"))</f>
        <v>Нет</v>
      </c>
      <c r="AO56" s="7" t="n">
        <f aca="false">J56-N(AL56)</f>
        <v>10000</v>
      </c>
      <c r="AP56" s="54" t="s">
        <v>345</v>
      </c>
    </row>
    <row r="57" customFormat="false" ht="61.5" hidden="false" customHeight="true" outlineLevel="0" collapsed="false">
      <c r="A57" s="40" t="s">
        <v>161</v>
      </c>
      <c r="B57" s="43" t="str">
        <f aca="false">IFERROR(INDEX('Сводка заказов'!$B$5:$B$24,MATCH($A57,'Сводка заказов'!$A$5:$A$24,0)),"")</f>
        <v>Ningbo Best Swing</v>
      </c>
      <c r="C57" s="47" t="str">
        <f aca="false">IFERROR(IF(INDEX('Сводка заказов'!$D$5:$D$24,MATCH($A57,'Сводка заказов'!$A$5:$A$24,0))="","",INDEX('Сводка заказов'!$D$5:$D$24,MATCH($A57,'Сводка заказов'!$A$5:$A$24,0))),"")</f>
        <v/>
      </c>
      <c r="D57" s="40" t="n">
        <v>2</v>
      </c>
      <c r="E57" s="40"/>
      <c r="F57" s="40" t="s">
        <v>267</v>
      </c>
      <c r="G57" s="53" t="str">
        <f aca="false">КАНАТЫ!$E$4</f>
        <v>Армированный мягкий нейлоновый четырёхпрядный канат диаметром 16 мм
</v>
      </c>
      <c r="H57" s="54" t="s">
        <v>268</v>
      </c>
      <c r="I57" s="54" t="s">
        <v>346</v>
      </c>
      <c r="J57" s="50" t="n">
        <v>1000</v>
      </c>
      <c r="K57" s="40" t="s">
        <v>261</v>
      </c>
      <c r="L57" s="45" t="n">
        <v>8.33</v>
      </c>
      <c r="M57" s="44" t="n">
        <f aca="false">J57*L57</f>
        <v>8330</v>
      </c>
      <c r="N57" s="40" t="s">
        <v>262</v>
      </c>
      <c r="O57" s="8" t="n">
        <f aca="false">IFERROR(VLOOKUP($N57,'ТН ВЭД'!$A$4:$C$40,3,0),0)</f>
        <v>0.1</v>
      </c>
      <c r="P57" s="8" t="n">
        <f aca="false">Справочники!$B$12</f>
        <v>0.16</v>
      </c>
      <c r="Q57" s="44" t="n">
        <f aca="false">ROUND(L57*Справочники!$B$5,2)</f>
        <v>570.61</v>
      </c>
      <c r="R57" s="44" t="n">
        <f aca="false">ROUND(Q57*N(IFERROR(INDEX('Сводка заказов'!$Q$5:$Q$24,MATCH($A57,'Сводка заказов'!$A$5:$A$24,0)),0)),2)</f>
        <v>0</v>
      </c>
      <c r="S57" s="44" t="n">
        <f aca="false">ROUND(Q57*N(IFERROR(INDEX('Сводка заказов'!$R$5:$R$24,MATCH($A57,'Сводка заказов'!$A$5:$A$24,0)),0)),2)</f>
        <v>0</v>
      </c>
      <c r="T57" s="44" t="n">
        <f aca="false">Q57+R57+S57</f>
        <v>570.61</v>
      </c>
      <c r="U57" s="44" t="n">
        <f aca="false">ROUND(T57*O57,2)</f>
        <v>57.06</v>
      </c>
      <c r="V57" s="44" t="n">
        <f aca="false">ROUND((T57+U57)*P57,2)</f>
        <v>100.43</v>
      </c>
      <c r="W57" s="44" t="n">
        <f aca="false">ROUND(Q57*N(IFERROR(INDEX('Сводка заказов'!$S$5:$S$24,MATCH($A57,'Сводка заказов'!$A$5:$A$24,0)),0)),2)</f>
        <v>85.59</v>
      </c>
      <c r="X57" s="7" t="n">
        <f aca="false">ROUND(T57+U57+W57+IF(Справочники!$B$22="Да",0,V57),0)</f>
        <v>713</v>
      </c>
      <c r="Y57" s="7" t="n">
        <f aca="false">X57*J57</f>
        <v>713000</v>
      </c>
      <c r="Z57" s="7" t="n">
        <f aca="false">U57*J57</f>
        <v>57060</v>
      </c>
      <c r="AA57" s="7" t="n">
        <f aca="false">V57*J57</f>
        <v>100430</v>
      </c>
      <c r="AB57" s="19" t="n">
        <f aca="false">IF(КАНАТЫ!$AO$4="","",КАНАТЫ!$AO$4)</f>
        <v>315</v>
      </c>
      <c r="AC57" s="19" t="n">
        <f aca="false">IF(КАНАТЫ!$AR$4="","",КАНАТЫ!$AR$4)</f>
        <v>1937</v>
      </c>
      <c r="AD57" s="19" t="n">
        <f aca="false">IF(КАНАТЫ!$AT$4="","",КАНАТЫ!$AT$4)</f>
        <v>1782</v>
      </c>
      <c r="AE57" s="7" t="n">
        <f aca="false">IF(AD57="","",ROUND(AD57/(1+P57),0))</f>
        <v>1536</v>
      </c>
      <c r="AF57" s="7" t="n">
        <f aca="false">IF(AE57="","",AE57-X57)</f>
        <v>823</v>
      </c>
      <c r="AG57" s="8" t="n">
        <f aca="false">IF(OR(AE57="",AE57=0),"",AF57/AE57)</f>
        <v>0.535807291666667</v>
      </c>
      <c r="AH57" s="7" t="n">
        <f aca="false">IF(AE57="",0,AE57*J57)</f>
        <v>1536000</v>
      </c>
      <c r="AI57" s="7" t="n">
        <f aca="false">IF(AF57="",0,AF57*J57)</f>
        <v>823000</v>
      </c>
      <c r="AJ57" s="40" t="s">
        <v>151</v>
      </c>
      <c r="AK57" s="47" t="str">
        <f aca="false">IFERROR(IF(INDEX('Сводка заказов'!$V$5:$V$24,MATCH($A57,'Сводка заказов'!$A$5:$A$24,0))="","",INDEX('Сводка заказов'!$V$5:$V$24,MATCH($A57,'Сводка заказов'!$A$5:$A$24,0))),"")</f>
        <v/>
      </c>
      <c r="AL57" s="50"/>
      <c r="AM57" s="42"/>
      <c r="AN57" s="55" t="str">
        <f aca="false">IF(N(AL57)=0,"Нет",IF(AL57&gt;=J57,"Да","Частично"))</f>
        <v>Нет</v>
      </c>
      <c r="AO57" s="7" t="n">
        <f aca="false">J57-N(AL57)</f>
        <v>1000</v>
      </c>
      <c r="AP57" s="54" t="s">
        <v>347</v>
      </c>
    </row>
    <row r="58" customFormat="false" ht="61.5" hidden="false" customHeight="true" outlineLevel="0" collapsed="false">
      <c r="A58" s="40" t="s">
        <v>161</v>
      </c>
      <c r="B58" s="43" t="str">
        <f aca="false">IFERROR(INDEX('Сводка заказов'!$B$5:$B$24,MATCH($A58,'Сводка заказов'!$A$5:$A$24,0)),"")</f>
        <v>Ningbo Best Swing</v>
      </c>
      <c r="C58" s="47" t="str">
        <f aca="false">IFERROR(IF(INDEX('Сводка заказов'!$D$5:$D$24,MATCH($A58,'Сводка заказов'!$A$5:$A$24,0))="","",INDEX('Сводка заказов'!$D$5:$D$24,MATCH($A58,'Сводка заказов'!$A$5:$A$24,0))),"")</f>
        <v/>
      </c>
      <c r="D58" s="40" t="n">
        <v>3</v>
      </c>
      <c r="E58" s="40"/>
      <c r="F58" s="40" t="s">
        <v>348</v>
      </c>
      <c r="G58" s="53" t="str">
        <f aca="false">КАНАТЫ!$E$6</f>
        <v>Трехпрядный канат диаметром 19 мм из комплексного полипропилена
</v>
      </c>
      <c r="H58" s="54" t="s">
        <v>349</v>
      </c>
      <c r="I58" s="54" t="s">
        <v>350</v>
      </c>
      <c r="J58" s="50" t="n">
        <v>4000</v>
      </c>
      <c r="K58" s="40" t="s">
        <v>261</v>
      </c>
      <c r="L58" s="45" t="n">
        <v>3.78</v>
      </c>
      <c r="M58" s="44" t="n">
        <f aca="false">J58*L58</f>
        <v>15120</v>
      </c>
      <c r="N58" s="40" t="s">
        <v>262</v>
      </c>
      <c r="O58" s="8" t="n">
        <f aca="false">IFERROR(VLOOKUP($N58,'ТН ВЭД'!$A$4:$C$40,3,0),0)</f>
        <v>0.1</v>
      </c>
      <c r="P58" s="8" t="n">
        <f aca="false">Справочники!$B$12</f>
        <v>0.16</v>
      </c>
      <c r="Q58" s="44" t="n">
        <f aca="false">ROUND(L58*Справочники!$B$5,2)</f>
        <v>258.93</v>
      </c>
      <c r="R58" s="44" t="n">
        <f aca="false">ROUND(Q58*N(IFERROR(INDEX('Сводка заказов'!$Q$5:$Q$24,MATCH($A58,'Сводка заказов'!$A$5:$A$24,0)),0)),2)</f>
        <v>0</v>
      </c>
      <c r="S58" s="44" t="n">
        <f aca="false">ROUND(Q58*N(IFERROR(INDEX('Сводка заказов'!$R$5:$R$24,MATCH($A58,'Сводка заказов'!$A$5:$A$24,0)),0)),2)</f>
        <v>0</v>
      </c>
      <c r="T58" s="44" t="n">
        <f aca="false">Q58+R58+S58</f>
        <v>258.93</v>
      </c>
      <c r="U58" s="44" t="n">
        <f aca="false">ROUND(T58*O58,2)</f>
        <v>25.89</v>
      </c>
      <c r="V58" s="44" t="n">
        <f aca="false">ROUND((T58+U58)*P58,2)</f>
        <v>45.57</v>
      </c>
      <c r="W58" s="44" t="n">
        <f aca="false">ROUND(Q58*N(IFERROR(INDEX('Сводка заказов'!$S$5:$S$24,MATCH($A58,'Сводка заказов'!$A$5:$A$24,0)),0)),2)</f>
        <v>38.84</v>
      </c>
      <c r="X58" s="7" t="n">
        <f aca="false">ROUND(T58+U58+W58+IF(Справочники!$B$22="Да",0,V58),0)</f>
        <v>324</v>
      </c>
      <c r="Y58" s="7" t="n">
        <f aca="false">X58*J58</f>
        <v>1296000</v>
      </c>
      <c r="Z58" s="7" t="n">
        <f aca="false">U58*J58</f>
        <v>103560</v>
      </c>
      <c r="AA58" s="7" t="n">
        <f aca="false">V58*J58</f>
        <v>182280</v>
      </c>
      <c r="AB58" s="19" t="n">
        <f aca="false">IF(КАНАТЫ!$AO$6="","",КАНАТЫ!$AO$6)</f>
        <v>225</v>
      </c>
      <c r="AC58" s="19" t="n">
        <f aca="false">IF(КАНАТЫ!$AR$6="","",КАНАТЫ!$AR$6)</f>
        <v>1383</v>
      </c>
      <c r="AD58" s="19" t="n">
        <f aca="false">IF(КАНАТЫ!$AT$6="","",КАНАТЫ!$AT$6)</f>
        <v>1272</v>
      </c>
      <c r="AE58" s="7" t="n">
        <f aca="false">IF(AD58="","",ROUND(AD58/(1+P58),0))</f>
        <v>1097</v>
      </c>
      <c r="AF58" s="7" t="n">
        <f aca="false">IF(AE58="","",AE58-X58)</f>
        <v>773</v>
      </c>
      <c r="AG58" s="8" t="n">
        <f aca="false">IF(OR(AE58="",AE58=0),"",AF58/AE58)</f>
        <v>0.70464904284412</v>
      </c>
      <c r="AH58" s="7" t="n">
        <f aca="false">IF(AE58="",0,AE58*J58)</f>
        <v>4388000</v>
      </c>
      <c r="AI58" s="7" t="n">
        <f aca="false">IF(AF58="",0,AF58*J58)</f>
        <v>3092000</v>
      </c>
      <c r="AJ58" s="40" t="s">
        <v>151</v>
      </c>
      <c r="AK58" s="47" t="str">
        <f aca="false">IFERROR(IF(INDEX('Сводка заказов'!$V$5:$V$24,MATCH($A58,'Сводка заказов'!$A$5:$A$24,0))="","",INDEX('Сводка заказов'!$V$5:$V$24,MATCH($A58,'Сводка заказов'!$A$5:$A$24,0))),"")</f>
        <v/>
      </c>
      <c r="AL58" s="50"/>
      <c r="AM58" s="42"/>
      <c r="AN58" s="55" t="str">
        <f aca="false">IF(N(AL58)=0,"Нет",IF(AL58&gt;=J58,"Да","Частично"))</f>
        <v>Нет</v>
      </c>
      <c r="AO58" s="7" t="n">
        <f aca="false">J58-N(AL58)</f>
        <v>4000</v>
      </c>
      <c r="AP58" s="54" t="s">
        <v>351</v>
      </c>
    </row>
    <row r="59" customFormat="false" ht="61.5" hidden="false" customHeight="true" outlineLevel="0" collapsed="false">
      <c r="A59" s="40" t="s">
        <v>161</v>
      </c>
      <c r="B59" s="43" t="str">
        <f aca="false">IFERROR(INDEX('Сводка заказов'!$B$5:$B$24,MATCH($A59,'Сводка заказов'!$A$5:$A$24,0)),"")</f>
        <v>Ningbo Best Swing</v>
      </c>
      <c r="C59" s="47" t="str">
        <f aca="false">IFERROR(IF(INDEX('Сводка заказов'!$D$5:$D$24,MATCH($A59,'Сводка заказов'!$A$5:$A$24,0))="","",INDEX('Сводка заказов'!$D$5:$D$24,MATCH($A59,'Сводка заказов'!$A$5:$A$24,0))),"")</f>
        <v/>
      </c>
      <c r="D59" s="40" t="n">
        <v>4</v>
      </c>
      <c r="E59" s="40"/>
      <c r="F59" s="40" t="s">
        <v>352</v>
      </c>
      <c r="G59" s="53" t="str">
        <f aca="false">'ГИЛЬЗЫ И ВТУЛКИ'!$E$14</f>
        <v>Алюминиевая обжимная гильза для каната Ø16 мм и цепи Ø6 мм</v>
      </c>
      <c r="H59" s="54" t="s">
        <v>353</v>
      </c>
      <c r="I59" s="54" t="s">
        <v>222</v>
      </c>
      <c r="J59" s="50" t="n">
        <v>1000</v>
      </c>
      <c r="K59" s="40" t="s">
        <v>96</v>
      </c>
      <c r="L59" s="45" t="n">
        <v>5.5</v>
      </c>
      <c r="M59" s="44" t="n">
        <f aca="false">J59*L59</f>
        <v>5500</v>
      </c>
      <c r="N59" s="40" t="s">
        <v>226</v>
      </c>
      <c r="O59" s="8" t="n">
        <f aca="false">IFERROR(VLOOKUP($N59,'ТН ВЭД'!$A$4:$C$40,3,0),0)</f>
        <v>0.09</v>
      </c>
      <c r="P59" s="8" t="n">
        <f aca="false">Справочники!$B$12</f>
        <v>0.16</v>
      </c>
      <c r="Q59" s="44" t="n">
        <f aca="false">ROUND(L59*Справочники!$B$5,2)</f>
        <v>376.75</v>
      </c>
      <c r="R59" s="44" t="n">
        <f aca="false">ROUND(Q59*N(IFERROR(INDEX('Сводка заказов'!$Q$5:$Q$24,MATCH($A59,'Сводка заказов'!$A$5:$A$24,0)),0)),2)</f>
        <v>0</v>
      </c>
      <c r="S59" s="44" t="n">
        <f aca="false">ROUND(Q59*N(IFERROR(INDEX('Сводка заказов'!$R$5:$R$24,MATCH($A59,'Сводка заказов'!$A$5:$A$24,0)),0)),2)</f>
        <v>0</v>
      </c>
      <c r="T59" s="44" t="n">
        <f aca="false">Q59+R59+S59</f>
        <v>376.75</v>
      </c>
      <c r="U59" s="44" t="n">
        <f aca="false">ROUND(T59*O59,2)</f>
        <v>33.91</v>
      </c>
      <c r="V59" s="44" t="n">
        <f aca="false">ROUND((T59+U59)*P59,2)</f>
        <v>65.71</v>
      </c>
      <c r="W59" s="44" t="n">
        <f aca="false">ROUND(Q59*N(IFERROR(INDEX('Сводка заказов'!$S$5:$S$24,MATCH($A59,'Сводка заказов'!$A$5:$A$24,0)),0)),2)</f>
        <v>56.51</v>
      </c>
      <c r="X59" s="7" t="n">
        <f aca="false">ROUND(T59+U59+W59+IF(Справочники!$B$22="Да",0,V59),0)</f>
        <v>467</v>
      </c>
      <c r="Y59" s="7" t="n">
        <f aca="false">X59*J59</f>
        <v>467000</v>
      </c>
      <c r="Z59" s="7" t="n">
        <f aca="false">U59*J59</f>
        <v>33910</v>
      </c>
      <c r="AA59" s="7" t="n">
        <f aca="false">V59*J59</f>
        <v>65710</v>
      </c>
      <c r="AB59" s="19" t="n">
        <f aca="false">IF('ГИЛЬЗЫ И ВТУЛКИ'!$AO$14="","",'ГИЛЬЗЫ И ВТУЛКИ'!$AO$14)</f>
        <v>615</v>
      </c>
      <c r="AC59" s="19" t="n">
        <f aca="false">IF('ГИЛЬЗЫ И ВТУЛКИ'!$AR$14="","",'ГИЛЬЗЫ И ВТУЛКИ'!$AR$14)</f>
        <v>3781</v>
      </c>
      <c r="AD59" s="19" t="n">
        <f aca="false">IF('ГИЛЬЗЫ И ВТУЛКИ'!$AT$14="","",'ГИЛЬЗЫ И ВТУЛКИ'!$AT$14)</f>
        <v>2000</v>
      </c>
      <c r="AE59" s="7" t="n">
        <f aca="false">IF(AD59="","",ROUND(AD59/(1+P59),0))</f>
        <v>1724</v>
      </c>
      <c r="AF59" s="7" t="n">
        <f aca="false">IF(AE59="","",AE59-X59)</f>
        <v>1257</v>
      </c>
      <c r="AG59" s="8" t="n">
        <f aca="false">IF(OR(AE59="",AE59=0),"",AF59/AE59)</f>
        <v>0.729118329466357</v>
      </c>
      <c r="AH59" s="7" t="n">
        <f aca="false">IF(AE59="",0,AE59*J59)</f>
        <v>1724000</v>
      </c>
      <c r="AI59" s="7" t="n">
        <f aca="false">IF(AF59="",0,AF59*J59)</f>
        <v>1257000</v>
      </c>
      <c r="AJ59" s="40" t="s">
        <v>151</v>
      </c>
      <c r="AK59" s="47" t="str">
        <f aca="false">IFERROR(IF(INDEX('Сводка заказов'!$V$5:$V$24,MATCH($A59,'Сводка заказов'!$A$5:$A$24,0))="","",INDEX('Сводка заказов'!$V$5:$V$24,MATCH($A59,'Сводка заказов'!$A$5:$A$24,0))),"")</f>
        <v/>
      </c>
      <c r="AL59" s="50"/>
      <c r="AM59" s="42"/>
      <c r="AN59" s="55" t="str">
        <f aca="false">IF(N(AL59)=0,"Нет",IF(AL59&gt;=J59,"Да","Частично"))</f>
        <v>Нет</v>
      </c>
      <c r="AO59" s="7" t="n">
        <f aca="false">J59-N(AL59)</f>
        <v>1000</v>
      </c>
      <c r="AP59" s="54" t="s">
        <v>354</v>
      </c>
    </row>
    <row r="60" customFormat="false" ht="61.5" hidden="false" customHeight="true" outlineLevel="0" collapsed="false">
      <c r="A60" s="40" t="s">
        <v>161</v>
      </c>
      <c r="B60" s="43" t="str">
        <f aca="false">IFERROR(INDEX('Сводка заказов'!$B$5:$B$24,MATCH($A60,'Сводка заказов'!$A$5:$A$24,0)),"")</f>
        <v>Ningbo Best Swing</v>
      </c>
      <c r="C60" s="47" t="str">
        <f aca="false">IFERROR(IF(INDEX('Сводка заказов'!$D$5:$D$24,MATCH($A60,'Сводка заказов'!$A$5:$A$24,0))="","",INDEX('Сводка заказов'!$D$5:$D$24,MATCH($A60,'Сводка заказов'!$A$5:$A$24,0))),"")</f>
        <v/>
      </c>
      <c r="D60" s="40" t="n">
        <v>5</v>
      </c>
      <c r="E60" s="40"/>
      <c r="F60" s="40" t="s">
        <v>355</v>
      </c>
      <c r="G60" s="53" t="str">
        <f aca="false">'Комплектующие для качелей'!$E$6</f>
        <v>Пластиковое сиденье 420×165×85 мм с подвесами 1,8 м</v>
      </c>
      <c r="H60" s="54" t="s">
        <v>356</v>
      </c>
      <c r="I60" s="54" t="s">
        <v>357</v>
      </c>
      <c r="J60" s="50" t="n">
        <v>200</v>
      </c>
      <c r="K60" s="40" t="s">
        <v>96</v>
      </c>
      <c r="L60" s="45" t="n">
        <v>20</v>
      </c>
      <c r="M60" s="44" t="n">
        <f aca="false">J60*L60</f>
        <v>4000</v>
      </c>
      <c r="N60" s="40" t="s">
        <v>218</v>
      </c>
      <c r="O60" s="8" t="n">
        <f aca="false">IFERROR(VLOOKUP($N60,'ТН ВЭД'!$A$4:$C$40,3,0),0)</f>
        <v>0.05</v>
      </c>
      <c r="P60" s="8" t="n">
        <f aca="false">Справочники!$B$12</f>
        <v>0.16</v>
      </c>
      <c r="Q60" s="44" t="n">
        <f aca="false">ROUND(L60*Справочники!$B$5,2)</f>
        <v>1370</v>
      </c>
      <c r="R60" s="44" t="n">
        <f aca="false">ROUND(Q60*N(IFERROR(INDEX('Сводка заказов'!$Q$5:$Q$24,MATCH($A60,'Сводка заказов'!$A$5:$A$24,0)),0)),2)</f>
        <v>0</v>
      </c>
      <c r="S60" s="44" t="n">
        <f aca="false">ROUND(Q60*N(IFERROR(INDEX('Сводка заказов'!$R$5:$R$24,MATCH($A60,'Сводка заказов'!$A$5:$A$24,0)),0)),2)</f>
        <v>0</v>
      </c>
      <c r="T60" s="44" t="n">
        <f aca="false">Q60+R60+S60</f>
        <v>1370</v>
      </c>
      <c r="U60" s="44" t="n">
        <f aca="false">ROUND(T60*O60,2)</f>
        <v>68.5</v>
      </c>
      <c r="V60" s="44" t="n">
        <f aca="false">ROUND((T60+U60)*P60,2)</f>
        <v>230.16</v>
      </c>
      <c r="W60" s="44" t="n">
        <f aca="false">ROUND(Q60*N(IFERROR(INDEX('Сводка заказов'!$S$5:$S$24,MATCH($A60,'Сводка заказов'!$A$5:$A$24,0)),0)),2)</f>
        <v>205.5</v>
      </c>
      <c r="X60" s="7" t="n">
        <f aca="false">ROUND(T60+U60+W60+IF(Справочники!$B$22="Да",0,V60),0)</f>
        <v>1644</v>
      </c>
      <c r="Y60" s="7" t="n">
        <f aca="false">X60*J60</f>
        <v>328800</v>
      </c>
      <c r="Z60" s="7" t="n">
        <f aca="false">U60*J60</f>
        <v>13700</v>
      </c>
      <c r="AA60" s="7" t="n">
        <f aca="false">V60*J60</f>
        <v>46032</v>
      </c>
      <c r="AB60" s="19" t="str">
        <f aca="false">IF('Комплектующие для качелей'!$AO$6="","",'Комплектующие для качелей'!$AO$6)</f>
        <v/>
      </c>
      <c r="AC60" s="19" t="str">
        <f aca="false">IF('Комплектующие для качелей'!$AR$6="","",'Комплектующие для качелей'!$AR$6)</f>
        <v/>
      </c>
      <c r="AD60" s="19" t="n">
        <f aca="false">IF('Комплектующие для качелей'!$AT$6="","",'Комплектующие для качелей'!$AT$6)</f>
        <v>3820</v>
      </c>
      <c r="AE60" s="7" t="n">
        <f aca="false">IF(AD60="","",ROUND(AD60/(1+P60),0))</f>
        <v>3293</v>
      </c>
      <c r="AF60" s="7" t="n">
        <f aca="false">IF(AE60="","",AE60-X60)</f>
        <v>1649</v>
      </c>
      <c r="AG60" s="8" t="n">
        <f aca="false">IF(OR(AE60="",AE60=0),"",AF60/AE60)</f>
        <v>0.500759186152445</v>
      </c>
      <c r="AH60" s="7" t="n">
        <f aca="false">IF(AE60="",0,AE60*J60)</f>
        <v>658600</v>
      </c>
      <c r="AI60" s="7" t="n">
        <f aca="false">IF(AF60="",0,AF60*J60)</f>
        <v>329800</v>
      </c>
      <c r="AJ60" s="40" t="s">
        <v>151</v>
      </c>
      <c r="AK60" s="47" t="str">
        <f aca="false">IFERROR(IF(INDEX('Сводка заказов'!$V$5:$V$24,MATCH($A60,'Сводка заказов'!$A$5:$A$24,0))="","",INDEX('Сводка заказов'!$V$5:$V$24,MATCH($A60,'Сводка заказов'!$A$5:$A$24,0))),"")</f>
        <v/>
      </c>
      <c r="AL60" s="50"/>
      <c r="AM60" s="42"/>
      <c r="AN60" s="55" t="str">
        <f aca="false">IF(N(AL60)=0,"Нет",IF(AL60&gt;=J60,"Да","Частично"))</f>
        <v>Нет</v>
      </c>
      <c r="AO60" s="7" t="n">
        <f aca="false">J60-N(AL60)</f>
        <v>200</v>
      </c>
      <c r="AP60" s="54"/>
    </row>
    <row r="61" customFormat="false" ht="61.5" hidden="false" customHeight="true" outlineLevel="0" collapsed="false">
      <c r="A61" s="40" t="s">
        <v>161</v>
      </c>
      <c r="B61" s="43" t="str">
        <f aca="false">IFERROR(INDEX('Сводка заказов'!$B$5:$B$24,MATCH($A61,'Сводка заказов'!$A$5:$A$24,0)),"")</f>
        <v>Ningbo Best Swing</v>
      </c>
      <c r="C61" s="47" t="str">
        <f aca="false">IFERROR(IF(INDEX('Сводка заказов'!$D$5:$D$24,MATCH($A61,'Сводка заказов'!$A$5:$A$24,0))="","",INDEX('Сводка заказов'!$D$5:$D$24,MATCH($A61,'Сводка заказов'!$A$5:$A$24,0))),"")</f>
        <v/>
      </c>
      <c r="D61" s="40" t="n">
        <v>6</v>
      </c>
      <c r="E61" s="40"/>
      <c r="F61" s="40" t="s">
        <v>358</v>
      </c>
      <c r="G61" s="53" t="str">
        <f aca="false">'Изделия для каната'!$E$15</f>
        <v>Пластиковая перекладина для канатной лестницы под канат Ø16 мм</v>
      </c>
      <c r="H61" s="54" t="s">
        <v>359</v>
      </c>
      <c r="I61" s="54" t="s">
        <v>360</v>
      </c>
      <c r="J61" s="50" t="n">
        <v>500</v>
      </c>
      <c r="K61" s="40" t="s">
        <v>96</v>
      </c>
      <c r="L61" s="45" t="n">
        <v>12.6</v>
      </c>
      <c r="M61" s="44" t="n">
        <f aca="false">J61*L61</f>
        <v>6300</v>
      </c>
      <c r="N61" s="40" t="s">
        <v>241</v>
      </c>
      <c r="O61" s="8" t="n">
        <f aca="false">IFERROR(VLOOKUP($N61,'ТН ВЭД'!$A$4:$C$40,3,0),0)</f>
        <v>0.065</v>
      </c>
      <c r="P61" s="8" t="n">
        <f aca="false">Справочники!$B$12</f>
        <v>0.16</v>
      </c>
      <c r="Q61" s="44" t="n">
        <f aca="false">ROUND(L61*Справочники!$B$5,2)</f>
        <v>863.1</v>
      </c>
      <c r="R61" s="44" t="n">
        <f aca="false">ROUND(Q61*N(IFERROR(INDEX('Сводка заказов'!$Q$5:$Q$24,MATCH($A61,'Сводка заказов'!$A$5:$A$24,0)),0)),2)</f>
        <v>0</v>
      </c>
      <c r="S61" s="44" t="n">
        <f aca="false">ROUND(Q61*N(IFERROR(INDEX('Сводка заказов'!$R$5:$R$24,MATCH($A61,'Сводка заказов'!$A$5:$A$24,0)),0)),2)</f>
        <v>0</v>
      </c>
      <c r="T61" s="44" t="n">
        <f aca="false">Q61+R61+S61</f>
        <v>863.1</v>
      </c>
      <c r="U61" s="44" t="n">
        <f aca="false">ROUND(T61*O61,2)</f>
        <v>56.1</v>
      </c>
      <c r="V61" s="44" t="n">
        <f aca="false">ROUND((T61+U61)*P61,2)</f>
        <v>147.07</v>
      </c>
      <c r="W61" s="44" t="n">
        <f aca="false">ROUND(Q61*N(IFERROR(INDEX('Сводка заказов'!$S$5:$S$24,MATCH($A61,'Сводка заказов'!$A$5:$A$24,0)),0)),2)</f>
        <v>129.47</v>
      </c>
      <c r="X61" s="7" t="n">
        <f aca="false">ROUND(T61+U61+W61+IF(Справочники!$B$22="Да",0,V61),0)</f>
        <v>1049</v>
      </c>
      <c r="Y61" s="7" t="n">
        <f aca="false">X61*J61</f>
        <v>524500</v>
      </c>
      <c r="Z61" s="7" t="n">
        <f aca="false">U61*J61</f>
        <v>28050</v>
      </c>
      <c r="AA61" s="7" t="n">
        <f aca="false">V61*J61</f>
        <v>73535</v>
      </c>
      <c r="AB61" s="19" t="n">
        <f aca="false">IF('Изделия для каната'!$AO$15="","",'Изделия для каната'!$AO$15)</f>
        <v>295</v>
      </c>
      <c r="AC61" s="19" t="n">
        <f aca="false">IF('Изделия для каната'!$AR$15="","",'Изделия для каната'!$AR$15)</f>
        <v>1814</v>
      </c>
      <c r="AD61" s="19" t="n">
        <f aca="false">IF('Изделия для каната'!$AT$15="","",'Изделия для каната'!$AT$15)</f>
        <v>2000</v>
      </c>
      <c r="AE61" s="7" t="n">
        <f aca="false">IF(AD61="","",ROUND(AD61/(1+P61),0))</f>
        <v>1724</v>
      </c>
      <c r="AF61" s="7" t="n">
        <f aca="false">IF(AE61="","",AE61-X61)</f>
        <v>675</v>
      </c>
      <c r="AG61" s="8" t="n">
        <f aca="false">IF(OR(AE61="",AE61=0),"",AF61/AE61)</f>
        <v>0.3915313225058</v>
      </c>
      <c r="AH61" s="7" t="n">
        <f aca="false">IF(AE61="",0,AE61*J61)</f>
        <v>862000</v>
      </c>
      <c r="AI61" s="7" t="n">
        <f aca="false">IF(AF61="",0,AF61*J61)</f>
        <v>337500</v>
      </c>
      <c r="AJ61" s="40" t="s">
        <v>151</v>
      </c>
      <c r="AK61" s="47" t="str">
        <f aca="false">IFERROR(IF(INDEX('Сводка заказов'!$V$5:$V$24,MATCH($A61,'Сводка заказов'!$A$5:$A$24,0))="","",INDEX('Сводка заказов'!$V$5:$V$24,MATCH($A61,'Сводка заказов'!$A$5:$A$24,0))),"")</f>
        <v/>
      </c>
      <c r="AL61" s="50"/>
      <c r="AM61" s="42"/>
      <c r="AN61" s="55" t="str">
        <f aca="false">IF(N(AL61)=0,"Нет",IF(AL61&gt;=J61,"Да","Частично"))</f>
        <v>Нет</v>
      </c>
      <c r="AO61" s="7" t="n">
        <f aca="false">J61-N(AL61)</f>
        <v>500</v>
      </c>
      <c r="AP61" s="54"/>
    </row>
    <row r="62" customFormat="false" ht="61.5" hidden="false" customHeight="true" outlineLevel="0" collapsed="false">
      <c r="A62" s="40" t="s">
        <v>161</v>
      </c>
      <c r="B62" s="43" t="str">
        <f aca="false">IFERROR(INDEX('Сводка заказов'!$B$5:$B$24,MATCH($A62,'Сводка заказов'!$A$5:$A$24,0)),"")</f>
        <v>Ningbo Best Swing</v>
      </c>
      <c r="C62" s="47" t="str">
        <f aca="false">IFERROR(IF(INDEX('Сводка заказов'!$D$5:$D$24,MATCH($A62,'Сводка заказов'!$A$5:$A$24,0))="","",INDEX('Сводка заказов'!$D$5:$D$24,MATCH($A62,'Сводка заказов'!$A$5:$A$24,0))),"")</f>
        <v/>
      </c>
      <c r="D62" s="40" t="n">
        <v>7</v>
      </c>
      <c r="E62" s="40"/>
      <c r="F62" s="40" t="s">
        <v>361</v>
      </c>
      <c r="G62" s="53" t="str">
        <f aca="false">'Комплектующие для качелей'!$E$7</f>
        <v>Сиденье-люлька Forto 450×355×251 мм (до 3 лет), без подвесов</v>
      </c>
      <c r="H62" s="54" t="s">
        <v>362</v>
      </c>
      <c r="I62" s="54" t="s">
        <v>363</v>
      </c>
      <c r="J62" s="50" t="n">
        <v>30</v>
      </c>
      <c r="K62" s="40" t="s">
        <v>96</v>
      </c>
      <c r="L62" s="45" t="n">
        <v>332.5</v>
      </c>
      <c r="M62" s="44" t="n">
        <f aca="false">J62*L62</f>
        <v>9975</v>
      </c>
      <c r="N62" s="40" t="s">
        <v>218</v>
      </c>
      <c r="O62" s="8" t="n">
        <f aca="false">IFERROR(VLOOKUP($N62,'ТН ВЭД'!$A$4:$C$40,3,0),0)</f>
        <v>0.05</v>
      </c>
      <c r="P62" s="8" t="n">
        <f aca="false">Справочники!$B$12</f>
        <v>0.16</v>
      </c>
      <c r="Q62" s="44" t="n">
        <f aca="false">ROUND(L62*Справочники!$B$5,2)</f>
        <v>22776.25</v>
      </c>
      <c r="R62" s="44" t="n">
        <f aca="false">ROUND(Q62*N(IFERROR(INDEX('Сводка заказов'!$Q$5:$Q$24,MATCH($A62,'Сводка заказов'!$A$5:$A$24,0)),0)),2)</f>
        <v>0</v>
      </c>
      <c r="S62" s="44" t="n">
        <f aca="false">ROUND(Q62*N(IFERROR(INDEX('Сводка заказов'!$R$5:$R$24,MATCH($A62,'Сводка заказов'!$A$5:$A$24,0)),0)),2)</f>
        <v>0</v>
      </c>
      <c r="T62" s="44" t="n">
        <f aca="false">Q62+R62+S62</f>
        <v>22776.25</v>
      </c>
      <c r="U62" s="44" t="n">
        <f aca="false">ROUND(T62*O62,2)</f>
        <v>1138.81</v>
      </c>
      <c r="V62" s="44" t="n">
        <f aca="false">ROUND((T62+U62)*P62,2)</f>
        <v>3826.41</v>
      </c>
      <c r="W62" s="44" t="n">
        <f aca="false">ROUND(Q62*N(IFERROR(INDEX('Сводка заказов'!$S$5:$S$24,MATCH($A62,'Сводка заказов'!$A$5:$A$24,0)),0)),2)</f>
        <v>3416.44</v>
      </c>
      <c r="X62" s="7" t="n">
        <f aca="false">ROUND(T62+U62+W62+IF(Справочники!$B$22="Да",0,V62),0)</f>
        <v>27332</v>
      </c>
      <c r="Y62" s="7" t="n">
        <f aca="false">X62*J62</f>
        <v>819960</v>
      </c>
      <c r="Z62" s="7" t="n">
        <f aca="false">U62*J62</f>
        <v>34164.3</v>
      </c>
      <c r="AA62" s="7" t="n">
        <f aca="false">V62*J62</f>
        <v>114792.3</v>
      </c>
      <c r="AB62" s="19" t="n">
        <f aca="false">IF('Комплектующие для качелей'!$AO$7="","",'Комплектующие для качелей'!$AO$7)</f>
        <v>8250</v>
      </c>
      <c r="AC62" s="19" t="n">
        <f aca="false">IF('Комплектующие для качелей'!$AR$7="","",'Комплектующие для качелей'!$AR$7)</f>
        <v>50721</v>
      </c>
      <c r="AD62" s="19" t="n">
        <f aca="false">IF('Комплектующие для качелей'!$AT$7="","",'Комплектующие для качелей'!$AT$7)</f>
        <v>46663</v>
      </c>
      <c r="AE62" s="7" t="n">
        <f aca="false">IF(AD62="","",ROUND(AD62/(1+P62),0))</f>
        <v>40227</v>
      </c>
      <c r="AF62" s="7" t="n">
        <f aca="false">IF(AE62="","",AE62-X62)</f>
        <v>12895</v>
      </c>
      <c r="AG62" s="8" t="n">
        <f aca="false">IF(OR(AE62="",AE62=0),"",AF62/AE62)</f>
        <v>0.320555845576354</v>
      </c>
      <c r="AH62" s="7" t="n">
        <f aca="false">IF(AE62="",0,AE62*J62)</f>
        <v>1206810</v>
      </c>
      <c r="AI62" s="7" t="n">
        <f aca="false">IF(AF62="",0,AF62*J62)</f>
        <v>386850</v>
      </c>
      <c r="AJ62" s="40" t="s">
        <v>151</v>
      </c>
      <c r="AK62" s="47" t="str">
        <f aca="false">IFERROR(IF(INDEX('Сводка заказов'!$V$5:$V$24,MATCH($A62,'Сводка заказов'!$A$5:$A$24,0))="","",INDEX('Сводка заказов'!$V$5:$V$24,MATCH($A62,'Сводка заказов'!$A$5:$A$24,0))),"")</f>
        <v/>
      </c>
      <c r="AL62" s="50"/>
      <c r="AM62" s="42"/>
      <c r="AN62" s="55" t="str">
        <f aca="false">IF(N(AL62)=0,"Нет",IF(AL62&gt;=J62,"Да","Частично"))</f>
        <v>Нет</v>
      </c>
      <c r="AO62" s="7" t="n">
        <f aca="false">J62-N(AL62)</f>
        <v>30</v>
      </c>
      <c r="AP62" s="54"/>
    </row>
    <row r="63" customFormat="false" ht="61.5" hidden="false" customHeight="true" outlineLevel="0" collapsed="false">
      <c r="A63" s="40" t="s">
        <v>161</v>
      </c>
      <c r="B63" s="43" t="str">
        <f aca="false">IFERROR(INDEX('Сводка заказов'!$B$5:$B$24,MATCH($A63,'Сводка заказов'!$A$5:$A$24,0)),"")</f>
        <v>Ningbo Best Swing</v>
      </c>
      <c r="C63" s="47" t="str">
        <f aca="false">IFERROR(IF(INDEX('Сводка заказов'!$D$5:$D$24,MATCH($A63,'Сводка заказов'!$A$5:$A$24,0))="","",INDEX('Сводка заказов'!$D$5:$D$24,MATCH($A63,'Сводка заказов'!$A$5:$A$24,0))),"")</f>
        <v/>
      </c>
      <c r="D63" s="40" t="n">
        <v>8</v>
      </c>
      <c r="E63" s="40"/>
      <c r="F63" s="40" t="s">
        <v>364</v>
      </c>
      <c r="G63" s="53" t="str">
        <f aca="false">'Комплектующие для качелей'!$E$8</f>
        <v>Сиденье-люлька Basic 440×175×219 мм (до 3 лет), без подвесов</v>
      </c>
      <c r="H63" s="54" t="s">
        <v>365</v>
      </c>
      <c r="I63" s="54" t="s">
        <v>366</v>
      </c>
      <c r="J63" s="50" t="n">
        <v>200</v>
      </c>
      <c r="K63" s="40" t="s">
        <v>96</v>
      </c>
      <c r="L63" s="45" t="n">
        <v>259</v>
      </c>
      <c r="M63" s="44" t="n">
        <f aca="false">J63*L63</f>
        <v>51800</v>
      </c>
      <c r="N63" s="40" t="s">
        <v>218</v>
      </c>
      <c r="O63" s="8" t="n">
        <f aca="false">IFERROR(VLOOKUP($N63,'ТН ВЭД'!$A$4:$C$40,3,0),0)</f>
        <v>0.05</v>
      </c>
      <c r="P63" s="8" t="n">
        <f aca="false">Справочники!$B$12</f>
        <v>0.16</v>
      </c>
      <c r="Q63" s="44" t="n">
        <f aca="false">ROUND(L63*Справочники!$B$5,2)</f>
        <v>17741.5</v>
      </c>
      <c r="R63" s="44" t="n">
        <f aca="false">ROUND(Q63*N(IFERROR(INDEX('Сводка заказов'!$Q$5:$Q$24,MATCH($A63,'Сводка заказов'!$A$5:$A$24,0)),0)),2)</f>
        <v>0</v>
      </c>
      <c r="S63" s="44" t="n">
        <f aca="false">ROUND(Q63*N(IFERROR(INDEX('Сводка заказов'!$R$5:$R$24,MATCH($A63,'Сводка заказов'!$A$5:$A$24,0)),0)),2)</f>
        <v>0</v>
      </c>
      <c r="T63" s="44" t="n">
        <f aca="false">Q63+R63+S63</f>
        <v>17741.5</v>
      </c>
      <c r="U63" s="44" t="n">
        <f aca="false">ROUND(T63*O63,2)</f>
        <v>887.08</v>
      </c>
      <c r="V63" s="44" t="n">
        <f aca="false">ROUND((T63+U63)*P63,2)</f>
        <v>2980.57</v>
      </c>
      <c r="W63" s="44" t="n">
        <f aca="false">ROUND(Q63*N(IFERROR(INDEX('Сводка заказов'!$S$5:$S$24,MATCH($A63,'Сводка заказов'!$A$5:$A$24,0)),0)),2)</f>
        <v>2661.23</v>
      </c>
      <c r="X63" s="7" t="n">
        <f aca="false">ROUND(T63+U63+W63+IF(Справочники!$B$22="Да",0,V63),0)</f>
        <v>21290</v>
      </c>
      <c r="Y63" s="7" t="n">
        <f aca="false">X63*J63</f>
        <v>4258000</v>
      </c>
      <c r="Z63" s="7" t="n">
        <f aca="false">U63*J63</f>
        <v>177416</v>
      </c>
      <c r="AA63" s="7" t="n">
        <f aca="false">V63*J63</f>
        <v>596114</v>
      </c>
      <c r="AB63" s="19" t="str">
        <f aca="false">IF('Комплектующие для качелей'!$AO$8="","",'Комплектующие для качелей'!$AO$8)</f>
        <v/>
      </c>
      <c r="AC63" s="19" t="str">
        <f aca="false">IF('Комплектующие для качелей'!$AR$8="","",'Комплектующие для качелей'!$AR$8)</f>
        <v/>
      </c>
      <c r="AD63" s="19" t="n">
        <f aca="false">IF('Комплектующие для качелей'!$AT$8="","",'Комплектующие для качелей'!$AT$8)</f>
        <v>49400</v>
      </c>
      <c r="AE63" s="7" t="n">
        <f aca="false">IF(AD63="","",ROUND(AD63/(1+P63),0))</f>
        <v>42586</v>
      </c>
      <c r="AF63" s="7" t="n">
        <f aca="false">IF(AE63="","",AE63-X63)</f>
        <v>21296</v>
      </c>
      <c r="AG63" s="8" t="n">
        <f aca="false">IF(OR(AE63="",AE63=0),"",AF63/AE63)</f>
        <v>0.500070445686376</v>
      </c>
      <c r="AH63" s="7" t="n">
        <f aca="false">IF(AE63="",0,AE63*J63)</f>
        <v>8517200</v>
      </c>
      <c r="AI63" s="7" t="n">
        <f aca="false">IF(AF63="",0,AF63*J63)</f>
        <v>4259200</v>
      </c>
      <c r="AJ63" s="40" t="s">
        <v>151</v>
      </c>
      <c r="AK63" s="47" t="str">
        <f aca="false">IFERROR(IF(INDEX('Сводка заказов'!$V$5:$V$24,MATCH($A63,'Сводка заказов'!$A$5:$A$24,0))="","",INDEX('Сводка заказов'!$V$5:$V$24,MATCH($A63,'Сводка заказов'!$A$5:$A$24,0))),"")</f>
        <v/>
      </c>
      <c r="AL63" s="50"/>
      <c r="AM63" s="42"/>
      <c r="AN63" s="55" t="str">
        <f aca="false">IF(N(AL63)=0,"Нет",IF(AL63&gt;=J63,"Да","Частично"))</f>
        <v>Нет</v>
      </c>
      <c r="AO63" s="7" t="n">
        <f aca="false">J63-N(AL63)</f>
        <v>200</v>
      </c>
      <c r="AP63" s="54"/>
    </row>
    <row r="64" customFormat="false" ht="61.5" hidden="false" customHeight="true" outlineLevel="0" collapsed="false">
      <c r="A64" s="40" t="s">
        <v>161</v>
      </c>
      <c r="B64" s="43" t="str">
        <f aca="false">IFERROR(INDEX('Сводка заказов'!$B$5:$B$24,MATCH($A64,'Сводка заказов'!$A$5:$A$24,0)),"")</f>
        <v>Ningbo Best Swing</v>
      </c>
      <c r="C64" s="47" t="str">
        <f aca="false">IFERROR(IF(INDEX('Сводка заказов'!$D$5:$D$24,MATCH($A64,'Сводка заказов'!$A$5:$A$24,0))="","",INDEX('Сводка заказов'!$D$5:$D$24,MATCH($A64,'Сводка заказов'!$A$5:$A$24,0))),"")</f>
        <v/>
      </c>
      <c r="D64" s="40" t="n">
        <v>9</v>
      </c>
      <c r="E64" s="40"/>
      <c r="F64" s="40" t="s">
        <v>367</v>
      </c>
      <c r="G64" s="53" t="str">
        <f aca="false">'Гимнастические кольца и подвесы'!$E$6</f>
        <v>Треугольное акробатическое кольцо M04-213 135×125 мм с ПВХ-покрытием</v>
      </c>
      <c r="H64" s="54" t="s">
        <v>368</v>
      </c>
      <c r="I64" s="54" t="s">
        <v>255</v>
      </c>
      <c r="J64" s="50" t="n">
        <v>100</v>
      </c>
      <c r="K64" s="40" t="s">
        <v>96</v>
      </c>
      <c r="L64" s="45" t="n">
        <v>38</v>
      </c>
      <c r="M64" s="44" t="n">
        <f aca="false">J64*L64</f>
        <v>3800</v>
      </c>
      <c r="N64" s="40" t="s">
        <v>369</v>
      </c>
      <c r="O64" s="8" t="n">
        <f aca="false">IFERROR(VLOOKUP($N64,'ТН ВЭД'!$A$4:$C$40,3,0),0)</f>
        <v>0.05</v>
      </c>
      <c r="P64" s="8" t="n">
        <f aca="false">Справочники!$B$12</f>
        <v>0.16</v>
      </c>
      <c r="Q64" s="44" t="n">
        <f aca="false">ROUND(L64*Справочники!$B$5,2)</f>
        <v>2603</v>
      </c>
      <c r="R64" s="44" t="n">
        <f aca="false">ROUND(Q64*N(IFERROR(INDEX('Сводка заказов'!$Q$5:$Q$24,MATCH($A64,'Сводка заказов'!$A$5:$A$24,0)),0)),2)</f>
        <v>0</v>
      </c>
      <c r="S64" s="44" t="n">
        <f aca="false">ROUND(Q64*N(IFERROR(INDEX('Сводка заказов'!$R$5:$R$24,MATCH($A64,'Сводка заказов'!$A$5:$A$24,0)),0)),2)</f>
        <v>0</v>
      </c>
      <c r="T64" s="44" t="n">
        <f aca="false">Q64+R64+S64</f>
        <v>2603</v>
      </c>
      <c r="U64" s="44" t="n">
        <f aca="false">ROUND(T64*O64,2)</f>
        <v>130.15</v>
      </c>
      <c r="V64" s="44" t="n">
        <f aca="false">ROUND((T64+U64)*P64,2)</f>
        <v>437.3</v>
      </c>
      <c r="W64" s="44" t="n">
        <f aca="false">ROUND(Q64*N(IFERROR(INDEX('Сводка заказов'!$S$5:$S$24,MATCH($A64,'Сводка заказов'!$A$5:$A$24,0)),0)),2)</f>
        <v>390.45</v>
      </c>
      <c r="X64" s="7" t="n">
        <f aca="false">ROUND(T64+U64+W64+IF(Справочники!$B$22="Да",0,V64),0)</f>
        <v>3124</v>
      </c>
      <c r="Y64" s="7" t="n">
        <f aca="false">X64*J64</f>
        <v>312400</v>
      </c>
      <c r="Z64" s="7" t="n">
        <f aca="false">U64*J64</f>
        <v>13015</v>
      </c>
      <c r="AA64" s="7" t="n">
        <f aca="false">V64*J64</f>
        <v>43730</v>
      </c>
      <c r="AB64" s="19" t="n">
        <f aca="false">IF('Гимнастические кольца и подвесы'!$AO$6="","",'Гимнастические кольца и подвесы'!$AO$6)</f>
        <v>3150</v>
      </c>
      <c r="AC64" s="19" t="n">
        <f aca="false">IF('Гимнастические кольца и подвесы'!$AR$6="","",'Гимнастические кольца и подвесы'!$AR$6)</f>
        <v>19366</v>
      </c>
      <c r="AD64" s="19" t="n">
        <f aca="false">IF('Гимнастические кольца и подвесы'!$AT$6="","",'Гимнастические кольца и подвесы'!$AT$6)</f>
        <v>12000</v>
      </c>
      <c r="AE64" s="7" t="n">
        <f aca="false">IF(AD64="","",ROUND(AD64/(1+P64),0))</f>
        <v>10345</v>
      </c>
      <c r="AF64" s="7" t="n">
        <f aca="false">IF(AE64="","",AE64-X64)</f>
        <v>7221</v>
      </c>
      <c r="AG64" s="8" t="n">
        <f aca="false">IF(OR(AE64="",AE64=0),"",AF64/AE64)</f>
        <v>0.698018366360561</v>
      </c>
      <c r="AH64" s="7" t="n">
        <f aca="false">IF(AE64="",0,AE64*J64)</f>
        <v>1034500</v>
      </c>
      <c r="AI64" s="7" t="n">
        <f aca="false">IF(AF64="",0,AF64*J64)</f>
        <v>722100</v>
      </c>
      <c r="AJ64" s="40" t="s">
        <v>151</v>
      </c>
      <c r="AK64" s="47" t="str">
        <f aca="false">IFERROR(IF(INDEX('Сводка заказов'!$V$5:$V$24,MATCH($A64,'Сводка заказов'!$A$5:$A$24,0))="","",INDEX('Сводка заказов'!$V$5:$V$24,MATCH($A64,'Сводка заказов'!$A$5:$A$24,0))),"")</f>
        <v/>
      </c>
      <c r="AL64" s="50"/>
      <c r="AM64" s="42"/>
      <c r="AN64" s="55" t="str">
        <f aca="false">IF(N(AL64)=0,"Нет",IF(AL64&gt;=J64,"Да","Частично"))</f>
        <v>Нет</v>
      </c>
      <c r="AO64" s="7" t="n">
        <f aca="false">J64-N(AL64)</f>
        <v>100</v>
      </c>
      <c r="AP64" s="54"/>
    </row>
    <row r="65" customFormat="false" ht="61.5" hidden="false" customHeight="true" outlineLevel="0" collapsed="false">
      <c r="A65" s="40" t="s">
        <v>161</v>
      </c>
      <c r="B65" s="43" t="str">
        <f aca="false">IFERROR(INDEX('Сводка заказов'!$B$5:$B$24,MATCH($A65,'Сводка заказов'!$A$5:$A$24,0)),"")</f>
        <v>Ningbo Best Swing</v>
      </c>
      <c r="C65" s="47" t="str">
        <f aca="false">IFERROR(IF(INDEX('Сводка заказов'!$D$5:$D$24,MATCH($A65,'Сводка заказов'!$A$5:$A$24,0))="","",INDEX('Сводка заказов'!$D$5:$D$24,MATCH($A65,'Сводка заказов'!$A$5:$A$24,0))),"")</f>
        <v/>
      </c>
      <c r="D65" s="40" t="n">
        <v>10</v>
      </c>
      <c r="E65" s="40"/>
      <c r="F65" s="40" t="s">
        <v>370</v>
      </c>
      <c r="G65" s="53" t="str">
        <f aca="false">'Комплектующие для качелей'!$E$3</f>
        <v>Круглое резиновое сиденье Ø280×65 мм для канатных конструкций</v>
      </c>
      <c r="H65" s="54" t="s">
        <v>371</v>
      </c>
      <c r="I65" s="54" t="s">
        <v>265</v>
      </c>
      <c r="J65" s="50" t="n">
        <v>120</v>
      </c>
      <c r="K65" s="40" t="s">
        <v>96</v>
      </c>
      <c r="L65" s="45" t="n">
        <v>68</v>
      </c>
      <c r="M65" s="44" t="n">
        <f aca="false">J65*L65</f>
        <v>8160</v>
      </c>
      <c r="N65" s="40" t="s">
        <v>218</v>
      </c>
      <c r="O65" s="8" t="n">
        <f aca="false">IFERROR(VLOOKUP($N65,'ТН ВЭД'!$A$4:$C$40,3,0),0)</f>
        <v>0.05</v>
      </c>
      <c r="P65" s="8" t="n">
        <f aca="false">Справочники!$B$12</f>
        <v>0.16</v>
      </c>
      <c r="Q65" s="44" t="n">
        <f aca="false">ROUND(L65*Справочники!$B$5,2)</f>
        <v>4658</v>
      </c>
      <c r="R65" s="44" t="n">
        <f aca="false">ROUND(Q65*N(IFERROR(INDEX('Сводка заказов'!$Q$5:$Q$24,MATCH($A65,'Сводка заказов'!$A$5:$A$24,0)),0)),2)</f>
        <v>0</v>
      </c>
      <c r="S65" s="44" t="n">
        <f aca="false">ROUND(Q65*N(IFERROR(INDEX('Сводка заказов'!$R$5:$R$24,MATCH($A65,'Сводка заказов'!$A$5:$A$24,0)),0)),2)</f>
        <v>0</v>
      </c>
      <c r="T65" s="44" t="n">
        <f aca="false">Q65+R65+S65</f>
        <v>4658</v>
      </c>
      <c r="U65" s="44" t="n">
        <f aca="false">ROUND(T65*O65,2)</f>
        <v>232.9</v>
      </c>
      <c r="V65" s="44" t="n">
        <f aca="false">ROUND((T65+U65)*P65,2)</f>
        <v>782.54</v>
      </c>
      <c r="W65" s="44" t="n">
        <f aca="false">ROUND(Q65*N(IFERROR(INDEX('Сводка заказов'!$S$5:$S$24,MATCH($A65,'Сводка заказов'!$A$5:$A$24,0)),0)),2)</f>
        <v>698.7</v>
      </c>
      <c r="X65" s="7" t="n">
        <f aca="false">ROUND(T65+U65+W65+IF(Справочники!$B$22="Да",0,V65),0)</f>
        <v>5590</v>
      </c>
      <c r="Y65" s="7" t="n">
        <f aca="false">X65*J65</f>
        <v>670800</v>
      </c>
      <c r="Z65" s="7" t="n">
        <f aca="false">U65*J65</f>
        <v>27948</v>
      </c>
      <c r="AA65" s="7" t="n">
        <f aca="false">V65*J65</f>
        <v>93904.8</v>
      </c>
      <c r="AB65" s="19" t="n">
        <f aca="false">IF('Комплектующие для качелей'!$AO$3="","",'Комплектующие для качелей'!$AO$3)</f>
        <v>2750</v>
      </c>
      <c r="AC65" s="19" t="n">
        <f aca="false">IF('Комплектующие для качелей'!$AR$3="","",'Комплектующие для качелей'!$AR$3)</f>
        <v>16907</v>
      </c>
      <c r="AD65" s="19" t="n">
        <f aca="false">IF('Комплектующие для качелей'!$AT$3="","",'Комплектующие для качелей'!$AT$3)</f>
        <v>14000</v>
      </c>
      <c r="AE65" s="7" t="n">
        <f aca="false">IF(AD65="","",ROUND(AD65/(1+P65),0))</f>
        <v>12069</v>
      </c>
      <c r="AF65" s="7" t="n">
        <f aca="false">IF(AE65="","",AE65-X65)</f>
        <v>6479</v>
      </c>
      <c r="AG65" s="8" t="n">
        <f aca="false">IF(OR(AE65="",AE65=0),"",AF65/AE65)</f>
        <v>0.536829894771729</v>
      </c>
      <c r="AH65" s="7" t="n">
        <f aca="false">IF(AE65="",0,AE65*J65)</f>
        <v>1448280</v>
      </c>
      <c r="AI65" s="7" t="n">
        <f aca="false">IF(AF65="",0,AF65*J65)</f>
        <v>777480</v>
      </c>
      <c r="AJ65" s="40" t="s">
        <v>151</v>
      </c>
      <c r="AK65" s="47" t="str">
        <f aca="false">IFERROR(IF(INDEX('Сводка заказов'!$V$5:$V$24,MATCH($A65,'Сводка заказов'!$A$5:$A$24,0))="","",INDEX('Сводка заказов'!$V$5:$V$24,MATCH($A65,'Сводка заказов'!$A$5:$A$24,0))),"")</f>
        <v/>
      </c>
      <c r="AL65" s="50"/>
      <c r="AM65" s="42"/>
      <c r="AN65" s="55" t="str">
        <f aca="false">IF(N(AL65)=0,"Нет",IF(AL65&gt;=J65,"Да","Частично"))</f>
        <v>Нет</v>
      </c>
      <c r="AO65" s="7" t="n">
        <f aca="false">J65-N(AL65)</f>
        <v>120</v>
      </c>
      <c r="AP65" s="54"/>
    </row>
    <row r="66" customFormat="false" ht="61.5" hidden="false" customHeight="true" outlineLevel="0" collapsed="false">
      <c r="A66" s="40" t="s">
        <v>161</v>
      </c>
      <c r="B66" s="43" t="str">
        <f aca="false">IFERROR(INDEX('Сводка заказов'!$B$5:$B$24,MATCH($A66,'Сводка заказов'!$A$5:$A$24,0)),"")</f>
        <v>Ningbo Best Swing</v>
      </c>
      <c r="C66" s="47" t="str">
        <f aca="false">IFERROR(IF(INDEX('Сводка заказов'!$D$5:$D$24,MATCH($A66,'Сводка заказов'!$A$5:$A$24,0))="","",INDEX('Сводка заказов'!$D$5:$D$24,MATCH($A66,'Сводка заказов'!$A$5:$A$24,0))),"")</f>
        <v/>
      </c>
      <c r="D66" s="40" t="n">
        <v>11</v>
      </c>
      <c r="E66" s="40"/>
      <c r="F66" s="40" t="s">
        <v>372</v>
      </c>
      <c r="G66" s="53" t="str">
        <f aca="false">'Комплектующие для качелей'!$E$4</f>
        <v>Гибкое пластиковое сиденье 660×139 мм с цепными подвесами</v>
      </c>
      <c r="H66" s="54" t="s">
        <v>373</v>
      </c>
      <c r="I66" s="54" t="s">
        <v>254</v>
      </c>
      <c r="J66" s="50" t="n">
        <v>50</v>
      </c>
      <c r="K66" s="40" t="s">
        <v>96</v>
      </c>
      <c r="L66" s="45" t="n">
        <v>46</v>
      </c>
      <c r="M66" s="44" t="n">
        <f aca="false">J66*L66</f>
        <v>2300</v>
      </c>
      <c r="N66" s="40" t="s">
        <v>218</v>
      </c>
      <c r="O66" s="8" t="n">
        <f aca="false">IFERROR(VLOOKUP($N66,'ТН ВЭД'!$A$4:$C$40,3,0),0)</f>
        <v>0.05</v>
      </c>
      <c r="P66" s="8" t="n">
        <f aca="false">Справочники!$B$12</f>
        <v>0.16</v>
      </c>
      <c r="Q66" s="44" t="n">
        <f aca="false">ROUND(L66*Справочники!$B$5,2)</f>
        <v>3151</v>
      </c>
      <c r="R66" s="44" t="n">
        <f aca="false">ROUND(Q66*N(IFERROR(INDEX('Сводка заказов'!$Q$5:$Q$24,MATCH($A66,'Сводка заказов'!$A$5:$A$24,0)),0)),2)</f>
        <v>0</v>
      </c>
      <c r="S66" s="44" t="n">
        <f aca="false">ROUND(Q66*N(IFERROR(INDEX('Сводка заказов'!$R$5:$R$24,MATCH($A66,'Сводка заказов'!$A$5:$A$24,0)),0)),2)</f>
        <v>0</v>
      </c>
      <c r="T66" s="44" t="n">
        <f aca="false">Q66+R66+S66</f>
        <v>3151</v>
      </c>
      <c r="U66" s="44" t="n">
        <f aca="false">ROUND(T66*O66,2)</f>
        <v>157.55</v>
      </c>
      <c r="V66" s="44" t="n">
        <f aca="false">ROUND((T66+U66)*P66,2)</f>
        <v>529.37</v>
      </c>
      <c r="W66" s="44" t="n">
        <f aca="false">ROUND(Q66*N(IFERROR(INDEX('Сводка заказов'!$S$5:$S$24,MATCH($A66,'Сводка заказов'!$A$5:$A$24,0)),0)),2)</f>
        <v>472.65</v>
      </c>
      <c r="X66" s="7" t="n">
        <f aca="false">ROUND(T66+U66+W66+IF(Справочники!$B$22="Да",0,V66),0)</f>
        <v>3781</v>
      </c>
      <c r="Y66" s="7" t="n">
        <f aca="false">X66*J66</f>
        <v>189050</v>
      </c>
      <c r="Z66" s="7" t="n">
        <f aca="false">U66*J66</f>
        <v>7877.5</v>
      </c>
      <c r="AA66" s="7" t="n">
        <f aca="false">V66*J66</f>
        <v>26468.5</v>
      </c>
      <c r="AB66" s="19" t="n">
        <f aca="false">IF('Комплектующие для качелей'!$AO$4="","",'Комплектующие для качелей'!$AO$4)</f>
        <v>2350</v>
      </c>
      <c r="AC66" s="19" t="n">
        <f aca="false">IF('Комплектующие для качелей'!$AR$4="","",'Комплектующие для качелей'!$AR$4)</f>
        <v>14448</v>
      </c>
      <c r="AD66" s="19" t="n">
        <f aca="false">IF('Комплектующие для качелей'!$AT$4="","",'Комплектующие для качелей'!$AT$4)</f>
        <v>13292</v>
      </c>
      <c r="AE66" s="7" t="n">
        <f aca="false">IF(AD66="","",ROUND(AD66/(1+P66),0))</f>
        <v>11459</v>
      </c>
      <c r="AF66" s="7" t="n">
        <f aca="false">IF(AE66="","",AE66-X66)</f>
        <v>7678</v>
      </c>
      <c r="AG66" s="8" t="n">
        <f aca="false">IF(OR(AE66="",AE66=0),"",AF66/AE66)</f>
        <v>0.670041015795445</v>
      </c>
      <c r="AH66" s="7" t="n">
        <f aca="false">IF(AE66="",0,AE66*J66)</f>
        <v>572950</v>
      </c>
      <c r="AI66" s="7" t="n">
        <f aca="false">IF(AF66="",0,AF66*J66)</f>
        <v>383900</v>
      </c>
      <c r="AJ66" s="40" t="s">
        <v>151</v>
      </c>
      <c r="AK66" s="47" t="str">
        <f aca="false">IFERROR(IF(INDEX('Сводка заказов'!$V$5:$V$24,MATCH($A66,'Сводка заказов'!$A$5:$A$24,0))="","",INDEX('Сводка заказов'!$V$5:$V$24,MATCH($A66,'Сводка заказов'!$A$5:$A$24,0))),"")</f>
        <v/>
      </c>
      <c r="AL66" s="50"/>
      <c r="AM66" s="42"/>
      <c r="AN66" s="55" t="str">
        <f aca="false">IF(N(AL66)=0,"Нет",IF(AL66&gt;=J66,"Да","Частично"))</f>
        <v>Нет</v>
      </c>
      <c r="AO66" s="7" t="n">
        <f aca="false">J66-N(AL66)</f>
        <v>50</v>
      </c>
      <c r="AP66" s="54"/>
    </row>
    <row r="67" customFormat="false" ht="61.5" hidden="false" customHeight="true" outlineLevel="0" collapsed="false">
      <c r="A67" s="40" t="s">
        <v>161</v>
      </c>
      <c r="B67" s="43" t="str">
        <f aca="false">IFERROR(INDEX('Сводка заказов'!$B$5:$B$24,MATCH($A67,'Сводка заказов'!$A$5:$A$24,0)),"")</f>
        <v>Ningbo Best Swing</v>
      </c>
      <c r="C67" s="47" t="str">
        <f aca="false">IFERROR(IF(INDEX('Сводка заказов'!$D$5:$D$24,MATCH($A67,'Сводка заказов'!$A$5:$A$24,0))="","",INDEX('Сводка заказов'!$D$5:$D$24,MATCH($A67,'Сводка заказов'!$A$5:$A$24,0))),"")</f>
        <v/>
      </c>
      <c r="D67" s="40" t="n">
        <v>12</v>
      </c>
      <c r="E67" s="40"/>
      <c r="F67" s="40" t="s">
        <v>374</v>
      </c>
      <c r="G67" s="53" t="str">
        <f aca="false">'Комплектующие для качелей'!$E$9</f>
        <v>Сиденье для качелей 440×175×25 мм, ТЭП, под крепёж М8</v>
      </c>
      <c r="H67" s="54" t="s">
        <v>375</v>
      </c>
      <c r="I67" s="54" t="s">
        <v>265</v>
      </c>
      <c r="J67" s="50" t="n">
        <v>200</v>
      </c>
      <c r="K67" s="40" t="s">
        <v>96</v>
      </c>
      <c r="L67" s="45" t="n">
        <v>74.2</v>
      </c>
      <c r="M67" s="44" t="n">
        <f aca="false">J67*L67</f>
        <v>14840</v>
      </c>
      <c r="N67" s="40" t="s">
        <v>218</v>
      </c>
      <c r="O67" s="8" t="n">
        <f aca="false">IFERROR(VLOOKUP($N67,'ТН ВЭД'!$A$4:$C$40,3,0),0)</f>
        <v>0.05</v>
      </c>
      <c r="P67" s="8" t="n">
        <f aca="false">Справочники!$B$12</f>
        <v>0.16</v>
      </c>
      <c r="Q67" s="44" t="n">
        <f aca="false">ROUND(L67*Справочники!$B$5,2)</f>
        <v>5082.7</v>
      </c>
      <c r="R67" s="44" t="n">
        <f aca="false">ROUND(Q67*N(IFERROR(INDEX('Сводка заказов'!$Q$5:$Q$24,MATCH($A67,'Сводка заказов'!$A$5:$A$24,0)),0)),2)</f>
        <v>0</v>
      </c>
      <c r="S67" s="44" t="n">
        <f aca="false">ROUND(Q67*N(IFERROR(INDEX('Сводка заказов'!$R$5:$R$24,MATCH($A67,'Сводка заказов'!$A$5:$A$24,0)),0)),2)</f>
        <v>0</v>
      </c>
      <c r="T67" s="44" t="n">
        <f aca="false">Q67+R67+S67</f>
        <v>5082.7</v>
      </c>
      <c r="U67" s="44" t="n">
        <f aca="false">ROUND(T67*O67,2)</f>
        <v>254.14</v>
      </c>
      <c r="V67" s="44" t="n">
        <f aca="false">ROUND((T67+U67)*P67,2)</f>
        <v>853.89</v>
      </c>
      <c r="W67" s="44" t="n">
        <f aca="false">ROUND(Q67*N(IFERROR(INDEX('Сводка заказов'!$S$5:$S$24,MATCH($A67,'Сводка заказов'!$A$5:$A$24,0)),0)),2)</f>
        <v>762.41</v>
      </c>
      <c r="X67" s="7" t="n">
        <f aca="false">ROUND(T67+U67+W67+IF(Справочники!$B$22="Да",0,V67),0)</f>
        <v>6099</v>
      </c>
      <c r="Y67" s="7" t="n">
        <f aca="false">X67*J67</f>
        <v>1219800</v>
      </c>
      <c r="Z67" s="7" t="n">
        <f aca="false">U67*J67</f>
        <v>50828</v>
      </c>
      <c r="AA67" s="7" t="n">
        <f aca="false">V67*J67</f>
        <v>170778</v>
      </c>
      <c r="AB67" s="19" t="n">
        <f aca="false">IF('Комплектующие для качелей'!$AO$9="","",'Комплектующие для качелей'!$AO$9)</f>
        <v>1980</v>
      </c>
      <c r="AC67" s="19" t="n">
        <f aca="false">IF('Комплектующие для качелей'!$AR$9="","",'Комплектующие для качелей'!$AR$9)</f>
        <v>12173</v>
      </c>
      <c r="AD67" s="19" t="n">
        <f aca="false">IF('Комплектующие для качелей'!$AT$9="","",'Комплектующие для качелей'!$AT$9)</f>
        <v>11199</v>
      </c>
      <c r="AE67" s="7" t="n">
        <f aca="false">IF(AD67="","",ROUND(AD67/(1+P67),0))</f>
        <v>9654</v>
      </c>
      <c r="AF67" s="7" t="n">
        <f aca="false">IF(AE67="","",AE67-X67)</f>
        <v>3555</v>
      </c>
      <c r="AG67" s="8" t="n">
        <f aca="false">IF(OR(AE67="",AE67=0),"",AF67/AE67)</f>
        <v>0.368241143567433</v>
      </c>
      <c r="AH67" s="7" t="n">
        <f aca="false">IF(AE67="",0,AE67*J67)</f>
        <v>1930800</v>
      </c>
      <c r="AI67" s="7" t="n">
        <f aca="false">IF(AF67="",0,AF67*J67)</f>
        <v>711000</v>
      </c>
      <c r="AJ67" s="40" t="s">
        <v>151</v>
      </c>
      <c r="AK67" s="47" t="str">
        <f aca="false">IFERROR(IF(INDEX('Сводка заказов'!$V$5:$V$24,MATCH($A67,'Сводка заказов'!$A$5:$A$24,0))="","",INDEX('Сводка заказов'!$V$5:$V$24,MATCH($A67,'Сводка заказов'!$A$5:$A$24,0))),"")</f>
        <v/>
      </c>
      <c r="AL67" s="50"/>
      <c r="AM67" s="42"/>
      <c r="AN67" s="55" t="str">
        <f aca="false">IF(N(AL67)=0,"Нет",IF(AL67&gt;=J67,"Да","Частично"))</f>
        <v>Нет</v>
      </c>
      <c r="AO67" s="7" t="n">
        <f aca="false">J67-N(AL67)</f>
        <v>200</v>
      </c>
      <c r="AP67" s="54"/>
    </row>
    <row r="68" customFormat="false" ht="61.5" hidden="false" customHeight="true" outlineLevel="0" collapsed="false">
      <c r="A68" s="40" t="s">
        <v>161</v>
      </c>
      <c r="B68" s="43" t="str">
        <f aca="false">IFERROR(INDEX('Сводка заказов'!$B$5:$B$24,MATCH($A68,'Сводка заказов'!$A$5:$A$24,0)),"")</f>
        <v>Ningbo Best Swing</v>
      </c>
      <c r="C68" s="47" t="str">
        <f aca="false">IFERROR(IF(INDEX('Сводка заказов'!$D$5:$D$24,MATCH($A68,'Сводка заказов'!$A$5:$A$24,0))="","",INDEX('Сводка заказов'!$D$5:$D$24,MATCH($A68,'Сводка заказов'!$A$5:$A$24,0))),"")</f>
        <v/>
      </c>
      <c r="D68" s="40" t="n">
        <v>13</v>
      </c>
      <c r="E68" s="40"/>
      <c r="F68" s="40" t="s">
        <v>376</v>
      </c>
      <c r="G68" s="53" t="str">
        <f aca="false">'Комплектующие для качелей'!$E$10</f>
        <v>Сиденье для качелей 438×174×26 мм, ТЭП, с дренажным отверстием, под М10</v>
      </c>
      <c r="H68" s="54" t="s">
        <v>377</v>
      </c>
      <c r="I68" s="54" t="s">
        <v>255</v>
      </c>
      <c r="J68" s="50" t="n">
        <v>200</v>
      </c>
      <c r="K68" s="40" t="s">
        <v>96</v>
      </c>
      <c r="L68" s="45" t="n">
        <v>79.1</v>
      </c>
      <c r="M68" s="44" t="n">
        <f aca="false">J68*L68</f>
        <v>15820</v>
      </c>
      <c r="N68" s="40" t="s">
        <v>218</v>
      </c>
      <c r="O68" s="8" t="n">
        <f aca="false">IFERROR(VLOOKUP($N68,'ТН ВЭД'!$A$4:$C$40,3,0),0)</f>
        <v>0.05</v>
      </c>
      <c r="P68" s="8" t="n">
        <f aca="false">Справочники!$B$12</f>
        <v>0.16</v>
      </c>
      <c r="Q68" s="44" t="n">
        <f aca="false">ROUND(L68*Справочники!$B$5,2)</f>
        <v>5418.35</v>
      </c>
      <c r="R68" s="44" t="n">
        <f aca="false">ROUND(Q68*N(IFERROR(INDEX('Сводка заказов'!$Q$5:$Q$24,MATCH($A68,'Сводка заказов'!$A$5:$A$24,0)),0)),2)</f>
        <v>0</v>
      </c>
      <c r="S68" s="44" t="n">
        <f aca="false">ROUND(Q68*N(IFERROR(INDEX('Сводка заказов'!$R$5:$R$24,MATCH($A68,'Сводка заказов'!$A$5:$A$24,0)),0)),2)</f>
        <v>0</v>
      </c>
      <c r="T68" s="44" t="n">
        <f aca="false">Q68+R68+S68</f>
        <v>5418.35</v>
      </c>
      <c r="U68" s="44" t="n">
        <f aca="false">ROUND(T68*O68,2)</f>
        <v>270.92</v>
      </c>
      <c r="V68" s="44" t="n">
        <f aca="false">ROUND((T68+U68)*P68,2)</f>
        <v>910.28</v>
      </c>
      <c r="W68" s="44" t="n">
        <f aca="false">ROUND(Q68*N(IFERROR(INDEX('Сводка заказов'!$S$5:$S$24,MATCH($A68,'Сводка заказов'!$A$5:$A$24,0)),0)),2)</f>
        <v>812.75</v>
      </c>
      <c r="X68" s="7" t="n">
        <f aca="false">ROUND(T68+U68+W68+IF(Справочники!$B$22="Да",0,V68),0)</f>
        <v>6502</v>
      </c>
      <c r="Y68" s="7" t="n">
        <f aca="false">X68*J68</f>
        <v>1300400</v>
      </c>
      <c r="Z68" s="7" t="n">
        <f aca="false">U68*J68</f>
        <v>54184</v>
      </c>
      <c r="AA68" s="7" t="n">
        <f aca="false">V68*J68</f>
        <v>182056</v>
      </c>
      <c r="AB68" s="19" t="n">
        <f aca="false">IF('Комплектующие для качелей'!$AO$10="","",'Комплектующие для качелей'!$AO$10)</f>
        <v>2050</v>
      </c>
      <c r="AC68" s="19" t="n">
        <f aca="false">IF('Комплектующие для качелей'!$AR$10="","",'Комплектующие для качелей'!$AR$10)</f>
        <v>12603</v>
      </c>
      <c r="AD68" s="19" t="n">
        <f aca="false">IF('Комплектующие для качелей'!$AT$10="","",'Комплектующие для качелей'!$AT$10)</f>
        <v>11595</v>
      </c>
      <c r="AE68" s="7" t="n">
        <f aca="false">IF(AD68="","",ROUND(AD68/(1+P68),0))</f>
        <v>9996</v>
      </c>
      <c r="AF68" s="7" t="n">
        <f aca="false">IF(AE68="","",AE68-X68)</f>
        <v>3494</v>
      </c>
      <c r="AG68" s="8" t="n">
        <f aca="false">IF(OR(AE68="",AE68=0),"",AF68/AE68)</f>
        <v>0.349539815926371</v>
      </c>
      <c r="AH68" s="7" t="n">
        <f aca="false">IF(AE68="",0,AE68*J68)</f>
        <v>1999200</v>
      </c>
      <c r="AI68" s="7" t="n">
        <f aca="false">IF(AF68="",0,AF68*J68)</f>
        <v>698800</v>
      </c>
      <c r="AJ68" s="40" t="s">
        <v>151</v>
      </c>
      <c r="AK68" s="47" t="str">
        <f aca="false">IFERROR(IF(INDEX('Сводка заказов'!$V$5:$V$24,MATCH($A68,'Сводка заказов'!$A$5:$A$24,0))="","",INDEX('Сводка заказов'!$V$5:$V$24,MATCH($A68,'Сводка заказов'!$A$5:$A$24,0))),"")</f>
        <v/>
      </c>
      <c r="AL68" s="50"/>
      <c r="AM68" s="42"/>
      <c r="AN68" s="55" t="str">
        <f aca="false">IF(N(AL68)=0,"Нет",IF(AL68&gt;=J68,"Да","Частично"))</f>
        <v>Нет</v>
      </c>
      <c r="AO68" s="7" t="n">
        <f aca="false">J68-N(AL68)</f>
        <v>200</v>
      </c>
      <c r="AP68" s="54" t="s">
        <v>378</v>
      </c>
    </row>
    <row r="69" customFormat="false" ht="61.5" hidden="false" customHeight="true" outlineLevel="0" collapsed="false">
      <c r="A69" s="40" t="s">
        <v>161</v>
      </c>
      <c r="B69" s="43" t="str">
        <f aca="false">IFERROR(INDEX('Сводка заказов'!$B$5:$B$24,MATCH($A69,'Сводка заказов'!$A$5:$A$24,0)),"")</f>
        <v>Ningbo Best Swing</v>
      </c>
      <c r="C69" s="47" t="str">
        <f aca="false">IFERROR(IF(INDEX('Сводка заказов'!$D$5:$D$24,MATCH($A69,'Сводка заказов'!$A$5:$A$24,0))="","",INDEX('Сводка заказов'!$D$5:$D$24,MATCH($A69,'Сводка заказов'!$A$5:$A$24,0))),"")</f>
        <v/>
      </c>
      <c r="D69" s="40" t="n">
        <v>14</v>
      </c>
      <c r="E69" s="40"/>
      <c r="F69" s="40" t="s">
        <v>379</v>
      </c>
      <c r="G69" s="53" t="str">
        <f aca="false">'Крепление для качелей'!$E$5</f>
        <v>Подвес для качелей со шпилькой М12×60 мм, оцинкованный</v>
      </c>
      <c r="H69" s="54" t="s">
        <v>380</v>
      </c>
      <c r="I69" s="54" t="s">
        <v>222</v>
      </c>
      <c r="J69" s="50" t="n">
        <v>400</v>
      </c>
      <c r="K69" s="40" t="s">
        <v>96</v>
      </c>
      <c r="L69" s="45" t="n">
        <v>13.51</v>
      </c>
      <c r="M69" s="44" t="n">
        <f aca="false">J69*L69</f>
        <v>5404</v>
      </c>
      <c r="N69" s="40" t="s">
        <v>223</v>
      </c>
      <c r="O69" s="8" t="n">
        <f aca="false">IFERROR(VLOOKUP($N69,'ТН ВЭД'!$A$4:$C$40,3,0),0)</f>
        <v>0.075</v>
      </c>
      <c r="P69" s="8" t="n">
        <f aca="false">Справочники!$B$12</f>
        <v>0.16</v>
      </c>
      <c r="Q69" s="44" t="n">
        <f aca="false">ROUND(L69*Справочники!$B$5,2)</f>
        <v>925.44</v>
      </c>
      <c r="R69" s="44" t="n">
        <f aca="false">ROUND(Q69*N(IFERROR(INDEX('Сводка заказов'!$Q$5:$Q$24,MATCH($A69,'Сводка заказов'!$A$5:$A$24,0)),0)),2)</f>
        <v>0</v>
      </c>
      <c r="S69" s="44" t="n">
        <f aca="false">ROUND(Q69*N(IFERROR(INDEX('Сводка заказов'!$R$5:$R$24,MATCH($A69,'Сводка заказов'!$A$5:$A$24,0)),0)),2)</f>
        <v>0</v>
      </c>
      <c r="T69" s="44" t="n">
        <f aca="false">Q69+R69+S69</f>
        <v>925.44</v>
      </c>
      <c r="U69" s="44" t="n">
        <f aca="false">ROUND(T69*O69,2)</f>
        <v>69.41</v>
      </c>
      <c r="V69" s="44" t="n">
        <f aca="false">ROUND((T69+U69)*P69,2)</f>
        <v>159.18</v>
      </c>
      <c r="W69" s="44" t="n">
        <f aca="false">ROUND(Q69*N(IFERROR(INDEX('Сводка заказов'!$S$5:$S$24,MATCH($A69,'Сводка заказов'!$A$5:$A$24,0)),0)),2)</f>
        <v>138.82</v>
      </c>
      <c r="X69" s="7" t="n">
        <f aca="false">ROUND(T69+U69+W69+IF(Справочники!$B$22="Да",0,V69),0)</f>
        <v>1134</v>
      </c>
      <c r="Y69" s="7" t="n">
        <f aca="false">X69*J69</f>
        <v>453600</v>
      </c>
      <c r="Z69" s="7" t="n">
        <f aca="false">U69*J69</f>
        <v>27764</v>
      </c>
      <c r="AA69" s="7" t="n">
        <f aca="false">V69*J69</f>
        <v>63672</v>
      </c>
      <c r="AB69" s="19" t="n">
        <f aca="false">IF('Крепление для качелей'!$AO$5="","",'Крепление для качелей'!$AO$5)</f>
        <v>735</v>
      </c>
      <c r="AC69" s="19" t="n">
        <f aca="false">IF('Крепление для качелей'!$AR$5="","",'Крепление для качелей'!$AR$5)</f>
        <v>4519</v>
      </c>
      <c r="AD69" s="19" t="n">
        <f aca="false">IF('Крепление для качелей'!$AT$5="","",'Крепление для качелей'!$AT$5)</f>
        <v>4157</v>
      </c>
      <c r="AE69" s="7" t="n">
        <f aca="false">IF(AD69="","",ROUND(AD69/(1+P69),0))</f>
        <v>3584</v>
      </c>
      <c r="AF69" s="7" t="n">
        <f aca="false">IF(AE69="","",AE69-X69)</f>
        <v>2450</v>
      </c>
      <c r="AG69" s="8" t="n">
        <f aca="false">IF(OR(AE69="",AE69=0),"",AF69/AE69)</f>
        <v>0.68359375</v>
      </c>
      <c r="AH69" s="7" t="n">
        <f aca="false">IF(AE69="",0,AE69*J69)</f>
        <v>1433600</v>
      </c>
      <c r="AI69" s="7" t="n">
        <f aca="false">IF(AF69="",0,AF69*J69)</f>
        <v>980000</v>
      </c>
      <c r="AJ69" s="40" t="s">
        <v>151</v>
      </c>
      <c r="AK69" s="47" t="str">
        <f aca="false">IFERROR(IF(INDEX('Сводка заказов'!$V$5:$V$24,MATCH($A69,'Сводка заказов'!$A$5:$A$24,0))="","",INDEX('Сводка заказов'!$V$5:$V$24,MATCH($A69,'Сводка заказов'!$A$5:$A$24,0))),"")</f>
        <v/>
      </c>
      <c r="AL69" s="50"/>
      <c r="AM69" s="42"/>
      <c r="AN69" s="55" t="str">
        <f aca="false">IF(N(AL69)=0,"Нет",IF(AL69&gt;=J69,"Да","Частично"))</f>
        <v>Нет</v>
      </c>
      <c r="AO69" s="7" t="n">
        <f aca="false">J69-N(AL69)</f>
        <v>400</v>
      </c>
      <c r="AP69" s="54"/>
    </row>
    <row r="70" customFormat="false" ht="61.5" hidden="false" customHeight="true" outlineLevel="0" collapsed="false">
      <c r="A70" s="40" t="s">
        <v>161</v>
      </c>
      <c r="B70" s="43" t="str">
        <f aca="false">IFERROR(INDEX('Сводка заказов'!$B$5:$B$24,MATCH($A70,'Сводка заказов'!$A$5:$A$24,0)),"")</f>
        <v>Ningbo Best Swing</v>
      </c>
      <c r="C70" s="47" t="str">
        <f aca="false">IFERROR(IF(INDEX('Сводка заказов'!$D$5:$D$24,MATCH($A70,'Сводка заказов'!$A$5:$A$24,0))="","",INDEX('Сводка заказов'!$D$5:$D$24,MATCH($A70,'Сводка заказов'!$A$5:$A$24,0))),"")</f>
        <v/>
      </c>
      <c r="D70" s="40" t="n">
        <v>15</v>
      </c>
      <c r="E70" s="40"/>
      <c r="F70" s="40" t="s">
        <v>381</v>
      </c>
      <c r="G70" s="53" t="str">
        <f aca="false">'Крепление для качелей'!$E$6</f>
        <v>Кронштейн для подвесных качелей 110×46×90 мм, кольцо Ø15 мм</v>
      </c>
      <c r="H70" s="54" t="s">
        <v>382</v>
      </c>
      <c r="I70" s="54" t="s">
        <v>222</v>
      </c>
      <c r="J70" s="50" t="n">
        <v>100</v>
      </c>
      <c r="K70" s="40" t="s">
        <v>96</v>
      </c>
      <c r="L70" s="45" t="n">
        <v>22.8</v>
      </c>
      <c r="M70" s="44" t="n">
        <f aca="false">J70*L70</f>
        <v>2280</v>
      </c>
      <c r="N70" s="40" t="s">
        <v>223</v>
      </c>
      <c r="O70" s="8" t="n">
        <f aca="false">IFERROR(VLOOKUP($N70,'ТН ВЭД'!$A$4:$C$40,3,0),0)</f>
        <v>0.075</v>
      </c>
      <c r="P70" s="8" t="n">
        <f aca="false">Справочники!$B$12</f>
        <v>0.16</v>
      </c>
      <c r="Q70" s="44" t="n">
        <f aca="false">ROUND(L70*Справочники!$B$5,2)</f>
        <v>1561.8</v>
      </c>
      <c r="R70" s="44" t="n">
        <f aca="false">ROUND(Q70*N(IFERROR(INDEX('Сводка заказов'!$Q$5:$Q$24,MATCH($A70,'Сводка заказов'!$A$5:$A$24,0)),0)),2)</f>
        <v>0</v>
      </c>
      <c r="S70" s="44" t="n">
        <f aca="false">ROUND(Q70*N(IFERROR(INDEX('Сводка заказов'!$R$5:$R$24,MATCH($A70,'Сводка заказов'!$A$5:$A$24,0)),0)),2)</f>
        <v>0</v>
      </c>
      <c r="T70" s="44" t="n">
        <f aca="false">Q70+R70+S70</f>
        <v>1561.8</v>
      </c>
      <c r="U70" s="44" t="n">
        <f aca="false">ROUND(T70*O70,2)</f>
        <v>117.14</v>
      </c>
      <c r="V70" s="44" t="n">
        <f aca="false">ROUND((T70+U70)*P70,2)</f>
        <v>268.63</v>
      </c>
      <c r="W70" s="44" t="n">
        <f aca="false">ROUND(Q70*N(IFERROR(INDEX('Сводка заказов'!$S$5:$S$24,MATCH($A70,'Сводка заказов'!$A$5:$A$24,0)),0)),2)</f>
        <v>234.27</v>
      </c>
      <c r="X70" s="7" t="n">
        <f aca="false">ROUND(T70+U70+W70+IF(Справочники!$B$22="Да",0,V70),0)</f>
        <v>1913</v>
      </c>
      <c r="Y70" s="7" t="n">
        <f aca="false">X70*J70</f>
        <v>191300</v>
      </c>
      <c r="Z70" s="7" t="n">
        <f aca="false">U70*J70</f>
        <v>11714</v>
      </c>
      <c r="AA70" s="7" t="n">
        <f aca="false">V70*J70</f>
        <v>26863</v>
      </c>
      <c r="AB70" s="19" t="n">
        <f aca="false">IF('Крепление для качелей'!$AO$6="","",'Крепление для качелей'!$AO$6)</f>
        <v>2550</v>
      </c>
      <c r="AC70" s="19" t="n">
        <f aca="false">IF('Крепление для качелей'!$AR$6="","",'Крепление для качелей'!$AR$6)</f>
        <v>15677</v>
      </c>
      <c r="AD70" s="19" t="n">
        <f aca="false">IF('Крепление для качелей'!$AT$6="","",'Крепление для качелей'!$AT$6)</f>
        <v>14423</v>
      </c>
      <c r="AE70" s="7" t="n">
        <f aca="false">IF(AD70="","",ROUND(AD70/(1+P70),0))</f>
        <v>12434</v>
      </c>
      <c r="AF70" s="7" t="n">
        <f aca="false">IF(AE70="","",AE70-X70)</f>
        <v>10521</v>
      </c>
      <c r="AG70" s="8" t="n">
        <f aca="false">IF(OR(AE70="",AE70=0),"",AF70/AE70)</f>
        <v>0.846147659642915</v>
      </c>
      <c r="AH70" s="7" t="n">
        <f aca="false">IF(AE70="",0,AE70*J70)</f>
        <v>1243400</v>
      </c>
      <c r="AI70" s="7" t="n">
        <f aca="false">IF(AF70="",0,AF70*J70)</f>
        <v>1052100</v>
      </c>
      <c r="AJ70" s="40" t="s">
        <v>151</v>
      </c>
      <c r="AK70" s="47" t="str">
        <f aca="false">IFERROR(IF(INDEX('Сводка заказов'!$V$5:$V$24,MATCH($A70,'Сводка заказов'!$A$5:$A$24,0))="","",INDEX('Сводка заказов'!$V$5:$V$24,MATCH($A70,'Сводка заказов'!$A$5:$A$24,0))),"")</f>
        <v/>
      </c>
      <c r="AL70" s="50"/>
      <c r="AM70" s="42"/>
      <c r="AN70" s="55" t="str">
        <f aca="false">IF(N(AL70)=0,"Нет",IF(AL70&gt;=J70,"Да","Частично"))</f>
        <v>Нет</v>
      </c>
      <c r="AO70" s="7" t="n">
        <f aca="false">J70-N(AL70)</f>
        <v>100</v>
      </c>
      <c r="AP70" s="54" t="s">
        <v>383</v>
      </c>
    </row>
    <row r="71" customFormat="false" ht="61.5" hidden="false" customHeight="true" outlineLevel="0" collapsed="false">
      <c r="A71" s="40" t="s">
        <v>161</v>
      </c>
      <c r="B71" s="43" t="str">
        <f aca="false">IFERROR(INDEX('Сводка заказов'!$B$5:$B$24,MATCH($A71,'Сводка заказов'!$A$5:$A$24,0)),"")</f>
        <v>Ningbo Best Swing</v>
      </c>
      <c r="C71" s="47" t="str">
        <f aca="false">IFERROR(IF(INDEX('Сводка заказов'!$D$5:$D$24,MATCH($A71,'Сводка заказов'!$A$5:$A$24,0))="","",INDEX('Сводка заказов'!$D$5:$D$24,MATCH($A71,'Сводка заказов'!$A$5:$A$24,0))),"")</f>
        <v/>
      </c>
      <c r="D71" s="40" t="n">
        <v>16</v>
      </c>
      <c r="E71" s="40"/>
      <c r="F71" s="40" t="s">
        <v>384</v>
      </c>
      <c r="G71" s="53" t="str">
        <f aca="false">'Крепление для качелей'!$E$7</f>
        <v>Подвес для качелей со шпилькой М10×90 мм, оцинкованный</v>
      </c>
      <c r="H71" s="54" t="s">
        <v>385</v>
      </c>
      <c r="I71" s="54" t="s">
        <v>222</v>
      </c>
      <c r="J71" s="50" t="n">
        <v>500</v>
      </c>
      <c r="K71" s="40" t="s">
        <v>96</v>
      </c>
      <c r="L71" s="45" t="n">
        <v>4.6</v>
      </c>
      <c r="M71" s="44" t="n">
        <f aca="false">J71*L71</f>
        <v>2300</v>
      </c>
      <c r="N71" s="40" t="s">
        <v>223</v>
      </c>
      <c r="O71" s="8" t="n">
        <f aca="false">IFERROR(VLOOKUP($N71,'ТН ВЭД'!$A$4:$C$40,3,0),0)</f>
        <v>0.075</v>
      </c>
      <c r="P71" s="8" t="n">
        <f aca="false">Справочники!$B$12</f>
        <v>0.16</v>
      </c>
      <c r="Q71" s="44" t="n">
        <f aca="false">ROUND(L71*Справочники!$B$5,2)</f>
        <v>315.1</v>
      </c>
      <c r="R71" s="44" t="n">
        <f aca="false">ROUND(Q71*N(IFERROR(INDEX('Сводка заказов'!$Q$5:$Q$24,MATCH($A71,'Сводка заказов'!$A$5:$A$24,0)),0)),2)</f>
        <v>0</v>
      </c>
      <c r="S71" s="44" t="n">
        <f aca="false">ROUND(Q71*N(IFERROR(INDEX('Сводка заказов'!$R$5:$R$24,MATCH($A71,'Сводка заказов'!$A$5:$A$24,0)),0)),2)</f>
        <v>0</v>
      </c>
      <c r="T71" s="44" t="n">
        <f aca="false">Q71+R71+S71</f>
        <v>315.1</v>
      </c>
      <c r="U71" s="44" t="n">
        <f aca="false">ROUND(T71*O71,2)</f>
        <v>23.63</v>
      </c>
      <c r="V71" s="44" t="n">
        <f aca="false">ROUND((T71+U71)*P71,2)</f>
        <v>54.2</v>
      </c>
      <c r="W71" s="44" t="n">
        <f aca="false">ROUND(Q71*N(IFERROR(INDEX('Сводка заказов'!$S$5:$S$24,MATCH($A71,'Сводка заказов'!$A$5:$A$24,0)),0)),2)</f>
        <v>47.27</v>
      </c>
      <c r="X71" s="7" t="n">
        <f aca="false">ROUND(T71+U71+W71+IF(Справочники!$B$22="Да",0,V71),0)</f>
        <v>386</v>
      </c>
      <c r="Y71" s="7" t="n">
        <f aca="false">X71*J71</f>
        <v>193000</v>
      </c>
      <c r="Z71" s="7" t="n">
        <f aca="false">U71*J71</f>
        <v>11815</v>
      </c>
      <c r="AA71" s="7" t="n">
        <f aca="false">V71*J71</f>
        <v>27100</v>
      </c>
      <c r="AB71" s="19" t="n">
        <f aca="false">IF('Крепление для качелей'!$AO$7="","",'Крепление для качелей'!$AO$7)</f>
        <v>485</v>
      </c>
      <c r="AC71" s="19" t="n">
        <f aca="false">IF('Крепление для качелей'!$AR$7="","",'Крепление для качелей'!$AR$7)</f>
        <v>2982</v>
      </c>
      <c r="AD71" s="19" t="n">
        <f aca="false">IF('Крепление для качелей'!$AT$7="","",'Крепление для качелей'!$AT$7)</f>
        <v>2743</v>
      </c>
      <c r="AE71" s="7" t="n">
        <f aca="false">IF(AD71="","",ROUND(AD71/(1+P71),0))</f>
        <v>2365</v>
      </c>
      <c r="AF71" s="7" t="n">
        <f aca="false">IF(AE71="","",AE71-X71)</f>
        <v>1979</v>
      </c>
      <c r="AG71" s="8" t="n">
        <f aca="false">IF(OR(AE71="",AE71=0),"",AF71/AE71)</f>
        <v>0.836786469344609</v>
      </c>
      <c r="AH71" s="7" t="n">
        <f aca="false">IF(AE71="",0,AE71*J71)</f>
        <v>1182500</v>
      </c>
      <c r="AI71" s="7" t="n">
        <f aca="false">IF(AF71="",0,AF71*J71)</f>
        <v>989500</v>
      </c>
      <c r="AJ71" s="40" t="s">
        <v>151</v>
      </c>
      <c r="AK71" s="47" t="str">
        <f aca="false">IFERROR(IF(INDEX('Сводка заказов'!$V$5:$V$24,MATCH($A71,'Сводка заказов'!$A$5:$A$24,0))="","",INDEX('Сводка заказов'!$V$5:$V$24,MATCH($A71,'Сводка заказов'!$A$5:$A$24,0))),"")</f>
        <v/>
      </c>
      <c r="AL71" s="50"/>
      <c r="AM71" s="42"/>
      <c r="AN71" s="55" t="str">
        <f aca="false">IF(N(AL71)=0,"Нет",IF(AL71&gt;=J71,"Да","Частично"))</f>
        <v>Нет</v>
      </c>
      <c r="AO71" s="7" t="n">
        <f aca="false">J71-N(AL71)</f>
        <v>500</v>
      </c>
      <c r="AP71" s="54"/>
    </row>
    <row r="72" customFormat="false" ht="61.5" hidden="false" customHeight="true" outlineLevel="0" collapsed="false">
      <c r="A72" s="40" t="s">
        <v>161</v>
      </c>
      <c r="B72" s="43" t="str">
        <f aca="false">IFERROR(INDEX('Сводка заказов'!$B$5:$B$24,MATCH($A72,'Сводка заказов'!$A$5:$A$24,0)),"")</f>
        <v>Ningbo Best Swing</v>
      </c>
      <c r="C72" s="47" t="str">
        <f aca="false">IFERROR(IF(INDEX('Сводка заказов'!$D$5:$D$24,MATCH($A72,'Сводка заказов'!$A$5:$A$24,0))="","",INDEX('Сводка заказов'!$D$5:$D$24,MATCH($A72,'Сводка заказов'!$A$5:$A$24,0))),"")</f>
        <v/>
      </c>
      <c r="D72" s="40" t="n">
        <v>17</v>
      </c>
      <c r="E72" s="40"/>
      <c r="F72" s="40" t="s">
        <v>386</v>
      </c>
      <c r="G72" s="53" t="str">
        <f aca="false">'Крепление для качелей'!$E$8</f>
        <v>Шарнирное крепление из нержавеющей стали для качелей-скамеек и люлек</v>
      </c>
      <c r="H72" s="54" t="s">
        <v>387</v>
      </c>
      <c r="I72" s="54" t="s">
        <v>222</v>
      </c>
      <c r="J72" s="50" t="n">
        <v>200</v>
      </c>
      <c r="K72" s="40" t="s">
        <v>96</v>
      </c>
      <c r="L72" s="45" t="n">
        <v>105</v>
      </c>
      <c r="M72" s="44" t="n">
        <f aca="false">J72*L72</f>
        <v>21000</v>
      </c>
      <c r="N72" s="40" t="s">
        <v>223</v>
      </c>
      <c r="O72" s="8" t="n">
        <f aca="false">IFERROR(VLOOKUP($N72,'ТН ВЭД'!$A$4:$C$40,3,0),0)</f>
        <v>0.075</v>
      </c>
      <c r="P72" s="8" t="n">
        <f aca="false">Справочники!$B$12</f>
        <v>0.16</v>
      </c>
      <c r="Q72" s="44" t="n">
        <f aca="false">ROUND(L72*Справочники!$B$5,2)</f>
        <v>7192.5</v>
      </c>
      <c r="R72" s="44" t="n">
        <f aca="false">ROUND(Q72*N(IFERROR(INDEX('Сводка заказов'!$Q$5:$Q$24,MATCH($A72,'Сводка заказов'!$A$5:$A$24,0)),0)),2)</f>
        <v>0</v>
      </c>
      <c r="S72" s="44" t="n">
        <f aca="false">ROUND(Q72*N(IFERROR(INDEX('Сводка заказов'!$R$5:$R$24,MATCH($A72,'Сводка заказов'!$A$5:$A$24,0)),0)),2)</f>
        <v>0</v>
      </c>
      <c r="T72" s="44" t="n">
        <f aca="false">Q72+R72+S72</f>
        <v>7192.5</v>
      </c>
      <c r="U72" s="44" t="n">
        <f aca="false">ROUND(T72*O72,2)</f>
        <v>539.44</v>
      </c>
      <c r="V72" s="44" t="n">
        <f aca="false">ROUND((T72+U72)*P72,2)</f>
        <v>1237.11</v>
      </c>
      <c r="W72" s="44" t="n">
        <f aca="false">ROUND(Q72*N(IFERROR(INDEX('Сводка заказов'!$S$5:$S$24,MATCH($A72,'Сводка заказов'!$A$5:$A$24,0)),0)),2)</f>
        <v>1078.88</v>
      </c>
      <c r="X72" s="7" t="n">
        <f aca="false">ROUND(T72+U72+W72+IF(Справочники!$B$22="Да",0,V72),0)</f>
        <v>8811</v>
      </c>
      <c r="Y72" s="7" t="n">
        <f aca="false">X72*J72</f>
        <v>1762200</v>
      </c>
      <c r="Z72" s="7" t="n">
        <f aca="false">U72*J72</f>
        <v>107888</v>
      </c>
      <c r="AA72" s="7" t="n">
        <f aca="false">V72*J72</f>
        <v>247422</v>
      </c>
      <c r="AB72" s="19" t="n">
        <f aca="false">IF('Крепление для качелей'!$AO$8="","",'Крепление для качелей'!$AO$8)</f>
        <v>4150</v>
      </c>
      <c r="AC72" s="19" t="n">
        <f aca="false">IF('Крепление для качелей'!$AR$8="","",'Крепление для качелей'!$AR$8)</f>
        <v>25514</v>
      </c>
      <c r="AD72" s="19" t="n">
        <f aca="false">IF('Крепление для качелей'!$AT$8="","",'Крепление для качелей'!$AT$8)</f>
        <v>23473</v>
      </c>
      <c r="AE72" s="7" t="n">
        <f aca="false">IF(AD72="","",ROUND(AD72/(1+P72),0))</f>
        <v>20235</v>
      </c>
      <c r="AF72" s="7" t="n">
        <f aca="false">IF(AE72="","",AE72-X72)</f>
        <v>11424</v>
      </c>
      <c r="AG72" s="8" t="n">
        <f aca="false">IF(OR(AE72="",AE72=0),"",AF72/AE72)</f>
        <v>0.564566345441067</v>
      </c>
      <c r="AH72" s="7" t="n">
        <f aca="false">IF(AE72="",0,AE72*J72)</f>
        <v>4047000</v>
      </c>
      <c r="AI72" s="7" t="n">
        <f aca="false">IF(AF72="",0,AF72*J72)</f>
        <v>2284800</v>
      </c>
      <c r="AJ72" s="40" t="s">
        <v>151</v>
      </c>
      <c r="AK72" s="47" t="str">
        <f aca="false">IFERROR(IF(INDEX('Сводка заказов'!$V$5:$V$24,MATCH($A72,'Сводка заказов'!$A$5:$A$24,0))="","",INDEX('Сводка заказов'!$V$5:$V$24,MATCH($A72,'Сводка заказов'!$A$5:$A$24,0))),"")</f>
        <v/>
      </c>
      <c r="AL72" s="50"/>
      <c r="AM72" s="42"/>
      <c r="AN72" s="55" t="str">
        <f aca="false">IF(N(AL72)=0,"Нет",IF(AL72&gt;=J72,"Да","Частично"))</f>
        <v>Нет</v>
      </c>
      <c r="AO72" s="7" t="n">
        <f aca="false">J72-N(AL72)</f>
        <v>200</v>
      </c>
      <c r="AP72" s="54"/>
    </row>
    <row r="73" customFormat="false" ht="61.5" hidden="false" customHeight="true" outlineLevel="0" collapsed="false">
      <c r="A73" s="40" t="s">
        <v>161</v>
      </c>
      <c r="B73" s="43" t="str">
        <f aca="false">IFERROR(INDEX('Сводка заказов'!$B$5:$B$24,MATCH($A73,'Сводка заказов'!$A$5:$A$24,0)),"")</f>
        <v>Ningbo Best Swing</v>
      </c>
      <c r="C73" s="47" t="str">
        <f aca="false">IFERROR(IF(INDEX('Сводка заказов'!$D$5:$D$24,MATCH($A73,'Сводка заказов'!$A$5:$A$24,0))="","",INDEX('Сводка заказов'!$D$5:$D$24,MATCH($A73,'Сводка заказов'!$A$5:$A$24,0))),"")</f>
        <v/>
      </c>
      <c r="D73" s="40" t="n">
        <v>18</v>
      </c>
      <c r="E73" s="40"/>
      <c r="F73" s="40" t="s">
        <v>388</v>
      </c>
      <c r="G73" s="53" t="str">
        <f aca="false">'Зацепы скалодромные'!$E$4</f>
        <v>Набор малых скалодромных зацепов, 5 шт, с крепежом</v>
      </c>
      <c r="H73" s="54" t="s">
        <v>389</v>
      </c>
      <c r="I73" s="54" t="s">
        <v>390</v>
      </c>
      <c r="J73" s="50" t="n">
        <v>200</v>
      </c>
      <c r="K73" s="40" t="s">
        <v>391</v>
      </c>
      <c r="L73" s="45" t="n">
        <v>26.6</v>
      </c>
      <c r="M73" s="44" t="n">
        <f aca="false">J73*L73</f>
        <v>5320</v>
      </c>
      <c r="N73" s="40" t="s">
        <v>218</v>
      </c>
      <c r="O73" s="8" t="n">
        <f aca="false">IFERROR(VLOOKUP($N73,'ТН ВЭД'!$A$4:$C$40,3,0),0)</f>
        <v>0.05</v>
      </c>
      <c r="P73" s="8" t="n">
        <f aca="false">Справочники!$B$12</f>
        <v>0.16</v>
      </c>
      <c r="Q73" s="44" t="n">
        <f aca="false">ROUND(L73*Справочники!$B$5,2)</f>
        <v>1822.1</v>
      </c>
      <c r="R73" s="44" t="n">
        <f aca="false">ROUND(Q73*N(IFERROR(INDEX('Сводка заказов'!$Q$5:$Q$24,MATCH($A73,'Сводка заказов'!$A$5:$A$24,0)),0)),2)</f>
        <v>0</v>
      </c>
      <c r="S73" s="44" t="n">
        <f aca="false">ROUND(Q73*N(IFERROR(INDEX('Сводка заказов'!$R$5:$R$24,MATCH($A73,'Сводка заказов'!$A$5:$A$24,0)),0)),2)</f>
        <v>0</v>
      </c>
      <c r="T73" s="44" t="n">
        <f aca="false">Q73+R73+S73</f>
        <v>1822.1</v>
      </c>
      <c r="U73" s="44" t="n">
        <f aca="false">ROUND(T73*O73,2)</f>
        <v>91.11</v>
      </c>
      <c r="V73" s="44" t="n">
        <f aca="false">ROUND((T73+U73)*P73,2)</f>
        <v>306.11</v>
      </c>
      <c r="W73" s="44" t="n">
        <f aca="false">ROUND(Q73*N(IFERROR(INDEX('Сводка заказов'!$S$5:$S$24,MATCH($A73,'Сводка заказов'!$A$5:$A$24,0)),0)),2)</f>
        <v>273.32</v>
      </c>
      <c r="X73" s="7" t="n">
        <f aca="false">ROUND(T73+U73+W73+IF(Справочники!$B$22="Да",0,V73),0)</f>
        <v>2187</v>
      </c>
      <c r="Y73" s="7" t="n">
        <f aca="false">X73*J73</f>
        <v>437400</v>
      </c>
      <c r="Z73" s="7" t="n">
        <f aca="false">U73*J73</f>
        <v>18222</v>
      </c>
      <c r="AA73" s="7" t="n">
        <f aca="false">V73*J73</f>
        <v>61222</v>
      </c>
      <c r="AB73" s="19" t="n">
        <f aca="false">IF('Зацепы скалодромные'!$AO$4="","",'Зацепы скалодромные'!$AO$4)</f>
        <v>1225</v>
      </c>
      <c r="AC73" s="19" t="n">
        <f aca="false">IF('Зацепы скалодромные'!$AR$4="","",'Зацепы скалодромные'!$AR$4)</f>
        <v>7531</v>
      </c>
      <c r="AD73" s="19" t="n">
        <f aca="false">IF('Зацепы скалодромные'!$AT$4="","",'Зацепы скалодромные'!$AT$4)</f>
        <v>6929</v>
      </c>
      <c r="AE73" s="7" t="n">
        <f aca="false">IF(AD73="","",ROUND(AD73/(1+P73),0))</f>
        <v>5973</v>
      </c>
      <c r="AF73" s="7" t="n">
        <f aca="false">IF(AE73="","",AE73-X73)</f>
        <v>3786</v>
      </c>
      <c r="AG73" s="8" t="n">
        <f aca="false">IF(OR(AE73="",AE73=0),"",AF73/AE73)</f>
        <v>0.633852335509794</v>
      </c>
      <c r="AH73" s="7" t="n">
        <f aca="false">IF(AE73="",0,AE73*J73)</f>
        <v>1194600</v>
      </c>
      <c r="AI73" s="7" t="n">
        <f aca="false">IF(AF73="",0,AF73*J73)</f>
        <v>757200</v>
      </c>
      <c r="AJ73" s="40" t="s">
        <v>151</v>
      </c>
      <c r="AK73" s="47" t="str">
        <f aca="false">IFERROR(IF(INDEX('Сводка заказов'!$V$5:$V$24,MATCH($A73,'Сводка заказов'!$A$5:$A$24,0))="","",INDEX('Сводка заказов'!$V$5:$V$24,MATCH($A73,'Сводка заказов'!$A$5:$A$24,0))),"")</f>
        <v/>
      </c>
      <c r="AL73" s="50"/>
      <c r="AM73" s="42"/>
      <c r="AN73" s="55" t="str">
        <f aca="false">IF(N(AL73)=0,"Нет",IF(AL73&gt;=J73,"Да","Частично"))</f>
        <v>Нет</v>
      </c>
      <c r="AO73" s="7" t="n">
        <f aca="false">J73-N(AL73)</f>
        <v>200</v>
      </c>
      <c r="AP73" s="54"/>
    </row>
    <row r="74" customFormat="false" ht="61.5" hidden="false" customHeight="true" outlineLevel="0" collapsed="false">
      <c r="A74" s="40" t="s">
        <v>165</v>
      </c>
      <c r="B74" s="43" t="str">
        <f aca="false">IFERROR(INDEX('Сводка заказов'!$B$5:$B$24,MATCH($A74,'Сводка заказов'!$A$5:$A$24,0)),"")</f>
        <v>Qingdao Florescence</v>
      </c>
      <c r="C74" s="47" t="str">
        <f aca="false">IFERROR(IF(INDEX('Сводка заказов'!$D$5:$D$24,MATCH($A74,'Сводка заказов'!$A$5:$A$24,0))="","",INDEX('Сводка заказов'!$D$5:$D$24,MATCH($A74,'Сводка заказов'!$A$5:$A$24,0))),"")</f>
        <v/>
      </c>
      <c r="D74" s="40" t="n">
        <v>1</v>
      </c>
      <c r="E74" s="40"/>
      <c r="F74" s="40" t="s">
        <v>392</v>
      </c>
      <c r="G74" s="53" t="str">
        <f aca="false">'Гимнастические кольца и подвесы'!$E$3</f>
        <v>Круглое пластиковое гимнастическое кольцо Ø170 мм</v>
      </c>
      <c r="H74" s="54" t="s">
        <v>393</v>
      </c>
      <c r="I74" s="54" t="s">
        <v>394</v>
      </c>
      <c r="J74" s="50" t="n">
        <v>500</v>
      </c>
      <c r="K74" s="40" t="s">
        <v>96</v>
      </c>
      <c r="L74" s="45" t="n">
        <v>2.8</v>
      </c>
      <c r="M74" s="44" t="n">
        <f aca="false">J74*L74</f>
        <v>1400</v>
      </c>
      <c r="N74" s="40" t="s">
        <v>369</v>
      </c>
      <c r="O74" s="8" t="n">
        <f aca="false">IFERROR(VLOOKUP($N74,'ТН ВЭД'!$A$4:$C$40,3,0),0)</f>
        <v>0.05</v>
      </c>
      <c r="P74" s="8" t="n">
        <f aca="false">Справочники!$B$12</f>
        <v>0.16</v>
      </c>
      <c r="Q74" s="44" t="n">
        <f aca="false">ROUND(L74*Справочники!$B$5,2)</f>
        <v>191.8</v>
      </c>
      <c r="R74" s="44" t="n">
        <f aca="false">ROUND(Q74*N(IFERROR(INDEX('Сводка заказов'!$Q$5:$Q$24,MATCH($A74,'Сводка заказов'!$A$5:$A$24,0)),0)),2)</f>
        <v>6.79</v>
      </c>
      <c r="S74" s="44" t="n">
        <f aca="false">ROUND(Q74*N(IFERROR(INDEX('Сводка заказов'!$R$5:$R$24,MATCH($A74,'Сводка заказов'!$A$5:$A$24,0)),0)),2)</f>
        <v>0</v>
      </c>
      <c r="T74" s="44" t="n">
        <f aca="false">Q74+R74+S74</f>
        <v>198.59</v>
      </c>
      <c r="U74" s="44" t="n">
        <f aca="false">ROUND(T74*O74,2)</f>
        <v>9.93</v>
      </c>
      <c r="V74" s="44" t="n">
        <f aca="false">ROUND((T74+U74)*P74,2)</f>
        <v>33.36</v>
      </c>
      <c r="W74" s="44" t="n">
        <f aca="false">ROUND(Q74*N(IFERROR(INDEX('Сводка заказов'!$S$5:$S$24,MATCH($A74,'Сводка заказов'!$A$5:$A$24,0)),0)),2)</f>
        <v>28.77</v>
      </c>
      <c r="X74" s="7" t="n">
        <f aca="false">ROUND(T74+U74+W74+IF(Справочники!$B$22="Да",0,V74),0)</f>
        <v>237</v>
      </c>
      <c r="Y74" s="7" t="n">
        <f aca="false">X74*J74</f>
        <v>118500</v>
      </c>
      <c r="Z74" s="7" t="n">
        <f aca="false">U74*J74</f>
        <v>4965</v>
      </c>
      <c r="AA74" s="7" t="n">
        <f aca="false">V74*J74</f>
        <v>16680</v>
      </c>
      <c r="AB74" s="19" t="n">
        <f aca="false">IF('Гимнастические кольца и подвесы'!$AO$3="","",'Гимнастические кольца и подвесы'!$AO$3)</f>
        <v>450</v>
      </c>
      <c r="AC74" s="19" t="n">
        <f aca="false">IF('Гимнастические кольца и подвесы'!$AR$3="","",'Гимнастические кольца и подвесы'!$AR$3)</f>
        <v>2767</v>
      </c>
      <c r="AD74" s="19" t="n">
        <f aca="false">IF('Гимнастические кольца и подвесы'!$AT$3="","",'Гимнастические кольца и подвесы'!$AT$3)</f>
        <v>2546</v>
      </c>
      <c r="AE74" s="7" t="n">
        <f aca="false">IF(AD74="","",ROUND(AD74/(1+P74),0))</f>
        <v>2195</v>
      </c>
      <c r="AF74" s="7" t="n">
        <f aca="false">IF(AE74="","",AE74-X74)</f>
        <v>1958</v>
      </c>
      <c r="AG74" s="8" t="n">
        <f aca="false">IF(OR(AE74="",AE74=0),"",AF74/AE74)</f>
        <v>0.892027334851936</v>
      </c>
      <c r="AH74" s="7" t="n">
        <f aca="false">IF(AE74="",0,AE74*J74)</f>
        <v>1097500</v>
      </c>
      <c r="AI74" s="7" t="n">
        <f aca="false">IF(AF74="",0,AF74*J74)</f>
        <v>979000</v>
      </c>
      <c r="AJ74" s="40" t="s">
        <v>151</v>
      </c>
      <c r="AK74" s="47" t="str">
        <f aca="false">IFERROR(IF(INDEX('Сводка заказов'!$V$5:$V$24,MATCH($A74,'Сводка заказов'!$A$5:$A$24,0))="","",INDEX('Сводка заказов'!$V$5:$V$24,MATCH($A74,'Сводка заказов'!$A$5:$A$24,0))),"")</f>
        <v/>
      </c>
      <c r="AL74" s="50"/>
      <c r="AM74" s="42"/>
      <c r="AN74" s="55" t="str">
        <f aca="false">IF(N(AL74)=0,"Нет",IF(AL74&gt;=J74,"Да","Частично"))</f>
        <v>Нет</v>
      </c>
      <c r="AO74" s="7" t="n">
        <f aca="false">J74-N(AL74)</f>
        <v>500</v>
      </c>
      <c r="AP74" s="54"/>
    </row>
    <row r="75" customFormat="false" ht="61.5" hidden="false" customHeight="true" outlineLevel="0" collapsed="false">
      <c r="A75" s="40" t="s">
        <v>165</v>
      </c>
      <c r="B75" s="43" t="str">
        <f aca="false">IFERROR(INDEX('Сводка заказов'!$B$5:$B$24,MATCH($A75,'Сводка заказов'!$A$5:$A$24,0)),"")</f>
        <v>Qingdao Florescence</v>
      </c>
      <c r="C75" s="47" t="str">
        <f aca="false">IFERROR(IF(INDEX('Сводка заказов'!$D$5:$D$24,MATCH($A75,'Сводка заказов'!$A$5:$A$24,0))="","",INDEX('Сводка заказов'!$D$5:$D$24,MATCH($A75,'Сводка заказов'!$A$5:$A$24,0))),"")</f>
        <v/>
      </c>
      <c r="D75" s="40" t="n">
        <v>2</v>
      </c>
      <c r="E75" s="40"/>
      <c r="F75" s="40" t="s">
        <v>395</v>
      </c>
      <c r="G75" s="53" t="str">
        <f aca="false">'Гимнастические кольца и подвесы'!$E$4</f>
        <v>Каплевидное пластиковое гимнастическое кольцо 210×165 мм</v>
      </c>
      <c r="H75" s="54" t="s">
        <v>396</v>
      </c>
      <c r="I75" s="54" t="s">
        <v>394</v>
      </c>
      <c r="J75" s="50" t="n">
        <v>500</v>
      </c>
      <c r="K75" s="40" t="s">
        <v>96</v>
      </c>
      <c r="L75" s="45" t="n">
        <v>5</v>
      </c>
      <c r="M75" s="44" t="n">
        <f aca="false">J75*L75</f>
        <v>2500</v>
      </c>
      <c r="N75" s="40" t="s">
        <v>369</v>
      </c>
      <c r="O75" s="8" t="n">
        <f aca="false">IFERROR(VLOOKUP($N75,'ТН ВЭД'!$A$4:$C$40,3,0),0)</f>
        <v>0.05</v>
      </c>
      <c r="P75" s="8" t="n">
        <f aca="false">Справочники!$B$12</f>
        <v>0.16</v>
      </c>
      <c r="Q75" s="44" t="n">
        <f aca="false">ROUND(L75*Справочники!$B$5,2)</f>
        <v>342.5</v>
      </c>
      <c r="R75" s="44" t="n">
        <f aca="false">ROUND(Q75*N(IFERROR(INDEX('Сводка заказов'!$Q$5:$Q$24,MATCH($A75,'Сводка заказов'!$A$5:$A$24,0)),0)),2)</f>
        <v>12.13</v>
      </c>
      <c r="S75" s="44" t="n">
        <f aca="false">ROUND(Q75*N(IFERROR(INDEX('Сводка заказов'!$R$5:$R$24,MATCH($A75,'Сводка заказов'!$A$5:$A$24,0)),0)),2)</f>
        <v>0</v>
      </c>
      <c r="T75" s="44" t="n">
        <f aca="false">Q75+R75+S75</f>
        <v>354.63</v>
      </c>
      <c r="U75" s="44" t="n">
        <f aca="false">ROUND(T75*O75,2)</f>
        <v>17.73</v>
      </c>
      <c r="V75" s="44" t="n">
        <f aca="false">ROUND((T75+U75)*P75,2)</f>
        <v>59.58</v>
      </c>
      <c r="W75" s="44" t="n">
        <f aca="false">ROUND(Q75*N(IFERROR(INDEX('Сводка заказов'!$S$5:$S$24,MATCH($A75,'Сводка заказов'!$A$5:$A$24,0)),0)),2)</f>
        <v>51.38</v>
      </c>
      <c r="X75" s="7" t="n">
        <f aca="false">ROUND(T75+U75+W75+IF(Справочники!$B$22="Да",0,V75),0)</f>
        <v>424</v>
      </c>
      <c r="Y75" s="7" t="n">
        <f aca="false">X75*J75</f>
        <v>212000</v>
      </c>
      <c r="Z75" s="7" t="n">
        <f aca="false">U75*J75</f>
        <v>8865</v>
      </c>
      <c r="AA75" s="7" t="n">
        <f aca="false">V75*J75</f>
        <v>29790</v>
      </c>
      <c r="AB75" s="19" t="n">
        <f aca="false">IF('Гимнастические кольца и подвесы'!$AO$4="","",'Гимнастические кольца и подвесы'!$AO$4)</f>
        <v>450</v>
      </c>
      <c r="AC75" s="19" t="n">
        <f aca="false">IF('Гимнастические кольца и подвесы'!$AR$4="","",'Гимнастические кольца и подвесы'!$AR$4)</f>
        <v>2767</v>
      </c>
      <c r="AD75" s="19" t="n">
        <f aca="false">IF('Гимнастические кольца и подвесы'!$AT$4="","",'Гимнастические кольца и подвесы'!$AT$4)</f>
        <v>2546</v>
      </c>
      <c r="AE75" s="7" t="n">
        <f aca="false">IF(AD75="","",ROUND(AD75/(1+P75),0))</f>
        <v>2195</v>
      </c>
      <c r="AF75" s="7" t="n">
        <f aca="false">IF(AE75="","",AE75-X75)</f>
        <v>1771</v>
      </c>
      <c r="AG75" s="8" t="n">
        <f aca="false">IF(OR(AE75="",AE75=0),"",AF75/AE75)</f>
        <v>0.806833712984055</v>
      </c>
      <c r="AH75" s="7" t="n">
        <f aca="false">IF(AE75="",0,AE75*J75)</f>
        <v>1097500</v>
      </c>
      <c r="AI75" s="7" t="n">
        <f aca="false">IF(AF75="",0,AF75*J75)</f>
        <v>885500</v>
      </c>
      <c r="AJ75" s="40" t="s">
        <v>151</v>
      </c>
      <c r="AK75" s="47" t="str">
        <f aca="false">IFERROR(IF(INDEX('Сводка заказов'!$V$5:$V$24,MATCH($A75,'Сводка заказов'!$A$5:$A$24,0))="","",INDEX('Сводка заказов'!$V$5:$V$24,MATCH($A75,'Сводка заказов'!$A$5:$A$24,0))),"")</f>
        <v/>
      </c>
      <c r="AL75" s="50"/>
      <c r="AM75" s="42"/>
      <c r="AN75" s="55" t="str">
        <f aca="false">IF(N(AL75)=0,"Нет",IF(AL75&gt;=J75,"Да","Частично"))</f>
        <v>Нет</v>
      </c>
      <c r="AO75" s="7" t="n">
        <f aca="false">J75-N(AL75)</f>
        <v>500</v>
      </c>
      <c r="AP75" s="54" t="s">
        <v>397</v>
      </c>
    </row>
    <row r="76" customFormat="false" ht="61.5" hidden="false" customHeight="true" outlineLevel="0" collapsed="false">
      <c r="A76" s="40" t="s">
        <v>165</v>
      </c>
      <c r="B76" s="43" t="str">
        <f aca="false">IFERROR(INDEX('Сводка заказов'!$B$5:$B$24,MATCH($A76,'Сводка заказов'!$A$5:$A$24,0)),"")</f>
        <v>Qingdao Florescence</v>
      </c>
      <c r="C76" s="47" t="str">
        <f aca="false">IFERROR(IF(INDEX('Сводка заказов'!$D$5:$D$24,MATCH($A76,'Сводка заказов'!$A$5:$A$24,0))="","",INDEX('Сводка заказов'!$D$5:$D$24,MATCH($A76,'Сводка заказов'!$A$5:$A$24,0))),"")</f>
        <v/>
      </c>
      <c r="D76" s="40" t="n">
        <v>3</v>
      </c>
      <c r="E76" s="40"/>
      <c r="F76" s="40" t="s">
        <v>398</v>
      </c>
      <c r="G76" s="53" t="str">
        <f aca="false">'Гимнастические кольца и подвесы'!$E$5</f>
        <v>Пластиковое каплевидное гимнастическое кольцо 145×160×22 мм</v>
      </c>
      <c r="H76" s="54" t="s">
        <v>399</v>
      </c>
      <c r="I76" s="54" t="s">
        <v>394</v>
      </c>
      <c r="J76" s="50" t="n">
        <v>500</v>
      </c>
      <c r="K76" s="40" t="s">
        <v>96</v>
      </c>
      <c r="L76" s="45" t="n">
        <v>3.5</v>
      </c>
      <c r="M76" s="44" t="n">
        <f aca="false">J76*L76</f>
        <v>1750</v>
      </c>
      <c r="N76" s="40" t="s">
        <v>369</v>
      </c>
      <c r="O76" s="8" t="n">
        <f aca="false">IFERROR(VLOOKUP($N76,'ТН ВЭД'!$A$4:$C$40,3,0),0)</f>
        <v>0.05</v>
      </c>
      <c r="P76" s="8" t="n">
        <f aca="false">Справочники!$B$12</f>
        <v>0.16</v>
      </c>
      <c r="Q76" s="44" t="n">
        <f aca="false">ROUND(L76*Справочники!$B$5,2)</f>
        <v>239.75</v>
      </c>
      <c r="R76" s="44" t="n">
        <f aca="false">ROUND(Q76*N(IFERROR(INDEX('Сводка заказов'!$Q$5:$Q$24,MATCH($A76,'Сводка заказов'!$A$5:$A$24,0)),0)),2)</f>
        <v>8.49</v>
      </c>
      <c r="S76" s="44" t="n">
        <f aca="false">ROUND(Q76*N(IFERROR(INDEX('Сводка заказов'!$R$5:$R$24,MATCH($A76,'Сводка заказов'!$A$5:$A$24,0)),0)),2)</f>
        <v>0</v>
      </c>
      <c r="T76" s="44" t="n">
        <f aca="false">Q76+R76+S76</f>
        <v>248.24</v>
      </c>
      <c r="U76" s="44" t="n">
        <f aca="false">ROUND(T76*O76,2)</f>
        <v>12.41</v>
      </c>
      <c r="V76" s="44" t="n">
        <f aca="false">ROUND((T76+U76)*P76,2)</f>
        <v>41.7</v>
      </c>
      <c r="W76" s="44" t="n">
        <f aca="false">ROUND(Q76*N(IFERROR(INDEX('Сводка заказов'!$S$5:$S$24,MATCH($A76,'Сводка заказов'!$A$5:$A$24,0)),0)),2)</f>
        <v>35.96</v>
      </c>
      <c r="X76" s="7" t="n">
        <f aca="false">ROUND(T76+U76+W76+IF(Справочники!$B$22="Да",0,V76),0)</f>
        <v>297</v>
      </c>
      <c r="Y76" s="7" t="n">
        <f aca="false">X76*J76</f>
        <v>148500</v>
      </c>
      <c r="Z76" s="7" t="n">
        <f aca="false">U76*J76</f>
        <v>6205</v>
      </c>
      <c r="AA76" s="7" t="n">
        <f aca="false">V76*J76</f>
        <v>20850</v>
      </c>
      <c r="AB76" s="19" t="n">
        <f aca="false">IF('Гимнастические кольца и подвесы'!$AO$5="","",'Гимнастические кольца и подвесы'!$AO$5)</f>
        <v>460</v>
      </c>
      <c r="AC76" s="19" t="n">
        <f aca="false">IF('Гимнастические кольца и подвесы'!$AR$5="","",'Гимнастические кольца и подвесы'!$AR$5)</f>
        <v>2828</v>
      </c>
      <c r="AD76" s="19" t="n">
        <f aca="false">IF('Гимнастические кольца и подвесы'!$AT$5="","",'Гимнастические кольца и подвесы'!$AT$5)</f>
        <v>2602</v>
      </c>
      <c r="AE76" s="7" t="n">
        <f aca="false">IF(AD76="","",ROUND(AD76/(1+P76),0))</f>
        <v>2243</v>
      </c>
      <c r="AF76" s="7" t="n">
        <f aca="false">IF(AE76="","",AE76-X76)</f>
        <v>1946</v>
      </c>
      <c r="AG76" s="8" t="n">
        <f aca="false">IF(OR(AE76="",AE76=0),"",AF76/AE76)</f>
        <v>0.867588051716451</v>
      </c>
      <c r="AH76" s="7" t="n">
        <f aca="false">IF(AE76="",0,AE76*J76)</f>
        <v>1121500</v>
      </c>
      <c r="AI76" s="7" t="n">
        <f aca="false">IF(AF76="",0,AF76*J76)</f>
        <v>973000</v>
      </c>
      <c r="AJ76" s="40" t="s">
        <v>151</v>
      </c>
      <c r="AK76" s="47" t="str">
        <f aca="false">IFERROR(IF(INDEX('Сводка заказов'!$V$5:$V$24,MATCH($A76,'Сводка заказов'!$A$5:$A$24,0))="","",INDEX('Сводка заказов'!$V$5:$V$24,MATCH($A76,'Сводка заказов'!$A$5:$A$24,0))),"")</f>
        <v/>
      </c>
      <c r="AL76" s="50"/>
      <c r="AM76" s="42"/>
      <c r="AN76" s="55" t="str">
        <f aca="false">IF(N(AL76)=0,"Нет",IF(AL76&gt;=J76,"Да","Частично"))</f>
        <v>Нет</v>
      </c>
      <c r="AO76" s="7" t="n">
        <f aca="false">J76-N(AL76)</f>
        <v>500</v>
      </c>
      <c r="AP76" s="54"/>
    </row>
    <row r="77" customFormat="false" ht="61.5" hidden="false" customHeight="true" outlineLevel="0" collapsed="false">
      <c r="A77" s="40" t="s">
        <v>165</v>
      </c>
      <c r="B77" s="43" t="str">
        <f aca="false">IFERROR(INDEX('Сводка заказов'!$B$5:$B$24,MATCH($A77,'Сводка заказов'!$A$5:$A$24,0)),"")</f>
        <v>Qingdao Florescence</v>
      </c>
      <c r="C77" s="47" t="str">
        <f aca="false">IFERROR(IF(INDEX('Сводка заказов'!$D$5:$D$24,MATCH($A77,'Сводка заказов'!$A$5:$A$24,0))="","",INDEX('Сводка заказов'!$D$5:$D$24,MATCH($A77,'Сводка заказов'!$A$5:$A$24,0))),"")</f>
        <v/>
      </c>
      <c r="D77" s="40" t="n">
        <v>4</v>
      </c>
      <c r="E77" s="40"/>
      <c r="F77" s="40" t="s">
        <v>400</v>
      </c>
      <c r="G77" s="53" t="str">
        <f aca="false">'Крепёж и такелаж'!$E$14</f>
        <v>Крюк со шпилькой М8×24 мм</v>
      </c>
      <c r="H77" s="54" t="s">
        <v>401</v>
      </c>
      <c r="I77" s="54" t="s">
        <v>222</v>
      </c>
      <c r="J77" s="50" t="n">
        <v>150</v>
      </c>
      <c r="K77" s="40" t="s">
        <v>96</v>
      </c>
      <c r="L77" s="45" t="n">
        <v>4</v>
      </c>
      <c r="M77" s="44" t="n">
        <f aca="false">J77*L77</f>
        <v>600</v>
      </c>
      <c r="N77" s="40" t="s">
        <v>324</v>
      </c>
      <c r="O77" s="8" t="n">
        <f aca="false">IFERROR(VLOOKUP($N77,'ТН ВЭД'!$A$4:$C$40,3,0),0)</f>
        <v>0.08</v>
      </c>
      <c r="P77" s="8" t="n">
        <f aca="false">Справочники!$B$12</f>
        <v>0.16</v>
      </c>
      <c r="Q77" s="44" t="n">
        <f aca="false">ROUND(L77*Справочники!$B$5,2)</f>
        <v>274</v>
      </c>
      <c r="R77" s="44" t="n">
        <f aca="false">ROUND(Q77*N(IFERROR(INDEX('Сводка заказов'!$Q$5:$Q$24,MATCH($A77,'Сводка заказов'!$A$5:$A$24,0)),0)),2)</f>
        <v>9.7</v>
      </c>
      <c r="S77" s="44" t="n">
        <f aca="false">ROUND(Q77*N(IFERROR(INDEX('Сводка заказов'!$R$5:$R$24,MATCH($A77,'Сводка заказов'!$A$5:$A$24,0)),0)),2)</f>
        <v>0</v>
      </c>
      <c r="T77" s="44" t="n">
        <f aca="false">Q77+R77+S77</f>
        <v>283.7</v>
      </c>
      <c r="U77" s="44" t="n">
        <f aca="false">ROUND(T77*O77,2)</f>
        <v>22.7</v>
      </c>
      <c r="V77" s="44" t="n">
        <f aca="false">ROUND((T77+U77)*P77,2)</f>
        <v>49.02</v>
      </c>
      <c r="W77" s="44" t="n">
        <f aca="false">ROUND(Q77*N(IFERROR(INDEX('Сводка заказов'!$S$5:$S$24,MATCH($A77,'Сводка заказов'!$A$5:$A$24,0)),0)),2)</f>
        <v>41.1</v>
      </c>
      <c r="X77" s="7" t="n">
        <f aca="false">ROUND(T77+U77+W77+IF(Справочники!$B$22="Да",0,V77),0)</f>
        <v>348</v>
      </c>
      <c r="Y77" s="7" t="n">
        <f aca="false">X77*J77</f>
        <v>52200</v>
      </c>
      <c r="Z77" s="7" t="n">
        <f aca="false">U77*J77</f>
        <v>3405</v>
      </c>
      <c r="AA77" s="7" t="n">
        <f aca="false">V77*J77</f>
        <v>7353</v>
      </c>
      <c r="AB77" s="19" t="str">
        <f aca="false">IF('Крепёж и такелаж'!$AO$14="","",'Крепёж и такелаж'!$AO$14)</f>
        <v/>
      </c>
      <c r="AC77" s="19" t="str">
        <f aca="false">IF('Крепёж и такелаж'!$AR$14="","",'Крепёж и такелаж'!$AR$14)</f>
        <v/>
      </c>
      <c r="AD77" s="19" t="n">
        <f aca="false">IF('Крепёж и такелаж'!$AT$14="","",'Крепёж и такелаж'!$AT$14)</f>
        <v>810</v>
      </c>
      <c r="AE77" s="7" t="n">
        <f aca="false">IF(AD77="","",ROUND(AD77/(1+P77),0))</f>
        <v>698</v>
      </c>
      <c r="AF77" s="7" t="n">
        <f aca="false">IF(AE77="","",AE77-X77)</f>
        <v>350</v>
      </c>
      <c r="AG77" s="8" t="n">
        <f aca="false">IF(OR(AE77="",AE77=0),"",AF77/AE77)</f>
        <v>0.501432664756447</v>
      </c>
      <c r="AH77" s="7" t="n">
        <f aca="false">IF(AE77="",0,AE77*J77)</f>
        <v>104700</v>
      </c>
      <c r="AI77" s="7" t="n">
        <f aca="false">IF(AF77="",0,AF77*J77)</f>
        <v>52500</v>
      </c>
      <c r="AJ77" s="40" t="s">
        <v>151</v>
      </c>
      <c r="AK77" s="47" t="str">
        <f aca="false">IFERROR(IF(INDEX('Сводка заказов'!$V$5:$V$24,MATCH($A77,'Сводка заказов'!$A$5:$A$24,0))="","",INDEX('Сводка заказов'!$V$5:$V$24,MATCH($A77,'Сводка заказов'!$A$5:$A$24,0))),"")</f>
        <v/>
      </c>
      <c r="AL77" s="50"/>
      <c r="AM77" s="42"/>
      <c r="AN77" s="55" t="str">
        <f aca="false">IF(N(AL77)=0,"Нет",IF(AL77&gt;=J77,"Да","Частично"))</f>
        <v>Нет</v>
      </c>
      <c r="AO77" s="7" t="n">
        <f aca="false">J77-N(AL77)</f>
        <v>150</v>
      </c>
      <c r="AP77" s="54"/>
    </row>
    <row r="78" customFormat="false" ht="61.5" hidden="false" customHeight="true" outlineLevel="0" collapsed="false">
      <c r="A78" s="40" t="s">
        <v>165</v>
      </c>
      <c r="B78" s="43" t="str">
        <f aca="false">IFERROR(INDEX('Сводка заказов'!$B$5:$B$24,MATCH($A78,'Сводка заказов'!$A$5:$A$24,0)),"")</f>
        <v>Qingdao Florescence</v>
      </c>
      <c r="C78" s="47" t="str">
        <f aca="false">IFERROR(IF(INDEX('Сводка заказов'!$D$5:$D$24,MATCH($A78,'Сводка заказов'!$A$5:$A$24,0))="","",INDEX('Сводка заказов'!$D$5:$D$24,MATCH($A78,'Сводка заказов'!$A$5:$A$24,0))),"")</f>
        <v/>
      </c>
      <c r="D78" s="40" t="n">
        <v>5</v>
      </c>
      <c r="E78" s="40"/>
      <c r="F78" s="40" t="s">
        <v>402</v>
      </c>
      <c r="G78" s="53" t="str">
        <f aca="false">'Крепление для качелей'!$E$9</f>
        <v>Резьбовой подвес М8 из нержавеющей стали для качелей «Гнездо»</v>
      </c>
      <c r="H78" s="54" t="s">
        <v>403</v>
      </c>
      <c r="I78" s="54" t="s">
        <v>222</v>
      </c>
      <c r="J78" s="50" t="n">
        <v>500</v>
      </c>
      <c r="K78" s="40" t="s">
        <v>96</v>
      </c>
      <c r="L78" s="45" t="n">
        <v>2.75</v>
      </c>
      <c r="M78" s="44" t="n">
        <f aca="false">J78*L78</f>
        <v>1375</v>
      </c>
      <c r="N78" s="40" t="s">
        <v>223</v>
      </c>
      <c r="O78" s="8" t="n">
        <f aca="false">IFERROR(VLOOKUP($N78,'ТН ВЭД'!$A$4:$C$40,3,0),0)</f>
        <v>0.075</v>
      </c>
      <c r="P78" s="8" t="n">
        <f aca="false">Справочники!$B$12</f>
        <v>0.16</v>
      </c>
      <c r="Q78" s="44" t="n">
        <f aca="false">ROUND(L78*Справочники!$B$5,2)</f>
        <v>188.38</v>
      </c>
      <c r="R78" s="44" t="n">
        <f aca="false">ROUND(Q78*N(IFERROR(INDEX('Сводка заказов'!$Q$5:$Q$24,MATCH($A78,'Сводка заказов'!$A$5:$A$24,0)),0)),2)</f>
        <v>6.67</v>
      </c>
      <c r="S78" s="44" t="n">
        <f aca="false">ROUND(Q78*N(IFERROR(INDEX('Сводка заказов'!$R$5:$R$24,MATCH($A78,'Сводка заказов'!$A$5:$A$24,0)),0)),2)</f>
        <v>0</v>
      </c>
      <c r="T78" s="44" t="n">
        <f aca="false">Q78+R78+S78</f>
        <v>195.05</v>
      </c>
      <c r="U78" s="44" t="n">
        <f aca="false">ROUND(T78*O78,2)</f>
        <v>14.63</v>
      </c>
      <c r="V78" s="44" t="n">
        <f aca="false">ROUND((T78+U78)*P78,2)</f>
        <v>33.55</v>
      </c>
      <c r="W78" s="44" t="n">
        <f aca="false">ROUND(Q78*N(IFERROR(INDEX('Сводка заказов'!$S$5:$S$24,MATCH($A78,'Сводка заказов'!$A$5:$A$24,0)),0)),2)</f>
        <v>28.26</v>
      </c>
      <c r="X78" s="7" t="n">
        <f aca="false">ROUND(T78+U78+W78+IF(Справочники!$B$22="Да",0,V78),0)</f>
        <v>238</v>
      </c>
      <c r="Y78" s="7" t="n">
        <f aca="false">X78*J78</f>
        <v>119000</v>
      </c>
      <c r="Z78" s="7" t="n">
        <f aca="false">U78*J78</f>
        <v>7315</v>
      </c>
      <c r="AA78" s="7" t="n">
        <f aca="false">V78*J78</f>
        <v>16775</v>
      </c>
      <c r="AB78" s="19" t="str">
        <f aca="false">IF('Крепление для качелей'!$AO$9="","",'Крепление для качелей'!$AO$9)</f>
        <v/>
      </c>
      <c r="AC78" s="19" t="str">
        <f aca="false">IF('Крепление для качелей'!$AR$9="","",'Крепление для качелей'!$AR$9)</f>
        <v/>
      </c>
      <c r="AD78" s="19" t="n">
        <f aca="false">IF('Крепление для качелей'!$AT$9="","",'Крепление для качелей'!$AT$9)</f>
        <v>560</v>
      </c>
      <c r="AE78" s="7" t="n">
        <f aca="false">IF(AD78="","",ROUND(AD78/(1+P78),0))</f>
        <v>483</v>
      </c>
      <c r="AF78" s="7" t="n">
        <f aca="false">IF(AE78="","",AE78-X78)</f>
        <v>245</v>
      </c>
      <c r="AG78" s="8" t="n">
        <f aca="false">IF(OR(AE78="",AE78=0),"",AF78/AE78)</f>
        <v>0.507246376811594</v>
      </c>
      <c r="AH78" s="7" t="n">
        <f aca="false">IF(AE78="",0,AE78*J78)</f>
        <v>241500</v>
      </c>
      <c r="AI78" s="7" t="n">
        <f aca="false">IF(AF78="",0,AF78*J78)</f>
        <v>122500</v>
      </c>
      <c r="AJ78" s="40" t="s">
        <v>151</v>
      </c>
      <c r="AK78" s="47" t="str">
        <f aca="false">IFERROR(IF(INDEX('Сводка заказов'!$V$5:$V$24,MATCH($A78,'Сводка заказов'!$A$5:$A$24,0))="","",INDEX('Сводка заказов'!$V$5:$V$24,MATCH($A78,'Сводка заказов'!$A$5:$A$24,0))),"")</f>
        <v/>
      </c>
      <c r="AL78" s="50"/>
      <c r="AM78" s="42"/>
      <c r="AN78" s="55" t="str">
        <f aca="false">IF(N(AL78)=0,"Нет",IF(AL78&gt;=J78,"Да","Частично"))</f>
        <v>Нет</v>
      </c>
      <c r="AO78" s="7" t="n">
        <f aca="false">J78-N(AL78)</f>
        <v>500</v>
      </c>
      <c r="AP78" s="54"/>
    </row>
    <row r="79" customFormat="false" ht="61.5" hidden="false" customHeight="true" outlineLevel="0" collapsed="false">
      <c r="A79" s="40" t="s">
        <v>165</v>
      </c>
      <c r="B79" s="43" t="str">
        <f aca="false">IFERROR(INDEX('Сводка заказов'!$B$5:$B$24,MATCH($A79,'Сводка заказов'!$A$5:$A$24,0)),"")</f>
        <v>Qingdao Florescence</v>
      </c>
      <c r="C79" s="47" t="str">
        <f aca="false">IFERROR(IF(INDEX('Сводка заказов'!$D$5:$D$24,MATCH($A79,'Сводка заказов'!$A$5:$A$24,0))="","",INDEX('Сводка заказов'!$D$5:$D$24,MATCH($A79,'Сводка заказов'!$A$5:$A$24,0))),"")</f>
        <v/>
      </c>
      <c r="D79" s="40" t="n">
        <v>6</v>
      </c>
      <c r="E79" s="40"/>
      <c r="F79" s="40" t="s">
        <v>404</v>
      </c>
      <c r="G79" s="53" t="str">
        <f aca="false">'Крепление для качелей'!$E$10</f>
        <v>Подвес для качелей М12×135 мм с карабином, оцинкованный</v>
      </c>
      <c r="H79" s="54" t="s">
        <v>405</v>
      </c>
      <c r="I79" s="54" t="s">
        <v>222</v>
      </c>
      <c r="J79" s="50" t="n">
        <v>500</v>
      </c>
      <c r="K79" s="40" t="s">
        <v>96</v>
      </c>
      <c r="L79" s="45" t="n">
        <v>8.5</v>
      </c>
      <c r="M79" s="44" t="n">
        <f aca="false">J79*L79</f>
        <v>4250</v>
      </c>
      <c r="N79" s="40" t="s">
        <v>223</v>
      </c>
      <c r="O79" s="8" t="n">
        <f aca="false">IFERROR(VLOOKUP($N79,'ТН ВЭД'!$A$4:$C$40,3,0),0)</f>
        <v>0.075</v>
      </c>
      <c r="P79" s="8" t="n">
        <f aca="false">Справочники!$B$12</f>
        <v>0.16</v>
      </c>
      <c r="Q79" s="44" t="n">
        <f aca="false">ROUND(L79*Справочники!$B$5,2)</f>
        <v>582.25</v>
      </c>
      <c r="R79" s="44" t="n">
        <f aca="false">ROUND(Q79*N(IFERROR(INDEX('Сводка заказов'!$Q$5:$Q$24,MATCH($A79,'Сводка заказов'!$A$5:$A$24,0)),0)),2)</f>
        <v>20.62</v>
      </c>
      <c r="S79" s="44" t="n">
        <f aca="false">ROUND(Q79*N(IFERROR(INDEX('Сводка заказов'!$R$5:$R$24,MATCH($A79,'Сводка заказов'!$A$5:$A$24,0)),0)),2)</f>
        <v>0</v>
      </c>
      <c r="T79" s="44" t="n">
        <f aca="false">Q79+R79+S79</f>
        <v>602.87</v>
      </c>
      <c r="U79" s="44" t="n">
        <f aca="false">ROUND(T79*O79,2)</f>
        <v>45.22</v>
      </c>
      <c r="V79" s="44" t="n">
        <f aca="false">ROUND((T79+U79)*P79,2)</f>
        <v>103.69</v>
      </c>
      <c r="W79" s="44" t="n">
        <f aca="false">ROUND(Q79*N(IFERROR(INDEX('Сводка заказов'!$S$5:$S$24,MATCH($A79,'Сводка заказов'!$A$5:$A$24,0)),0)),2)</f>
        <v>87.34</v>
      </c>
      <c r="X79" s="7" t="n">
        <f aca="false">ROUND(T79+U79+W79+IF(Справочники!$B$22="Да",0,V79),0)</f>
        <v>735</v>
      </c>
      <c r="Y79" s="7" t="n">
        <f aca="false">X79*J79</f>
        <v>367500</v>
      </c>
      <c r="Z79" s="7" t="n">
        <f aca="false">U79*J79</f>
        <v>22610</v>
      </c>
      <c r="AA79" s="7" t="n">
        <f aca="false">V79*J79</f>
        <v>51845</v>
      </c>
      <c r="AB79" s="19" t="str">
        <f aca="false">IF('Крепление для качелей'!$AO$10="","",'Крепление для качелей'!$AO$10)</f>
        <v/>
      </c>
      <c r="AC79" s="19" t="str">
        <f aca="false">IF('Крепление для качелей'!$AR$10="","",'Крепление для качелей'!$AR$10)</f>
        <v/>
      </c>
      <c r="AD79" s="19" t="n">
        <f aca="false">IF('Крепление для качелей'!$AT$10="","",'Крепление для качелей'!$AT$10)</f>
        <v>1710</v>
      </c>
      <c r="AE79" s="7" t="n">
        <f aca="false">IF(AD79="","",ROUND(AD79/(1+P79),0))</f>
        <v>1474</v>
      </c>
      <c r="AF79" s="7" t="n">
        <f aca="false">IF(AE79="","",AE79-X79)</f>
        <v>739</v>
      </c>
      <c r="AG79" s="8" t="n">
        <f aca="false">IF(OR(AE79="",AE79=0),"",AF79/AE79)</f>
        <v>0.501356852103121</v>
      </c>
      <c r="AH79" s="7" t="n">
        <f aca="false">IF(AE79="",0,AE79*J79)</f>
        <v>737000</v>
      </c>
      <c r="AI79" s="7" t="n">
        <f aca="false">IF(AF79="",0,AF79*J79)</f>
        <v>369500</v>
      </c>
      <c r="AJ79" s="40" t="s">
        <v>151</v>
      </c>
      <c r="AK79" s="47" t="str">
        <f aca="false">IFERROR(IF(INDEX('Сводка заказов'!$V$5:$V$24,MATCH($A79,'Сводка заказов'!$A$5:$A$24,0))="","",INDEX('Сводка заказов'!$V$5:$V$24,MATCH($A79,'Сводка заказов'!$A$5:$A$24,0))),"")</f>
        <v/>
      </c>
      <c r="AL79" s="50"/>
      <c r="AM79" s="42"/>
      <c r="AN79" s="55" t="str">
        <f aca="false">IF(N(AL79)=0,"Нет",IF(AL79&gt;=J79,"Да","Частично"))</f>
        <v>Нет</v>
      </c>
      <c r="AO79" s="7" t="n">
        <f aca="false">J79-N(AL79)</f>
        <v>500</v>
      </c>
      <c r="AP79" s="54"/>
    </row>
    <row r="80" customFormat="false" ht="61.5" hidden="false" customHeight="true" outlineLevel="0" collapsed="false">
      <c r="A80" s="40" t="s">
        <v>165</v>
      </c>
      <c r="B80" s="43" t="str">
        <f aca="false">IFERROR(INDEX('Сводка заказов'!$B$5:$B$24,MATCH($A80,'Сводка заказов'!$A$5:$A$24,0)),"")</f>
        <v>Qingdao Florescence</v>
      </c>
      <c r="C80" s="47" t="str">
        <f aca="false">IFERROR(IF(INDEX('Сводка заказов'!$D$5:$D$24,MATCH($A80,'Сводка заказов'!$A$5:$A$24,0))="","",INDEX('Сводка заказов'!$D$5:$D$24,MATCH($A80,'Сводка заказов'!$A$5:$A$24,0))),"")</f>
        <v/>
      </c>
      <c r="D80" s="40" t="n">
        <v>7</v>
      </c>
      <c r="E80" s="40"/>
      <c r="F80" s="40" t="s">
        <v>406</v>
      </c>
      <c r="G80" s="53" t="str">
        <f aca="false">'Крепление для качелей'!$E$11</f>
        <v>Шарнирный подвес для качелей из нержавеющей стали</v>
      </c>
      <c r="H80" s="54" t="s">
        <v>407</v>
      </c>
      <c r="I80" s="54" t="s">
        <v>222</v>
      </c>
      <c r="J80" s="50" t="n">
        <v>200</v>
      </c>
      <c r="K80" s="40" t="s">
        <v>96</v>
      </c>
      <c r="L80" s="45" t="n">
        <v>68</v>
      </c>
      <c r="M80" s="44" t="n">
        <f aca="false">J80*L80</f>
        <v>13600</v>
      </c>
      <c r="N80" s="40" t="s">
        <v>223</v>
      </c>
      <c r="O80" s="8" t="n">
        <f aca="false">IFERROR(VLOOKUP($N80,'ТН ВЭД'!$A$4:$C$40,3,0),0)</f>
        <v>0.075</v>
      </c>
      <c r="P80" s="8" t="n">
        <f aca="false">Справочники!$B$12</f>
        <v>0.16</v>
      </c>
      <c r="Q80" s="44" t="n">
        <f aca="false">ROUND(L80*Справочники!$B$5,2)</f>
        <v>4658</v>
      </c>
      <c r="R80" s="44" t="n">
        <f aca="false">ROUND(Q80*N(IFERROR(INDEX('Сводка заказов'!$Q$5:$Q$24,MATCH($A80,'Сводка заказов'!$A$5:$A$24,0)),0)),2)</f>
        <v>164.95</v>
      </c>
      <c r="S80" s="44" t="n">
        <f aca="false">ROUND(Q80*N(IFERROR(INDEX('Сводка заказов'!$R$5:$R$24,MATCH($A80,'Сводка заказов'!$A$5:$A$24,0)),0)),2)</f>
        <v>0</v>
      </c>
      <c r="T80" s="44" t="n">
        <f aca="false">Q80+R80+S80</f>
        <v>4822.95</v>
      </c>
      <c r="U80" s="44" t="n">
        <f aca="false">ROUND(T80*O80,2)</f>
        <v>361.72</v>
      </c>
      <c r="V80" s="44" t="n">
        <f aca="false">ROUND((T80+U80)*P80,2)</f>
        <v>829.55</v>
      </c>
      <c r="W80" s="44" t="n">
        <f aca="false">ROUND(Q80*N(IFERROR(INDEX('Сводка заказов'!$S$5:$S$24,MATCH($A80,'Сводка заказов'!$A$5:$A$24,0)),0)),2)</f>
        <v>698.7</v>
      </c>
      <c r="X80" s="7" t="n">
        <f aca="false">ROUND(T80+U80+W80+IF(Справочники!$B$22="Да",0,V80),0)</f>
        <v>5883</v>
      </c>
      <c r="Y80" s="7" t="n">
        <f aca="false">X80*J80</f>
        <v>1176600</v>
      </c>
      <c r="Z80" s="7" t="n">
        <f aca="false">U80*J80</f>
        <v>72344</v>
      </c>
      <c r="AA80" s="7" t="n">
        <f aca="false">V80*J80</f>
        <v>165910</v>
      </c>
      <c r="AB80" s="19" t="str">
        <f aca="false">IF('Крепление для качелей'!$AO$11="","",'Крепление для качелей'!$AO$11)</f>
        <v/>
      </c>
      <c r="AC80" s="19" t="str">
        <f aca="false">IF('Крепление для качелей'!$AR$11="","",'Крепление для качелей'!$AR$11)</f>
        <v/>
      </c>
      <c r="AD80" s="19" t="n">
        <f aca="false">IF('Крепление для качелей'!$AT$11="","",'Крепление для качелей'!$AT$11)</f>
        <v>13650</v>
      </c>
      <c r="AE80" s="7" t="n">
        <f aca="false">IF(AD80="","",ROUND(AD80/(1+P80),0))</f>
        <v>11767</v>
      </c>
      <c r="AF80" s="7" t="n">
        <f aca="false">IF(AE80="","",AE80-X80)</f>
        <v>5884</v>
      </c>
      <c r="AG80" s="8" t="n">
        <f aca="false">IF(OR(AE80="",AE80=0),"",AF80/AE80)</f>
        <v>0.500042491714116</v>
      </c>
      <c r="AH80" s="7" t="n">
        <f aca="false">IF(AE80="",0,AE80*J80)</f>
        <v>2353400</v>
      </c>
      <c r="AI80" s="7" t="n">
        <f aca="false">IF(AF80="",0,AF80*J80)</f>
        <v>1176800</v>
      </c>
      <c r="AJ80" s="40" t="s">
        <v>151</v>
      </c>
      <c r="AK80" s="47" t="str">
        <f aca="false">IFERROR(IF(INDEX('Сводка заказов'!$V$5:$V$24,MATCH($A80,'Сводка заказов'!$A$5:$A$24,0))="","",INDEX('Сводка заказов'!$V$5:$V$24,MATCH($A80,'Сводка заказов'!$A$5:$A$24,0))),"")</f>
        <v/>
      </c>
      <c r="AL80" s="50"/>
      <c r="AM80" s="42"/>
      <c r="AN80" s="55" t="str">
        <f aca="false">IF(N(AL80)=0,"Нет",IF(AL80&gt;=J80,"Да","Частично"))</f>
        <v>Нет</v>
      </c>
      <c r="AO80" s="7" t="n">
        <f aca="false">J80-N(AL80)</f>
        <v>200</v>
      </c>
      <c r="AP80" s="54"/>
    </row>
    <row r="81" customFormat="false" ht="61.5" hidden="false" customHeight="true" outlineLevel="0" collapsed="false">
      <c r="A81" s="40" t="s">
        <v>165</v>
      </c>
      <c r="B81" s="43" t="str">
        <f aca="false">IFERROR(INDEX('Сводка заказов'!$B$5:$B$24,MATCH($A81,'Сводка заказов'!$A$5:$A$24,0)),"")</f>
        <v>Qingdao Florescence</v>
      </c>
      <c r="C81" s="47" t="str">
        <f aca="false">IFERROR(IF(INDEX('Сводка заказов'!$D$5:$D$24,MATCH($A81,'Сводка заказов'!$A$5:$A$24,0))="","",INDEX('Сводка заказов'!$D$5:$D$24,MATCH($A81,'Сводка заказов'!$A$5:$A$24,0))),"")</f>
        <v/>
      </c>
      <c r="D81" s="40" t="n">
        <v>8</v>
      </c>
      <c r="E81" s="40"/>
      <c r="F81" s="40" t="s">
        <v>408</v>
      </c>
      <c r="G81" s="53" t="str">
        <f aca="false">'Изделия для каната'!$E$19</f>
        <v>Пластиковый зацеп на канат 70×70×53 мм для каната Ø16 мм</v>
      </c>
      <c r="H81" s="54" t="s">
        <v>409</v>
      </c>
      <c r="I81" s="54" t="s">
        <v>410</v>
      </c>
      <c r="J81" s="50" t="n">
        <v>500</v>
      </c>
      <c r="K81" s="40" t="s">
        <v>96</v>
      </c>
      <c r="L81" s="45" t="n">
        <v>4.1</v>
      </c>
      <c r="M81" s="44" t="n">
        <f aca="false">J81*L81</f>
        <v>2050</v>
      </c>
      <c r="N81" s="40" t="s">
        <v>241</v>
      </c>
      <c r="O81" s="8" t="n">
        <f aca="false">IFERROR(VLOOKUP($N81,'ТН ВЭД'!$A$4:$C$40,3,0),0)</f>
        <v>0.065</v>
      </c>
      <c r="P81" s="8" t="n">
        <f aca="false">Справочники!$B$12</f>
        <v>0.16</v>
      </c>
      <c r="Q81" s="44" t="n">
        <f aca="false">ROUND(L81*Справочники!$B$5,2)</f>
        <v>280.85</v>
      </c>
      <c r="R81" s="44" t="n">
        <f aca="false">ROUND(Q81*N(IFERROR(INDEX('Сводка заказов'!$Q$5:$Q$24,MATCH($A81,'Сводка заказов'!$A$5:$A$24,0)),0)),2)</f>
        <v>9.95</v>
      </c>
      <c r="S81" s="44" t="n">
        <f aca="false">ROUND(Q81*N(IFERROR(INDEX('Сводка заказов'!$R$5:$R$24,MATCH($A81,'Сводка заказов'!$A$5:$A$24,0)),0)),2)</f>
        <v>0</v>
      </c>
      <c r="T81" s="44" t="n">
        <f aca="false">Q81+R81+S81</f>
        <v>290.8</v>
      </c>
      <c r="U81" s="44" t="n">
        <f aca="false">ROUND(T81*O81,2)</f>
        <v>18.9</v>
      </c>
      <c r="V81" s="44" t="n">
        <f aca="false">ROUND((T81+U81)*P81,2)</f>
        <v>49.55</v>
      </c>
      <c r="W81" s="44" t="n">
        <f aca="false">ROUND(Q81*N(IFERROR(INDEX('Сводка заказов'!$S$5:$S$24,MATCH($A81,'Сводка заказов'!$A$5:$A$24,0)),0)),2)</f>
        <v>42.13</v>
      </c>
      <c r="X81" s="7" t="n">
        <f aca="false">ROUND(T81+U81+W81+IF(Справочники!$B$22="Да",0,V81),0)</f>
        <v>352</v>
      </c>
      <c r="Y81" s="7" t="n">
        <f aca="false">X81*J81</f>
        <v>176000</v>
      </c>
      <c r="Z81" s="7" t="n">
        <f aca="false">U81*J81</f>
        <v>9450</v>
      </c>
      <c r="AA81" s="7" t="n">
        <f aca="false">V81*J81</f>
        <v>24775</v>
      </c>
      <c r="AB81" s="19" t="str">
        <f aca="false">IF('Изделия для каната'!$AO$19="","",'Изделия для каната'!$AO$19)</f>
        <v/>
      </c>
      <c r="AC81" s="19" t="str">
        <f aca="false">IF('Изделия для каната'!$AR$19="","",'Изделия для каната'!$AR$19)</f>
        <v/>
      </c>
      <c r="AD81" s="19" t="n">
        <f aca="false">IF('Изделия для каната'!$AT$19="","",'Изделия для каната'!$AT$19)</f>
        <v>820</v>
      </c>
      <c r="AE81" s="7" t="n">
        <f aca="false">IF(AD81="","",ROUND(AD81/(1+P81),0))</f>
        <v>707</v>
      </c>
      <c r="AF81" s="7" t="n">
        <f aca="false">IF(AE81="","",AE81-X81)</f>
        <v>355</v>
      </c>
      <c r="AG81" s="8" t="n">
        <f aca="false">IF(OR(AE81="",AE81=0),"",AF81/AE81)</f>
        <v>0.502121640735502</v>
      </c>
      <c r="AH81" s="7" t="n">
        <f aca="false">IF(AE81="",0,AE81*J81)</f>
        <v>353500</v>
      </c>
      <c r="AI81" s="7" t="n">
        <f aca="false">IF(AF81="",0,AF81*J81)</f>
        <v>177500</v>
      </c>
      <c r="AJ81" s="40" t="s">
        <v>151</v>
      </c>
      <c r="AK81" s="47" t="str">
        <f aca="false">IFERROR(IF(INDEX('Сводка заказов'!$V$5:$V$24,MATCH($A81,'Сводка заказов'!$A$5:$A$24,0))="","",INDEX('Сводка заказов'!$V$5:$V$24,MATCH($A81,'Сводка заказов'!$A$5:$A$24,0))),"")</f>
        <v/>
      </c>
      <c r="AL81" s="50"/>
      <c r="AM81" s="42"/>
      <c r="AN81" s="55" t="str">
        <f aca="false">IF(N(AL81)=0,"Нет",IF(AL81&gt;=J81,"Да","Частично"))</f>
        <v>Нет</v>
      </c>
      <c r="AO81" s="7" t="n">
        <f aca="false">J81-N(AL81)</f>
        <v>500</v>
      </c>
      <c r="AP81" s="54" t="s">
        <v>242</v>
      </c>
    </row>
    <row r="82" customFormat="false" ht="61.5" hidden="false" customHeight="true" outlineLevel="0" collapsed="false">
      <c r="A82" s="40" t="s">
        <v>165</v>
      </c>
      <c r="B82" s="43" t="str">
        <f aca="false">IFERROR(INDEX('Сводка заказов'!$B$5:$B$24,MATCH($A82,'Сводка заказов'!$A$5:$A$24,0)),"")</f>
        <v>Qingdao Florescence</v>
      </c>
      <c r="C82" s="47" t="str">
        <f aca="false">IFERROR(IF(INDEX('Сводка заказов'!$D$5:$D$24,MATCH($A82,'Сводка заказов'!$A$5:$A$24,0))="","",INDEX('Сводка заказов'!$D$5:$D$24,MATCH($A82,'Сводка заказов'!$A$5:$A$24,0))),"")</f>
        <v/>
      </c>
      <c r="D82" s="40" t="n">
        <v>9</v>
      </c>
      <c r="E82" s="40"/>
      <c r="F82" s="40" t="s">
        <v>411</v>
      </c>
      <c r="G82" s="53" t="str">
        <f aca="false">'Зацепы скалодромные'!$E$5</f>
        <v>Пластиковая ручка-поручень 242×75 мм с крепежом</v>
      </c>
      <c r="H82" s="54" t="s">
        <v>412</v>
      </c>
      <c r="I82" s="54" t="s">
        <v>413</v>
      </c>
      <c r="J82" s="50" t="n">
        <v>200</v>
      </c>
      <c r="K82" s="40" t="s">
        <v>96</v>
      </c>
      <c r="L82" s="45" t="n">
        <v>7.5</v>
      </c>
      <c r="M82" s="44" t="n">
        <f aca="false">J82*L82</f>
        <v>1500</v>
      </c>
      <c r="N82" s="40" t="s">
        <v>241</v>
      </c>
      <c r="O82" s="8" t="n">
        <f aca="false">IFERROR(VLOOKUP($N82,'ТН ВЭД'!$A$4:$C$40,3,0),0)</f>
        <v>0.065</v>
      </c>
      <c r="P82" s="8" t="n">
        <f aca="false">Справочники!$B$12</f>
        <v>0.16</v>
      </c>
      <c r="Q82" s="44" t="n">
        <f aca="false">ROUND(L82*Справочники!$B$5,2)</f>
        <v>513.75</v>
      </c>
      <c r="R82" s="44" t="n">
        <f aca="false">ROUND(Q82*N(IFERROR(INDEX('Сводка заказов'!$Q$5:$Q$24,MATCH($A82,'Сводка заказов'!$A$5:$A$24,0)),0)),2)</f>
        <v>18.19</v>
      </c>
      <c r="S82" s="44" t="n">
        <f aca="false">ROUND(Q82*N(IFERROR(INDEX('Сводка заказов'!$R$5:$R$24,MATCH($A82,'Сводка заказов'!$A$5:$A$24,0)),0)),2)</f>
        <v>0</v>
      </c>
      <c r="T82" s="44" t="n">
        <f aca="false">Q82+R82+S82</f>
        <v>531.94</v>
      </c>
      <c r="U82" s="44" t="n">
        <f aca="false">ROUND(T82*O82,2)</f>
        <v>34.58</v>
      </c>
      <c r="V82" s="44" t="n">
        <f aca="false">ROUND((T82+U82)*P82,2)</f>
        <v>90.64</v>
      </c>
      <c r="W82" s="44" t="n">
        <f aca="false">ROUND(Q82*N(IFERROR(INDEX('Сводка заказов'!$S$5:$S$24,MATCH($A82,'Сводка заказов'!$A$5:$A$24,0)),0)),2)</f>
        <v>77.06</v>
      </c>
      <c r="X82" s="7" t="n">
        <f aca="false">ROUND(T82+U82+W82+IF(Справочники!$B$22="Да",0,V82),0)</f>
        <v>644</v>
      </c>
      <c r="Y82" s="7" t="n">
        <f aca="false">X82*J82</f>
        <v>128800</v>
      </c>
      <c r="Z82" s="7" t="n">
        <f aca="false">U82*J82</f>
        <v>6916</v>
      </c>
      <c r="AA82" s="7" t="n">
        <f aca="false">V82*J82</f>
        <v>18128</v>
      </c>
      <c r="AB82" s="19" t="str">
        <f aca="false">IF('Зацепы скалодромные'!$AO$5="","",'Зацепы скалодромные'!$AO$5)</f>
        <v/>
      </c>
      <c r="AC82" s="19" t="str">
        <f aca="false">IF('Зацепы скалодромные'!$AR$5="","",'Зацепы скалодромные'!$AR$5)</f>
        <v/>
      </c>
      <c r="AD82" s="19" t="n">
        <f aca="false">IF('Зацепы скалодромные'!$AT$5="","",'Зацепы скалодромные'!$AT$5)</f>
        <v>1500</v>
      </c>
      <c r="AE82" s="7" t="n">
        <f aca="false">IF(AD82="","",ROUND(AD82/(1+P82),0))</f>
        <v>1293</v>
      </c>
      <c r="AF82" s="7" t="n">
        <f aca="false">IF(AE82="","",AE82-X82)</f>
        <v>649</v>
      </c>
      <c r="AG82" s="8" t="n">
        <f aca="false">IF(OR(AE82="",AE82=0),"",AF82/AE82)</f>
        <v>0.501933488012374</v>
      </c>
      <c r="AH82" s="7" t="n">
        <f aca="false">IF(AE82="",0,AE82*J82)</f>
        <v>258600</v>
      </c>
      <c r="AI82" s="7" t="n">
        <f aca="false">IF(AF82="",0,AF82*J82)</f>
        <v>129800</v>
      </c>
      <c r="AJ82" s="40" t="s">
        <v>151</v>
      </c>
      <c r="AK82" s="47" t="str">
        <f aca="false">IFERROR(IF(INDEX('Сводка заказов'!$V$5:$V$24,MATCH($A82,'Сводка заказов'!$A$5:$A$24,0))="","",INDEX('Сводка заказов'!$V$5:$V$24,MATCH($A82,'Сводка заказов'!$A$5:$A$24,0))),"")</f>
        <v/>
      </c>
      <c r="AL82" s="50"/>
      <c r="AM82" s="42"/>
      <c r="AN82" s="55" t="str">
        <f aca="false">IF(N(AL82)=0,"Нет",IF(AL82&gt;=J82,"Да","Частично"))</f>
        <v>Нет</v>
      </c>
      <c r="AO82" s="7" t="n">
        <f aca="false">J82-N(AL82)</f>
        <v>200</v>
      </c>
      <c r="AP82" s="54" t="s">
        <v>242</v>
      </c>
    </row>
    <row r="83" customFormat="false" ht="61.5" hidden="false" customHeight="true" outlineLevel="0" collapsed="false">
      <c r="A83" s="40" t="s">
        <v>165</v>
      </c>
      <c r="B83" s="43" t="str">
        <f aca="false">IFERROR(INDEX('Сводка заказов'!$B$5:$B$24,MATCH($A83,'Сводка заказов'!$A$5:$A$24,0)),"")</f>
        <v>Qingdao Florescence</v>
      </c>
      <c r="C83" s="47" t="str">
        <f aca="false">IFERROR(IF(INDEX('Сводка заказов'!$D$5:$D$24,MATCH($A83,'Сводка заказов'!$A$5:$A$24,0))="","",INDEX('Сводка заказов'!$D$5:$D$24,MATCH($A83,'Сводка заказов'!$A$5:$A$24,0))),"")</f>
        <v/>
      </c>
      <c r="D83" s="40" t="n">
        <v>10</v>
      </c>
      <c r="E83" s="40"/>
      <c r="F83" s="40" t="s">
        <v>414</v>
      </c>
      <c r="G83" s="53" t="str">
        <f aca="false">'Крепёж и такелаж'!$E$15</f>
        <v>Крюк из нержавеющей стали М8×26 мм</v>
      </c>
      <c r="H83" s="54" t="s">
        <v>415</v>
      </c>
      <c r="I83" s="54" t="s">
        <v>222</v>
      </c>
      <c r="J83" s="50" t="n">
        <v>500</v>
      </c>
      <c r="K83" s="40" t="s">
        <v>96</v>
      </c>
      <c r="L83" s="45" t="n">
        <v>8</v>
      </c>
      <c r="M83" s="44" t="n">
        <f aca="false">J83*L83</f>
        <v>4000</v>
      </c>
      <c r="N83" s="40" t="s">
        <v>324</v>
      </c>
      <c r="O83" s="8" t="n">
        <f aca="false">IFERROR(VLOOKUP($N83,'ТН ВЭД'!$A$4:$C$40,3,0),0)</f>
        <v>0.08</v>
      </c>
      <c r="P83" s="8" t="n">
        <f aca="false">Справочники!$B$12</f>
        <v>0.16</v>
      </c>
      <c r="Q83" s="44" t="n">
        <f aca="false">ROUND(L83*Справочники!$B$5,2)</f>
        <v>548</v>
      </c>
      <c r="R83" s="44" t="n">
        <f aca="false">ROUND(Q83*N(IFERROR(INDEX('Сводка заказов'!$Q$5:$Q$24,MATCH($A83,'Сводка заказов'!$A$5:$A$24,0)),0)),2)</f>
        <v>19.41</v>
      </c>
      <c r="S83" s="44" t="n">
        <f aca="false">ROUND(Q83*N(IFERROR(INDEX('Сводка заказов'!$R$5:$R$24,MATCH($A83,'Сводка заказов'!$A$5:$A$24,0)),0)),2)</f>
        <v>0</v>
      </c>
      <c r="T83" s="44" t="n">
        <f aca="false">Q83+R83+S83</f>
        <v>567.41</v>
      </c>
      <c r="U83" s="44" t="n">
        <f aca="false">ROUND(T83*O83,2)</f>
        <v>45.39</v>
      </c>
      <c r="V83" s="44" t="n">
        <f aca="false">ROUND((T83+U83)*P83,2)</f>
        <v>98.05</v>
      </c>
      <c r="W83" s="44" t="n">
        <f aca="false">ROUND(Q83*N(IFERROR(INDEX('Сводка заказов'!$S$5:$S$24,MATCH($A83,'Сводка заказов'!$A$5:$A$24,0)),0)),2)</f>
        <v>82.2</v>
      </c>
      <c r="X83" s="7" t="n">
        <f aca="false">ROUND(T83+U83+W83+IF(Справочники!$B$22="Да",0,V83),0)</f>
        <v>695</v>
      </c>
      <c r="Y83" s="7" t="n">
        <f aca="false">X83*J83</f>
        <v>347500</v>
      </c>
      <c r="Z83" s="7" t="n">
        <f aca="false">U83*J83</f>
        <v>22695</v>
      </c>
      <c r="AA83" s="7" t="n">
        <f aca="false">V83*J83</f>
        <v>49025</v>
      </c>
      <c r="AB83" s="19" t="str">
        <f aca="false">IF('Крепёж и такелаж'!$AO$15="","",'Крепёж и такелаж'!$AO$15)</f>
        <v/>
      </c>
      <c r="AC83" s="19" t="str">
        <f aca="false">IF('Крепёж и такелаж'!$AR$15="","",'Крепёж и такелаж'!$AR$15)</f>
        <v/>
      </c>
      <c r="AD83" s="19" t="n">
        <f aca="false">IF('Крепёж и такелаж'!$AT$15="","",'Крепёж и такелаж'!$AT$15)</f>
        <v>1620</v>
      </c>
      <c r="AE83" s="7" t="n">
        <f aca="false">IF(AD83="","",ROUND(AD83/(1+P83),0))</f>
        <v>1397</v>
      </c>
      <c r="AF83" s="7" t="n">
        <f aca="false">IF(AE83="","",AE83-X83)</f>
        <v>702</v>
      </c>
      <c r="AG83" s="8" t="n">
        <f aca="false">IF(OR(AE83="",AE83=0),"",AF83/AE83)</f>
        <v>0.502505368647101</v>
      </c>
      <c r="AH83" s="7" t="n">
        <f aca="false">IF(AE83="",0,AE83*J83)</f>
        <v>698500</v>
      </c>
      <c r="AI83" s="7" t="n">
        <f aca="false">IF(AF83="",0,AF83*J83)</f>
        <v>351000</v>
      </c>
      <c r="AJ83" s="40" t="s">
        <v>151</v>
      </c>
      <c r="AK83" s="47" t="str">
        <f aca="false">IFERROR(IF(INDEX('Сводка заказов'!$V$5:$V$24,MATCH($A83,'Сводка заказов'!$A$5:$A$24,0))="","",INDEX('Сводка заказов'!$V$5:$V$24,MATCH($A83,'Сводка заказов'!$A$5:$A$24,0))),"")</f>
        <v/>
      </c>
      <c r="AL83" s="50"/>
      <c r="AM83" s="42"/>
      <c r="AN83" s="55" t="str">
        <f aca="false">IF(N(AL83)=0,"Нет",IF(AL83&gt;=J83,"Да","Частично"))</f>
        <v>Нет</v>
      </c>
      <c r="AO83" s="7" t="n">
        <f aca="false">J83-N(AL83)</f>
        <v>500</v>
      </c>
      <c r="AP83" s="54"/>
    </row>
  </sheetData>
  <autoFilter ref="A2:AP83"/>
  <mergeCells count="6">
    <mergeCell ref="A1:E1"/>
    <mergeCell ref="F1:M1"/>
    <mergeCell ref="N1:P1"/>
    <mergeCell ref="Q1:AA1"/>
    <mergeCell ref="AB1:AI1"/>
    <mergeCell ref="AJ1:AO1"/>
  </mergeCells>
  <conditionalFormatting sqref="AG3:AG500">
    <cfRule type="expression" priority="2" aboveAverage="0" equalAverage="0" bottom="0" percent="0" rank="0" text="" dxfId="0">
      <formula>AND(ISNUMBER(AG3),AG3&lt;Справочники!$B$24)</formula>
    </cfRule>
  </conditionalFormatting>
  <conditionalFormatting sqref="AN3:AN500">
    <cfRule type="expression" priority="3" aboveAverage="0" equalAverage="0" bottom="0" percent="0" rank="0" text="" dxfId="8">
      <formula>AN3="Да"</formula>
    </cfRule>
    <cfRule type="expression" priority="4" aboveAverage="0" equalAverage="0" bottom="0" percent="0" rank="0" text="" dxfId="9">
      <formula>AN3="Частично"</formula>
    </cfRule>
  </conditionalFormatting>
  <conditionalFormatting sqref="AJ3:AJ500">
    <cfRule type="expression" priority="5" aboveAverage="0" equalAverage="0" bottom="0" percent="0" rank="0" text="" dxfId="8">
      <formula>AJ3="На складе"</formula>
    </cfRule>
    <cfRule type="expression" priority="6" aboveAverage="0" equalAverage="0" bottom="0" percent="0" rank="0" text="" dxfId="9">
      <formula>OR(AJ3="В пути",AJ3="Отгружено")</formula>
    </cfRule>
  </conditionalFormatting>
  <dataValidations count="4">
    <dataValidation allowBlank="true" errorStyle="stop" operator="between" showDropDown="false" showErrorMessage="false" showInputMessage="false" sqref="A3:A500" type="list">
      <formula1>'Сводка заказов'!$A$5:$A$24</formula1>
      <formula2>0</formula2>
    </dataValidation>
    <dataValidation allowBlank="true" errorStyle="stop" operator="between" showDropDown="false" showErrorMessage="false" showInputMessage="false" sqref="N3:N500" type="list">
      <formula1>'ТН ВЭД'!$A$4:$A$40</formula1>
      <formula2>0</formula2>
    </dataValidation>
    <dataValidation allowBlank="true" errorStyle="stop" operator="between" showDropDown="false" showErrorMessage="false" showInputMessage="false" sqref="AJ3:AJ500" type="list">
      <formula1>Справочники!$O$4:$O$11</formula1>
      <formula2>0</formula2>
    </dataValidation>
    <dataValidation allowBlank="true" errorStyle="stop" operator="between" showDropDown="false" showErrorMessage="false" showInputMessage="false" sqref="K3:K500" type="list">
      <formula1>Справочники!$G$4:$G$40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F3" activeCellId="0" sqref="F3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7.5"/>
    <col collapsed="false" customWidth="true" hidden="false" outlineLevel="0" max="4" min="4" style="0" width="9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8" min="8" style="0" width="46"/>
    <col collapsed="false" customWidth="true" hidden="false" outlineLevel="0" max="9" min="9" style="0" width="20"/>
    <col collapsed="false" customWidth="true" hidden="false" outlineLevel="0" max="11" min="10" style="0" width="22"/>
    <col collapsed="false" customWidth="true" hidden="false" outlineLevel="0" max="13" min="12" style="0" width="9"/>
    <col collapsed="false" customWidth="true" hidden="false" outlineLevel="0" max="14" min="14" style="0" width="18"/>
    <col collapsed="false" customWidth="true" hidden="false" outlineLevel="0" max="20" min="15" style="0" width="15"/>
    <col collapsed="false" customWidth="true" hidden="false" outlineLevel="0" max="21" min="21" style="0" width="9"/>
    <col collapsed="false" customWidth="true" hidden="false" outlineLevel="0" max="22" min="22" style="0" width="8"/>
    <col collapsed="false" customWidth="true" hidden="false" outlineLevel="0" max="23" min="23" style="0" width="9"/>
    <col collapsed="false" customWidth="true" hidden="false" outlineLevel="0" max="24" min="24" style="0" width="18"/>
    <col collapsed="false" customWidth="true" hidden="false" outlineLevel="0" max="36" min="25" style="0" width="9"/>
    <col collapsed="false" customWidth="true" hidden="false" outlineLevel="0" max="37" min="37" style="0" width="11"/>
    <col collapsed="false" customWidth="true" hidden="false" outlineLevel="0" max="38" min="38" style="0" width="26"/>
    <col collapsed="false" customWidth="true" hidden="false" outlineLevel="0" max="39" min="39" style="0" width="34"/>
    <col collapsed="false" customWidth="true" hidden="false" outlineLevel="0" max="40" min="40" style="0" width="10"/>
    <col collapsed="false" customWidth="true" hidden="false" outlineLevel="0" max="44" min="41" style="0" width="11"/>
    <col collapsed="false" customWidth="true" hidden="false" outlineLevel="0" max="46" min="45" style="0" width="12"/>
    <col collapsed="false" customWidth="true" hidden="false" outlineLevel="0" max="52" min="47" style="0" width="11"/>
    <col collapsed="false" customWidth="true" hidden="false" outlineLevel="0" max="53" min="53" style="0" width="10"/>
    <col collapsed="false" customWidth="true" hidden="false" outlineLevel="0" max="54" min="54" style="0" width="18"/>
    <col collapsed="false" customWidth="true" hidden="false" outlineLevel="0" max="55" min="55" style="0" width="14"/>
    <col collapsed="false" customWidth="true" hidden="false" outlineLevel="0" max="56" min="56" style="0" width="24"/>
    <col collapsed="false" customWidth="true" hidden="false" outlineLevel="0" max="57" min="57" style="0" width="10"/>
    <col collapsed="false" customWidth="true" hidden="false" outlineLevel="0" max="59" min="58" style="0" width="8"/>
    <col collapsed="false" customWidth="true" hidden="false" outlineLevel="0" max="60" min="60" style="0" width="12"/>
    <col collapsed="false" customWidth="true" hidden="false" outlineLevel="0" max="61" min="61" style="0" width="9"/>
    <col collapsed="false" customWidth="true" hidden="false" outlineLevel="0" max="62" min="62" style="0" width="10"/>
    <col collapsed="false" customWidth="true" hidden="false" outlineLevel="0" max="63" min="63" style="0" width="30"/>
    <col collapsed="false" customWidth="true" hidden="false" outlineLevel="0" max="64" min="64" style="0" width="14"/>
    <col collapsed="false" customWidth="true" hidden="false" outlineLevel="0" max="65" min="65" style="0" width="8"/>
    <col collapsed="false" customWidth="true" hidden="false" outlineLevel="0" max="66" min="66" style="0" width="11"/>
    <col collapsed="false" customWidth="true" hidden="false" outlineLevel="0" max="67" min="67" style="0" width="10"/>
    <col collapsed="false" customWidth="true" hidden="false" outlineLevel="0" max="68" min="68" style="0" width="9"/>
    <col collapsed="false" customWidth="true" hidden="false" outlineLevel="0" max="69" min="69" style="0" width="11"/>
    <col collapsed="false" customWidth="true" hidden="false" outlineLevel="0" max="70" min="70" style="0" width="22"/>
    <col collapsed="false" customWidth="true" hidden="false" outlineLevel="0" max="71" min="71" style="0" width="11"/>
  </cols>
  <sheetData>
    <row r="1" customFormat="false" ht="19.5" hidden="false" customHeight="true" outlineLevel="0" collapsed="false">
      <c r="A1" s="56" t="s">
        <v>416</v>
      </c>
      <c r="B1" s="56"/>
      <c r="C1" s="56"/>
      <c r="D1" s="56"/>
      <c r="E1" s="56"/>
      <c r="F1" s="56"/>
      <c r="G1" s="56"/>
      <c r="H1" s="56"/>
      <c r="I1" s="57" t="s">
        <v>417</v>
      </c>
      <c r="J1" s="57"/>
      <c r="K1" s="57"/>
      <c r="L1" s="57"/>
      <c r="M1" s="57"/>
      <c r="N1" s="58" t="s">
        <v>418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59" t="s">
        <v>419</v>
      </c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60" t="s">
        <v>420</v>
      </c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1" t="s">
        <v>421</v>
      </c>
      <c r="BC1" s="61"/>
      <c r="BD1" s="61"/>
      <c r="BE1" s="61"/>
      <c r="BF1" s="61"/>
      <c r="BG1" s="61"/>
      <c r="BH1" s="61"/>
      <c r="BI1" s="61"/>
      <c r="BJ1" s="61"/>
      <c r="BK1" s="61"/>
      <c r="BL1" s="37" t="s">
        <v>422</v>
      </c>
      <c r="BM1" s="37"/>
      <c r="BN1" s="37"/>
      <c r="BO1" s="37"/>
      <c r="BP1" s="37"/>
      <c r="BQ1" s="37"/>
      <c r="BR1" s="37"/>
      <c r="BS1" s="37"/>
    </row>
    <row r="2" customFormat="false" ht="48" hidden="false" customHeight="true" outlineLevel="0" collapsed="false">
      <c r="A2" s="62" t="s">
        <v>73</v>
      </c>
      <c r="B2" s="62" t="s">
        <v>46</v>
      </c>
      <c r="C2" s="63" t="s">
        <v>186</v>
      </c>
      <c r="D2" s="62" t="s">
        <v>423</v>
      </c>
      <c r="E2" s="62" t="s">
        <v>424</v>
      </c>
      <c r="F2" s="62" t="s">
        <v>80</v>
      </c>
      <c r="G2" s="62" t="s">
        <v>425</v>
      </c>
      <c r="H2" s="62" t="s">
        <v>426</v>
      </c>
      <c r="I2" s="64" t="s">
        <v>427</v>
      </c>
      <c r="J2" s="64" t="s">
        <v>428</v>
      </c>
      <c r="K2" s="64" t="s">
        <v>429</v>
      </c>
      <c r="L2" s="64" t="s">
        <v>430</v>
      </c>
      <c r="M2" s="64" t="s">
        <v>431</v>
      </c>
      <c r="N2" s="65" t="s">
        <v>84</v>
      </c>
      <c r="O2" s="65" t="s">
        <v>432</v>
      </c>
      <c r="P2" s="65" t="s">
        <v>433</v>
      </c>
      <c r="Q2" s="65" t="s">
        <v>434</v>
      </c>
      <c r="R2" s="65" t="s">
        <v>435</v>
      </c>
      <c r="S2" s="65" t="s">
        <v>436</v>
      </c>
      <c r="T2" s="65" t="s">
        <v>437</v>
      </c>
      <c r="U2" s="65" t="s">
        <v>94</v>
      </c>
      <c r="V2" s="65" t="s">
        <v>95</v>
      </c>
      <c r="W2" s="65" t="s">
        <v>438</v>
      </c>
      <c r="X2" s="65" t="s">
        <v>439</v>
      </c>
      <c r="Y2" s="66" t="str">
        <f aca="false">Справочники!$K$4</f>
        <v>BLACK</v>
      </c>
      <c r="Z2" s="67" t="str">
        <f aca="false">Справочники!$K$5</f>
        <v>ORANGE</v>
      </c>
      <c r="AA2" s="68" t="str">
        <f aca="false">Справочники!$K$6</f>
        <v>RED</v>
      </c>
      <c r="AB2" s="69" t="str">
        <f aca="false">Справочники!$K$7</f>
        <v>BLUE</v>
      </c>
      <c r="AC2" s="70" t="str">
        <f aca="false">Справочники!$K$8</f>
        <v>GRAY</v>
      </c>
      <c r="AD2" s="71" t="str">
        <f aca="false">Справочники!$K$9</f>
        <v>GREEN</v>
      </c>
      <c r="AE2" s="72" t="str">
        <f aca="false">Справочники!$K$10</f>
        <v>YELLOW</v>
      </c>
      <c r="AF2" s="73" t="str">
        <f aca="false">Справочники!$K$11</f>
        <v>WHITE</v>
      </c>
      <c r="AG2" s="74" t="str">
        <f aca="false">Справочники!$K$12</f>
        <v>BEIGE</v>
      </c>
      <c r="AH2" s="75" t="str">
        <f aca="false">Справочники!$K$13</f>
        <v>BROWN</v>
      </c>
      <c r="AI2" s="76" t="str">
        <f aca="false">Справочники!$K$14</f>
        <v>NATURAL</v>
      </c>
      <c r="AJ2" s="76" t="str">
        <f aca="false">Справочники!$K$15</f>
        <v>MULTI</v>
      </c>
      <c r="AK2" s="77" t="s">
        <v>440</v>
      </c>
      <c r="AL2" s="77" t="s">
        <v>441</v>
      </c>
      <c r="AM2" s="77" t="s">
        <v>442</v>
      </c>
      <c r="AN2" s="78" t="s">
        <v>443</v>
      </c>
      <c r="AO2" s="78" t="s">
        <v>98</v>
      </c>
      <c r="AP2" s="78" t="s">
        <v>444</v>
      </c>
      <c r="AQ2" s="78" t="s">
        <v>445</v>
      </c>
      <c r="AR2" s="78" t="s">
        <v>206</v>
      </c>
      <c r="AS2" s="78" t="s">
        <v>446</v>
      </c>
      <c r="AT2" s="78" t="s">
        <v>99</v>
      </c>
      <c r="AU2" s="78" t="s">
        <v>208</v>
      </c>
      <c r="AV2" s="78" t="s">
        <v>447</v>
      </c>
      <c r="AW2" s="78" t="s">
        <v>448</v>
      </c>
      <c r="AX2" s="78" t="s">
        <v>449</v>
      </c>
      <c r="AY2" s="78" t="s">
        <v>450</v>
      </c>
      <c r="AZ2" s="78" t="s">
        <v>451</v>
      </c>
      <c r="BA2" s="78" t="s">
        <v>452</v>
      </c>
      <c r="BB2" s="79" t="s">
        <v>38</v>
      </c>
      <c r="BC2" s="79" t="s">
        <v>453</v>
      </c>
      <c r="BD2" s="79" t="s">
        <v>454</v>
      </c>
      <c r="BE2" s="79" t="s">
        <v>101</v>
      </c>
      <c r="BF2" s="79" t="s">
        <v>102</v>
      </c>
      <c r="BG2" s="79" t="s">
        <v>455</v>
      </c>
      <c r="BH2" s="79" t="s">
        <v>456</v>
      </c>
      <c r="BI2" s="79" t="s">
        <v>457</v>
      </c>
      <c r="BJ2" s="79" t="s">
        <v>104</v>
      </c>
      <c r="BK2" s="79" t="s">
        <v>145</v>
      </c>
      <c r="BL2" s="4" t="s">
        <v>458</v>
      </c>
      <c r="BM2" s="4" t="s">
        <v>193</v>
      </c>
      <c r="BN2" s="4" t="s">
        <v>459</v>
      </c>
      <c r="BO2" s="4" t="s">
        <v>211</v>
      </c>
      <c r="BP2" s="4" t="s">
        <v>460</v>
      </c>
      <c r="BQ2" s="4" t="s">
        <v>461</v>
      </c>
      <c r="BR2" s="4" t="s">
        <v>462</v>
      </c>
      <c r="BS2" s="4" t="s">
        <v>44</v>
      </c>
    </row>
    <row r="3" customFormat="false" ht="79.5" hidden="false" customHeight="true" outlineLevel="0" collapsed="false">
      <c r="A3" s="80" t="s">
        <v>343</v>
      </c>
      <c r="B3" s="81" t="s">
        <v>6</v>
      </c>
      <c r="C3" s="82"/>
      <c r="D3" s="81" t="s">
        <v>77</v>
      </c>
      <c r="E3" s="83" t="s">
        <v>463</v>
      </c>
      <c r="F3" s="81"/>
      <c r="G3" s="83"/>
      <c r="H3" s="83" t="s">
        <v>464</v>
      </c>
      <c r="I3" s="84" t="str">
        <f aca="false">IF(E3="","",A3&amp;"_1.jpg")</f>
        <v>AKO-KN-001_1.jpg</v>
      </c>
      <c r="J3" s="84" t="str">
        <f aca="false">IF(E3="","",A3&amp;"_2.jpg; "&amp;A3&amp;"_3.jpg")</f>
        <v>AKO-KN-001_2.jpg; AKO-KN-001_3.jpg</v>
      </c>
      <c r="K3" s="84" t="str">
        <f aca="false">IF(E3="","",A3&amp;"_schema.jpg")</f>
        <v>AKO-KN-001_schema.jpg</v>
      </c>
      <c r="L3" s="81" t="s">
        <v>150</v>
      </c>
      <c r="M3" s="81" t="s">
        <v>150</v>
      </c>
      <c r="N3" s="81" t="s">
        <v>465</v>
      </c>
      <c r="O3" s="81" t="n">
        <v>16</v>
      </c>
      <c r="P3" s="81" t="n">
        <v>6</v>
      </c>
      <c r="Q3" s="81"/>
      <c r="R3" s="81"/>
      <c r="S3" s="81" t="n">
        <v>3300</v>
      </c>
      <c r="T3" s="81" t="n">
        <v>250</v>
      </c>
      <c r="U3" s="81"/>
      <c r="V3" s="81" t="s">
        <v>261</v>
      </c>
      <c r="W3" s="81" t="n">
        <v>36</v>
      </c>
      <c r="X3" s="81" t="s">
        <v>466</v>
      </c>
      <c r="Y3" s="85" t="n">
        <v>2000</v>
      </c>
      <c r="Z3" s="85" t="n">
        <v>2000</v>
      </c>
      <c r="AA3" s="85" t="n">
        <v>2000</v>
      </c>
      <c r="AB3" s="85" t="n">
        <v>2000</v>
      </c>
      <c r="AC3" s="85" t="n">
        <v>2000</v>
      </c>
      <c r="AD3" s="85"/>
      <c r="AE3" s="85"/>
      <c r="AF3" s="85"/>
      <c r="AG3" s="85"/>
      <c r="AH3" s="85"/>
      <c r="AI3" s="85"/>
      <c r="AJ3" s="85"/>
      <c r="AK3" s="86" t="n">
        <f aca="false">IF(SUM(Y3:AJ3)=0,"",SUM(Y3:AJ3))</f>
        <v>10000</v>
      </c>
      <c r="AL3" s="84" t="str">
        <f aca="false">MID(IF(N(Y3)&gt;0,", "&amp;Y$2,"")&amp;IF(N(Z3)&gt;0,", "&amp;Z$2,"")&amp;IF(N(AA3)&gt;0,", "&amp;AA$2,"")&amp;IF(N(AB3)&gt;0,", "&amp;AB$2,"")&amp;IF(N(AC3)&gt;0,", "&amp;AC$2,"")&amp;IF(N(AD3)&gt;0,", "&amp;AD$2,"")&amp;IF(N(AE3)&gt;0,", "&amp;AE$2,"")&amp;IF(N(AF3)&gt;0,", "&amp;AF$2,"")&amp;IF(N(AG3)&gt;0,", "&amp;AG$2,"")&amp;IF(N(AH3)&gt;0,", "&amp;AH$2,"")&amp;IF(N(AI3)&gt;0,", "&amp;AI$2,"")&amp;IF(N(AJ3)&gt;0,", "&amp;AJ$2,""),3,999)</f>
        <v>BLACK, ORANGE, RED, BLUE, GRAY</v>
      </c>
      <c r="AM3" s="87" t="str">
        <f aca="false">IF(E3="","",MID(IF(N(Y3)&gt;0,", "&amp;A3&amp;"-"&amp;Y$2,"")&amp;IF(N(Z3)&gt;0,", "&amp;A3&amp;"-"&amp;Z$2,"")&amp;IF(N(AA3)&gt;0,", "&amp;A3&amp;"-"&amp;AA$2,"")&amp;IF(N(AB3)&gt;0,", "&amp;A3&amp;"-"&amp;AB$2,"")&amp;IF(N(AC3)&gt;0,", "&amp;A3&amp;"-"&amp;AC$2,"")&amp;IF(N(AD3)&gt;0,", "&amp;A3&amp;"-"&amp;AD$2,"")&amp;IF(N(AE3)&gt;0,", "&amp;A3&amp;"-"&amp;AE$2,"")&amp;IF(N(AF3)&gt;0,", "&amp;A3&amp;"-"&amp;AF$2,"")&amp;IF(N(AG3)&gt;0,", "&amp;A3&amp;"-"&amp;AG$2,"")&amp;IF(N(AH3)&gt;0,", "&amp;A3&amp;"-"&amp;AH$2,"")&amp;IF(N(AI3)&gt;0,", "&amp;A3&amp;"-"&amp;AI$2,"")&amp;IF(N(AJ3)&gt;0,", "&amp;A3&amp;"-"&amp;AJ$2,""),3,999))</f>
        <v>AKO-KN-001-BLACK, AKO-KN-001-ORANGE, AKO-KN-001-RED, AKO-KN-001-BLUE, AKO-KN-001-GRAY</v>
      </c>
      <c r="AN3" s="81" t="n">
        <v>100</v>
      </c>
      <c r="AO3" s="88" t="n">
        <v>295</v>
      </c>
      <c r="AP3" s="89" t="n">
        <f aca="false">IF(AO3="","",ROUND(AO3/(1+Справочники!$B$13),2))</f>
        <v>295</v>
      </c>
      <c r="AQ3" s="90" t="n">
        <f aca="false" t="array" ref="AQ3:AQ3">IF(AP3="","",AP3*INDEX(Справочники!$B$4:$B$7,MATCH("RUB",Справочники!$A$4:$A$7,0)))</f>
        <v>1563.5</v>
      </c>
      <c r="AR3" s="90" t="n">
        <f aca="false">IF(AQ3="","",ROUND(AQ3*(1+Справочники!$B$12),0))</f>
        <v>1814</v>
      </c>
      <c r="AS3" s="90" t="n">
        <f aca="false">IF(AR3="","",ROUND(AR3*(1-Справочники!$B$11),0))</f>
        <v>1669</v>
      </c>
      <c r="AT3" s="88" t="n">
        <v>1800</v>
      </c>
      <c r="AU3" s="90" t="n">
        <f aca="false">IF(AT3="","",ROUND(AT3/(1+Справочники!$B$12),0))</f>
        <v>1552</v>
      </c>
      <c r="AV3" s="90" t="n">
        <f aca="false">IF(AT3="","",ROUND(AT3*(1-Справочники!$B$15),0))</f>
        <v>1746</v>
      </c>
      <c r="AW3" s="90" t="n">
        <f aca="false">IF(AT3="","",ROUND(AT3*(1-Справочники!$B$16),0))</f>
        <v>1692</v>
      </c>
      <c r="AX3" s="90" t="n">
        <f aca="false">IF(AT3="","",ROUND(AT3*(1-Справочники!$B$17),0))</f>
        <v>1638</v>
      </c>
      <c r="AY3" s="90" t="n">
        <f aca="false">IF(AT3="","",ROUND(AT3*(1-Справочники!$B$18),0))</f>
        <v>1584</v>
      </c>
      <c r="AZ3" s="90" t="n">
        <f aca="false">IF(AT3="","",ROUND(AT3*(1-Справочники!$B$19),0))</f>
        <v>1530</v>
      </c>
      <c r="BA3" s="81" t="n">
        <v>10000</v>
      </c>
      <c r="BB3" s="81" t="s">
        <v>100</v>
      </c>
      <c r="BC3" s="81" t="s">
        <v>264</v>
      </c>
      <c r="BD3" s="81"/>
      <c r="BE3" s="91" t="n">
        <v>9.24</v>
      </c>
      <c r="BF3" s="81" t="s">
        <v>103</v>
      </c>
      <c r="BG3" s="89" t="n">
        <f aca="false" t="array" ref="BG3:BG3">IF(BF3="","",IFERROR(INDEX(Справочники!$B$4:$B$7,MATCH(BF3,Справочники!$A$4:$A$7,0)),""))</f>
        <v>68.5</v>
      </c>
      <c r="BH3" s="90" t="n">
        <f aca="false">IF(N(BN3)&gt;0,ROUND(SUMIF(ЗАКАЗЫ!$F$3:$F$500,$A3,ЗАКАЗЫ!$Y$3:$Y$500)/BN3,0),IF(OR(BE3="",BG3=""),"",ROUND(BE3*BG3*(1+Справочники!$B$10),0)))</f>
        <v>791</v>
      </c>
      <c r="BI3" s="92" t="n">
        <f aca="false">IF(OR(AU3="",BH3="",AU3=0),"",(AU3-BH3)/AU3)</f>
        <v>0.490335051546392</v>
      </c>
      <c r="BJ3" s="81" t="n">
        <v>30</v>
      </c>
      <c r="BK3" s="83"/>
      <c r="BL3" s="43" t="str">
        <f aca="false">IFERROR(INDEX(ЗАКАЗЫ!$N$3:$N$500,MATCH($A3,ЗАКАЗЫ!$F$3:$F$500,0)),"")</f>
        <v>5607 49 190 0</v>
      </c>
      <c r="BM3" s="8" t="n">
        <f aca="false">IF(BL3="","",IFERROR(VLOOKUP(BL3,'ТН ВЭД'!$A$4:$C$40,3,0),""))</f>
        <v>0.1</v>
      </c>
      <c r="BN3" s="7" t="n">
        <f aca="false">IF(COUNTIF(ЗАКАЗЫ!$F$3:$F$500,$A3)=0,"",SUMIF(ЗАКАЗЫ!$F$3:$F$500,$A3,ЗАКАЗЫ!$J$3:$J$500))</f>
        <v>10000</v>
      </c>
      <c r="BO3" s="7" t="n">
        <f aca="false">IF(BN3="","",SUMIF(ЗАКАЗЫ!$F$3:$F$500,$A3,ЗАКАЗЫ!$AL$3:$AL$500))</f>
        <v>0</v>
      </c>
      <c r="BP3" s="7" t="n">
        <f aca="false">IF(BN3="","",BN3-BO3)</f>
        <v>10000</v>
      </c>
      <c r="BQ3" s="55" t="str">
        <f aca="false">IF(BN3="","",IF(BO3&gt;=BN3,"На складе",IF(BO3&gt;0,"Частично","Ждём")))</f>
        <v>Ждём</v>
      </c>
      <c r="BR3" s="43" t="s">
        <v>467</v>
      </c>
      <c r="BS3" s="47" t="str">
        <f aca="false">IF(BN3="","",IF(_xlfn.MAXIFS(ЗАКАЗЫ!$AK$3:$AK$500,ЗАКАЗЫ!$F$3:$F$500,$A3)=0,"",_xlfn.MAXIFS(ЗАКАЗЫ!$AK$3:$AK$500,ЗАКАЗЫ!$F$3:$F$500,$A3)))</f>
        <v/>
      </c>
    </row>
    <row r="4" customFormat="false" ht="79.5" hidden="false" customHeight="true" outlineLevel="0" collapsed="false">
      <c r="A4" s="80" t="s">
        <v>267</v>
      </c>
      <c r="B4" s="81"/>
      <c r="C4" s="82"/>
      <c r="D4" s="81"/>
      <c r="E4" s="83" t="s">
        <v>468</v>
      </c>
      <c r="F4" s="81"/>
      <c r="G4" s="83"/>
      <c r="H4" s="83" t="s">
        <v>469</v>
      </c>
      <c r="I4" s="84" t="str">
        <f aca="false">IF(E4="","",A4&amp;"_1.jpg")</f>
        <v>AKO-KN-002_1.jpg</v>
      </c>
      <c r="J4" s="84" t="str">
        <f aca="false">IF(E4="","",A4&amp;"_2.jpg; "&amp;A4&amp;"_3.jpg")</f>
        <v>AKO-KN-002_2.jpg; AKO-KN-002_3.jpg</v>
      </c>
      <c r="K4" s="84" t="str">
        <f aca="false">IF(E4="","",A4&amp;"_schema.jpg")</f>
        <v>AKO-KN-002_schema.jpg</v>
      </c>
      <c r="L4" s="81"/>
      <c r="M4" s="81"/>
      <c r="N4" s="81" t="s">
        <v>465</v>
      </c>
      <c r="O4" s="81" t="n">
        <v>16</v>
      </c>
      <c r="P4" s="81" t="n">
        <v>4</v>
      </c>
      <c r="Q4" s="81"/>
      <c r="R4" s="81"/>
      <c r="S4" s="81" t="n">
        <v>1350</v>
      </c>
      <c r="T4" s="81" t="n">
        <v>250</v>
      </c>
      <c r="U4" s="81"/>
      <c r="V4" s="81" t="s">
        <v>261</v>
      </c>
      <c r="W4" s="81"/>
      <c r="X4" s="81" t="s">
        <v>470</v>
      </c>
      <c r="Y4" s="85" t="n">
        <v>2000</v>
      </c>
      <c r="Z4" s="85"/>
      <c r="AA4" s="85" t="n">
        <v>500</v>
      </c>
      <c r="AB4" s="85" t="n">
        <v>500</v>
      </c>
      <c r="AC4" s="85"/>
      <c r="AD4" s="85"/>
      <c r="AE4" s="85"/>
      <c r="AF4" s="85"/>
      <c r="AG4" s="85"/>
      <c r="AH4" s="85"/>
      <c r="AI4" s="85"/>
      <c r="AJ4" s="85"/>
      <c r="AK4" s="86" t="n">
        <f aca="false">IF(SUM(Y4:AJ4)=0,"",SUM(Y4:AJ4))</f>
        <v>3000</v>
      </c>
      <c r="AL4" s="84" t="str">
        <f aca="false">MID(IF(N(Y4)&gt;0,", "&amp;Y$2,"")&amp;IF(N(Z4)&gt;0,", "&amp;Z$2,"")&amp;IF(N(AA4)&gt;0,", "&amp;AA$2,"")&amp;IF(N(AB4)&gt;0,", "&amp;AB$2,"")&amp;IF(N(AC4)&gt;0,", "&amp;AC$2,"")&amp;IF(N(AD4)&gt;0,", "&amp;AD$2,"")&amp;IF(N(AE4)&gt;0,", "&amp;AE$2,"")&amp;IF(N(AF4)&gt;0,", "&amp;AF$2,"")&amp;IF(N(AG4)&gt;0,", "&amp;AG$2,"")&amp;IF(N(AH4)&gt;0,", "&amp;AH$2,"")&amp;IF(N(AI4)&gt;0,", "&amp;AI$2,"")&amp;IF(N(AJ4)&gt;0,", "&amp;AJ$2,""),3,999)</f>
        <v>BLACK, RED, BLUE</v>
      </c>
      <c r="AM4" s="87" t="str">
        <f aca="false">IF(E4="","",MID(IF(N(Y4)&gt;0,", "&amp;A4&amp;"-"&amp;Y$2,"")&amp;IF(N(Z4)&gt;0,", "&amp;A4&amp;"-"&amp;Z$2,"")&amp;IF(N(AA4)&gt;0,", "&amp;A4&amp;"-"&amp;AA$2,"")&amp;IF(N(AB4)&gt;0,", "&amp;A4&amp;"-"&amp;AB$2,"")&amp;IF(N(AC4)&gt;0,", "&amp;A4&amp;"-"&amp;AC$2,"")&amp;IF(N(AD4)&gt;0,", "&amp;A4&amp;"-"&amp;AD$2,"")&amp;IF(N(AE4)&gt;0,", "&amp;A4&amp;"-"&amp;AE$2,"")&amp;IF(N(AF4)&gt;0,", "&amp;A4&amp;"-"&amp;AF$2,"")&amp;IF(N(AG4)&gt;0,", "&amp;A4&amp;"-"&amp;AG$2,"")&amp;IF(N(AH4)&gt;0,", "&amp;A4&amp;"-"&amp;AH$2,"")&amp;IF(N(AI4)&gt;0,", "&amp;A4&amp;"-"&amp;AI$2,"")&amp;IF(N(AJ4)&gt;0,", "&amp;A4&amp;"-"&amp;AJ$2,""),3,999))</f>
        <v>AKO-KN-002-BLACK, AKO-KN-002-RED, AKO-KN-002-BLUE</v>
      </c>
      <c r="AN4" s="81" t="n">
        <v>1</v>
      </c>
      <c r="AO4" s="88" t="n">
        <v>315</v>
      </c>
      <c r="AP4" s="89" t="n">
        <f aca="false">IF(AO4="","",ROUND(AO4/(1+Справочники!$B$13),2))</f>
        <v>315</v>
      </c>
      <c r="AQ4" s="90" t="n">
        <f aca="false" t="array" ref="AQ4:AQ4">IF(AP4="","",AP4*INDEX(Справочники!$B$4:$B$7,MATCH("RUB",Справочники!$A$4:$A$7,0)))</f>
        <v>1669.5</v>
      </c>
      <c r="AR4" s="90" t="n">
        <f aca="false">IF(AQ4="","",ROUND(AQ4*(1+Справочники!$B$12),0))</f>
        <v>1937</v>
      </c>
      <c r="AS4" s="90" t="n">
        <f aca="false">IF(AR4="","",ROUND(AR4*(1-Справочники!$B$11),0))</f>
        <v>1782</v>
      </c>
      <c r="AT4" s="93" t="n">
        <f aca="false">IF(BH4="","",IF(AS4="",ROUNDUP(BH4/(1-Справочники!$B$23)*(1+Справочники!$B$12),-1),MAX(AS4,ROUNDUP(BH4/(1-Справочники!$B$24)*(1+Справочники!$B$12),-1))))</f>
        <v>1782</v>
      </c>
      <c r="AU4" s="90" t="n">
        <f aca="false">IF(AT4="","",ROUND(AT4/(1+Справочники!$B$12),0))</f>
        <v>1536</v>
      </c>
      <c r="AV4" s="90" t="n">
        <f aca="false">IF(AT4="","",ROUND(AT4*(1-Справочники!$B$15),0))</f>
        <v>1729</v>
      </c>
      <c r="AW4" s="90" t="n">
        <f aca="false">IF(AT4="","",ROUND(AT4*(1-Справочники!$B$16),0))</f>
        <v>1675</v>
      </c>
      <c r="AX4" s="90" t="n">
        <f aca="false">IF(AT4="","",ROUND(AT4*(1-Справочники!$B$17),0))</f>
        <v>1622</v>
      </c>
      <c r="AY4" s="90" t="n">
        <f aca="false">IF(AT4="","",ROUND(AT4*(1-Справочники!$B$18),0))</f>
        <v>1568</v>
      </c>
      <c r="AZ4" s="90" t="n">
        <f aca="false">IF(AT4="","",ROUND(AT4*(1-Справочники!$B$19),0))</f>
        <v>1515</v>
      </c>
      <c r="BA4" s="81"/>
      <c r="BB4" s="81" t="s">
        <v>100</v>
      </c>
      <c r="BC4" s="81" t="s">
        <v>268</v>
      </c>
      <c r="BD4" s="81"/>
      <c r="BE4" s="91" t="n">
        <v>8.33</v>
      </c>
      <c r="BF4" s="81" t="s">
        <v>103</v>
      </c>
      <c r="BG4" s="89" t="n">
        <f aca="false" t="array" ref="BG4:BG4">IF(BF4="","",IFERROR(INDEX(Справочники!$B$4:$B$7,MATCH(BF4,Справочники!$A$4:$A$7,0)),""))</f>
        <v>68.5</v>
      </c>
      <c r="BH4" s="90" t="n">
        <f aca="false">IF(N(BN4)&gt;0,ROUND(SUMIF(ЗАКАЗЫ!$F$3:$F$500,$A4,ЗАКАЗЫ!$Y$3:$Y$500)/BN4,0),IF(OR(BE4="",BG4=""),"",ROUND(BE4*BG4*(1+Справочники!$B$10),0)))</f>
        <v>620</v>
      </c>
      <c r="BI4" s="92" t="n">
        <f aca="false">IF(OR(AU4="",BH4="",AU4=0),"",(AU4-BH4)/AU4)</f>
        <v>0.596354166666667</v>
      </c>
      <c r="BJ4" s="81"/>
      <c r="BK4" s="83" t="s">
        <v>471</v>
      </c>
      <c r="BL4" s="43" t="str">
        <f aca="false">IFERROR(INDEX(ЗАКАЗЫ!$N$3:$N$500,MATCH($A4,ЗАКАЗЫ!$F$3:$F$500,0)),"")</f>
        <v>5607 49 190 0</v>
      </c>
      <c r="BM4" s="8" t="n">
        <f aca="false">IF(BL4="","",IFERROR(VLOOKUP(BL4,'ТН ВЭД'!$A$4:$C$40,3,0),""))</f>
        <v>0.1</v>
      </c>
      <c r="BN4" s="7" t="n">
        <f aca="false">IF(COUNTIF(ЗАКАЗЫ!$F$3:$F$500,$A4)=0,"",SUMIF(ЗАКАЗЫ!$F$3:$F$500,$A4,ЗАКАЗЫ!$J$3:$J$500))</f>
        <v>3000</v>
      </c>
      <c r="BO4" s="7" t="n">
        <f aca="false">IF(BN4="","",SUMIF(ЗАКАЗЫ!$F$3:$F$500,$A4,ЗАКАЗЫ!$AL$3:$AL$500))</f>
        <v>0</v>
      </c>
      <c r="BP4" s="7" t="n">
        <f aca="false">IF(BN4="","",BN4-BO4)</f>
        <v>3000</v>
      </c>
      <c r="BQ4" s="55" t="str">
        <f aca="false">IF(BN4="","",IF(BO4&gt;=BN4,"На складе",IF(BO4&gt;0,"Частично","Ждём")))</f>
        <v>Ждём</v>
      </c>
      <c r="BR4" s="43" t="s">
        <v>472</v>
      </c>
      <c r="BS4" s="47" t="n">
        <f aca="false">IF(BN4="","",IF(_xlfn.MAXIFS(ЗАКАЗЫ!$AK$3:$AK$500,ЗАКАЗЫ!$F$3:$F$500,$A4)=0,"",_xlfn.MAXIFS(ЗАКАЗЫ!$AK$3:$AK$500,ЗАКАЗЫ!$F$3:$F$500,$A4)))</f>
        <v>46346</v>
      </c>
    </row>
    <row r="5" customFormat="false" ht="79.5" hidden="false" customHeight="true" outlineLevel="0" collapsed="false">
      <c r="A5" s="80" t="s">
        <v>258</v>
      </c>
      <c r="B5" s="81"/>
      <c r="C5" s="82"/>
      <c r="D5" s="81"/>
      <c r="E5" s="83" t="s">
        <v>473</v>
      </c>
      <c r="F5" s="81"/>
      <c r="G5" s="83"/>
      <c r="H5" s="83" t="s">
        <v>474</v>
      </c>
      <c r="I5" s="84" t="str">
        <f aca="false">IF(E5="","",A5&amp;"_1.jpg")</f>
        <v>AKO-KN-003_1.jpg</v>
      </c>
      <c r="J5" s="84" t="str">
        <f aca="false">IF(E5="","",A5&amp;"_2.jpg; "&amp;A5&amp;"_3.jpg")</f>
        <v>AKO-KN-003_2.jpg; AKO-KN-003_3.jpg</v>
      </c>
      <c r="K5" s="84" t="str">
        <f aca="false">IF(E5="","",A5&amp;"_schema.jpg")</f>
        <v>AKO-KN-003_schema.jpg</v>
      </c>
      <c r="L5" s="81"/>
      <c r="M5" s="81"/>
      <c r="N5" s="81" t="s">
        <v>465</v>
      </c>
      <c r="O5" s="81" t="n">
        <v>16</v>
      </c>
      <c r="P5" s="81" t="n">
        <v>6</v>
      </c>
      <c r="Q5" s="81"/>
      <c r="R5" s="81"/>
      <c r="S5" s="81" t="n">
        <v>2900</v>
      </c>
      <c r="T5" s="81" t="n">
        <v>500</v>
      </c>
      <c r="U5" s="81"/>
      <c r="V5" s="81" t="s">
        <v>261</v>
      </c>
      <c r="W5" s="81"/>
      <c r="X5" s="81" t="s">
        <v>466</v>
      </c>
      <c r="Y5" s="85" t="n">
        <v>5000</v>
      </c>
      <c r="Z5" s="85"/>
      <c r="AA5" s="85"/>
      <c r="AB5" s="85"/>
      <c r="AC5" s="85" t="n">
        <v>1000</v>
      </c>
      <c r="AD5" s="85"/>
      <c r="AE5" s="85"/>
      <c r="AF5" s="85"/>
      <c r="AG5" s="85"/>
      <c r="AH5" s="85"/>
      <c r="AI5" s="85"/>
      <c r="AJ5" s="85"/>
      <c r="AK5" s="86" t="n">
        <f aca="false">IF(SUM(Y5:AJ5)=0,"",SUM(Y5:AJ5))</f>
        <v>6000</v>
      </c>
      <c r="AL5" s="84" t="str">
        <f aca="false">MID(IF(N(Y5)&gt;0,", "&amp;Y$2,"")&amp;IF(N(Z5)&gt;0,", "&amp;Z$2,"")&amp;IF(N(AA5)&gt;0,", "&amp;AA$2,"")&amp;IF(N(AB5)&gt;0,", "&amp;AB$2,"")&amp;IF(N(AC5)&gt;0,", "&amp;AC$2,"")&amp;IF(N(AD5)&gt;0,", "&amp;AD$2,"")&amp;IF(N(AE5)&gt;0,", "&amp;AE$2,"")&amp;IF(N(AF5)&gt;0,", "&amp;AF$2,"")&amp;IF(N(AG5)&gt;0,", "&amp;AG$2,"")&amp;IF(N(AH5)&gt;0,", "&amp;AH$2,"")&amp;IF(N(AI5)&gt;0,", "&amp;AI$2,"")&amp;IF(N(AJ5)&gt;0,", "&amp;AJ$2,""),3,999)</f>
        <v>BLACK, GRAY</v>
      </c>
      <c r="AM5" s="87" t="str">
        <f aca="false">IF(E5="","",MID(IF(N(Y5)&gt;0,", "&amp;A5&amp;"-"&amp;Y$2,"")&amp;IF(N(Z5)&gt;0,", "&amp;A5&amp;"-"&amp;Z$2,"")&amp;IF(N(AA5)&gt;0,", "&amp;A5&amp;"-"&amp;AA$2,"")&amp;IF(N(AB5)&gt;0,", "&amp;A5&amp;"-"&amp;AB$2,"")&amp;IF(N(AC5)&gt;0,", "&amp;A5&amp;"-"&amp;AC$2,"")&amp;IF(N(AD5)&gt;0,", "&amp;A5&amp;"-"&amp;AD$2,"")&amp;IF(N(AE5)&gt;0,", "&amp;A5&amp;"-"&amp;AE$2,"")&amp;IF(N(AF5)&gt;0,", "&amp;A5&amp;"-"&amp;AF$2,"")&amp;IF(N(AG5)&gt;0,", "&amp;A5&amp;"-"&amp;AG$2,"")&amp;IF(N(AH5)&gt;0,", "&amp;A5&amp;"-"&amp;AH$2,"")&amp;IF(N(AI5)&gt;0,", "&amp;A5&amp;"-"&amp;AI$2,"")&amp;IF(N(AJ5)&gt;0,", "&amp;A5&amp;"-"&amp;AJ$2,""),3,999))</f>
        <v>AKO-KN-003-BLACK, AKO-KN-003-GRAY</v>
      </c>
      <c r="AN5" s="81" t="n">
        <v>1</v>
      </c>
      <c r="AO5" s="88" t="n">
        <v>295</v>
      </c>
      <c r="AP5" s="89" t="n">
        <f aca="false">IF(AO5="","",ROUND(AO5/(1+Справочники!$B$13),2))</f>
        <v>295</v>
      </c>
      <c r="AQ5" s="90" t="n">
        <f aca="false" t="array" ref="AQ5:AQ5">IF(AP5="","",AP5*INDEX(Справочники!$B$4:$B$7,MATCH("RUB",Справочники!$A$4:$A$7,0)))</f>
        <v>1563.5</v>
      </c>
      <c r="AR5" s="90" t="n">
        <f aca="false">IF(AQ5="","",ROUND(AQ5*(1+Справочники!$B$12),0))</f>
        <v>1814</v>
      </c>
      <c r="AS5" s="90" t="n">
        <f aca="false">IF(AR5="","",ROUND(AR5*(1-Справочники!$B$11),0))</f>
        <v>1669</v>
      </c>
      <c r="AT5" s="93" t="n">
        <f aca="false">IF(BH5="","",IF(AS5="",ROUNDUP(BH5/(1-Справочники!$B$23)*(1+Справочники!$B$12),-1),MAX(AS5,ROUNDUP(BH5/(1-Справочники!$B$24)*(1+Справочники!$B$12),-1))))</f>
        <v>1669</v>
      </c>
      <c r="AU5" s="90" t="n">
        <f aca="false">IF(AT5="","",ROUND(AT5/(1+Справочники!$B$12),0))</f>
        <v>1439</v>
      </c>
      <c r="AV5" s="90" t="n">
        <f aca="false">IF(AT5="","",ROUND(AT5*(1-Справочники!$B$15),0))</f>
        <v>1619</v>
      </c>
      <c r="AW5" s="90" t="n">
        <f aca="false">IF(AT5="","",ROUND(AT5*(1-Справочники!$B$16),0))</f>
        <v>1569</v>
      </c>
      <c r="AX5" s="90" t="n">
        <f aca="false">IF(AT5="","",ROUND(AT5*(1-Справочники!$B$17),0))</f>
        <v>1519</v>
      </c>
      <c r="AY5" s="90" t="n">
        <f aca="false">IF(AT5="","",ROUND(AT5*(1-Справочники!$B$18),0))</f>
        <v>1469</v>
      </c>
      <c r="AZ5" s="90" t="n">
        <f aca="false">IF(AT5="","",ROUND(AT5*(1-Справочники!$B$19),0))</f>
        <v>1419</v>
      </c>
      <c r="BA5" s="81"/>
      <c r="BB5" s="81" t="s">
        <v>147</v>
      </c>
      <c r="BC5" s="81" t="s">
        <v>264</v>
      </c>
      <c r="BD5" s="81"/>
      <c r="BE5" s="91" t="n">
        <v>4.1</v>
      </c>
      <c r="BF5" s="81" t="s">
        <v>103</v>
      </c>
      <c r="BG5" s="89" t="n">
        <f aca="false" t="array" ref="BG5:BG5">IF(BF5="","",IFERROR(INDEX(Справочники!$B$4:$B$7,MATCH(BF5,Справочники!$A$4:$A$7,0)),""))</f>
        <v>68.5</v>
      </c>
      <c r="BH5" s="90" t="n">
        <f aca="false">IF(N(BN5)&gt;0,ROUND(SUMIF(ЗАКАЗЫ!$F$3:$F$500,$A5,ЗАКАЗЫ!$Y$3:$Y$500)/BN5,0),IF(OR(BE5="",BG5=""),"",ROUND(BE5*BG5*(1+Справочники!$B$10),0)))</f>
        <v>361</v>
      </c>
      <c r="BI5" s="92" t="n">
        <f aca="false">IF(OR(AU5="",BH5="",AU5=0),"",(AU5-BH5)/AU5)</f>
        <v>0.749131341209173</v>
      </c>
      <c r="BJ5" s="81" t="n">
        <v>12</v>
      </c>
      <c r="BK5" s="83" t="s">
        <v>475</v>
      </c>
      <c r="BL5" s="43" t="str">
        <f aca="false">IFERROR(INDEX(ЗАКАЗЫ!$N$3:$N$500,MATCH($A5,ЗАКАЗЫ!$F$3:$F$500,0)),"")</f>
        <v>5607 49 190 0</v>
      </c>
      <c r="BM5" s="8" t="n">
        <f aca="false">IF(BL5="","",IFERROR(VLOOKUP(BL5,'ТН ВЭД'!$A$4:$C$40,3,0),""))</f>
        <v>0.1</v>
      </c>
      <c r="BN5" s="7" t="n">
        <f aca="false">IF(COUNTIF(ЗАКАЗЫ!$F$3:$F$500,$A5)=0,"",SUMIF(ЗАКАЗЫ!$F$3:$F$500,$A5,ЗАКАЗЫ!$J$3:$J$500))</f>
        <v>6000</v>
      </c>
      <c r="BO5" s="7" t="n">
        <f aca="false">IF(BN5="","",SUMIF(ЗАКАЗЫ!$F$3:$F$500,$A5,ЗАКАЗЫ!$AL$3:$AL$500))</f>
        <v>0</v>
      </c>
      <c r="BP5" s="7" t="n">
        <f aca="false">IF(BN5="","",BN5-BO5)</f>
        <v>6000</v>
      </c>
      <c r="BQ5" s="55" t="str">
        <f aca="false">IF(BN5="","",IF(BO5&gt;=BN5,"На складе",IF(BO5&gt;0,"Частично","Ждём")))</f>
        <v>Ждём</v>
      </c>
      <c r="BR5" s="43" t="s">
        <v>476</v>
      </c>
      <c r="BS5" s="47" t="n">
        <f aca="false">IF(BN5="","",IF(_xlfn.MAXIFS(ЗАКАЗЫ!$AK$3:$AK$500,ЗАКАЗЫ!$F$3:$F$500,$A5)=0,"",_xlfn.MAXIFS(ЗАКАЗЫ!$AK$3:$AK$500,ЗАКАЗЫ!$F$3:$F$500,$A5)))</f>
        <v>46346</v>
      </c>
    </row>
    <row r="6" customFormat="false" ht="79.5" hidden="false" customHeight="true" outlineLevel="0" collapsed="false">
      <c r="A6" s="80" t="s">
        <v>348</v>
      </c>
      <c r="B6" s="81"/>
      <c r="C6" s="82"/>
      <c r="D6" s="81"/>
      <c r="E6" s="83" t="s">
        <v>477</v>
      </c>
      <c r="F6" s="81"/>
      <c r="G6" s="83"/>
      <c r="H6" s="83" t="s">
        <v>478</v>
      </c>
      <c r="I6" s="84" t="str">
        <f aca="false">IF(E6="","",A6&amp;"_1.jpg")</f>
        <v>AKO-KN-004_1.jpg</v>
      </c>
      <c r="J6" s="84" t="str">
        <f aca="false">IF(E6="","",A6&amp;"_2.jpg; "&amp;A6&amp;"_3.jpg")</f>
        <v>AKO-KN-004_2.jpg; AKO-KN-004_3.jpg</v>
      </c>
      <c r="K6" s="84" t="str">
        <f aca="false">IF(E6="","",A6&amp;"_schema.jpg")</f>
        <v>AKO-KN-004_schema.jpg</v>
      </c>
      <c r="L6" s="81"/>
      <c r="M6" s="81"/>
      <c r="N6" s="81" t="s">
        <v>465</v>
      </c>
      <c r="O6" s="81" t="n">
        <v>19</v>
      </c>
      <c r="P6" s="81" t="n">
        <v>3</v>
      </c>
      <c r="Q6" s="81"/>
      <c r="R6" s="81"/>
      <c r="S6" s="81"/>
      <c r="T6" s="81"/>
      <c r="U6" s="81"/>
      <c r="V6" s="81" t="s">
        <v>261</v>
      </c>
      <c r="W6" s="81"/>
      <c r="X6" s="81" t="s">
        <v>479</v>
      </c>
      <c r="Y6" s="85"/>
      <c r="Z6" s="85"/>
      <c r="AA6" s="85" t="n">
        <v>2000</v>
      </c>
      <c r="AB6" s="85" t="n">
        <v>2000</v>
      </c>
      <c r="AC6" s="85"/>
      <c r="AD6" s="85"/>
      <c r="AE6" s="85"/>
      <c r="AF6" s="85"/>
      <c r="AG6" s="85"/>
      <c r="AH6" s="85"/>
      <c r="AI6" s="85"/>
      <c r="AJ6" s="85"/>
      <c r="AK6" s="86" t="n">
        <f aca="false">IF(SUM(Y6:AJ6)=0,"",SUM(Y6:AJ6))</f>
        <v>4000</v>
      </c>
      <c r="AL6" s="84" t="str">
        <f aca="false">MID(IF(N(Y6)&gt;0,", "&amp;Y$2,"")&amp;IF(N(Z6)&gt;0,", "&amp;Z$2,"")&amp;IF(N(AA6)&gt;0,", "&amp;AA$2,"")&amp;IF(N(AB6)&gt;0,", "&amp;AB$2,"")&amp;IF(N(AC6)&gt;0,", "&amp;AC$2,"")&amp;IF(N(AD6)&gt;0,", "&amp;AD$2,"")&amp;IF(N(AE6)&gt;0,", "&amp;AE$2,"")&amp;IF(N(AF6)&gt;0,", "&amp;AF$2,"")&amp;IF(N(AG6)&gt;0,", "&amp;AG$2,"")&amp;IF(N(AH6)&gt;0,", "&amp;AH$2,"")&amp;IF(N(AI6)&gt;0,", "&amp;AI$2,"")&amp;IF(N(AJ6)&gt;0,", "&amp;AJ$2,""),3,999)</f>
        <v>RED, BLUE</v>
      </c>
      <c r="AM6" s="87" t="str">
        <f aca="false">IF(E6="","",MID(IF(N(Y6)&gt;0,", "&amp;A6&amp;"-"&amp;Y$2,"")&amp;IF(N(Z6)&gt;0,", "&amp;A6&amp;"-"&amp;Z$2,"")&amp;IF(N(AA6)&gt;0,", "&amp;A6&amp;"-"&amp;AA$2,"")&amp;IF(N(AB6)&gt;0,", "&amp;A6&amp;"-"&amp;AB$2,"")&amp;IF(N(AC6)&gt;0,", "&amp;A6&amp;"-"&amp;AC$2,"")&amp;IF(N(AD6)&gt;0,", "&amp;A6&amp;"-"&amp;AD$2,"")&amp;IF(N(AE6)&gt;0,", "&amp;A6&amp;"-"&amp;AE$2,"")&amp;IF(N(AF6)&gt;0,", "&amp;A6&amp;"-"&amp;AF$2,"")&amp;IF(N(AG6)&gt;0,", "&amp;A6&amp;"-"&amp;AG$2,"")&amp;IF(N(AH6)&gt;0,", "&amp;A6&amp;"-"&amp;AH$2,"")&amp;IF(N(AI6)&gt;0,", "&amp;A6&amp;"-"&amp;AI$2,"")&amp;IF(N(AJ6)&gt;0,", "&amp;A6&amp;"-"&amp;AJ$2,""),3,999))</f>
        <v>AKO-KN-004-RED, AKO-KN-004-BLUE</v>
      </c>
      <c r="AN6" s="81" t="n">
        <v>1</v>
      </c>
      <c r="AO6" s="88" t="n">
        <v>225</v>
      </c>
      <c r="AP6" s="89" t="n">
        <f aca="false">IF(AO6="","",ROUND(AO6/(1+Справочники!$B$13),2))</f>
        <v>225</v>
      </c>
      <c r="AQ6" s="90" t="n">
        <f aca="false" t="array" ref="AQ6:AQ6">IF(AP6="","",AP6*INDEX(Справочники!$B$4:$B$7,MATCH("RUB",Справочники!$A$4:$A$7,0)))</f>
        <v>1192.5</v>
      </c>
      <c r="AR6" s="90" t="n">
        <f aca="false">IF(AQ6="","",ROUND(AQ6*(1+Справочники!$B$12),0))</f>
        <v>1383</v>
      </c>
      <c r="AS6" s="90" t="n">
        <f aca="false">IF(AR6="","",ROUND(AR6*(1-Справочники!$B$11),0))</f>
        <v>1272</v>
      </c>
      <c r="AT6" s="93" t="n">
        <f aca="false">IF(BH6="","",IF(AS6="",ROUNDUP(BH6/(1-Справочники!$B$23)*(1+Справочники!$B$12),-1),MAX(AS6,ROUNDUP(BH6/(1-Справочники!$B$24)*(1+Справочники!$B$12),-1))))</f>
        <v>1272</v>
      </c>
      <c r="AU6" s="90" t="n">
        <f aca="false">IF(AT6="","",ROUND(AT6/(1+Справочники!$B$12),0))</f>
        <v>1097</v>
      </c>
      <c r="AV6" s="90" t="n">
        <f aca="false">IF(AT6="","",ROUND(AT6*(1-Справочники!$B$15),0))</f>
        <v>1234</v>
      </c>
      <c r="AW6" s="90" t="n">
        <f aca="false">IF(AT6="","",ROUND(AT6*(1-Справочники!$B$16),0))</f>
        <v>1196</v>
      </c>
      <c r="AX6" s="90" t="n">
        <f aca="false">IF(AT6="","",ROUND(AT6*(1-Справочники!$B$17),0))</f>
        <v>1158</v>
      </c>
      <c r="AY6" s="90" t="n">
        <f aca="false">IF(AT6="","",ROUND(AT6*(1-Справочники!$B$18),0))</f>
        <v>1119</v>
      </c>
      <c r="AZ6" s="90" t="n">
        <f aca="false">IF(AT6="","",ROUND(AT6*(1-Справочники!$B$19),0))</f>
        <v>1081</v>
      </c>
      <c r="BA6" s="81"/>
      <c r="BB6" s="81" t="s">
        <v>100</v>
      </c>
      <c r="BC6" s="81" t="s">
        <v>349</v>
      </c>
      <c r="BD6" s="81"/>
      <c r="BE6" s="91" t="n">
        <v>3.78</v>
      </c>
      <c r="BF6" s="81" t="s">
        <v>103</v>
      </c>
      <c r="BG6" s="89" t="n">
        <f aca="false" t="array" ref="BG6:BG6">IF(BF6="","",IFERROR(INDEX(Справочники!$B$4:$B$7,MATCH(BF6,Справочники!$A$4:$A$7,0)),""))</f>
        <v>68.5</v>
      </c>
      <c r="BH6" s="90" t="n">
        <f aca="false">IF(N(BN6)&gt;0,ROUND(SUMIF(ЗАКАЗЫ!$F$3:$F$500,$A6,ЗАКАЗЫ!$Y$3:$Y$500)/BN6,0),IF(OR(BE6="",BG6=""),"",ROUND(BE6*BG6*(1+Справочники!$B$10),0)))</f>
        <v>324</v>
      </c>
      <c r="BI6" s="92" t="n">
        <f aca="false">IF(OR(AU6="",BH6="",AU6=0),"",(AU6-BH6)/AU6)</f>
        <v>0.70464904284412</v>
      </c>
      <c r="BJ6" s="81"/>
      <c r="BK6" s="83"/>
      <c r="BL6" s="43" t="str">
        <f aca="false">IFERROR(INDEX(ЗАКАЗЫ!$N$3:$N$500,MATCH($A6,ЗАКАЗЫ!$F$3:$F$500,0)),"")</f>
        <v>5607 49 190 0</v>
      </c>
      <c r="BM6" s="8" t="n">
        <f aca="false">IF(BL6="","",IFERROR(VLOOKUP(BL6,'ТН ВЭД'!$A$4:$C$40,3,0),""))</f>
        <v>0.1</v>
      </c>
      <c r="BN6" s="7" t="n">
        <f aca="false">IF(COUNTIF(ЗАКАЗЫ!$F$3:$F$500,$A6)=0,"",SUMIF(ЗАКАЗЫ!$F$3:$F$500,$A6,ЗАКАЗЫ!$J$3:$J$500))</f>
        <v>4000</v>
      </c>
      <c r="BO6" s="7" t="n">
        <f aca="false">IF(BN6="","",SUMIF(ЗАКАЗЫ!$F$3:$F$500,$A6,ЗАКАЗЫ!$AL$3:$AL$500))</f>
        <v>0</v>
      </c>
      <c r="BP6" s="7" t="n">
        <f aca="false">IF(BN6="","",BN6-BO6)</f>
        <v>4000</v>
      </c>
      <c r="BQ6" s="55" t="str">
        <f aca="false">IF(BN6="","",IF(BO6&gt;=BN6,"На складе",IF(BO6&gt;0,"Частично","Ждём")))</f>
        <v>Ждём</v>
      </c>
      <c r="BR6" s="43" t="s">
        <v>480</v>
      </c>
      <c r="BS6" s="47" t="str">
        <f aca="false">IF(BN6="","",IF(_xlfn.MAXIFS(ЗАКАЗЫ!$AK$3:$AK$500,ЗАКАЗЫ!$F$3:$F$500,$A6)=0,"",_xlfn.MAXIFS(ЗАКАЗЫ!$AK$3:$AK$500,ЗАКАЗЫ!$F$3:$F$500,$A6)))</f>
        <v/>
      </c>
    </row>
    <row r="7" customFormat="false" ht="15.75" hidden="false" customHeight="true" outlineLevel="0" collapsed="false">
      <c r="A7" s="80" t="s">
        <v>481</v>
      </c>
      <c r="B7" s="81"/>
      <c r="C7" s="82"/>
      <c r="D7" s="81"/>
      <c r="E7" s="83"/>
      <c r="F7" s="81"/>
      <c r="G7" s="83"/>
      <c r="H7" s="83"/>
      <c r="I7" s="84" t="str">
        <f aca="false">IF(E7="","",A7&amp;"_1.jpg")</f>
        <v/>
      </c>
      <c r="J7" s="84" t="str">
        <f aca="false">IF(E7="","",A7&amp;"_2.jpg; "&amp;A7&amp;"_3.jpg")</f>
        <v/>
      </c>
      <c r="K7" s="84" t="str">
        <f aca="false">IF(E7="","",A7&amp;"_schema.jpg")</f>
        <v/>
      </c>
      <c r="L7" s="81"/>
      <c r="M7" s="81"/>
      <c r="N7" s="81"/>
      <c r="O7" s="81"/>
      <c r="P7" s="81"/>
      <c r="Q7" s="81"/>
      <c r="R7" s="81"/>
      <c r="S7" s="81"/>
      <c r="T7" s="81"/>
      <c r="U7" s="81"/>
      <c r="V7" s="81" t="s">
        <v>261</v>
      </c>
      <c r="W7" s="81"/>
      <c r="X7" s="81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6" t="str">
        <f aca="false">IF(SUM(Y7:AJ7)=0,"",SUM(Y7:AJ7))</f>
        <v/>
      </c>
      <c r="AL7" s="84" t="str">
        <f aca="false">MID(IF(N(Y7)&gt;0,", "&amp;Y$2,"")&amp;IF(N(Z7)&gt;0,", "&amp;Z$2,"")&amp;IF(N(AA7)&gt;0,", "&amp;AA$2,"")&amp;IF(N(AB7)&gt;0,", "&amp;AB$2,"")&amp;IF(N(AC7)&gt;0,", "&amp;AC$2,"")&amp;IF(N(AD7)&gt;0,", "&amp;AD$2,"")&amp;IF(N(AE7)&gt;0,", "&amp;AE$2,"")&amp;IF(N(AF7)&gt;0,", "&amp;AF$2,"")&amp;IF(N(AG7)&gt;0,", "&amp;AG$2,"")&amp;IF(N(AH7)&gt;0,", "&amp;AH$2,"")&amp;IF(N(AI7)&gt;0,", "&amp;AI$2,"")&amp;IF(N(AJ7)&gt;0,", "&amp;AJ$2,""),3,999)</f>
        <v/>
      </c>
      <c r="AM7" s="87" t="str">
        <f aca="false">IF(E7="","",MID(IF(N(Y7)&gt;0,", "&amp;A7&amp;"-"&amp;Y$2,"")&amp;IF(N(Z7)&gt;0,", "&amp;A7&amp;"-"&amp;Z$2,"")&amp;IF(N(AA7)&gt;0,", "&amp;A7&amp;"-"&amp;AA$2,"")&amp;IF(N(AB7)&gt;0,", "&amp;A7&amp;"-"&amp;AB$2,"")&amp;IF(N(AC7)&gt;0,", "&amp;A7&amp;"-"&amp;AC$2,"")&amp;IF(N(AD7)&gt;0,", "&amp;A7&amp;"-"&amp;AD$2,"")&amp;IF(N(AE7)&gt;0,", "&amp;A7&amp;"-"&amp;AE$2,"")&amp;IF(N(AF7)&gt;0,", "&amp;A7&amp;"-"&amp;AF$2,"")&amp;IF(N(AG7)&gt;0,", "&amp;A7&amp;"-"&amp;AG$2,"")&amp;IF(N(AH7)&gt;0,", "&amp;A7&amp;"-"&amp;AH$2,"")&amp;IF(N(AI7)&gt;0,", "&amp;A7&amp;"-"&amp;AI$2,"")&amp;IF(N(AJ7)&gt;0,", "&amp;A7&amp;"-"&amp;AJ$2,""),3,999))</f>
        <v/>
      </c>
      <c r="AN7" s="81"/>
      <c r="AO7" s="88"/>
      <c r="AP7" s="89" t="str">
        <f aca="false">IF(AO7="","",ROUND(AO7/(1+Справочники!$B$13),2))</f>
        <v/>
      </c>
      <c r="AQ7" s="90" t="str">
        <f aca="false" t="array" ref="AQ7:AQ7">IF(AP7="","",AP7*INDEX(Справочники!$B$4:$B$7,MATCH("RUB",Справочники!$A$4:$A$7,0)))</f>
        <v/>
      </c>
      <c r="AR7" s="90" t="str">
        <f aca="false">IF(AQ7="","",ROUND(AQ7*(1+Справочники!$B$12),0))</f>
        <v/>
      </c>
      <c r="AS7" s="90" t="str">
        <f aca="false">IF(AR7="","",ROUND(AR7*(1-Справочники!$B$11),0))</f>
        <v/>
      </c>
      <c r="AT7" s="88"/>
      <c r="AU7" s="90" t="str">
        <f aca="false">IF(AT7="","",ROUND(AT7/(1+Справочники!$B$12),0))</f>
        <v/>
      </c>
      <c r="AV7" s="90" t="str">
        <f aca="false">IF(AT7="","",ROUND(AT7*(1-Справочники!$B$15),0))</f>
        <v/>
      </c>
      <c r="AW7" s="90" t="str">
        <f aca="false">IF(AT7="","",ROUND(AT7*(1-Справочники!$B$16),0))</f>
        <v/>
      </c>
      <c r="AX7" s="90" t="str">
        <f aca="false">IF(AT7="","",ROUND(AT7*(1-Справочники!$B$17),0))</f>
        <v/>
      </c>
      <c r="AY7" s="90" t="str">
        <f aca="false">IF(AT7="","",ROUND(AT7*(1-Справочники!$B$18),0))</f>
        <v/>
      </c>
      <c r="AZ7" s="90" t="str">
        <f aca="false">IF(AT7="","",ROUND(AT7*(1-Справочники!$B$19),0))</f>
        <v/>
      </c>
      <c r="BA7" s="81"/>
      <c r="BB7" s="81"/>
      <c r="BC7" s="81"/>
      <c r="BD7" s="81"/>
      <c r="BE7" s="91"/>
      <c r="BF7" s="81" t="s">
        <v>103</v>
      </c>
      <c r="BG7" s="89" t="n">
        <f aca="false" t="array" ref="BG7:BG7">IF(BF7="","",IFERROR(INDEX(Справочники!$B$4:$B$7,MATCH(BF7,Справочники!$A$4:$A$7,0)),""))</f>
        <v>68.5</v>
      </c>
      <c r="BH7" s="90" t="str">
        <f aca="false">IF(N(BN7)&gt;0,ROUND(SUMIF(ЗАКАЗЫ!$F$3:$F$500,$A7,ЗАКАЗЫ!$Y$3:$Y$500)/BN7,0),IF(OR(BE7="",BG7=""),"",ROUND(BE7*BG7*(1+Справочники!$B$10),0)))</f>
        <v/>
      </c>
      <c r="BI7" s="92" t="str">
        <f aca="false">IF(OR(AU7="",BH7="",AU7=0),"",(AU7-BH7)/AU7)</f>
        <v/>
      </c>
      <c r="BJ7" s="81"/>
      <c r="BK7" s="83"/>
      <c r="BL7" s="43" t="str">
        <f aca="false">IFERROR(INDEX(ЗАКАЗЫ!$N$3:$N$500,MATCH($A7,ЗАКАЗЫ!$F$3:$F$500,0)),"")</f>
        <v/>
      </c>
      <c r="BM7" s="8" t="str">
        <f aca="false">IF(BL7="","",IFERROR(VLOOKUP(BL7,'ТН ВЭД'!$A$4:$C$40,3,0),""))</f>
        <v/>
      </c>
      <c r="BN7" s="7" t="str">
        <f aca="false">IF(COUNTIF(ЗАКАЗЫ!$F$3:$F$500,$A7)=0,"",SUMIF(ЗАКАЗЫ!$F$3:$F$500,$A7,ЗАКАЗЫ!$J$3:$J$500))</f>
        <v/>
      </c>
      <c r="BO7" s="7" t="str">
        <f aca="false">IF(BN7="","",SUMIF(ЗАКАЗЫ!$F$3:$F$500,$A7,ЗАКАЗЫ!$AL$3:$AL$500))</f>
        <v/>
      </c>
      <c r="BP7" s="7" t="str">
        <f aca="false">IF(BN7="","",BN7-BO7)</f>
        <v/>
      </c>
      <c r="BQ7" s="55" t="str">
        <f aca="false">IF(BN7="","",IF(BO7&gt;=BN7,"На складе",IF(BO7&gt;0,"Частично","Ждём")))</f>
        <v/>
      </c>
      <c r="BR7" s="43"/>
      <c r="BS7" s="47" t="str">
        <f aca="false">IF(BN7="","",IF(_xlfn.MAXIFS(ЗАКАЗЫ!$AK$3:$AK$500,ЗАКАЗЫ!$F$3:$F$500,$A7)=0,"",_xlfn.MAXIFS(ЗАКАЗЫ!$AK$3:$AK$500,ЗАКАЗЫ!$F$3:$F$500,$A7)))</f>
        <v/>
      </c>
    </row>
    <row r="8" customFormat="false" ht="15.75" hidden="false" customHeight="true" outlineLevel="0" collapsed="false">
      <c r="A8" s="80" t="s">
        <v>482</v>
      </c>
      <c r="B8" s="81"/>
      <c r="C8" s="82"/>
      <c r="D8" s="81"/>
      <c r="E8" s="83"/>
      <c r="F8" s="81"/>
      <c r="G8" s="83"/>
      <c r="H8" s="83"/>
      <c r="I8" s="84" t="str">
        <f aca="false">IF(E8="","",A8&amp;"_1.jpg")</f>
        <v/>
      </c>
      <c r="J8" s="84" t="str">
        <f aca="false">IF(E8="","",A8&amp;"_2.jpg; "&amp;A8&amp;"_3.jpg")</f>
        <v/>
      </c>
      <c r="K8" s="84" t="str">
        <f aca="false">IF(E8="","",A8&amp;"_schema.jpg")</f>
        <v/>
      </c>
      <c r="L8" s="81"/>
      <c r="M8" s="81"/>
      <c r="N8" s="81"/>
      <c r="O8" s="81"/>
      <c r="P8" s="81"/>
      <c r="Q8" s="81"/>
      <c r="R8" s="81"/>
      <c r="S8" s="81"/>
      <c r="T8" s="81"/>
      <c r="U8" s="81"/>
      <c r="V8" s="81" t="s">
        <v>261</v>
      </c>
      <c r="W8" s="81"/>
      <c r="X8" s="81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6" t="str">
        <f aca="false">IF(SUM(Y8:AJ8)=0,"",SUM(Y8:AJ8))</f>
        <v/>
      </c>
      <c r="AL8" s="84" t="str">
        <f aca="false">MID(IF(N(Y8)&gt;0,", "&amp;Y$2,"")&amp;IF(N(Z8)&gt;0,", "&amp;Z$2,"")&amp;IF(N(AA8)&gt;0,", "&amp;AA$2,"")&amp;IF(N(AB8)&gt;0,", "&amp;AB$2,"")&amp;IF(N(AC8)&gt;0,", "&amp;AC$2,"")&amp;IF(N(AD8)&gt;0,", "&amp;AD$2,"")&amp;IF(N(AE8)&gt;0,", "&amp;AE$2,"")&amp;IF(N(AF8)&gt;0,", "&amp;AF$2,"")&amp;IF(N(AG8)&gt;0,", "&amp;AG$2,"")&amp;IF(N(AH8)&gt;0,", "&amp;AH$2,"")&amp;IF(N(AI8)&gt;0,", "&amp;AI$2,"")&amp;IF(N(AJ8)&gt;0,", "&amp;AJ$2,""),3,999)</f>
        <v/>
      </c>
      <c r="AM8" s="87" t="str">
        <f aca="false">IF(E8="","",MID(IF(N(Y8)&gt;0,", "&amp;A8&amp;"-"&amp;Y$2,"")&amp;IF(N(Z8)&gt;0,", "&amp;A8&amp;"-"&amp;Z$2,"")&amp;IF(N(AA8)&gt;0,", "&amp;A8&amp;"-"&amp;AA$2,"")&amp;IF(N(AB8)&gt;0,", "&amp;A8&amp;"-"&amp;AB$2,"")&amp;IF(N(AC8)&gt;0,", "&amp;A8&amp;"-"&amp;AC$2,"")&amp;IF(N(AD8)&gt;0,", "&amp;A8&amp;"-"&amp;AD$2,"")&amp;IF(N(AE8)&gt;0,", "&amp;A8&amp;"-"&amp;AE$2,"")&amp;IF(N(AF8)&gt;0,", "&amp;A8&amp;"-"&amp;AF$2,"")&amp;IF(N(AG8)&gt;0,", "&amp;A8&amp;"-"&amp;AG$2,"")&amp;IF(N(AH8)&gt;0,", "&amp;A8&amp;"-"&amp;AH$2,"")&amp;IF(N(AI8)&gt;0,", "&amp;A8&amp;"-"&amp;AI$2,"")&amp;IF(N(AJ8)&gt;0,", "&amp;A8&amp;"-"&amp;AJ$2,""),3,999))</f>
        <v/>
      </c>
      <c r="AN8" s="81"/>
      <c r="AO8" s="88"/>
      <c r="AP8" s="89" t="str">
        <f aca="false">IF(AO8="","",ROUND(AO8/(1+Справочники!$B$13),2))</f>
        <v/>
      </c>
      <c r="AQ8" s="90" t="str">
        <f aca="false" t="array" ref="AQ8:AQ8">IF(AP8="","",AP8*INDEX(Справочники!$B$4:$B$7,MATCH("RUB",Справочники!$A$4:$A$7,0)))</f>
        <v/>
      </c>
      <c r="AR8" s="90" t="str">
        <f aca="false">IF(AQ8="","",ROUND(AQ8*(1+Справочники!$B$12),0))</f>
        <v/>
      </c>
      <c r="AS8" s="90" t="str">
        <f aca="false">IF(AR8="","",ROUND(AR8*(1-Справочники!$B$11),0))</f>
        <v/>
      </c>
      <c r="AT8" s="88"/>
      <c r="AU8" s="90" t="str">
        <f aca="false">IF(AT8="","",ROUND(AT8/(1+Справочники!$B$12),0))</f>
        <v/>
      </c>
      <c r="AV8" s="90" t="str">
        <f aca="false">IF(AT8="","",ROUND(AT8*(1-Справочники!$B$15),0))</f>
        <v/>
      </c>
      <c r="AW8" s="90" t="str">
        <f aca="false">IF(AT8="","",ROUND(AT8*(1-Справочники!$B$16),0))</f>
        <v/>
      </c>
      <c r="AX8" s="90" t="str">
        <f aca="false">IF(AT8="","",ROUND(AT8*(1-Справочники!$B$17),0))</f>
        <v/>
      </c>
      <c r="AY8" s="90" t="str">
        <f aca="false">IF(AT8="","",ROUND(AT8*(1-Справочники!$B$18),0))</f>
        <v/>
      </c>
      <c r="AZ8" s="90" t="str">
        <f aca="false">IF(AT8="","",ROUND(AT8*(1-Справочники!$B$19),0))</f>
        <v/>
      </c>
      <c r="BA8" s="81"/>
      <c r="BB8" s="81"/>
      <c r="BC8" s="81"/>
      <c r="BD8" s="81"/>
      <c r="BE8" s="91"/>
      <c r="BF8" s="81" t="s">
        <v>103</v>
      </c>
      <c r="BG8" s="89" t="n">
        <f aca="false" t="array" ref="BG8:BG8">IF(BF8="","",IFERROR(INDEX(Справочники!$B$4:$B$7,MATCH(BF8,Справочники!$A$4:$A$7,0)),""))</f>
        <v>68.5</v>
      </c>
      <c r="BH8" s="90" t="str">
        <f aca="false">IF(N(BN8)&gt;0,ROUND(SUMIF(ЗАКАЗЫ!$F$3:$F$500,$A8,ЗАКАЗЫ!$Y$3:$Y$500)/BN8,0),IF(OR(BE8="",BG8=""),"",ROUND(BE8*BG8*(1+Справочники!$B$10),0)))</f>
        <v/>
      </c>
      <c r="BI8" s="92" t="str">
        <f aca="false">IF(OR(AU8="",BH8="",AU8=0),"",(AU8-BH8)/AU8)</f>
        <v/>
      </c>
      <c r="BJ8" s="81"/>
      <c r="BK8" s="83"/>
      <c r="BL8" s="43" t="str">
        <f aca="false">IFERROR(INDEX(ЗАКАЗЫ!$N$3:$N$500,MATCH($A8,ЗАКАЗЫ!$F$3:$F$500,0)),"")</f>
        <v/>
      </c>
      <c r="BM8" s="8" t="str">
        <f aca="false">IF(BL8="","",IFERROR(VLOOKUP(BL8,'ТН ВЭД'!$A$4:$C$40,3,0),""))</f>
        <v/>
      </c>
      <c r="BN8" s="7" t="str">
        <f aca="false">IF(COUNTIF(ЗАКАЗЫ!$F$3:$F$500,$A8)=0,"",SUMIF(ЗАКАЗЫ!$F$3:$F$500,$A8,ЗАКАЗЫ!$J$3:$J$500))</f>
        <v/>
      </c>
      <c r="BO8" s="7" t="str">
        <f aca="false">IF(BN8="","",SUMIF(ЗАКАЗЫ!$F$3:$F$500,$A8,ЗАКАЗЫ!$AL$3:$AL$500))</f>
        <v/>
      </c>
      <c r="BP8" s="7" t="str">
        <f aca="false">IF(BN8="","",BN8-BO8)</f>
        <v/>
      </c>
      <c r="BQ8" s="55" t="str">
        <f aca="false">IF(BN8="","",IF(BO8&gt;=BN8,"На складе",IF(BO8&gt;0,"Частично","Ждём")))</f>
        <v/>
      </c>
      <c r="BR8" s="43"/>
      <c r="BS8" s="47" t="str">
        <f aca="false">IF(BN8="","",IF(_xlfn.MAXIFS(ЗАКАЗЫ!$AK$3:$AK$500,ЗАКАЗЫ!$F$3:$F$500,$A8)=0,"",_xlfn.MAXIFS(ЗАКАЗЫ!$AK$3:$AK$500,ЗАКАЗЫ!$F$3:$F$500,$A8)))</f>
        <v/>
      </c>
    </row>
    <row r="9" customFormat="false" ht="15.75" hidden="false" customHeight="true" outlineLevel="0" collapsed="false">
      <c r="A9" s="80" t="s">
        <v>483</v>
      </c>
      <c r="B9" s="81"/>
      <c r="C9" s="82"/>
      <c r="D9" s="81"/>
      <c r="E9" s="83"/>
      <c r="F9" s="81"/>
      <c r="G9" s="83"/>
      <c r="H9" s="83"/>
      <c r="I9" s="84" t="str">
        <f aca="false">IF(E9="","",A9&amp;"_1.jpg")</f>
        <v/>
      </c>
      <c r="J9" s="84" t="str">
        <f aca="false">IF(E9="","",A9&amp;"_2.jpg; "&amp;A9&amp;"_3.jpg")</f>
        <v/>
      </c>
      <c r="K9" s="84" t="str">
        <f aca="false">IF(E9="","",A9&amp;"_schema.jpg")</f>
        <v/>
      </c>
      <c r="L9" s="81"/>
      <c r="M9" s="81"/>
      <c r="N9" s="81"/>
      <c r="O9" s="81"/>
      <c r="P9" s="81"/>
      <c r="Q9" s="81"/>
      <c r="R9" s="81"/>
      <c r="S9" s="81"/>
      <c r="T9" s="81"/>
      <c r="U9" s="81"/>
      <c r="V9" s="81" t="s">
        <v>261</v>
      </c>
      <c r="W9" s="81"/>
      <c r="X9" s="81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6" t="str">
        <f aca="false">IF(SUM(Y9:AJ9)=0,"",SUM(Y9:AJ9))</f>
        <v/>
      </c>
      <c r="AL9" s="84" t="str">
        <f aca="false">MID(IF(N(Y9)&gt;0,", "&amp;Y$2,"")&amp;IF(N(Z9)&gt;0,", "&amp;Z$2,"")&amp;IF(N(AA9)&gt;0,", "&amp;AA$2,"")&amp;IF(N(AB9)&gt;0,", "&amp;AB$2,"")&amp;IF(N(AC9)&gt;0,", "&amp;AC$2,"")&amp;IF(N(AD9)&gt;0,", "&amp;AD$2,"")&amp;IF(N(AE9)&gt;0,", "&amp;AE$2,"")&amp;IF(N(AF9)&gt;0,", "&amp;AF$2,"")&amp;IF(N(AG9)&gt;0,", "&amp;AG$2,"")&amp;IF(N(AH9)&gt;0,", "&amp;AH$2,"")&amp;IF(N(AI9)&gt;0,", "&amp;AI$2,"")&amp;IF(N(AJ9)&gt;0,", "&amp;AJ$2,""),3,999)</f>
        <v/>
      </c>
      <c r="AM9" s="87" t="str">
        <f aca="false">IF(E9="","",MID(IF(N(Y9)&gt;0,", "&amp;A9&amp;"-"&amp;Y$2,"")&amp;IF(N(Z9)&gt;0,", "&amp;A9&amp;"-"&amp;Z$2,"")&amp;IF(N(AA9)&gt;0,", "&amp;A9&amp;"-"&amp;AA$2,"")&amp;IF(N(AB9)&gt;0,", "&amp;A9&amp;"-"&amp;AB$2,"")&amp;IF(N(AC9)&gt;0,", "&amp;A9&amp;"-"&amp;AC$2,"")&amp;IF(N(AD9)&gt;0,", "&amp;A9&amp;"-"&amp;AD$2,"")&amp;IF(N(AE9)&gt;0,", "&amp;A9&amp;"-"&amp;AE$2,"")&amp;IF(N(AF9)&gt;0,", "&amp;A9&amp;"-"&amp;AF$2,"")&amp;IF(N(AG9)&gt;0,", "&amp;A9&amp;"-"&amp;AG$2,"")&amp;IF(N(AH9)&gt;0,", "&amp;A9&amp;"-"&amp;AH$2,"")&amp;IF(N(AI9)&gt;0,", "&amp;A9&amp;"-"&amp;AI$2,"")&amp;IF(N(AJ9)&gt;0,", "&amp;A9&amp;"-"&amp;AJ$2,""),3,999))</f>
        <v/>
      </c>
      <c r="AN9" s="81"/>
      <c r="AO9" s="88"/>
      <c r="AP9" s="89" t="str">
        <f aca="false">IF(AO9="","",ROUND(AO9/(1+Справочники!$B$13),2))</f>
        <v/>
      </c>
      <c r="AQ9" s="90" t="str">
        <f aca="false" t="array" ref="AQ9:AQ9">IF(AP9="","",AP9*INDEX(Справочники!$B$4:$B$7,MATCH("RUB",Справочники!$A$4:$A$7,0)))</f>
        <v/>
      </c>
      <c r="AR9" s="90" t="str">
        <f aca="false">IF(AQ9="","",ROUND(AQ9*(1+Справочники!$B$12),0))</f>
        <v/>
      </c>
      <c r="AS9" s="90" t="str">
        <f aca="false">IF(AR9="","",ROUND(AR9*(1-Справочники!$B$11),0))</f>
        <v/>
      </c>
      <c r="AT9" s="88"/>
      <c r="AU9" s="90" t="str">
        <f aca="false">IF(AT9="","",ROUND(AT9/(1+Справочники!$B$12),0))</f>
        <v/>
      </c>
      <c r="AV9" s="90" t="str">
        <f aca="false">IF(AT9="","",ROUND(AT9*(1-Справочники!$B$15),0))</f>
        <v/>
      </c>
      <c r="AW9" s="90" t="str">
        <f aca="false">IF(AT9="","",ROUND(AT9*(1-Справочники!$B$16),0))</f>
        <v/>
      </c>
      <c r="AX9" s="90" t="str">
        <f aca="false">IF(AT9="","",ROUND(AT9*(1-Справочники!$B$17),0))</f>
        <v/>
      </c>
      <c r="AY9" s="90" t="str">
        <f aca="false">IF(AT9="","",ROUND(AT9*(1-Справочники!$B$18),0))</f>
        <v/>
      </c>
      <c r="AZ9" s="90" t="str">
        <f aca="false">IF(AT9="","",ROUND(AT9*(1-Справочники!$B$19),0))</f>
        <v/>
      </c>
      <c r="BA9" s="81"/>
      <c r="BB9" s="81"/>
      <c r="BC9" s="81"/>
      <c r="BD9" s="81"/>
      <c r="BE9" s="91"/>
      <c r="BF9" s="81" t="s">
        <v>103</v>
      </c>
      <c r="BG9" s="89" t="n">
        <f aca="false" t="array" ref="BG9:BG9">IF(BF9="","",IFERROR(INDEX(Справочники!$B$4:$B$7,MATCH(BF9,Справочники!$A$4:$A$7,0)),""))</f>
        <v>68.5</v>
      </c>
      <c r="BH9" s="90" t="str">
        <f aca="false">IF(N(BN9)&gt;0,ROUND(SUMIF(ЗАКАЗЫ!$F$3:$F$500,$A9,ЗАКАЗЫ!$Y$3:$Y$500)/BN9,0),IF(OR(BE9="",BG9=""),"",ROUND(BE9*BG9*(1+Справочники!$B$10),0)))</f>
        <v/>
      </c>
      <c r="BI9" s="92" t="str">
        <f aca="false">IF(OR(AU9="",BH9="",AU9=0),"",(AU9-BH9)/AU9)</f>
        <v/>
      </c>
      <c r="BJ9" s="81"/>
      <c r="BK9" s="83"/>
      <c r="BL9" s="43" t="str">
        <f aca="false">IFERROR(INDEX(ЗАКАЗЫ!$N$3:$N$500,MATCH($A9,ЗАКАЗЫ!$F$3:$F$500,0)),"")</f>
        <v/>
      </c>
      <c r="BM9" s="8" t="str">
        <f aca="false">IF(BL9="","",IFERROR(VLOOKUP(BL9,'ТН ВЭД'!$A$4:$C$40,3,0),""))</f>
        <v/>
      </c>
      <c r="BN9" s="7" t="str">
        <f aca="false">IF(COUNTIF(ЗАКАЗЫ!$F$3:$F$500,$A9)=0,"",SUMIF(ЗАКАЗЫ!$F$3:$F$500,$A9,ЗАКАЗЫ!$J$3:$J$500))</f>
        <v/>
      </c>
      <c r="BO9" s="7" t="str">
        <f aca="false">IF(BN9="","",SUMIF(ЗАКАЗЫ!$F$3:$F$500,$A9,ЗАКАЗЫ!$AL$3:$AL$500))</f>
        <v/>
      </c>
      <c r="BP9" s="7" t="str">
        <f aca="false">IF(BN9="","",BN9-BO9)</f>
        <v/>
      </c>
      <c r="BQ9" s="55" t="str">
        <f aca="false">IF(BN9="","",IF(BO9&gt;=BN9,"На складе",IF(BO9&gt;0,"Частично","Ждём")))</f>
        <v/>
      </c>
      <c r="BR9" s="43"/>
      <c r="BS9" s="47" t="str">
        <f aca="false">IF(BN9="","",IF(_xlfn.MAXIFS(ЗАКАЗЫ!$AK$3:$AK$500,ЗАКАЗЫ!$F$3:$F$500,$A9)=0,"",_xlfn.MAXIFS(ЗАКАЗЫ!$AK$3:$AK$500,ЗАКАЗЫ!$F$3:$F$500,$A9)))</f>
        <v/>
      </c>
    </row>
    <row r="10" customFormat="false" ht="15.75" hidden="false" customHeight="true" outlineLevel="0" collapsed="false">
      <c r="A10" s="80" t="s">
        <v>484</v>
      </c>
      <c r="B10" s="81"/>
      <c r="C10" s="82"/>
      <c r="D10" s="81"/>
      <c r="E10" s="83"/>
      <c r="F10" s="81"/>
      <c r="G10" s="83"/>
      <c r="H10" s="83"/>
      <c r="I10" s="84" t="str">
        <f aca="false">IF(E10="","",A10&amp;"_1.jpg")</f>
        <v/>
      </c>
      <c r="J10" s="84" t="str">
        <f aca="false">IF(E10="","",A10&amp;"_2.jpg; "&amp;A10&amp;"_3.jpg")</f>
        <v/>
      </c>
      <c r="K10" s="84" t="str">
        <f aca="false">IF(E10="","",A10&amp;"_schema.jpg")</f>
        <v/>
      </c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 t="s">
        <v>261</v>
      </c>
      <c r="W10" s="81"/>
      <c r="X10" s="81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6" t="str">
        <f aca="false">IF(SUM(Y10:AJ10)=0,"",SUM(Y10:AJ10))</f>
        <v/>
      </c>
      <c r="AL10" s="84" t="str">
        <f aca="false">MID(IF(N(Y10)&gt;0,", "&amp;Y$2,"")&amp;IF(N(Z10)&gt;0,", "&amp;Z$2,"")&amp;IF(N(AA10)&gt;0,", "&amp;AA$2,"")&amp;IF(N(AB10)&gt;0,", "&amp;AB$2,"")&amp;IF(N(AC10)&gt;0,", "&amp;AC$2,"")&amp;IF(N(AD10)&gt;0,", "&amp;AD$2,"")&amp;IF(N(AE10)&gt;0,", "&amp;AE$2,"")&amp;IF(N(AF10)&gt;0,", "&amp;AF$2,"")&amp;IF(N(AG10)&gt;0,", "&amp;AG$2,"")&amp;IF(N(AH10)&gt;0,", "&amp;AH$2,"")&amp;IF(N(AI10)&gt;0,", "&amp;AI$2,"")&amp;IF(N(AJ10)&gt;0,", "&amp;AJ$2,""),3,999)</f>
        <v/>
      </c>
      <c r="AM10" s="87" t="str">
        <f aca="false">IF(E10="","",MID(IF(N(Y10)&gt;0,", "&amp;A10&amp;"-"&amp;Y$2,"")&amp;IF(N(Z10)&gt;0,", "&amp;A10&amp;"-"&amp;Z$2,"")&amp;IF(N(AA10)&gt;0,", "&amp;A10&amp;"-"&amp;AA$2,"")&amp;IF(N(AB10)&gt;0,", "&amp;A10&amp;"-"&amp;AB$2,"")&amp;IF(N(AC10)&gt;0,", "&amp;A10&amp;"-"&amp;AC$2,"")&amp;IF(N(AD10)&gt;0,", "&amp;A10&amp;"-"&amp;AD$2,"")&amp;IF(N(AE10)&gt;0,", "&amp;A10&amp;"-"&amp;AE$2,"")&amp;IF(N(AF10)&gt;0,", "&amp;A10&amp;"-"&amp;AF$2,"")&amp;IF(N(AG10)&gt;0,", "&amp;A10&amp;"-"&amp;AG$2,"")&amp;IF(N(AH10)&gt;0,", "&amp;A10&amp;"-"&amp;AH$2,"")&amp;IF(N(AI10)&gt;0,", "&amp;A10&amp;"-"&amp;AI$2,"")&amp;IF(N(AJ10)&gt;0,", "&amp;A10&amp;"-"&amp;AJ$2,""),3,999))</f>
        <v/>
      </c>
      <c r="AN10" s="81"/>
      <c r="AO10" s="88"/>
      <c r="AP10" s="89" t="str">
        <f aca="false">IF(AO10="","",ROUND(AO10/(1+Справочники!$B$13),2))</f>
        <v/>
      </c>
      <c r="AQ10" s="90" t="str">
        <f aca="false" t="array" ref="AQ10:AQ10">IF(AP10="","",AP10*INDEX(Справочники!$B$4:$B$7,MATCH("RUB",Справочники!$A$4:$A$7,0)))</f>
        <v/>
      </c>
      <c r="AR10" s="90" t="str">
        <f aca="false">IF(AQ10="","",ROUND(AQ10*(1+Справочники!$B$12),0))</f>
        <v/>
      </c>
      <c r="AS10" s="90" t="str">
        <f aca="false">IF(AR10="","",ROUND(AR10*(1-Справочники!$B$11),0))</f>
        <v/>
      </c>
      <c r="AT10" s="88"/>
      <c r="AU10" s="90" t="str">
        <f aca="false">IF(AT10="","",ROUND(AT10/(1+Справочники!$B$12),0))</f>
        <v/>
      </c>
      <c r="AV10" s="90" t="str">
        <f aca="false">IF(AT10="","",ROUND(AT10*(1-Справочники!$B$15),0))</f>
        <v/>
      </c>
      <c r="AW10" s="90" t="str">
        <f aca="false">IF(AT10="","",ROUND(AT10*(1-Справочники!$B$16),0))</f>
        <v/>
      </c>
      <c r="AX10" s="90" t="str">
        <f aca="false">IF(AT10="","",ROUND(AT10*(1-Справочники!$B$17),0))</f>
        <v/>
      </c>
      <c r="AY10" s="90" t="str">
        <f aca="false">IF(AT10="","",ROUND(AT10*(1-Справочники!$B$18),0))</f>
        <v/>
      </c>
      <c r="AZ10" s="90" t="str">
        <f aca="false">IF(AT10="","",ROUND(AT10*(1-Справочники!$B$19),0))</f>
        <v/>
      </c>
      <c r="BA10" s="81"/>
      <c r="BB10" s="81"/>
      <c r="BC10" s="81"/>
      <c r="BD10" s="81"/>
      <c r="BE10" s="91"/>
      <c r="BF10" s="81" t="s">
        <v>103</v>
      </c>
      <c r="BG10" s="89" t="n">
        <f aca="false" t="array" ref="BG10:BG10">IF(BF10="","",IFERROR(INDEX(Справочники!$B$4:$B$7,MATCH(BF10,Справочники!$A$4:$A$7,0)),""))</f>
        <v>68.5</v>
      </c>
      <c r="BH10" s="90" t="str">
        <f aca="false">IF(N(BN10)&gt;0,ROUND(SUMIF(ЗАКАЗЫ!$F$3:$F$500,$A10,ЗАКАЗЫ!$Y$3:$Y$500)/BN10,0),IF(OR(BE10="",BG10=""),"",ROUND(BE10*BG10*(1+Справочники!$B$10),0)))</f>
        <v/>
      </c>
      <c r="BI10" s="92" t="str">
        <f aca="false">IF(OR(AU10="",BH10="",AU10=0),"",(AU10-BH10)/AU10)</f>
        <v/>
      </c>
      <c r="BJ10" s="81"/>
      <c r="BK10" s="83"/>
      <c r="BL10" s="43" t="str">
        <f aca="false">IFERROR(INDEX(ЗАКАЗЫ!$N$3:$N$500,MATCH($A10,ЗАКАЗЫ!$F$3:$F$500,0)),"")</f>
        <v/>
      </c>
      <c r="BM10" s="8" t="str">
        <f aca="false">IF(BL10="","",IFERROR(VLOOKUP(BL10,'ТН ВЭД'!$A$4:$C$40,3,0),""))</f>
        <v/>
      </c>
      <c r="BN10" s="7" t="str">
        <f aca="false">IF(COUNTIF(ЗАКАЗЫ!$F$3:$F$500,$A10)=0,"",SUMIF(ЗАКАЗЫ!$F$3:$F$500,$A10,ЗАКАЗЫ!$J$3:$J$500))</f>
        <v/>
      </c>
      <c r="BO10" s="7" t="str">
        <f aca="false">IF(BN10="","",SUMIF(ЗАКАЗЫ!$F$3:$F$500,$A10,ЗАКАЗЫ!$AL$3:$AL$500))</f>
        <v/>
      </c>
      <c r="BP10" s="7" t="str">
        <f aca="false">IF(BN10="","",BN10-BO10)</f>
        <v/>
      </c>
      <c r="BQ10" s="55" t="str">
        <f aca="false">IF(BN10="","",IF(BO10&gt;=BN10,"На складе",IF(BO10&gt;0,"Частично","Ждём")))</f>
        <v/>
      </c>
      <c r="BR10" s="43"/>
      <c r="BS10" s="47" t="str">
        <f aca="false">IF(BN10="","",IF(_xlfn.MAXIFS(ЗАКАЗЫ!$AK$3:$AK$500,ЗАКАЗЫ!$F$3:$F$500,$A10)=0,"",_xlfn.MAXIFS(ЗАКАЗЫ!$AK$3:$AK$500,ЗАКАЗЫ!$F$3:$F$500,$A10)))</f>
        <v/>
      </c>
    </row>
    <row r="11" customFormat="false" ht="15.75" hidden="false" customHeight="true" outlineLevel="0" collapsed="false">
      <c r="A11" s="80" t="s">
        <v>485</v>
      </c>
      <c r="B11" s="81"/>
      <c r="C11" s="82"/>
      <c r="D11" s="81"/>
      <c r="E11" s="83"/>
      <c r="F11" s="81"/>
      <c r="G11" s="83"/>
      <c r="H11" s="83"/>
      <c r="I11" s="84" t="str">
        <f aca="false">IF(E11="","",A11&amp;"_1.jpg")</f>
        <v/>
      </c>
      <c r="J11" s="84" t="str">
        <f aca="false">IF(E11="","",A11&amp;"_2.jpg; "&amp;A11&amp;"_3.jpg")</f>
        <v/>
      </c>
      <c r="K11" s="84" t="str">
        <f aca="false">IF(E11="","",A11&amp;"_schema.jpg")</f>
        <v/>
      </c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 t="s">
        <v>261</v>
      </c>
      <c r="W11" s="81"/>
      <c r="X11" s="81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6" t="str">
        <f aca="false">IF(SUM(Y11:AJ11)=0,"",SUM(Y11:AJ11))</f>
        <v/>
      </c>
      <c r="AL11" s="84" t="str">
        <f aca="false">MID(IF(N(Y11)&gt;0,", "&amp;Y$2,"")&amp;IF(N(Z11)&gt;0,", "&amp;Z$2,"")&amp;IF(N(AA11)&gt;0,", "&amp;AA$2,"")&amp;IF(N(AB11)&gt;0,", "&amp;AB$2,"")&amp;IF(N(AC11)&gt;0,", "&amp;AC$2,"")&amp;IF(N(AD11)&gt;0,", "&amp;AD$2,"")&amp;IF(N(AE11)&gt;0,", "&amp;AE$2,"")&amp;IF(N(AF11)&gt;0,", "&amp;AF$2,"")&amp;IF(N(AG11)&gt;0,", "&amp;AG$2,"")&amp;IF(N(AH11)&gt;0,", "&amp;AH$2,"")&amp;IF(N(AI11)&gt;0,", "&amp;AI$2,"")&amp;IF(N(AJ11)&gt;0,", "&amp;AJ$2,""),3,999)</f>
        <v/>
      </c>
      <c r="AM11" s="87" t="str">
        <f aca="false">IF(E11="","",MID(IF(N(Y11)&gt;0,", "&amp;A11&amp;"-"&amp;Y$2,"")&amp;IF(N(Z11)&gt;0,", "&amp;A11&amp;"-"&amp;Z$2,"")&amp;IF(N(AA11)&gt;0,", "&amp;A11&amp;"-"&amp;AA$2,"")&amp;IF(N(AB11)&gt;0,", "&amp;A11&amp;"-"&amp;AB$2,"")&amp;IF(N(AC11)&gt;0,", "&amp;A11&amp;"-"&amp;AC$2,"")&amp;IF(N(AD11)&gt;0,", "&amp;A11&amp;"-"&amp;AD$2,"")&amp;IF(N(AE11)&gt;0,", "&amp;A11&amp;"-"&amp;AE$2,"")&amp;IF(N(AF11)&gt;0,", "&amp;A11&amp;"-"&amp;AF$2,"")&amp;IF(N(AG11)&gt;0,", "&amp;A11&amp;"-"&amp;AG$2,"")&amp;IF(N(AH11)&gt;0,", "&amp;A11&amp;"-"&amp;AH$2,"")&amp;IF(N(AI11)&gt;0,", "&amp;A11&amp;"-"&amp;AI$2,"")&amp;IF(N(AJ11)&gt;0,", "&amp;A11&amp;"-"&amp;AJ$2,""),3,999))</f>
        <v/>
      </c>
      <c r="AN11" s="81"/>
      <c r="AO11" s="88"/>
      <c r="AP11" s="89" t="str">
        <f aca="false">IF(AO11="","",ROUND(AO11/(1+Справочники!$B$13),2))</f>
        <v/>
      </c>
      <c r="AQ11" s="90" t="str">
        <f aca="false" t="array" ref="AQ11:AQ11">IF(AP11="","",AP11*INDEX(Справочники!$B$4:$B$7,MATCH("RUB",Справочники!$A$4:$A$7,0)))</f>
        <v/>
      </c>
      <c r="AR11" s="90" t="str">
        <f aca="false">IF(AQ11="","",ROUND(AQ11*(1+Справочники!$B$12),0))</f>
        <v/>
      </c>
      <c r="AS11" s="90" t="str">
        <f aca="false">IF(AR11="","",ROUND(AR11*(1-Справочники!$B$11),0))</f>
        <v/>
      </c>
      <c r="AT11" s="88"/>
      <c r="AU11" s="90" t="str">
        <f aca="false">IF(AT11="","",ROUND(AT11/(1+Справочники!$B$12),0))</f>
        <v/>
      </c>
      <c r="AV11" s="90" t="str">
        <f aca="false">IF(AT11="","",ROUND(AT11*(1-Справочники!$B$15),0))</f>
        <v/>
      </c>
      <c r="AW11" s="90" t="str">
        <f aca="false">IF(AT11="","",ROUND(AT11*(1-Справочники!$B$16),0))</f>
        <v/>
      </c>
      <c r="AX11" s="90" t="str">
        <f aca="false">IF(AT11="","",ROUND(AT11*(1-Справочники!$B$17),0))</f>
        <v/>
      </c>
      <c r="AY11" s="90" t="str">
        <f aca="false">IF(AT11="","",ROUND(AT11*(1-Справочники!$B$18),0))</f>
        <v/>
      </c>
      <c r="AZ11" s="90" t="str">
        <f aca="false">IF(AT11="","",ROUND(AT11*(1-Справочники!$B$19),0))</f>
        <v/>
      </c>
      <c r="BA11" s="81"/>
      <c r="BB11" s="81"/>
      <c r="BC11" s="81"/>
      <c r="BD11" s="81"/>
      <c r="BE11" s="91"/>
      <c r="BF11" s="81" t="s">
        <v>103</v>
      </c>
      <c r="BG11" s="89" t="n">
        <f aca="false" t="array" ref="BG11:BG11">IF(BF11="","",IFERROR(INDEX(Справочники!$B$4:$B$7,MATCH(BF11,Справочники!$A$4:$A$7,0)),""))</f>
        <v>68.5</v>
      </c>
      <c r="BH11" s="90" t="str">
        <f aca="false">IF(N(BN11)&gt;0,ROUND(SUMIF(ЗАКАЗЫ!$F$3:$F$500,$A11,ЗАКАЗЫ!$Y$3:$Y$500)/BN11,0),IF(OR(BE11="",BG11=""),"",ROUND(BE11*BG11*(1+Справочники!$B$10),0)))</f>
        <v/>
      </c>
      <c r="BI11" s="92" t="str">
        <f aca="false">IF(OR(AU11="",BH11="",AU11=0),"",(AU11-BH11)/AU11)</f>
        <v/>
      </c>
      <c r="BJ11" s="81"/>
      <c r="BK11" s="83"/>
      <c r="BL11" s="43" t="str">
        <f aca="false">IFERROR(INDEX(ЗАКАЗЫ!$N$3:$N$500,MATCH($A11,ЗАКАЗЫ!$F$3:$F$500,0)),"")</f>
        <v/>
      </c>
      <c r="BM11" s="8" t="str">
        <f aca="false">IF(BL11="","",IFERROR(VLOOKUP(BL11,'ТН ВЭД'!$A$4:$C$40,3,0),""))</f>
        <v/>
      </c>
      <c r="BN11" s="7" t="str">
        <f aca="false">IF(COUNTIF(ЗАКАЗЫ!$F$3:$F$500,$A11)=0,"",SUMIF(ЗАКАЗЫ!$F$3:$F$500,$A11,ЗАКАЗЫ!$J$3:$J$500))</f>
        <v/>
      </c>
      <c r="BO11" s="7" t="str">
        <f aca="false">IF(BN11="","",SUMIF(ЗАКАЗЫ!$F$3:$F$500,$A11,ЗАКАЗЫ!$AL$3:$AL$500))</f>
        <v/>
      </c>
      <c r="BP11" s="7" t="str">
        <f aca="false">IF(BN11="","",BN11-BO11)</f>
        <v/>
      </c>
      <c r="BQ11" s="55" t="str">
        <f aca="false">IF(BN11="","",IF(BO11&gt;=BN11,"На складе",IF(BO11&gt;0,"Частично","Ждём")))</f>
        <v/>
      </c>
      <c r="BR11" s="43"/>
      <c r="BS11" s="47" t="str">
        <f aca="false">IF(BN11="","",IF(_xlfn.MAXIFS(ЗАКАЗЫ!$AK$3:$AK$500,ЗАКАЗЫ!$F$3:$F$500,$A11)=0,"",_xlfn.MAXIFS(ЗАКАЗЫ!$AK$3:$AK$500,ЗАКАЗЫ!$F$3:$F$500,$A11)))</f>
        <v/>
      </c>
    </row>
    <row r="12" customFormat="false" ht="15.75" hidden="false" customHeight="true" outlineLevel="0" collapsed="false">
      <c r="A12" s="80" t="s">
        <v>486</v>
      </c>
      <c r="B12" s="81"/>
      <c r="C12" s="82"/>
      <c r="D12" s="81"/>
      <c r="E12" s="83"/>
      <c r="F12" s="81"/>
      <c r="G12" s="83"/>
      <c r="H12" s="83"/>
      <c r="I12" s="84" t="str">
        <f aca="false">IF(E12="","",A12&amp;"_1.jpg")</f>
        <v/>
      </c>
      <c r="J12" s="84" t="str">
        <f aca="false">IF(E12="","",A12&amp;"_2.jpg; "&amp;A12&amp;"_3.jpg")</f>
        <v/>
      </c>
      <c r="K12" s="84" t="str">
        <f aca="false">IF(E12="","",A12&amp;"_schema.jpg")</f>
        <v/>
      </c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 t="s">
        <v>261</v>
      </c>
      <c r="W12" s="81"/>
      <c r="X12" s="81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6" t="str">
        <f aca="false">IF(SUM(Y12:AJ12)=0,"",SUM(Y12:AJ12))</f>
        <v/>
      </c>
      <c r="AL12" s="84" t="str">
        <f aca="false">MID(IF(N(Y12)&gt;0,", "&amp;Y$2,"")&amp;IF(N(Z12)&gt;0,", "&amp;Z$2,"")&amp;IF(N(AA12)&gt;0,", "&amp;AA$2,"")&amp;IF(N(AB12)&gt;0,", "&amp;AB$2,"")&amp;IF(N(AC12)&gt;0,", "&amp;AC$2,"")&amp;IF(N(AD12)&gt;0,", "&amp;AD$2,"")&amp;IF(N(AE12)&gt;0,", "&amp;AE$2,"")&amp;IF(N(AF12)&gt;0,", "&amp;AF$2,"")&amp;IF(N(AG12)&gt;0,", "&amp;AG$2,"")&amp;IF(N(AH12)&gt;0,", "&amp;AH$2,"")&amp;IF(N(AI12)&gt;0,", "&amp;AI$2,"")&amp;IF(N(AJ12)&gt;0,", "&amp;AJ$2,""),3,999)</f>
        <v/>
      </c>
      <c r="AM12" s="87" t="str">
        <f aca="false">IF(E12="","",MID(IF(N(Y12)&gt;0,", "&amp;A12&amp;"-"&amp;Y$2,"")&amp;IF(N(Z12)&gt;0,", "&amp;A12&amp;"-"&amp;Z$2,"")&amp;IF(N(AA12)&gt;0,", "&amp;A12&amp;"-"&amp;AA$2,"")&amp;IF(N(AB12)&gt;0,", "&amp;A12&amp;"-"&amp;AB$2,"")&amp;IF(N(AC12)&gt;0,", "&amp;A12&amp;"-"&amp;AC$2,"")&amp;IF(N(AD12)&gt;0,", "&amp;A12&amp;"-"&amp;AD$2,"")&amp;IF(N(AE12)&gt;0,", "&amp;A12&amp;"-"&amp;AE$2,"")&amp;IF(N(AF12)&gt;0,", "&amp;A12&amp;"-"&amp;AF$2,"")&amp;IF(N(AG12)&gt;0,", "&amp;A12&amp;"-"&amp;AG$2,"")&amp;IF(N(AH12)&gt;0,", "&amp;A12&amp;"-"&amp;AH$2,"")&amp;IF(N(AI12)&gt;0,", "&amp;A12&amp;"-"&amp;AI$2,"")&amp;IF(N(AJ12)&gt;0,", "&amp;A12&amp;"-"&amp;AJ$2,""),3,999))</f>
        <v/>
      </c>
      <c r="AN12" s="81"/>
      <c r="AO12" s="88"/>
      <c r="AP12" s="89" t="str">
        <f aca="false">IF(AO12="","",ROUND(AO12/(1+Справочники!$B$13),2))</f>
        <v/>
      </c>
      <c r="AQ12" s="90" t="str">
        <f aca="false" t="array" ref="AQ12:AQ12">IF(AP12="","",AP12*INDEX(Справочники!$B$4:$B$7,MATCH("RUB",Справочники!$A$4:$A$7,0)))</f>
        <v/>
      </c>
      <c r="AR12" s="90" t="str">
        <f aca="false">IF(AQ12="","",ROUND(AQ12*(1+Справочники!$B$12),0))</f>
        <v/>
      </c>
      <c r="AS12" s="90" t="str">
        <f aca="false">IF(AR12="","",ROUND(AR12*(1-Справочники!$B$11),0))</f>
        <v/>
      </c>
      <c r="AT12" s="88"/>
      <c r="AU12" s="90" t="str">
        <f aca="false">IF(AT12="","",ROUND(AT12/(1+Справочники!$B$12),0))</f>
        <v/>
      </c>
      <c r="AV12" s="90" t="str">
        <f aca="false">IF(AT12="","",ROUND(AT12*(1-Справочники!$B$15),0))</f>
        <v/>
      </c>
      <c r="AW12" s="90" t="str">
        <f aca="false">IF(AT12="","",ROUND(AT12*(1-Справочники!$B$16),0))</f>
        <v/>
      </c>
      <c r="AX12" s="90" t="str">
        <f aca="false">IF(AT12="","",ROUND(AT12*(1-Справочники!$B$17),0))</f>
        <v/>
      </c>
      <c r="AY12" s="90" t="str">
        <f aca="false">IF(AT12="","",ROUND(AT12*(1-Справочники!$B$18),0))</f>
        <v/>
      </c>
      <c r="AZ12" s="90" t="str">
        <f aca="false">IF(AT12="","",ROUND(AT12*(1-Справочники!$B$19),0))</f>
        <v/>
      </c>
      <c r="BA12" s="81"/>
      <c r="BB12" s="81"/>
      <c r="BC12" s="81"/>
      <c r="BD12" s="81"/>
      <c r="BE12" s="91"/>
      <c r="BF12" s="81" t="s">
        <v>103</v>
      </c>
      <c r="BG12" s="89" t="n">
        <f aca="false" t="array" ref="BG12:BG12">IF(BF12="","",IFERROR(INDEX(Справочники!$B$4:$B$7,MATCH(BF12,Справочники!$A$4:$A$7,0)),""))</f>
        <v>68.5</v>
      </c>
      <c r="BH12" s="90" t="str">
        <f aca="false">IF(N(BN12)&gt;0,ROUND(SUMIF(ЗАКАЗЫ!$F$3:$F$500,$A12,ЗАКАЗЫ!$Y$3:$Y$500)/BN12,0),IF(OR(BE12="",BG12=""),"",ROUND(BE12*BG12*(1+Справочники!$B$10),0)))</f>
        <v/>
      </c>
      <c r="BI12" s="92" t="str">
        <f aca="false">IF(OR(AU12="",BH12="",AU12=0),"",(AU12-BH12)/AU12)</f>
        <v/>
      </c>
      <c r="BJ12" s="81"/>
      <c r="BK12" s="83"/>
      <c r="BL12" s="43" t="str">
        <f aca="false">IFERROR(INDEX(ЗАКАЗЫ!$N$3:$N$500,MATCH($A12,ЗАКАЗЫ!$F$3:$F$500,0)),"")</f>
        <v/>
      </c>
      <c r="BM12" s="8" t="str">
        <f aca="false">IF(BL12="","",IFERROR(VLOOKUP(BL12,'ТН ВЭД'!$A$4:$C$40,3,0),""))</f>
        <v/>
      </c>
      <c r="BN12" s="7" t="str">
        <f aca="false">IF(COUNTIF(ЗАКАЗЫ!$F$3:$F$500,$A12)=0,"",SUMIF(ЗАКАЗЫ!$F$3:$F$500,$A12,ЗАКАЗЫ!$J$3:$J$500))</f>
        <v/>
      </c>
      <c r="BO12" s="7" t="str">
        <f aca="false">IF(BN12="","",SUMIF(ЗАКАЗЫ!$F$3:$F$500,$A12,ЗАКАЗЫ!$AL$3:$AL$500))</f>
        <v/>
      </c>
      <c r="BP12" s="7" t="str">
        <f aca="false">IF(BN12="","",BN12-BO12)</f>
        <v/>
      </c>
      <c r="BQ12" s="55" t="str">
        <f aca="false">IF(BN12="","",IF(BO12&gt;=BN12,"На складе",IF(BO12&gt;0,"Частично","Ждём")))</f>
        <v/>
      </c>
      <c r="BR12" s="43"/>
      <c r="BS12" s="47" t="str">
        <f aca="false">IF(BN12="","",IF(_xlfn.MAXIFS(ЗАКАЗЫ!$AK$3:$AK$500,ЗАКАЗЫ!$F$3:$F$500,$A12)=0,"",_xlfn.MAXIFS(ЗАКАЗЫ!$AK$3:$AK$500,ЗАКАЗЫ!$F$3:$F$500,$A12)))</f>
        <v/>
      </c>
    </row>
    <row r="13" customFormat="false" ht="15.75" hidden="false" customHeight="true" outlineLevel="0" collapsed="false">
      <c r="A13" s="80" t="s">
        <v>487</v>
      </c>
      <c r="B13" s="81"/>
      <c r="C13" s="82"/>
      <c r="D13" s="81"/>
      <c r="E13" s="83"/>
      <c r="F13" s="81"/>
      <c r="G13" s="83"/>
      <c r="H13" s="83"/>
      <c r="I13" s="84" t="str">
        <f aca="false">IF(E13="","",A13&amp;"_1.jpg")</f>
        <v/>
      </c>
      <c r="J13" s="84" t="str">
        <f aca="false">IF(E13="","",A13&amp;"_2.jpg; "&amp;A13&amp;"_3.jpg")</f>
        <v/>
      </c>
      <c r="K13" s="84" t="str">
        <f aca="false">IF(E13="","",A13&amp;"_schema.jpg")</f>
        <v/>
      </c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 t="s">
        <v>261</v>
      </c>
      <c r="W13" s="81"/>
      <c r="X13" s="81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6" t="str">
        <f aca="false">IF(SUM(Y13:AJ13)=0,"",SUM(Y13:AJ13))</f>
        <v/>
      </c>
      <c r="AL13" s="84" t="str">
        <f aca="false">MID(IF(N(Y13)&gt;0,", "&amp;Y$2,"")&amp;IF(N(Z13)&gt;0,", "&amp;Z$2,"")&amp;IF(N(AA13)&gt;0,", "&amp;AA$2,"")&amp;IF(N(AB13)&gt;0,", "&amp;AB$2,"")&amp;IF(N(AC13)&gt;0,", "&amp;AC$2,"")&amp;IF(N(AD13)&gt;0,", "&amp;AD$2,"")&amp;IF(N(AE13)&gt;0,", "&amp;AE$2,"")&amp;IF(N(AF13)&gt;0,", "&amp;AF$2,"")&amp;IF(N(AG13)&gt;0,", "&amp;AG$2,"")&amp;IF(N(AH13)&gt;0,", "&amp;AH$2,"")&amp;IF(N(AI13)&gt;0,", "&amp;AI$2,"")&amp;IF(N(AJ13)&gt;0,", "&amp;AJ$2,""),3,999)</f>
        <v/>
      </c>
      <c r="AM13" s="87" t="str">
        <f aca="false">IF(E13="","",MID(IF(N(Y13)&gt;0,", "&amp;A13&amp;"-"&amp;Y$2,"")&amp;IF(N(Z13)&gt;0,", "&amp;A13&amp;"-"&amp;Z$2,"")&amp;IF(N(AA13)&gt;0,", "&amp;A13&amp;"-"&amp;AA$2,"")&amp;IF(N(AB13)&gt;0,", "&amp;A13&amp;"-"&amp;AB$2,"")&amp;IF(N(AC13)&gt;0,", "&amp;A13&amp;"-"&amp;AC$2,"")&amp;IF(N(AD13)&gt;0,", "&amp;A13&amp;"-"&amp;AD$2,"")&amp;IF(N(AE13)&gt;0,", "&amp;A13&amp;"-"&amp;AE$2,"")&amp;IF(N(AF13)&gt;0,", "&amp;A13&amp;"-"&amp;AF$2,"")&amp;IF(N(AG13)&gt;0,", "&amp;A13&amp;"-"&amp;AG$2,"")&amp;IF(N(AH13)&gt;0,", "&amp;A13&amp;"-"&amp;AH$2,"")&amp;IF(N(AI13)&gt;0,", "&amp;A13&amp;"-"&amp;AI$2,"")&amp;IF(N(AJ13)&gt;0,", "&amp;A13&amp;"-"&amp;AJ$2,""),3,999))</f>
        <v/>
      </c>
      <c r="AN13" s="81"/>
      <c r="AO13" s="88"/>
      <c r="AP13" s="89" t="str">
        <f aca="false">IF(AO13="","",ROUND(AO13/(1+Справочники!$B$13),2))</f>
        <v/>
      </c>
      <c r="AQ13" s="90" t="str">
        <f aca="false" t="array" ref="AQ13:AQ13">IF(AP13="","",AP13*INDEX(Справочники!$B$4:$B$7,MATCH("RUB",Справочники!$A$4:$A$7,0)))</f>
        <v/>
      </c>
      <c r="AR13" s="90" t="str">
        <f aca="false">IF(AQ13="","",ROUND(AQ13*(1+Справочники!$B$12),0))</f>
        <v/>
      </c>
      <c r="AS13" s="90" t="str">
        <f aca="false">IF(AR13="","",ROUND(AR13*(1-Справочники!$B$11),0))</f>
        <v/>
      </c>
      <c r="AT13" s="88"/>
      <c r="AU13" s="90" t="str">
        <f aca="false">IF(AT13="","",ROUND(AT13/(1+Справочники!$B$12),0))</f>
        <v/>
      </c>
      <c r="AV13" s="90" t="str">
        <f aca="false">IF(AT13="","",ROUND(AT13*(1-Справочники!$B$15),0))</f>
        <v/>
      </c>
      <c r="AW13" s="90" t="str">
        <f aca="false">IF(AT13="","",ROUND(AT13*(1-Справочники!$B$16),0))</f>
        <v/>
      </c>
      <c r="AX13" s="90" t="str">
        <f aca="false">IF(AT13="","",ROUND(AT13*(1-Справочники!$B$17),0))</f>
        <v/>
      </c>
      <c r="AY13" s="90" t="str">
        <f aca="false">IF(AT13="","",ROUND(AT13*(1-Справочники!$B$18),0))</f>
        <v/>
      </c>
      <c r="AZ13" s="90" t="str">
        <f aca="false">IF(AT13="","",ROUND(AT13*(1-Справочники!$B$19),0))</f>
        <v/>
      </c>
      <c r="BA13" s="81"/>
      <c r="BB13" s="81"/>
      <c r="BC13" s="81"/>
      <c r="BD13" s="81"/>
      <c r="BE13" s="91"/>
      <c r="BF13" s="81" t="s">
        <v>103</v>
      </c>
      <c r="BG13" s="89" t="n">
        <f aca="false" t="array" ref="BG13:BG13">IF(BF13="","",IFERROR(INDEX(Справочники!$B$4:$B$7,MATCH(BF13,Справочники!$A$4:$A$7,0)),""))</f>
        <v>68.5</v>
      </c>
      <c r="BH13" s="90" t="str">
        <f aca="false">IF(N(BN13)&gt;0,ROUND(SUMIF(ЗАКАЗЫ!$F$3:$F$500,$A13,ЗАКАЗЫ!$Y$3:$Y$500)/BN13,0),IF(OR(BE13="",BG13=""),"",ROUND(BE13*BG13*(1+Справочники!$B$10),0)))</f>
        <v/>
      </c>
      <c r="BI13" s="92" t="str">
        <f aca="false">IF(OR(AU13="",BH13="",AU13=0),"",(AU13-BH13)/AU13)</f>
        <v/>
      </c>
      <c r="BJ13" s="81"/>
      <c r="BK13" s="83"/>
      <c r="BL13" s="43" t="str">
        <f aca="false">IFERROR(INDEX(ЗАКАЗЫ!$N$3:$N$500,MATCH($A13,ЗАКАЗЫ!$F$3:$F$500,0)),"")</f>
        <v/>
      </c>
      <c r="BM13" s="8" t="str">
        <f aca="false">IF(BL13="","",IFERROR(VLOOKUP(BL13,'ТН ВЭД'!$A$4:$C$40,3,0),""))</f>
        <v/>
      </c>
      <c r="BN13" s="7" t="str">
        <f aca="false">IF(COUNTIF(ЗАКАЗЫ!$F$3:$F$500,$A13)=0,"",SUMIF(ЗАКАЗЫ!$F$3:$F$500,$A13,ЗАКАЗЫ!$J$3:$J$500))</f>
        <v/>
      </c>
      <c r="BO13" s="7" t="str">
        <f aca="false">IF(BN13="","",SUMIF(ЗАКАЗЫ!$F$3:$F$500,$A13,ЗАКАЗЫ!$AL$3:$AL$500))</f>
        <v/>
      </c>
      <c r="BP13" s="7" t="str">
        <f aca="false">IF(BN13="","",BN13-BO13)</f>
        <v/>
      </c>
      <c r="BQ13" s="55" t="str">
        <f aca="false">IF(BN13="","",IF(BO13&gt;=BN13,"На складе",IF(BO13&gt;0,"Частично","Ждём")))</f>
        <v/>
      </c>
      <c r="BR13" s="43"/>
      <c r="BS13" s="47" t="str">
        <f aca="false">IF(BN13="","",IF(_xlfn.MAXIFS(ЗАКАЗЫ!$AK$3:$AK$500,ЗАКАЗЫ!$F$3:$F$500,$A13)=0,"",_xlfn.MAXIFS(ЗАКАЗЫ!$AK$3:$AK$500,ЗАКАЗЫ!$F$3:$F$500,$A13)))</f>
        <v/>
      </c>
    </row>
    <row r="14" customFormat="false" ht="15.75" hidden="false" customHeight="true" outlineLevel="0" collapsed="false">
      <c r="A14" s="80" t="s">
        <v>488</v>
      </c>
      <c r="B14" s="81"/>
      <c r="C14" s="82"/>
      <c r="D14" s="81"/>
      <c r="E14" s="83"/>
      <c r="F14" s="81"/>
      <c r="G14" s="83"/>
      <c r="H14" s="83"/>
      <c r="I14" s="84" t="str">
        <f aca="false">IF(E14="","",A14&amp;"_1.jpg")</f>
        <v/>
      </c>
      <c r="J14" s="84" t="str">
        <f aca="false">IF(E14="","",A14&amp;"_2.jpg; "&amp;A14&amp;"_3.jpg")</f>
        <v/>
      </c>
      <c r="K14" s="84" t="str">
        <f aca="false">IF(E14="","",A14&amp;"_schema.jpg")</f>
        <v/>
      </c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 t="s">
        <v>261</v>
      </c>
      <c r="W14" s="81"/>
      <c r="X14" s="81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6" t="str">
        <f aca="false">IF(SUM(Y14:AJ14)=0,"",SUM(Y14:AJ14))</f>
        <v/>
      </c>
      <c r="AL14" s="84" t="str">
        <f aca="false">MID(IF(N(Y14)&gt;0,", "&amp;Y$2,"")&amp;IF(N(Z14)&gt;0,", "&amp;Z$2,"")&amp;IF(N(AA14)&gt;0,", "&amp;AA$2,"")&amp;IF(N(AB14)&gt;0,", "&amp;AB$2,"")&amp;IF(N(AC14)&gt;0,", "&amp;AC$2,"")&amp;IF(N(AD14)&gt;0,", "&amp;AD$2,"")&amp;IF(N(AE14)&gt;0,", "&amp;AE$2,"")&amp;IF(N(AF14)&gt;0,", "&amp;AF$2,"")&amp;IF(N(AG14)&gt;0,", "&amp;AG$2,"")&amp;IF(N(AH14)&gt;0,", "&amp;AH$2,"")&amp;IF(N(AI14)&gt;0,", "&amp;AI$2,"")&amp;IF(N(AJ14)&gt;0,", "&amp;AJ$2,""),3,999)</f>
        <v/>
      </c>
      <c r="AM14" s="87" t="str">
        <f aca="false">IF(E14="","",MID(IF(N(Y14)&gt;0,", "&amp;A14&amp;"-"&amp;Y$2,"")&amp;IF(N(Z14)&gt;0,", "&amp;A14&amp;"-"&amp;Z$2,"")&amp;IF(N(AA14)&gt;0,", "&amp;A14&amp;"-"&amp;AA$2,"")&amp;IF(N(AB14)&gt;0,", "&amp;A14&amp;"-"&amp;AB$2,"")&amp;IF(N(AC14)&gt;0,", "&amp;A14&amp;"-"&amp;AC$2,"")&amp;IF(N(AD14)&gt;0,", "&amp;A14&amp;"-"&amp;AD$2,"")&amp;IF(N(AE14)&gt;0,", "&amp;A14&amp;"-"&amp;AE$2,"")&amp;IF(N(AF14)&gt;0,", "&amp;A14&amp;"-"&amp;AF$2,"")&amp;IF(N(AG14)&gt;0,", "&amp;A14&amp;"-"&amp;AG$2,"")&amp;IF(N(AH14)&gt;0,", "&amp;A14&amp;"-"&amp;AH$2,"")&amp;IF(N(AI14)&gt;0,", "&amp;A14&amp;"-"&amp;AI$2,"")&amp;IF(N(AJ14)&gt;0,", "&amp;A14&amp;"-"&amp;AJ$2,""),3,999))</f>
        <v/>
      </c>
      <c r="AN14" s="81"/>
      <c r="AO14" s="88"/>
      <c r="AP14" s="89" t="str">
        <f aca="false">IF(AO14="","",ROUND(AO14/(1+Справочники!$B$13),2))</f>
        <v/>
      </c>
      <c r="AQ14" s="90" t="str">
        <f aca="false" t="array" ref="AQ14:AQ14">IF(AP14="","",AP14*INDEX(Справочники!$B$4:$B$7,MATCH("RUB",Справочники!$A$4:$A$7,0)))</f>
        <v/>
      </c>
      <c r="AR14" s="90" t="str">
        <f aca="false">IF(AQ14="","",ROUND(AQ14*(1+Справочники!$B$12),0))</f>
        <v/>
      </c>
      <c r="AS14" s="90" t="str">
        <f aca="false">IF(AR14="","",ROUND(AR14*(1-Справочники!$B$11),0))</f>
        <v/>
      </c>
      <c r="AT14" s="88"/>
      <c r="AU14" s="90" t="str">
        <f aca="false">IF(AT14="","",ROUND(AT14/(1+Справочники!$B$12),0))</f>
        <v/>
      </c>
      <c r="AV14" s="90" t="str">
        <f aca="false">IF(AT14="","",ROUND(AT14*(1-Справочники!$B$15),0))</f>
        <v/>
      </c>
      <c r="AW14" s="90" t="str">
        <f aca="false">IF(AT14="","",ROUND(AT14*(1-Справочники!$B$16),0))</f>
        <v/>
      </c>
      <c r="AX14" s="90" t="str">
        <f aca="false">IF(AT14="","",ROUND(AT14*(1-Справочники!$B$17),0))</f>
        <v/>
      </c>
      <c r="AY14" s="90" t="str">
        <f aca="false">IF(AT14="","",ROUND(AT14*(1-Справочники!$B$18),0))</f>
        <v/>
      </c>
      <c r="AZ14" s="90" t="str">
        <f aca="false">IF(AT14="","",ROUND(AT14*(1-Справочники!$B$19),0))</f>
        <v/>
      </c>
      <c r="BA14" s="81"/>
      <c r="BB14" s="81"/>
      <c r="BC14" s="81"/>
      <c r="BD14" s="81"/>
      <c r="BE14" s="91"/>
      <c r="BF14" s="81" t="s">
        <v>103</v>
      </c>
      <c r="BG14" s="89" t="n">
        <f aca="false" t="array" ref="BG14:BG14">IF(BF14="","",IFERROR(INDEX(Справочники!$B$4:$B$7,MATCH(BF14,Справочники!$A$4:$A$7,0)),""))</f>
        <v>68.5</v>
      </c>
      <c r="BH14" s="90" t="str">
        <f aca="false">IF(N(BN14)&gt;0,ROUND(SUMIF(ЗАКАЗЫ!$F$3:$F$500,$A14,ЗАКАЗЫ!$Y$3:$Y$500)/BN14,0),IF(OR(BE14="",BG14=""),"",ROUND(BE14*BG14*(1+Справочники!$B$10),0)))</f>
        <v/>
      </c>
      <c r="BI14" s="92" t="str">
        <f aca="false">IF(OR(AU14="",BH14="",AU14=0),"",(AU14-BH14)/AU14)</f>
        <v/>
      </c>
      <c r="BJ14" s="81"/>
      <c r="BK14" s="83"/>
      <c r="BL14" s="43" t="str">
        <f aca="false">IFERROR(INDEX(ЗАКАЗЫ!$N$3:$N$500,MATCH($A14,ЗАКАЗЫ!$F$3:$F$500,0)),"")</f>
        <v/>
      </c>
      <c r="BM14" s="8" t="str">
        <f aca="false">IF(BL14="","",IFERROR(VLOOKUP(BL14,'ТН ВЭД'!$A$4:$C$40,3,0),""))</f>
        <v/>
      </c>
      <c r="BN14" s="7" t="str">
        <f aca="false">IF(COUNTIF(ЗАКАЗЫ!$F$3:$F$500,$A14)=0,"",SUMIF(ЗАКАЗЫ!$F$3:$F$500,$A14,ЗАКАЗЫ!$J$3:$J$500))</f>
        <v/>
      </c>
      <c r="BO14" s="7" t="str">
        <f aca="false">IF(BN14="","",SUMIF(ЗАКАЗЫ!$F$3:$F$500,$A14,ЗАКАЗЫ!$AL$3:$AL$500))</f>
        <v/>
      </c>
      <c r="BP14" s="7" t="str">
        <f aca="false">IF(BN14="","",BN14-BO14)</f>
        <v/>
      </c>
      <c r="BQ14" s="55" t="str">
        <f aca="false">IF(BN14="","",IF(BO14&gt;=BN14,"На складе",IF(BO14&gt;0,"Частично","Ждём")))</f>
        <v/>
      </c>
      <c r="BR14" s="43"/>
      <c r="BS14" s="47" t="str">
        <f aca="false">IF(BN14="","",IF(_xlfn.MAXIFS(ЗАКАЗЫ!$AK$3:$AK$500,ЗАКАЗЫ!$F$3:$F$500,$A14)=0,"",_xlfn.MAXIFS(ЗАКАЗЫ!$AK$3:$AK$500,ЗАКАЗЫ!$F$3:$F$500,$A14)))</f>
        <v/>
      </c>
    </row>
    <row r="15" customFormat="false" ht="15.75" hidden="false" customHeight="true" outlineLevel="0" collapsed="false">
      <c r="A15" s="80" t="s">
        <v>489</v>
      </c>
      <c r="B15" s="81"/>
      <c r="C15" s="82"/>
      <c r="D15" s="81"/>
      <c r="E15" s="83"/>
      <c r="F15" s="81"/>
      <c r="G15" s="83"/>
      <c r="H15" s="83"/>
      <c r="I15" s="84" t="str">
        <f aca="false">IF(E15="","",A15&amp;"_1.jpg")</f>
        <v/>
      </c>
      <c r="J15" s="84" t="str">
        <f aca="false">IF(E15="","",A15&amp;"_2.jpg; "&amp;A15&amp;"_3.jpg")</f>
        <v/>
      </c>
      <c r="K15" s="84" t="str">
        <f aca="false">IF(E15="","",A15&amp;"_schema.jpg")</f>
        <v/>
      </c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 t="s">
        <v>261</v>
      </c>
      <c r="W15" s="81"/>
      <c r="X15" s="81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6" t="str">
        <f aca="false">IF(SUM(Y15:AJ15)=0,"",SUM(Y15:AJ15))</f>
        <v/>
      </c>
      <c r="AL15" s="84" t="str">
        <f aca="false">MID(IF(N(Y15)&gt;0,", "&amp;Y$2,"")&amp;IF(N(Z15)&gt;0,", "&amp;Z$2,"")&amp;IF(N(AA15)&gt;0,", "&amp;AA$2,"")&amp;IF(N(AB15)&gt;0,", "&amp;AB$2,"")&amp;IF(N(AC15)&gt;0,", "&amp;AC$2,"")&amp;IF(N(AD15)&gt;0,", "&amp;AD$2,"")&amp;IF(N(AE15)&gt;0,", "&amp;AE$2,"")&amp;IF(N(AF15)&gt;0,", "&amp;AF$2,"")&amp;IF(N(AG15)&gt;0,", "&amp;AG$2,"")&amp;IF(N(AH15)&gt;0,", "&amp;AH$2,"")&amp;IF(N(AI15)&gt;0,", "&amp;AI$2,"")&amp;IF(N(AJ15)&gt;0,", "&amp;AJ$2,""),3,999)</f>
        <v/>
      </c>
      <c r="AM15" s="87" t="str">
        <f aca="false">IF(E15="","",MID(IF(N(Y15)&gt;0,", "&amp;A15&amp;"-"&amp;Y$2,"")&amp;IF(N(Z15)&gt;0,", "&amp;A15&amp;"-"&amp;Z$2,"")&amp;IF(N(AA15)&gt;0,", "&amp;A15&amp;"-"&amp;AA$2,"")&amp;IF(N(AB15)&gt;0,", "&amp;A15&amp;"-"&amp;AB$2,"")&amp;IF(N(AC15)&gt;0,", "&amp;A15&amp;"-"&amp;AC$2,"")&amp;IF(N(AD15)&gt;0,", "&amp;A15&amp;"-"&amp;AD$2,"")&amp;IF(N(AE15)&gt;0,", "&amp;A15&amp;"-"&amp;AE$2,"")&amp;IF(N(AF15)&gt;0,", "&amp;A15&amp;"-"&amp;AF$2,"")&amp;IF(N(AG15)&gt;0,", "&amp;A15&amp;"-"&amp;AG$2,"")&amp;IF(N(AH15)&gt;0,", "&amp;A15&amp;"-"&amp;AH$2,"")&amp;IF(N(AI15)&gt;0,", "&amp;A15&amp;"-"&amp;AI$2,"")&amp;IF(N(AJ15)&gt;0,", "&amp;A15&amp;"-"&amp;AJ$2,""),3,999))</f>
        <v/>
      </c>
      <c r="AN15" s="81"/>
      <c r="AO15" s="88"/>
      <c r="AP15" s="89" t="str">
        <f aca="false">IF(AO15="","",ROUND(AO15/(1+Справочники!$B$13),2))</f>
        <v/>
      </c>
      <c r="AQ15" s="90" t="str">
        <f aca="false" t="array" ref="AQ15:AQ15">IF(AP15="","",AP15*INDEX(Справочники!$B$4:$B$7,MATCH("RUB",Справочники!$A$4:$A$7,0)))</f>
        <v/>
      </c>
      <c r="AR15" s="90" t="str">
        <f aca="false">IF(AQ15="","",ROUND(AQ15*(1+Справочники!$B$12),0))</f>
        <v/>
      </c>
      <c r="AS15" s="90" t="str">
        <f aca="false">IF(AR15="","",ROUND(AR15*(1-Справочники!$B$11),0))</f>
        <v/>
      </c>
      <c r="AT15" s="88"/>
      <c r="AU15" s="90" t="str">
        <f aca="false">IF(AT15="","",ROUND(AT15/(1+Справочники!$B$12),0))</f>
        <v/>
      </c>
      <c r="AV15" s="90" t="str">
        <f aca="false">IF(AT15="","",ROUND(AT15*(1-Справочники!$B$15),0))</f>
        <v/>
      </c>
      <c r="AW15" s="90" t="str">
        <f aca="false">IF(AT15="","",ROUND(AT15*(1-Справочники!$B$16),0))</f>
        <v/>
      </c>
      <c r="AX15" s="90" t="str">
        <f aca="false">IF(AT15="","",ROUND(AT15*(1-Справочники!$B$17),0))</f>
        <v/>
      </c>
      <c r="AY15" s="90" t="str">
        <f aca="false">IF(AT15="","",ROUND(AT15*(1-Справочники!$B$18),0))</f>
        <v/>
      </c>
      <c r="AZ15" s="90" t="str">
        <f aca="false">IF(AT15="","",ROUND(AT15*(1-Справочники!$B$19),0))</f>
        <v/>
      </c>
      <c r="BA15" s="81"/>
      <c r="BB15" s="81"/>
      <c r="BC15" s="81"/>
      <c r="BD15" s="81"/>
      <c r="BE15" s="91"/>
      <c r="BF15" s="81" t="s">
        <v>103</v>
      </c>
      <c r="BG15" s="89" t="n">
        <f aca="false" t="array" ref="BG15:BG15">IF(BF15="","",IFERROR(INDEX(Справочники!$B$4:$B$7,MATCH(BF15,Справочники!$A$4:$A$7,0)),""))</f>
        <v>68.5</v>
      </c>
      <c r="BH15" s="90" t="str">
        <f aca="false">IF(N(BN15)&gt;0,ROUND(SUMIF(ЗАКАЗЫ!$F$3:$F$500,$A15,ЗАКАЗЫ!$Y$3:$Y$500)/BN15,0),IF(OR(BE15="",BG15=""),"",ROUND(BE15*BG15*(1+Справочники!$B$10),0)))</f>
        <v/>
      </c>
      <c r="BI15" s="92" t="str">
        <f aca="false">IF(OR(AU15="",BH15="",AU15=0),"",(AU15-BH15)/AU15)</f>
        <v/>
      </c>
      <c r="BJ15" s="81"/>
      <c r="BK15" s="83"/>
      <c r="BL15" s="43" t="str">
        <f aca="false">IFERROR(INDEX(ЗАКАЗЫ!$N$3:$N$500,MATCH($A15,ЗАКАЗЫ!$F$3:$F$500,0)),"")</f>
        <v/>
      </c>
      <c r="BM15" s="8" t="str">
        <f aca="false">IF(BL15="","",IFERROR(VLOOKUP(BL15,'ТН ВЭД'!$A$4:$C$40,3,0),""))</f>
        <v/>
      </c>
      <c r="BN15" s="7" t="str">
        <f aca="false">IF(COUNTIF(ЗАКАЗЫ!$F$3:$F$500,$A15)=0,"",SUMIF(ЗАКАЗЫ!$F$3:$F$500,$A15,ЗАКАЗЫ!$J$3:$J$500))</f>
        <v/>
      </c>
      <c r="BO15" s="7" t="str">
        <f aca="false">IF(BN15="","",SUMIF(ЗАКАЗЫ!$F$3:$F$500,$A15,ЗАКАЗЫ!$AL$3:$AL$500))</f>
        <v/>
      </c>
      <c r="BP15" s="7" t="str">
        <f aca="false">IF(BN15="","",BN15-BO15)</f>
        <v/>
      </c>
      <c r="BQ15" s="55" t="str">
        <f aca="false">IF(BN15="","",IF(BO15&gt;=BN15,"На складе",IF(BO15&gt;0,"Частично","Ждём")))</f>
        <v/>
      </c>
      <c r="BR15" s="43"/>
      <c r="BS15" s="47" t="str">
        <f aca="false">IF(BN15="","",IF(_xlfn.MAXIFS(ЗАКАЗЫ!$AK$3:$AK$500,ЗАКАЗЫ!$F$3:$F$500,$A15)=0,"",_xlfn.MAXIFS(ЗАКАЗЫ!$AK$3:$AK$500,ЗАКАЗЫ!$F$3:$F$500,$A15)))</f>
        <v/>
      </c>
    </row>
    <row r="16" customFormat="false" ht="15.75" hidden="false" customHeight="true" outlineLevel="0" collapsed="false">
      <c r="A16" s="80" t="s">
        <v>490</v>
      </c>
      <c r="B16" s="81"/>
      <c r="C16" s="82"/>
      <c r="D16" s="81"/>
      <c r="E16" s="83"/>
      <c r="F16" s="81"/>
      <c r="G16" s="83"/>
      <c r="H16" s="83"/>
      <c r="I16" s="84" t="str">
        <f aca="false">IF(E16="","",A16&amp;"_1.jpg")</f>
        <v/>
      </c>
      <c r="J16" s="84" t="str">
        <f aca="false">IF(E16="","",A16&amp;"_2.jpg; "&amp;A16&amp;"_3.jpg")</f>
        <v/>
      </c>
      <c r="K16" s="84" t="str">
        <f aca="false">IF(E16="","",A16&amp;"_schema.jpg")</f>
        <v/>
      </c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 t="s">
        <v>261</v>
      </c>
      <c r="W16" s="81"/>
      <c r="X16" s="81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6" t="str">
        <f aca="false">IF(SUM(Y16:AJ16)=0,"",SUM(Y16:AJ16))</f>
        <v/>
      </c>
      <c r="AL16" s="84" t="str">
        <f aca="false">MID(IF(N(Y16)&gt;0,", "&amp;Y$2,"")&amp;IF(N(Z16)&gt;0,", "&amp;Z$2,"")&amp;IF(N(AA16)&gt;0,", "&amp;AA$2,"")&amp;IF(N(AB16)&gt;0,", "&amp;AB$2,"")&amp;IF(N(AC16)&gt;0,", "&amp;AC$2,"")&amp;IF(N(AD16)&gt;0,", "&amp;AD$2,"")&amp;IF(N(AE16)&gt;0,", "&amp;AE$2,"")&amp;IF(N(AF16)&gt;0,", "&amp;AF$2,"")&amp;IF(N(AG16)&gt;0,", "&amp;AG$2,"")&amp;IF(N(AH16)&gt;0,", "&amp;AH$2,"")&amp;IF(N(AI16)&gt;0,", "&amp;AI$2,"")&amp;IF(N(AJ16)&gt;0,", "&amp;AJ$2,""),3,999)</f>
        <v/>
      </c>
      <c r="AM16" s="87" t="str">
        <f aca="false">IF(E16="","",MID(IF(N(Y16)&gt;0,", "&amp;A16&amp;"-"&amp;Y$2,"")&amp;IF(N(Z16)&gt;0,", "&amp;A16&amp;"-"&amp;Z$2,"")&amp;IF(N(AA16)&gt;0,", "&amp;A16&amp;"-"&amp;AA$2,"")&amp;IF(N(AB16)&gt;0,", "&amp;A16&amp;"-"&amp;AB$2,"")&amp;IF(N(AC16)&gt;0,", "&amp;A16&amp;"-"&amp;AC$2,"")&amp;IF(N(AD16)&gt;0,", "&amp;A16&amp;"-"&amp;AD$2,"")&amp;IF(N(AE16)&gt;0,", "&amp;A16&amp;"-"&amp;AE$2,"")&amp;IF(N(AF16)&gt;0,", "&amp;A16&amp;"-"&amp;AF$2,"")&amp;IF(N(AG16)&gt;0,", "&amp;A16&amp;"-"&amp;AG$2,"")&amp;IF(N(AH16)&gt;0,", "&amp;A16&amp;"-"&amp;AH$2,"")&amp;IF(N(AI16)&gt;0,", "&amp;A16&amp;"-"&amp;AI$2,"")&amp;IF(N(AJ16)&gt;0,", "&amp;A16&amp;"-"&amp;AJ$2,""),3,999))</f>
        <v/>
      </c>
      <c r="AN16" s="81"/>
      <c r="AO16" s="88"/>
      <c r="AP16" s="89" t="str">
        <f aca="false">IF(AO16="","",ROUND(AO16/(1+Справочники!$B$13),2))</f>
        <v/>
      </c>
      <c r="AQ16" s="90" t="str">
        <f aca="false" t="array" ref="AQ16:AQ16">IF(AP16="","",AP16*INDEX(Справочники!$B$4:$B$7,MATCH("RUB",Справочники!$A$4:$A$7,0)))</f>
        <v/>
      </c>
      <c r="AR16" s="90" t="str">
        <f aca="false">IF(AQ16="","",ROUND(AQ16*(1+Справочники!$B$12),0))</f>
        <v/>
      </c>
      <c r="AS16" s="90" t="str">
        <f aca="false">IF(AR16="","",ROUND(AR16*(1-Справочники!$B$11),0))</f>
        <v/>
      </c>
      <c r="AT16" s="88"/>
      <c r="AU16" s="90" t="str">
        <f aca="false">IF(AT16="","",ROUND(AT16/(1+Справочники!$B$12),0))</f>
        <v/>
      </c>
      <c r="AV16" s="90" t="str">
        <f aca="false">IF(AT16="","",ROUND(AT16*(1-Справочники!$B$15),0))</f>
        <v/>
      </c>
      <c r="AW16" s="90" t="str">
        <f aca="false">IF(AT16="","",ROUND(AT16*(1-Справочники!$B$16),0))</f>
        <v/>
      </c>
      <c r="AX16" s="90" t="str">
        <f aca="false">IF(AT16="","",ROUND(AT16*(1-Справочники!$B$17),0))</f>
        <v/>
      </c>
      <c r="AY16" s="90" t="str">
        <f aca="false">IF(AT16="","",ROUND(AT16*(1-Справочники!$B$18),0))</f>
        <v/>
      </c>
      <c r="AZ16" s="90" t="str">
        <f aca="false">IF(AT16="","",ROUND(AT16*(1-Справочники!$B$19),0))</f>
        <v/>
      </c>
      <c r="BA16" s="81"/>
      <c r="BB16" s="81"/>
      <c r="BC16" s="81"/>
      <c r="BD16" s="81"/>
      <c r="BE16" s="91"/>
      <c r="BF16" s="81" t="s">
        <v>103</v>
      </c>
      <c r="BG16" s="89" t="n">
        <f aca="false" t="array" ref="BG16:BG16">IF(BF16="","",IFERROR(INDEX(Справочники!$B$4:$B$7,MATCH(BF16,Справочники!$A$4:$A$7,0)),""))</f>
        <v>68.5</v>
      </c>
      <c r="BH16" s="90" t="str">
        <f aca="false">IF(N(BN16)&gt;0,ROUND(SUMIF(ЗАКАЗЫ!$F$3:$F$500,$A16,ЗАКАЗЫ!$Y$3:$Y$500)/BN16,0),IF(OR(BE16="",BG16=""),"",ROUND(BE16*BG16*(1+Справочники!$B$10),0)))</f>
        <v/>
      </c>
      <c r="BI16" s="92" t="str">
        <f aca="false">IF(OR(AU16="",BH16="",AU16=0),"",(AU16-BH16)/AU16)</f>
        <v/>
      </c>
      <c r="BJ16" s="81"/>
      <c r="BK16" s="83"/>
      <c r="BL16" s="43" t="str">
        <f aca="false">IFERROR(INDEX(ЗАКАЗЫ!$N$3:$N$500,MATCH($A16,ЗАКАЗЫ!$F$3:$F$500,0)),"")</f>
        <v/>
      </c>
      <c r="BM16" s="8" t="str">
        <f aca="false">IF(BL16="","",IFERROR(VLOOKUP(BL16,'ТН ВЭД'!$A$4:$C$40,3,0),""))</f>
        <v/>
      </c>
      <c r="BN16" s="7" t="str">
        <f aca="false">IF(COUNTIF(ЗАКАЗЫ!$F$3:$F$500,$A16)=0,"",SUMIF(ЗАКАЗЫ!$F$3:$F$500,$A16,ЗАКАЗЫ!$J$3:$J$500))</f>
        <v/>
      </c>
      <c r="BO16" s="7" t="str">
        <f aca="false">IF(BN16="","",SUMIF(ЗАКАЗЫ!$F$3:$F$500,$A16,ЗАКАЗЫ!$AL$3:$AL$500))</f>
        <v/>
      </c>
      <c r="BP16" s="7" t="str">
        <f aca="false">IF(BN16="","",BN16-BO16)</f>
        <v/>
      </c>
      <c r="BQ16" s="55" t="str">
        <f aca="false">IF(BN16="","",IF(BO16&gt;=BN16,"На складе",IF(BO16&gt;0,"Частично","Ждём")))</f>
        <v/>
      </c>
      <c r="BR16" s="43"/>
      <c r="BS16" s="47" t="str">
        <f aca="false">IF(BN16="","",IF(_xlfn.MAXIFS(ЗАКАЗЫ!$AK$3:$AK$500,ЗАКАЗЫ!$F$3:$F$500,$A16)=0,"",_xlfn.MAXIFS(ЗАКАЗЫ!$AK$3:$AK$500,ЗАКАЗЫ!$F$3:$F$500,$A16)))</f>
        <v/>
      </c>
    </row>
    <row r="17" customFormat="false" ht="15.75" hidden="false" customHeight="true" outlineLevel="0" collapsed="false">
      <c r="A17" s="80" t="s">
        <v>491</v>
      </c>
      <c r="B17" s="81"/>
      <c r="C17" s="82"/>
      <c r="D17" s="81"/>
      <c r="E17" s="83"/>
      <c r="F17" s="81"/>
      <c r="G17" s="83"/>
      <c r="H17" s="83"/>
      <c r="I17" s="84" t="str">
        <f aca="false">IF(E17="","",A17&amp;"_1.jpg")</f>
        <v/>
      </c>
      <c r="J17" s="84" t="str">
        <f aca="false">IF(E17="","",A17&amp;"_2.jpg; "&amp;A17&amp;"_3.jpg")</f>
        <v/>
      </c>
      <c r="K17" s="84" t="str">
        <f aca="false">IF(E17="","",A17&amp;"_schema.jpg")</f>
        <v/>
      </c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 t="s">
        <v>261</v>
      </c>
      <c r="W17" s="81"/>
      <c r="X17" s="81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6" t="str">
        <f aca="false">IF(SUM(Y17:AJ17)=0,"",SUM(Y17:AJ17))</f>
        <v/>
      </c>
      <c r="AL17" s="84" t="str">
        <f aca="false">MID(IF(N(Y17)&gt;0,", "&amp;Y$2,"")&amp;IF(N(Z17)&gt;0,", "&amp;Z$2,"")&amp;IF(N(AA17)&gt;0,", "&amp;AA$2,"")&amp;IF(N(AB17)&gt;0,", "&amp;AB$2,"")&amp;IF(N(AC17)&gt;0,", "&amp;AC$2,"")&amp;IF(N(AD17)&gt;0,", "&amp;AD$2,"")&amp;IF(N(AE17)&gt;0,", "&amp;AE$2,"")&amp;IF(N(AF17)&gt;0,", "&amp;AF$2,"")&amp;IF(N(AG17)&gt;0,", "&amp;AG$2,"")&amp;IF(N(AH17)&gt;0,", "&amp;AH$2,"")&amp;IF(N(AI17)&gt;0,", "&amp;AI$2,"")&amp;IF(N(AJ17)&gt;0,", "&amp;AJ$2,""),3,999)</f>
        <v/>
      </c>
      <c r="AM17" s="87" t="str">
        <f aca="false">IF(E17="","",MID(IF(N(Y17)&gt;0,", "&amp;A17&amp;"-"&amp;Y$2,"")&amp;IF(N(Z17)&gt;0,", "&amp;A17&amp;"-"&amp;Z$2,"")&amp;IF(N(AA17)&gt;0,", "&amp;A17&amp;"-"&amp;AA$2,"")&amp;IF(N(AB17)&gt;0,", "&amp;A17&amp;"-"&amp;AB$2,"")&amp;IF(N(AC17)&gt;0,", "&amp;A17&amp;"-"&amp;AC$2,"")&amp;IF(N(AD17)&gt;0,", "&amp;A17&amp;"-"&amp;AD$2,"")&amp;IF(N(AE17)&gt;0,", "&amp;A17&amp;"-"&amp;AE$2,"")&amp;IF(N(AF17)&gt;0,", "&amp;A17&amp;"-"&amp;AF$2,"")&amp;IF(N(AG17)&gt;0,", "&amp;A17&amp;"-"&amp;AG$2,"")&amp;IF(N(AH17)&gt;0,", "&amp;A17&amp;"-"&amp;AH$2,"")&amp;IF(N(AI17)&gt;0,", "&amp;A17&amp;"-"&amp;AI$2,"")&amp;IF(N(AJ17)&gt;0,", "&amp;A17&amp;"-"&amp;AJ$2,""),3,999))</f>
        <v/>
      </c>
      <c r="AN17" s="81"/>
      <c r="AO17" s="88"/>
      <c r="AP17" s="89" t="str">
        <f aca="false">IF(AO17="","",ROUND(AO17/(1+Справочники!$B$13),2))</f>
        <v/>
      </c>
      <c r="AQ17" s="90" t="str">
        <f aca="false" t="array" ref="AQ17:AQ17">IF(AP17="","",AP17*INDEX(Справочники!$B$4:$B$7,MATCH("RUB",Справочники!$A$4:$A$7,0)))</f>
        <v/>
      </c>
      <c r="AR17" s="90" t="str">
        <f aca="false">IF(AQ17="","",ROUND(AQ17*(1+Справочники!$B$12),0))</f>
        <v/>
      </c>
      <c r="AS17" s="90" t="str">
        <f aca="false">IF(AR17="","",ROUND(AR17*(1-Справочники!$B$11),0))</f>
        <v/>
      </c>
      <c r="AT17" s="88"/>
      <c r="AU17" s="90" t="str">
        <f aca="false">IF(AT17="","",ROUND(AT17/(1+Справочники!$B$12),0))</f>
        <v/>
      </c>
      <c r="AV17" s="90" t="str">
        <f aca="false">IF(AT17="","",ROUND(AT17*(1-Справочники!$B$15),0))</f>
        <v/>
      </c>
      <c r="AW17" s="90" t="str">
        <f aca="false">IF(AT17="","",ROUND(AT17*(1-Справочники!$B$16),0))</f>
        <v/>
      </c>
      <c r="AX17" s="90" t="str">
        <f aca="false">IF(AT17="","",ROUND(AT17*(1-Справочники!$B$17),0))</f>
        <v/>
      </c>
      <c r="AY17" s="90" t="str">
        <f aca="false">IF(AT17="","",ROUND(AT17*(1-Справочники!$B$18),0))</f>
        <v/>
      </c>
      <c r="AZ17" s="90" t="str">
        <f aca="false">IF(AT17="","",ROUND(AT17*(1-Справочники!$B$19),0))</f>
        <v/>
      </c>
      <c r="BA17" s="81"/>
      <c r="BB17" s="81"/>
      <c r="BC17" s="81"/>
      <c r="BD17" s="81"/>
      <c r="BE17" s="91"/>
      <c r="BF17" s="81" t="s">
        <v>103</v>
      </c>
      <c r="BG17" s="89" t="n">
        <f aca="false" t="array" ref="BG17:BG17">IF(BF17="","",IFERROR(INDEX(Справочники!$B$4:$B$7,MATCH(BF17,Справочники!$A$4:$A$7,0)),""))</f>
        <v>68.5</v>
      </c>
      <c r="BH17" s="90" t="str">
        <f aca="false">IF(N(BN17)&gt;0,ROUND(SUMIF(ЗАКАЗЫ!$F$3:$F$500,$A17,ЗАКАЗЫ!$Y$3:$Y$500)/BN17,0),IF(OR(BE17="",BG17=""),"",ROUND(BE17*BG17*(1+Справочники!$B$10),0)))</f>
        <v/>
      </c>
      <c r="BI17" s="92" t="str">
        <f aca="false">IF(OR(AU17="",BH17="",AU17=0),"",(AU17-BH17)/AU17)</f>
        <v/>
      </c>
      <c r="BJ17" s="81"/>
      <c r="BK17" s="83"/>
      <c r="BL17" s="43" t="str">
        <f aca="false">IFERROR(INDEX(ЗАКАЗЫ!$N$3:$N$500,MATCH($A17,ЗАКАЗЫ!$F$3:$F$500,0)),"")</f>
        <v/>
      </c>
      <c r="BM17" s="8" t="str">
        <f aca="false">IF(BL17="","",IFERROR(VLOOKUP(BL17,'ТН ВЭД'!$A$4:$C$40,3,0),""))</f>
        <v/>
      </c>
      <c r="BN17" s="7" t="str">
        <f aca="false">IF(COUNTIF(ЗАКАЗЫ!$F$3:$F$500,$A17)=0,"",SUMIF(ЗАКАЗЫ!$F$3:$F$500,$A17,ЗАКАЗЫ!$J$3:$J$500))</f>
        <v/>
      </c>
      <c r="BO17" s="7" t="str">
        <f aca="false">IF(BN17="","",SUMIF(ЗАКАЗЫ!$F$3:$F$500,$A17,ЗАКАЗЫ!$AL$3:$AL$500))</f>
        <v/>
      </c>
      <c r="BP17" s="7" t="str">
        <f aca="false">IF(BN17="","",BN17-BO17)</f>
        <v/>
      </c>
      <c r="BQ17" s="55" t="str">
        <f aca="false">IF(BN17="","",IF(BO17&gt;=BN17,"На складе",IF(BO17&gt;0,"Частично","Ждём")))</f>
        <v/>
      </c>
      <c r="BR17" s="43"/>
      <c r="BS17" s="47" t="str">
        <f aca="false">IF(BN17="","",IF(_xlfn.MAXIFS(ЗАКАЗЫ!$AK$3:$AK$500,ЗАКАЗЫ!$F$3:$F$500,$A17)=0,"",_xlfn.MAXIFS(ЗАКАЗЫ!$AK$3:$AK$500,ЗАКАЗЫ!$F$3:$F$500,$A17)))</f>
        <v/>
      </c>
    </row>
    <row r="18" customFormat="false" ht="15.75" hidden="false" customHeight="true" outlineLevel="0" collapsed="false">
      <c r="A18" s="80" t="s">
        <v>492</v>
      </c>
      <c r="B18" s="81"/>
      <c r="C18" s="82"/>
      <c r="D18" s="81"/>
      <c r="E18" s="83"/>
      <c r="F18" s="81"/>
      <c r="G18" s="83"/>
      <c r="H18" s="83"/>
      <c r="I18" s="84" t="str">
        <f aca="false">IF(E18="","",A18&amp;"_1.jpg")</f>
        <v/>
      </c>
      <c r="J18" s="84" t="str">
        <f aca="false">IF(E18="","",A18&amp;"_2.jpg; "&amp;A18&amp;"_3.jpg")</f>
        <v/>
      </c>
      <c r="K18" s="84" t="str">
        <f aca="false">IF(E18="","",A18&amp;"_schema.jpg")</f>
        <v/>
      </c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 t="s">
        <v>261</v>
      </c>
      <c r="W18" s="81"/>
      <c r="X18" s="81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6" t="str">
        <f aca="false">IF(SUM(Y18:AJ18)=0,"",SUM(Y18:AJ18))</f>
        <v/>
      </c>
      <c r="AL18" s="84" t="str">
        <f aca="false">MID(IF(N(Y18)&gt;0,", "&amp;Y$2,"")&amp;IF(N(Z18)&gt;0,", "&amp;Z$2,"")&amp;IF(N(AA18)&gt;0,", "&amp;AA$2,"")&amp;IF(N(AB18)&gt;0,", "&amp;AB$2,"")&amp;IF(N(AC18)&gt;0,", "&amp;AC$2,"")&amp;IF(N(AD18)&gt;0,", "&amp;AD$2,"")&amp;IF(N(AE18)&gt;0,", "&amp;AE$2,"")&amp;IF(N(AF18)&gt;0,", "&amp;AF$2,"")&amp;IF(N(AG18)&gt;0,", "&amp;AG$2,"")&amp;IF(N(AH18)&gt;0,", "&amp;AH$2,"")&amp;IF(N(AI18)&gt;0,", "&amp;AI$2,"")&amp;IF(N(AJ18)&gt;0,", "&amp;AJ$2,""),3,999)</f>
        <v/>
      </c>
      <c r="AM18" s="87" t="str">
        <f aca="false">IF(E18="","",MID(IF(N(Y18)&gt;0,", "&amp;A18&amp;"-"&amp;Y$2,"")&amp;IF(N(Z18)&gt;0,", "&amp;A18&amp;"-"&amp;Z$2,"")&amp;IF(N(AA18)&gt;0,", "&amp;A18&amp;"-"&amp;AA$2,"")&amp;IF(N(AB18)&gt;0,", "&amp;A18&amp;"-"&amp;AB$2,"")&amp;IF(N(AC18)&gt;0,", "&amp;A18&amp;"-"&amp;AC$2,"")&amp;IF(N(AD18)&gt;0,", "&amp;A18&amp;"-"&amp;AD$2,"")&amp;IF(N(AE18)&gt;0,", "&amp;A18&amp;"-"&amp;AE$2,"")&amp;IF(N(AF18)&gt;0,", "&amp;A18&amp;"-"&amp;AF$2,"")&amp;IF(N(AG18)&gt;0,", "&amp;A18&amp;"-"&amp;AG$2,"")&amp;IF(N(AH18)&gt;0,", "&amp;A18&amp;"-"&amp;AH$2,"")&amp;IF(N(AI18)&gt;0,", "&amp;A18&amp;"-"&amp;AI$2,"")&amp;IF(N(AJ18)&gt;0,", "&amp;A18&amp;"-"&amp;AJ$2,""),3,999))</f>
        <v/>
      </c>
      <c r="AN18" s="81"/>
      <c r="AO18" s="88"/>
      <c r="AP18" s="89" t="str">
        <f aca="false">IF(AO18="","",ROUND(AO18/(1+Справочники!$B$13),2))</f>
        <v/>
      </c>
      <c r="AQ18" s="90" t="str">
        <f aca="false" t="array" ref="AQ18:AQ18">IF(AP18="","",AP18*INDEX(Справочники!$B$4:$B$7,MATCH("RUB",Справочники!$A$4:$A$7,0)))</f>
        <v/>
      </c>
      <c r="AR18" s="90" t="str">
        <f aca="false">IF(AQ18="","",ROUND(AQ18*(1+Справочники!$B$12),0))</f>
        <v/>
      </c>
      <c r="AS18" s="90" t="str">
        <f aca="false">IF(AR18="","",ROUND(AR18*(1-Справочники!$B$11),0))</f>
        <v/>
      </c>
      <c r="AT18" s="88"/>
      <c r="AU18" s="90" t="str">
        <f aca="false">IF(AT18="","",ROUND(AT18/(1+Справочники!$B$12),0))</f>
        <v/>
      </c>
      <c r="AV18" s="90" t="str">
        <f aca="false">IF(AT18="","",ROUND(AT18*(1-Справочники!$B$15),0))</f>
        <v/>
      </c>
      <c r="AW18" s="90" t="str">
        <f aca="false">IF(AT18="","",ROUND(AT18*(1-Справочники!$B$16),0))</f>
        <v/>
      </c>
      <c r="AX18" s="90" t="str">
        <f aca="false">IF(AT18="","",ROUND(AT18*(1-Справочники!$B$17),0))</f>
        <v/>
      </c>
      <c r="AY18" s="90" t="str">
        <f aca="false">IF(AT18="","",ROUND(AT18*(1-Справочники!$B$18),0))</f>
        <v/>
      </c>
      <c r="AZ18" s="90" t="str">
        <f aca="false">IF(AT18="","",ROUND(AT18*(1-Справочники!$B$19),0))</f>
        <v/>
      </c>
      <c r="BA18" s="81"/>
      <c r="BB18" s="81"/>
      <c r="BC18" s="81"/>
      <c r="BD18" s="81"/>
      <c r="BE18" s="91"/>
      <c r="BF18" s="81" t="s">
        <v>103</v>
      </c>
      <c r="BG18" s="89" t="n">
        <f aca="false" t="array" ref="BG18:BG18">IF(BF18="","",IFERROR(INDEX(Справочники!$B$4:$B$7,MATCH(BF18,Справочники!$A$4:$A$7,0)),""))</f>
        <v>68.5</v>
      </c>
      <c r="BH18" s="90" t="str">
        <f aca="false">IF(N(BN18)&gt;0,ROUND(SUMIF(ЗАКАЗЫ!$F$3:$F$500,$A18,ЗАКАЗЫ!$Y$3:$Y$500)/BN18,0),IF(OR(BE18="",BG18=""),"",ROUND(BE18*BG18*(1+Справочники!$B$10),0)))</f>
        <v/>
      </c>
      <c r="BI18" s="92" t="str">
        <f aca="false">IF(OR(AU18="",BH18="",AU18=0),"",(AU18-BH18)/AU18)</f>
        <v/>
      </c>
      <c r="BJ18" s="81"/>
      <c r="BK18" s="83"/>
      <c r="BL18" s="43" t="str">
        <f aca="false">IFERROR(INDEX(ЗАКАЗЫ!$N$3:$N$500,MATCH($A18,ЗАКАЗЫ!$F$3:$F$500,0)),"")</f>
        <v/>
      </c>
      <c r="BM18" s="8" t="str">
        <f aca="false">IF(BL18="","",IFERROR(VLOOKUP(BL18,'ТН ВЭД'!$A$4:$C$40,3,0),""))</f>
        <v/>
      </c>
      <c r="BN18" s="7" t="str">
        <f aca="false">IF(COUNTIF(ЗАКАЗЫ!$F$3:$F$500,$A18)=0,"",SUMIF(ЗАКАЗЫ!$F$3:$F$500,$A18,ЗАКАЗЫ!$J$3:$J$500))</f>
        <v/>
      </c>
      <c r="BO18" s="7" t="str">
        <f aca="false">IF(BN18="","",SUMIF(ЗАКАЗЫ!$F$3:$F$500,$A18,ЗАКАЗЫ!$AL$3:$AL$500))</f>
        <v/>
      </c>
      <c r="BP18" s="7" t="str">
        <f aca="false">IF(BN18="","",BN18-BO18)</f>
        <v/>
      </c>
      <c r="BQ18" s="55" t="str">
        <f aca="false">IF(BN18="","",IF(BO18&gt;=BN18,"На складе",IF(BO18&gt;0,"Частично","Ждём")))</f>
        <v/>
      </c>
      <c r="BR18" s="43"/>
      <c r="BS18" s="47" t="str">
        <f aca="false">IF(BN18="","",IF(_xlfn.MAXIFS(ЗАКАЗЫ!$AK$3:$AK$500,ЗАКАЗЫ!$F$3:$F$500,$A18)=0,"",_xlfn.MAXIFS(ЗАКАЗЫ!$AK$3:$AK$500,ЗАКАЗЫ!$F$3:$F$500,$A18)))</f>
        <v/>
      </c>
    </row>
    <row r="19" customFormat="false" ht="15.75" hidden="false" customHeight="true" outlineLevel="0" collapsed="false">
      <c r="A19" s="80" t="s">
        <v>493</v>
      </c>
      <c r="B19" s="81"/>
      <c r="C19" s="82"/>
      <c r="D19" s="81"/>
      <c r="E19" s="83"/>
      <c r="F19" s="81"/>
      <c r="G19" s="83"/>
      <c r="H19" s="83"/>
      <c r="I19" s="84" t="str">
        <f aca="false">IF(E19="","",A19&amp;"_1.jpg")</f>
        <v/>
      </c>
      <c r="J19" s="84" t="str">
        <f aca="false">IF(E19="","",A19&amp;"_2.jpg; "&amp;A19&amp;"_3.jpg")</f>
        <v/>
      </c>
      <c r="K19" s="84" t="str">
        <f aca="false">IF(E19="","",A19&amp;"_schema.jpg")</f>
        <v/>
      </c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 t="s">
        <v>261</v>
      </c>
      <c r="W19" s="81"/>
      <c r="X19" s="81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6" t="str">
        <f aca="false">IF(SUM(Y19:AJ19)=0,"",SUM(Y19:AJ19))</f>
        <v/>
      </c>
      <c r="AL19" s="84" t="str">
        <f aca="false">MID(IF(N(Y19)&gt;0,", "&amp;Y$2,"")&amp;IF(N(Z19)&gt;0,", "&amp;Z$2,"")&amp;IF(N(AA19)&gt;0,", "&amp;AA$2,"")&amp;IF(N(AB19)&gt;0,", "&amp;AB$2,"")&amp;IF(N(AC19)&gt;0,", "&amp;AC$2,"")&amp;IF(N(AD19)&gt;0,", "&amp;AD$2,"")&amp;IF(N(AE19)&gt;0,", "&amp;AE$2,"")&amp;IF(N(AF19)&gt;0,", "&amp;AF$2,"")&amp;IF(N(AG19)&gt;0,", "&amp;AG$2,"")&amp;IF(N(AH19)&gt;0,", "&amp;AH$2,"")&amp;IF(N(AI19)&gt;0,", "&amp;AI$2,"")&amp;IF(N(AJ19)&gt;0,", "&amp;AJ$2,""),3,999)</f>
        <v/>
      </c>
      <c r="AM19" s="87" t="str">
        <f aca="false">IF(E19="","",MID(IF(N(Y19)&gt;0,", "&amp;A19&amp;"-"&amp;Y$2,"")&amp;IF(N(Z19)&gt;0,", "&amp;A19&amp;"-"&amp;Z$2,"")&amp;IF(N(AA19)&gt;0,", "&amp;A19&amp;"-"&amp;AA$2,"")&amp;IF(N(AB19)&gt;0,", "&amp;A19&amp;"-"&amp;AB$2,"")&amp;IF(N(AC19)&gt;0,", "&amp;A19&amp;"-"&amp;AC$2,"")&amp;IF(N(AD19)&gt;0,", "&amp;A19&amp;"-"&amp;AD$2,"")&amp;IF(N(AE19)&gt;0,", "&amp;A19&amp;"-"&amp;AE$2,"")&amp;IF(N(AF19)&gt;0,", "&amp;A19&amp;"-"&amp;AF$2,"")&amp;IF(N(AG19)&gt;0,", "&amp;A19&amp;"-"&amp;AG$2,"")&amp;IF(N(AH19)&gt;0,", "&amp;A19&amp;"-"&amp;AH$2,"")&amp;IF(N(AI19)&gt;0,", "&amp;A19&amp;"-"&amp;AI$2,"")&amp;IF(N(AJ19)&gt;0,", "&amp;A19&amp;"-"&amp;AJ$2,""),3,999))</f>
        <v/>
      </c>
      <c r="AN19" s="81"/>
      <c r="AO19" s="88"/>
      <c r="AP19" s="89" t="str">
        <f aca="false">IF(AO19="","",ROUND(AO19/(1+Справочники!$B$13),2))</f>
        <v/>
      </c>
      <c r="AQ19" s="90" t="str">
        <f aca="false" t="array" ref="AQ19:AQ19">IF(AP19="","",AP19*INDEX(Справочники!$B$4:$B$7,MATCH("RUB",Справочники!$A$4:$A$7,0)))</f>
        <v/>
      </c>
      <c r="AR19" s="90" t="str">
        <f aca="false">IF(AQ19="","",ROUND(AQ19*(1+Справочники!$B$12),0))</f>
        <v/>
      </c>
      <c r="AS19" s="90" t="str">
        <f aca="false">IF(AR19="","",ROUND(AR19*(1-Справочники!$B$11),0))</f>
        <v/>
      </c>
      <c r="AT19" s="88"/>
      <c r="AU19" s="90" t="str">
        <f aca="false">IF(AT19="","",ROUND(AT19/(1+Справочники!$B$12),0))</f>
        <v/>
      </c>
      <c r="AV19" s="90" t="str">
        <f aca="false">IF(AT19="","",ROUND(AT19*(1-Справочники!$B$15),0))</f>
        <v/>
      </c>
      <c r="AW19" s="90" t="str">
        <f aca="false">IF(AT19="","",ROUND(AT19*(1-Справочники!$B$16),0))</f>
        <v/>
      </c>
      <c r="AX19" s="90" t="str">
        <f aca="false">IF(AT19="","",ROUND(AT19*(1-Справочники!$B$17),0))</f>
        <v/>
      </c>
      <c r="AY19" s="90" t="str">
        <f aca="false">IF(AT19="","",ROUND(AT19*(1-Справочники!$B$18),0))</f>
        <v/>
      </c>
      <c r="AZ19" s="90" t="str">
        <f aca="false">IF(AT19="","",ROUND(AT19*(1-Справочники!$B$19),0))</f>
        <v/>
      </c>
      <c r="BA19" s="81"/>
      <c r="BB19" s="81"/>
      <c r="BC19" s="81"/>
      <c r="BD19" s="81"/>
      <c r="BE19" s="91"/>
      <c r="BF19" s="81" t="s">
        <v>103</v>
      </c>
      <c r="BG19" s="89" t="n">
        <f aca="false" t="array" ref="BG19:BG19">IF(BF19="","",IFERROR(INDEX(Справочники!$B$4:$B$7,MATCH(BF19,Справочники!$A$4:$A$7,0)),""))</f>
        <v>68.5</v>
      </c>
      <c r="BH19" s="90" t="str">
        <f aca="false">IF(N(BN19)&gt;0,ROUND(SUMIF(ЗАКАЗЫ!$F$3:$F$500,$A19,ЗАКАЗЫ!$Y$3:$Y$500)/BN19,0),IF(OR(BE19="",BG19=""),"",ROUND(BE19*BG19*(1+Справочники!$B$10),0)))</f>
        <v/>
      </c>
      <c r="BI19" s="92" t="str">
        <f aca="false">IF(OR(AU19="",BH19="",AU19=0),"",(AU19-BH19)/AU19)</f>
        <v/>
      </c>
      <c r="BJ19" s="81"/>
      <c r="BK19" s="83"/>
      <c r="BL19" s="43" t="str">
        <f aca="false">IFERROR(INDEX(ЗАКАЗЫ!$N$3:$N$500,MATCH($A19,ЗАКАЗЫ!$F$3:$F$500,0)),"")</f>
        <v/>
      </c>
      <c r="BM19" s="8" t="str">
        <f aca="false">IF(BL19="","",IFERROR(VLOOKUP(BL19,'ТН ВЭД'!$A$4:$C$40,3,0),""))</f>
        <v/>
      </c>
      <c r="BN19" s="7" t="str">
        <f aca="false">IF(COUNTIF(ЗАКАЗЫ!$F$3:$F$500,$A19)=0,"",SUMIF(ЗАКАЗЫ!$F$3:$F$500,$A19,ЗАКАЗЫ!$J$3:$J$500))</f>
        <v/>
      </c>
      <c r="BO19" s="7" t="str">
        <f aca="false">IF(BN19="","",SUMIF(ЗАКАЗЫ!$F$3:$F$500,$A19,ЗАКАЗЫ!$AL$3:$AL$500))</f>
        <v/>
      </c>
      <c r="BP19" s="7" t="str">
        <f aca="false">IF(BN19="","",BN19-BO19)</f>
        <v/>
      </c>
      <c r="BQ19" s="55" t="str">
        <f aca="false">IF(BN19="","",IF(BO19&gt;=BN19,"На складе",IF(BO19&gt;0,"Частично","Ждём")))</f>
        <v/>
      </c>
      <c r="BR19" s="43"/>
      <c r="BS19" s="47" t="str">
        <f aca="false">IF(BN19="","",IF(_xlfn.MAXIFS(ЗАКАЗЫ!$AK$3:$AK$500,ЗАКАЗЫ!$F$3:$F$500,$A19)=0,"",_xlfn.MAXIFS(ЗАКАЗЫ!$AK$3:$AK$500,ЗАКАЗЫ!$F$3:$F$500,$A19)))</f>
        <v/>
      </c>
    </row>
    <row r="20" customFormat="false" ht="15.75" hidden="false" customHeight="true" outlineLevel="0" collapsed="false">
      <c r="A20" s="80" t="s">
        <v>494</v>
      </c>
      <c r="B20" s="81"/>
      <c r="C20" s="82"/>
      <c r="D20" s="81"/>
      <c r="E20" s="83"/>
      <c r="F20" s="81"/>
      <c r="G20" s="83"/>
      <c r="H20" s="83"/>
      <c r="I20" s="84" t="str">
        <f aca="false">IF(E20="","",A20&amp;"_1.jpg")</f>
        <v/>
      </c>
      <c r="J20" s="84" t="str">
        <f aca="false">IF(E20="","",A20&amp;"_2.jpg; "&amp;A20&amp;"_3.jpg")</f>
        <v/>
      </c>
      <c r="K20" s="84" t="str">
        <f aca="false">IF(E20="","",A20&amp;"_schema.jpg")</f>
        <v/>
      </c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 t="s">
        <v>261</v>
      </c>
      <c r="W20" s="81"/>
      <c r="X20" s="81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6" t="str">
        <f aca="false">IF(SUM(Y20:AJ20)=0,"",SUM(Y20:AJ20))</f>
        <v/>
      </c>
      <c r="AL20" s="84" t="str">
        <f aca="false">MID(IF(N(Y20)&gt;0,", "&amp;Y$2,"")&amp;IF(N(Z20)&gt;0,", "&amp;Z$2,"")&amp;IF(N(AA20)&gt;0,", "&amp;AA$2,"")&amp;IF(N(AB20)&gt;0,", "&amp;AB$2,"")&amp;IF(N(AC20)&gt;0,", "&amp;AC$2,"")&amp;IF(N(AD20)&gt;0,", "&amp;AD$2,"")&amp;IF(N(AE20)&gt;0,", "&amp;AE$2,"")&amp;IF(N(AF20)&gt;0,", "&amp;AF$2,"")&amp;IF(N(AG20)&gt;0,", "&amp;AG$2,"")&amp;IF(N(AH20)&gt;0,", "&amp;AH$2,"")&amp;IF(N(AI20)&gt;0,", "&amp;AI$2,"")&amp;IF(N(AJ20)&gt;0,", "&amp;AJ$2,""),3,999)</f>
        <v/>
      </c>
      <c r="AM20" s="87" t="str">
        <f aca="false">IF(E20="","",MID(IF(N(Y20)&gt;0,", "&amp;A20&amp;"-"&amp;Y$2,"")&amp;IF(N(Z20)&gt;0,", "&amp;A20&amp;"-"&amp;Z$2,"")&amp;IF(N(AA20)&gt;0,", "&amp;A20&amp;"-"&amp;AA$2,"")&amp;IF(N(AB20)&gt;0,", "&amp;A20&amp;"-"&amp;AB$2,"")&amp;IF(N(AC20)&gt;0,", "&amp;A20&amp;"-"&amp;AC$2,"")&amp;IF(N(AD20)&gt;0,", "&amp;A20&amp;"-"&amp;AD$2,"")&amp;IF(N(AE20)&gt;0,", "&amp;A20&amp;"-"&amp;AE$2,"")&amp;IF(N(AF20)&gt;0,", "&amp;A20&amp;"-"&amp;AF$2,"")&amp;IF(N(AG20)&gt;0,", "&amp;A20&amp;"-"&amp;AG$2,"")&amp;IF(N(AH20)&gt;0,", "&amp;A20&amp;"-"&amp;AH$2,"")&amp;IF(N(AI20)&gt;0,", "&amp;A20&amp;"-"&amp;AI$2,"")&amp;IF(N(AJ20)&gt;0,", "&amp;A20&amp;"-"&amp;AJ$2,""),3,999))</f>
        <v/>
      </c>
      <c r="AN20" s="81"/>
      <c r="AO20" s="88"/>
      <c r="AP20" s="89" t="str">
        <f aca="false">IF(AO20="","",ROUND(AO20/(1+Справочники!$B$13),2))</f>
        <v/>
      </c>
      <c r="AQ20" s="90" t="str">
        <f aca="false" t="array" ref="AQ20:AQ20">IF(AP20="","",AP20*INDEX(Справочники!$B$4:$B$7,MATCH("RUB",Справочники!$A$4:$A$7,0)))</f>
        <v/>
      </c>
      <c r="AR20" s="90" t="str">
        <f aca="false">IF(AQ20="","",ROUND(AQ20*(1+Справочники!$B$12),0))</f>
        <v/>
      </c>
      <c r="AS20" s="90" t="str">
        <f aca="false">IF(AR20="","",ROUND(AR20*(1-Справочники!$B$11),0))</f>
        <v/>
      </c>
      <c r="AT20" s="88"/>
      <c r="AU20" s="90" t="str">
        <f aca="false">IF(AT20="","",ROUND(AT20/(1+Справочники!$B$12),0))</f>
        <v/>
      </c>
      <c r="AV20" s="90" t="str">
        <f aca="false">IF(AT20="","",ROUND(AT20*(1-Справочники!$B$15),0))</f>
        <v/>
      </c>
      <c r="AW20" s="90" t="str">
        <f aca="false">IF(AT20="","",ROUND(AT20*(1-Справочники!$B$16),0))</f>
        <v/>
      </c>
      <c r="AX20" s="90" t="str">
        <f aca="false">IF(AT20="","",ROUND(AT20*(1-Справочники!$B$17),0))</f>
        <v/>
      </c>
      <c r="AY20" s="90" t="str">
        <f aca="false">IF(AT20="","",ROUND(AT20*(1-Справочники!$B$18),0))</f>
        <v/>
      </c>
      <c r="AZ20" s="90" t="str">
        <f aca="false">IF(AT20="","",ROUND(AT20*(1-Справочники!$B$19),0))</f>
        <v/>
      </c>
      <c r="BA20" s="81"/>
      <c r="BB20" s="81"/>
      <c r="BC20" s="81"/>
      <c r="BD20" s="81"/>
      <c r="BE20" s="91"/>
      <c r="BF20" s="81" t="s">
        <v>103</v>
      </c>
      <c r="BG20" s="89" t="n">
        <f aca="false" t="array" ref="BG20:BG20">IF(BF20="","",IFERROR(INDEX(Справочники!$B$4:$B$7,MATCH(BF20,Справочники!$A$4:$A$7,0)),""))</f>
        <v>68.5</v>
      </c>
      <c r="BH20" s="90" t="str">
        <f aca="false">IF(N(BN20)&gt;0,ROUND(SUMIF(ЗАКАЗЫ!$F$3:$F$500,$A20,ЗАКАЗЫ!$Y$3:$Y$500)/BN20,0),IF(OR(BE20="",BG20=""),"",ROUND(BE20*BG20*(1+Справочники!$B$10),0)))</f>
        <v/>
      </c>
      <c r="BI20" s="92" t="str">
        <f aca="false">IF(OR(AU20="",BH20="",AU20=0),"",(AU20-BH20)/AU20)</f>
        <v/>
      </c>
      <c r="BJ20" s="81"/>
      <c r="BK20" s="83"/>
      <c r="BL20" s="43" t="str">
        <f aca="false">IFERROR(INDEX(ЗАКАЗЫ!$N$3:$N$500,MATCH($A20,ЗАКАЗЫ!$F$3:$F$500,0)),"")</f>
        <v/>
      </c>
      <c r="BM20" s="8" t="str">
        <f aca="false">IF(BL20="","",IFERROR(VLOOKUP(BL20,'ТН ВЭД'!$A$4:$C$40,3,0),""))</f>
        <v/>
      </c>
      <c r="BN20" s="7" t="str">
        <f aca="false">IF(COUNTIF(ЗАКАЗЫ!$F$3:$F$500,$A20)=0,"",SUMIF(ЗАКАЗЫ!$F$3:$F$500,$A20,ЗАКАЗЫ!$J$3:$J$500))</f>
        <v/>
      </c>
      <c r="BO20" s="7" t="str">
        <f aca="false">IF(BN20="","",SUMIF(ЗАКАЗЫ!$F$3:$F$500,$A20,ЗАКАЗЫ!$AL$3:$AL$500))</f>
        <v/>
      </c>
      <c r="BP20" s="7" t="str">
        <f aca="false">IF(BN20="","",BN20-BO20)</f>
        <v/>
      </c>
      <c r="BQ20" s="55" t="str">
        <f aca="false">IF(BN20="","",IF(BO20&gt;=BN20,"На складе",IF(BO20&gt;0,"Частично","Ждём")))</f>
        <v/>
      </c>
      <c r="BR20" s="43"/>
      <c r="BS20" s="47" t="str">
        <f aca="false">IF(BN20="","",IF(_xlfn.MAXIFS(ЗАКАЗЫ!$AK$3:$AK$500,ЗАКАЗЫ!$F$3:$F$500,$A20)=0,"",_xlfn.MAXIFS(ЗАКАЗЫ!$AK$3:$AK$500,ЗАКАЗЫ!$F$3:$F$500,$A20)))</f>
        <v/>
      </c>
    </row>
    <row r="21" customFormat="false" ht="15.75" hidden="false" customHeight="true" outlineLevel="0" collapsed="false">
      <c r="A21" s="80" t="s">
        <v>495</v>
      </c>
      <c r="B21" s="81"/>
      <c r="C21" s="82"/>
      <c r="D21" s="81"/>
      <c r="E21" s="83"/>
      <c r="F21" s="81"/>
      <c r="G21" s="83"/>
      <c r="H21" s="83"/>
      <c r="I21" s="84" t="str">
        <f aca="false">IF(E21="","",A21&amp;"_1.jpg")</f>
        <v/>
      </c>
      <c r="J21" s="84" t="str">
        <f aca="false">IF(E21="","",A21&amp;"_2.jpg; "&amp;A21&amp;"_3.jpg")</f>
        <v/>
      </c>
      <c r="K21" s="84" t="str">
        <f aca="false">IF(E21="","",A21&amp;"_schema.jpg")</f>
        <v/>
      </c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 t="s">
        <v>261</v>
      </c>
      <c r="W21" s="81"/>
      <c r="X21" s="81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6" t="str">
        <f aca="false">IF(SUM(Y21:AJ21)=0,"",SUM(Y21:AJ21))</f>
        <v/>
      </c>
      <c r="AL21" s="84" t="str">
        <f aca="false">MID(IF(N(Y21)&gt;0,", "&amp;Y$2,"")&amp;IF(N(Z21)&gt;0,", "&amp;Z$2,"")&amp;IF(N(AA21)&gt;0,", "&amp;AA$2,"")&amp;IF(N(AB21)&gt;0,", "&amp;AB$2,"")&amp;IF(N(AC21)&gt;0,", "&amp;AC$2,"")&amp;IF(N(AD21)&gt;0,", "&amp;AD$2,"")&amp;IF(N(AE21)&gt;0,", "&amp;AE$2,"")&amp;IF(N(AF21)&gt;0,", "&amp;AF$2,"")&amp;IF(N(AG21)&gt;0,", "&amp;AG$2,"")&amp;IF(N(AH21)&gt;0,", "&amp;AH$2,"")&amp;IF(N(AI21)&gt;0,", "&amp;AI$2,"")&amp;IF(N(AJ21)&gt;0,", "&amp;AJ$2,""),3,999)</f>
        <v/>
      </c>
      <c r="AM21" s="87" t="str">
        <f aca="false">IF(E21="","",MID(IF(N(Y21)&gt;0,", "&amp;A21&amp;"-"&amp;Y$2,"")&amp;IF(N(Z21)&gt;0,", "&amp;A21&amp;"-"&amp;Z$2,"")&amp;IF(N(AA21)&gt;0,", "&amp;A21&amp;"-"&amp;AA$2,"")&amp;IF(N(AB21)&gt;0,", "&amp;A21&amp;"-"&amp;AB$2,"")&amp;IF(N(AC21)&gt;0,", "&amp;A21&amp;"-"&amp;AC$2,"")&amp;IF(N(AD21)&gt;0,", "&amp;A21&amp;"-"&amp;AD$2,"")&amp;IF(N(AE21)&gt;0,", "&amp;A21&amp;"-"&amp;AE$2,"")&amp;IF(N(AF21)&gt;0,", "&amp;A21&amp;"-"&amp;AF$2,"")&amp;IF(N(AG21)&gt;0,", "&amp;A21&amp;"-"&amp;AG$2,"")&amp;IF(N(AH21)&gt;0,", "&amp;A21&amp;"-"&amp;AH$2,"")&amp;IF(N(AI21)&gt;0,", "&amp;A21&amp;"-"&amp;AI$2,"")&amp;IF(N(AJ21)&gt;0,", "&amp;A21&amp;"-"&amp;AJ$2,""),3,999))</f>
        <v/>
      </c>
      <c r="AN21" s="81"/>
      <c r="AO21" s="88"/>
      <c r="AP21" s="89" t="str">
        <f aca="false">IF(AO21="","",ROUND(AO21/(1+Справочники!$B$13),2))</f>
        <v/>
      </c>
      <c r="AQ21" s="90" t="str">
        <f aca="false" t="array" ref="AQ21:AQ21">IF(AP21="","",AP21*INDEX(Справочники!$B$4:$B$7,MATCH("RUB",Справочники!$A$4:$A$7,0)))</f>
        <v/>
      </c>
      <c r="AR21" s="90" t="str">
        <f aca="false">IF(AQ21="","",ROUND(AQ21*(1+Справочники!$B$12),0))</f>
        <v/>
      </c>
      <c r="AS21" s="90" t="str">
        <f aca="false">IF(AR21="","",ROUND(AR21*(1-Справочники!$B$11),0))</f>
        <v/>
      </c>
      <c r="AT21" s="88"/>
      <c r="AU21" s="90" t="str">
        <f aca="false">IF(AT21="","",ROUND(AT21/(1+Справочники!$B$12),0))</f>
        <v/>
      </c>
      <c r="AV21" s="90" t="str">
        <f aca="false">IF(AT21="","",ROUND(AT21*(1-Справочники!$B$15),0))</f>
        <v/>
      </c>
      <c r="AW21" s="90" t="str">
        <f aca="false">IF(AT21="","",ROUND(AT21*(1-Справочники!$B$16),0))</f>
        <v/>
      </c>
      <c r="AX21" s="90" t="str">
        <f aca="false">IF(AT21="","",ROUND(AT21*(1-Справочники!$B$17),0))</f>
        <v/>
      </c>
      <c r="AY21" s="90" t="str">
        <f aca="false">IF(AT21="","",ROUND(AT21*(1-Справочники!$B$18),0))</f>
        <v/>
      </c>
      <c r="AZ21" s="90" t="str">
        <f aca="false">IF(AT21="","",ROUND(AT21*(1-Справочники!$B$19),0))</f>
        <v/>
      </c>
      <c r="BA21" s="81"/>
      <c r="BB21" s="81"/>
      <c r="BC21" s="81"/>
      <c r="BD21" s="81"/>
      <c r="BE21" s="91"/>
      <c r="BF21" s="81" t="s">
        <v>103</v>
      </c>
      <c r="BG21" s="89" t="n">
        <f aca="false" t="array" ref="BG21:BG21">IF(BF21="","",IFERROR(INDEX(Справочники!$B$4:$B$7,MATCH(BF21,Справочники!$A$4:$A$7,0)),""))</f>
        <v>68.5</v>
      </c>
      <c r="BH21" s="90" t="str">
        <f aca="false">IF(N(BN21)&gt;0,ROUND(SUMIF(ЗАКАЗЫ!$F$3:$F$500,$A21,ЗАКАЗЫ!$Y$3:$Y$500)/BN21,0),IF(OR(BE21="",BG21=""),"",ROUND(BE21*BG21*(1+Справочники!$B$10),0)))</f>
        <v/>
      </c>
      <c r="BI21" s="92" t="str">
        <f aca="false">IF(OR(AU21="",BH21="",AU21=0),"",(AU21-BH21)/AU21)</f>
        <v/>
      </c>
      <c r="BJ21" s="81"/>
      <c r="BK21" s="83"/>
      <c r="BL21" s="43" t="str">
        <f aca="false">IFERROR(INDEX(ЗАКАЗЫ!$N$3:$N$500,MATCH($A21,ЗАКАЗЫ!$F$3:$F$500,0)),"")</f>
        <v/>
      </c>
      <c r="BM21" s="8" t="str">
        <f aca="false">IF(BL21="","",IFERROR(VLOOKUP(BL21,'ТН ВЭД'!$A$4:$C$40,3,0),""))</f>
        <v/>
      </c>
      <c r="BN21" s="7" t="str">
        <f aca="false">IF(COUNTIF(ЗАКАЗЫ!$F$3:$F$500,$A21)=0,"",SUMIF(ЗАКАЗЫ!$F$3:$F$500,$A21,ЗАКАЗЫ!$J$3:$J$500))</f>
        <v/>
      </c>
      <c r="BO21" s="7" t="str">
        <f aca="false">IF(BN21="","",SUMIF(ЗАКАЗЫ!$F$3:$F$500,$A21,ЗАКАЗЫ!$AL$3:$AL$500))</f>
        <v/>
      </c>
      <c r="BP21" s="7" t="str">
        <f aca="false">IF(BN21="","",BN21-BO21)</f>
        <v/>
      </c>
      <c r="BQ21" s="55" t="str">
        <f aca="false">IF(BN21="","",IF(BO21&gt;=BN21,"На складе",IF(BO21&gt;0,"Частично","Ждём")))</f>
        <v/>
      </c>
      <c r="BR21" s="43"/>
      <c r="BS21" s="47" t="str">
        <f aca="false">IF(BN21="","",IF(_xlfn.MAXIFS(ЗАКАЗЫ!$AK$3:$AK$500,ЗАКАЗЫ!$F$3:$F$500,$A21)=0,"",_xlfn.MAXIFS(ЗАКАЗЫ!$AK$3:$AK$500,ЗАКАЗЫ!$F$3:$F$500,$A21)))</f>
        <v/>
      </c>
    </row>
    <row r="22" customFormat="false" ht="15.75" hidden="false" customHeight="true" outlineLevel="0" collapsed="false">
      <c r="A22" s="80" t="s">
        <v>496</v>
      </c>
      <c r="B22" s="81"/>
      <c r="C22" s="82"/>
      <c r="D22" s="81"/>
      <c r="E22" s="83"/>
      <c r="F22" s="81"/>
      <c r="G22" s="83"/>
      <c r="H22" s="83"/>
      <c r="I22" s="84" t="str">
        <f aca="false">IF(E22="","",A22&amp;"_1.jpg")</f>
        <v/>
      </c>
      <c r="J22" s="84" t="str">
        <f aca="false">IF(E22="","",A22&amp;"_2.jpg; "&amp;A22&amp;"_3.jpg")</f>
        <v/>
      </c>
      <c r="K22" s="84" t="str">
        <f aca="false">IF(E22="","",A22&amp;"_schema.jpg")</f>
        <v/>
      </c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 t="s">
        <v>261</v>
      </c>
      <c r="W22" s="81"/>
      <c r="X22" s="81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6" t="str">
        <f aca="false">IF(SUM(Y22:AJ22)=0,"",SUM(Y22:AJ22))</f>
        <v/>
      </c>
      <c r="AL22" s="84" t="str">
        <f aca="false">MID(IF(N(Y22)&gt;0,", "&amp;Y$2,"")&amp;IF(N(Z22)&gt;0,", "&amp;Z$2,"")&amp;IF(N(AA22)&gt;0,", "&amp;AA$2,"")&amp;IF(N(AB22)&gt;0,", "&amp;AB$2,"")&amp;IF(N(AC22)&gt;0,", "&amp;AC$2,"")&amp;IF(N(AD22)&gt;0,", "&amp;AD$2,"")&amp;IF(N(AE22)&gt;0,", "&amp;AE$2,"")&amp;IF(N(AF22)&gt;0,", "&amp;AF$2,"")&amp;IF(N(AG22)&gt;0,", "&amp;AG$2,"")&amp;IF(N(AH22)&gt;0,", "&amp;AH$2,"")&amp;IF(N(AI22)&gt;0,", "&amp;AI$2,"")&amp;IF(N(AJ22)&gt;0,", "&amp;AJ$2,""),3,999)</f>
        <v/>
      </c>
      <c r="AM22" s="87" t="str">
        <f aca="false">IF(E22="","",MID(IF(N(Y22)&gt;0,", "&amp;A22&amp;"-"&amp;Y$2,"")&amp;IF(N(Z22)&gt;0,", "&amp;A22&amp;"-"&amp;Z$2,"")&amp;IF(N(AA22)&gt;0,", "&amp;A22&amp;"-"&amp;AA$2,"")&amp;IF(N(AB22)&gt;0,", "&amp;A22&amp;"-"&amp;AB$2,"")&amp;IF(N(AC22)&gt;0,", "&amp;A22&amp;"-"&amp;AC$2,"")&amp;IF(N(AD22)&gt;0,", "&amp;A22&amp;"-"&amp;AD$2,"")&amp;IF(N(AE22)&gt;0,", "&amp;A22&amp;"-"&amp;AE$2,"")&amp;IF(N(AF22)&gt;0,", "&amp;A22&amp;"-"&amp;AF$2,"")&amp;IF(N(AG22)&gt;0,", "&amp;A22&amp;"-"&amp;AG$2,"")&amp;IF(N(AH22)&gt;0,", "&amp;A22&amp;"-"&amp;AH$2,"")&amp;IF(N(AI22)&gt;0,", "&amp;A22&amp;"-"&amp;AI$2,"")&amp;IF(N(AJ22)&gt;0,", "&amp;A22&amp;"-"&amp;AJ$2,""),3,999))</f>
        <v/>
      </c>
      <c r="AN22" s="81"/>
      <c r="AO22" s="88"/>
      <c r="AP22" s="89" t="str">
        <f aca="false">IF(AO22="","",ROUND(AO22/(1+Справочники!$B$13),2))</f>
        <v/>
      </c>
      <c r="AQ22" s="90" t="str">
        <f aca="false" t="array" ref="AQ22:AQ22">IF(AP22="","",AP22*INDEX(Справочники!$B$4:$B$7,MATCH("RUB",Справочники!$A$4:$A$7,0)))</f>
        <v/>
      </c>
      <c r="AR22" s="90" t="str">
        <f aca="false">IF(AQ22="","",ROUND(AQ22*(1+Справочники!$B$12),0))</f>
        <v/>
      </c>
      <c r="AS22" s="90" t="str">
        <f aca="false">IF(AR22="","",ROUND(AR22*(1-Справочники!$B$11),0))</f>
        <v/>
      </c>
      <c r="AT22" s="88"/>
      <c r="AU22" s="90" t="str">
        <f aca="false">IF(AT22="","",ROUND(AT22/(1+Справочники!$B$12),0))</f>
        <v/>
      </c>
      <c r="AV22" s="90" t="str">
        <f aca="false">IF(AT22="","",ROUND(AT22*(1-Справочники!$B$15),0))</f>
        <v/>
      </c>
      <c r="AW22" s="90" t="str">
        <f aca="false">IF(AT22="","",ROUND(AT22*(1-Справочники!$B$16),0))</f>
        <v/>
      </c>
      <c r="AX22" s="90" t="str">
        <f aca="false">IF(AT22="","",ROUND(AT22*(1-Справочники!$B$17),0))</f>
        <v/>
      </c>
      <c r="AY22" s="90" t="str">
        <f aca="false">IF(AT22="","",ROUND(AT22*(1-Справочники!$B$18),0))</f>
        <v/>
      </c>
      <c r="AZ22" s="90" t="str">
        <f aca="false">IF(AT22="","",ROUND(AT22*(1-Справочники!$B$19),0))</f>
        <v/>
      </c>
      <c r="BA22" s="81"/>
      <c r="BB22" s="81"/>
      <c r="BC22" s="81"/>
      <c r="BD22" s="81"/>
      <c r="BE22" s="91"/>
      <c r="BF22" s="81" t="s">
        <v>103</v>
      </c>
      <c r="BG22" s="89" t="n">
        <f aca="false" t="array" ref="BG22:BG22">IF(BF22="","",IFERROR(INDEX(Справочники!$B$4:$B$7,MATCH(BF22,Справочники!$A$4:$A$7,0)),""))</f>
        <v>68.5</v>
      </c>
      <c r="BH22" s="90" t="str">
        <f aca="false">IF(N(BN22)&gt;0,ROUND(SUMIF(ЗАКАЗЫ!$F$3:$F$500,$A22,ЗАКАЗЫ!$Y$3:$Y$500)/BN22,0),IF(OR(BE22="",BG22=""),"",ROUND(BE22*BG22*(1+Справочники!$B$10),0)))</f>
        <v/>
      </c>
      <c r="BI22" s="92" t="str">
        <f aca="false">IF(OR(AU22="",BH22="",AU22=0),"",(AU22-BH22)/AU22)</f>
        <v/>
      </c>
      <c r="BJ22" s="81"/>
      <c r="BK22" s="83"/>
      <c r="BL22" s="43" t="str">
        <f aca="false">IFERROR(INDEX(ЗАКАЗЫ!$N$3:$N$500,MATCH($A22,ЗАКАЗЫ!$F$3:$F$500,0)),"")</f>
        <v/>
      </c>
      <c r="BM22" s="8" t="str">
        <f aca="false">IF(BL22="","",IFERROR(VLOOKUP(BL22,'ТН ВЭД'!$A$4:$C$40,3,0),""))</f>
        <v/>
      </c>
      <c r="BN22" s="7" t="str">
        <f aca="false">IF(COUNTIF(ЗАКАЗЫ!$F$3:$F$500,$A22)=0,"",SUMIF(ЗАКАЗЫ!$F$3:$F$500,$A22,ЗАКАЗЫ!$J$3:$J$500))</f>
        <v/>
      </c>
      <c r="BO22" s="7" t="str">
        <f aca="false">IF(BN22="","",SUMIF(ЗАКАЗЫ!$F$3:$F$500,$A22,ЗАКАЗЫ!$AL$3:$AL$500))</f>
        <v/>
      </c>
      <c r="BP22" s="7" t="str">
        <f aca="false">IF(BN22="","",BN22-BO22)</f>
        <v/>
      </c>
      <c r="BQ22" s="55" t="str">
        <f aca="false">IF(BN22="","",IF(BO22&gt;=BN22,"На складе",IF(BO22&gt;0,"Частично","Ждём")))</f>
        <v/>
      </c>
      <c r="BR22" s="43"/>
      <c r="BS22" s="47" t="str">
        <f aca="false">IF(BN22="","",IF(_xlfn.MAXIFS(ЗАКАЗЫ!$AK$3:$AK$500,ЗАКАЗЫ!$F$3:$F$500,$A22)=0,"",_xlfn.MAXIFS(ЗАКАЗЫ!$AK$3:$AK$500,ЗАКАЗЫ!$F$3:$F$500,$A22)))</f>
        <v/>
      </c>
    </row>
    <row r="23" customFormat="false" ht="15.75" hidden="false" customHeight="true" outlineLevel="0" collapsed="false">
      <c r="A23" s="80" t="s">
        <v>497</v>
      </c>
      <c r="B23" s="81"/>
      <c r="C23" s="82"/>
      <c r="D23" s="81"/>
      <c r="E23" s="83"/>
      <c r="F23" s="81"/>
      <c r="G23" s="83"/>
      <c r="H23" s="83"/>
      <c r="I23" s="84" t="str">
        <f aca="false">IF(E23="","",A23&amp;"_1.jpg")</f>
        <v/>
      </c>
      <c r="J23" s="84" t="str">
        <f aca="false">IF(E23="","",A23&amp;"_2.jpg; "&amp;A23&amp;"_3.jpg")</f>
        <v/>
      </c>
      <c r="K23" s="84" t="str">
        <f aca="false">IF(E23="","",A23&amp;"_schema.jpg")</f>
        <v/>
      </c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 t="s">
        <v>261</v>
      </c>
      <c r="W23" s="81"/>
      <c r="X23" s="81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6" t="str">
        <f aca="false">IF(SUM(Y23:AJ23)=0,"",SUM(Y23:AJ23))</f>
        <v/>
      </c>
      <c r="AL23" s="84" t="str">
        <f aca="false">MID(IF(N(Y23)&gt;0,", "&amp;Y$2,"")&amp;IF(N(Z23)&gt;0,", "&amp;Z$2,"")&amp;IF(N(AA23)&gt;0,", "&amp;AA$2,"")&amp;IF(N(AB23)&gt;0,", "&amp;AB$2,"")&amp;IF(N(AC23)&gt;0,", "&amp;AC$2,"")&amp;IF(N(AD23)&gt;0,", "&amp;AD$2,"")&amp;IF(N(AE23)&gt;0,", "&amp;AE$2,"")&amp;IF(N(AF23)&gt;0,", "&amp;AF$2,"")&amp;IF(N(AG23)&gt;0,", "&amp;AG$2,"")&amp;IF(N(AH23)&gt;0,", "&amp;AH$2,"")&amp;IF(N(AI23)&gt;0,", "&amp;AI$2,"")&amp;IF(N(AJ23)&gt;0,", "&amp;AJ$2,""),3,999)</f>
        <v/>
      </c>
      <c r="AM23" s="87" t="str">
        <f aca="false">IF(E23="","",MID(IF(N(Y23)&gt;0,", "&amp;A23&amp;"-"&amp;Y$2,"")&amp;IF(N(Z23)&gt;0,", "&amp;A23&amp;"-"&amp;Z$2,"")&amp;IF(N(AA23)&gt;0,", "&amp;A23&amp;"-"&amp;AA$2,"")&amp;IF(N(AB23)&gt;0,", "&amp;A23&amp;"-"&amp;AB$2,"")&amp;IF(N(AC23)&gt;0,", "&amp;A23&amp;"-"&amp;AC$2,"")&amp;IF(N(AD23)&gt;0,", "&amp;A23&amp;"-"&amp;AD$2,"")&amp;IF(N(AE23)&gt;0,", "&amp;A23&amp;"-"&amp;AE$2,"")&amp;IF(N(AF23)&gt;0,", "&amp;A23&amp;"-"&amp;AF$2,"")&amp;IF(N(AG23)&gt;0,", "&amp;A23&amp;"-"&amp;AG$2,"")&amp;IF(N(AH23)&gt;0,", "&amp;A23&amp;"-"&amp;AH$2,"")&amp;IF(N(AI23)&gt;0,", "&amp;A23&amp;"-"&amp;AI$2,"")&amp;IF(N(AJ23)&gt;0,", "&amp;A23&amp;"-"&amp;AJ$2,""),3,999))</f>
        <v/>
      </c>
      <c r="AN23" s="81"/>
      <c r="AO23" s="88"/>
      <c r="AP23" s="89" t="str">
        <f aca="false">IF(AO23="","",ROUND(AO23/(1+Справочники!$B$13),2))</f>
        <v/>
      </c>
      <c r="AQ23" s="90" t="str">
        <f aca="false" t="array" ref="AQ23:AQ23">IF(AP23="","",AP23*INDEX(Справочники!$B$4:$B$7,MATCH("RUB",Справочники!$A$4:$A$7,0)))</f>
        <v/>
      </c>
      <c r="AR23" s="90" t="str">
        <f aca="false">IF(AQ23="","",ROUND(AQ23*(1+Справочники!$B$12),0))</f>
        <v/>
      </c>
      <c r="AS23" s="90" t="str">
        <f aca="false">IF(AR23="","",ROUND(AR23*(1-Справочники!$B$11),0))</f>
        <v/>
      </c>
      <c r="AT23" s="88"/>
      <c r="AU23" s="90" t="str">
        <f aca="false">IF(AT23="","",ROUND(AT23/(1+Справочники!$B$12),0))</f>
        <v/>
      </c>
      <c r="AV23" s="90" t="str">
        <f aca="false">IF(AT23="","",ROUND(AT23*(1-Справочники!$B$15),0))</f>
        <v/>
      </c>
      <c r="AW23" s="90" t="str">
        <f aca="false">IF(AT23="","",ROUND(AT23*(1-Справочники!$B$16),0))</f>
        <v/>
      </c>
      <c r="AX23" s="90" t="str">
        <f aca="false">IF(AT23="","",ROUND(AT23*(1-Справочники!$B$17),0))</f>
        <v/>
      </c>
      <c r="AY23" s="90" t="str">
        <f aca="false">IF(AT23="","",ROUND(AT23*(1-Справочники!$B$18),0))</f>
        <v/>
      </c>
      <c r="AZ23" s="90" t="str">
        <f aca="false">IF(AT23="","",ROUND(AT23*(1-Справочники!$B$19),0))</f>
        <v/>
      </c>
      <c r="BA23" s="81"/>
      <c r="BB23" s="81"/>
      <c r="BC23" s="81"/>
      <c r="BD23" s="81"/>
      <c r="BE23" s="91"/>
      <c r="BF23" s="81" t="s">
        <v>103</v>
      </c>
      <c r="BG23" s="89" t="n">
        <f aca="false" t="array" ref="BG23:BG23">IF(BF23="","",IFERROR(INDEX(Справочники!$B$4:$B$7,MATCH(BF23,Справочники!$A$4:$A$7,0)),""))</f>
        <v>68.5</v>
      </c>
      <c r="BH23" s="90" t="str">
        <f aca="false">IF(N(BN23)&gt;0,ROUND(SUMIF(ЗАКАЗЫ!$F$3:$F$500,$A23,ЗАКАЗЫ!$Y$3:$Y$500)/BN23,0),IF(OR(BE23="",BG23=""),"",ROUND(BE23*BG23*(1+Справочники!$B$10),0)))</f>
        <v/>
      </c>
      <c r="BI23" s="92" t="str">
        <f aca="false">IF(OR(AU23="",BH23="",AU23=0),"",(AU23-BH23)/AU23)</f>
        <v/>
      </c>
      <c r="BJ23" s="81"/>
      <c r="BK23" s="83"/>
      <c r="BL23" s="43" t="str">
        <f aca="false">IFERROR(INDEX(ЗАКАЗЫ!$N$3:$N$500,MATCH($A23,ЗАКАЗЫ!$F$3:$F$500,0)),"")</f>
        <v/>
      </c>
      <c r="BM23" s="8" t="str">
        <f aca="false">IF(BL23="","",IFERROR(VLOOKUP(BL23,'ТН ВЭД'!$A$4:$C$40,3,0),""))</f>
        <v/>
      </c>
      <c r="BN23" s="7" t="str">
        <f aca="false">IF(COUNTIF(ЗАКАЗЫ!$F$3:$F$500,$A23)=0,"",SUMIF(ЗАКАЗЫ!$F$3:$F$500,$A23,ЗАКАЗЫ!$J$3:$J$500))</f>
        <v/>
      </c>
      <c r="BO23" s="7" t="str">
        <f aca="false">IF(BN23="","",SUMIF(ЗАКАЗЫ!$F$3:$F$500,$A23,ЗАКАЗЫ!$AL$3:$AL$500))</f>
        <v/>
      </c>
      <c r="BP23" s="7" t="str">
        <f aca="false">IF(BN23="","",BN23-BO23)</f>
        <v/>
      </c>
      <c r="BQ23" s="55" t="str">
        <f aca="false">IF(BN23="","",IF(BO23&gt;=BN23,"На складе",IF(BO23&gt;0,"Частично","Ждём")))</f>
        <v/>
      </c>
      <c r="BR23" s="43"/>
      <c r="BS23" s="47" t="str">
        <f aca="false">IF(BN23="","",IF(_xlfn.MAXIFS(ЗАКАЗЫ!$AK$3:$AK$500,ЗАКАЗЫ!$F$3:$F$500,$A23)=0,"",_xlfn.MAXIFS(ЗАКАЗЫ!$AK$3:$AK$500,ЗАКАЗЫ!$F$3:$F$500,$A23)))</f>
        <v/>
      </c>
    </row>
    <row r="24" customFormat="false" ht="15.75" hidden="false" customHeight="true" outlineLevel="0" collapsed="false">
      <c r="A24" s="80" t="s">
        <v>498</v>
      </c>
      <c r="B24" s="81"/>
      <c r="C24" s="82"/>
      <c r="D24" s="81"/>
      <c r="E24" s="83"/>
      <c r="F24" s="81"/>
      <c r="G24" s="83"/>
      <c r="H24" s="83"/>
      <c r="I24" s="84" t="str">
        <f aca="false">IF(E24="","",A24&amp;"_1.jpg")</f>
        <v/>
      </c>
      <c r="J24" s="84" t="str">
        <f aca="false">IF(E24="","",A24&amp;"_2.jpg; "&amp;A24&amp;"_3.jpg")</f>
        <v/>
      </c>
      <c r="K24" s="84" t="str">
        <f aca="false">IF(E24="","",A24&amp;"_schema.jpg")</f>
        <v/>
      </c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 t="s">
        <v>261</v>
      </c>
      <c r="W24" s="81"/>
      <c r="X24" s="81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6" t="str">
        <f aca="false">IF(SUM(Y24:AJ24)=0,"",SUM(Y24:AJ24))</f>
        <v/>
      </c>
      <c r="AL24" s="84" t="str">
        <f aca="false">MID(IF(N(Y24)&gt;0,", "&amp;Y$2,"")&amp;IF(N(Z24)&gt;0,", "&amp;Z$2,"")&amp;IF(N(AA24)&gt;0,", "&amp;AA$2,"")&amp;IF(N(AB24)&gt;0,", "&amp;AB$2,"")&amp;IF(N(AC24)&gt;0,", "&amp;AC$2,"")&amp;IF(N(AD24)&gt;0,", "&amp;AD$2,"")&amp;IF(N(AE24)&gt;0,", "&amp;AE$2,"")&amp;IF(N(AF24)&gt;0,", "&amp;AF$2,"")&amp;IF(N(AG24)&gt;0,", "&amp;AG$2,"")&amp;IF(N(AH24)&gt;0,", "&amp;AH$2,"")&amp;IF(N(AI24)&gt;0,", "&amp;AI$2,"")&amp;IF(N(AJ24)&gt;0,", "&amp;AJ$2,""),3,999)</f>
        <v/>
      </c>
      <c r="AM24" s="87" t="str">
        <f aca="false">IF(E24="","",MID(IF(N(Y24)&gt;0,", "&amp;A24&amp;"-"&amp;Y$2,"")&amp;IF(N(Z24)&gt;0,", "&amp;A24&amp;"-"&amp;Z$2,"")&amp;IF(N(AA24)&gt;0,", "&amp;A24&amp;"-"&amp;AA$2,"")&amp;IF(N(AB24)&gt;0,", "&amp;A24&amp;"-"&amp;AB$2,"")&amp;IF(N(AC24)&gt;0,", "&amp;A24&amp;"-"&amp;AC$2,"")&amp;IF(N(AD24)&gt;0,", "&amp;A24&amp;"-"&amp;AD$2,"")&amp;IF(N(AE24)&gt;0,", "&amp;A24&amp;"-"&amp;AE$2,"")&amp;IF(N(AF24)&gt;0,", "&amp;A24&amp;"-"&amp;AF$2,"")&amp;IF(N(AG24)&gt;0,", "&amp;A24&amp;"-"&amp;AG$2,"")&amp;IF(N(AH24)&gt;0,", "&amp;A24&amp;"-"&amp;AH$2,"")&amp;IF(N(AI24)&gt;0,", "&amp;A24&amp;"-"&amp;AI$2,"")&amp;IF(N(AJ24)&gt;0,", "&amp;A24&amp;"-"&amp;AJ$2,""),3,999))</f>
        <v/>
      </c>
      <c r="AN24" s="81"/>
      <c r="AO24" s="88"/>
      <c r="AP24" s="89" t="str">
        <f aca="false">IF(AO24="","",ROUND(AO24/(1+Справочники!$B$13),2))</f>
        <v/>
      </c>
      <c r="AQ24" s="90" t="str">
        <f aca="false" t="array" ref="AQ24:AQ24">IF(AP24="","",AP24*INDEX(Справочники!$B$4:$B$7,MATCH("RUB",Справочники!$A$4:$A$7,0)))</f>
        <v/>
      </c>
      <c r="AR24" s="90" t="str">
        <f aca="false">IF(AQ24="","",ROUND(AQ24*(1+Справочники!$B$12),0))</f>
        <v/>
      </c>
      <c r="AS24" s="90" t="str">
        <f aca="false">IF(AR24="","",ROUND(AR24*(1-Справочники!$B$11),0))</f>
        <v/>
      </c>
      <c r="AT24" s="88"/>
      <c r="AU24" s="90" t="str">
        <f aca="false">IF(AT24="","",ROUND(AT24/(1+Справочники!$B$12),0))</f>
        <v/>
      </c>
      <c r="AV24" s="90" t="str">
        <f aca="false">IF(AT24="","",ROUND(AT24*(1-Справочники!$B$15),0))</f>
        <v/>
      </c>
      <c r="AW24" s="90" t="str">
        <f aca="false">IF(AT24="","",ROUND(AT24*(1-Справочники!$B$16),0))</f>
        <v/>
      </c>
      <c r="AX24" s="90" t="str">
        <f aca="false">IF(AT24="","",ROUND(AT24*(1-Справочники!$B$17),0))</f>
        <v/>
      </c>
      <c r="AY24" s="90" t="str">
        <f aca="false">IF(AT24="","",ROUND(AT24*(1-Справочники!$B$18),0))</f>
        <v/>
      </c>
      <c r="AZ24" s="90" t="str">
        <f aca="false">IF(AT24="","",ROUND(AT24*(1-Справочники!$B$19),0))</f>
        <v/>
      </c>
      <c r="BA24" s="81"/>
      <c r="BB24" s="81"/>
      <c r="BC24" s="81"/>
      <c r="BD24" s="81"/>
      <c r="BE24" s="91"/>
      <c r="BF24" s="81" t="s">
        <v>103</v>
      </c>
      <c r="BG24" s="89" t="n">
        <f aca="false" t="array" ref="BG24:BG24">IF(BF24="","",IFERROR(INDEX(Справочники!$B$4:$B$7,MATCH(BF24,Справочники!$A$4:$A$7,0)),""))</f>
        <v>68.5</v>
      </c>
      <c r="BH24" s="90" t="str">
        <f aca="false">IF(N(BN24)&gt;0,ROUND(SUMIF(ЗАКАЗЫ!$F$3:$F$500,$A24,ЗАКАЗЫ!$Y$3:$Y$500)/BN24,0),IF(OR(BE24="",BG24=""),"",ROUND(BE24*BG24*(1+Справочники!$B$10),0)))</f>
        <v/>
      </c>
      <c r="BI24" s="92" t="str">
        <f aca="false">IF(OR(AU24="",BH24="",AU24=0),"",(AU24-BH24)/AU24)</f>
        <v/>
      </c>
      <c r="BJ24" s="81"/>
      <c r="BK24" s="83"/>
      <c r="BL24" s="43" t="str">
        <f aca="false">IFERROR(INDEX(ЗАКАЗЫ!$N$3:$N$500,MATCH($A24,ЗАКАЗЫ!$F$3:$F$500,0)),"")</f>
        <v/>
      </c>
      <c r="BM24" s="8" t="str">
        <f aca="false">IF(BL24="","",IFERROR(VLOOKUP(BL24,'ТН ВЭД'!$A$4:$C$40,3,0),""))</f>
        <v/>
      </c>
      <c r="BN24" s="7" t="str">
        <f aca="false">IF(COUNTIF(ЗАКАЗЫ!$F$3:$F$500,$A24)=0,"",SUMIF(ЗАКАЗЫ!$F$3:$F$500,$A24,ЗАКАЗЫ!$J$3:$J$500))</f>
        <v/>
      </c>
      <c r="BO24" s="7" t="str">
        <f aca="false">IF(BN24="","",SUMIF(ЗАКАЗЫ!$F$3:$F$500,$A24,ЗАКАЗЫ!$AL$3:$AL$500))</f>
        <v/>
      </c>
      <c r="BP24" s="7" t="str">
        <f aca="false">IF(BN24="","",BN24-BO24)</f>
        <v/>
      </c>
      <c r="BQ24" s="55" t="str">
        <f aca="false">IF(BN24="","",IF(BO24&gt;=BN24,"На складе",IF(BO24&gt;0,"Частично","Ждём")))</f>
        <v/>
      </c>
      <c r="BR24" s="43"/>
      <c r="BS24" s="47" t="str">
        <f aca="false">IF(BN24="","",IF(_xlfn.MAXIFS(ЗАКАЗЫ!$AK$3:$AK$500,ЗАКАЗЫ!$F$3:$F$500,$A24)=0,"",_xlfn.MAXIFS(ЗАКАЗЫ!$AK$3:$AK$500,ЗАКАЗЫ!$F$3:$F$500,$A24)))</f>
        <v/>
      </c>
    </row>
    <row r="25" customFormat="false" ht="15.75" hidden="false" customHeight="true" outlineLevel="0" collapsed="false">
      <c r="A25" s="80" t="s">
        <v>499</v>
      </c>
      <c r="B25" s="81"/>
      <c r="C25" s="82"/>
      <c r="D25" s="81"/>
      <c r="E25" s="83"/>
      <c r="F25" s="81"/>
      <c r="G25" s="83"/>
      <c r="H25" s="83"/>
      <c r="I25" s="84" t="str">
        <f aca="false">IF(E25="","",A25&amp;"_1.jpg")</f>
        <v/>
      </c>
      <c r="J25" s="84" t="str">
        <f aca="false">IF(E25="","",A25&amp;"_2.jpg; "&amp;A25&amp;"_3.jpg")</f>
        <v/>
      </c>
      <c r="K25" s="84" t="str">
        <f aca="false">IF(E25="","",A25&amp;"_schema.jpg")</f>
        <v/>
      </c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 t="s">
        <v>261</v>
      </c>
      <c r="W25" s="81"/>
      <c r="X25" s="81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6" t="str">
        <f aca="false">IF(SUM(Y25:AJ25)=0,"",SUM(Y25:AJ25))</f>
        <v/>
      </c>
      <c r="AL25" s="84" t="str">
        <f aca="false">MID(IF(N(Y25)&gt;0,", "&amp;Y$2,"")&amp;IF(N(Z25)&gt;0,", "&amp;Z$2,"")&amp;IF(N(AA25)&gt;0,", "&amp;AA$2,"")&amp;IF(N(AB25)&gt;0,", "&amp;AB$2,"")&amp;IF(N(AC25)&gt;0,", "&amp;AC$2,"")&amp;IF(N(AD25)&gt;0,", "&amp;AD$2,"")&amp;IF(N(AE25)&gt;0,", "&amp;AE$2,"")&amp;IF(N(AF25)&gt;0,", "&amp;AF$2,"")&amp;IF(N(AG25)&gt;0,", "&amp;AG$2,"")&amp;IF(N(AH25)&gt;0,", "&amp;AH$2,"")&amp;IF(N(AI25)&gt;0,", "&amp;AI$2,"")&amp;IF(N(AJ25)&gt;0,", "&amp;AJ$2,""),3,999)</f>
        <v/>
      </c>
      <c r="AM25" s="87" t="str">
        <f aca="false">IF(E25="","",MID(IF(N(Y25)&gt;0,", "&amp;A25&amp;"-"&amp;Y$2,"")&amp;IF(N(Z25)&gt;0,", "&amp;A25&amp;"-"&amp;Z$2,"")&amp;IF(N(AA25)&gt;0,", "&amp;A25&amp;"-"&amp;AA$2,"")&amp;IF(N(AB25)&gt;0,", "&amp;A25&amp;"-"&amp;AB$2,"")&amp;IF(N(AC25)&gt;0,", "&amp;A25&amp;"-"&amp;AC$2,"")&amp;IF(N(AD25)&gt;0,", "&amp;A25&amp;"-"&amp;AD$2,"")&amp;IF(N(AE25)&gt;0,", "&amp;A25&amp;"-"&amp;AE$2,"")&amp;IF(N(AF25)&gt;0,", "&amp;A25&amp;"-"&amp;AF$2,"")&amp;IF(N(AG25)&gt;0,", "&amp;A25&amp;"-"&amp;AG$2,"")&amp;IF(N(AH25)&gt;0,", "&amp;A25&amp;"-"&amp;AH$2,"")&amp;IF(N(AI25)&gt;0,", "&amp;A25&amp;"-"&amp;AI$2,"")&amp;IF(N(AJ25)&gt;0,", "&amp;A25&amp;"-"&amp;AJ$2,""),3,999))</f>
        <v/>
      </c>
      <c r="AN25" s="81"/>
      <c r="AO25" s="88"/>
      <c r="AP25" s="89" t="str">
        <f aca="false">IF(AO25="","",ROUND(AO25/(1+Справочники!$B$13),2))</f>
        <v/>
      </c>
      <c r="AQ25" s="90" t="str">
        <f aca="false" t="array" ref="AQ25:AQ25">IF(AP25="","",AP25*INDEX(Справочники!$B$4:$B$7,MATCH("RUB",Справочники!$A$4:$A$7,0)))</f>
        <v/>
      </c>
      <c r="AR25" s="90" t="str">
        <f aca="false">IF(AQ25="","",ROUND(AQ25*(1+Справочники!$B$12),0))</f>
        <v/>
      </c>
      <c r="AS25" s="90" t="str">
        <f aca="false">IF(AR25="","",ROUND(AR25*(1-Справочники!$B$11),0))</f>
        <v/>
      </c>
      <c r="AT25" s="88"/>
      <c r="AU25" s="90" t="str">
        <f aca="false">IF(AT25="","",ROUND(AT25/(1+Справочники!$B$12),0))</f>
        <v/>
      </c>
      <c r="AV25" s="90" t="str">
        <f aca="false">IF(AT25="","",ROUND(AT25*(1-Справочники!$B$15),0))</f>
        <v/>
      </c>
      <c r="AW25" s="90" t="str">
        <f aca="false">IF(AT25="","",ROUND(AT25*(1-Справочники!$B$16),0))</f>
        <v/>
      </c>
      <c r="AX25" s="90" t="str">
        <f aca="false">IF(AT25="","",ROUND(AT25*(1-Справочники!$B$17),0))</f>
        <v/>
      </c>
      <c r="AY25" s="90" t="str">
        <f aca="false">IF(AT25="","",ROUND(AT25*(1-Справочники!$B$18),0))</f>
        <v/>
      </c>
      <c r="AZ25" s="90" t="str">
        <f aca="false">IF(AT25="","",ROUND(AT25*(1-Справочники!$B$19),0))</f>
        <v/>
      </c>
      <c r="BA25" s="81"/>
      <c r="BB25" s="81"/>
      <c r="BC25" s="81"/>
      <c r="BD25" s="81"/>
      <c r="BE25" s="91"/>
      <c r="BF25" s="81" t="s">
        <v>103</v>
      </c>
      <c r="BG25" s="89" t="n">
        <f aca="false" t="array" ref="BG25:BG25">IF(BF25="","",IFERROR(INDEX(Справочники!$B$4:$B$7,MATCH(BF25,Справочники!$A$4:$A$7,0)),""))</f>
        <v>68.5</v>
      </c>
      <c r="BH25" s="90" t="str">
        <f aca="false">IF(N(BN25)&gt;0,ROUND(SUMIF(ЗАКАЗЫ!$F$3:$F$500,$A25,ЗАКАЗЫ!$Y$3:$Y$500)/BN25,0),IF(OR(BE25="",BG25=""),"",ROUND(BE25*BG25*(1+Справочники!$B$10),0)))</f>
        <v/>
      </c>
      <c r="BI25" s="92" t="str">
        <f aca="false">IF(OR(AU25="",BH25="",AU25=0),"",(AU25-BH25)/AU25)</f>
        <v/>
      </c>
      <c r="BJ25" s="81"/>
      <c r="BK25" s="83"/>
      <c r="BL25" s="43" t="str">
        <f aca="false">IFERROR(INDEX(ЗАКАЗЫ!$N$3:$N$500,MATCH($A25,ЗАКАЗЫ!$F$3:$F$500,0)),"")</f>
        <v/>
      </c>
      <c r="BM25" s="8" t="str">
        <f aca="false">IF(BL25="","",IFERROR(VLOOKUP(BL25,'ТН ВЭД'!$A$4:$C$40,3,0),""))</f>
        <v/>
      </c>
      <c r="BN25" s="7" t="str">
        <f aca="false">IF(COUNTIF(ЗАКАЗЫ!$F$3:$F$500,$A25)=0,"",SUMIF(ЗАКАЗЫ!$F$3:$F$500,$A25,ЗАКАЗЫ!$J$3:$J$500))</f>
        <v/>
      </c>
      <c r="BO25" s="7" t="str">
        <f aca="false">IF(BN25="","",SUMIF(ЗАКАЗЫ!$F$3:$F$500,$A25,ЗАКАЗЫ!$AL$3:$AL$500))</f>
        <v/>
      </c>
      <c r="BP25" s="7" t="str">
        <f aca="false">IF(BN25="","",BN25-BO25)</f>
        <v/>
      </c>
      <c r="BQ25" s="55" t="str">
        <f aca="false">IF(BN25="","",IF(BO25&gt;=BN25,"На складе",IF(BO25&gt;0,"Частично","Ждём")))</f>
        <v/>
      </c>
      <c r="BR25" s="43"/>
      <c r="BS25" s="47" t="str">
        <f aca="false">IF(BN25="","",IF(_xlfn.MAXIFS(ЗАКАЗЫ!$AK$3:$AK$500,ЗАКАЗЫ!$F$3:$F$500,$A25)=0,"",_xlfn.MAXIFS(ЗАКАЗЫ!$AK$3:$AK$500,ЗАКАЗЫ!$F$3:$F$500,$A25)))</f>
        <v/>
      </c>
    </row>
    <row r="26" customFormat="false" ht="15.75" hidden="false" customHeight="true" outlineLevel="0" collapsed="false">
      <c r="A26" s="80" t="s">
        <v>500</v>
      </c>
      <c r="B26" s="81"/>
      <c r="C26" s="82"/>
      <c r="D26" s="81"/>
      <c r="E26" s="83"/>
      <c r="F26" s="81"/>
      <c r="G26" s="83"/>
      <c r="H26" s="83"/>
      <c r="I26" s="84" t="str">
        <f aca="false">IF(E26="","",A26&amp;"_1.jpg")</f>
        <v/>
      </c>
      <c r="J26" s="84" t="str">
        <f aca="false">IF(E26="","",A26&amp;"_2.jpg; "&amp;A26&amp;"_3.jpg")</f>
        <v/>
      </c>
      <c r="K26" s="84" t="str">
        <f aca="false">IF(E26="","",A26&amp;"_schema.jpg")</f>
        <v/>
      </c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 t="s">
        <v>261</v>
      </c>
      <c r="W26" s="81"/>
      <c r="X26" s="81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6" t="str">
        <f aca="false">IF(SUM(Y26:AJ26)=0,"",SUM(Y26:AJ26))</f>
        <v/>
      </c>
      <c r="AL26" s="84" t="str">
        <f aca="false">MID(IF(N(Y26)&gt;0,", "&amp;Y$2,"")&amp;IF(N(Z26)&gt;0,", "&amp;Z$2,"")&amp;IF(N(AA26)&gt;0,", "&amp;AA$2,"")&amp;IF(N(AB26)&gt;0,", "&amp;AB$2,"")&amp;IF(N(AC26)&gt;0,", "&amp;AC$2,"")&amp;IF(N(AD26)&gt;0,", "&amp;AD$2,"")&amp;IF(N(AE26)&gt;0,", "&amp;AE$2,"")&amp;IF(N(AF26)&gt;0,", "&amp;AF$2,"")&amp;IF(N(AG26)&gt;0,", "&amp;AG$2,"")&amp;IF(N(AH26)&gt;0,", "&amp;AH$2,"")&amp;IF(N(AI26)&gt;0,", "&amp;AI$2,"")&amp;IF(N(AJ26)&gt;0,", "&amp;AJ$2,""),3,999)</f>
        <v/>
      </c>
      <c r="AM26" s="87" t="str">
        <f aca="false">IF(E26="","",MID(IF(N(Y26)&gt;0,", "&amp;A26&amp;"-"&amp;Y$2,"")&amp;IF(N(Z26)&gt;0,", "&amp;A26&amp;"-"&amp;Z$2,"")&amp;IF(N(AA26)&gt;0,", "&amp;A26&amp;"-"&amp;AA$2,"")&amp;IF(N(AB26)&gt;0,", "&amp;A26&amp;"-"&amp;AB$2,"")&amp;IF(N(AC26)&gt;0,", "&amp;A26&amp;"-"&amp;AC$2,"")&amp;IF(N(AD26)&gt;0,", "&amp;A26&amp;"-"&amp;AD$2,"")&amp;IF(N(AE26)&gt;0,", "&amp;A26&amp;"-"&amp;AE$2,"")&amp;IF(N(AF26)&gt;0,", "&amp;A26&amp;"-"&amp;AF$2,"")&amp;IF(N(AG26)&gt;0,", "&amp;A26&amp;"-"&amp;AG$2,"")&amp;IF(N(AH26)&gt;0,", "&amp;A26&amp;"-"&amp;AH$2,"")&amp;IF(N(AI26)&gt;0,", "&amp;A26&amp;"-"&amp;AI$2,"")&amp;IF(N(AJ26)&gt;0,", "&amp;A26&amp;"-"&amp;AJ$2,""),3,999))</f>
        <v/>
      </c>
      <c r="AN26" s="81"/>
      <c r="AO26" s="88"/>
      <c r="AP26" s="89" t="str">
        <f aca="false">IF(AO26="","",ROUND(AO26/(1+Справочники!$B$13),2))</f>
        <v/>
      </c>
      <c r="AQ26" s="90" t="str">
        <f aca="false" t="array" ref="AQ26:AQ26">IF(AP26="","",AP26*INDEX(Справочники!$B$4:$B$7,MATCH("RUB",Справочники!$A$4:$A$7,0)))</f>
        <v/>
      </c>
      <c r="AR26" s="90" t="str">
        <f aca="false">IF(AQ26="","",ROUND(AQ26*(1+Справочники!$B$12),0))</f>
        <v/>
      </c>
      <c r="AS26" s="90" t="str">
        <f aca="false">IF(AR26="","",ROUND(AR26*(1-Справочники!$B$11),0))</f>
        <v/>
      </c>
      <c r="AT26" s="88"/>
      <c r="AU26" s="90" t="str">
        <f aca="false">IF(AT26="","",ROUND(AT26/(1+Справочники!$B$12),0))</f>
        <v/>
      </c>
      <c r="AV26" s="90" t="str">
        <f aca="false">IF(AT26="","",ROUND(AT26*(1-Справочники!$B$15),0))</f>
        <v/>
      </c>
      <c r="AW26" s="90" t="str">
        <f aca="false">IF(AT26="","",ROUND(AT26*(1-Справочники!$B$16),0))</f>
        <v/>
      </c>
      <c r="AX26" s="90" t="str">
        <f aca="false">IF(AT26="","",ROUND(AT26*(1-Справочники!$B$17),0))</f>
        <v/>
      </c>
      <c r="AY26" s="90" t="str">
        <f aca="false">IF(AT26="","",ROUND(AT26*(1-Справочники!$B$18),0))</f>
        <v/>
      </c>
      <c r="AZ26" s="90" t="str">
        <f aca="false">IF(AT26="","",ROUND(AT26*(1-Справочники!$B$19),0))</f>
        <v/>
      </c>
      <c r="BA26" s="81"/>
      <c r="BB26" s="81"/>
      <c r="BC26" s="81"/>
      <c r="BD26" s="81"/>
      <c r="BE26" s="91"/>
      <c r="BF26" s="81" t="s">
        <v>103</v>
      </c>
      <c r="BG26" s="89" t="n">
        <f aca="false" t="array" ref="BG26:BG26">IF(BF26="","",IFERROR(INDEX(Справочники!$B$4:$B$7,MATCH(BF26,Справочники!$A$4:$A$7,0)),""))</f>
        <v>68.5</v>
      </c>
      <c r="BH26" s="90" t="str">
        <f aca="false">IF(N(BN26)&gt;0,ROUND(SUMIF(ЗАКАЗЫ!$F$3:$F$500,$A26,ЗАКАЗЫ!$Y$3:$Y$500)/BN26,0),IF(OR(BE26="",BG26=""),"",ROUND(BE26*BG26*(1+Справочники!$B$10),0)))</f>
        <v/>
      </c>
      <c r="BI26" s="92" t="str">
        <f aca="false">IF(OR(AU26="",BH26="",AU26=0),"",(AU26-BH26)/AU26)</f>
        <v/>
      </c>
      <c r="BJ26" s="81"/>
      <c r="BK26" s="83"/>
      <c r="BL26" s="43" t="str">
        <f aca="false">IFERROR(INDEX(ЗАКАЗЫ!$N$3:$N$500,MATCH($A26,ЗАКАЗЫ!$F$3:$F$500,0)),"")</f>
        <v/>
      </c>
      <c r="BM26" s="8" t="str">
        <f aca="false">IF(BL26="","",IFERROR(VLOOKUP(BL26,'ТН ВЭД'!$A$4:$C$40,3,0),""))</f>
        <v/>
      </c>
      <c r="BN26" s="7" t="str">
        <f aca="false">IF(COUNTIF(ЗАКАЗЫ!$F$3:$F$500,$A26)=0,"",SUMIF(ЗАКАЗЫ!$F$3:$F$500,$A26,ЗАКАЗЫ!$J$3:$J$500))</f>
        <v/>
      </c>
      <c r="BO26" s="7" t="str">
        <f aca="false">IF(BN26="","",SUMIF(ЗАКАЗЫ!$F$3:$F$500,$A26,ЗАКАЗЫ!$AL$3:$AL$500))</f>
        <v/>
      </c>
      <c r="BP26" s="7" t="str">
        <f aca="false">IF(BN26="","",BN26-BO26)</f>
        <v/>
      </c>
      <c r="BQ26" s="55" t="str">
        <f aca="false">IF(BN26="","",IF(BO26&gt;=BN26,"На складе",IF(BO26&gt;0,"Частично","Ждём")))</f>
        <v/>
      </c>
      <c r="BR26" s="43"/>
      <c r="BS26" s="47" t="str">
        <f aca="false">IF(BN26="","",IF(_xlfn.MAXIFS(ЗАКАЗЫ!$AK$3:$AK$500,ЗАКАЗЫ!$F$3:$F$500,$A26)=0,"",_xlfn.MAXIFS(ЗАКАЗЫ!$AK$3:$AK$500,ЗАКАЗЫ!$F$3:$F$500,$A26)))</f>
        <v/>
      </c>
    </row>
    <row r="27" customFormat="false" ht="15.75" hidden="false" customHeight="true" outlineLevel="0" collapsed="false">
      <c r="A27" s="80" t="s">
        <v>501</v>
      </c>
      <c r="B27" s="81"/>
      <c r="C27" s="81"/>
      <c r="D27" s="81"/>
      <c r="E27" s="83"/>
      <c r="F27" s="81"/>
      <c r="G27" s="83"/>
      <c r="H27" s="83"/>
      <c r="I27" s="84" t="str">
        <f aca="false">IF(E27="","",A27&amp;"_1.jpg")</f>
        <v/>
      </c>
      <c r="J27" s="84" t="str">
        <f aca="false">IF(E27="","",A27&amp;"_2.jpg; "&amp;A27&amp;"_3.jpg")</f>
        <v/>
      </c>
      <c r="K27" s="84" t="str">
        <f aca="false">IF(E27="","",A27&amp;"_schema.jpg")</f>
        <v/>
      </c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 t="s">
        <v>261</v>
      </c>
      <c r="W27" s="81"/>
      <c r="X27" s="81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6" t="str">
        <f aca="false">IF(SUM(Y27:AJ27)=0,"",SUM(Y27:AJ27))</f>
        <v/>
      </c>
      <c r="AL27" s="84" t="str">
        <f aca="false">MID(IF(N(Y27)&gt;0,", "&amp;Y$2,"")&amp;IF(N(Z27)&gt;0,", "&amp;Z$2,"")&amp;IF(N(AA27)&gt;0,", "&amp;AA$2,"")&amp;IF(N(AB27)&gt;0,", "&amp;AB$2,"")&amp;IF(N(AC27)&gt;0,", "&amp;AC$2,"")&amp;IF(N(AD27)&gt;0,", "&amp;AD$2,"")&amp;IF(N(AE27)&gt;0,", "&amp;AE$2,"")&amp;IF(N(AF27)&gt;0,", "&amp;AF$2,"")&amp;IF(N(AG27)&gt;0,", "&amp;AG$2,"")&amp;IF(N(AH27)&gt;0,", "&amp;AH$2,"")&amp;IF(N(AI27)&gt;0,", "&amp;AI$2,"")&amp;IF(N(AJ27)&gt;0,", "&amp;AJ$2,""),3,999)</f>
        <v/>
      </c>
      <c r="AM27" s="87" t="str">
        <f aca="false">IF(E27="","",MID(IF(N(Y27)&gt;0,", "&amp;A27&amp;"-"&amp;Y$2,"")&amp;IF(N(Z27)&gt;0,", "&amp;A27&amp;"-"&amp;Z$2,"")&amp;IF(N(AA27)&gt;0,", "&amp;A27&amp;"-"&amp;AA$2,"")&amp;IF(N(AB27)&gt;0,", "&amp;A27&amp;"-"&amp;AB$2,"")&amp;IF(N(AC27)&gt;0,", "&amp;A27&amp;"-"&amp;AC$2,"")&amp;IF(N(AD27)&gt;0,", "&amp;A27&amp;"-"&amp;AD$2,"")&amp;IF(N(AE27)&gt;0,", "&amp;A27&amp;"-"&amp;AE$2,"")&amp;IF(N(AF27)&gt;0,", "&amp;A27&amp;"-"&amp;AF$2,"")&amp;IF(N(AG27)&gt;0,", "&amp;A27&amp;"-"&amp;AG$2,"")&amp;IF(N(AH27)&gt;0,", "&amp;A27&amp;"-"&amp;AH$2,"")&amp;IF(N(AI27)&gt;0,", "&amp;A27&amp;"-"&amp;AI$2,"")&amp;IF(N(AJ27)&gt;0,", "&amp;A27&amp;"-"&amp;AJ$2,""),3,999))</f>
        <v/>
      </c>
      <c r="AN27" s="81"/>
      <c r="AO27" s="88"/>
      <c r="AP27" s="89" t="str">
        <f aca="false">IF(AO27="","",ROUND(AO27/(1+Справочники!$B$13),2))</f>
        <v/>
      </c>
      <c r="AQ27" s="90" t="str">
        <f aca="false" t="array" ref="AQ27:AQ27">IF(AP27="","",AP27*INDEX(Справочники!$B$4:$B$7,MATCH("RUB",Справочники!$A$4:$A$7,0)))</f>
        <v/>
      </c>
      <c r="AR27" s="90" t="str">
        <f aca="false">IF(AQ27="","",ROUND(AQ27*(1+Справочники!$B$12),0))</f>
        <v/>
      </c>
      <c r="AS27" s="90" t="str">
        <f aca="false">IF(AR27="","",ROUND(AR27*(1-Справочники!$B$11),0))</f>
        <v/>
      </c>
      <c r="AT27" s="88"/>
      <c r="AU27" s="90" t="str">
        <f aca="false">IF(AT27="","",ROUND(AT27/(1+Справочники!$B$12),0))</f>
        <v/>
      </c>
      <c r="AV27" s="90" t="str">
        <f aca="false">IF(AT27="","",ROUND(AT27*(1-Справочники!$B$15),0))</f>
        <v/>
      </c>
      <c r="AW27" s="90" t="str">
        <f aca="false">IF(AT27="","",ROUND(AT27*(1-Справочники!$B$16),0))</f>
        <v/>
      </c>
      <c r="AX27" s="90" t="str">
        <f aca="false">IF(AT27="","",ROUND(AT27*(1-Справочники!$B$17),0))</f>
        <v/>
      </c>
      <c r="AY27" s="90" t="str">
        <f aca="false">IF(AT27="","",ROUND(AT27*(1-Справочники!$B$18),0))</f>
        <v/>
      </c>
      <c r="AZ27" s="90" t="str">
        <f aca="false">IF(AT27="","",ROUND(AT27*(1-Справочники!$B$19),0))</f>
        <v/>
      </c>
      <c r="BA27" s="81"/>
      <c r="BB27" s="81"/>
      <c r="BC27" s="81"/>
      <c r="BD27" s="81"/>
      <c r="BE27" s="91"/>
      <c r="BF27" s="81" t="s">
        <v>103</v>
      </c>
      <c r="BG27" s="89" t="n">
        <f aca="false" t="array" ref="BG27:BG27">IF(BF27="","",IFERROR(INDEX(Справочники!$B$4:$B$7,MATCH(BF27,Справочники!$A$4:$A$7,0)),""))</f>
        <v>68.5</v>
      </c>
      <c r="BH27" s="90" t="str">
        <f aca="false">IF(N(BN27)&gt;0,ROUND(SUMIF(ЗАКАЗЫ!$F$3:$F$500,$A27,ЗАКАЗЫ!$Y$3:$Y$500)/BN27,0),IF(OR(BE27="",BG27=""),"",ROUND(BE27*BG27*(1+Справочники!$B$10),0)))</f>
        <v/>
      </c>
      <c r="BI27" s="92" t="str">
        <f aca="false">IF(OR(AU27="",BH27="",AU27=0),"",(AU27-BH27)/AU27)</f>
        <v/>
      </c>
      <c r="BJ27" s="81"/>
      <c r="BK27" s="83"/>
      <c r="BL27" s="43" t="str">
        <f aca="false">IFERROR(INDEX(ЗАКАЗЫ!$N$3:$N$500,MATCH($A27,ЗАКАЗЫ!$F$3:$F$500,0)),"")</f>
        <v/>
      </c>
      <c r="BM27" s="8" t="str">
        <f aca="false">IF(BL27="","",IFERROR(VLOOKUP(BL27,'ТН ВЭД'!$A$4:$C$40,3,0),""))</f>
        <v/>
      </c>
      <c r="BN27" s="7" t="str">
        <f aca="false">IF(COUNTIF(ЗАКАЗЫ!$F$3:$F$500,$A27)=0,"",SUMIF(ЗАКАЗЫ!$F$3:$F$500,$A27,ЗАКАЗЫ!$J$3:$J$500))</f>
        <v/>
      </c>
      <c r="BO27" s="7" t="str">
        <f aca="false">IF(BN27="","",SUMIF(ЗАКАЗЫ!$F$3:$F$500,$A27,ЗАКАЗЫ!$AL$3:$AL$500))</f>
        <v/>
      </c>
      <c r="BP27" s="7" t="str">
        <f aca="false">IF(BN27="","",BN27-BO27)</f>
        <v/>
      </c>
      <c r="BQ27" s="55" t="str">
        <f aca="false">IF(BN27="","",IF(BO27&gt;=BN27,"На складе",IF(BO27&gt;0,"Частично","Ждём")))</f>
        <v/>
      </c>
      <c r="BR27" s="43"/>
      <c r="BS27" s="47" t="str">
        <f aca="false">IF(BN27="","",IF(_xlfn.MAXIFS(ЗАКАЗЫ!$AK$3:$AK$500,ЗАКАЗЫ!$F$3:$F$500,$A27)=0,"",_xlfn.MAXIFS(ЗАКАЗЫ!$AK$3:$AK$500,ЗАКАЗЫ!$F$3:$F$500,$A27)))</f>
        <v/>
      </c>
    </row>
    <row r="28" customFormat="false" ht="15.75" hidden="false" customHeight="true" outlineLevel="0" collapsed="false">
      <c r="A28" s="80" t="s">
        <v>502</v>
      </c>
      <c r="B28" s="81"/>
      <c r="C28" s="81"/>
      <c r="D28" s="81"/>
      <c r="E28" s="83"/>
      <c r="F28" s="81"/>
      <c r="G28" s="83"/>
      <c r="H28" s="83"/>
      <c r="I28" s="84" t="str">
        <f aca="false">IF(E28="","",A28&amp;"_1.jpg")</f>
        <v/>
      </c>
      <c r="J28" s="84" t="str">
        <f aca="false">IF(E28="","",A28&amp;"_2.jpg; "&amp;A28&amp;"_3.jpg")</f>
        <v/>
      </c>
      <c r="K28" s="84" t="str">
        <f aca="false">IF(E28="","",A28&amp;"_schema.jpg")</f>
        <v/>
      </c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 t="s">
        <v>261</v>
      </c>
      <c r="W28" s="81"/>
      <c r="X28" s="81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6" t="str">
        <f aca="false">IF(SUM(Y28:AJ28)=0,"",SUM(Y28:AJ28))</f>
        <v/>
      </c>
      <c r="AL28" s="84" t="str">
        <f aca="false">MID(IF(N(Y28)&gt;0,", "&amp;Y$2,"")&amp;IF(N(Z28)&gt;0,", "&amp;Z$2,"")&amp;IF(N(AA28)&gt;0,", "&amp;AA$2,"")&amp;IF(N(AB28)&gt;0,", "&amp;AB$2,"")&amp;IF(N(AC28)&gt;0,", "&amp;AC$2,"")&amp;IF(N(AD28)&gt;0,", "&amp;AD$2,"")&amp;IF(N(AE28)&gt;0,", "&amp;AE$2,"")&amp;IF(N(AF28)&gt;0,", "&amp;AF$2,"")&amp;IF(N(AG28)&gt;0,", "&amp;AG$2,"")&amp;IF(N(AH28)&gt;0,", "&amp;AH$2,"")&amp;IF(N(AI28)&gt;0,", "&amp;AI$2,"")&amp;IF(N(AJ28)&gt;0,", "&amp;AJ$2,""),3,999)</f>
        <v/>
      </c>
      <c r="AM28" s="87" t="str">
        <f aca="false">IF(E28="","",MID(IF(N(Y28)&gt;0,", "&amp;A28&amp;"-"&amp;Y$2,"")&amp;IF(N(Z28)&gt;0,", "&amp;A28&amp;"-"&amp;Z$2,"")&amp;IF(N(AA28)&gt;0,", "&amp;A28&amp;"-"&amp;AA$2,"")&amp;IF(N(AB28)&gt;0,", "&amp;A28&amp;"-"&amp;AB$2,"")&amp;IF(N(AC28)&gt;0,", "&amp;A28&amp;"-"&amp;AC$2,"")&amp;IF(N(AD28)&gt;0,", "&amp;A28&amp;"-"&amp;AD$2,"")&amp;IF(N(AE28)&gt;0,", "&amp;A28&amp;"-"&amp;AE$2,"")&amp;IF(N(AF28)&gt;0,", "&amp;A28&amp;"-"&amp;AF$2,"")&amp;IF(N(AG28)&gt;0,", "&amp;A28&amp;"-"&amp;AG$2,"")&amp;IF(N(AH28)&gt;0,", "&amp;A28&amp;"-"&amp;AH$2,"")&amp;IF(N(AI28)&gt;0,", "&amp;A28&amp;"-"&amp;AI$2,"")&amp;IF(N(AJ28)&gt;0,", "&amp;A28&amp;"-"&amp;AJ$2,""),3,999))</f>
        <v/>
      </c>
      <c r="AN28" s="81"/>
      <c r="AO28" s="88"/>
      <c r="AP28" s="89" t="str">
        <f aca="false">IF(AO28="","",ROUND(AO28/(1+Справочники!$B$13),2))</f>
        <v/>
      </c>
      <c r="AQ28" s="90" t="str">
        <f aca="false" t="array" ref="AQ28:AQ28">IF(AP28="","",AP28*INDEX(Справочники!$B$4:$B$7,MATCH("RUB",Справочники!$A$4:$A$7,0)))</f>
        <v/>
      </c>
      <c r="AR28" s="90" t="str">
        <f aca="false">IF(AQ28="","",ROUND(AQ28*(1+Справочники!$B$12),0))</f>
        <v/>
      </c>
      <c r="AS28" s="90" t="str">
        <f aca="false">IF(AR28="","",ROUND(AR28*(1-Справочники!$B$11),0))</f>
        <v/>
      </c>
      <c r="AT28" s="88"/>
      <c r="AU28" s="90" t="str">
        <f aca="false">IF(AT28="","",ROUND(AT28/(1+Справочники!$B$12),0))</f>
        <v/>
      </c>
      <c r="AV28" s="90" t="str">
        <f aca="false">IF(AT28="","",ROUND(AT28*(1-Справочники!$B$15),0))</f>
        <v/>
      </c>
      <c r="AW28" s="90" t="str">
        <f aca="false">IF(AT28="","",ROUND(AT28*(1-Справочники!$B$16),0))</f>
        <v/>
      </c>
      <c r="AX28" s="90" t="str">
        <f aca="false">IF(AT28="","",ROUND(AT28*(1-Справочники!$B$17),0))</f>
        <v/>
      </c>
      <c r="AY28" s="90" t="str">
        <f aca="false">IF(AT28="","",ROUND(AT28*(1-Справочники!$B$18),0))</f>
        <v/>
      </c>
      <c r="AZ28" s="90" t="str">
        <f aca="false">IF(AT28="","",ROUND(AT28*(1-Справочники!$B$19),0))</f>
        <v/>
      </c>
      <c r="BA28" s="81"/>
      <c r="BB28" s="81"/>
      <c r="BC28" s="81"/>
      <c r="BD28" s="81"/>
      <c r="BE28" s="91"/>
      <c r="BF28" s="81" t="s">
        <v>103</v>
      </c>
      <c r="BG28" s="89" t="n">
        <f aca="false" t="array" ref="BG28:BG28">IF(BF28="","",IFERROR(INDEX(Справочники!$B$4:$B$7,MATCH(BF28,Справочники!$A$4:$A$7,0)),""))</f>
        <v>68.5</v>
      </c>
      <c r="BH28" s="90" t="str">
        <f aca="false">IF(N(BN28)&gt;0,ROUND(SUMIF(ЗАКАЗЫ!$F$3:$F$500,$A28,ЗАКАЗЫ!$Y$3:$Y$500)/BN28,0),IF(OR(BE28="",BG28=""),"",ROUND(BE28*BG28*(1+Справочники!$B$10),0)))</f>
        <v/>
      </c>
      <c r="BI28" s="92" t="str">
        <f aca="false">IF(OR(AU28="",BH28="",AU28=0),"",(AU28-BH28)/AU28)</f>
        <v/>
      </c>
      <c r="BJ28" s="81"/>
      <c r="BK28" s="83"/>
      <c r="BL28" s="43" t="str">
        <f aca="false">IFERROR(INDEX(ЗАКАЗЫ!$N$3:$N$500,MATCH($A28,ЗАКАЗЫ!$F$3:$F$500,0)),"")</f>
        <v/>
      </c>
      <c r="BM28" s="8" t="str">
        <f aca="false">IF(BL28="","",IFERROR(VLOOKUP(BL28,'ТН ВЭД'!$A$4:$C$40,3,0),""))</f>
        <v/>
      </c>
      <c r="BN28" s="7" t="str">
        <f aca="false">IF(COUNTIF(ЗАКАЗЫ!$F$3:$F$500,$A28)=0,"",SUMIF(ЗАКАЗЫ!$F$3:$F$500,$A28,ЗАКАЗЫ!$J$3:$J$500))</f>
        <v/>
      </c>
      <c r="BO28" s="7" t="str">
        <f aca="false">IF(BN28="","",SUMIF(ЗАКАЗЫ!$F$3:$F$500,$A28,ЗАКАЗЫ!$AL$3:$AL$500))</f>
        <v/>
      </c>
      <c r="BP28" s="7" t="str">
        <f aca="false">IF(BN28="","",BN28-BO28)</f>
        <v/>
      </c>
      <c r="BQ28" s="55" t="str">
        <f aca="false">IF(BN28="","",IF(BO28&gt;=BN28,"На складе",IF(BO28&gt;0,"Частично","Ждём")))</f>
        <v/>
      </c>
      <c r="BR28" s="43"/>
      <c r="BS28" s="47" t="str">
        <f aca="false">IF(BN28="","",IF(_xlfn.MAXIFS(ЗАКАЗЫ!$AK$3:$AK$500,ЗАКАЗЫ!$F$3:$F$500,$A28)=0,"",_xlfn.MAXIFS(ЗАКАЗЫ!$AK$3:$AK$500,ЗАКАЗЫ!$F$3:$F$500,$A28)))</f>
        <v/>
      </c>
    </row>
    <row r="29" customFormat="false" ht="15.75" hidden="false" customHeight="true" outlineLevel="0" collapsed="false">
      <c r="A29" s="80" t="s">
        <v>503</v>
      </c>
      <c r="B29" s="81"/>
      <c r="C29" s="81"/>
      <c r="D29" s="81"/>
      <c r="E29" s="83"/>
      <c r="F29" s="81"/>
      <c r="G29" s="83"/>
      <c r="H29" s="83"/>
      <c r="I29" s="84" t="str">
        <f aca="false">IF(E29="","",A29&amp;"_1.jpg")</f>
        <v/>
      </c>
      <c r="J29" s="84" t="str">
        <f aca="false">IF(E29="","",A29&amp;"_2.jpg; "&amp;A29&amp;"_3.jpg")</f>
        <v/>
      </c>
      <c r="K29" s="84" t="str">
        <f aca="false">IF(E29="","",A29&amp;"_schema.jpg")</f>
        <v/>
      </c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 t="s">
        <v>261</v>
      </c>
      <c r="W29" s="81"/>
      <c r="X29" s="81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6" t="str">
        <f aca="false">IF(SUM(Y29:AJ29)=0,"",SUM(Y29:AJ29))</f>
        <v/>
      </c>
      <c r="AL29" s="84" t="str">
        <f aca="false">MID(IF(N(Y29)&gt;0,", "&amp;Y$2,"")&amp;IF(N(Z29)&gt;0,", "&amp;Z$2,"")&amp;IF(N(AA29)&gt;0,", "&amp;AA$2,"")&amp;IF(N(AB29)&gt;0,", "&amp;AB$2,"")&amp;IF(N(AC29)&gt;0,", "&amp;AC$2,"")&amp;IF(N(AD29)&gt;0,", "&amp;AD$2,"")&amp;IF(N(AE29)&gt;0,", "&amp;AE$2,"")&amp;IF(N(AF29)&gt;0,", "&amp;AF$2,"")&amp;IF(N(AG29)&gt;0,", "&amp;AG$2,"")&amp;IF(N(AH29)&gt;0,", "&amp;AH$2,"")&amp;IF(N(AI29)&gt;0,", "&amp;AI$2,"")&amp;IF(N(AJ29)&gt;0,", "&amp;AJ$2,""),3,999)</f>
        <v/>
      </c>
      <c r="AM29" s="87" t="str">
        <f aca="false">IF(E29="","",MID(IF(N(Y29)&gt;0,", "&amp;A29&amp;"-"&amp;Y$2,"")&amp;IF(N(Z29)&gt;0,", "&amp;A29&amp;"-"&amp;Z$2,"")&amp;IF(N(AA29)&gt;0,", "&amp;A29&amp;"-"&amp;AA$2,"")&amp;IF(N(AB29)&gt;0,", "&amp;A29&amp;"-"&amp;AB$2,"")&amp;IF(N(AC29)&gt;0,", "&amp;A29&amp;"-"&amp;AC$2,"")&amp;IF(N(AD29)&gt;0,", "&amp;A29&amp;"-"&amp;AD$2,"")&amp;IF(N(AE29)&gt;0,", "&amp;A29&amp;"-"&amp;AE$2,"")&amp;IF(N(AF29)&gt;0,", "&amp;A29&amp;"-"&amp;AF$2,"")&amp;IF(N(AG29)&gt;0,", "&amp;A29&amp;"-"&amp;AG$2,"")&amp;IF(N(AH29)&gt;0,", "&amp;A29&amp;"-"&amp;AH$2,"")&amp;IF(N(AI29)&gt;0,", "&amp;A29&amp;"-"&amp;AI$2,"")&amp;IF(N(AJ29)&gt;0,", "&amp;A29&amp;"-"&amp;AJ$2,""),3,999))</f>
        <v/>
      </c>
      <c r="AN29" s="81"/>
      <c r="AO29" s="88"/>
      <c r="AP29" s="89" t="str">
        <f aca="false">IF(AO29="","",ROUND(AO29/(1+Справочники!$B$13),2))</f>
        <v/>
      </c>
      <c r="AQ29" s="90" t="str">
        <f aca="false" t="array" ref="AQ29:AQ29">IF(AP29="","",AP29*INDEX(Справочники!$B$4:$B$7,MATCH("RUB",Справочники!$A$4:$A$7,0)))</f>
        <v/>
      </c>
      <c r="AR29" s="90" t="str">
        <f aca="false">IF(AQ29="","",ROUND(AQ29*(1+Справочники!$B$12),0))</f>
        <v/>
      </c>
      <c r="AS29" s="90" t="str">
        <f aca="false">IF(AR29="","",ROUND(AR29*(1-Справочники!$B$11),0))</f>
        <v/>
      </c>
      <c r="AT29" s="88"/>
      <c r="AU29" s="90" t="str">
        <f aca="false">IF(AT29="","",ROUND(AT29/(1+Справочники!$B$12),0))</f>
        <v/>
      </c>
      <c r="AV29" s="90" t="str">
        <f aca="false">IF(AT29="","",ROUND(AT29*(1-Справочники!$B$15),0))</f>
        <v/>
      </c>
      <c r="AW29" s="90" t="str">
        <f aca="false">IF(AT29="","",ROUND(AT29*(1-Справочники!$B$16),0))</f>
        <v/>
      </c>
      <c r="AX29" s="90" t="str">
        <f aca="false">IF(AT29="","",ROUND(AT29*(1-Справочники!$B$17),0))</f>
        <v/>
      </c>
      <c r="AY29" s="90" t="str">
        <f aca="false">IF(AT29="","",ROUND(AT29*(1-Справочники!$B$18),0))</f>
        <v/>
      </c>
      <c r="AZ29" s="90" t="str">
        <f aca="false">IF(AT29="","",ROUND(AT29*(1-Справочники!$B$19),0))</f>
        <v/>
      </c>
      <c r="BA29" s="81"/>
      <c r="BB29" s="81"/>
      <c r="BC29" s="81"/>
      <c r="BD29" s="81"/>
      <c r="BE29" s="91"/>
      <c r="BF29" s="81" t="s">
        <v>103</v>
      </c>
      <c r="BG29" s="89" t="n">
        <f aca="false" t="array" ref="BG29:BG29">IF(BF29="","",IFERROR(INDEX(Справочники!$B$4:$B$7,MATCH(BF29,Справочники!$A$4:$A$7,0)),""))</f>
        <v>68.5</v>
      </c>
      <c r="BH29" s="90" t="str">
        <f aca="false">IF(N(BN29)&gt;0,ROUND(SUMIF(ЗАКАЗЫ!$F$3:$F$500,$A29,ЗАКАЗЫ!$Y$3:$Y$500)/BN29,0),IF(OR(BE29="",BG29=""),"",ROUND(BE29*BG29*(1+Справочники!$B$10),0)))</f>
        <v/>
      </c>
      <c r="BI29" s="92" t="str">
        <f aca="false">IF(OR(AU29="",BH29="",AU29=0),"",(AU29-BH29)/AU29)</f>
        <v/>
      </c>
      <c r="BJ29" s="81"/>
      <c r="BK29" s="83"/>
      <c r="BL29" s="43" t="str">
        <f aca="false">IFERROR(INDEX(ЗАКАЗЫ!$N$3:$N$500,MATCH($A29,ЗАКАЗЫ!$F$3:$F$500,0)),"")</f>
        <v/>
      </c>
      <c r="BM29" s="8" t="str">
        <f aca="false">IF(BL29="","",IFERROR(VLOOKUP(BL29,'ТН ВЭД'!$A$4:$C$40,3,0),""))</f>
        <v/>
      </c>
      <c r="BN29" s="7" t="str">
        <f aca="false">IF(COUNTIF(ЗАКАЗЫ!$F$3:$F$500,$A29)=0,"",SUMIF(ЗАКАЗЫ!$F$3:$F$500,$A29,ЗАКАЗЫ!$J$3:$J$500))</f>
        <v/>
      </c>
      <c r="BO29" s="7" t="str">
        <f aca="false">IF(BN29="","",SUMIF(ЗАКАЗЫ!$F$3:$F$500,$A29,ЗАКАЗЫ!$AL$3:$AL$500))</f>
        <v/>
      </c>
      <c r="BP29" s="7" t="str">
        <f aca="false">IF(BN29="","",BN29-BO29)</f>
        <v/>
      </c>
      <c r="BQ29" s="55" t="str">
        <f aca="false">IF(BN29="","",IF(BO29&gt;=BN29,"На складе",IF(BO29&gt;0,"Частично","Ждём")))</f>
        <v/>
      </c>
      <c r="BR29" s="43"/>
      <c r="BS29" s="47" t="str">
        <f aca="false">IF(BN29="","",IF(_xlfn.MAXIFS(ЗАКАЗЫ!$AK$3:$AK$500,ЗАКАЗЫ!$F$3:$F$500,$A29)=0,"",_xlfn.MAXIFS(ЗАКАЗЫ!$AK$3:$AK$500,ЗАКАЗЫ!$F$3:$F$500,$A29)))</f>
        <v/>
      </c>
    </row>
    <row r="30" customFormat="false" ht="15.75" hidden="false" customHeight="true" outlineLevel="0" collapsed="false">
      <c r="A30" s="80" t="s">
        <v>504</v>
      </c>
      <c r="B30" s="81"/>
      <c r="C30" s="81"/>
      <c r="D30" s="81"/>
      <c r="E30" s="83"/>
      <c r="F30" s="81"/>
      <c r="G30" s="83"/>
      <c r="H30" s="83"/>
      <c r="I30" s="84" t="str">
        <f aca="false">IF(E30="","",A30&amp;"_1.jpg")</f>
        <v/>
      </c>
      <c r="J30" s="84" t="str">
        <f aca="false">IF(E30="","",A30&amp;"_2.jpg; "&amp;A30&amp;"_3.jpg")</f>
        <v/>
      </c>
      <c r="K30" s="84" t="str">
        <f aca="false">IF(E30="","",A30&amp;"_schema.jpg")</f>
        <v/>
      </c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 t="s">
        <v>261</v>
      </c>
      <c r="W30" s="81"/>
      <c r="X30" s="81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6" t="str">
        <f aca="false">IF(SUM(Y30:AJ30)=0,"",SUM(Y30:AJ30))</f>
        <v/>
      </c>
      <c r="AL30" s="84" t="str">
        <f aca="false">MID(IF(N(Y30)&gt;0,", "&amp;Y$2,"")&amp;IF(N(Z30)&gt;0,", "&amp;Z$2,"")&amp;IF(N(AA30)&gt;0,", "&amp;AA$2,"")&amp;IF(N(AB30)&gt;0,", "&amp;AB$2,"")&amp;IF(N(AC30)&gt;0,", "&amp;AC$2,"")&amp;IF(N(AD30)&gt;0,", "&amp;AD$2,"")&amp;IF(N(AE30)&gt;0,", "&amp;AE$2,"")&amp;IF(N(AF30)&gt;0,", "&amp;AF$2,"")&amp;IF(N(AG30)&gt;0,", "&amp;AG$2,"")&amp;IF(N(AH30)&gt;0,", "&amp;AH$2,"")&amp;IF(N(AI30)&gt;0,", "&amp;AI$2,"")&amp;IF(N(AJ30)&gt;0,", "&amp;AJ$2,""),3,999)</f>
        <v/>
      </c>
      <c r="AM30" s="87" t="str">
        <f aca="false">IF(E30="","",MID(IF(N(Y30)&gt;0,", "&amp;A30&amp;"-"&amp;Y$2,"")&amp;IF(N(Z30)&gt;0,", "&amp;A30&amp;"-"&amp;Z$2,"")&amp;IF(N(AA30)&gt;0,", "&amp;A30&amp;"-"&amp;AA$2,"")&amp;IF(N(AB30)&gt;0,", "&amp;A30&amp;"-"&amp;AB$2,"")&amp;IF(N(AC30)&gt;0,", "&amp;A30&amp;"-"&amp;AC$2,"")&amp;IF(N(AD30)&gt;0,", "&amp;A30&amp;"-"&amp;AD$2,"")&amp;IF(N(AE30)&gt;0,", "&amp;A30&amp;"-"&amp;AE$2,"")&amp;IF(N(AF30)&gt;0,", "&amp;A30&amp;"-"&amp;AF$2,"")&amp;IF(N(AG30)&gt;0,", "&amp;A30&amp;"-"&amp;AG$2,"")&amp;IF(N(AH30)&gt;0,", "&amp;A30&amp;"-"&amp;AH$2,"")&amp;IF(N(AI30)&gt;0,", "&amp;A30&amp;"-"&amp;AI$2,"")&amp;IF(N(AJ30)&gt;0,", "&amp;A30&amp;"-"&amp;AJ$2,""),3,999))</f>
        <v/>
      </c>
      <c r="AN30" s="81"/>
      <c r="AO30" s="88"/>
      <c r="AP30" s="89" t="str">
        <f aca="false">IF(AO30="","",ROUND(AO30/(1+Справочники!$B$13),2))</f>
        <v/>
      </c>
      <c r="AQ30" s="90" t="str">
        <f aca="false" t="array" ref="AQ30:AQ30">IF(AP30="","",AP30*INDEX(Справочники!$B$4:$B$7,MATCH("RUB",Справочники!$A$4:$A$7,0)))</f>
        <v/>
      </c>
      <c r="AR30" s="90" t="str">
        <f aca="false">IF(AQ30="","",ROUND(AQ30*(1+Справочники!$B$12),0))</f>
        <v/>
      </c>
      <c r="AS30" s="90" t="str">
        <f aca="false">IF(AR30="","",ROUND(AR30*(1-Справочники!$B$11),0))</f>
        <v/>
      </c>
      <c r="AT30" s="88"/>
      <c r="AU30" s="90" t="str">
        <f aca="false">IF(AT30="","",ROUND(AT30/(1+Справочники!$B$12),0))</f>
        <v/>
      </c>
      <c r="AV30" s="90" t="str">
        <f aca="false">IF(AT30="","",ROUND(AT30*(1-Справочники!$B$15),0))</f>
        <v/>
      </c>
      <c r="AW30" s="90" t="str">
        <f aca="false">IF(AT30="","",ROUND(AT30*(1-Справочники!$B$16),0))</f>
        <v/>
      </c>
      <c r="AX30" s="90" t="str">
        <f aca="false">IF(AT30="","",ROUND(AT30*(1-Справочники!$B$17),0))</f>
        <v/>
      </c>
      <c r="AY30" s="90" t="str">
        <f aca="false">IF(AT30="","",ROUND(AT30*(1-Справочники!$B$18),0))</f>
        <v/>
      </c>
      <c r="AZ30" s="90" t="str">
        <f aca="false">IF(AT30="","",ROUND(AT30*(1-Справочники!$B$19),0))</f>
        <v/>
      </c>
      <c r="BA30" s="81"/>
      <c r="BB30" s="81"/>
      <c r="BC30" s="81"/>
      <c r="BD30" s="81"/>
      <c r="BE30" s="91"/>
      <c r="BF30" s="81" t="s">
        <v>103</v>
      </c>
      <c r="BG30" s="89" t="n">
        <f aca="false" t="array" ref="BG30:BG30">IF(BF30="","",IFERROR(INDEX(Справочники!$B$4:$B$7,MATCH(BF30,Справочники!$A$4:$A$7,0)),""))</f>
        <v>68.5</v>
      </c>
      <c r="BH30" s="90" t="str">
        <f aca="false">IF(N(BN30)&gt;0,ROUND(SUMIF(ЗАКАЗЫ!$F$3:$F$500,$A30,ЗАКАЗЫ!$Y$3:$Y$500)/BN30,0),IF(OR(BE30="",BG30=""),"",ROUND(BE30*BG30*(1+Справочники!$B$10),0)))</f>
        <v/>
      </c>
      <c r="BI30" s="92" t="str">
        <f aca="false">IF(OR(AU30="",BH30="",AU30=0),"",(AU30-BH30)/AU30)</f>
        <v/>
      </c>
      <c r="BJ30" s="81"/>
      <c r="BK30" s="83"/>
      <c r="BL30" s="43" t="str">
        <f aca="false">IFERROR(INDEX(ЗАКАЗЫ!$N$3:$N$500,MATCH($A30,ЗАКАЗЫ!$F$3:$F$500,0)),"")</f>
        <v/>
      </c>
      <c r="BM30" s="8" t="str">
        <f aca="false">IF(BL30="","",IFERROR(VLOOKUP(BL30,'ТН ВЭД'!$A$4:$C$40,3,0),""))</f>
        <v/>
      </c>
      <c r="BN30" s="7" t="str">
        <f aca="false">IF(COUNTIF(ЗАКАЗЫ!$F$3:$F$500,$A30)=0,"",SUMIF(ЗАКАЗЫ!$F$3:$F$500,$A30,ЗАКАЗЫ!$J$3:$J$500))</f>
        <v/>
      </c>
      <c r="BO30" s="7" t="str">
        <f aca="false">IF(BN30="","",SUMIF(ЗАКАЗЫ!$F$3:$F$500,$A30,ЗАКАЗЫ!$AL$3:$AL$500))</f>
        <v/>
      </c>
      <c r="BP30" s="7" t="str">
        <f aca="false">IF(BN30="","",BN30-BO30)</f>
        <v/>
      </c>
      <c r="BQ30" s="55" t="str">
        <f aca="false">IF(BN30="","",IF(BO30&gt;=BN30,"На складе",IF(BO30&gt;0,"Частично","Ждём")))</f>
        <v/>
      </c>
      <c r="BR30" s="43"/>
      <c r="BS30" s="47" t="str">
        <f aca="false">IF(BN30="","",IF(_xlfn.MAXIFS(ЗАКАЗЫ!$AK$3:$AK$500,ЗАКАЗЫ!$F$3:$F$500,$A30)=0,"",_xlfn.MAXIFS(ЗАКАЗЫ!$AK$3:$AK$500,ЗАКАЗЫ!$F$3:$F$500,$A30)))</f>
        <v/>
      </c>
    </row>
    <row r="31" customFormat="false" ht="15.75" hidden="false" customHeight="true" outlineLevel="0" collapsed="false">
      <c r="A31" s="80" t="s">
        <v>505</v>
      </c>
      <c r="B31" s="81"/>
      <c r="C31" s="81"/>
      <c r="D31" s="81"/>
      <c r="E31" s="83"/>
      <c r="F31" s="81"/>
      <c r="G31" s="83"/>
      <c r="H31" s="83"/>
      <c r="I31" s="84" t="str">
        <f aca="false">IF(E31="","",A31&amp;"_1.jpg")</f>
        <v/>
      </c>
      <c r="J31" s="84" t="str">
        <f aca="false">IF(E31="","",A31&amp;"_2.jpg; "&amp;A31&amp;"_3.jpg")</f>
        <v/>
      </c>
      <c r="K31" s="84" t="str">
        <f aca="false">IF(E31="","",A31&amp;"_schema.jpg")</f>
        <v/>
      </c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 t="s">
        <v>261</v>
      </c>
      <c r="W31" s="81"/>
      <c r="X31" s="81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6" t="str">
        <f aca="false">IF(SUM(Y31:AJ31)=0,"",SUM(Y31:AJ31))</f>
        <v/>
      </c>
      <c r="AL31" s="84" t="str">
        <f aca="false">MID(IF(N(Y31)&gt;0,", "&amp;Y$2,"")&amp;IF(N(Z31)&gt;0,", "&amp;Z$2,"")&amp;IF(N(AA31)&gt;0,", "&amp;AA$2,"")&amp;IF(N(AB31)&gt;0,", "&amp;AB$2,"")&amp;IF(N(AC31)&gt;0,", "&amp;AC$2,"")&amp;IF(N(AD31)&gt;0,", "&amp;AD$2,"")&amp;IF(N(AE31)&gt;0,", "&amp;AE$2,"")&amp;IF(N(AF31)&gt;0,", "&amp;AF$2,"")&amp;IF(N(AG31)&gt;0,", "&amp;AG$2,"")&amp;IF(N(AH31)&gt;0,", "&amp;AH$2,"")&amp;IF(N(AI31)&gt;0,", "&amp;AI$2,"")&amp;IF(N(AJ31)&gt;0,", "&amp;AJ$2,""),3,999)</f>
        <v/>
      </c>
      <c r="AM31" s="87" t="str">
        <f aca="false">IF(E31="","",MID(IF(N(Y31)&gt;0,", "&amp;A31&amp;"-"&amp;Y$2,"")&amp;IF(N(Z31)&gt;0,", "&amp;A31&amp;"-"&amp;Z$2,"")&amp;IF(N(AA31)&gt;0,", "&amp;A31&amp;"-"&amp;AA$2,"")&amp;IF(N(AB31)&gt;0,", "&amp;A31&amp;"-"&amp;AB$2,"")&amp;IF(N(AC31)&gt;0,", "&amp;A31&amp;"-"&amp;AC$2,"")&amp;IF(N(AD31)&gt;0,", "&amp;A31&amp;"-"&amp;AD$2,"")&amp;IF(N(AE31)&gt;0,", "&amp;A31&amp;"-"&amp;AE$2,"")&amp;IF(N(AF31)&gt;0,", "&amp;A31&amp;"-"&amp;AF$2,"")&amp;IF(N(AG31)&gt;0,", "&amp;A31&amp;"-"&amp;AG$2,"")&amp;IF(N(AH31)&gt;0,", "&amp;A31&amp;"-"&amp;AH$2,"")&amp;IF(N(AI31)&gt;0,", "&amp;A31&amp;"-"&amp;AI$2,"")&amp;IF(N(AJ31)&gt;0,", "&amp;A31&amp;"-"&amp;AJ$2,""),3,999))</f>
        <v/>
      </c>
      <c r="AN31" s="81"/>
      <c r="AO31" s="88"/>
      <c r="AP31" s="89" t="str">
        <f aca="false">IF(AO31="","",ROUND(AO31/(1+Справочники!$B$13),2))</f>
        <v/>
      </c>
      <c r="AQ31" s="90" t="str">
        <f aca="false" t="array" ref="AQ31:AQ31">IF(AP31="","",AP31*INDEX(Справочники!$B$4:$B$7,MATCH("RUB",Справочники!$A$4:$A$7,0)))</f>
        <v/>
      </c>
      <c r="AR31" s="90" t="str">
        <f aca="false">IF(AQ31="","",ROUND(AQ31*(1+Справочники!$B$12),0))</f>
        <v/>
      </c>
      <c r="AS31" s="90" t="str">
        <f aca="false">IF(AR31="","",ROUND(AR31*(1-Справочники!$B$11),0))</f>
        <v/>
      </c>
      <c r="AT31" s="88"/>
      <c r="AU31" s="90" t="str">
        <f aca="false">IF(AT31="","",ROUND(AT31/(1+Справочники!$B$12),0))</f>
        <v/>
      </c>
      <c r="AV31" s="90" t="str">
        <f aca="false">IF(AT31="","",ROUND(AT31*(1-Справочники!$B$15),0))</f>
        <v/>
      </c>
      <c r="AW31" s="90" t="str">
        <f aca="false">IF(AT31="","",ROUND(AT31*(1-Справочники!$B$16),0))</f>
        <v/>
      </c>
      <c r="AX31" s="90" t="str">
        <f aca="false">IF(AT31="","",ROUND(AT31*(1-Справочники!$B$17),0))</f>
        <v/>
      </c>
      <c r="AY31" s="90" t="str">
        <f aca="false">IF(AT31="","",ROUND(AT31*(1-Справочники!$B$18),0))</f>
        <v/>
      </c>
      <c r="AZ31" s="90" t="str">
        <f aca="false">IF(AT31="","",ROUND(AT31*(1-Справочники!$B$19),0))</f>
        <v/>
      </c>
      <c r="BA31" s="81"/>
      <c r="BB31" s="81"/>
      <c r="BC31" s="81"/>
      <c r="BD31" s="81"/>
      <c r="BE31" s="91"/>
      <c r="BF31" s="81" t="s">
        <v>103</v>
      </c>
      <c r="BG31" s="89" t="n">
        <f aca="false" t="array" ref="BG31:BG31">IF(BF31="","",IFERROR(INDEX(Справочники!$B$4:$B$7,MATCH(BF31,Справочники!$A$4:$A$7,0)),""))</f>
        <v>68.5</v>
      </c>
      <c r="BH31" s="90" t="str">
        <f aca="false">IF(N(BN31)&gt;0,ROUND(SUMIF(ЗАКАЗЫ!$F$3:$F$500,$A31,ЗАКАЗЫ!$Y$3:$Y$500)/BN31,0),IF(OR(BE31="",BG31=""),"",ROUND(BE31*BG31*(1+Справочники!$B$10),0)))</f>
        <v/>
      </c>
      <c r="BI31" s="92" t="str">
        <f aca="false">IF(OR(AU31="",BH31="",AU31=0),"",(AU31-BH31)/AU31)</f>
        <v/>
      </c>
      <c r="BJ31" s="81"/>
      <c r="BK31" s="83"/>
      <c r="BL31" s="43" t="str">
        <f aca="false">IFERROR(INDEX(ЗАКАЗЫ!$N$3:$N$500,MATCH($A31,ЗАКАЗЫ!$F$3:$F$500,0)),"")</f>
        <v/>
      </c>
      <c r="BM31" s="8" t="str">
        <f aca="false">IF(BL31="","",IFERROR(VLOOKUP(BL31,'ТН ВЭД'!$A$4:$C$40,3,0),""))</f>
        <v/>
      </c>
      <c r="BN31" s="7" t="str">
        <f aca="false">IF(COUNTIF(ЗАКАЗЫ!$F$3:$F$500,$A31)=0,"",SUMIF(ЗАКАЗЫ!$F$3:$F$500,$A31,ЗАКАЗЫ!$J$3:$J$500))</f>
        <v/>
      </c>
      <c r="BO31" s="7" t="str">
        <f aca="false">IF(BN31="","",SUMIF(ЗАКАЗЫ!$F$3:$F$500,$A31,ЗАКАЗЫ!$AL$3:$AL$500))</f>
        <v/>
      </c>
      <c r="BP31" s="7" t="str">
        <f aca="false">IF(BN31="","",BN31-BO31)</f>
        <v/>
      </c>
      <c r="BQ31" s="55" t="str">
        <f aca="false">IF(BN31="","",IF(BO31&gt;=BN31,"На складе",IF(BO31&gt;0,"Частично","Ждём")))</f>
        <v/>
      </c>
      <c r="BR31" s="43"/>
      <c r="BS31" s="47" t="str">
        <f aca="false">IF(BN31="","",IF(_xlfn.MAXIFS(ЗАКАЗЫ!$AK$3:$AK$500,ЗАКАЗЫ!$F$3:$F$500,$A31)=0,"",_xlfn.MAXIFS(ЗАКАЗЫ!$AK$3:$AK$500,ЗАКАЗЫ!$F$3:$F$500,$A31)))</f>
        <v/>
      </c>
    </row>
    <row r="32" customFormat="false" ht="15.75" hidden="false" customHeight="true" outlineLevel="0" collapsed="false">
      <c r="A32" s="80" t="s">
        <v>506</v>
      </c>
      <c r="B32" s="81"/>
      <c r="C32" s="81"/>
      <c r="D32" s="81"/>
      <c r="E32" s="83"/>
      <c r="F32" s="81"/>
      <c r="G32" s="83"/>
      <c r="H32" s="83"/>
      <c r="I32" s="84" t="str">
        <f aca="false">IF(E32="","",A32&amp;"_1.jpg")</f>
        <v/>
      </c>
      <c r="J32" s="84" t="str">
        <f aca="false">IF(E32="","",A32&amp;"_2.jpg; "&amp;A32&amp;"_3.jpg")</f>
        <v/>
      </c>
      <c r="K32" s="84" t="str">
        <f aca="false">IF(E32="","",A32&amp;"_schema.jpg")</f>
        <v/>
      </c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 t="s">
        <v>261</v>
      </c>
      <c r="W32" s="81"/>
      <c r="X32" s="81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6" t="str">
        <f aca="false">IF(SUM(Y32:AJ32)=0,"",SUM(Y32:AJ32))</f>
        <v/>
      </c>
      <c r="AL32" s="84" t="str">
        <f aca="false">MID(IF(N(Y32)&gt;0,", "&amp;Y$2,"")&amp;IF(N(Z32)&gt;0,", "&amp;Z$2,"")&amp;IF(N(AA32)&gt;0,", "&amp;AA$2,"")&amp;IF(N(AB32)&gt;0,", "&amp;AB$2,"")&amp;IF(N(AC32)&gt;0,", "&amp;AC$2,"")&amp;IF(N(AD32)&gt;0,", "&amp;AD$2,"")&amp;IF(N(AE32)&gt;0,", "&amp;AE$2,"")&amp;IF(N(AF32)&gt;0,", "&amp;AF$2,"")&amp;IF(N(AG32)&gt;0,", "&amp;AG$2,"")&amp;IF(N(AH32)&gt;0,", "&amp;AH$2,"")&amp;IF(N(AI32)&gt;0,", "&amp;AI$2,"")&amp;IF(N(AJ32)&gt;0,", "&amp;AJ$2,""),3,999)</f>
        <v/>
      </c>
      <c r="AM32" s="87" t="str">
        <f aca="false">IF(E32="","",MID(IF(N(Y32)&gt;0,", "&amp;A32&amp;"-"&amp;Y$2,"")&amp;IF(N(Z32)&gt;0,", "&amp;A32&amp;"-"&amp;Z$2,"")&amp;IF(N(AA32)&gt;0,", "&amp;A32&amp;"-"&amp;AA$2,"")&amp;IF(N(AB32)&gt;0,", "&amp;A32&amp;"-"&amp;AB$2,"")&amp;IF(N(AC32)&gt;0,", "&amp;A32&amp;"-"&amp;AC$2,"")&amp;IF(N(AD32)&gt;0,", "&amp;A32&amp;"-"&amp;AD$2,"")&amp;IF(N(AE32)&gt;0,", "&amp;A32&amp;"-"&amp;AE$2,"")&amp;IF(N(AF32)&gt;0,", "&amp;A32&amp;"-"&amp;AF$2,"")&amp;IF(N(AG32)&gt;0,", "&amp;A32&amp;"-"&amp;AG$2,"")&amp;IF(N(AH32)&gt;0,", "&amp;A32&amp;"-"&amp;AH$2,"")&amp;IF(N(AI32)&gt;0,", "&amp;A32&amp;"-"&amp;AI$2,"")&amp;IF(N(AJ32)&gt;0,", "&amp;A32&amp;"-"&amp;AJ$2,""),3,999))</f>
        <v/>
      </c>
      <c r="AN32" s="81"/>
      <c r="AO32" s="88"/>
      <c r="AP32" s="89" t="str">
        <f aca="false">IF(AO32="","",ROUND(AO32/(1+Справочники!$B$13),2))</f>
        <v/>
      </c>
      <c r="AQ32" s="90" t="str">
        <f aca="false" t="array" ref="AQ32:AQ32">IF(AP32="","",AP32*INDEX(Справочники!$B$4:$B$7,MATCH("RUB",Справочники!$A$4:$A$7,0)))</f>
        <v/>
      </c>
      <c r="AR32" s="90" t="str">
        <f aca="false">IF(AQ32="","",ROUND(AQ32*(1+Справочники!$B$12),0))</f>
        <v/>
      </c>
      <c r="AS32" s="90" t="str">
        <f aca="false">IF(AR32="","",ROUND(AR32*(1-Справочники!$B$11),0))</f>
        <v/>
      </c>
      <c r="AT32" s="88"/>
      <c r="AU32" s="90" t="str">
        <f aca="false">IF(AT32="","",ROUND(AT32/(1+Справочники!$B$12),0))</f>
        <v/>
      </c>
      <c r="AV32" s="90" t="str">
        <f aca="false">IF(AT32="","",ROUND(AT32*(1-Справочники!$B$15),0))</f>
        <v/>
      </c>
      <c r="AW32" s="90" t="str">
        <f aca="false">IF(AT32="","",ROUND(AT32*(1-Справочники!$B$16),0))</f>
        <v/>
      </c>
      <c r="AX32" s="90" t="str">
        <f aca="false">IF(AT32="","",ROUND(AT32*(1-Справочники!$B$17),0))</f>
        <v/>
      </c>
      <c r="AY32" s="90" t="str">
        <f aca="false">IF(AT32="","",ROUND(AT32*(1-Справочники!$B$18),0))</f>
        <v/>
      </c>
      <c r="AZ32" s="90" t="str">
        <f aca="false">IF(AT32="","",ROUND(AT32*(1-Справочники!$B$19),0))</f>
        <v/>
      </c>
      <c r="BA32" s="81"/>
      <c r="BB32" s="81"/>
      <c r="BC32" s="81"/>
      <c r="BD32" s="81"/>
      <c r="BE32" s="91"/>
      <c r="BF32" s="81" t="s">
        <v>103</v>
      </c>
      <c r="BG32" s="89" t="n">
        <f aca="false" t="array" ref="BG32:BG32">IF(BF32="","",IFERROR(INDEX(Справочники!$B$4:$B$7,MATCH(BF32,Справочники!$A$4:$A$7,0)),""))</f>
        <v>68.5</v>
      </c>
      <c r="BH32" s="90" t="str">
        <f aca="false">IF(N(BN32)&gt;0,ROUND(SUMIF(ЗАКАЗЫ!$F$3:$F$500,$A32,ЗАКАЗЫ!$Y$3:$Y$500)/BN32,0),IF(OR(BE32="",BG32=""),"",ROUND(BE32*BG32*(1+Справочники!$B$10),0)))</f>
        <v/>
      </c>
      <c r="BI32" s="92" t="str">
        <f aca="false">IF(OR(AU32="",BH32="",AU32=0),"",(AU32-BH32)/AU32)</f>
        <v/>
      </c>
      <c r="BJ32" s="81"/>
      <c r="BK32" s="83"/>
      <c r="BL32" s="43" t="str">
        <f aca="false">IFERROR(INDEX(ЗАКАЗЫ!$N$3:$N$500,MATCH($A32,ЗАКАЗЫ!$F$3:$F$500,0)),"")</f>
        <v/>
      </c>
      <c r="BM32" s="8" t="str">
        <f aca="false">IF(BL32="","",IFERROR(VLOOKUP(BL32,'ТН ВЭД'!$A$4:$C$40,3,0),""))</f>
        <v/>
      </c>
      <c r="BN32" s="7" t="str">
        <f aca="false">IF(COUNTIF(ЗАКАЗЫ!$F$3:$F$500,$A32)=0,"",SUMIF(ЗАКАЗЫ!$F$3:$F$500,$A32,ЗАКАЗЫ!$J$3:$J$500))</f>
        <v/>
      </c>
      <c r="BO32" s="7" t="str">
        <f aca="false">IF(BN32="","",SUMIF(ЗАКАЗЫ!$F$3:$F$500,$A32,ЗАКАЗЫ!$AL$3:$AL$500))</f>
        <v/>
      </c>
      <c r="BP32" s="7" t="str">
        <f aca="false">IF(BN32="","",BN32-BO32)</f>
        <v/>
      </c>
      <c r="BQ32" s="55" t="str">
        <f aca="false">IF(BN32="","",IF(BO32&gt;=BN32,"На складе",IF(BO32&gt;0,"Частично","Ждём")))</f>
        <v/>
      </c>
      <c r="BR32" s="43"/>
      <c r="BS32" s="47" t="str">
        <f aca="false">IF(BN32="","",IF(_xlfn.MAXIFS(ЗАКАЗЫ!$AK$3:$AK$500,ЗАКАЗЫ!$F$3:$F$500,$A32)=0,"",_xlfn.MAXIFS(ЗАКАЗЫ!$AK$3:$AK$500,ЗАКАЗЫ!$F$3:$F$500,$A32)))</f>
        <v/>
      </c>
    </row>
    <row r="33" customFormat="false" ht="15.75" hidden="false" customHeight="true" outlineLevel="0" collapsed="false">
      <c r="A33" s="80" t="s">
        <v>507</v>
      </c>
      <c r="B33" s="81"/>
      <c r="C33" s="81"/>
      <c r="D33" s="81"/>
      <c r="E33" s="83"/>
      <c r="F33" s="81"/>
      <c r="G33" s="83"/>
      <c r="H33" s="83"/>
      <c r="I33" s="84" t="str">
        <f aca="false">IF(E33="","",A33&amp;"_1.jpg")</f>
        <v/>
      </c>
      <c r="J33" s="84" t="str">
        <f aca="false">IF(E33="","",A33&amp;"_2.jpg; "&amp;A33&amp;"_3.jpg")</f>
        <v/>
      </c>
      <c r="K33" s="84" t="str">
        <f aca="false">IF(E33="","",A33&amp;"_schema.jpg")</f>
        <v/>
      </c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 t="s">
        <v>261</v>
      </c>
      <c r="W33" s="81"/>
      <c r="X33" s="81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6" t="str">
        <f aca="false">IF(SUM(Y33:AJ33)=0,"",SUM(Y33:AJ33))</f>
        <v/>
      </c>
      <c r="AL33" s="84" t="str">
        <f aca="false">MID(IF(N(Y33)&gt;0,", "&amp;Y$2,"")&amp;IF(N(Z33)&gt;0,", "&amp;Z$2,"")&amp;IF(N(AA33)&gt;0,", "&amp;AA$2,"")&amp;IF(N(AB33)&gt;0,", "&amp;AB$2,"")&amp;IF(N(AC33)&gt;0,", "&amp;AC$2,"")&amp;IF(N(AD33)&gt;0,", "&amp;AD$2,"")&amp;IF(N(AE33)&gt;0,", "&amp;AE$2,"")&amp;IF(N(AF33)&gt;0,", "&amp;AF$2,"")&amp;IF(N(AG33)&gt;0,", "&amp;AG$2,"")&amp;IF(N(AH33)&gt;0,", "&amp;AH$2,"")&amp;IF(N(AI33)&gt;0,", "&amp;AI$2,"")&amp;IF(N(AJ33)&gt;0,", "&amp;AJ$2,""),3,999)</f>
        <v/>
      </c>
      <c r="AM33" s="87" t="str">
        <f aca="false">IF(E33="","",MID(IF(N(Y33)&gt;0,", "&amp;A33&amp;"-"&amp;Y$2,"")&amp;IF(N(Z33)&gt;0,", "&amp;A33&amp;"-"&amp;Z$2,"")&amp;IF(N(AA33)&gt;0,", "&amp;A33&amp;"-"&amp;AA$2,"")&amp;IF(N(AB33)&gt;0,", "&amp;A33&amp;"-"&amp;AB$2,"")&amp;IF(N(AC33)&gt;0,", "&amp;A33&amp;"-"&amp;AC$2,"")&amp;IF(N(AD33)&gt;0,", "&amp;A33&amp;"-"&amp;AD$2,"")&amp;IF(N(AE33)&gt;0,", "&amp;A33&amp;"-"&amp;AE$2,"")&amp;IF(N(AF33)&gt;0,", "&amp;A33&amp;"-"&amp;AF$2,"")&amp;IF(N(AG33)&gt;0,", "&amp;A33&amp;"-"&amp;AG$2,"")&amp;IF(N(AH33)&gt;0,", "&amp;A33&amp;"-"&amp;AH$2,"")&amp;IF(N(AI33)&gt;0,", "&amp;A33&amp;"-"&amp;AI$2,"")&amp;IF(N(AJ33)&gt;0,", "&amp;A33&amp;"-"&amp;AJ$2,""),3,999))</f>
        <v/>
      </c>
      <c r="AN33" s="81"/>
      <c r="AO33" s="88"/>
      <c r="AP33" s="89" t="str">
        <f aca="false">IF(AO33="","",ROUND(AO33/(1+Справочники!$B$13),2))</f>
        <v/>
      </c>
      <c r="AQ33" s="90" t="str">
        <f aca="false" t="array" ref="AQ33:AQ33">IF(AP33="","",AP33*INDEX(Справочники!$B$4:$B$7,MATCH("RUB",Справочники!$A$4:$A$7,0)))</f>
        <v/>
      </c>
      <c r="AR33" s="90" t="str">
        <f aca="false">IF(AQ33="","",ROUND(AQ33*(1+Справочники!$B$12),0))</f>
        <v/>
      </c>
      <c r="AS33" s="90" t="str">
        <f aca="false">IF(AR33="","",ROUND(AR33*(1-Справочники!$B$11),0))</f>
        <v/>
      </c>
      <c r="AT33" s="88"/>
      <c r="AU33" s="90" t="str">
        <f aca="false">IF(AT33="","",ROUND(AT33/(1+Справочники!$B$12),0))</f>
        <v/>
      </c>
      <c r="AV33" s="90" t="str">
        <f aca="false">IF(AT33="","",ROUND(AT33*(1-Справочники!$B$15),0))</f>
        <v/>
      </c>
      <c r="AW33" s="90" t="str">
        <f aca="false">IF(AT33="","",ROUND(AT33*(1-Справочники!$B$16),0))</f>
        <v/>
      </c>
      <c r="AX33" s="90" t="str">
        <f aca="false">IF(AT33="","",ROUND(AT33*(1-Справочники!$B$17),0))</f>
        <v/>
      </c>
      <c r="AY33" s="90" t="str">
        <f aca="false">IF(AT33="","",ROUND(AT33*(1-Справочники!$B$18),0))</f>
        <v/>
      </c>
      <c r="AZ33" s="90" t="str">
        <f aca="false">IF(AT33="","",ROUND(AT33*(1-Справочники!$B$19),0))</f>
        <v/>
      </c>
      <c r="BA33" s="81"/>
      <c r="BB33" s="81"/>
      <c r="BC33" s="81"/>
      <c r="BD33" s="81"/>
      <c r="BE33" s="91"/>
      <c r="BF33" s="81" t="s">
        <v>103</v>
      </c>
      <c r="BG33" s="89" t="n">
        <f aca="false" t="array" ref="BG33:BG33">IF(BF33="","",IFERROR(INDEX(Справочники!$B$4:$B$7,MATCH(BF33,Справочники!$A$4:$A$7,0)),""))</f>
        <v>68.5</v>
      </c>
      <c r="BH33" s="90" t="str">
        <f aca="false">IF(N(BN33)&gt;0,ROUND(SUMIF(ЗАКАЗЫ!$F$3:$F$500,$A33,ЗАКАЗЫ!$Y$3:$Y$500)/BN33,0),IF(OR(BE33="",BG33=""),"",ROUND(BE33*BG33*(1+Справочники!$B$10),0)))</f>
        <v/>
      </c>
      <c r="BI33" s="92" t="str">
        <f aca="false">IF(OR(AU33="",BH33="",AU33=0),"",(AU33-BH33)/AU33)</f>
        <v/>
      </c>
      <c r="BJ33" s="81"/>
      <c r="BK33" s="83"/>
      <c r="BL33" s="43" t="str">
        <f aca="false">IFERROR(INDEX(ЗАКАЗЫ!$N$3:$N$500,MATCH($A33,ЗАКАЗЫ!$F$3:$F$500,0)),"")</f>
        <v/>
      </c>
      <c r="BM33" s="8" t="str">
        <f aca="false">IF(BL33="","",IFERROR(VLOOKUP(BL33,'ТН ВЭД'!$A$4:$C$40,3,0),""))</f>
        <v/>
      </c>
      <c r="BN33" s="7" t="str">
        <f aca="false">IF(COUNTIF(ЗАКАЗЫ!$F$3:$F$500,$A33)=0,"",SUMIF(ЗАКАЗЫ!$F$3:$F$500,$A33,ЗАКАЗЫ!$J$3:$J$500))</f>
        <v/>
      </c>
      <c r="BO33" s="7" t="str">
        <f aca="false">IF(BN33="","",SUMIF(ЗАКАЗЫ!$F$3:$F$500,$A33,ЗАКАЗЫ!$AL$3:$AL$500))</f>
        <v/>
      </c>
      <c r="BP33" s="7" t="str">
        <f aca="false">IF(BN33="","",BN33-BO33)</f>
        <v/>
      </c>
      <c r="BQ33" s="55" t="str">
        <f aca="false">IF(BN33="","",IF(BO33&gt;=BN33,"На складе",IF(BO33&gt;0,"Частично","Ждём")))</f>
        <v/>
      </c>
      <c r="BR33" s="43"/>
      <c r="BS33" s="47" t="str">
        <f aca="false">IF(BN33="","",IF(_xlfn.MAXIFS(ЗАКАЗЫ!$AK$3:$AK$500,ЗАКАЗЫ!$F$3:$F$500,$A33)=0,"",_xlfn.MAXIFS(ЗАКАЗЫ!$AK$3:$AK$500,ЗАКАЗЫ!$F$3:$F$500,$A33)))</f>
        <v/>
      </c>
    </row>
    <row r="34" customFormat="false" ht="15.75" hidden="false" customHeight="true" outlineLevel="0" collapsed="false">
      <c r="A34" s="80" t="s">
        <v>508</v>
      </c>
      <c r="B34" s="81"/>
      <c r="C34" s="81"/>
      <c r="D34" s="81"/>
      <c r="E34" s="83"/>
      <c r="F34" s="81"/>
      <c r="G34" s="83"/>
      <c r="H34" s="83"/>
      <c r="I34" s="84" t="str">
        <f aca="false">IF(E34="","",A34&amp;"_1.jpg")</f>
        <v/>
      </c>
      <c r="J34" s="84" t="str">
        <f aca="false">IF(E34="","",A34&amp;"_2.jpg; "&amp;A34&amp;"_3.jpg")</f>
        <v/>
      </c>
      <c r="K34" s="84" t="str">
        <f aca="false">IF(E34="","",A34&amp;"_schema.jpg")</f>
        <v/>
      </c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 t="s">
        <v>261</v>
      </c>
      <c r="W34" s="81"/>
      <c r="X34" s="81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6" t="str">
        <f aca="false">IF(SUM(Y34:AJ34)=0,"",SUM(Y34:AJ34))</f>
        <v/>
      </c>
      <c r="AL34" s="84" t="str">
        <f aca="false">MID(IF(N(Y34)&gt;0,", "&amp;Y$2,"")&amp;IF(N(Z34)&gt;0,", "&amp;Z$2,"")&amp;IF(N(AA34)&gt;0,", "&amp;AA$2,"")&amp;IF(N(AB34)&gt;0,", "&amp;AB$2,"")&amp;IF(N(AC34)&gt;0,", "&amp;AC$2,"")&amp;IF(N(AD34)&gt;0,", "&amp;AD$2,"")&amp;IF(N(AE34)&gt;0,", "&amp;AE$2,"")&amp;IF(N(AF34)&gt;0,", "&amp;AF$2,"")&amp;IF(N(AG34)&gt;0,", "&amp;AG$2,"")&amp;IF(N(AH34)&gt;0,", "&amp;AH$2,"")&amp;IF(N(AI34)&gt;0,", "&amp;AI$2,"")&amp;IF(N(AJ34)&gt;0,", "&amp;AJ$2,""),3,999)</f>
        <v/>
      </c>
      <c r="AM34" s="87" t="str">
        <f aca="false">IF(E34="","",MID(IF(N(Y34)&gt;0,", "&amp;A34&amp;"-"&amp;Y$2,"")&amp;IF(N(Z34)&gt;0,", "&amp;A34&amp;"-"&amp;Z$2,"")&amp;IF(N(AA34)&gt;0,", "&amp;A34&amp;"-"&amp;AA$2,"")&amp;IF(N(AB34)&gt;0,", "&amp;A34&amp;"-"&amp;AB$2,"")&amp;IF(N(AC34)&gt;0,", "&amp;A34&amp;"-"&amp;AC$2,"")&amp;IF(N(AD34)&gt;0,", "&amp;A34&amp;"-"&amp;AD$2,"")&amp;IF(N(AE34)&gt;0,", "&amp;A34&amp;"-"&amp;AE$2,"")&amp;IF(N(AF34)&gt;0,", "&amp;A34&amp;"-"&amp;AF$2,"")&amp;IF(N(AG34)&gt;0,", "&amp;A34&amp;"-"&amp;AG$2,"")&amp;IF(N(AH34)&gt;0,", "&amp;A34&amp;"-"&amp;AH$2,"")&amp;IF(N(AI34)&gt;0,", "&amp;A34&amp;"-"&amp;AI$2,"")&amp;IF(N(AJ34)&gt;0,", "&amp;A34&amp;"-"&amp;AJ$2,""),3,999))</f>
        <v/>
      </c>
      <c r="AN34" s="81"/>
      <c r="AO34" s="88"/>
      <c r="AP34" s="89" t="str">
        <f aca="false">IF(AO34="","",ROUND(AO34/(1+Справочники!$B$13),2))</f>
        <v/>
      </c>
      <c r="AQ34" s="90" t="str">
        <f aca="false" t="array" ref="AQ34:AQ34">IF(AP34="","",AP34*INDEX(Справочники!$B$4:$B$7,MATCH("RUB",Справочники!$A$4:$A$7,0)))</f>
        <v/>
      </c>
      <c r="AR34" s="90" t="str">
        <f aca="false">IF(AQ34="","",ROUND(AQ34*(1+Справочники!$B$12),0))</f>
        <v/>
      </c>
      <c r="AS34" s="90" t="str">
        <f aca="false">IF(AR34="","",ROUND(AR34*(1-Справочники!$B$11),0))</f>
        <v/>
      </c>
      <c r="AT34" s="88"/>
      <c r="AU34" s="90" t="str">
        <f aca="false">IF(AT34="","",ROUND(AT34/(1+Справочники!$B$12),0))</f>
        <v/>
      </c>
      <c r="AV34" s="90" t="str">
        <f aca="false">IF(AT34="","",ROUND(AT34*(1-Справочники!$B$15),0))</f>
        <v/>
      </c>
      <c r="AW34" s="90" t="str">
        <f aca="false">IF(AT34="","",ROUND(AT34*(1-Справочники!$B$16),0))</f>
        <v/>
      </c>
      <c r="AX34" s="90" t="str">
        <f aca="false">IF(AT34="","",ROUND(AT34*(1-Справочники!$B$17),0))</f>
        <v/>
      </c>
      <c r="AY34" s="90" t="str">
        <f aca="false">IF(AT34="","",ROUND(AT34*(1-Справочники!$B$18),0))</f>
        <v/>
      </c>
      <c r="AZ34" s="90" t="str">
        <f aca="false">IF(AT34="","",ROUND(AT34*(1-Справочники!$B$19),0))</f>
        <v/>
      </c>
      <c r="BA34" s="81"/>
      <c r="BB34" s="81"/>
      <c r="BC34" s="81"/>
      <c r="BD34" s="81"/>
      <c r="BE34" s="91"/>
      <c r="BF34" s="81" t="s">
        <v>103</v>
      </c>
      <c r="BG34" s="89" t="n">
        <f aca="false" t="array" ref="BG34:BG34">IF(BF34="","",IFERROR(INDEX(Справочники!$B$4:$B$7,MATCH(BF34,Справочники!$A$4:$A$7,0)),""))</f>
        <v>68.5</v>
      </c>
      <c r="BH34" s="90" t="str">
        <f aca="false">IF(N(BN34)&gt;0,ROUND(SUMIF(ЗАКАЗЫ!$F$3:$F$500,$A34,ЗАКАЗЫ!$Y$3:$Y$500)/BN34,0),IF(OR(BE34="",BG34=""),"",ROUND(BE34*BG34*(1+Справочники!$B$10),0)))</f>
        <v/>
      </c>
      <c r="BI34" s="92" t="str">
        <f aca="false">IF(OR(AU34="",BH34="",AU34=0),"",(AU34-BH34)/AU34)</f>
        <v/>
      </c>
      <c r="BJ34" s="81"/>
      <c r="BK34" s="83"/>
      <c r="BL34" s="43" t="str">
        <f aca="false">IFERROR(INDEX(ЗАКАЗЫ!$N$3:$N$500,MATCH($A34,ЗАКАЗЫ!$F$3:$F$500,0)),"")</f>
        <v/>
      </c>
      <c r="BM34" s="8" t="str">
        <f aca="false">IF(BL34="","",IFERROR(VLOOKUP(BL34,'ТН ВЭД'!$A$4:$C$40,3,0),""))</f>
        <v/>
      </c>
      <c r="BN34" s="7" t="str">
        <f aca="false">IF(COUNTIF(ЗАКАЗЫ!$F$3:$F$500,$A34)=0,"",SUMIF(ЗАКАЗЫ!$F$3:$F$500,$A34,ЗАКАЗЫ!$J$3:$J$500))</f>
        <v/>
      </c>
      <c r="BO34" s="7" t="str">
        <f aca="false">IF(BN34="","",SUMIF(ЗАКАЗЫ!$F$3:$F$500,$A34,ЗАКАЗЫ!$AL$3:$AL$500))</f>
        <v/>
      </c>
      <c r="BP34" s="7" t="str">
        <f aca="false">IF(BN34="","",BN34-BO34)</f>
        <v/>
      </c>
      <c r="BQ34" s="55" t="str">
        <f aca="false">IF(BN34="","",IF(BO34&gt;=BN34,"На складе",IF(BO34&gt;0,"Частично","Ждём")))</f>
        <v/>
      </c>
      <c r="BR34" s="43"/>
      <c r="BS34" s="47" t="str">
        <f aca="false">IF(BN34="","",IF(_xlfn.MAXIFS(ЗАКАЗЫ!$AK$3:$AK$500,ЗАКАЗЫ!$F$3:$F$500,$A34)=0,"",_xlfn.MAXIFS(ЗАКАЗЫ!$AK$3:$AK$500,ЗАКАЗЫ!$F$3:$F$500,$A34)))</f>
        <v/>
      </c>
    </row>
    <row r="35" customFormat="false" ht="15.75" hidden="false" customHeight="true" outlineLevel="0" collapsed="false">
      <c r="A35" s="80" t="s">
        <v>509</v>
      </c>
      <c r="B35" s="81"/>
      <c r="C35" s="81"/>
      <c r="D35" s="81"/>
      <c r="E35" s="83"/>
      <c r="F35" s="81"/>
      <c r="G35" s="83"/>
      <c r="H35" s="83"/>
      <c r="I35" s="84" t="str">
        <f aca="false">IF(E35="","",A35&amp;"_1.jpg")</f>
        <v/>
      </c>
      <c r="J35" s="84" t="str">
        <f aca="false">IF(E35="","",A35&amp;"_2.jpg; "&amp;A35&amp;"_3.jpg")</f>
        <v/>
      </c>
      <c r="K35" s="84" t="str">
        <f aca="false">IF(E35="","",A35&amp;"_schema.jpg")</f>
        <v/>
      </c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 t="s">
        <v>261</v>
      </c>
      <c r="W35" s="81"/>
      <c r="X35" s="81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6" t="str">
        <f aca="false">IF(SUM(Y35:AJ35)=0,"",SUM(Y35:AJ35))</f>
        <v/>
      </c>
      <c r="AL35" s="84" t="str">
        <f aca="false">MID(IF(N(Y35)&gt;0,", "&amp;Y$2,"")&amp;IF(N(Z35)&gt;0,", "&amp;Z$2,"")&amp;IF(N(AA35)&gt;0,", "&amp;AA$2,"")&amp;IF(N(AB35)&gt;0,", "&amp;AB$2,"")&amp;IF(N(AC35)&gt;0,", "&amp;AC$2,"")&amp;IF(N(AD35)&gt;0,", "&amp;AD$2,"")&amp;IF(N(AE35)&gt;0,", "&amp;AE$2,"")&amp;IF(N(AF35)&gt;0,", "&amp;AF$2,"")&amp;IF(N(AG35)&gt;0,", "&amp;AG$2,"")&amp;IF(N(AH35)&gt;0,", "&amp;AH$2,"")&amp;IF(N(AI35)&gt;0,", "&amp;AI$2,"")&amp;IF(N(AJ35)&gt;0,", "&amp;AJ$2,""),3,999)</f>
        <v/>
      </c>
      <c r="AM35" s="87" t="str">
        <f aca="false">IF(E35="","",MID(IF(N(Y35)&gt;0,", "&amp;A35&amp;"-"&amp;Y$2,"")&amp;IF(N(Z35)&gt;0,", "&amp;A35&amp;"-"&amp;Z$2,"")&amp;IF(N(AA35)&gt;0,", "&amp;A35&amp;"-"&amp;AA$2,"")&amp;IF(N(AB35)&gt;0,", "&amp;A35&amp;"-"&amp;AB$2,"")&amp;IF(N(AC35)&gt;0,", "&amp;A35&amp;"-"&amp;AC$2,"")&amp;IF(N(AD35)&gt;0,", "&amp;A35&amp;"-"&amp;AD$2,"")&amp;IF(N(AE35)&gt;0,", "&amp;A35&amp;"-"&amp;AE$2,"")&amp;IF(N(AF35)&gt;0,", "&amp;A35&amp;"-"&amp;AF$2,"")&amp;IF(N(AG35)&gt;0,", "&amp;A35&amp;"-"&amp;AG$2,"")&amp;IF(N(AH35)&gt;0,", "&amp;A35&amp;"-"&amp;AH$2,"")&amp;IF(N(AI35)&gt;0,", "&amp;A35&amp;"-"&amp;AI$2,"")&amp;IF(N(AJ35)&gt;0,", "&amp;A35&amp;"-"&amp;AJ$2,""),3,999))</f>
        <v/>
      </c>
      <c r="AN35" s="81"/>
      <c r="AO35" s="88"/>
      <c r="AP35" s="89" t="str">
        <f aca="false">IF(AO35="","",ROUND(AO35/(1+Справочники!$B$13),2))</f>
        <v/>
      </c>
      <c r="AQ35" s="90" t="str">
        <f aca="false" t="array" ref="AQ35:AQ35">IF(AP35="","",AP35*INDEX(Справочники!$B$4:$B$7,MATCH("RUB",Справочники!$A$4:$A$7,0)))</f>
        <v/>
      </c>
      <c r="AR35" s="90" t="str">
        <f aca="false">IF(AQ35="","",ROUND(AQ35*(1+Справочники!$B$12),0))</f>
        <v/>
      </c>
      <c r="AS35" s="90" t="str">
        <f aca="false">IF(AR35="","",ROUND(AR35*(1-Справочники!$B$11),0))</f>
        <v/>
      </c>
      <c r="AT35" s="88"/>
      <c r="AU35" s="90" t="str">
        <f aca="false">IF(AT35="","",ROUND(AT35/(1+Справочники!$B$12),0))</f>
        <v/>
      </c>
      <c r="AV35" s="90" t="str">
        <f aca="false">IF(AT35="","",ROUND(AT35*(1-Справочники!$B$15),0))</f>
        <v/>
      </c>
      <c r="AW35" s="90" t="str">
        <f aca="false">IF(AT35="","",ROUND(AT35*(1-Справочники!$B$16),0))</f>
        <v/>
      </c>
      <c r="AX35" s="90" t="str">
        <f aca="false">IF(AT35="","",ROUND(AT35*(1-Справочники!$B$17),0))</f>
        <v/>
      </c>
      <c r="AY35" s="90" t="str">
        <f aca="false">IF(AT35="","",ROUND(AT35*(1-Справочники!$B$18),0))</f>
        <v/>
      </c>
      <c r="AZ35" s="90" t="str">
        <f aca="false">IF(AT35="","",ROUND(AT35*(1-Справочники!$B$19),0))</f>
        <v/>
      </c>
      <c r="BA35" s="81"/>
      <c r="BB35" s="81"/>
      <c r="BC35" s="81"/>
      <c r="BD35" s="81"/>
      <c r="BE35" s="91"/>
      <c r="BF35" s="81" t="s">
        <v>103</v>
      </c>
      <c r="BG35" s="89" t="n">
        <f aca="false" t="array" ref="BG35:BG35">IF(BF35="","",IFERROR(INDEX(Справочники!$B$4:$B$7,MATCH(BF35,Справочники!$A$4:$A$7,0)),""))</f>
        <v>68.5</v>
      </c>
      <c r="BH35" s="90" t="str">
        <f aca="false">IF(N(BN35)&gt;0,ROUND(SUMIF(ЗАКАЗЫ!$F$3:$F$500,$A35,ЗАКАЗЫ!$Y$3:$Y$500)/BN35,0),IF(OR(BE35="",BG35=""),"",ROUND(BE35*BG35*(1+Справочники!$B$10),0)))</f>
        <v/>
      </c>
      <c r="BI35" s="92" t="str">
        <f aca="false">IF(OR(AU35="",BH35="",AU35=0),"",(AU35-BH35)/AU35)</f>
        <v/>
      </c>
      <c r="BJ35" s="81"/>
      <c r="BK35" s="83"/>
      <c r="BL35" s="43" t="str">
        <f aca="false">IFERROR(INDEX(ЗАКАЗЫ!$N$3:$N$500,MATCH($A35,ЗАКАЗЫ!$F$3:$F$500,0)),"")</f>
        <v/>
      </c>
      <c r="BM35" s="8" t="str">
        <f aca="false">IF(BL35="","",IFERROR(VLOOKUP(BL35,'ТН ВЭД'!$A$4:$C$40,3,0),""))</f>
        <v/>
      </c>
      <c r="BN35" s="7" t="str">
        <f aca="false">IF(COUNTIF(ЗАКАЗЫ!$F$3:$F$500,$A35)=0,"",SUMIF(ЗАКАЗЫ!$F$3:$F$500,$A35,ЗАКАЗЫ!$J$3:$J$500))</f>
        <v/>
      </c>
      <c r="BO35" s="7" t="str">
        <f aca="false">IF(BN35="","",SUMIF(ЗАКАЗЫ!$F$3:$F$500,$A35,ЗАКАЗЫ!$AL$3:$AL$500))</f>
        <v/>
      </c>
      <c r="BP35" s="7" t="str">
        <f aca="false">IF(BN35="","",BN35-BO35)</f>
        <v/>
      </c>
      <c r="BQ35" s="55" t="str">
        <f aca="false">IF(BN35="","",IF(BO35&gt;=BN35,"На складе",IF(BO35&gt;0,"Частично","Ждём")))</f>
        <v/>
      </c>
      <c r="BR35" s="43"/>
      <c r="BS35" s="47" t="str">
        <f aca="false">IF(BN35="","",IF(_xlfn.MAXIFS(ЗАКАЗЫ!$AK$3:$AK$500,ЗАКАЗЫ!$F$3:$F$500,$A35)=0,"",_xlfn.MAXIFS(ЗАКАЗЫ!$AK$3:$AK$500,ЗАКАЗЫ!$F$3:$F$500,$A35)))</f>
        <v/>
      </c>
    </row>
    <row r="36" customFormat="false" ht="15.75" hidden="false" customHeight="true" outlineLevel="0" collapsed="false">
      <c r="A36" s="80" t="s">
        <v>510</v>
      </c>
      <c r="B36" s="81"/>
      <c r="C36" s="81"/>
      <c r="D36" s="81"/>
      <c r="E36" s="83"/>
      <c r="F36" s="81"/>
      <c r="G36" s="83"/>
      <c r="H36" s="83"/>
      <c r="I36" s="84" t="str">
        <f aca="false">IF(E36="","",A36&amp;"_1.jpg")</f>
        <v/>
      </c>
      <c r="J36" s="84" t="str">
        <f aca="false">IF(E36="","",A36&amp;"_2.jpg; "&amp;A36&amp;"_3.jpg")</f>
        <v/>
      </c>
      <c r="K36" s="84" t="str">
        <f aca="false">IF(E36="","",A36&amp;"_schema.jpg")</f>
        <v/>
      </c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 t="s">
        <v>261</v>
      </c>
      <c r="W36" s="81"/>
      <c r="X36" s="81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6" t="str">
        <f aca="false">IF(SUM(Y36:AJ36)=0,"",SUM(Y36:AJ36))</f>
        <v/>
      </c>
      <c r="AL36" s="84" t="str">
        <f aca="false">MID(IF(N(Y36)&gt;0,", "&amp;Y$2,"")&amp;IF(N(Z36)&gt;0,", "&amp;Z$2,"")&amp;IF(N(AA36)&gt;0,", "&amp;AA$2,"")&amp;IF(N(AB36)&gt;0,", "&amp;AB$2,"")&amp;IF(N(AC36)&gt;0,", "&amp;AC$2,"")&amp;IF(N(AD36)&gt;0,", "&amp;AD$2,"")&amp;IF(N(AE36)&gt;0,", "&amp;AE$2,"")&amp;IF(N(AF36)&gt;0,", "&amp;AF$2,"")&amp;IF(N(AG36)&gt;0,", "&amp;AG$2,"")&amp;IF(N(AH36)&gt;0,", "&amp;AH$2,"")&amp;IF(N(AI36)&gt;0,", "&amp;AI$2,"")&amp;IF(N(AJ36)&gt;0,", "&amp;AJ$2,""),3,999)</f>
        <v/>
      </c>
      <c r="AM36" s="87" t="str">
        <f aca="false">IF(E36="","",MID(IF(N(Y36)&gt;0,", "&amp;A36&amp;"-"&amp;Y$2,"")&amp;IF(N(Z36)&gt;0,", "&amp;A36&amp;"-"&amp;Z$2,"")&amp;IF(N(AA36)&gt;0,", "&amp;A36&amp;"-"&amp;AA$2,"")&amp;IF(N(AB36)&gt;0,", "&amp;A36&amp;"-"&amp;AB$2,"")&amp;IF(N(AC36)&gt;0,", "&amp;A36&amp;"-"&amp;AC$2,"")&amp;IF(N(AD36)&gt;0,", "&amp;A36&amp;"-"&amp;AD$2,"")&amp;IF(N(AE36)&gt;0,", "&amp;A36&amp;"-"&amp;AE$2,"")&amp;IF(N(AF36)&gt;0,", "&amp;A36&amp;"-"&amp;AF$2,"")&amp;IF(N(AG36)&gt;0,", "&amp;A36&amp;"-"&amp;AG$2,"")&amp;IF(N(AH36)&gt;0,", "&amp;A36&amp;"-"&amp;AH$2,"")&amp;IF(N(AI36)&gt;0,", "&amp;A36&amp;"-"&amp;AI$2,"")&amp;IF(N(AJ36)&gt;0,", "&amp;A36&amp;"-"&amp;AJ$2,""),3,999))</f>
        <v/>
      </c>
      <c r="AN36" s="81"/>
      <c r="AO36" s="88"/>
      <c r="AP36" s="89" t="str">
        <f aca="false">IF(AO36="","",ROUND(AO36/(1+Справочники!$B$13),2))</f>
        <v/>
      </c>
      <c r="AQ36" s="90" t="str">
        <f aca="false" t="array" ref="AQ36:AQ36">IF(AP36="","",AP36*INDEX(Справочники!$B$4:$B$7,MATCH("RUB",Справочники!$A$4:$A$7,0)))</f>
        <v/>
      </c>
      <c r="AR36" s="90" t="str">
        <f aca="false">IF(AQ36="","",ROUND(AQ36*(1+Справочники!$B$12),0))</f>
        <v/>
      </c>
      <c r="AS36" s="90" t="str">
        <f aca="false">IF(AR36="","",ROUND(AR36*(1-Справочники!$B$11),0))</f>
        <v/>
      </c>
      <c r="AT36" s="88"/>
      <c r="AU36" s="90" t="str">
        <f aca="false">IF(AT36="","",ROUND(AT36/(1+Справочники!$B$12),0))</f>
        <v/>
      </c>
      <c r="AV36" s="90" t="str">
        <f aca="false">IF(AT36="","",ROUND(AT36*(1-Справочники!$B$15),0))</f>
        <v/>
      </c>
      <c r="AW36" s="90" t="str">
        <f aca="false">IF(AT36="","",ROUND(AT36*(1-Справочники!$B$16),0))</f>
        <v/>
      </c>
      <c r="AX36" s="90" t="str">
        <f aca="false">IF(AT36="","",ROUND(AT36*(1-Справочники!$B$17),0))</f>
        <v/>
      </c>
      <c r="AY36" s="90" t="str">
        <f aca="false">IF(AT36="","",ROUND(AT36*(1-Справочники!$B$18),0))</f>
        <v/>
      </c>
      <c r="AZ36" s="90" t="str">
        <f aca="false">IF(AT36="","",ROUND(AT36*(1-Справочники!$B$19),0))</f>
        <v/>
      </c>
      <c r="BA36" s="81"/>
      <c r="BB36" s="81"/>
      <c r="BC36" s="81"/>
      <c r="BD36" s="81"/>
      <c r="BE36" s="91"/>
      <c r="BF36" s="81" t="s">
        <v>103</v>
      </c>
      <c r="BG36" s="89" t="n">
        <f aca="false" t="array" ref="BG36:BG36">IF(BF36="","",IFERROR(INDEX(Справочники!$B$4:$B$7,MATCH(BF36,Справочники!$A$4:$A$7,0)),""))</f>
        <v>68.5</v>
      </c>
      <c r="BH36" s="90" t="str">
        <f aca="false">IF(N(BN36)&gt;0,ROUND(SUMIF(ЗАКАЗЫ!$F$3:$F$500,$A36,ЗАКАЗЫ!$Y$3:$Y$500)/BN36,0),IF(OR(BE36="",BG36=""),"",ROUND(BE36*BG36*(1+Справочники!$B$10),0)))</f>
        <v/>
      </c>
      <c r="BI36" s="92" t="str">
        <f aca="false">IF(OR(AU36="",BH36="",AU36=0),"",(AU36-BH36)/AU36)</f>
        <v/>
      </c>
      <c r="BJ36" s="81"/>
      <c r="BK36" s="83"/>
      <c r="BL36" s="43" t="str">
        <f aca="false">IFERROR(INDEX(ЗАКАЗЫ!$N$3:$N$500,MATCH($A36,ЗАКАЗЫ!$F$3:$F$500,0)),"")</f>
        <v/>
      </c>
      <c r="BM36" s="8" t="str">
        <f aca="false">IF(BL36="","",IFERROR(VLOOKUP(BL36,'ТН ВЭД'!$A$4:$C$40,3,0),""))</f>
        <v/>
      </c>
      <c r="BN36" s="7" t="str">
        <f aca="false">IF(COUNTIF(ЗАКАЗЫ!$F$3:$F$500,$A36)=0,"",SUMIF(ЗАКАЗЫ!$F$3:$F$500,$A36,ЗАКАЗЫ!$J$3:$J$500))</f>
        <v/>
      </c>
      <c r="BO36" s="7" t="str">
        <f aca="false">IF(BN36="","",SUMIF(ЗАКАЗЫ!$F$3:$F$500,$A36,ЗАКАЗЫ!$AL$3:$AL$500))</f>
        <v/>
      </c>
      <c r="BP36" s="7" t="str">
        <f aca="false">IF(BN36="","",BN36-BO36)</f>
        <v/>
      </c>
      <c r="BQ36" s="55" t="str">
        <f aca="false">IF(BN36="","",IF(BO36&gt;=BN36,"На складе",IF(BO36&gt;0,"Частично","Ждём")))</f>
        <v/>
      </c>
      <c r="BR36" s="43"/>
      <c r="BS36" s="47" t="str">
        <f aca="false">IF(BN36="","",IF(_xlfn.MAXIFS(ЗАКАЗЫ!$AK$3:$AK$500,ЗАКАЗЫ!$F$3:$F$500,$A36)=0,"",_xlfn.MAXIFS(ЗАКАЗЫ!$AK$3:$AK$500,ЗАКАЗЫ!$F$3:$F$500,$A36)))</f>
        <v/>
      </c>
    </row>
    <row r="37" customFormat="false" ht="15.75" hidden="false" customHeight="true" outlineLevel="0" collapsed="false">
      <c r="A37" s="80" t="s">
        <v>511</v>
      </c>
      <c r="B37" s="81"/>
      <c r="C37" s="81"/>
      <c r="D37" s="81"/>
      <c r="E37" s="83"/>
      <c r="F37" s="81"/>
      <c r="G37" s="83"/>
      <c r="H37" s="83"/>
      <c r="I37" s="84" t="str">
        <f aca="false">IF(E37="","",A37&amp;"_1.jpg")</f>
        <v/>
      </c>
      <c r="J37" s="84" t="str">
        <f aca="false">IF(E37="","",A37&amp;"_2.jpg; "&amp;A37&amp;"_3.jpg")</f>
        <v/>
      </c>
      <c r="K37" s="84" t="str">
        <f aca="false">IF(E37="","",A37&amp;"_schema.jpg")</f>
        <v/>
      </c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 t="s">
        <v>261</v>
      </c>
      <c r="W37" s="81"/>
      <c r="X37" s="81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6" t="str">
        <f aca="false">IF(SUM(Y37:AJ37)=0,"",SUM(Y37:AJ37))</f>
        <v/>
      </c>
      <c r="AL37" s="84" t="str">
        <f aca="false">MID(IF(N(Y37)&gt;0,", "&amp;Y$2,"")&amp;IF(N(Z37)&gt;0,", "&amp;Z$2,"")&amp;IF(N(AA37)&gt;0,", "&amp;AA$2,"")&amp;IF(N(AB37)&gt;0,", "&amp;AB$2,"")&amp;IF(N(AC37)&gt;0,", "&amp;AC$2,"")&amp;IF(N(AD37)&gt;0,", "&amp;AD$2,"")&amp;IF(N(AE37)&gt;0,", "&amp;AE$2,"")&amp;IF(N(AF37)&gt;0,", "&amp;AF$2,"")&amp;IF(N(AG37)&gt;0,", "&amp;AG$2,"")&amp;IF(N(AH37)&gt;0,", "&amp;AH$2,"")&amp;IF(N(AI37)&gt;0,", "&amp;AI$2,"")&amp;IF(N(AJ37)&gt;0,", "&amp;AJ$2,""),3,999)</f>
        <v/>
      </c>
      <c r="AM37" s="87" t="str">
        <f aca="false">IF(E37="","",MID(IF(N(Y37)&gt;0,", "&amp;A37&amp;"-"&amp;Y$2,"")&amp;IF(N(Z37)&gt;0,", "&amp;A37&amp;"-"&amp;Z$2,"")&amp;IF(N(AA37)&gt;0,", "&amp;A37&amp;"-"&amp;AA$2,"")&amp;IF(N(AB37)&gt;0,", "&amp;A37&amp;"-"&amp;AB$2,"")&amp;IF(N(AC37)&gt;0,", "&amp;A37&amp;"-"&amp;AC$2,"")&amp;IF(N(AD37)&gt;0,", "&amp;A37&amp;"-"&amp;AD$2,"")&amp;IF(N(AE37)&gt;0,", "&amp;A37&amp;"-"&amp;AE$2,"")&amp;IF(N(AF37)&gt;0,", "&amp;A37&amp;"-"&amp;AF$2,"")&amp;IF(N(AG37)&gt;0,", "&amp;A37&amp;"-"&amp;AG$2,"")&amp;IF(N(AH37)&gt;0,", "&amp;A37&amp;"-"&amp;AH$2,"")&amp;IF(N(AI37)&gt;0,", "&amp;A37&amp;"-"&amp;AI$2,"")&amp;IF(N(AJ37)&gt;0,", "&amp;A37&amp;"-"&amp;AJ$2,""),3,999))</f>
        <v/>
      </c>
      <c r="AN37" s="81"/>
      <c r="AO37" s="88"/>
      <c r="AP37" s="89" t="str">
        <f aca="false">IF(AO37="","",ROUND(AO37/(1+Справочники!$B$13),2))</f>
        <v/>
      </c>
      <c r="AQ37" s="90" t="str">
        <f aca="false" t="array" ref="AQ37:AQ37">IF(AP37="","",AP37*INDEX(Справочники!$B$4:$B$7,MATCH("RUB",Справочники!$A$4:$A$7,0)))</f>
        <v/>
      </c>
      <c r="AR37" s="90" t="str">
        <f aca="false">IF(AQ37="","",ROUND(AQ37*(1+Справочники!$B$12),0))</f>
        <v/>
      </c>
      <c r="AS37" s="90" t="str">
        <f aca="false">IF(AR37="","",ROUND(AR37*(1-Справочники!$B$11),0))</f>
        <v/>
      </c>
      <c r="AT37" s="88"/>
      <c r="AU37" s="90" t="str">
        <f aca="false">IF(AT37="","",ROUND(AT37/(1+Справочники!$B$12),0))</f>
        <v/>
      </c>
      <c r="AV37" s="90" t="str">
        <f aca="false">IF(AT37="","",ROUND(AT37*(1-Справочники!$B$15),0))</f>
        <v/>
      </c>
      <c r="AW37" s="90" t="str">
        <f aca="false">IF(AT37="","",ROUND(AT37*(1-Справочники!$B$16),0))</f>
        <v/>
      </c>
      <c r="AX37" s="90" t="str">
        <f aca="false">IF(AT37="","",ROUND(AT37*(1-Справочники!$B$17),0))</f>
        <v/>
      </c>
      <c r="AY37" s="90" t="str">
        <f aca="false">IF(AT37="","",ROUND(AT37*(1-Справочники!$B$18),0))</f>
        <v/>
      </c>
      <c r="AZ37" s="90" t="str">
        <f aca="false">IF(AT37="","",ROUND(AT37*(1-Справочники!$B$19),0))</f>
        <v/>
      </c>
      <c r="BA37" s="81"/>
      <c r="BB37" s="81"/>
      <c r="BC37" s="81"/>
      <c r="BD37" s="81"/>
      <c r="BE37" s="91"/>
      <c r="BF37" s="81" t="s">
        <v>103</v>
      </c>
      <c r="BG37" s="89" t="n">
        <f aca="false" t="array" ref="BG37:BG37">IF(BF37="","",IFERROR(INDEX(Справочники!$B$4:$B$7,MATCH(BF37,Справочники!$A$4:$A$7,0)),""))</f>
        <v>68.5</v>
      </c>
      <c r="BH37" s="90" t="str">
        <f aca="false">IF(N(BN37)&gt;0,ROUND(SUMIF(ЗАКАЗЫ!$F$3:$F$500,$A37,ЗАКАЗЫ!$Y$3:$Y$500)/BN37,0),IF(OR(BE37="",BG37=""),"",ROUND(BE37*BG37*(1+Справочники!$B$10),0)))</f>
        <v/>
      </c>
      <c r="BI37" s="92" t="str">
        <f aca="false">IF(OR(AU37="",BH37="",AU37=0),"",(AU37-BH37)/AU37)</f>
        <v/>
      </c>
      <c r="BJ37" s="81"/>
      <c r="BK37" s="83"/>
      <c r="BL37" s="43" t="str">
        <f aca="false">IFERROR(INDEX(ЗАКАЗЫ!$N$3:$N$500,MATCH($A37,ЗАКАЗЫ!$F$3:$F$500,0)),"")</f>
        <v/>
      </c>
      <c r="BM37" s="8" t="str">
        <f aca="false">IF(BL37="","",IFERROR(VLOOKUP(BL37,'ТН ВЭД'!$A$4:$C$40,3,0),""))</f>
        <v/>
      </c>
      <c r="BN37" s="7" t="str">
        <f aca="false">IF(COUNTIF(ЗАКАЗЫ!$F$3:$F$500,$A37)=0,"",SUMIF(ЗАКАЗЫ!$F$3:$F$500,$A37,ЗАКАЗЫ!$J$3:$J$500))</f>
        <v/>
      </c>
      <c r="BO37" s="7" t="str">
        <f aca="false">IF(BN37="","",SUMIF(ЗАКАЗЫ!$F$3:$F$500,$A37,ЗАКАЗЫ!$AL$3:$AL$500))</f>
        <v/>
      </c>
      <c r="BP37" s="7" t="str">
        <f aca="false">IF(BN37="","",BN37-BO37)</f>
        <v/>
      </c>
      <c r="BQ37" s="55" t="str">
        <f aca="false">IF(BN37="","",IF(BO37&gt;=BN37,"На складе",IF(BO37&gt;0,"Частично","Ждём")))</f>
        <v/>
      </c>
      <c r="BR37" s="43"/>
      <c r="BS37" s="47" t="str">
        <f aca="false">IF(BN37="","",IF(_xlfn.MAXIFS(ЗАКАЗЫ!$AK$3:$AK$500,ЗАКАЗЫ!$F$3:$F$500,$A37)=0,"",_xlfn.MAXIFS(ЗАКАЗЫ!$AK$3:$AK$500,ЗАКАЗЫ!$F$3:$F$500,$A37)))</f>
        <v/>
      </c>
    </row>
    <row r="38" customFormat="false" ht="15.75" hidden="false" customHeight="true" outlineLevel="0" collapsed="false">
      <c r="A38" s="80" t="s">
        <v>512</v>
      </c>
      <c r="B38" s="81"/>
      <c r="C38" s="81"/>
      <c r="D38" s="81"/>
      <c r="E38" s="83"/>
      <c r="F38" s="81"/>
      <c r="G38" s="83"/>
      <c r="H38" s="83"/>
      <c r="I38" s="84" t="str">
        <f aca="false">IF(E38="","",A38&amp;"_1.jpg")</f>
        <v/>
      </c>
      <c r="J38" s="84" t="str">
        <f aca="false">IF(E38="","",A38&amp;"_2.jpg; "&amp;A38&amp;"_3.jpg")</f>
        <v/>
      </c>
      <c r="K38" s="84" t="str">
        <f aca="false">IF(E38="","",A38&amp;"_schema.jpg")</f>
        <v/>
      </c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 t="s">
        <v>261</v>
      </c>
      <c r="W38" s="81"/>
      <c r="X38" s="81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6" t="str">
        <f aca="false">IF(SUM(Y38:AJ38)=0,"",SUM(Y38:AJ38))</f>
        <v/>
      </c>
      <c r="AL38" s="84" t="str">
        <f aca="false">MID(IF(N(Y38)&gt;0,", "&amp;Y$2,"")&amp;IF(N(Z38)&gt;0,", "&amp;Z$2,"")&amp;IF(N(AA38)&gt;0,", "&amp;AA$2,"")&amp;IF(N(AB38)&gt;0,", "&amp;AB$2,"")&amp;IF(N(AC38)&gt;0,", "&amp;AC$2,"")&amp;IF(N(AD38)&gt;0,", "&amp;AD$2,"")&amp;IF(N(AE38)&gt;0,", "&amp;AE$2,"")&amp;IF(N(AF38)&gt;0,", "&amp;AF$2,"")&amp;IF(N(AG38)&gt;0,", "&amp;AG$2,"")&amp;IF(N(AH38)&gt;0,", "&amp;AH$2,"")&amp;IF(N(AI38)&gt;0,", "&amp;AI$2,"")&amp;IF(N(AJ38)&gt;0,", "&amp;AJ$2,""),3,999)</f>
        <v/>
      </c>
      <c r="AM38" s="87" t="str">
        <f aca="false">IF(E38="","",MID(IF(N(Y38)&gt;0,", "&amp;A38&amp;"-"&amp;Y$2,"")&amp;IF(N(Z38)&gt;0,", "&amp;A38&amp;"-"&amp;Z$2,"")&amp;IF(N(AA38)&gt;0,", "&amp;A38&amp;"-"&amp;AA$2,"")&amp;IF(N(AB38)&gt;0,", "&amp;A38&amp;"-"&amp;AB$2,"")&amp;IF(N(AC38)&gt;0,", "&amp;A38&amp;"-"&amp;AC$2,"")&amp;IF(N(AD38)&gt;0,", "&amp;A38&amp;"-"&amp;AD$2,"")&amp;IF(N(AE38)&gt;0,", "&amp;A38&amp;"-"&amp;AE$2,"")&amp;IF(N(AF38)&gt;0,", "&amp;A38&amp;"-"&amp;AF$2,"")&amp;IF(N(AG38)&gt;0,", "&amp;A38&amp;"-"&amp;AG$2,"")&amp;IF(N(AH38)&gt;0,", "&amp;A38&amp;"-"&amp;AH$2,"")&amp;IF(N(AI38)&gt;0,", "&amp;A38&amp;"-"&amp;AI$2,"")&amp;IF(N(AJ38)&gt;0,", "&amp;A38&amp;"-"&amp;AJ$2,""),3,999))</f>
        <v/>
      </c>
      <c r="AN38" s="81"/>
      <c r="AO38" s="88"/>
      <c r="AP38" s="89" t="str">
        <f aca="false">IF(AO38="","",ROUND(AO38/(1+Справочники!$B$13),2))</f>
        <v/>
      </c>
      <c r="AQ38" s="90" t="str">
        <f aca="false" t="array" ref="AQ38:AQ38">IF(AP38="","",AP38*INDEX(Справочники!$B$4:$B$7,MATCH("RUB",Справочники!$A$4:$A$7,0)))</f>
        <v/>
      </c>
      <c r="AR38" s="90" t="str">
        <f aca="false">IF(AQ38="","",ROUND(AQ38*(1+Справочники!$B$12),0))</f>
        <v/>
      </c>
      <c r="AS38" s="90" t="str">
        <f aca="false">IF(AR38="","",ROUND(AR38*(1-Справочники!$B$11),0))</f>
        <v/>
      </c>
      <c r="AT38" s="88"/>
      <c r="AU38" s="90" t="str">
        <f aca="false">IF(AT38="","",ROUND(AT38/(1+Справочники!$B$12),0))</f>
        <v/>
      </c>
      <c r="AV38" s="90" t="str">
        <f aca="false">IF(AT38="","",ROUND(AT38*(1-Справочники!$B$15),0))</f>
        <v/>
      </c>
      <c r="AW38" s="90" t="str">
        <f aca="false">IF(AT38="","",ROUND(AT38*(1-Справочники!$B$16),0))</f>
        <v/>
      </c>
      <c r="AX38" s="90" t="str">
        <f aca="false">IF(AT38="","",ROUND(AT38*(1-Справочники!$B$17),0))</f>
        <v/>
      </c>
      <c r="AY38" s="90" t="str">
        <f aca="false">IF(AT38="","",ROUND(AT38*(1-Справочники!$B$18),0))</f>
        <v/>
      </c>
      <c r="AZ38" s="90" t="str">
        <f aca="false">IF(AT38="","",ROUND(AT38*(1-Справочники!$B$19),0))</f>
        <v/>
      </c>
      <c r="BA38" s="81"/>
      <c r="BB38" s="81"/>
      <c r="BC38" s="81"/>
      <c r="BD38" s="81"/>
      <c r="BE38" s="91"/>
      <c r="BF38" s="81" t="s">
        <v>103</v>
      </c>
      <c r="BG38" s="89" t="n">
        <f aca="false" t="array" ref="BG38:BG38">IF(BF38="","",IFERROR(INDEX(Справочники!$B$4:$B$7,MATCH(BF38,Справочники!$A$4:$A$7,0)),""))</f>
        <v>68.5</v>
      </c>
      <c r="BH38" s="90" t="str">
        <f aca="false">IF(N(BN38)&gt;0,ROUND(SUMIF(ЗАКАЗЫ!$F$3:$F$500,$A38,ЗАКАЗЫ!$Y$3:$Y$500)/BN38,0),IF(OR(BE38="",BG38=""),"",ROUND(BE38*BG38*(1+Справочники!$B$10),0)))</f>
        <v/>
      </c>
      <c r="BI38" s="92" t="str">
        <f aca="false">IF(OR(AU38="",BH38="",AU38=0),"",(AU38-BH38)/AU38)</f>
        <v/>
      </c>
      <c r="BJ38" s="81"/>
      <c r="BK38" s="83"/>
      <c r="BL38" s="43" t="str">
        <f aca="false">IFERROR(INDEX(ЗАКАЗЫ!$N$3:$N$500,MATCH($A38,ЗАКАЗЫ!$F$3:$F$500,0)),"")</f>
        <v/>
      </c>
      <c r="BM38" s="8" t="str">
        <f aca="false">IF(BL38="","",IFERROR(VLOOKUP(BL38,'ТН ВЭД'!$A$4:$C$40,3,0),""))</f>
        <v/>
      </c>
      <c r="BN38" s="7" t="str">
        <f aca="false">IF(COUNTIF(ЗАКАЗЫ!$F$3:$F$500,$A38)=0,"",SUMIF(ЗАКАЗЫ!$F$3:$F$500,$A38,ЗАКАЗЫ!$J$3:$J$500))</f>
        <v/>
      </c>
      <c r="BO38" s="7" t="str">
        <f aca="false">IF(BN38="","",SUMIF(ЗАКАЗЫ!$F$3:$F$500,$A38,ЗАКАЗЫ!$AL$3:$AL$500))</f>
        <v/>
      </c>
      <c r="BP38" s="7" t="str">
        <f aca="false">IF(BN38="","",BN38-BO38)</f>
        <v/>
      </c>
      <c r="BQ38" s="55" t="str">
        <f aca="false">IF(BN38="","",IF(BO38&gt;=BN38,"На складе",IF(BO38&gt;0,"Частично","Ждём")))</f>
        <v/>
      </c>
      <c r="BR38" s="43"/>
      <c r="BS38" s="47" t="str">
        <f aca="false">IF(BN38="","",IF(_xlfn.MAXIFS(ЗАКАЗЫ!$AK$3:$AK$500,ЗАКАЗЫ!$F$3:$F$500,$A38)=0,"",_xlfn.MAXIFS(ЗАКАЗЫ!$AK$3:$AK$500,ЗАКАЗЫ!$F$3:$F$500,$A38)))</f>
        <v/>
      </c>
    </row>
    <row r="39" customFormat="false" ht="15.75" hidden="false" customHeight="true" outlineLevel="0" collapsed="false">
      <c r="A39" s="80" t="s">
        <v>513</v>
      </c>
      <c r="B39" s="81"/>
      <c r="C39" s="81"/>
      <c r="D39" s="81"/>
      <c r="E39" s="83"/>
      <c r="F39" s="81"/>
      <c r="G39" s="83"/>
      <c r="H39" s="83"/>
      <c r="I39" s="84" t="str">
        <f aca="false">IF(E39="","",A39&amp;"_1.jpg")</f>
        <v/>
      </c>
      <c r="J39" s="84" t="str">
        <f aca="false">IF(E39="","",A39&amp;"_2.jpg; "&amp;A39&amp;"_3.jpg")</f>
        <v/>
      </c>
      <c r="K39" s="84" t="str">
        <f aca="false">IF(E39="","",A39&amp;"_schema.jpg")</f>
        <v/>
      </c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 t="s">
        <v>261</v>
      </c>
      <c r="W39" s="81"/>
      <c r="X39" s="81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6" t="str">
        <f aca="false">IF(SUM(Y39:AJ39)=0,"",SUM(Y39:AJ39))</f>
        <v/>
      </c>
      <c r="AL39" s="84" t="str">
        <f aca="false">MID(IF(N(Y39)&gt;0,", "&amp;Y$2,"")&amp;IF(N(Z39)&gt;0,", "&amp;Z$2,"")&amp;IF(N(AA39)&gt;0,", "&amp;AA$2,"")&amp;IF(N(AB39)&gt;0,", "&amp;AB$2,"")&amp;IF(N(AC39)&gt;0,", "&amp;AC$2,"")&amp;IF(N(AD39)&gt;0,", "&amp;AD$2,"")&amp;IF(N(AE39)&gt;0,", "&amp;AE$2,"")&amp;IF(N(AF39)&gt;0,", "&amp;AF$2,"")&amp;IF(N(AG39)&gt;0,", "&amp;AG$2,"")&amp;IF(N(AH39)&gt;0,", "&amp;AH$2,"")&amp;IF(N(AI39)&gt;0,", "&amp;AI$2,"")&amp;IF(N(AJ39)&gt;0,", "&amp;AJ$2,""),3,999)</f>
        <v/>
      </c>
      <c r="AM39" s="87" t="str">
        <f aca="false">IF(E39="","",MID(IF(N(Y39)&gt;0,", "&amp;A39&amp;"-"&amp;Y$2,"")&amp;IF(N(Z39)&gt;0,", "&amp;A39&amp;"-"&amp;Z$2,"")&amp;IF(N(AA39)&gt;0,", "&amp;A39&amp;"-"&amp;AA$2,"")&amp;IF(N(AB39)&gt;0,", "&amp;A39&amp;"-"&amp;AB$2,"")&amp;IF(N(AC39)&gt;0,", "&amp;A39&amp;"-"&amp;AC$2,"")&amp;IF(N(AD39)&gt;0,", "&amp;A39&amp;"-"&amp;AD$2,"")&amp;IF(N(AE39)&gt;0,", "&amp;A39&amp;"-"&amp;AE$2,"")&amp;IF(N(AF39)&gt;0,", "&amp;A39&amp;"-"&amp;AF$2,"")&amp;IF(N(AG39)&gt;0,", "&amp;A39&amp;"-"&amp;AG$2,"")&amp;IF(N(AH39)&gt;0,", "&amp;A39&amp;"-"&amp;AH$2,"")&amp;IF(N(AI39)&gt;0,", "&amp;A39&amp;"-"&amp;AI$2,"")&amp;IF(N(AJ39)&gt;0,", "&amp;A39&amp;"-"&amp;AJ$2,""),3,999))</f>
        <v/>
      </c>
      <c r="AN39" s="81"/>
      <c r="AO39" s="88"/>
      <c r="AP39" s="89" t="str">
        <f aca="false">IF(AO39="","",ROUND(AO39/(1+Справочники!$B$13),2))</f>
        <v/>
      </c>
      <c r="AQ39" s="90" t="str">
        <f aca="false" t="array" ref="AQ39:AQ39">IF(AP39="","",AP39*INDEX(Справочники!$B$4:$B$7,MATCH("RUB",Справочники!$A$4:$A$7,0)))</f>
        <v/>
      </c>
      <c r="AR39" s="90" t="str">
        <f aca="false">IF(AQ39="","",ROUND(AQ39*(1+Справочники!$B$12),0))</f>
        <v/>
      </c>
      <c r="AS39" s="90" t="str">
        <f aca="false">IF(AR39="","",ROUND(AR39*(1-Справочники!$B$11),0))</f>
        <v/>
      </c>
      <c r="AT39" s="88"/>
      <c r="AU39" s="90" t="str">
        <f aca="false">IF(AT39="","",ROUND(AT39/(1+Справочники!$B$12),0))</f>
        <v/>
      </c>
      <c r="AV39" s="90" t="str">
        <f aca="false">IF(AT39="","",ROUND(AT39*(1-Справочники!$B$15),0))</f>
        <v/>
      </c>
      <c r="AW39" s="90" t="str">
        <f aca="false">IF(AT39="","",ROUND(AT39*(1-Справочники!$B$16),0))</f>
        <v/>
      </c>
      <c r="AX39" s="90" t="str">
        <f aca="false">IF(AT39="","",ROUND(AT39*(1-Справочники!$B$17),0))</f>
        <v/>
      </c>
      <c r="AY39" s="90" t="str">
        <f aca="false">IF(AT39="","",ROUND(AT39*(1-Справочники!$B$18),0))</f>
        <v/>
      </c>
      <c r="AZ39" s="90" t="str">
        <f aca="false">IF(AT39="","",ROUND(AT39*(1-Справочники!$B$19),0))</f>
        <v/>
      </c>
      <c r="BA39" s="81"/>
      <c r="BB39" s="81"/>
      <c r="BC39" s="81"/>
      <c r="BD39" s="81"/>
      <c r="BE39" s="91"/>
      <c r="BF39" s="81" t="s">
        <v>103</v>
      </c>
      <c r="BG39" s="89" t="n">
        <f aca="false" t="array" ref="BG39:BG39">IF(BF39="","",IFERROR(INDEX(Справочники!$B$4:$B$7,MATCH(BF39,Справочники!$A$4:$A$7,0)),""))</f>
        <v>68.5</v>
      </c>
      <c r="BH39" s="90" t="str">
        <f aca="false">IF(N(BN39)&gt;0,ROUND(SUMIF(ЗАКАЗЫ!$F$3:$F$500,$A39,ЗАКАЗЫ!$Y$3:$Y$500)/BN39,0),IF(OR(BE39="",BG39=""),"",ROUND(BE39*BG39*(1+Справочники!$B$10),0)))</f>
        <v/>
      </c>
      <c r="BI39" s="92" t="str">
        <f aca="false">IF(OR(AU39="",BH39="",AU39=0),"",(AU39-BH39)/AU39)</f>
        <v/>
      </c>
      <c r="BJ39" s="81"/>
      <c r="BK39" s="83"/>
      <c r="BL39" s="43" t="str">
        <f aca="false">IFERROR(INDEX(ЗАКАЗЫ!$N$3:$N$500,MATCH($A39,ЗАКАЗЫ!$F$3:$F$500,0)),"")</f>
        <v/>
      </c>
      <c r="BM39" s="8" t="str">
        <f aca="false">IF(BL39="","",IFERROR(VLOOKUP(BL39,'ТН ВЭД'!$A$4:$C$40,3,0),""))</f>
        <v/>
      </c>
      <c r="BN39" s="7" t="str">
        <f aca="false">IF(COUNTIF(ЗАКАЗЫ!$F$3:$F$500,$A39)=0,"",SUMIF(ЗАКАЗЫ!$F$3:$F$500,$A39,ЗАКАЗЫ!$J$3:$J$500))</f>
        <v/>
      </c>
      <c r="BO39" s="7" t="str">
        <f aca="false">IF(BN39="","",SUMIF(ЗАКАЗЫ!$F$3:$F$500,$A39,ЗАКАЗЫ!$AL$3:$AL$500))</f>
        <v/>
      </c>
      <c r="BP39" s="7" t="str">
        <f aca="false">IF(BN39="","",BN39-BO39)</f>
        <v/>
      </c>
      <c r="BQ39" s="55" t="str">
        <f aca="false">IF(BN39="","",IF(BO39&gt;=BN39,"На складе",IF(BO39&gt;0,"Частично","Ждём")))</f>
        <v/>
      </c>
      <c r="BR39" s="43"/>
      <c r="BS39" s="47" t="str">
        <f aca="false">IF(BN39="","",IF(_xlfn.MAXIFS(ЗАКАЗЫ!$AK$3:$AK$500,ЗАКАЗЫ!$F$3:$F$500,$A39)=0,"",_xlfn.MAXIFS(ЗАКАЗЫ!$AK$3:$AK$500,ЗАКАЗЫ!$F$3:$F$500,$A39)))</f>
        <v/>
      </c>
    </row>
    <row r="40" customFormat="false" ht="15.75" hidden="false" customHeight="true" outlineLevel="0" collapsed="false">
      <c r="A40" s="80" t="s">
        <v>514</v>
      </c>
      <c r="B40" s="81"/>
      <c r="C40" s="81"/>
      <c r="D40" s="81"/>
      <c r="E40" s="83"/>
      <c r="F40" s="81"/>
      <c r="G40" s="83"/>
      <c r="H40" s="83"/>
      <c r="I40" s="84" t="str">
        <f aca="false">IF(E40="","",A40&amp;"_1.jpg")</f>
        <v/>
      </c>
      <c r="J40" s="84" t="str">
        <f aca="false">IF(E40="","",A40&amp;"_2.jpg; "&amp;A40&amp;"_3.jpg")</f>
        <v/>
      </c>
      <c r="K40" s="84" t="str">
        <f aca="false">IF(E40="","",A40&amp;"_schema.jpg")</f>
        <v/>
      </c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 t="s">
        <v>261</v>
      </c>
      <c r="W40" s="81"/>
      <c r="X40" s="81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6" t="str">
        <f aca="false">IF(SUM(Y40:AJ40)=0,"",SUM(Y40:AJ40))</f>
        <v/>
      </c>
      <c r="AL40" s="84" t="str">
        <f aca="false">MID(IF(N(Y40)&gt;0,", "&amp;Y$2,"")&amp;IF(N(Z40)&gt;0,", "&amp;Z$2,"")&amp;IF(N(AA40)&gt;0,", "&amp;AA$2,"")&amp;IF(N(AB40)&gt;0,", "&amp;AB$2,"")&amp;IF(N(AC40)&gt;0,", "&amp;AC$2,"")&amp;IF(N(AD40)&gt;0,", "&amp;AD$2,"")&amp;IF(N(AE40)&gt;0,", "&amp;AE$2,"")&amp;IF(N(AF40)&gt;0,", "&amp;AF$2,"")&amp;IF(N(AG40)&gt;0,", "&amp;AG$2,"")&amp;IF(N(AH40)&gt;0,", "&amp;AH$2,"")&amp;IF(N(AI40)&gt;0,", "&amp;AI$2,"")&amp;IF(N(AJ40)&gt;0,", "&amp;AJ$2,""),3,999)</f>
        <v/>
      </c>
      <c r="AM40" s="87" t="str">
        <f aca="false">IF(E40="","",MID(IF(N(Y40)&gt;0,", "&amp;A40&amp;"-"&amp;Y$2,"")&amp;IF(N(Z40)&gt;0,", "&amp;A40&amp;"-"&amp;Z$2,"")&amp;IF(N(AA40)&gt;0,", "&amp;A40&amp;"-"&amp;AA$2,"")&amp;IF(N(AB40)&gt;0,", "&amp;A40&amp;"-"&amp;AB$2,"")&amp;IF(N(AC40)&gt;0,", "&amp;A40&amp;"-"&amp;AC$2,"")&amp;IF(N(AD40)&gt;0,", "&amp;A40&amp;"-"&amp;AD$2,"")&amp;IF(N(AE40)&gt;0,", "&amp;A40&amp;"-"&amp;AE$2,"")&amp;IF(N(AF40)&gt;0,", "&amp;A40&amp;"-"&amp;AF$2,"")&amp;IF(N(AG40)&gt;0,", "&amp;A40&amp;"-"&amp;AG$2,"")&amp;IF(N(AH40)&gt;0,", "&amp;A40&amp;"-"&amp;AH$2,"")&amp;IF(N(AI40)&gt;0,", "&amp;A40&amp;"-"&amp;AI$2,"")&amp;IF(N(AJ40)&gt;0,", "&amp;A40&amp;"-"&amp;AJ$2,""),3,999))</f>
        <v/>
      </c>
      <c r="AN40" s="81"/>
      <c r="AO40" s="88"/>
      <c r="AP40" s="89" t="str">
        <f aca="false">IF(AO40="","",ROUND(AO40/(1+Справочники!$B$13),2))</f>
        <v/>
      </c>
      <c r="AQ40" s="90" t="str">
        <f aca="false" t="array" ref="AQ40:AQ40">IF(AP40="","",AP40*INDEX(Справочники!$B$4:$B$7,MATCH("RUB",Справочники!$A$4:$A$7,0)))</f>
        <v/>
      </c>
      <c r="AR40" s="90" t="str">
        <f aca="false">IF(AQ40="","",ROUND(AQ40*(1+Справочники!$B$12),0))</f>
        <v/>
      </c>
      <c r="AS40" s="90" t="str">
        <f aca="false">IF(AR40="","",ROUND(AR40*(1-Справочники!$B$11),0))</f>
        <v/>
      </c>
      <c r="AT40" s="88"/>
      <c r="AU40" s="90" t="str">
        <f aca="false">IF(AT40="","",ROUND(AT40/(1+Справочники!$B$12),0))</f>
        <v/>
      </c>
      <c r="AV40" s="90" t="str">
        <f aca="false">IF(AT40="","",ROUND(AT40*(1-Справочники!$B$15),0))</f>
        <v/>
      </c>
      <c r="AW40" s="90" t="str">
        <f aca="false">IF(AT40="","",ROUND(AT40*(1-Справочники!$B$16),0))</f>
        <v/>
      </c>
      <c r="AX40" s="90" t="str">
        <f aca="false">IF(AT40="","",ROUND(AT40*(1-Справочники!$B$17),0))</f>
        <v/>
      </c>
      <c r="AY40" s="90" t="str">
        <f aca="false">IF(AT40="","",ROUND(AT40*(1-Справочники!$B$18),0))</f>
        <v/>
      </c>
      <c r="AZ40" s="90" t="str">
        <f aca="false">IF(AT40="","",ROUND(AT40*(1-Справочники!$B$19),0))</f>
        <v/>
      </c>
      <c r="BA40" s="81"/>
      <c r="BB40" s="81"/>
      <c r="BC40" s="81"/>
      <c r="BD40" s="81"/>
      <c r="BE40" s="91"/>
      <c r="BF40" s="81" t="s">
        <v>103</v>
      </c>
      <c r="BG40" s="89" t="n">
        <f aca="false" t="array" ref="BG40:BG40">IF(BF40="","",IFERROR(INDEX(Справочники!$B$4:$B$7,MATCH(BF40,Справочники!$A$4:$A$7,0)),""))</f>
        <v>68.5</v>
      </c>
      <c r="BH40" s="90" t="str">
        <f aca="false">IF(N(BN40)&gt;0,ROUND(SUMIF(ЗАКАЗЫ!$F$3:$F$500,$A40,ЗАКАЗЫ!$Y$3:$Y$500)/BN40,0),IF(OR(BE40="",BG40=""),"",ROUND(BE40*BG40*(1+Справочники!$B$10),0)))</f>
        <v/>
      </c>
      <c r="BI40" s="92" t="str">
        <f aca="false">IF(OR(AU40="",BH40="",AU40=0),"",(AU40-BH40)/AU40)</f>
        <v/>
      </c>
      <c r="BJ40" s="81"/>
      <c r="BK40" s="83"/>
      <c r="BL40" s="43" t="str">
        <f aca="false">IFERROR(INDEX(ЗАКАЗЫ!$N$3:$N$500,MATCH($A40,ЗАКАЗЫ!$F$3:$F$500,0)),"")</f>
        <v/>
      </c>
      <c r="BM40" s="8" t="str">
        <f aca="false">IF(BL40="","",IFERROR(VLOOKUP(BL40,'ТН ВЭД'!$A$4:$C$40,3,0),""))</f>
        <v/>
      </c>
      <c r="BN40" s="7" t="str">
        <f aca="false">IF(COUNTIF(ЗАКАЗЫ!$F$3:$F$500,$A40)=0,"",SUMIF(ЗАКАЗЫ!$F$3:$F$500,$A40,ЗАКАЗЫ!$J$3:$J$500))</f>
        <v/>
      </c>
      <c r="BO40" s="7" t="str">
        <f aca="false">IF(BN40="","",SUMIF(ЗАКАЗЫ!$F$3:$F$500,$A40,ЗАКАЗЫ!$AL$3:$AL$500))</f>
        <v/>
      </c>
      <c r="BP40" s="7" t="str">
        <f aca="false">IF(BN40="","",BN40-BO40)</f>
        <v/>
      </c>
      <c r="BQ40" s="55" t="str">
        <f aca="false">IF(BN40="","",IF(BO40&gt;=BN40,"На складе",IF(BO40&gt;0,"Частично","Ждём")))</f>
        <v/>
      </c>
      <c r="BR40" s="43"/>
      <c r="BS40" s="47" t="str">
        <f aca="false">IF(BN40="","",IF(_xlfn.MAXIFS(ЗАКАЗЫ!$AK$3:$AK$500,ЗАКАЗЫ!$F$3:$F$500,$A40)=0,"",_xlfn.MAXIFS(ЗАКАЗЫ!$AK$3:$AK$500,ЗАКАЗЫ!$F$3:$F$500,$A40)))</f>
        <v/>
      </c>
    </row>
    <row r="41" customFormat="false" ht="15.75" hidden="false" customHeight="true" outlineLevel="0" collapsed="false">
      <c r="A41" s="80" t="s">
        <v>515</v>
      </c>
      <c r="B41" s="81"/>
      <c r="C41" s="81"/>
      <c r="D41" s="81"/>
      <c r="E41" s="83"/>
      <c r="F41" s="81"/>
      <c r="G41" s="83"/>
      <c r="H41" s="83"/>
      <c r="I41" s="84" t="str">
        <f aca="false">IF(E41="","",A41&amp;"_1.jpg")</f>
        <v/>
      </c>
      <c r="J41" s="84" t="str">
        <f aca="false">IF(E41="","",A41&amp;"_2.jpg; "&amp;A41&amp;"_3.jpg")</f>
        <v/>
      </c>
      <c r="K41" s="84" t="str">
        <f aca="false">IF(E41="","",A41&amp;"_schema.jpg")</f>
        <v/>
      </c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 t="s">
        <v>261</v>
      </c>
      <c r="W41" s="81"/>
      <c r="X41" s="81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6" t="str">
        <f aca="false">IF(SUM(Y41:AJ41)=0,"",SUM(Y41:AJ41))</f>
        <v/>
      </c>
      <c r="AL41" s="84" t="str">
        <f aca="false">MID(IF(N(Y41)&gt;0,", "&amp;Y$2,"")&amp;IF(N(Z41)&gt;0,", "&amp;Z$2,"")&amp;IF(N(AA41)&gt;0,", "&amp;AA$2,"")&amp;IF(N(AB41)&gt;0,", "&amp;AB$2,"")&amp;IF(N(AC41)&gt;0,", "&amp;AC$2,"")&amp;IF(N(AD41)&gt;0,", "&amp;AD$2,"")&amp;IF(N(AE41)&gt;0,", "&amp;AE$2,"")&amp;IF(N(AF41)&gt;0,", "&amp;AF$2,"")&amp;IF(N(AG41)&gt;0,", "&amp;AG$2,"")&amp;IF(N(AH41)&gt;0,", "&amp;AH$2,"")&amp;IF(N(AI41)&gt;0,", "&amp;AI$2,"")&amp;IF(N(AJ41)&gt;0,", "&amp;AJ$2,""),3,999)</f>
        <v/>
      </c>
      <c r="AM41" s="87" t="str">
        <f aca="false">IF(E41="","",MID(IF(N(Y41)&gt;0,", "&amp;A41&amp;"-"&amp;Y$2,"")&amp;IF(N(Z41)&gt;0,", "&amp;A41&amp;"-"&amp;Z$2,"")&amp;IF(N(AA41)&gt;0,", "&amp;A41&amp;"-"&amp;AA$2,"")&amp;IF(N(AB41)&gt;0,", "&amp;A41&amp;"-"&amp;AB$2,"")&amp;IF(N(AC41)&gt;0,", "&amp;A41&amp;"-"&amp;AC$2,"")&amp;IF(N(AD41)&gt;0,", "&amp;A41&amp;"-"&amp;AD$2,"")&amp;IF(N(AE41)&gt;0,", "&amp;A41&amp;"-"&amp;AE$2,"")&amp;IF(N(AF41)&gt;0,", "&amp;A41&amp;"-"&amp;AF$2,"")&amp;IF(N(AG41)&gt;0,", "&amp;A41&amp;"-"&amp;AG$2,"")&amp;IF(N(AH41)&gt;0,", "&amp;A41&amp;"-"&amp;AH$2,"")&amp;IF(N(AI41)&gt;0,", "&amp;A41&amp;"-"&amp;AI$2,"")&amp;IF(N(AJ41)&gt;0,", "&amp;A41&amp;"-"&amp;AJ$2,""),3,999))</f>
        <v/>
      </c>
      <c r="AN41" s="81"/>
      <c r="AO41" s="88"/>
      <c r="AP41" s="89" t="str">
        <f aca="false">IF(AO41="","",ROUND(AO41/(1+Справочники!$B$13),2))</f>
        <v/>
      </c>
      <c r="AQ41" s="90" t="str">
        <f aca="false" t="array" ref="AQ41:AQ41">IF(AP41="","",AP41*INDEX(Справочники!$B$4:$B$7,MATCH("RUB",Справочники!$A$4:$A$7,0)))</f>
        <v/>
      </c>
      <c r="AR41" s="90" t="str">
        <f aca="false">IF(AQ41="","",ROUND(AQ41*(1+Справочники!$B$12),0))</f>
        <v/>
      </c>
      <c r="AS41" s="90" t="str">
        <f aca="false">IF(AR41="","",ROUND(AR41*(1-Справочники!$B$11),0))</f>
        <v/>
      </c>
      <c r="AT41" s="88"/>
      <c r="AU41" s="90" t="str">
        <f aca="false">IF(AT41="","",ROUND(AT41/(1+Справочники!$B$12),0))</f>
        <v/>
      </c>
      <c r="AV41" s="90" t="str">
        <f aca="false">IF(AT41="","",ROUND(AT41*(1-Справочники!$B$15),0))</f>
        <v/>
      </c>
      <c r="AW41" s="90" t="str">
        <f aca="false">IF(AT41="","",ROUND(AT41*(1-Справочники!$B$16),0))</f>
        <v/>
      </c>
      <c r="AX41" s="90" t="str">
        <f aca="false">IF(AT41="","",ROUND(AT41*(1-Справочники!$B$17),0))</f>
        <v/>
      </c>
      <c r="AY41" s="90" t="str">
        <f aca="false">IF(AT41="","",ROUND(AT41*(1-Справочники!$B$18),0))</f>
        <v/>
      </c>
      <c r="AZ41" s="90" t="str">
        <f aca="false">IF(AT41="","",ROUND(AT41*(1-Справочники!$B$19),0))</f>
        <v/>
      </c>
      <c r="BA41" s="81"/>
      <c r="BB41" s="81"/>
      <c r="BC41" s="81"/>
      <c r="BD41" s="81"/>
      <c r="BE41" s="91"/>
      <c r="BF41" s="81" t="s">
        <v>103</v>
      </c>
      <c r="BG41" s="89" t="n">
        <f aca="false" t="array" ref="BG41:BG41">IF(BF41="","",IFERROR(INDEX(Справочники!$B$4:$B$7,MATCH(BF41,Справочники!$A$4:$A$7,0)),""))</f>
        <v>68.5</v>
      </c>
      <c r="BH41" s="90" t="str">
        <f aca="false">IF(N(BN41)&gt;0,ROUND(SUMIF(ЗАКАЗЫ!$F$3:$F$500,$A41,ЗАКАЗЫ!$Y$3:$Y$500)/BN41,0),IF(OR(BE41="",BG41=""),"",ROUND(BE41*BG41*(1+Справочники!$B$10),0)))</f>
        <v/>
      </c>
      <c r="BI41" s="92" t="str">
        <f aca="false">IF(OR(AU41="",BH41="",AU41=0),"",(AU41-BH41)/AU41)</f>
        <v/>
      </c>
      <c r="BJ41" s="81"/>
      <c r="BK41" s="83"/>
      <c r="BL41" s="43" t="str">
        <f aca="false">IFERROR(INDEX(ЗАКАЗЫ!$N$3:$N$500,MATCH($A41,ЗАКАЗЫ!$F$3:$F$500,0)),"")</f>
        <v/>
      </c>
      <c r="BM41" s="8" t="str">
        <f aca="false">IF(BL41="","",IFERROR(VLOOKUP(BL41,'ТН ВЭД'!$A$4:$C$40,3,0),""))</f>
        <v/>
      </c>
      <c r="BN41" s="7" t="str">
        <f aca="false">IF(COUNTIF(ЗАКАЗЫ!$F$3:$F$500,$A41)=0,"",SUMIF(ЗАКАЗЫ!$F$3:$F$500,$A41,ЗАКАЗЫ!$J$3:$J$500))</f>
        <v/>
      </c>
      <c r="BO41" s="7" t="str">
        <f aca="false">IF(BN41="","",SUMIF(ЗАКАЗЫ!$F$3:$F$500,$A41,ЗАКАЗЫ!$AL$3:$AL$500))</f>
        <v/>
      </c>
      <c r="BP41" s="7" t="str">
        <f aca="false">IF(BN41="","",BN41-BO41)</f>
        <v/>
      </c>
      <c r="BQ41" s="55" t="str">
        <f aca="false">IF(BN41="","",IF(BO41&gt;=BN41,"На складе",IF(BO41&gt;0,"Частично","Ждём")))</f>
        <v/>
      </c>
      <c r="BR41" s="43"/>
      <c r="BS41" s="47" t="str">
        <f aca="false">IF(BN41="","",IF(_xlfn.MAXIFS(ЗАКАЗЫ!$AK$3:$AK$500,ЗАКАЗЫ!$F$3:$F$500,$A41)=0,"",_xlfn.MAXIFS(ЗАКАЗЫ!$AK$3:$AK$500,ЗАКАЗЫ!$F$3:$F$500,$A41)))</f>
        <v/>
      </c>
    </row>
    <row r="42" customFormat="false" ht="15.75" hidden="false" customHeight="true" outlineLevel="0" collapsed="false">
      <c r="A42" s="80" t="s">
        <v>516</v>
      </c>
      <c r="B42" s="81"/>
      <c r="C42" s="81"/>
      <c r="D42" s="81"/>
      <c r="E42" s="83"/>
      <c r="F42" s="81"/>
      <c r="G42" s="83"/>
      <c r="H42" s="83"/>
      <c r="I42" s="84" t="str">
        <f aca="false">IF(E42="","",A42&amp;"_1.jpg")</f>
        <v/>
      </c>
      <c r="J42" s="84" t="str">
        <f aca="false">IF(E42="","",A42&amp;"_2.jpg; "&amp;A42&amp;"_3.jpg")</f>
        <v/>
      </c>
      <c r="K42" s="84" t="str">
        <f aca="false">IF(E42="","",A42&amp;"_schema.jpg")</f>
        <v/>
      </c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 t="s">
        <v>261</v>
      </c>
      <c r="W42" s="81"/>
      <c r="X42" s="81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6" t="str">
        <f aca="false">IF(SUM(Y42:AJ42)=0,"",SUM(Y42:AJ42))</f>
        <v/>
      </c>
      <c r="AL42" s="84" t="str">
        <f aca="false">MID(IF(N(Y42)&gt;0,", "&amp;Y$2,"")&amp;IF(N(Z42)&gt;0,", "&amp;Z$2,"")&amp;IF(N(AA42)&gt;0,", "&amp;AA$2,"")&amp;IF(N(AB42)&gt;0,", "&amp;AB$2,"")&amp;IF(N(AC42)&gt;0,", "&amp;AC$2,"")&amp;IF(N(AD42)&gt;0,", "&amp;AD$2,"")&amp;IF(N(AE42)&gt;0,", "&amp;AE$2,"")&amp;IF(N(AF42)&gt;0,", "&amp;AF$2,"")&amp;IF(N(AG42)&gt;0,", "&amp;AG$2,"")&amp;IF(N(AH42)&gt;0,", "&amp;AH$2,"")&amp;IF(N(AI42)&gt;0,", "&amp;AI$2,"")&amp;IF(N(AJ42)&gt;0,", "&amp;AJ$2,""),3,999)</f>
        <v/>
      </c>
      <c r="AM42" s="87" t="str">
        <f aca="false">IF(E42="","",MID(IF(N(Y42)&gt;0,", "&amp;A42&amp;"-"&amp;Y$2,"")&amp;IF(N(Z42)&gt;0,", "&amp;A42&amp;"-"&amp;Z$2,"")&amp;IF(N(AA42)&gt;0,", "&amp;A42&amp;"-"&amp;AA$2,"")&amp;IF(N(AB42)&gt;0,", "&amp;A42&amp;"-"&amp;AB$2,"")&amp;IF(N(AC42)&gt;0,", "&amp;A42&amp;"-"&amp;AC$2,"")&amp;IF(N(AD42)&gt;0,", "&amp;A42&amp;"-"&amp;AD$2,"")&amp;IF(N(AE42)&gt;0,", "&amp;A42&amp;"-"&amp;AE$2,"")&amp;IF(N(AF42)&gt;0,", "&amp;A42&amp;"-"&amp;AF$2,"")&amp;IF(N(AG42)&gt;0,", "&amp;A42&amp;"-"&amp;AG$2,"")&amp;IF(N(AH42)&gt;0,", "&amp;A42&amp;"-"&amp;AH$2,"")&amp;IF(N(AI42)&gt;0,", "&amp;A42&amp;"-"&amp;AI$2,"")&amp;IF(N(AJ42)&gt;0,", "&amp;A42&amp;"-"&amp;AJ$2,""),3,999))</f>
        <v/>
      </c>
      <c r="AN42" s="81"/>
      <c r="AO42" s="88"/>
      <c r="AP42" s="89" t="str">
        <f aca="false">IF(AO42="","",ROUND(AO42/(1+Справочники!$B$13),2))</f>
        <v/>
      </c>
      <c r="AQ42" s="90" t="str">
        <f aca="false" t="array" ref="AQ42:AQ42">IF(AP42="","",AP42*INDEX(Справочники!$B$4:$B$7,MATCH("RUB",Справочники!$A$4:$A$7,0)))</f>
        <v/>
      </c>
      <c r="AR42" s="90" t="str">
        <f aca="false">IF(AQ42="","",ROUND(AQ42*(1+Справочники!$B$12),0))</f>
        <v/>
      </c>
      <c r="AS42" s="90" t="str">
        <f aca="false">IF(AR42="","",ROUND(AR42*(1-Справочники!$B$11),0))</f>
        <v/>
      </c>
      <c r="AT42" s="88"/>
      <c r="AU42" s="90" t="str">
        <f aca="false">IF(AT42="","",ROUND(AT42/(1+Справочники!$B$12),0))</f>
        <v/>
      </c>
      <c r="AV42" s="90" t="str">
        <f aca="false">IF(AT42="","",ROUND(AT42*(1-Справочники!$B$15),0))</f>
        <v/>
      </c>
      <c r="AW42" s="90" t="str">
        <f aca="false">IF(AT42="","",ROUND(AT42*(1-Справочники!$B$16),0))</f>
        <v/>
      </c>
      <c r="AX42" s="90" t="str">
        <f aca="false">IF(AT42="","",ROUND(AT42*(1-Справочники!$B$17),0))</f>
        <v/>
      </c>
      <c r="AY42" s="90" t="str">
        <f aca="false">IF(AT42="","",ROUND(AT42*(1-Справочники!$B$18),0))</f>
        <v/>
      </c>
      <c r="AZ42" s="90" t="str">
        <f aca="false">IF(AT42="","",ROUND(AT42*(1-Справочники!$B$19),0))</f>
        <v/>
      </c>
      <c r="BA42" s="81"/>
      <c r="BB42" s="81"/>
      <c r="BC42" s="81"/>
      <c r="BD42" s="81"/>
      <c r="BE42" s="91"/>
      <c r="BF42" s="81" t="s">
        <v>103</v>
      </c>
      <c r="BG42" s="89" t="n">
        <f aca="false" t="array" ref="BG42:BG42">IF(BF42="","",IFERROR(INDEX(Справочники!$B$4:$B$7,MATCH(BF42,Справочники!$A$4:$A$7,0)),""))</f>
        <v>68.5</v>
      </c>
      <c r="BH42" s="90" t="str">
        <f aca="false">IF(N(BN42)&gt;0,ROUND(SUMIF(ЗАКАЗЫ!$F$3:$F$500,$A42,ЗАКАЗЫ!$Y$3:$Y$500)/BN42,0),IF(OR(BE42="",BG42=""),"",ROUND(BE42*BG42*(1+Справочники!$B$10),0)))</f>
        <v/>
      </c>
      <c r="BI42" s="92" t="str">
        <f aca="false">IF(OR(AU42="",BH42="",AU42=0),"",(AU42-BH42)/AU42)</f>
        <v/>
      </c>
      <c r="BJ42" s="81"/>
      <c r="BK42" s="83"/>
      <c r="BL42" s="43" t="str">
        <f aca="false">IFERROR(INDEX(ЗАКАЗЫ!$N$3:$N$500,MATCH($A42,ЗАКАЗЫ!$F$3:$F$500,0)),"")</f>
        <v/>
      </c>
      <c r="BM42" s="8" t="str">
        <f aca="false">IF(BL42="","",IFERROR(VLOOKUP(BL42,'ТН ВЭД'!$A$4:$C$40,3,0),""))</f>
        <v/>
      </c>
      <c r="BN42" s="7" t="str">
        <f aca="false">IF(COUNTIF(ЗАКАЗЫ!$F$3:$F$500,$A42)=0,"",SUMIF(ЗАКАЗЫ!$F$3:$F$500,$A42,ЗАКАЗЫ!$J$3:$J$500))</f>
        <v/>
      </c>
      <c r="BO42" s="7" t="str">
        <f aca="false">IF(BN42="","",SUMIF(ЗАКАЗЫ!$F$3:$F$500,$A42,ЗАКАЗЫ!$AL$3:$AL$500))</f>
        <v/>
      </c>
      <c r="BP42" s="7" t="str">
        <f aca="false">IF(BN42="","",BN42-BO42)</f>
        <v/>
      </c>
      <c r="BQ42" s="55" t="str">
        <f aca="false">IF(BN42="","",IF(BO42&gt;=BN42,"На складе",IF(BO42&gt;0,"Частично","Ждём")))</f>
        <v/>
      </c>
      <c r="BR42" s="43"/>
      <c r="BS42" s="47" t="str">
        <f aca="false">IF(BN42="","",IF(_xlfn.MAXIFS(ЗАКАЗЫ!$AK$3:$AK$500,ЗАКАЗЫ!$F$3:$F$500,$A42)=0,"",_xlfn.MAXIFS(ЗАКАЗЫ!$AK$3:$AK$500,ЗАКАЗЫ!$F$3:$F$500,$A42)))</f>
        <v/>
      </c>
    </row>
    <row r="43" customFormat="false" ht="15.75" hidden="false" customHeight="true" outlineLevel="0" collapsed="false">
      <c r="A43" s="80" t="s">
        <v>517</v>
      </c>
      <c r="B43" s="81"/>
      <c r="C43" s="81"/>
      <c r="D43" s="81"/>
      <c r="E43" s="83"/>
      <c r="F43" s="81"/>
      <c r="G43" s="83"/>
      <c r="H43" s="83"/>
      <c r="I43" s="84" t="str">
        <f aca="false">IF(E43="","",A43&amp;"_1.jpg")</f>
        <v/>
      </c>
      <c r="J43" s="84" t="str">
        <f aca="false">IF(E43="","",A43&amp;"_2.jpg; "&amp;A43&amp;"_3.jpg")</f>
        <v/>
      </c>
      <c r="K43" s="84" t="str">
        <f aca="false">IF(E43="","",A43&amp;"_schema.jpg")</f>
        <v/>
      </c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 t="s">
        <v>261</v>
      </c>
      <c r="W43" s="81"/>
      <c r="X43" s="81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6" t="str">
        <f aca="false">IF(SUM(Y43:AJ43)=0,"",SUM(Y43:AJ43))</f>
        <v/>
      </c>
      <c r="AL43" s="84" t="str">
        <f aca="false">MID(IF(N(Y43)&gt;0,", "&amp;Y$2,"")&amp;IF(N(Z43)&gt;0,", "&amp;Z$2,"")&amp;IF(N(AA43)&gt;0,", "&amp;AA$2,"")&amp;IF(N(AB43)&gt;0,", "&amp;AB$2,"")&amp;IF(N(AC43)&gt;0,", "&amp;AC$2,"")&amp;IF(N(AD43)&gt;0,", "&amp;AD$2,"")&amp;IF(N(AE43)&gt;0,", "&amp;AE$2,"")&amp;IF(N(AF43)&gt;0,", "&amp;AF$2,"")&amp;IF(N(AG43)&gt;0,", "&amp;AG$2,"")&amp;IF(N(AH43)&gt;0,", "&amp;AH$2,"")&amp;IF(N(AI43)&gt;0,", "&amp;AI$2,"")&amp;IF(N(AJ43)&gt;0,", "&amp;AJ$2,""),3,999)</f>
        <v/>
      </c>
      <c r="AM43" s="87" t="str">
        <f aca="false">IF(E43="","",MID(IF(N(Y43)&gt;0,", "&amp;A43&amp;"-"&amp;Y$2,"")&amp;IF(N(Z43)&gt;0,", "&amp;A43&amp;"-"&amp;Z$2,"")&amp;IF(N(AA43)&gt;0,", "&amp;A43&amp;"-"&amp;AA$2,"")&amp;IF(N(AB43)&gt;0,", "&amp;A43&amp;"-"&amp;AB$2,"")&amp;IF(N(AC43)&gt;0,", "&amp;A43&amp;"-"&amp;AC$2,"")&amp;IF(N(AD43)&gt;0,", "&amp;A43&amp;"-"&amp;AD$2,"")&amp;IF(N(AE43)&gt;0,", "&amp;A43&amp;"-"&amp;AE$2,"")&amp;IF(N(AF43)&gt;0,", "&amp;A43&amp;"-"&amp;AF$2,"")&amp;IF(N(AG43)&gt;0,", "&amp;A43&amp;"-"&amp;AG$2,"")&amp;IF(N(AH43)&gt;0,", "&amp;A43&amp;"-"&amp;AH$2,"")&amp;IF(N(AI43)&gt;0,", "&amp;A43&amp;"-"&amp;AI$2,"")&amp;IF(N(AJ43)&gt;0,", "&amp;A43&amp;"-"&amp;AJ$2,""),3,999))</f>
        <v/>
      </c>
      <c r="AN43" s="81"/>
      <c r="AO43" s="88"/>
      <c r="AP43" s="89" t="str">
        <f aca="false">IF(AO43="","",ROUND(AO43/(1+Справочники!$B$13),2))</f>
        <v/>
      </c>
      <c r="AQ43" s="90" t="str">
        <f aca="false" t="array" ref="AQ43:AQ43">IF(AP43="","",AP43*INDEX(Справочники!$B$4:$B$7,MATCH("RUB",Справочники!$A$4:$A$7,0)))</f>
        <v/>
      </c>
      <c r="AR43" s="90" t="str">
        <f aca="false">IF(AQ43="","",ROUND(AQ43*(1+Справочники!$B$12),0))</f>
        <v/>
      </c>
      <c r="AS43" s="90" t="str">
        <f aca="false">IF(AR43="","",ROUND(AR43*(1-Справочники!$B$11),0))</f>
        <v/>
      </c>
      <c r="AT43" s="88"/>
      <c r="AU43" s="90" t="str">
        <f aca="false">IF(AT43="","",ROUND(AT43/(1+Справочники!$B$12),0))</f>
        <v/>
      </c>
      <c r="AV43" s="90" t="str">
        <f aca="false">IF(AT43="","",ROUND(AT43*(1-Справочники!$B$15),0))</f>
        <v/>
      </c>
      <c r="AW43" s="90" t="str">
        <f aca="false">IF(AT43="","",ROUND(AT43*(1-Справочники!$B$16),0))</f>
        <v/>
      </c>
      <c r="AX43" s="90" t="str">
        <f aca="false">IF(AT43="","",ROUND(AT43*(1-Справочники!$B$17),0))</f>
        <v/>
      </c>
      <c r="AY43" s="90" t="str">
        <f aca="false">IF(AT43="","",ROUND(AT43*(1-Справочники!$B$18),0))</f>
        <v/>
      </c>
      <c r="AZ43" s="90" t="str">
        <f aca="false">IF(AT43="","",ROUND(AT43*(1-Справочники!$B$19),0))</f>
        <v/>
      </c>
      <c r="BA43" s="81"/>
      <c r="BB43" s="81"/>
      <c r="BC43" s="81"/>
      <c r="BD43" s="81"/>
      <c r="BE43" s="91"/>
      <c r="BF43" s="81" t="s">
        <v>103</v>
      </c>
      <c r="BG43" s="89" t="n">
        <f aca="false" t="array" ref="BG43:BG43">IF(BF43="","",IFERROR(INDEX(Справочники!$B$4:$B$7,MATCH(BF43,Справочники!$A$4:$A$7,0)),""))</f>
        <v>68.5</v>
      </c>
      <c r="BH43" s="90" t="str">
        <f aca="false">IF(N(BN43)&gt;0,ROUND(SUMIF(ЗАКАЗЫ!$F$3:$F$500,$A43,ЗАКАЗЫ!$Y$3:$Y$500)/BN43,0),IF(OR(BE43="",BG43=""),"",ROUND(BE43*BG43*(1+Справочники!$B$10),0)))</f>
        <v/>
      </c>
      <c r="BI43" s="92" t="str">
        <f aca="false">IF(OR(AU43="",BH43="",AU43=0),"",(AU43-BH43)/AU43)</f>
        <v/>
      </c>
      <c r="BJ43" s="81"/>
      <c r="BK43" s="83"/>
      <c r="BL43" s="43" t="str">
        <f aca="false">IFERROR(INDEX(ЗАКАЗЫ!$N$3:$N$500,MATCH($A43,ЗАКАЗЫ!$F$3:$F$500,0)),"")</f>
        <v/>
      </c>
      <c r="BM43" s="8" t="str">
        <f aca="false">IF(BL43="","",IFERROR(VLOOKUP(BL43,'ТН ВЭД'!$A$4:$C$40,3,0),""))</f>
        <v/>
      </c>
      <c r="BN43" s="7" t="str">
        <f aca="false">IF(COUNTIF(ЗАКАЗЫ!$F$3:$F$500,$A43)=0,"",SUMIF(ЗАКАЗЫ!$F$3:$F$500,$A43,ЗАКАЗЫ!$J$3:$J$500))</f>
        <v/>
      </c>
      <c r="BO43" s="7" t="str">
        <f aca="false">IF(BN43="","",SUMIF(ЗАКАЗЫ!$F$3:$F$500,$A43,ЗАКАЗЫ!$AL$3:$AL$500))</f>
        <v/>
      </c>
      <c r="BP43" s="7" t="str">
        <f aca="false">IF(BN43="","",BN43-BO43)</f>
        <v/>
      </c>
      <c r="BQ43" s="55" t="str">
        <f aca="false">IF(BN43="","",IF(BO43&gt;=BN43,"На складе",IF(BO43&gt;0,"Частично","Ждём")))</f>
        <v/>
      </c>
      <c r="BR43" s="43"/>
      <c r="BS43" s="47" t="str">
        <f aca="false">IF(BN43="","",IF(_xlfn.MAXIFS(ЗАКАЗЫ!$AK$3:$AK$500,ЗАКАЗЫ!$F$3:$F$500,$A43)=0,"",_xlfn.MAXIFS(ЗАКАЗЫ!$AK$3:$AK$500,ЗАКАЗЫ!$F$3:$F$500,$A43)))</f>
        <v/>
      </c>
    </row>
    <row r="44" customFormat="false" ht="15.75" hidden="false" customHeight="true" outlineLevel="0" collapsed="false">
      <c r="A44" s="80" t="s">
        <v>518</v>
      </c>
      <c r="B44" s="81"/>
      <c r="C44" s="81"/>
      <c r="D44" s="81"/>
      <c r="E44" s="83"/>
      <c r="F44" s="81"/>
      <c r="G44" s="83"/>
      <c r="H44" s="83"/>
      <c r="I44" s="84" t="str">
        <f aca="false">IF(E44="","",A44&amp;"_1.jpg")</f>
        <v/>
      </c>
      <c r="J44" s="84" t="str">
        <f aca="false">IF(E44="","",A44&amp;"_2.jpg; "&amp;A44&amp;"_3.jpg")</f>
        <v/>
      </c>
      <c r="K44" s="84" t="str">
        <f aca="false">IF(E44="","",A44&amp;"_schema.jpg")</f>
        <v/>
      </c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 t="s">
        <v>261</v>
      </c>
      <c r="W44" s="81"/>
      <c r="X44" s="81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6" t="str">
        <f aca="false">IF(SUM(Y44:AJ44)=0,"",SUM(Y44:AJ44))</f>
        <v/>
      </c>
      <c r="AL44" s="84" t="str">
        <f aca="false">MID(IF(N(Y44)&gt;0,", "&amp;Y$2,"")&amp;IF(N(Z44)&gt;0,", "&amp;Z$2,"")&amp;IF(N(AA44)&gt;0,", "&amp;AA$2,"")&amp;IF(N(AB44)&gt;0,", "&amp;AB$2,"")&amp;IF(N(AC44)&gt;0,", "&amp;AC$2,"")&amp;IF(N(AD44)&gt;0,", "&amp;AD$2,"")&amp;IF(N(AE44)&gt;0,", "&amp;AE$2,"")&amp;IF(N(AF44)&gt;0,", "&amp;AF$2,"")&amp;IF(N(AG44)&gt;0,", "&amp;AG$2,"")&amp;IF(N(AH44)&gt;0,", "&amp;AH$2,"")&amp;IF(N(AI44)&gt;0,", "&amp;AI$2,"")&amp;IF(N(AJ44)&gt;0,", "&amp;AJ$2,""),3,999)</f>
        <v/>
      </c>
      <c r="AM44" s="87" t="str">
        <f aca="false">IF(E44="","",MID(IF(N(Y44)&gt;0,", "&amp;A44&amp;"-"&amp;Y$2,"")&amp;IF(N(Z44)&gt;0,", "&amp;A44&amp;"-"&amp;Z$2,"")&amp;IF(N(AA44)&gt;0,", "&amp;A44&amp;"-"&amp;AA$2,"")&amp;IF(N(AB44)&gt;0,", "&amp;A44&amp;"-"&amp;AB$2,"")&amp;IF(N(AC44)&gt;0,", "&amp;A44&amp;"-"&amp;AC$2,"")&amp;IF(N(AD44)&gt;0,", "&amp;A44&amp;"-"&amp;AD$2,"")&amp;IF(N(AE44)&gt;0,", "&amp;A44&amp;"-"&amp;AE$2,"")&amp;IF(N(AF44)&gt;0,", "&amp;A44&amp;"-"&amp;AF$2,"")&amp;IF(N(AG44)&gt;0,", "&amp;A44&amp;"-"&amp;AG$2,"")&amp;IF(N(AH44)&gt;0,", "&amp;A44&amp;"-"&amp;AH$2,"")&amp;IF(N(AI44)&gt;0,", "&amp;A44&amp;"-"&amp;AI$2,"")&amp;IF(N(AJ44)&gt;0,", "&amp;A44&amp;"-"&amp;AJ$2,""),3,999))</f>
        <v/>
      </c>
      <c r="AN44" s="81"/>
      <c r="AO44" s="88"/>
      <c r="AP44" s="89" t="str">
        <f aca="false">IF(AO44="","",ROUND(AO44/(1+Справочники!$B$13),2))</f>
        <v/>
      </c>
      <c r="AQ44" s="90" t="str">
        <f aca="false" t="array" ref="AQ44:AQ44">IF(AP44="","",AP44*INDEX(Справочники!$B$4:$B$7,MATCH("RUB",Справочники!$A$4:$A$7,0)))</f>
        <v/>
      </c>
      <c r="AR44" s="90" t="str">
        <f aca="false">IF(AQ44="","",ROUND(AQ44*(1+Справочники!$B$12),0))</f>
        <v/>
      </c>
      <c r="AS44" s="90" t="str">
        <f aca="false">IF(AR44="","",ROUND(AR44*(1-Справочники!$B$11),0))</f>
        <v/>
      </c>
      <c r="AT44" s="88"/>
      <c r="AU44" s="90" t="str">
        <f aca="false">IF(AT44="","",ROUND(AT44/(1+Справочники!$B$12),0))</f>
        <v/>
      </c>
      <c r="AV44" s="90" t="str">
        <f aca="false">IF(AT44="","",ROUND(AT44*(1-Справочники!$B$15),0))</f>
        <v/>
      </c>
      <c r="AW44" s="90" t="str">
        <f aca="false">IF(AT44="","",ROUND(AT44*(1-Справочники!$B$16),0))</f>
        <v/>
      </c>
      <c r="AX44" s="90" t="str">
        <f aca="false">IF(AT44="","",ROUND(AT44*(1-Справочники!$B$17),0))</f>
        <v/>
      </c>
      <c r="AY44" s="90" t="str">
        <f aca="false">IF(AT44="","",ROUND(AT44*(1-Справочники!$B$18),0))</f>
        <v/>
      </c>
      <c r="AZ44" s="90" t="str">
        <f aca="false">IF(AT44="","",ROUND(AT44*(1-Справочники!$B$19),0))</f>
        <v/>
      </c>
      <c r="BA44" s="81"/>
      <c r="BB44" s="81"/>
      <c r="BC44" s="81"/>
      <c r="BD44" s="81"/>
      <c r="BE44" s="91"/>
      <c r="BF44" s="81" t="s">
        <v>103</v>
      </c>
      <c r="BG44" s="89" t="n">
        <f aca="false" t="array" ref="BG44:BG44">IF(BF44="","",IFERROR(INDEX(Справочники!$B$4:$B$7,MATCH(BF44,Справочники!$A$4:$A$7,0)),""))</f>
        <v>68.5</v>
      </c>
      <c r="BH44" s="90" t="str">
        <f aca="false">IF(N(BN44)&gt;0,ROUND(SUMIF(ЗАКАЗЫ!$F$3:$F$500,$A44,ЗАКАЗЫ!$Y$3:$Y$500)/BN44,0),IF(OR(BE44="",BG44=""),"",ROUND(BE44*BG44*(1+Справочники!$B$10),0)))</f>
        <v/>
      </c>
      <c r="BI44" s="92" t="str">
        <f aca="false">IF(OR(AU44="",BH44="",AU44=0),"",(AU44-BH44)/AU44)</f>
        <v/>
      </c>
      <c r="BJ44" s="81"/>
      <c r="BK44" s="83"/>
      <c r="BL44" s="43" t="str">
        <f aca="false">IFERROR(INDEX(ЗАКАЗЫ!$N$3:$N$500,MATCH($A44,ЗАКАЗЫ!$F$3:$F$500,0)),"")</f>
        <v/>
      </c>
      <c r="BM44" s="8" t="str">
        <f aca="false">IF(BL44="","",IFERROR(VLOOKUP(BL44,'ТН ВЭД'!$A$4:$C$40,3,0),""))</f>
        <v/>
      </c>
      <c r="BN44" s="7" t="str">
        <f aca="false">IF(COUNTIF(ЗАКАЗЫ!$F$3:$F$500,$A44)=0,"",SUMIF(ЗАКАЗЫ!$F$3:$F$500,$A44,ЗАКАЗЫ!$J$3:$J$500))</f>
        <v/>
      </c>
      <c r="BO44" s="7" t="str">
        <f aca="false">IF(BN44="","",SUMIF(ЗАКАЗЫ!$F$3:$F$500,$A44,ЗАКАЗЫ!$AL$3:$AL$500))</f>
        <v/>
      </c>
      <c r="BP44" s="7" t="str">
        <f aca="false">IF(BN44="","",BN44-BO44)</f>
        <v/>
      </c>
      <c r="BQ44" s="55" t="str">
        <f aca="false">IF(BN44="","",IF(BO44&gt;=BN44,"На складе",IF(BO44&gt;0,"Частично","Ждём")))</f>
        <v/>
      </c>
      <c r="BR44" s="43"/>
      <c r="BS44" s="47" t="str">
        <f aca="false">IF(BN44="","",IF(_xlfn.MAXIFS(ЗАКАЗЫ!$AK$3:$AK$500,ЗАКАЗЫ!$F$3:$F$500,$A44)=0,"",_xlfn.MAXIFS(ЗАКАЗЫ!$AK$3:$AK$500,ЗАКАЗЫ!$F$3:$F$500,$A44)))</f>
        <v/>
      </c>
    </row>
    <row r="45" customFormat="false" ht="15.75" hidden="false" customHeight="true" outlineLevel="0" collapsed="false">
      <c r="A45" s="80" t="s">
        <v>519</v>
      </c>
      <c r="B45" s="81"/>
      <c r="C45" s="81"/>
      <c r="D45" s="81"/>
      <c r="E45" s="83"/>
      <c r="F45" s="81"/>
      <c r="G45" s="83"/>
      <c r="H45" s="83"/>
      <c r="I45" s="84" t="str">
        <f aca="false">IF(E45="","",A45&amp;"_1.jpg")</f>
        <v/>
      </c>
      <c r="J45" s="84" t="str">
        <f aca="false">IF(E45="","",A45&amp;"_2.jpg; "&amp;A45&amp;"_3.jpg")</f>
        <v/>
      </c>
      <c r="K45" s="84" t="str">
        <f aca="false">IF(E45="","",A45&amp;"_schema.jpg")</f>
        <v/>
      </c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 t="s">
        <v>261</v>
      </c>
      <c r="W45" s="81"/>
      <c r="X45" s="81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6" t="str">
        <f aca="false">IF(SUM(Y45:AJ45)=0,"",SUM(Y45:AJ45))</f>
        <v/>
      </c>
      <c r="AL45" s="84" t="str">
        <f aca="false">MID(IF(N(Y45)&gt;0,", "&amp;Y$2,"")&amp;IF(N(Z45)&gt;0,", "&amp;Z$2,"")&amp;IF(N(AA45)&gt;0,", "&amp;AA$2,"")&amp;IF(N(AB45)&gt;0,", "&amp;AB$2,"")&amp;IF(N(AC45)&gt;0,", "&amp;AC$2,"")&amp;IF(N(AD45)&gt;0,", "&amp;AD$2,"")&amp;IF(N(AE45)&gt;0,", "&amp;AE$2,"")&amp;IF(N(AF45)&gt;0,", "&amp;AF$2,"")&amp;IF(N(AG45)&gt;0,", "&amp;AG$2,"")&amp;IF(N(AH45)&gt;0,", "&amp;AH$2,"")&amp;IF(N(AI45)&gt;0,", "&amp;AI$2,"")&amp;IF(N(AJ45)&gt;0,", "&amp;AJ$2,""),3,999)</f>
        <v/>
      </c>
      <c r="AM45" s="87" t="str">
        <f aca="false">IF(E45="","",MID(IF(N(Y45)&gt;0,", "&amp;A45&amp;"-"&amp;Y$2,"")&amp;IF(N(Z45)&gt;0,", "&amp;A45&amp;"-"&amp;Z$2,"")&amp;IF(N(AA45)&gt;0,", "&amp;A45&amp;"-"&amp;AA$2,"")&amp;IF(N(AB45)&gt;0,", "&amp;A45&amp;"-"&amp;AB$2,"")&amp;IF(N(AC45)&gt;0,", "&amp;A45&amp;"-"&amp;AC$2,"")&amp;IF(N(AD45)&gt;0,", "&amp;A45&amp;"-"&amp;AD$2,"")&amp;IF(N(AE45)&gt;0,", "&amp;A45&amp;"-"&amp;AE$2,"")&amp;IF(N(AF45)&gt;0,", "&amp;A45&amp;"-"&amp;AF$2,"")&amp;IF(N(AG45)&gt;0,", "&amp;A45&amp;"-"&amp;AG$2,"")&amp;IF(N(AH45)&gt;0,", "&amp;A45&amp;"-"&amp;AH$2,"")&amp;IF(N(AI45)&gt;0,", "&amp;A45&amp;"-"&amp;AI$2,"")&amp;IF(N(AJ45)&gt;0,", "&amp;A45&amp;"-"&amp;AJ$2,""),3,999))</f>
        <v/>
      </c>
      <c r="AN45" s="81"/>
      <c r="AO45" s="88"/>
      <c r="AP45" s="89" t="str">
        <f aca="false">IF(AO45="","",ROUND(AO45/(1+Справочники!$B$13),2))</f>
        <v/>
      </c>
      <c r="AQ45" s="90" t="str">
        <f aca="false" t="array" ref="AQ45:AQ45">IF(AP45="","",AP45*INDEX(Справочники!$B$4:$B$7,MATCH("RUB",Справочники!$A$4:$A$7,0)))</f>
        <v/>
      </c>
      <c r="AR45" s="90" t="str">
        <f aca="false">IF(AQ45="","",ROUND(AQ45*(1+Справочники!$B$12),0))</f>
        <v/>
      </c>
      <c r="AS45" s="90" t="str">
        <f aca="false">IF(AR45="","",ROUND(AR45*(1-Справочники!$B$11),0))</f>
        <v/>
      </c>
      <c r="AT45" s="88"/>
      <c r="AU45" s="90" t="str">
        <f aca="false">IF(AT45="","",ROUND(AT45/(1+Справочники!$B$12),0))</f>
        <v/>
      </c>
      <c r="AV45" s="90" t="str">
        <f aca="false">IF(AT45="","",ROUND(AT45*(1-Справочники!$B$15),0))</f>
        <v/>
      </c>
      <c r="AW45" s="90" t="str">
        <f aca="false">IF(AT45="","",ROUND(AT45*(1-Справочники!$B$16),0))</f>
        <v/>
      </c>
      <c r="AX45" s="90" t="str">
        <f aca="false">IF(AT45="","",ROUND(AT45*(1-Справочники!$B$17),0))</f>
        <v/>
      </c>
      <c r="AY45" s="90" t="str">
        <f aca="false">IF(AT45="","",ROUND(AT45*(1-Справочники!$B$18),0))</f>
        <v/>
      </c>
      <c r="AZ45" s="90" t="str">
        <f aca="false">IF(AT45="","",ROUND(AT45*(1-Справочники!$B$19),0))</f>
        <v/>
      </c>
      <c r="BA45" s="81"/>
      <c r="BB45" s="81"/>
      <c r="BC45" s="81"/>
      <c r="BD45" s="81"/>
      <c r="BE45" s="91"/>
      <c r="BF45" s="81" t="s">
        <v>103</v>
      </c>
      <c r="BG45" s="89" t="n">
        <f aca="false" t="array" ref="BG45:BG45">IF(BF45="","",IFERROR(INDEX(Справочники!$B$4:$B$7,MATCH(BF45,Справочники!$A$4:$A$7,0)),""))</f>
        <v>68.5</v>
      </c>
      <c r="BH45" s="90" t="str">
        <f aca="false">IF(N(BN45)&gt;0,ROUND(SUMIF(ЗАКАЗЫ!$F$3:$F$500,$A45,ЗАКАЗЫ!$Y$3:$Y$500)/BN45,0),IF(OR(BE45="",BG45=""),"",ROUND(BE45*BG45*(1+Справочники!$B$10),0)))</f>
        <v/>
      </c>
      <c r="BI45" s="92" t="str">
        <f aca="false">IF(OR(AU45="",BH45="",AU45=0),"",(AU45-BH45)/AU45)</f>
        <v/>
      </c>
      <c r="BJ45" s="81"/>
      <c r="BK45" s="83"/>
      <c r="BL45" s="43" t="str">
        <f aca="false">IFERROR(INDEX(ЗАКАЗЫ!$N$3:$N$500,MATCH($A45,ЗАКАЗЫ!$F$3:$F$500,0)),"")</f>
        <v/>
      </c>
      <c r="BM45" s="8" t="str">
        <f aca="false">IF(BL45="","",IFERROR(VLOOKUP(BL45,'ТН ВЭД'!$A$4:$C$40,3,0),""))</f>
        <v/>
      </c>
      <c r="BN45" s="7" t="str">
        <f aca="false">IF(COUNTIF(ЗАКАЗЫ!$F$3:$F$500,$A45)=0,"",SUMIF(ЗАКАЗЫ!$F$3:$F$500,$A45,ЗАКАЗЫ!$J$3:$J$500))</f>
        <v/>
      </c>
      <c r="BO45" s="7" t="str">
        <f aca="false">IF(BN45="","",SUMIF(ЗАКАЗЫ!$F$3:$F$500,$A45,ЗАКАЗЫ!$AL$3:$AL$500))</f>
        <v/>
      </c>
      <c r="BP45" s="7" t="str">
        <f aca="false">IF(BN45="","",BN45-BO45)</f>
        <v/>
      </c>
      <c r="BQ45" s="55" t="str">
        <f aca="false">IF(BN45="","",IF(BO45&gt;=BN45,"На складе",IF(BO45&gt;0,"Частично","Ждём")))</f>
        <v/>
      </c>
      <c r="BR45" s="43"/>
      <c r="BS45" s="47" t="str">
        <f aca="false">IF(BN45="","",IF(_xlfn.MAXIFS(ЗАКАЗЫ!$AK$3:$AK$500,ЗАКАЗЫ!$F$3:$F$500,$A45)=0,"",_xlfn.MAXIFS(ЗАКАЗЫ!$AK$3:$AK$500,ЗАКАЗЫ!$F$3:$F$500,$A45)))</f>
        <v/>
      </c>
    </row>
    <row r="46" customFormat="false" ht="15.75" hidden="false" customHeight="true" outlineLevel="0" collapsed="false">
      <c r="A46" s="80" t="s">
        <v>520</v>
      </c>
      <c r="B46" s="81"/>
      <c r="C46" s="81"/>
      <c r="D46" s="81"/>
      <c r="E46" s="83"/>
      <c r="F46" s="81"/>
      <c r="G46" s="83"/>
      <c r="H46" s="83"/>
      <c r="I46" s="84" t="str">
        <f aca="false">IF(E46="","",A46&amp;"_1.jpg")</f>
        <v/>
      </c>
      <c r="J46" s="84" t="str">
        <f aca="false">IF(E46="","",A46&amp;"_2.jpg; "&amp;A46&amp;"_3.jpg")</f>
        <v/>
      </c>
      <c r="K46" s="84" t="str">
        <f aca="false">IF(E46="","",A46&amp;"_schema.jpg")</f>
        <v/>
      </c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 t="s">
        <v>261</v>
      </c>
      <c r="W46" s="81"/>
      <c r="X46" s="81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6" t="str">
        <f aca="false">IF(SUM(Y46:AJ46)=0,"",SUM(Y46:AJ46))</f>
        <v/>
      </c>
      <c r="AL46" s="84" t="str">
        <f aca="false">MID(IF(N(Y46)&gt;0,", "&amp;Y$2,"")&amp;IF(N(Z46)&gt;0,", "&amp;Z$2,"")&amp;IF(N(AA46)&gt;0,", "&amp;AA$2,"")&amp;IF(N(AB46)&gt;0,", "&amp;AB$2,"")&amp;IF(N(AC46)&gt;0,", "&amp;AC$2,"")&amp;IF(N(AD46)&gt;0,", "&amp;AD$2,"")&amp;IF(N(AE46)&gt;0,", "&amp;AE$2,"")&amp;IF(N(AF46)&gt;0,", "&amp;AF$2,"")&amp;IF(N(AG46)&gt;0,", "&amp;AG$2,"")&amp;IF(N(AH46)&gt;0,", "&amp;AH$2,"")&amp;IF(N(AI46)&gt;0,", "&amp;AI$2,"")&amp;IF(N(AJ46)&gt;0,", "&amp;AJ$2,""),3,999)</f>
        <v/>
      </c>
      <c r="AM46" s="87" t="str">
        <f aca="false">IF(E46="","",MID(IF(N(Y46)&gt;0,", "&amp;A46&amp;"-"&amp;Y$2,"")&amp;IF(N(Z46)&gt;0,", "&amp;A46&amp;"-"&amp;Z$2,"")&amp;IF(N(AA46)&gt;0,", "&amp;A46&amp;"-"&amp;AA$2,"")&amp;IF(N(AB46)&gt;0,", "&amp;A46&amp;"-"&amp;AB$2,"")&amp;IF(N(AC46)&gt;0,", "&amp;A46&amp;"-"&amp;AC$2,"")&amp;IF(N(AD46)&gt;0,", "&amp;A46&amp;"-"&amp;AD$2,"")&amp;IF(N(AE46)&gt;0,", "&amp;A46&amp;"-"&amp;AE$2,"")&amp;IF(N(AF46)&gt;0,", "&amp;A46&amp;"-"&amp;AF$2,"")&amp;IF(N(AG46)&gt;0,", "&amp;A46&amp;"-"&amp;AG$2,"")&amp;IF(N(AH46)&gt;0,", "&amp;A46&amp;"-"&amp;AH$2,"")&amp;IF(N(AI46)&gt;0,", "&amp;A46&amp;"-"&amp;AI$2,"")&amp;IF(N(AJ46)&gt;0,", "&amp;A46&amp;"-"&amp;AJ$2,""),3,999))</f>
        <v/>
      </c>
      <c r="AN46" s="81"/>
      <c r="AO46" s="88"/>
      <c r="AP46" s="89" t="str">
        <f aca="false">IF(AO46="","",ROUND(AO46/(1+Справочники!$B$13),2))</f>
        <v/>
      </c>
      <c r="AQ46" s="90" t="str">
        <f aca="false" t="array" ref="AQ46:AQ46">IF(AP46="","",AP46*INDEX(Справочники!$B$4:$B$7,MATCH("RUB",Справочники!$A$4:$A$7,0)))</f>
        <v/>
      </c>
      <c r="AR46" s="90" t="str">
        <f aca="false">IF(AQ46="","",ROUND(AQ46*(1+Справочники!$B$12),0))</f>
        <v/>
      </c>
      <c r="AS46" s="90" t="str">
        <f aca="false">IF(AR46="","",ROUND(AR46*(1-Справочники!$B$11),0))</f>
        <v/>
      </c>
      <c r="AT46" s="88"/>
      <c r="AU46" s="90" t="str">
        <f aca="false">IF(AT46="","",ROUND(AT46/(1+Справочники!$B$12),0))</f>
        <v/>
      </c>
      <c r="AV46" s="90" t="str">
        <f aca="false">IF(AT46="","",ROUND(AT46*(1-Справочники!$B$15),0))</f>
        <v/>
      </c>
      <c r="AW46" s="90" t="str">
        <f aca="false">IF(AT46="","",ROUND(AT46*(1-Справочники!$B$16),0))</f>
        <v/>
      </c>
      <c r="AX46" s="90" t="str">
        <f aca="false">IF(AT46="","",ROUND(AT46*(1-Справочники!$B$17),0))</f>
        <v/>
      </c>
      <c r="AY46" s="90" t="str">
        <f aca="false">IF(AT46="","",ROUND(AT46*(1-Справочники!$B$18),0))</f>
        <v/>
      </c>
      <c r="AZ46" s="90" t="str">
        <f aca="false">IF(AT46="","",ROUND(AT46*(1-Справочники!$B$19),0))</f>
        <v/>
      </c>
      <c r="BA46" s="81"/>
      <c r="BB46" s="81"/>
      <c r="BC46" s="81"/>
      <c r="BD46" s="81"/>
      <c r="BE46" s="91"/>
      <c r="BF46" s="81" t="s">
        <v>103</v>
      </c>
      <c r="BG46" s="89" t="n">
        <f aca="false" t="array" ref="BG46:BG46">IF(BF46="","",IFERROR(INDEX(Справочники!$B$4:$B$7,MATCH(BF46,Справочники!$A$4:$A$7,0)),""))</f>
        <v>68.5</v>
      </c>
      <c r="BH46" s="90" t="str">
        <f aca="false">IF(N(BN46)&gt;0,ROUND(SUMIF(ЗАКАЗЫ!$F$3:$F$500,$A46,ЗАКАЗЫ!$Y$3:$Y$500)/BN46,0),IF(OR(BE46="",BG46=""),"",ROUND(BE46*BG46*(1+Справочники!$B$10),0)))</f>
        <v/>
      </c>
      <c r="BI46" s="92" t="str">
        <f aca="false">IF(OR(AU46="",BH46="",AU46=0),"",(AU46-BH46)/AU46)</f>
        <v/>
      </c>
      <c r="BJ46" s="81"/>
      <c r="BK46" s="83"/>
      <c r="BL46" s="43" t="str">
        <f aca="false">IFERROR(INDEX(ЗАКАЗЫ!$N$3:$N$500,MATCH($A46,ЗАКАЗЫ!$F$3:$F$500,0)),"")</f>
        <v/>
      </c>
      <c r="BM46" s="8" t="str">
        <f aca="false">IF(BL46="","",IFERROR(VLOOKUP(BL46,'ТН ВЭД'!$A$4:$C$40,3,0),""))</f>
        <v/>
      </c>
      <c r="BN46" s="7" t="str">
        <f aca="false">IF(COUNTIF(ЗАКАЗЫ!$F$3:$F$500,$A46)=0,"",SUMIF(ЗАКАЗЫ!$F$3:$F$500,$A46,ЗАКАЗЫ!$J$3:$J$500))</f>
        <v/>
      </c>
      <c r="BO46" s="7" t="str">
        <f aca="false">IF(BN46="","",SUMIF(ЗАКАЗЫ!$F$3:$F$500,$A46,ЗАКАЗЫ!$AL$3:$AL$500))</f>
        <v/>
      </c>
      <c r="BP46" s="7" t="str">
        <f aca="false">IF(BN46="","",BN46-BO46)</f>
        <v/>
      </c>
      <c r="BQ46" s="55" t="str">
        <f aca="false">IF(BN46="","",IF(BO46&gt;=BN46,"На складе",IF(BO46&gt;0,"Частично","Ждём")))</f>
        <v/>
      </c>
      <c r="BR46" s="43"/>
      <c r="BS46" s="47" t="str">
        <f aca="false">IF(BN46="","",IF(_xlfn.MAXIFS(ЗАКАЗЫ!$AK$3:$AK$500,ЗАКАЗЫ!$F$3:$F$500,$A46)=0,"",_xlfn.MAXIFS(ЗАКАЗЫ!$AK$3:$AK$500,ЗАКАЗЫ!$F$3:$F$500,$A46)))</f>
        <v/>
      </c>
    </row>
    <row r="47" customFormat="false" ht="15.75" hidden="false" customHeight="true" outlineLevel="0" collapsed="false">
      <c r="A47" s="80" t="s">
        <v>521</v>
      </c>
      <c r="B47" s="81"/>
      <c r="C47" s="81"/>
      <c r="D47" s="81"/>
      <c r="E47" s="83"/>
      <c r="F47" s="81"/>
      <c r="G47" s="83"/>
      <c r="H47" s="83"/>
      <c r="I47" s="84" t="str">
        <f aca="false">IF(E47="","",A47&amp;"_1.jpg")</f>
        <v/>
      </c>
      <c r="J47" s="84" t="str">
        <f aca="false">IF(E47="","",A47&amp;"_2.jpg; "&amp;A47&amp;"_3.jpg")</f>
        <v/>
      </c>
      <c r="K47" s="84" t="str">
        <f aca="false">IF(E47="","",A47&amp;"_schema.jpg")</f>
        <v/>
      </c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 t="s">
        <v>261</v>
      </c>
      <c r="W47" s="81"/>
      <c r="X47" s="81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6" t="str">
        <f aca="false">IF(SUM(Y47:AJ47)=0,"",SUM(Y47:AJ47))</f>
        <v/>
      </c>
      <c r="AL47" s="84" t="str">
        <f aca="false">MID(IF(N(Y47)&gt;0,", "&amp;Y$2,"")&amp;IF(N(Z47)&gt;0,", "&amp;Z$2,"")&amp;IF(N(AA47)&gt;0,", "&amp;AA$2,"")&amp;IF(N(AB47)&gt;0,", "&amp;AB$2,"")&amp;IF(N(AC47)&gt;0,", "&amp;AC$2,"")&amp;IF(N(AD47)&gt;0,", "&amp;AD$2,"")&amp;IF(N(AE47)&gt;0,", "&amp;AE$2,"")&amp;IF(N(AF47)&gt;0,", "&amp;AF$2,"")&amp;IF(N(AG47)&gt;0,", "&amp;AG$2,"")&amp;IF(N(AH47)&gt;0,", "&amp;AH$2,"")&amp;IF(N(AI47)&gt;0,", "&amp;AI$2,"")&amp;IF(N(AJ47)&gt;0,", "&amp;AJ$2,""),3,999)</f>
        <v/>
      </c>
      <c r="AM47" s="87" t="str">
        <f aca="false">IF(E47="","",MID(IF(N(Y47)&gt;0,", "&amp;A47&amp;"-"&amp;Y$2,"")&amp;IF(N(Z47)&gt;0,", "&amp;A47&amp;"-"&amp;Z$2,"")&amp;IF(N(AA47)&gt;0,", "&amp;A47&amp;"-"&amp;AA$2,"")&amp;IF(N(AB47)&gt;0,", "&amp;A47&amp;"-"&amp;AB$2,"")&amp;IF(N(AC47)&gt;0,", "&amp;A47&amp;"-"&amp;AC$2,"")&amp;IF(N(AD47)&gt;0,", "&amp;A47&amp;"-"&amp;AD$2,"")&amp;IF(N(AE47)&gt;0,", "&amp;A47&amp;"-"&amp;AE$2,"")&amp;IF(N(AF47)&gt;0,", "&amp;A47&amp;"-"&amp;AF$2,"")&amp;IF(N(AG47)&gt;0,", "&amp;A47&amp;"-"&amp;AG$2,"")&amp;IF(N(AH47)&gt;0,", "&amp;A47&amp;"-"&amp;AH$2,"")&amp;IF(N(AI47)&gt;0,", "&amp;A47&amp;"-"&amp;AI$2,"")&amp;IF(N(AJ47)&gt;0,", "&amp;A47&amp;"-"&amp;AJ$2,""),3,999))</f>
        <v/>
      </c>
      <c r="AN47" s="81"/>
      <c r="AO47" s="88"/>
      <c r="AP47" s="89" t="str">
        <f aca="false">IF(AO47="","",ROUND(AO47/(1+Справочники!$B$13),2))</f>
        <v/>
      </c>
      <c r="AQ47" s="90" t="str">
        <f aca="false" t="array" ref="AQ47:AQ47">IF(AP47="","",AP47*INDEX(Справочники!$B$4:$B$7,MATCH("RUB",Справочники!$A$4:$A$7,0)))</f>
        <v/>
      </c>
      <c r="AR47" s="90" t="str">
        <f aca="false">IF(AQ47="","",ROUND(AQ47*(1+Справочники!$B$12),0))</f>
        <v/>
      </c>
      <c r="AS47" s="90" t="str">
        <f aca="false">IF(AR47="","",ROUND(AR47*(1-Справочники!$B$11),0))</f>
        <v/>
      </c>
      <c r="AT47" s="88"/>
      <c r="AU47" s="90" t="str">
        <f aca="false">IF(AT47="","",ROUND(AT47/(1+Справочники!$B$12),0))</f>
        <v/>
      </c>
      <c r="AV47" s="90" t="str">
        <f aca="false">IF(AT47="","",ROUND(AT47*(1-Справочники!$B$15),0))</f>
        <v/>
      </c>
      <c r="AW47" s="90" t="str">
        <f aca="false">IF(AT47="","",ROUND(AT47*(1-Справочники!$B$16),0))</f>
        <v/>
      </c>
      <c r="AX47" s="90" t="str">
        <f aca="false">IF(AT47="","",ROUND(AT47*(1-Справочники!$B$17),0))</f>
        <v/>
      </c>
      <c r="AY47" s="90" t="str">
        <f aca="false">IF(AT47="","",ROUND(AT47*(1-Справочники!$B$18),0))</f>
        <v/>
      </c>
      <c r="AZ47" s="90" t="str">
        <f aca="false">IF(AT47="","",ROUND(AT47*(1-Справочники!$B$19),0))</f>
        <v/>
      </c>
      <c r="BA47" s="81"/>
      <c r="BB47" s="81"/>
      <c r="BC47" s="81"/>
      <c r="BD47" s="81"/>
      <c r="BE47" s="91"/>
      <c r="BF47" s="81" t="s">
        <v>103</v>
      </c>
      <c r="BG47" s="89" t="n">
        <f aca="false" t="array" ref="BG47:BG47">IF(BF47="","",IFERROR(INDEX(Справочники!$B$4:$B$7,MATCH(BF47,Справочники!$A$4:$A$7,0)),""))</f>
        <v>68.5</v>
      </c>
      <c r="BH47" s="90" t="str">
        <f aca="false">IF(N(BN47)&gt;0,ROUND(SUMIF(ЗАКАЗЫ!$F$3:$F$500,$A47,ЗАКАЗЫ!$Y$3:$Y$500)/BN47,0),IF(OR(BE47="",BG47=""),"",ROUND(BE47*BG47*(1+Справочники!$B$10),0)))</f>
        <v/>
      </c>
      <c r="BI47" s="92" t="str">
        <f aca="false">IF(OR(AU47="",BH47="",AU47=0),"",(AU47-BH47)/AU47)</f>
        <v/>
      </c>
      <c r="BJ47" s="81"/>
      <c r="BK47" s="83"/>
      <c r="BL47" s="43" t="str">
        <f aca="false">IFERROR(INDEX(ЗАКАЗЫ!$N$3:$N$500,MATCH($A47,ЗАКАЗЫ!$F$3:$F$500,0)),"")</f>
        <v/>
      </c>
      <c r="BM47" s="8" t="str">
        <f aca="false">IF(BL47="","",IFERROR(VLOOKUP(BL47,'ТН ВЭД'!$A$4:$C$40,3,0),""))</f>
        <v/>
      </c>
      <c r="BN47" s="7" t="str">
        <f aca="false">IF(COUNTIF(ЗАКАЗЫ!$F$3:$F$500,$A47)=0,"",SUMIF(ЗАКАЗЫ!$F$3:$F$500,$A47,ЗАКАЗЫ!$J$3:$J$500))</f>
        <v/>
      </c>
      <c r="BO47" s="7" t="str">
        <f aca="false">IF(BN47="","",SUMIF(ЗАКАЗЫ!$F$3:$F$500,$A47,ЗАКАЗЫ!$AL$3:$AL$500))</f>
        <v/>
      </c>
      <c r="BP47" s="7" t="str">
        <f aca="false">IF(BN47="","",BN47-BO47)</f>
        <v/>
      </c>
      <c r="BQ47" s="55" t="str">
        <f aca="false">IF(BN47="","",IF(BO47&gt;=BN47,"На складе",IF(BO47&gt;0,"Частично","Ждём")))</f>
        <v/>
      </c>
      <c r="BR47" s="43"/>
      <c r="BS47" s="47" t="str">
        <f aca="false">IF(BN47="","",IF(_xlfn.MAXIFS(ЗАКАЗЫ!$AK$3:$AK$500,ЗАКАЗЫ!$F$3:$F$500,$A47)=0,"",_xlfn.MAXIFS(ЗАКАЗЫ!$AK$3:$AK$500,ЗАКАЗЫ!$F$3:$F$500,$A47)))</f>
        <v/>
      </c>
    </row>
    <row r="48" customFormat="false" ht="15.75" hidden="false" customHeight="true" outlineLevel="0" collapsed="false">
      <c r="A48" s="80" t="s">
        <v>522</v>
      </c>
      <c r="B48" s="81"/>
      <c r="C48" s="81"/>
      <c r="D48" s="81"/>
      <c r="E48" s="83"/>
      <c r="F48" s="81"/>
      <c r="G48" s="83"/>
      <c r="H48" s="83"/>
      <c r="I48" s="84" t="str">
        <f aca="false">IF(E48="","",A48&amp;"_1.jpg")</f>
        <v/>
      </c>
      <c r="J48" s="84" t="str">
        <f aca="false">IF(E48="","",A48&amp;"_2.jpg; "&amp;A48&amp;"_3.jpg")</f>
        <v/>
      </c>
      <c r="K48" s="84" t="str">
        <f aca="false">IF(E48="","",A48&amp;"_schema.jpg")</f>
        <v/>
      </c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 t="s">
        <v>261</v>
      </c>
      <c r="W48" s="81"/>
      <c r="X48" s="81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6" t="str">
        <f aca="false">IF(SUM(Y48:AJ48)=0,"",SUM(Y48:AJ48))</f>
        <v/>
      </c>
      <c r="AL48" s="84" t="str">
        <f aca="false">MID(IF(N(Y48)&gt;0,", "&amp;Y$2,"")&amp;IF(N(Z48)&gt;0,", "&amp;Z$2,"")&amp;IF(N(AA48)&gt;0,", "&amp;AA$2,"")&amp;IF(N(AB48)&gt;0,", "&amp;AB$2,"")&amp;IF(N(AC48)&gt;0,", "&amp;AC$2,"")&amp;IF(N(AD48)&gt;0,", "&amp;AD$2,"")&amp;IF(N(AE48)&gt;0,", "&amp;AE$2,"")&amp;IF(N(AF48)&gt;0,", "&amp;AF$2,"")&amp;IF(N(AG48)&gt;0,", "&amp;AG$2,"")&amp;IF(N(AH48)&gt;0,", "&amp;AH$2,"")&amp;IF(N(AI48)&gt;0,", "&amp;AI$2,"")&amp;IF(N(AJ48)&gt;0,", "&amp;AJ$2,""),3,999)</f>
        <v/>
      </c>
      <c r="AM48" s="87" t="str">
        <f aca="false">IF(E48="","",MID(IF(N(Y48)&gt;0,", "&amp;A48&amp;"-"&amp;Y$2,"")&amp;IF(N(Z48)&gt;0,", "&amp;A48&amp;"-"&amp;Z$2,"")&amp;IF(N(AA48)&gt;0,", "&amp;A48&amp;"-"&amp;AA$2,"")&amp;IF(N(AB48)&gt;0,", "&amp;A48&amp;"-"&amp;AB$2,"")&amp;IF(N(AC48)&gt;0,", "&amp;A48&amp;"-"&amp;AC$2,"")&amp;IF(N(AD48)&gt;0,", "&amp;A48&amp;"-"&amp;AD$2,"")&amp;IF(N(AE48)&gt;0,", "&amp;A48&amp;"-"&amp;AE$2,"")&amp;IF(N(AF48)&gt;0,", "&amp;A48&amp;"-"&amp;AF$2,"")&amp;IF(N(AG48)&gt;0,", "&amp;A48&amp;"-"&amp;AG$2,"")&amp;IF(N(AH48)&gt;0,", "&amp;A48&amp;"-"&amp;AH$2,"")&amp;IF(N(AI48)&gt;0,", "&amp;A48&amp;"-"&amp;AI$2,"")&amp;IF(N(AJ48)&gt;0,", "&amp;A48&amp;"-"&amp;AJ$2,""),3,999))</f>
        <v/>
      </c>
      <c r="AN48" s="81"/>
      <c r="AO48" s="88"/>
      <c r="AP48" s="89" t="str">
        <f aca="false">IF(AO48="","",ROUND(AO48/(1+Справочники!$B$13),2))</f>
        <v/>
      </c>
      <c r="AQ48" s="90" t="str">
        <f aca="false" t="array" ref="AQ48:AQ48">IF(AP48="","",AP48*INDEX(Справочники!$B$4:$B$7,MATCH("RUB",Справочники!$A$4:$A$7,0)))</f>
        <v/>
      </c>
      <c r="AR48" s="90" t="str">
        <f aca="false">IF(AQ48="","",ROUND(AQ48*(1+Справочники!$B$12),0))</f>
        <v/>
      </c>
      <c r="AS48" s="90" t="str">
        <f aca="false">IF(AR48="","",ROUND(AR48*(1-Справочники!$B$11),0))</f>
        <v/>
      </c>
      <c r="AT48" s="88"/>
      <c r="AU48" s="90" t="str">
        <f aca="false">IF(AT48="","",ROUND(AT48/(1+Справочники!$B$12),0))</f>
        <v/>
      </c>
      <c r="AV48" s="90" t="str">
        <f aca="false">IF(AT48="","",ROUND(AT48*(1-Справочники!$B$15),0))</f>
        <v/>
      </c>
      <c r="AW48" s="90" t="str">
        <f aca="false">IF(AT48="","",ROUND(AT48*(1-Справочники!$B$16),0))</f>
        <v/>
      </c>
      <c r="AX48" s="90" t="str">
        <f aca="false">IF(AT48="","",ROUND(AT48*(1-Справочники!$B$17),0))</f>
        <v/>
      </c>
      <c r="AY48" s="90" t="str">
        <f aca="false">IF(AT48="","",ROUND(AT48*(1-Справочники!$B$18),0))</f>
        <v/>
      </c>
      <c r="AZ48" s="90" t="str">
        <f aca="false">IF(AT48="","",ROUND(AT48*(1-Справочники!$B$19),0))</f>
        <v/>
      </c>
      <c r="BA48" s="81"/>
      <c r="BB48" s="81"/>
      <c r="BC48" s="81"/>
      <c r="BD48" s="81"/>
      <c r="BE48" s="91"/>
      <c r="BF48" s="81" t="s">
        <v>103</v>
      </c>
      <c r="BG48" s="89" t="n">
        <f aca="false" t="array" ref="BG48:BG48">IF(BF48="","",IFERROR(INDEX(Справочники!$B$4:$B$7,MATCH(BF48,Справочники!$A$4:$A$7,0)),""))</f>
        <v>68.5</v>
      </c>
      <c r="BH48" s="90" t="str">
        <f aca="false">IF(N(BN48)&gt;0,ROUND(SUMIF(ЗАКАЗЫ!$F$3:$F$500,$A48,ЗАКАЗЫ!$Y$3:$Y$500)/BN48,0),IF(OR(BE48="",BG48=""),"",ROUND(BE48*BG48*(1+Справочники!$B$10),0)))</f>
        <v/>
      </c>
      <c r="BI48" s="92" t="str">
        <f aca="false">IF(OR(AU48="",BH48="",AU48=0),"",(AU48-BH48)/AU48)</f>
        <v/>
      </c>
      <c r="BJ48" s="81"/>
      <c r="BK48" s="83"/>
      <c r="BL48" s="43" t="str">
        <f aca="false">IFERROR(INDEX(ЗАКАЗЫ!$N$3:$N$500,MATCH($A48,ЗАКАЗЫ!$F$3:$F$500,0)),"")</f>
        <v/>
      </c>
      <c r="BM48" s="8" t="str">
        <f aca="false">IF(BL48="","",IFERROR(VLOOKUP(BL48,'ТН ВЭД'!$A$4:$C$40,3,0),""))</f>
        <v/>
      </c>
      <c r="BN48" s="7" t="str">
        <f aca="false">IF(COUNTIF(ЗАКАЗЫ!$F$3:$F$500,$A48)=0,"",SUMIF(ЗАКАЗЫ!$F$3:$F$500,$A48,ЗАКАЗЫ!$J$3:$J$500))</f>
        <v/>
      </c>
      <c r="BO48" s="7" t="str">
        <f aca="false">IF(BN48="","",SUMIF(ЗАКАЗЫ!$F$3:$F$500,$A48,ЗАКАЗЫ!$AL$3:$AL$500))</f>
        <v/>
      </c>
      <c r="BP48" s="7" t="str">
        <f aca="false">IF(BN48="","",BN48-BO48)</f>
        <v/>
      </c>
      <c r="BQ48" s="55" t="str">
        <f aca="false">IF(BN48="","",IF(BO48&gt;=BN48,"На складе",IF(BO48&gt;0,"Частично","Ждём")))</f>
        <v/>
      </c>
      <c r="BR48" s="43"/>
      <c r="BS48" s="47" t="str">
        <f aca="false">IF(BN48="","",IF(_xlfn.MAXIFS(ЗАКАЗЫ!$AK$3:$AK$500,ЗАКАЗЫ!$F$3:$F$500,$A48)=0,"",_xlfn.MAXIFS(ЗАКАЗЫ!$AK$3:$AK$500,ЗАКАЗЫ!$F$3:$F$500,$A48)))</f>
        <v/>
      </c>
    </row>
    <row r="49" customFormat="false" ht="15.75" hidden="false" customHeight="true" outlineLevel="0" collapsed="false">
      <c r="A49" s="80" t="s">
        <v>523</v>
      </c>
      <c r="B49" s="81"/>
      <c r="C49" s="81"/>
      <c r="D49" s="81"/>
      <c r="E49" s="83"/>
      <c r="F49" s="81"/>
      <c r="G49" s="83"/>
      <c r="H49" s="83"/>
      <c r="I49" s="84" t="str">
        <f aca="false">IF(E49="","",A49&amp;"_1.jpg")</f>
        <v/>
      </c>
      <c r="J49" s="84" t="str">
        <f aca="false">IF(E49="","",A49&amp;"_2.jpg; "&amp;A49&amp;"_3.jpg")</f>
        <v/>
      </c>
      <c r="K49" s="84" t="str">
        <f aca="false">IF(E49="","",A49&amp;"_schema.jpg")</f>
        <v/>
      </c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 t="s">
        <v>261</v>
      </c>
      <c r="W49" s="81"/>
      <c r="X49" s="81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6" t="str">
        <f aca="false">IF(SUM(Y49:AJ49)=0,"",SUM(Y49:AJ49))</f>
        <v/>
      </c>
      <c r="AL49" s="84" t="str">
        <f aca="false">MID(IF(N(Y49)&gt;0,", "&amp;Y$2,"")&amp;IF(N(Z49)&gt;0,", "&amp;Z$2,"")&amp;IF(N(AA49)&gt;0,", "&amp;AA$2,"")&amp;IF(N(AB49)&gt;0,", "&amp;AB$2,"")&amp;IF(N(AC49)&gt;0,", "&amp;AC$2,"")&amp;IF(N(AD49)&gt;0,", "&amp;AD$2,"")&amp;IF(N(AE49)&gt;0,", "&amp;AE$2,"")&amp;IF(N(AF49)&gt;0,", "&amp;AF$2,"")&amp;IF(N(AG49)&gt;0,", "&amp;AG$2,"")&amp;IF(N(AH49)&gt;0,", "&amp;AH$2,"")&amp;IF(N(AI49)&gt;0,", "&amp;AI$2,"")&amp;IF(N(AJ49)&gt;0,", "&amp;AJ$2,""),3,999)</f>
        <v/>
      </c>
      <c r="AM49" s="87" t="str">
        <f aca="false">IF(E49="","",MID(IF(N(Y49)&gt;0,", "&amp;A49&amp;"-"&amp;Y$2,"")&amp;IF(N(Z49)&gt;0,", "&amp;A49&amp;"-"&amp;Z$2,"")&amp;IF(N(AA49)&gt;0,", "&amp;A49&amp;"-"&amp;AA$2,"")&amp;IF(N(AB49)&gt;0,", "&amp;A49&amp;"-"&amp;AB$2,"")&amp;IF(N(AC49)&gt;0,", "&amp;A49&amp;"-"&amp;AC$2,"")&amp;IF(N(AD49)&gt;0,", "&amp;A49&amp;"-"&amp;AD$2,"")&amp;IF(N(AE49)&gt;0,", "&amp;A49&amp;"-"&amp;AE$2,"")&amp;IF(N(AF49)&gt;0,", "&amp;A49&amp;"-"&amp;AF$2,"")&amp;IF(N(AG49)&gt;0,", "&amp;A49&amp;"-"&amp;AG$2,"")&amp;IF(N(AH49)&gt;0,", "&amp;A49&amp;"-"&amp;AH$2,"")&amp;IF(N(AI49)&gt;0,", "&amp;A49&amp;"-"&amp;AI$2,"")&amp;IF(N(AJ49)&gt;0,", "&amp;A49&amp;"-"&amp;AJ$2,""),3,999))</f>
        <v/>
      </c>
      <c r="AN49" s="81"/>
      <c r="AO49" s="88"/>
      <c r="AP49" s="89" t="str">
        <f aca="false">IF(AO49="","",ROUND(AO49/(1+Справочники!$B$13),2))</f>
        <v/>
      </c>
      <c r="AQ49" s="90" t="str">
        <f aca="false" t="array" ref="AQ49:AQ49">IF(AP49="","",AP49*INDEX(Справочники!$B$4:$B$7,MATCH("RUB",Справочники!$A$4:$A$7,0)))</f>
        <v/>
      </c>
      <c r="AR49" s="90" t="str">
        <f aca="false">IF(AQ49="","",ROUND(AQ49*(1+Справочники!$B$12),0))</f>
        <v/>
      </c>
      <c r="AS49" s="90" t="str">
        <f aca="false">IF(AR49="","",ROUND(AR49*(1-Справочники!$B$11),0))</f>
        <v/>
      </c>
      <c r="AT49" s="88"/>
      <c r="AU49" s="90" t="str">
        <f aca="false">IF(AT49="","",ROUND(AT49/(1+Справочники!$B$12),0))</f>
        <v/>
      </c>
      <c r="AV49" s="90" t="str">
        <f aca="false">IF(AT49="","",ROUND(AT49*(1-Справочники!$B$15),0))</f>
        <v/>
      </c>
      <c r="AW49" s="90" t="str">
        <f aca="false">IF(AT49="","",ROUND(AT49*(1-Справочники!$B$16),0))</f>
        <v/>
      </c>
      <c r="AX49" s="90" t="str">
        <f aca="false">IF(AT49="","",ROUND(AT49*(1-Справочники!$B$17),0))</f>
        <v/>
      </c>
      <c r="AY49" s="90" t="str">
        <f aca="false">IF(AT49="","",ROUND(AT49*(1-Справочники!$B$18),0))</f>
        <v/>
      </c>
      <c r="AZ49" s="90" t="str">
        <f aca="false">IF(AT49="","",ROUND(AT49*(1-Справочники!$B$19),0))</f>
        <v/>
      </c>
      <c r="BA49" s="81"/>
      <c r="BB49" s="81"/>
      <c r="BC49" s="81"/>
      <c r="BD49" s="81"/>
      <c r="BE49" s="91"/>
      <c r="BF49" s="81" t="s">
        <v>103</v>
      </c>
      <c r="BG49" s="89" t="n">
        <f aca="false" t="array" ref="BG49:BG49">IF(BF49="","",IFERROR(INDEX(Справочники!$B$4:$B$7,MATCH(BF49,Справочники!$A$4:$A$7,0)),""))</f>
        <v>68.5</v>
      </c>
      <c r="BH49" s="90" t="str">
        <f aca="false">IF(N(BN49)&gt;0,ROUND(SUMIF(ЗАКАЗЫ!$F$3:$F$500,$A49,ЗАКАЗЫ!$Y$3:$Y$500)/BN49,0),IF(OR(BE49="",BG49=""),"",ROUND(BE49*BG49*(1+Справочники!$B$10),0)))</f>
        <v/>
      </c>
      <c r="BI49" s="92" t="str">
        <f aca="false">IF(OR(AU49="",BH49="",AU49=0),"",(AU49-BH49)/AU49)</f>
        <v/>
      </c>
      <c r="BJ49" s="81"/>
      <c r="BK49" s="83"/>
      <c r="BL49" s="43" t="str">
        <f aca="false">IFERROR(INDEX(ЗАКАЗЫ!$N$3:$N$500,MATCH($A49,ЗАКАЗЫ!$F$3:$F$500,0)),"")</f>
        <v/>
      </c>
      <c r="BM49" s="8" t="str">
        <f aca="false">IF(BL49="","",IFERROR(VLOOKUP(BL49,'ТН ВЭД'!$A$4:$C$40,3,0),""))</f>
        <v/>
      </c>
      <c r="BN49" s="7" t="str">
        <f aca="false">IF(COUNTIF(ЗАКАЗЫ!$F$3:$F$500,$A49)=0,"",SUMIF(ЗАКАЗЫ!$F$3:$F$500,$A49,ЗАКАЗЫ!$J$3:$J$500))</f>
        <v/>
      </c>
      <c r="BO49" s="7" t="str">
        <f aca="false">IF(BN49="","",SUMIF(ЗАКАЗЫ!$F$3:$F$500,$A49,ЗАКАЗЫ!$AL$3:$AL$500))</f>
        <v/>
      </c>
      <c r="BP49" s="7" t="str">
        <f aca="false">IF(BN49="","",BN49-BO49)</f>
        <v/>
      </c>
      <c r="BQ49" s="55" t="str">
        <f aca="false">IF(BN49="","",IF(BO49&gt;=BN49,"На складе",IF(BO49&gt;0,"Частично","Ждём")))</f>
        <v/>
      </c>
      <c r="BR49" s="43"/>
      <c r="BS49" s="47" t="str">
        <f aca="false">IF(BN49="","",IF(_xlfn.MAXIFS(ЗАКАЗЫ!$AK$3:$AK$500,ЗАКАЗЫ!$F$3:$F$500,$A49)=0,"",_xlfn.MAXIFS(ЗАКАЗЫ!$AK$3:$AK$500,ЗАКАЗЫ!$F$3:$F$500,$A49)))</f>
        <v/>
      </c>
    </row>
    <row r="50" customFormat="false" ht="15.75" hidden="false" customHeight="true" outlineLevel="0" collapsed="false">
      <c r="A50" s="80" t="s">
        <v>524</v>
      </c>
      <c r="B50" s="81"/>
      <c r="C50" s="81"/>
      <c r="D50" s="81"/>
      <c r="E50" s="83"/>
      <c r="F50" s="81"/>
      <c r="G50" s="83"/>
      <c r="H50" s="83"/>
      <c r="I50" s="84" t="str">
        <f aca="false">IF(E50="","",A50&amp;"_1.jpg")</f>
        <v/>
      </c>
      <c r="J50" s="84" t="str">
        <f aca="false">IF(E50="","",A50&amp;"_2.jpg; "&amp;A50&amp;"_3.jpg")</f>
        <v/>
      </c>
      <c r="K50" s="84" t="str">
        <f aca="false">IF(E50="","",A50&amp;"_schema.jpg")</f>
        <v/>
      </c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 t="s">
        <v>261</v>
      </c>
      <c r="W50" s="81"/>
      <c r="X50" s="81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6" t="str">
        <f aca="false">IF(SUM(Y50:AJ50)=0,"",SUM(Y50:AJ50))</f>
        <v/>
      </c>
      <c r="AL50" s="84" t="str">
        <f aca="false">MID(IF(N(Y50)&gt;0,", "&amp;Y$2,"")&amp;IF(N(Z50)&gt;0,", "&amp;Z$2,"")&amp;IF(N(AA50)&gt;0,", "&amp;AA$2,"")&amp;IF(N(AB50)&gt;0,", "&amp;AB$2,"")&amp;IF(N(AC50)&gt;0,", "&amp;AC$2,"")&amp;IF(N(AD50)&gt;0,", "&amp;AD$2,"")&amp;IF(N(AE50)&gt;0,", "&amp;AE$2,"")&amp;IF(N(AF50)&gt;0,", "&amp;AF$2,"")&amp;IF(N(AG50)&gt;0,", "&amp;AG$2,"")&amp;IF(N(AH50)&gt;0,", "&amp;AH$2,"")&amp;IF(N(AI50)&gt;0,", "&amp;AI$2,"")&amp;IF(N(AJ50)&gt;0,", "&amp;AJ$2,""),3,999)</f>
        <v/>
      </c>
      <c r="AM50" s="87" t="str">
        <f aca="false">IF(E50="","",MID(IF(N(Y50)&gt;0,", "&amp;A50&amp;"-"&amp;Y$2,"")&amp;IF(N(Z50)&gt;0,", "&amp;A50&amp;"-"&amp;Z$2,"")&amp;IF(N(AA50)&gt;0,", "&amp;A50&amp;"-"&amp;AA$2,"")&amp;IF(N(AB50)&gt;0,", "&amp;A50&amp;"-"&amp;AB$2,"")&amp;IF(N(AC50)&gt;0,", "&amp;A50&amp;"-"&amp;AC$2,"")&amp;IF(N(AD50)&gt;0,", "&amp;A50&amp;"-"&amp;AD$2,"")&amp;IF(N(AE50)&gt;0,", "&amp;A50&amp;"-"&amp;AE$2,"")&amp;IF(N(AF50)&gt;0,", "&amp;A50&amp;"-"&amp;AF$2,"")&amp;IF(N(AG50)&gt;0,", "&amp;A50&amp;"-"&amp;AG$2,"")&amp;IF(N(AH50)&gt;0,", "&amp;A50&amp;"-"&amp;AH$2,"")&amp;IF(N(AI50)&gt;0,", "&amp;A50&amp;"-"&amp;AI$2,"")&amp;IF(N(AJ50)&gt;0,", "&amp;A50&amp;"-"&amp;AJ$2,""),3,999))</f>
        <v/>
      </c>
      <c r="AN50" s="81"/>
      <c r="AO50" s="88"/>
      <c r="AP50" s="89" t="str">
        <f aca="false">IF(AO50="","",ROUND(AO50/(1+Справочники!$B$13),2))</f>
        <v/>
      </c>
      <c r="AQ50" s="90" t="str">
        <f aca="false" t="array" ref="AQ50:AQ50">IF(AP50="","",AP50*INDEX(Справочники!$B$4:$B$7,MATCH("RUB",Справочники!$A$4:$A$7,0)))</f>
        <v/>
      </c>
      <c r="AR50" s="90" t="str">
        <f aca="false">IF(AQ50="","",ROUND(AQ50*(1+Справочники!$B$12),0))</f>
        <v/>
      </c>
      <c r="AS50" s="90" t="str">
        <f aca="false">IF(AR50="","",ROUND(AR50*(1-Справочники!$B$11),0))</f>
        <v/>
      </c>
      <c r="AT50" s="88"/>
      <c r="AU50" s="90" t="str">
        <f aca="false">IF(AT50="","",ROUND(AT50/(1+Справочники!$B$12),0))</f>
        <v/>
      </c>
      <c r="AV50" s="90" t="str">
        <f aca="false">IF(AT50="","",ROUND(AT50*(1-Справочники!$B$15),0))</f>
        <v/>
      </c>
      <c r="AW50" s="90" t="str">
        <f aca="false">IF(AT50="","",ROUND(AT50*(1-Справочники!$B$16),0))</f>
        <v/>
      </c>
      <c r="AX50" s="90" t="str">
        <f aca="false">IF(AT50="","",ROUND(AT50*(1-Справочники!$B$17),0))</f>
        <v/>
      </c>
      <c r="AY50" s="90" t="str">
        <f aca="false">IF(AT50="","",ROUND(AT50*(1-Справочники!$B$18),0))</f>
        <v/>
      </c>
      <c r="AZ50" s="90" t="str">
        <f aca="false">IF(AT50="","",ROUND(AT50*(1-Справочники!$B$19),0))</f>
        <v/>
      </c>
      <c r="BA50" s="81"/>
      <c r="BB50" s="81"/>
      <c r="BC50" s="81"/>
      <c r="BD50" s="81"/>
      <c r="BE50" s="91"/>
      <c r="BF50" s="81" t="s">
        <v>103</v>
      </c>
      <c r="BG50" s="89" t="n">
        <f aca="false" t="array" ref="BG50:BG50">IF(BF50="","",IFERROR(INDEX(Справочники!$B$4:$B$7,MATCH(BF50,Справочники!$A$4:$A$7,0)),""))</f>
        <v>68.5</v>
      </c>
      <c r="BH50" s="90" t="str">
        <f aca="false">IF(N(BN50)&gt;0,ROUND(SUMIF(ЗАКАЗЫ!$F$3:$F$500,$A50,ЗАКАЗЫ!$Y$3:$Y$500)/BN50,0),IF(OR(BE50="",BG50=""),"",ROUND(BE50*BG50*(1+Справочники!$B$10),0)))</f>
        <v/>
      </c>
      <c r="BI50" s="92" t="str">
        <f aca="false">IF(OR(AU50="",BH50="",AU50=0),"",(AU50-BH50)/AU50)</f>
        <v/>
      </c>
      <c r="BJ50" s="81"/>
      <c r="BK50" s="83"/>
      <c r="BL50" s="43" t="str">
        <f aca="false">IFERROR(INDEX(ЗАКАЗЫ!$N$3:$N$500,MATCH($A50,ЗАКАЗЫ!$F$3:$F$500,0)),"")</f>
        <v/>
      </c>
      <c r="BM50" s="8" t="str">
        <f aca="false">IF(BL50="","",IFERROR(VLOOKUP(BL50,'ТН ВЭД'!$A$4:$C$40,3,0),""))</f>
        <v/>
      </c>
      <c r="BN50" s="7" t="str">
        <f aca="false">IF(COUNTIF(ЗАКАЗЫ!$F$3:$F$500,$A50)=0,"",SUMIF(ЗАКАЗЫ!$F$3:$F$500,$A50,ЗАКАЗЫ!$J$3:$J$500))</f>
        <v/>
      </c>
      <c r="BO50" s="7" t="str">
        <f aca="false">IF(BN50="","",SUMIF(ЗАКАЗЫ!$F$3:$F$500,$A50,ЗАКАЗЫ!$AL$3:$AL$500))</f>
        <v/>
      </c>
      <c r="BP50" s="7" t="str">
        <f aca="false">IF(BN50="","",BN50-BO50)</f>
        <v/>
      </c>
      <c r="BQ50" s="55" t="str">
        <f aca="false">IF(BN50="","",IF(BO50&gt;=BN50,"На складе",IF(BO50&gt;0,"Частично","Ждём")))</f>
        <v/>
      </c>
      <c r="BR50" s="43"/>
      <c r="BS50" s="47" t="str">
        <f aca="false">IF(BN50="","",IF(_xlfn.MAXIFS(ЗАКАЗЫ!$AK$3:$AK$500,ЗАКАЗЫ!$F$3:$F$500,$A50)=0,"",_xlfn.MAXIFS(ЗАКАЗЫ!$AK$3:$AK$500,ЗАКАЗЫ!$F$3:$F$500,$A50)))</f>
        <v/>
      </c>
    </row>
    <row r="51" customFormat="false" ht="15.75" hidden="false" customHeight="true" outlineLevel="0" collapsed="false">
      <c r="A51" s="80" t="s">
        <v>525</v>
      </c>
      <c r="B51" s="81"/>
      <c r="C51" s="81"/>
      <c r="D51" s="81"/>
      <c r="E51" s="83"/>
      <c r="F51" s="81"/>
      <c r="G51" s="83"/>
      <c r="H51" s="83"/>
      <c r="I51" s="84" t="str">
        <f aca="false">IF(E51="","",A51&amp;"_1.jpg")</f>
        <v/>
      </c>
      <c r="J51" s="84" t="str">
        <f aca="false">IF(E51="","",A51&amp;"_2.jpg; "&amp;A51&amp;"_3.jpg")</f>
        <v/>
      </c>
      <c r="K51" s="84" t="str">
        <f aca="false">IF(E51="","",A51&amp;"_schema.jpg")</f>
        <v/>
      </c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 t="s">
        <v>261</v>
      </c>
      <c r="W51" s="81"/>
      <c r="X51" s="81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6" t="str">
        <f aca="false">IF(SUM(Y51:AJ51)=0,"",SUM(Y51:AJ51))</f>
        <v/>
      </c>
      <c r="AL51" s="84" t="str">
        <f aca="false">MID(IF(N(Y51)&gt;0,", "&amp;Y$2,"")&amp;IF(N(Z51)&gt;0,", "&amp;Z$2,"")&amp;IF(N(AA51)&gt;0,", "&amp;AA$2,"")&amp;IF(N(AB51)&gt;0,", "&amp;AB$2,"")&amp;IF(N(AC51)&gt;0,", "&amp;AC$2,"")&amp;IF(N(AD51)&gt;0,", "&amp;AD$2,"")&amp;IF(N(AE51)&gt;0,", "&amp;AE$2,"")&amp;IF(N(AF51)&gt;0,", "&amp;AF$2,"")&amp;IF(N(AG51)&gt;0,", "&amp;AG$2,"")&amp;IF(N(AH51)&gt;0,", "&amp;AH$2,"")&amp;IF(N(AI51)&gt;0,", "&amp;AI$2,"")&amp;IF(N(AJ51)&gt;0,", "&amp;AJ$2,""),3,999)</f>
        <v/>
      </c>
      <c r="AM51" s="87" t="str">
        <f aca="false">IF(E51="","",MID(IF(N(Y51)&gt;0,", "&amp;A51&amp;"-"&amp;Y$2,"")&amp;IF(N(Z51)&gt;0,", "&amp;A51&amp;"-"&amp;Z$2,"")&amp;IF(N(AA51)&gt;0,", "&amp;A51&amp;"-"&amp;AA$2,"")&amp;IF(N(AB51)&gt;0,", "&amp;A51&amp;"-"&amp;AB$2,"")&amp;IF(N(AC51)&gt;0,", "&amp;A51&amp;"-"&amp;AC$2,"")&amp;IF(N(AD51)&gt;0,", "&amp;A51&amp;"-"&amp;AD$2,"")&amp;IF(N(AE51)&gt;0,", "&amp;A51&amp;"-"&amp;AE$2,"")&amp;IF(N(AF51)&gt;0,", "&amp;A51&amp;"-"&amp;AF$2,"")&amp;IF(N(AG51)&gt;0,", "&amp;A51&amp;"-"&amp;AG$2,"")&amp;IF(N(AH51)&gt;0,", "&amp;A51&amp;"-"&amp;AH$2,"")&amp;IF(N(AI51)&gt;0,", "&amp;A51&amp;"-"&amp;AI$2,"")&amp;IF(N(AJ51)&gt;0,", "&amp;A51&amp;"-"&amp;AJ$2,""),3,999))</f>
        <v/>
      </c>
      <c r="AN51" s="81"/>
      <c r="AO51" s="88"/>
      <c r="AP51" s="89" t="str">
        <f aca="false">IF(AO51="","",ROUND(AO51/(1+Справочники!$B$13),2))</f>
        <v/>
      </c>
      <c r="AQ51" s="90" t="str">
        <f aca="false" t="array" ref="AQ51:AQ51">IF(AP51="","",AP51*INDEX(Справочники!$B$4:$B$7,MATCH("RUB",Справочники!$A$4:$A$7,0)))</f>
        <v/>
      </c>
      <c r="AR51" s="90" t="str">
        <f aca="false">IF(AQ51="","",ROUND(AQ51*(1+Справочники!$B$12),0))</f>
        <v/>
      </c>
      <c r="AS51" s="90" t="str">
        <f aca="false">IF(AR51="","",ROUND(AR51*(1-Справочники!$B$11),0))</f>
        <v/>
      </c>
      <c r="AT51" s="88"/>
      <c r="AU51" s="90" t="str">
        <f aca="false">IF(AT51="","",ROUND(AT51/(1+Справочники!$B$12),0))</f>
        <v/>
      </c>
      <c r="AV51" s="90" t="str">
        <f aca="false">IF(AT51="","",ROUND(AT51*(1-Справочники!$B$15),0))</f>
        <v/>
      </c>
      <c r="AW51" s="90" t="str">
        <f aca="false">IF(AT51="","",ROUND(AT51*(1-Справочники!$B$16),0))</f>
        <v/>
      </c>
      <c r="AX51" s="90" t="str">
        <f aca="false">IF(AT51="","",ROUND(AT51*(1-Справочники!$B$17),0))</f>
        <v/>
      </c>
      <c r="AY51" s="90" t="str">
        <f aca="false">IF(AT51="","",ROUND(AT51*(1-Справочники!$B$18),0))</f>
        <v/>
      </c>
      <c r="AZ51" s="90" t="str">
        <f aca="false">IF(AT51="","",ROUND(AT51*(1-Справочники!$B$19),0))</f>
        <v/>
      </c>
      <c r="BA51" s="81"/>
      <c r="BB51" s="81"/>
      <c r="BC51" s="81"/>
      <c r="BD51" s="81"/>
      <c r="BE51" s="91"/>
      <c r="BF51" s="81" t="s">
        <v>103</v>
      </c>
      <c r="BG51" s="89" t="n">
        <f aca="false" t="array" ref="BG51:BG51">IF(BF51="","",IFERROR(INDEX(Справочники!$B$4:$B$7,MATCH(BF51,Справочники!$A$4:$A$7,0)),""))</f>
        <v>68.5</v>
      </c>
      <c r="BH51" s="90" t="str">
        <f aca="false">IF(N(BN51)&gt;0,ROUND(SUMIF(ЗАКАЗЫ!$F$3:$F$500,$A51,ЗАКАЗЫ!$Y$3:$Y$500)/BN51,0),IF(OR(BE51="",BG51=""),"",ROUND(BE51*BG51*(1+Справочники!$B$10),0)))</f>
        <v/>
      </c>
      <c r="BI51" s="92" t="str">
        <f aca="false">IF(OR(AU51="",BH51="",AU51=0),"",(AU51-BH51)/AU51)</f>
        <v/>
      </c>
      <c r="BJ51" s="81"/>
      <c r="BK51" s="83"/>
      <c r="BL51" s="43" t="str">
        <f aca="false">IFERROR(INDEX(ЗАКАЗЫ!$N$3:$N$500,MATCH($A51,ЗАКАЗЫ!$F$3:$F$500,0)),"")</f>
        <v/>
      </c>
      <c r="BM51" s="8" t="str">
        <f aca="false">IF(BL51="","",IFERROR(VLOOKUP(BL51,'ТН ВЭД'!$A$4:$C$40,3,0),""))</f>
        <v/>
      </c>
      <c r="BN51" s="7" t="str">
        <f aca="false">IF(COUNTIF(ЗАКАЗЫ!$F$3:$F$500,$A51)=0,"",SUMIF(ЗАКАЗЫ!$F$3:$F$500,$A51,ЗАКАЗЫ!$J$3:$J$500))</f>
        <v/>
      </c>
      <c r="BO51" s="7" t="str">
        <f aca="false">IF(BN51="","",SUMIF(ЗАКАЗЫ!$F$3:$F$500,$A51,ЗАКАЗЫ!$AL$3:$AL$500))</f>
        <v/>
      </c>
      <c r="BP51" s="7" t="str">
        <f aca="false">IF(BN51="","",BN51-BO51)</f>
        <v/>
      </c>
      <c r="BQ51" s="55" t="str">
        <f aca="false">IF(BN51="","",IF(BO51&gt;=BN51,"На складе",IF(BO51&gt;0,"Частично","Ждём")))</f>
        <v/>
      </c>
      <c r="BR51" s="43"/>
      <c r="BS51" s="47" t="str">
        <f aca="false">IF(BN51="","",IF(_xlfn.MAXIFS(ЗАКАЗЫ!$AK$3:$AK$500,ЗАКАЗЫ!$F$3:$F$500,$A51)=0,"",_xlfn.MAXIFS(ЗАКАЗЫ!$AK$3:$AK$500,ЗАКАЗЫ!$F$3:$F$500,$A51)))</f>
        <v/>
      </c>
    </row>
    <row r="52" customFormat="false" ht="15.75" hidden="false" customHeight="true" outlineLevel="0" collapsed="false">
      <c r="A52" s="80" t="s">
        <v>526</v>
      </c>
      <c r="B52" s="81"/>
      <c r="C52" s="81"/>
      <c r="D52" s="81"/>
      <c r="E52" s="83"/>
      <c r="F52" s="81"/>
      <c r="G52" s="83"/>
      <c r="H52" s="83"/>
      <c r="I52" s="84" t="str">
        <f aca="false">IF(E52="","",A52&amp;"_1.jpg")</f>
        <v/>
      </c>
      <c r="J52" s="84" t="str">
        <f aca="false">IF(E52="","",A52&amp;"_2.jpg; "&amp;A52&amp;"_3.jpg")</f>
        <v/>
      </c>
      <c r="K52" s="84" t="str">
        <f aca="false">IF(E52="","",A52&amp;"_schema.jpg")</f>
        <v/>
      </c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 t="s">
        <v>261</v>
      </c>
      <c r="W52" s="81"/>
      <c r="X52" s="81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6" t="str">
        <f aca="false">IF(SUM(Y52:AJ52)=0,"",SUM(Y52:AJ52))</f>
        <v/>
      </c>
      <c r="AL52" s="84" t="str">
        <f aca="false">MID(IF(N(Y52)&gt;0,", "&amp;Y$2,"")&amp;IF(N(Z52)&gt;0,", "&amp;Z$2,"")&amp;IF(N(AA52)&gt;0,", "&amp;AA$2,"")&amp;IF(N(AB52)&gt;0,", "&amp;AB$2,"")&amp;IF(N(AC52)&gt;0,", "&amp;AC$2,"")&amp;IF(N(AD52)&gt;0,", "&amp;AD$2,"")&amp;IF(N(AE52)&gt;0,", "&amp;AE$2,"")&amp;IF(N(AF52)&gt;0,", "&amp;AF$2,"")&amp;IF(N(AG52)&gt;0,", "&amp;AG$2,"")&amp;IF(N(AH52)&gt;0,", "&amp;AH$2,"")&amp;IF(N(AI52)&gt;0,", "&amp;AI$2,"")&amp;IF(N(AJ52)&gt;0,", "&amp;AJ$2,""),3,999)</f>
        <v/>
      </c>
      <c r="AM52" s="87" t="str">
        <f aca="false">IF(E52="","",MID(IF(N(Y52)&gt;0,", "&amp;A52&amp;"-"&amp;Y$2,"")&amp;IF(N(Z52)&gt;0,", "&amp;A52&amp;"-"&amp;Z$2,"")&amp;IF(N(AA52)&gt;0,", "&amp;A52&amp;"-"&amp;AA$2,"")&amp;IF(N(AB52)&gt;0,", "&amp;A52&amp;"-"&amp;AB$2,"")&amp;IF(N(AC52)&gt;0,", "&amp;A52&amp;"-"&amp;AC$2,"")&amp;IF(N(AD52)&gt;0,", "&amp;A52&amp;"-"&amp;AD$2,"")&amp;IF(N(AE52)&gt;0,", "&amp;A52&amp;"-"&amp;AE$2,"")&amp;IF(N(AF52)&gt;0,", "&amp;A52&amp;"-"&amp;AF$2,"")&amp;IF(N(AG52)&gt;0,", "&amp;A52&amp;"-"&amp;AG$2,"")&amp;IF(N(AH52)&gt;0,", "&amp;A52&amp;"-"&amp;AH$2,"")&amp;IF(N(AI52)&gt;0,", "&amp;A52&amp;"-"&amp;AI$2,"")&amp;IF(N(AJ52)&gt;0,", "&amp;A52&amp;"-"&amp;AJ$2,""),3,999))</f>
        <v/>
      </c>
      <c r="AN52" s="81"/>
      <c r="AO52" s="88"/>
      <c r="AP52" s="89" t="str">
        <f aca="false">IF(AO52="","",ROUND(AO52/(1+Справочники!$B$13),2))</f>
        <v/>
      </c>
      <c r="AQ52" s="90" t="str">
        <f aca="false" t="array" ref="AQ52:AQ52">IF(AP52="","",AP52*INDEX(Справочники!$B$4:$B$7,MATCH("RUB",Справочники!$A$4:$A$7,0)))</f>
        <v/>
      </c>
      <c r="AR52" s="90" t="str">
        <f aca="false">IF(AQ52="","",ROUND(AQ52*(1+Справочники!$B$12),0))</f>
        <v/>
      </c>
      <c r="AS52" s="90" t="str">
        <f aca="false">IF(AR52="","",ROUND(AR52*(1-Справочники!$B$11),0))</f>
        <v/>
      </c>
      <c r="AT52" s="88"/>
      <c r="AU52" s="90" t="str">
        <f aca="false">IF(AT52="","",ROUND(AT52/(1+Справочники!$B$12),0))</f>
        <v/>
      </c>
      <c r="AV52" s="90" t="str">
        <f aca="false">IF(AT52="","",ROUND(AT52*(1-Справочники!$B$15),0))</f>
        <v/>
      </c>
      <c r="AW52" s="90" t="str">
        <f aca="false">IF(AT52="","",ROUND(AT52*(1-Справочники!$B$16),0))</f>
        <v/>
      </c>
      <c r="AX52" s="90" t="str">
        <f aca="false">IF(AT52="","",ROUND(AT52*(1-Справочники!$B$17),0))</f>
        <v/>
      </c>
      <c r="AY52" s="90" t="str">
        <f aca="false">IF(AT52="","",ROUND(AT52*(1-Справочники!$B$18),0))</f>
        <v/>
      </c>
      <c r="AZ52" s="90" t="str">
        <f aca="false">IF(AT52="","",ROUND(AT52*(1-Справочники!$B$19),0))</f>
        <v/>
      </c>
      <c r="BA52" s="81"/>
      <c r="BB52" s="81"/>
      <c r="BC52" s="81"/>
      <c r="BD52" s="81"/>
      <c r="BE52" s="91"/>
      <c r="BF52" s="81" t="s">
        <v>103</v>
      </c>
      <c r="BG52" s="89" t="n">
        <f aca="false" t="array" ref="BG52:BG52">IF(BF52="","",IFERROR(INDEX(Справочники!$B$4:$B$7,MATCH(BF52,Справочники!$A$4:$A$7,0)),""))</f>
        <v>68.5</v>
      </c>
      <c r="BH52" s="90" t="str">
        <f aca="false">IF(N(BN52)&gt;0,ROUND(SUMIF(ЗАКАЗЫ!$F$3:$F$500,$A52,ЗАКАЗЫ!$Y$3:$Y$500)/BN52,0),IF(OR(BE52="",BG52=""),"",ROUND(BE52*BG52*(1+Справочники!$B$10),0)))</f>
        <v/>
      </c>
      <c r="BI52" s="92" t="str">
        <f aca="false">IF(OR(AU52="",BH52="",AU52=0),"",(AU52-BH52)/AU52)</f>
        <v/>
      </c>
      <c r="BJ52" s="81"/>
      <c r="BK52" s="83"/>
      <c r="BL52" s="43" t="str">
        <f aca="false">IFERROR(INDEX(ЗАКАЗЫ!$N$3:$N$500,MATCH($A52,ЗАКАЗЫ!$F$3:$F$500,0)),"")</f>
        <v/>
      </c>
      <c r="BM52" s="8" t="str">
        <f aca="false">IF(BL52="","",IFERROR(VLOOKUP(BL52,'ТН ВЭД'!$A$4:$C$40,3,0),""))</f>
        <v/>
      </c>
      <c r="BN52" s="7" t="str">
        <f aca="false">IF(COUNTIF(ЗАКАЗЫ!$F$3:$F$500,$A52)=0,"",SUMIF(ЗАКАЗЫ!$F$3:$F$500,$A52,ЗАКАЗЫ!$J$3:$J$500))</f>
        <v/>
      </c>
      <c r="BO52" s="7" t="str">
        <f aca="false">IF(BN52="","",SUMIF(ЗАКАЗЫ!$F$3:$F$500,$A52,ЗАКАЗЫ!$AL$3:$AL$500))</f>
        <v/>
      </c>
      <c r="BP52" s="7" t="str">
        <f aca="false">IF(BN52="","",BN52-BO52)</f>
        <v/>
      </c>
      <c r="BQ52" s="55" t="str">
        <f aca="false">IF(BN52="","",IF(BO52&gt;=BN52,"На складе",IF(BO52&gt;0,"Частично","Ждём")))</f>
        <v/>
      </c>
      <c r="BR52" s="43"/>
      <c r="BS52" s="47" t="str">
        <f aca="false">IF(BN52="","",IF(_xlfn.MAXIFS(ЗАКАЗЫ!$AK$3:$AK$500,ЗАКАЗЫ!$F$3:$F$500,$A52)=0,"",_xlfn.MAXIFS(ЗАКАЗЫ!$AK$3:$AK$500,ЗАКАЗЫ!$F$3:$F$500,$A52)))</f>
        <v/>
      </c>
    </row>
    <row r="53" customFormat="false" ht="15.75" hidden="false" customHeight="true" outlineLevel="0" collapsed="false">
      <c r="A53" s="80" t="s">
        <v>527</v>
      </c>
      <c r="B53" s="81"/>
      <c r="C53" s="81"/>
      <c r="D53" s="81"/>
      <c r="E53" s="83"/>
      <c r="F53" s="81"/>
      <c r="G53" s="83"/>
      <c r="H53" s="83"/>
      <c r="I53" s="84" t="str">
        <f aca="false">IF(E53="","",A53&amp;"_1.jpg")</f>
        <v/>
      </c>
      <c r="J53" s="84" t="str">
        <f aca="false">IF(E53="","",A53&amp;"_2.jpg; "&amp;A53&amp;"_3.jpg")</f>
        <v/>
      </c>
      <c r="K53" s="84" t="str">
        <f aca="false">IF(E53="","",A53&amp;"_schema.jpg")</f>
        <v/>
      </c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 t="s">
        <v>261</v>
      </c>
      <c r="W53" s="81"/>
      <c r="X53" s="81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6" t="str">
        <f aca="false">IF(SUM(Y53:AJ53)=0,"",SUM(Y53:AJ53))</f>
        <v/>
      </c>
      <c r="AL53" s="84" t="str">
        <f aca="false">MID(IF(N(Y53)&gt;0,", "&amp;Y$2,"")&amp;IF(N(Z53)&gt;0,", "&amp;Z$2,"")&amp;IF(N(AA53)&gt;0,", "&amp;AA$2,"")&amp;IF(N(AB53)&gt;0,", "&amp;AB$2,"")&amp;IF(N(AC53)&gt;0,", "&amp;AC$2,"")&amp;IF(N(AD53)&gt;0,", "&amp;AD$2,"")&amp;IF(N(AE53)&gt;0,", "&amp;AE$2,"")&amp;IF(N(AF53)&gt;0,", "&amp;AF$2,"")&amp;IF(N(AG53)&gt;0,", "&amp;AG$2,"")&amp;IF(N(AH53)&gt;0,", "&amp;AH$2,"")&amp;IF(N(AI53)&gt;0,", "&amp;AI$2,"")&amp;IF(N(AJ53)&gt;0,", "&amp;AJ$2,""),3,999)</f>
        <v/>
      </c>
      <c r="AM53" s="87" t="str">
        <f aca="false">IF(E53="","",MID(IF(N(Y53)&gt;0,", "&amp;A53&amp;"-"&amp;Y$2,"")&amp;IF(N(Z53)&gt;0,", "&amp;A53&amp;"-"&amp;Z$2,"")&amp;IF(N(AA53)&gt;0,", "&amp;A53&amp;"-"&amp;AA$2,"")&amp;IF(N(AB53)&gt;0,", "&amp;A53&amp;"-"&amp;AB$2,"")&amp;IF(N(AC53)&gt;0,", "&amp;A53&amp;"-"&amp;AC$2,"")&amp;IF(N(AD53)&gt;0,", "&amp;A53&amp;"-"&amp;AD$2,"")&amp;IF(N(AE53)&gt;0,", "&amp;A53&amp;"-"&amp;AE$2,"")&amp;IF(N(AF53)&gt;0,", "&amp;A53&amp;"-"&amp;AF$2,"")&amp;IF(N(AG53)&gt;0,", "&amp;A53&amp;"-"&amp;AG$2,"")&amp;IF(N(AH53)&gt;0,", "&amp;A53&amp;"-"&amp;AH$2,"")&amp;IF(N(AI53)&gt;0,", "&amp;A53&amp;"-"&amp;AI$2,"")&amp;IF(N(AJ53)&gt;0,", "&amp;A53&amp;"-"&amp;AJ$2,""),3,999))</f>
        <v/>
      </c>
      <c r="AN53" s="81"/>
      <c r="AO53" s="88"/>
      <c r="AP53" s="89" t="str">
        <f aca="false">IF(AO53="","",ROUND(AO53/(1+Справочники!$B$13),2))</f>
        <v/>
      </c>
      <c r="AQ53" s="90" t="str">
        <f aca="false" t="array" ref="AQ53:AQ53">IF(AP53="","",AP53*INDEX(Справочники!$B$4:$B$7,MATCH("RUB",Справочники!$A$4:$A$7,0)))</f>
        <v/>
      </c>
      <c r="AR53" s="90" t="str">
        <f aca="false">IF(AQ53="","",ROUND(AQ53*(1+Справочники!$B$12),0))</f>
        <v/>
      </c>
      <c r="AS53" s="90" t="str">
        <f aca="false">IF(AR53="","",ROUND(AR53*(1-Справочники!$B$11),0))</f>
        <v/>
      </c>
      <c r="AT53" s="88"/>
      <c r="AU53" s="90" t="str">
        <f aca="false">IF(AT53="","",ROUND(AT53/(1+Справочники!$B$12),0))</f>
        <v/>
      </c>
      <c r="AV53" s="90" t="str">
        <f aca="false">IF(AT53="","",ROUND(AT53*(1-Справочники!$B$15),0))</f>
        <v/>
      </c>
      <c r="AW53" s="90" t="str">
        <f aca="false">IF(AT53="","",ROUND(AT53*(1-Справочники!$B$16),0))</f>
        <v/>
      </c>
      <c r="AX53" s="90" t="str">
        <f aca="false">IF(AT53="","",ROUND(AT53*(1-Справочники!$B$17),0))</f>
        <v/>
      </c>
      <c r="AY53" s="90" t="str">
        <f aca="false">IF(AT53="","",ROUND(AT53*(1-Справочники!$B$18),0))</f>
        <v/>
      </c>
      <c r="AZ53" s="90" t="str">
        <f aca="false">IF(AT53="","",ROUND(AT53*(1-Справочники!$B$19),0))</f>
        <v/>
      </c>
      <c r="BA53" s="81"/>
      <c r="BB53" s="81"/>
      <c r="BC53" s="81"/>
      <c r="BD53" s="81"/>
      <c r="BE53" s="91"/>
      <c r="BF53" s="81" t="s">
        <v>103</v>
      </c>
      <c r="BG53" s="89" t="n">
        <f aca="false" t="array" ref="BG53:BG53">IF(BF53="","",IFERROR(INDEX(Справочники!$B$4:$B$7,MATCH(BF53,Справочники!$A$4:$A$7,0)),""))</f>
        <v>68.5</v>
      </c>
      <c r="BH53" s="90" t="str">
        <f aca="false">IF(N(BN53)&gt;0,ROUND(SUMIF(ЗАКАЗЫ!$F$3:$F$500,$A53,ЗАКАЗЫ!$Y$3:$Y$500)/BN53,0),IF(OR(BE53="",BG53=""),"",ROUND(BE53*BG53*(1+Справочники!$B$10),0)))</f>
        <v/>
      </c>
      <c r="BI53" s="92" t="str">
        <f aca="false">IF(OR(AU53="",BH53="",AU53=0),"",(AU53-BH53)/AU53)</f>
        <v/>
      </c>
      <c r="BJ53" s="81"/>
      <c r="BK53" s="83"/>
      <c r="BL53" s="43" t="str">
        <f aca="false">IFERROR(INDEX(ЗАКАЗЫ!$N$3:$N$500,MATCH($A53,ЗАКАЗЫ!$F$3:$F$500,0)),"")</f>
        <v/>
      </c>
      <c r="BM53" s="8" t="str">
        <f aca="false">IF(BL53="","",IFERROR(VLOOKUP(BL53,'ТН ВЭД'!$A$4:$C$40,3,0),""))</f>
        <v/>
      </c>
      <c r="BN53" s="7" t="str">
        <f aca="false">IF(COUNTIF(ЗАКАЗЫ!$F$3:$F$500,$A53)=0,"",SUMIF(ЗАКАЗЫ!$F$3:$F$500,$A53,ЗАКАЗЫ!$J$3:$J$500))</f>
        <v/>
      </c>
      <c r="BO53" s="7" t="str">
        <f aca="false">IF(BN53="","",SUMIF(ЗАКАЗЫ!$F$3:$F$500,$A53,ЗАКАЗЫ!$AL$3:$AL$500))</f>
        <v/>
      </c>
      <c r="BP53" s="7" t="str">
        <f aca="false">IF(BN53="","",BN53-BO53)</f>
        <v/>
      </c>
      <c r="BQ53" s="55" t="str">
        <f aca="false">IF(BN53="","",IF(BO53&gt;=BN53,"На складе",IF(BO53&gt;0,"Частично","Ждём")))</f>
        <v/>
      </c>
      <c r="BR53" s="43"/>
      <c r="BS53" s="47" t="str">
        <f aca="false">IF(BN53="","",IF(_xlfn.MAXIFS(ЗАКАЗЫ!$AK$3:$AK$500,ЗАКАЗЫ!$F$3:$F$500,$A53)=0,"",_xlfn.MAXIFS(ЗАКАЗЫ!$AK$3:$AK$500,ЗАКАЗЫ!$F$3:$F$500,$A53)))</f>
        <v/>
      </c>
    </row>
    <row r="54" customFormat="false" ht="15.75" hidden="false" customHeight="true" outlineLevel="0" collapsed="false">
      <c r="A54" s="80" t="s">
        <v>528</v>
      </c>
      <c r="B54" s="81"/>
      <c r="C54" s="81"/>
      <c r="D54" s="81"/>
      <c r="E54" s="83"/>
      <c r="F54" s="81"/>
      <c r="G54" s="83"/>
      <c r="H54" s="83"/>
      <c r="I54" s="84" t="str">
        <f aca="false">IF(E54="","",A54&amp;"_1.jpg")</f>
        <v/>
      </c>
      <c r="J54" s="84" t="str">
        <f aca="false">IF(E54="","",A54&amp;"_2.jpg; "&amp;A54&amp;"_3.jpg")</f>
        <v/>
      </c>
      <c r="K54" s="84" t="str">
        <f aca="false">IF(E54="","",A54&amp;"_schema.jpg")</f>
        <v/>
      </c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 t="s">
        <v>261</v>
      </c>
      <c r="W54" s="81"/>
      <c r="X54" s="81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6" t="str">
        <f aca="false">IF(SUM(Y54:AJ54)=0,"",SUM(Y54:AJ54))</f>
        <v/>
      </c>
      <c r="AL54" s="84" t="str">
        <f aca="false">MID(IF(N(Y54)&gt;0,", "&amp;Y$2,"")&amp;IF(N(Z54)&gt;0,", "&amp;Z$2,"")&amp;IF(N(AA54)&gt;0,", "&amp;AA$2,"")&amp;IF(N(AB54)&gt;0,", "&amp;AB$2,"")&amp;IF(N(AC54)&gt;0,", "&amp;AC$2,"")&amp;IF(N(AD54)&gt;0,", "&amp;AD$2,"")&amp;IF(N(AE54)&gt;0,", "&amp;AE$2,"")&amp;IF(N(AF54)&gt;0,", "&amp;AF$2,"")&amp;IF(N(AG54)&gt;0,", "&amp;AG$2,"")&amp;IF(N(AH54)&gt;0,", "&amp;AH$2,"")&amp;IF(N(AI54)&gt;0,", "&amp;AI$2,"")&amp;IF(N(AJ54)&gt;0,", "&amp;AJ$2,""),3,999)</f>
        <v/>
      </c>
      <c r="AM54" s="87" t="str">
        <f aca="false">IF(E54="","",MID(IF(N(Y54)&gt;0,", "&amp;A54&amp;"-"&amp;Y$2,"")&amp;IF(N(Z54)&gt;0,", "&amp;A54&amp;"-"&amp;Z$2,"")&amp;IF(N(AA54)&gt;0,", "&amp;A54&amp;"-"&amp;AA$2,"")&amp;IF(N(AB54)&gt;0,", "&amp;A54&amp;"-"&amp;AB$2,"")&amp;IF(N(AC54)&gt;0,", "&amp;A54&amp;"-"&amp;AC$2,"")&amp;IF(N(AD54)&gt;0,", "&amp;A54&amp;"-"&amp;AD$2,"")&amp;IF(N(AE54)&gt;0,", "&amp;A54&amp;"-"&amp;AE$2,"")&amp;IF(N(AF54)&gt;0,", "&amp;A54&amp;"-"&amp;AF$2,"")&amp;IF(N(AG54)&gt;0,", "&amp;A54&amp;"-"&amp;AG$2,"")&amp;IF(N(AH54)&gt;0,", "&amp;A54&amp;"-"&amp;AH$2,"")&amp;IF(N(AI54)&gt;0,", "&amp;A54&amp;"-"&amp;AI$2,"")&amp;IF(N(AJ54)&gt;0,", "&amp;A54&amp;"-"&amp;AJ$2,""),3,999))</f>
        <v/>
      </c>
      <c r="AN54" s="81"/>
      <c r="AO54" s="88"/>
      <c r="AP54" s="89" t="str">
        <f aca="false">IF(AO54="","",ROUND(AO54/(1+Справочники!$B$13),2))</f>
        <v/>
      </c>
      <c r="AQ54" s="90" t="str">
        <f aca="false" t="array" ref="AQ54:AQ54">IF(AP54="","",AP54*INDEX(Справочники!$B$4:$B$7,MATCH("RUB",Справочники!$A$4:$A$7,0)))</f>
        <v/>
      </c>
      <c r="AR54" s="90" t="str">
        <f aca="false">IF(AQ54="","",ROUND(AQ54*(1+Справочники!$B$12),0))</f>
        <v/>
      </c>
      <c r="AS54" s="90" t="str">
        <f aca="false">IF(AR54="","",ROUND(AR54*(1-Справочники!$B$11),0))</f>
        <v/>
      </c>
      <c r="AT54" s="88"/>
      <c r="AU54" s="90" t="str">
        <f aca="false">IF(AT54="","",ROUND(AT54/(1+Справочники!$B$12),0))</f>
        <v/>
      </c>
      <c r="AV54" s="90" t="str">
        <f aca="false">IF(AT54="","",ROUND(AT54*(1-Справочники!$B$15),0))</f>
        <v/>
      </c>
      <c r="AW54" s="90" t="str">
        <f aca="false">IF(AT54="","",ROUND(AT54*(1-Справочники!$B$16),0))</f>
        <v/>
      </c>
      <c r="AX54" s="90" t="str">
        <f aca="false">IF(AT54="","",ROUND(AT54*(1-Справочники!$B$17),0))</f>
        <v/>
      </c>
      <c r="AY54" s="90" t="str">
        <f aca="false">IF(AT54="","",ROUND(AT54*(1-Справочники!$B$18),0))</f>
        <v/>
      </c>
      <c r="AZ54" s="90" t="str">
        <f aca="false">IF(AT54="","",ROUND(AT54*(1-Справочники!$B$19),0))</f>
        <v/>
      </c>
      <c r="BA54" s="81"/>
      <c r="BB54" s="81"/>
      <c r="BC54" s="81"/>
      <c r="BD54" s="81"/>
      <c r="BE54" s="91"/>
      <c r="BF54" s="81" t="s">
        <v>103</v>
      </c>
      <c r="BG54" s="89" t="n">
        <f aca="false" t="array" ref="BG54:BG54">IF(BF54="","",IFERROR(INDEX(Справочники!$B$4:$B$7,MATCH(BF54,Справочники!$A$4:$A$7,0)),""))</f>
        <v>68.5</v>
      </c>
      <c r="BH54" s="90" t="str">
        <f aca="false">IF(N(BN54)&gt;0,ROUND(SUMIF(ЗАКАЗЫ!$F$3:$F$500,$A54,ЗАКАЗЫ!$Y$3:$Y$500)/BN54,0),IF(OR(BE54="",BG54=""),"",ROUND(BE54*BG54*(1+Справочники!$B$10),0)))</f>
        <v/>
      </c>
      <c r="BI54" s="92" t="str">
        <f aca="false">IF(OR(AU54="",BH54="",AU54=0),"",(AU54-BH54)/AU54)</f>
        <v/>
      </c>
      <c r="BJ54" s="81"/>
      <c r="BK54" s="83"/>
      <c r="BL54" s="43" t="str">
        <f aca="false">IFERROR(INDEX(ЗАКАЗЫ!$N$3:$N$500,MATCH($A54,ЗАКАЗЫ!$F$3:$F$500,0)),"")</f>
        <v/>
      </c>
      <c r="BM54" s="8" t="str">
        <f aca="false">IF(BL54="","",IFERROR(VLOOKUP(BL54,'ТН ВЭД'!$A$4:$C$40,3,0),""))</f>
        <v/>
      </c>
      <c r="BN54" s="7" t="str">
        <f aca="false">IF(COUNTIF(ЗАКАЗЫ!$F$3:$F$500,$A54)=0,"",SUMIF(ЗАКАЗЫ!$F$3:$F$500,$A54,ЗАКАЗЫ!$J$3:$J$500))</f>
        <v/>
      </c>
      <c r="BO54" s="7" t="str">
        <f aca="false">IF(BN54="","",SUMIF(ЗАКАЗЫ!$F$3:$F$500,$A54,ЗАКАЗЫ!$AL$3:$AL$500))</f>
        <v/>
      </c>
      <c r="BP54" s="7" t="str">
        <f aca="false">IF(BN54="","",BN54-BO54)</f>
        <v/>
      </c>
      <c r="BQ54" s="55" t="str">
        <f aca="false">IF(BN54="","",IF(BO54&gt;=BN54,"На складе",IF(BO54&gt;0,"Частично","Ждём")))</f>
        <v/>
      </c>
      <c r="BR54" s="43"/>
      <c r="BS54" s="47" t="str">
        <f aca="false">IF(BN54="","",IF(_xlfn.MAXIFS(ЗАКАЗЫ!$AK$3:$AK$500,ЗАКАЗЫ!$F$3:$F$500,$A54)=0,"",_xlfn.MAXIFS(ЗАКАЗЫ!$AK$3:$AK$500,ЗАКАЗЫ!$F$3:$F$500,$A54)))</f>
        <v/>
      </c>
    </row>
    <row r="55" customFormat="false" ht="15.75" hidden="false" customHeight="true" outlineLevel="0" collapsed="false">
      <c r="A55" s="80" t="s">
        <v>529</v>
      </c>
      <c r="B55" s="81"/>
      <c r="C55" s="81"/>
      <c r="D55" s="81"/>
      <c r="E55" s="83"/>
      <c r="F55" s="81"/>
      <c r="G55" s="83"/>
      <c r="H55" s="83"/>
      <c r="I55" s="84" t="str">
        <f aca="false">IF(E55="","",A55&amp;"_1.jpg")</f>
        <v/>
      </c>
      <c r="J55" s="84" t="str">
        <f aca="false">IF(E55="","",A55&amp;"_2.jpg; "&amp;A55&amp;"_3.jpg")</f>
        <v/>
      </c>
      <c r="K55" s="84" t="str">
        <f aca="false">IF(E55="","",A55&amp;"_schema.jpg")</f>
        <v/>
      </c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 t="s">
        <v>261</v>
      </c>
      <c r="W55" s="81"/>
      <c r="X55" s="81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6" t="str">
        <f aca="false">IF(SUM(Y55:AJ55)=0,"",SUM(Y55:AJ55))</f>
        <v/>
      </c>
      <c r="AL55" s="84" t="str">
        <f aca="false">MID(IF(N(Y55)&gt;0,", "&amp;Y$2,"")&amp;IF(N(Z55)&gt;0,", "&amp;Z$2,"")&amp;IF(N(AA55)&gt;0,", "&amp;AA$2,"")&amp;IF(N(AB55)&gt;0,", "&amp;AB$2,"")&amp;IF(N(AC55)&gt;0,", "&amp;AC$2,"")&amp;IF(N(AD55)&gt;0,", "&amp;AD$2,"")&amp;IF(N(AE55)&gt;0,", "&amp;AE$2,"")&amp;IF(N(AF55)&gt;0,", "&amp;AF$2,"")&amp;IF(N(AG55)&gt;0,", "&amp;AG$2,"")&amp;IF(N(AH55)&gt;0,", "&amp;AH$2,"")&amp;IF(N(AI55)&gt;0,", "&amp;AI$2,"")&amp;IF(N(AJ55)&gt;0,", "&amp;AJ$2,""),3,999)</f>
        <v/>
      </c>
      <c r="AM55" s="87" t="str">
        <f aca="false">IF(E55="","",MID(IF(N(Y55)&gt;0,", "&amp;A55&amp;"-"&amp;Y$2,"")&amp;IF(N(Z55)&gt;0,", "&amp;A55&amp;"-"&amp;Z$2,"")&amp;IF(N(AA55)&gt;0,", "&amp;A55&amp;"-"&amp;AA$2,"")&amp;IF(N(AB55)&gt;0,", "&amp;A55&amp;"-"&amp;AB$2,"")&amp;IF(N(AC55)&gt;0,", "&amp;A55&amp;"-"&amp;AC$2,"")&amp;IF(N(AD55)&gt;0,", "&amp;A55&amp;"-"&amp;AD$2,"")&amp;IF(N(AE55)&gt;0,", "&amp;A55&amp;"-"&amp;AE$2,"")&amp;IF(N(AF55)&gt;0,", "&amp;A55&amp;"-"&amp;AF$2,"")&amp;IF(N(AG55)&gt;0,", "&amp;A55&amp;"-"&amp;AG$2,"")&amp;IF(N(AH55)&gt;0,", "&amp;A55&amp;"-"&amp;AH$2,"")&amp;IF(N(AI55)&gt;0,", "&amp;A55&amp;"-"&amp;AI$2,"")&amp;IF(N(AJ55)&gt;0,", "&amp;A55&amp;"-"&amp;AJ$2,""),3,999))</f>
        <v/>
      </c>
      <c r="AN55" s="81"/>
      <c r="AO55" s="88"/>
      <c r="AP55" s="89" t="str">
        <f aca="false">IF(AO55="","",ROUND(AO55/(1+Справочники!$B$13),2))</f>
        <v/>
      </c>
      <c r="AQ55" s="90" t="str">
        <f aca="false" t="array" ref="AQ55:AQ55">IF(AP55="","",AP55*INDEX(Справочники!$B$4:$B$7,MATCH("RUB",Справочники!$A$4:$A$7,0)))</f>
        <v/>
      </c>
      <c r="AR55" s="90" t="str">
        <f aca="false">IF(AQ55="","",ROUND(AQ55*(1+Справочники!$B$12),0))</f>
        <v/>
      </c>
      <c r="AS55" s="90" t="str">
        <f aca="false">IF(AR55="","",ROUND(AR55*(1-Справочники!$B$11),0))</f>
        <v/>
      </c>
      <c r="AT55" s="88"/>
      <c r="AU55" s="90" t="str">
        <f aca="false">IF(AT55="","",ROUND(AT55/(1+Справочники!$B$12),0))</f>
        <v/>
      </c>
      <c r="AV55" s="90" t="str">
        <f aca="false">IF(AT55="","",ROUND(AT55*(1-Справочники!$B$15),0))</f>
        <v/>
      </c>
      <c r="AW55" s="90" t="str">
        <f aca="false">IF(AT55="","",ROUND(AT55*(1-Справочники!$B$16),0))</f>
        <v/>
      </c>
      <c r="AX55" s="90" t="str">
        <f aca="false">IF(AT55="","",ROUND(AT55*(1-Справочники!$B$17),0))</f>
        <v/>
      </c>
      <c r="AY55" s="90" t="str">
        <f aca="false">IF(AT55="","",ROUND(AT55*(1-Справочники!$B$18),0))</f>
        <v/>
      </c>
      <c r="AZ55" s="90" t="str">
        <f aca="false">IF(AT55="","",ROUND(AT55*(1-Справочники!$B$19),0))</f>
        <v/>
      </c>
      <c r="BA55" s="81"/>
      <c r="BB55" s="81"/>
      <c r="BC55" s="81"/>
      <c r="BD55" s="81"/>
      <c r="BE55" s="91"/>
      <c r="BF55" s="81" t="s">
        <v>103</v>
      </c>
      <c r="BG55" s="89" t="n">
        <f aca="false" t="array" ref="BG55:BG55">IF(BF55="","",IFERROR(INDEX(Справочники!$B$4:$B$7,MATCH(BF55,Справочники!$A$4:$A$7,0)),""))</f>
        <v>68.5</v>
      </c>
      <c r="BH55" s="90" t="str">
        <f aca="false">IF(N(BN55)&gt;0,ROUND(SUMIF(ЗАКАЗЫ!$F$3:$F$500,$A55,ЗАКАЗЫ!$Y$3:$Y$500)/BN55,0),IF(OR(BE55="",BG55=""),"",ROUND(BE55*BG55*(1+Справочники!$B$10),0)))</f>
        <v/>
      </c>
      <c r="BI55" s="92" t="str">
        <f aca="false">IF(OR(AU55="",BH55="",AU55=0),"",(AU55-BH55)/AU55)</f>
        <v/>
      </c>
      <c r="BJ55" s="81"/>
      <c r="BK55" s="83"/>
      <c r="BL55" s="43" t="str">
        <f aca="false">IFERROR(INDEX(ЗАКАЗЫ!$N$3:$N$500,MATCH($A55,ЗАКАЗЫ!$F$3:$F$500,0)),"")</f>
        <v/>
      </c>
      <c r="BM55" s="8" t="str">
        <f aca="false">IF(BL55="","",IFERROR(VLOOKUP(BL55,'ТН ВЭД'!$A$4:$C$40,3,0),""))</f>
        <v/>
      </c>
      <c r="BN55" s="7" t="str">
        <f aca="false">IF(COUNTIF(ЗАКАЗЫ!$F$3:$F$500,$A55)=0,"",SUMIF(ЗАКАЗЫ!$F$3:$F$500,$A55,ЗАКАЗЫ!$J$3:$J$500))</f>
        <v/>
      </c>
      <c r="BO55" s="7" t="str">
        <f aca="false">IF(BN55="","",SUMIF(ЗАКАЗЫ!$F$3:$F$500,$A55,ЗАКАЗЫ!$AL$3:$AL$500))</f>
        <v/>
      </c>
      <c r="BP55" s="7" t="str">
        <f aca="false">IF(BN55="","",BN55-BO55)</f>
        <v/>
      </c>
      <c r="BQ55" s="55" t="str">
        <f aca="false">IF(BN55="","",IF(BO55&gt;=BN55,"На складе",IF(BO55&gt;0,"Частично","Ждём")))</f>
        <v/>
      </c>
      <c r="BR55" s="43"/>
      <c r="BS55" s="47" t="str">
        <f aca="false">IF(BN55="","",IF(_xlfn.MAXIFS(ЗАКАЗЫ!$AK$3:$AK$500,ЗАКАЗЫ!$F$3:$F$500,$A55)=0,"",_xlfn.MAXIFS(ЗАКАЗЫ!$AK$3:$AK$500,ЗАКАЗЫ!$F$3:$F$500,$A55)))</f>
        <v/>
      </c>
    </row>
    <row r="56" customFormat="false" ht="15.75" hidden="false" customHeight="true" outlineLevel="0" collapsed="false">
      <c r="A56" s="80" t="s">
        <v>530</v>
      </c>
      <c r="B56" s="81"/>
      <c r="C56" s="81"/>
      <c r="D56" s="81"/>
      <c r="E56" s="83"/>
      <c r="F56" s="81"/>
      <c r="G56" s="83"/>
      <c r="H56" s="83"/>
      <c r="I56" s="84" t="str">
        <f aca="false">IF(E56="","",A56&amp;"_1.jpg")</f>
        <v/>
      </c>
      <c r="J56" s="84" t="str">
        <f aca="false">IF(E56="","",A56&amp;"_2.jpg; "&amp;A56&amp;"_3.jpg")</f>
        <v/>
      </c>
      <c r="K56" s="84" t="str">
        <f aca="false">IF(E56="","",A56&amp;"_schema.jpg")</f>
        <v/>
      </c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 t="s">
        <v>261</v>
      </c>
      <c r="W56" s="81"/>
      <c r="X56" s="81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6" t="str">
        <f aca="false">IF(SUM(Y56:AJ56)=0,"",SUM(Y56:AJ56))</f>
        <v/>
      </c>
      <c r="AL56" s="84" t="str">
        <f aca="false">MID(IF(N(Y56)&gt;0,", "&amp;Y$2,"")&amp;IF(N(Z56)&gt;0,", "&amp;Z$2,"")&amp;IF(N(AA56)&gt;0,", "&amp;AA$2,"")&amp;IF(N(AB56)&gt;0,", "&amp;AB$2,"")&amp;IF(N(AC56)&gt;0,", "&amp;AC$2,"")&amp;IF(N(AD56)&gt;0,", "&amp;AD$2,"")&amp;IF(N(AE56)&gt;0,", "&amp;AE$2,"")&amp;IF(N(AF56)&gt;0,", "&amp;AF$2,"")&amp;IF(N(AG56)&gt;0,", "&amp;AG$2,"")&amp;IF(N(AH56)&gt;0,", "&amp;AH$2,"")&amp;IF(N(AI56)&gt;0,", "&amp;AI$2,"")&amp;IF(N(AJ56)&gt;0,", "&amp;AJ$2,""),3,999)</f>
        <v/>
      </c>
      <c r="AM56" s="87" t="str">
        <f aca="false">IF(E56="","",MID(IF(N(Y56)&gt;0,", "&amp;A56&amp;"-"&amp;Y$2,"")&amp;IF(N(Z56)&gt;0,", "&amp;A56&amp;"-"&amp;Z$2,"")&amp;IF(N(AA56)&gt;0,", "&amp;A56&amp;"-"&amp;AA$2,"")&amp;IF(N(AB56)&gt;0,", "&amp;A56&amp;"-"&amp;AB$2,"")&amp;IF(N(AC56)&gt;0,", "&amp;A56&amp;"-"&amp;AC$2,"")&amp;IF(N(AD56)&gt;0,", "&amp;A56&amp;"-"&amp;AD$2,"")&amp;IF(N(AE56)&gt;0,", "&amp;A56&amp;"-"&amp;AE$2,"")&amp;IF(N(AF56)&gt;0,", "&amp;A56&amp;"-"&amp;AF$2,"")&amp;IF(N(AG56)&gt;0,", "&amp;A56&amp;"-"&amp;AG$2,"")&amp;IF(N(AH56)&gt;0,", "&amp;A56&amp;"-"&amp;AH$2,"")&amp;IF(N(AI56)&gt;0,", "&amp;A56&amp;"-"&amp;AI$2,"")&amp;IF(N(AJ56)&gt;0,", "&amp;A56&amp;"-"&amp;AJ$2,""),3,999))</f>
        <v/>
      </c>
      <c r="AN56" s="81"/>
      <c r="AO56" s="88"/>
      <c r="AP56" s="89" t="str">
        <f aca="false">IF(AO56="","",ROUND(AO56/(1+Справочники!$B$13),2))</f>
        <v/>
      </c>
      <c r="AQ56" s="90" t="str">
        <f aca="false" t="array" ref="AQ56:AQ56">IF(AP56="","",AP56*INDEX(Справочники!$B$4:$B$7,MATCH("RUB",Справочники!$A$4:$A$7,0)))</f>
        <v/>
      </c>
      <c r="AR56" s="90" t="str">
        <f aca="false">IF(AQ56="","",ROUND(AQ56*(1+Справочники!$B$12),0))</f>
        <v/>
      </c>
      <c r="AS56" s="90" t="str">
        <f aca="false">IF(AR56="","",ROUND(AR56*(1-Справочники!$B$11),0))</f>
        <v/>
      </c>
      <c r="AT56" s="88"/>
      <c r="AU56" s="90" t="str">
        <f aca="false">IF(AT56="","",ROUND(AT56/(1+Справочники!$B$12),0))</f>
        <v/>
      </c>
      <c r="AV56" s="90" t="str">
        <f aca="false">IF(AT56="","",ROUND(AT56*(1-Справочники!$B$15),0))</f>
        <v/>
      </c>
      <c r="AW56" s="90" t="str">
        <f aca="false">IF(AT56="","",ROUND(AT56*(1-Справочники!$B$16),0))</f>
        <v/>
      </c>
      <c r="AX56" s="90" t="str">
        <f aca="false">IF(AT56="","",ROUND(AT56*(1-Справочники!$B$17),0))</f>
        <v/>
      </c>
      <c r="AY56" s="90" t="str">
        <f aca="false">IF(AT56="","",ROUND(AT56*(1-Справочники!$B$18),0))</f>
        <v/>
      </c>
      <c r="AZ56" s="90" t="str">
        <f aca="false">IF(AT56="","",ROUND(AT56*(1-Справочники!$B$19),0))</f>
        <v/>
      </c>
      <c r="BA56" s="81"/>
      <c r="BB56" s="81"/>
      <c r="BC56" s="81"/>
      <c r="BD56" s="81"/>
      <c r="BE56" s="91"/>
      <c r="BF56" s="81" t="s">
        <v>103</v>
      </c>
      <c r="BG56" s="89" t="n">
        <f aca="false" t="array" ref="BG56:BG56">IF(BF56="","",IFERROR(INDEX(Справочники!$B$4:$B$7,MATCH(BF56,Справочники!$A$4:$A$7,0)),""))</f>
        <v>68.5</v>
      </c>
      <c r="BH56" s="90" t="str">
        <f aca="false">IF(N(BN56)&gt;0,ROUND(SUMIF(ЗАКАЗЫ!$F$3:$F$500,$A56,ЗАКАЗЫ!$Y$3:$Y$500)/BN56,0),IF(OR(BE56="",BG56=""),"",ROUND(BE56*BG56*(1+Справочники!$B$10),0)))</f>
        <v/>
      </c>
      <c r="BI56" s="92" t="str">
        <f aca="false">IF(OR(AU56="",BH56="",AU56=0),"",(AU56-BH56)/AU56)</f>
        <v/>
      </c>
      <c r="BJ56" s="81"/>
      <c r="BK56" s="83"/>
      <c r="BL56" s="43" t="str">
        <f aca="false">IFERROR(INDEX(ЗАКАЗЫ!$N$3:$N$500,MATCH($A56,ЗАКАЗЫ!$F$3:$F$500,0)),"")</f>
        <v/>
      </c>
      <c r="BM56" s="8" t="str">
        <f aca="false">IF(BL56="","",IFERROR(VLOOKUP(BL56,'ТН ВЭД'!$A$4:$C$40,3,0),""))</f>
        <v/>
      </c>
      <c r="BN56" s="7" t="str">
        <f aca="false">IF(COUNTIF(ЗАКАЗЫ!$F$3:$F$500,$A56)=0,"",SUMIF(ЗАКАЗЫ!$F$3:$F$500,$A56,ЗАКАЗЫ!$J$3:$J$500))</f>
        <v/>
      </c>
      <c r="BO56" s="7" t="str">
        <f aca="false">IF(BN56="","",SUMIF(ЗАКАЗЫ!$F$3:$F$500,$A56,ЗАКАЗЫ!$AL$3:$AL$500))</f>
        <v/>
      </c>
      <c r="BP56" s="7" t="str">
        <f aca="false">IF(BN56="","",BN56-BO56)</f>
        <v/>
      </c>
      <c r="BQ56" s="55" t="str">
        <f aca="false">IF(BN56="","",IF(BO56&gt;=BN56,"На складе",IF(BO56&gt;0,"Частично","Ждём")))</f>
        <v/>
      </c>
      <c r="BR56" s="43"/>
      <c r="BS56" s="47" t="str">
        <f aca="false">IF(BN56="","",IF(_xlfn.MAXIFS(ЗАКАЗЫ!$AK$3:$AK$500,ЗАКАЗЫ!$F$3:$F$500,$A56)=0,"",_xlfn.MAXIFS(ЗАКАЗЫ!$AK$3:$AK$500,ЗАКАЗЫ!$F$3:$F$500,$A56)))</f>
        <v/>
      </c>
    </row>
    <row r="57" customFormat="false" ht="15.75" hidden="false" customHeight="true" outlineLevel="0" collapsed="false">
      <c r="A57" s="80" t="s">
        <v>531</v>
      </c>
      <c r="B57" s="81"/>
      <c r="C57" s="81"/>
      <c r="D57" s="81"/>
      <c r="E57" s="83"/>
      <c r="F57" s="81"/>
      <c r="G57" s="83"/>
      <c r="H57" s="83"/>
      <c r="I57" s="84" t="str">
        <f aca="false">IF(E57="","",A57&amp;"_1.jpg")</f>
        <v/>
      </c>
      <c r="J57" s="84" t="str">
        <f aca="false">IF(E57="","",A57&amp;"_2.jpg; "&amp;A57&amp;"_3.jpg")</f>
        <v/>
      </c>
      <c r="K57" s="84" t="str">
        <f aca="false">IF(E57="","",A57&amp;"_schema.jpg")</f>
        <v/>
      </c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 t="s">
        <v>261</v>
      </c>
      <c r="W57" s="81"/>
      <c r="X57" s="81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6" t="str">
        <f aca="false">IF(SUM(Y57:AJ57)=0,"",SUM(Y57:AJ57))</f>
        <v/>
      </c>
      <c r="AL57" s="84" t="str">
        <f aca="false">MID(IF(N(Y57)&gt;0,", "&amp;Y$2,"")&amp;IF(N(Z57)&gt;0,", "&amp;Z$2,"")&amp;IF(N(AA57)&gt;0,", "&amp;AA$2,"")&amp;IF(N(AB57)&gt;0,", "&amp;AB$2,"")&amp;IF(N(AC57)&gt;0,", "&amp;AC$2,"")&amp;IF(N(AD57)&gt;0,", "&amp;AD$2,"")&amp;IF(N(AE57)&gt;0,", "&amp;AE$2,"")&amp;IF(N(AF57)&gt;0,", "&amp;AF$2,"")&amp;IF(N(AG57)&gt;0,", "&amp;AG$2,"")&amp;IF(N(AH57)&gt;0,", "&amp;AH$2,"")&amp;IF(N(AI57)&gt;0,", "&amp;AI$2,"")&amp;IF(N(AJ57)&gt;0,", "&amp;AJ$2,""),3,999)</f>
        <v/>
      </c>
      <c r="AM57" s="87" t="str">
        <f aca="false">IF(E57="","",MID(IF(N(Y57)&gt;0,", "&amp;A57&amp;"-"&amp;Y$2,"")&amp;IF(N(Z57)&gt;0,", "&amp;A57&amp;"-"&amp;Z$2,"")&amp;IF(N(AA57)&gt;0,", "&amp;A57&amp;"-"&amp;AA$2,"")&amp;IF(N(AB57)&gt;0,", "&amp;A57&amp;"-"&amp;AB$2,"")&amp;IF(N(AC57)&gt;0,", "&amp;A57&amp;"-"&amp;AC$2,"")&amp;IF(N(AD57)&gt;0,", "&amp;A57&amp;"-"&amp;AD$2,"")&amp;IF(N(AE57)&gt;0,", "&amp;A57&amp;"-"&amp;AE$2,"")&amp;IF(N(AF57)&gt;0,", "&amp;A57&amp;"-"&amp;AF$2,"")&amp;IF(N(AG57)&gt;0,", "&amp;A57&amp;"-"&amp;AG$2,"")&amp;IF(N(AH57)&gt;0,", "&amp;A57&amp;"-"&amp;AH$2,"")&amp;IF(N(AI57)&gt;0,", "&amp;A57&amp;"-"&amp;AI$2,"")&amp;IF(N(AJ57)&gt;0,", "&amp;A57&amp;"-"&amp;AJ$2,""),3,999))</f>
        <v/>
      </c>
      <c r="AN57" s="81"/>
      <c r="AO57" s="88"/>
      <c r="AP57" s="89" t="str">
        <f aca="false">IF(AO57="","",ROUND(AO57/(1+Справочники!$B$13),2))</f>
        <v/>
      </c>
      <c r="AQ57" s="90" t="str">
        <f aca="false" t="array" ref="AQ57:AQ57">IF(AP57="","",AP57*INDEX(Справочники!$B$4:$B$7,MATCH("RUB",Справочники!$A$4:$A$7,0)))</f>
        <v/>
      </c>
      <c r="AR57" s="90" t="str">
        <f aca="false">IF(AQ57="","",ROUND(AQ57*(1+Справочники!$B$12),0))</f>
        <v/>
      </c>
      <c r="AS57" s="90" t="str">
        <f aca="false">IF(AR57="","",ROUND(AR57*(1-Справочники!$B$11),0))</f>
        <v/>
      </c>
      <c r="AT57" s="88"/>
      <c r="AU57" s="90" t="str">
        <f aca="false">IF(AT57="","",ROUND(AT57/(1+Справочники!$B$12),0))</f>
        <v/>
      </c>
      <c r="AV57" s="90" t="str">
        <f aca="false">IF(AT57="","",ROUND(AT57*(1-Справочники!$B$15),0))</f>
        <v/>
      </c>
      <c r="AW57" s="90" t="str">
        <f aca="false">IF(AT57="","",ROUND(AT57*(1-Справочники!$B$16),0))</f>
        <v/>
      </c>
      <c r="AX57" s="90" t="str">
        <f aca="false">IF(AT57="","",ROUND(AT57*(1-Справочники!$B$17),0))</f>
        <v/>
      </c>
      <c r="AY57" s="90" t="str">
        <f aca="false">IF(AT57="","",ROUND(AT57*(1-Справочники!$B$18),0))</f>
        <v/>
      </c>
      <c r="AZ57" s="90" t="str">
        <f aca="false">IF(AT57="","",ROUND(AT57*(1-Справочники!$B$19),0))</f>
        <v/>
      </c>
      <c r="BA57" s="81"/>
      <c r="BB57" s="81"/>
      <c r="BC57" s="81"/>
      <c r="BD57" s="81"/>
      <c r="BE57" s="91"/>
      <c r="BF57" s="81" t="s">
        <v>103</v>
      </c>
      <c r="BG57" s="89" t="n">
        <f aca="false" t="array" ref="BG57:BG57">IF(BF57="","",IFERROR(INDEX(Справочники!$B$4:$B$7,MATCH(BF57,Справочники!$A$4:$A$7,0)),""))</f>
        <v>68.5</v>
      </c>
      <c r="BH57" s="90" t="str">
        <f aca="false">IF(N(BN57)&gt;0,ROUND(SUMIF(ЗАКАЗЫ!$F$3:$F$500,$A57,ЗАКАЗЫ!$Y$3:$Y$500)/BN57,0),IF(OR(BE57="",BG57=""),"",ROUND(BE57*BG57*(1+Справочники!$B$10),0)))</f>
        <v/>
      </c>
      <c r="BI57" s="92" t="str">
        <f aca="false">IF(OR(AU57="",BH57="",AU57=0),"",(AU57-BH57)/AU57)</f>
        <v/>
      </c>
      <c r="BJ57" s="81"/>
      <c r="BK57" s="83"/>
      <c r="BL57" s="43" t="str">
        <f aca="false">IFERROR(INDEX(ЗАКАЗЫ!$N$3:$N$500,MATCH($A57,ЗАКАЗЫ!$F$3:$F$500,0)),"")</f>
        <v/>
      </c>
      <c r="BM57" s="8" t="str">
        <f aca="false">IF(BL57="","",IFERROR(VLOOKUP(BL57,'ТН ВЭД'!$A$4:$C$40,3,0),""))</f>
        <v/>
      </c>
      <c r="BN57" s="7" t="str">
        <f aca="false">IF(COUNTIF(ЗАКАЗЫ!$F$3:$F$500,$A57)=0,"",SUMIF(ЗАКАЗЫ!$F$3:$F$500,$A57,ЗАКАЗЫ!$J$3:$J$500))</f>
        <v/>
      </c>
      <c r="BO57" s="7" t="str">
        <f aca="false">IF(BN57="","",SUMIF(ЗАКАЗЫ!$F$3:$F$500,$A57,ЗАКАЗЫ!$AL$3:$AL$500))</f>
        <v/>
      </c>
      <c r="BP57" s="7" t="str">
        <f aca="false">IF(BN57="","",BN57-BO57)</f>
        <v/>
      </c>
      <c r="BQ57" s="55" t="str">
        <f aca="false">IF(BN57="","",IF(BO57&gt;=BN57,"На складе",IF(BO57&gt;0,"Частично","Ждём")))</f>
        <v/>
      </c>
      <c r="BR57" s="43"/>
      <c r="BS57" s="47" t="str">
        <f aca="false">IF(BN57="","",IF(_xlfn.MAXIFS(ЗАКАЗЫ!$AK$3:$AK$500,ЗАКАЗЫ!$F$3:$F$500,$A57)=0,"",_xlfn.MAXIFS(ЗАКАЗЫ!$AK$3:$AK$500,ЗАКАЗЫ!$F$3:$F$500,$A57)))</f>
        <v/>
      </c>
    </row>
    <row r="58" customFormat="false" ht="15.75" hidden="false" customHeight="true" outlineLevel="0" collapsed="false">
      <c r="A58" s="80" t="s">
        <v>532</v>
      </c>
      <c r="B58" s="81"/>
      <c r="C58" s="81"/>
      <c r="D58" s="81"/>
      <c r="E58" s="83"/>
      <c r="F58" s="81"/>
      <c r="G58" s="83"/>
      <c r="H58" s="83"/>
      <c r="I58" s="84" t="str">
        <f aca="false">IF(E58="","",A58&amp;"_1.jpg")</f>
        <v/>
      </c>
      <c r="J58" s="84" t="str">
        <f aca="false">IF(E58="","",A58&amp;"_2.jpg; "&amp;A58&amp;"_3.jpg")</f>
        <v/>
      </c>
      <c r="K58" s="84" t="str">
        <f aca="false">IF(E58="","",A58&amp;"_schema.jpg")</f>
        <v/>
      </c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 t="s">
        <v>261</v>
      </c>
      <c r="W58" s="81"/>
      <c r="X58" s="81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6" t="str">
        <f aca="false">IF(SUM(Y58:AJ58)=0,"",SUM(Y58:AJ58))</f>
        <v/>
      </c>
      <c r="AL58" s="84" t="str">
        <f aca="false">MID(IF(N(Y58)&gt;0,", "&amp;Y$2,"")&amp;IF(N(Z58)&gt;0,", "&amp;Z$2,"")&amp;IF(N(AA58)&gt;0,", "&amp;AA$2,"")&amp;IF(N(AB58)&gt;0,", "&amp;AB$2,"")&amp;IF(N(AC58)&gt;0,", "&amp;AC$2,"")&amp;IF(N(AD58)&gt;0,", "&amp;AD$2,"")&amp;IF(N(AE58)&gt;0,", "&amp;AE$2,"")&amp;IF(N(AF58)&gt;0,", "&amp;AF$2,"")&amp;IF(N(AG58)&gt;0,", "&amp;AG$2,"")&amp;IF(N(AH58)&gt;0,", "&amp;AH$2,"")&amp;IF(N(AI58)&gt;0,", "&amp;AI$2,"")&amp;IF(N(AJ58)&gt;0,", "&amp;AJ$2,""),3,999)</f>
        <v/>
      </c>
      <c r="AM58" s="87" t="str">
        <f aca="false">IF(E58="","",MID(IF(N(Y58)&gt;0,", "&amp;A58&amp;"-"&amp;Y$2,"")&amp;IF(N(Z58)&gt;0,", "&amp;A58&amp;"-"&amp;Z$2,"")&amp;IF(N(AA58)&gt;0,", "&amp;A58&amp;"-"&amp;AA$2,"")&amp;IF(N(AB58)&gt;0,", "&amp;A58&amp;"-"&amp;AB$2,"")&amp;IF(N(AC58)&gt;0,", "&amp;A58&amp;"-"&amp;AC$2,"")&amp;IF(N(AD58)&gt;0,", "&amp;A58&amp;"-"&amp;AD$2,"")&amp;IF(N(AE58)&gt;0,", "&amp;A58&amp;"-"&amp;AE$2,"")&amp;IF(N(AF58)&gt;0,", "&amp;A58&amp;"-"&amp;AF$2,"")&amp;IF(N(AG58)&gt;0,", "&amp;A58&amp;"-"&amp;AG$2,"")&amp;IF(N(AH58)&gt;0,", "&amp;A58&amp;"-"&amp;AH$2,"")&amp;IF(N(AI58)&gt;0,", "&amp;A58&amp;"-"&amp;AI$2,"")&amp;IF(N(AJ58)&gt;0,", "&amp;A58&amp;"-"&amp;AJ$2,""),3,999))</f>
        <v/>
      </c>
      <c r="AN58" s="81"/>
      <c r="AO58" s="88"/>
      <c r="AP58" s="89" t="str">
        <f aca="false">IF(AO58="","",ROUND(AO58/(1+Справочники!$B$13),2))</f>
        <v/>
      </c>
      <c r="AQ58" s="90" t="str">
        <f aca="false" t="array" ref="AQ58:AQ58">IF(AP58="","",AP58*INDEX(Справочники!$B$4:$B$7,MATCH("RUB",Справочники!$A$4:$A$7,0)))</f>
        <v/>
      </c>
      <c r="AR58" s="90" t="str">
        <f aca="false">IF(AQ58="","",ROUND(AQ58*(1+Справочники!$B$12),0))</f>
        <v/>
      </c>
      <c r="AS58" s="90" t="str">
        <f aca="false">IF(AR58="","",ROUND(AR58*(1-Справочники!$B$11),0))</f>
        <v/>
      </c>
      <c r="AT58" s="88"/>
      <c r="AU58" s="90" t="str">
        <f aca="false">IF(AT58="","",ROUND(AT58/(1+Справочники!$B$12),0))</f>
        <v/>
      </c>
      <c r="AV58" s="90" t="str">
        <f aca="false">IF(AT58="","",ROUND(AT58*(1-Справочники!$B$15),0))</f>
        <v/>
      </c>
      <c r="AW58" s="90" t="str">
        <f aca="false">IF(AT58="","",ROUND(AT58*(1-Справочники!$B$16),0))</f>
        <v/>
      </c>
      <c r="AX58" s="90" t="str">
        <f aca="false">IF(AT58="","",ROUND(AT58*(1-Справочники!$B$17),0))</f>
        <v/>
      </c>
      <c r="AY58" s="90" t="str">
        <f aca="false">IF(AT58="","",ROUND(AT58*(1-Справочники!$B$18),0))</f>
        <v/>
      </c>
      <c r="AZ58" s="90" t="str">
        <f aca="false">IF(AT58="","",ROUND(AT58*(1-Справочники!$B$19),0))</f>
        <v/>
      </c>
      <c r="BA58" s="81"/>
      <c r="BB58" s="81"/>
      <c r="BC58" s="81"/>
      <c r="BD58" s="81"/>
      <c r="BE58" s="91"/>
      <c r="BF58" s="81" t="s">
        <v>103</v>
      </c>
      <c r="BG58" s="89" t="n">
        <f aca="false" t="array" ref="BG58:BG58">IF(BF58="","",IFERROR(INDEX(Справочники!$B$4:$B$7,MATCH(BF58,Справочники!$A$4:$A$7,0)),""))</f>
        <v>68.5</v>
      </c>
      <c r="BH58" s="90" t="str">
        <f aca="false">IF(N(BN58)&gt;0,ROUND(SUMIF(ЗАКАЗЫ!$F$3:$F$500,$A58,ЗАКАЗЫ!$Y$3:$Y$500)/BN58,0),IF(OR(BE58="",BG58=""),"",ROUND(BE58*BG58*(1+Справочники!$B$10),0)))</f>
        <v/>
      </c>
      <c r="BI58" s="92" t="str">
        <f aca="false">IF(OR(AU58="",BH58="",AU58=0),"",(AU58-BH58)/AU58)</f>
        <v/>
      </c>
      <c r="BJ58" s="81"/>
      <c r="BK58" s="83"/>
      <c r="BL58" s="43" t="str">
        <f aca="false">IFERROR(INDEX(ЗАКАЗЫ!$N$3:$N$500,MATCH($A58,ЗАКАЗЫ!$F$3:$F$500,0)),"")</f>
        <v/>
      </c>
      <c r="BM58" s="8" t="str">
        <f aca="false">IF(BL58="","",IFERROR(VLOOKUP(BL58,'ТН ВЭД'!$A$4:$C$40,3,0),""))</f>
        <v/>
      </c>
      <c r="BN58" s="7" t="str">
        <f aca="false">IF(COUNTIF(ЗАКАЗЫ!$F$3:$F$500,$A58)=0,"",SUMIF(ЗАКАЗЫ!$F$3:$F$500,$A58,ЗАКАЗЫ!$J$3:$J$500))</f>
        <v/>
      </c>
      <c r="BO58" s="7" t="str">
        <f aca="false">IF(BN58="","",SUMIF(ЗАКАЗЫ!$F$3:$F$500,$A58,ЗАКАЗЫ!$AL$3:$AL$500))</f>
        <v/>
      </c>
      <c r="BP58" s="7" t="str">
        <f aca="false">IF(BN58="","",BN58-BO58)</f>
        <v/>
      </c>
      <c r="BQ58" s="55" t="str">
        <f aca="false">IF(BN58="","",IF(BO58&gt;=BN58,"На складе",IF(BO58&gt;0,"Частично","Ждём")))</f>
        <v/>
      </c>
      <c r="BR58" s="43"/>
      <c r="BS58" s="47" t="str">
        <f aca="false">IF(BN58="","",IF(_xlfn.MAXIFS(ЗАКАЗЫ!$AK$3:$AK$500,ЗАКАЗЫ!$F$3:$F$500,$A58)=0,"",_xlfn.MAXIFS(ЗАКАЗЫ!$AK$3:$AK$500,ЗАКАЗЫ!$F$3:$F$500,$A58)))</f>
        <v/>
      </c>
    </row>
    <row r="59" customFormat="false" ht="15.75" hidden="false" customHeight="true" outlineLevel="0" collapsed="false">
      <c r="A59" s="80" t="s">
        <v>533</v>
      </c>
      <c r="B59" s="81"/>
      <c r="C59" s="81"/>
      <c r="D59" s="81"/>
      <c r="E59" s="83"/>
      <c r="F59" s="81"/>
      <c r="G59" s="83"/>
      <c r="H59" s="83"/>
      <c r="I59" s="84" t="str">
        <f aca="false">IF(E59="","",A59&amp;"_1.jpg")</f>
        <v/>
      </c>
      <c r="J59" s="84" t="str">
        <f aca="false">IF(E59="","",A59&amp;"_2.jpg; "&amp;A59&amp;"_3.jpg")</f>
        <v/>
      </c>
      <c r="K59" s="84" t="str">
        <f aca="false">IF(E59="","",A59&amp;"_schema.jpg")</f>
        <v/>
      </c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 t="s">
        <v>261</v>
      </c>
      <c r="W59" s="81"/>
      <c r="X59" s="81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6" t="str">
        <f aca="false">IF(SUM(Y59:AJ59)=0,"",SUM(Y59:AJ59))</f>
        <v/>
      </c>
      <c r="AL59" s="84" t="str">
        <f aca="false">MID(IF(N(Y59)&gt;0,", "&amp;Y$2,"")&amp;IF(N(Z59)&gt;0,", "&amp;Z$2,"")&amp;IF(N(AA59)&gt;0,", "&amp;AA$2,"")&amp;IF(N(AB59)&gt;0,", "&amp;AB$2,"")&amp;IF(N(AC59)&gt;0,", "&amp;AC$2,"")&amp;IF(N(AD59)&gt;0,", "&amp;AD$2,"")&amp;IF(N(AE59)&gt;0,", "&amp;AE$2,"")&amp;IF(N(AF59)&gt;0,", "&amp;AF$2,"")&amp;IF(N(AG59)&gt;0,", "&amp;AG$2,"")&amp;IF(N(AH59)&gt;0,", "&amp;AH$2,"")&amp;IF(N(AI59)&gt;0,", "&amp;AI$2,"")&amp;IF(N(AJ59)&gt;0,", "&amp;AJ$2,""),3,999)</f>
        <v/>
      </c>
      <c r="AM59" s="87" t="str">
        <f aca="false">IF(E59="","",MID(IF(N(Y59)&gt;0,", "&amp;A59&amp;"-"&amp;Y$2,"")&amp;IF(N(Z59)&gt;0,", "&amp;A59&amp;"-"&amp;Z$2,"")&amp;IF(N(AA59)&gt;0,", "&amp;A59&amp;"-"&amp;AA$2,"")&amp;IF(N(AB59)&gt;0,", "&amp;A59&amp;"-"&amp;AB$2,"")&amp;IF(N(AC59)&gt;0,", "&amp;A59&amp;"-"&amp;AC$2,"")&amp;IF(N(AD59)&gt;0,", "&amp;A59&amp;"-"&amp;AD$2,"")&amp;IF(N(AE59)&gt;0,", "&amp;A59&amp;"-"&amp;AE$2,"")&amp;IF(N(AF59)&gt;0,", "&amp;A59&amp;"-"&amp;AF$2,"")&amp;IF(N(AG59)&gt;0,", "&amp;A59&amp;"-"&amp;AG$2,"")&amp;IF(N(AH59)&gt;0,", "&amp;A59&amp;"-"&amp;AH$2,"")&amp;IF(N(AI59)&gt;0,", "&amp;A59&amp;"-"&amp;AI$2,"")&amp;IF(N(AJ59)&gt;0,", "&amp;A59&amp;"-"&amp;AJ$2,""),3,999))</f>
        <v/>
      </c>
      <c r="AN59" s="81"/>
      <c r="AO59" s="88"/>
      <c r="AP59" s="89" t="str">
        <f aca="false">IF(AO59="","",ROUND(AO59/(1+Справочники!$B$13),2))</f>
        <v/>
      </c>
      <c r="AQ59" s="90" t="str">
        <f aca="false" t="array" ref="AQ59:AQ59">IF(AP59="","",AP59*INDEX(Справочники!$B$4:$B$7,MATCH("RUB",Справочники!$A$4:$A$7,0)))</f>
        <v/>
      </c>
      <c r="AR59" s="90" t="str">
        <f aca="false">IF(AQ59="","",ROUND(AQ59*(1+Справочники!$B$12),0))</f>
        <v/>
      </c>
      <c r="AS59" s="90" t="str">
        <f aca="false">IF(AR59="","",ROUND(AR59*(1-Справочники!$B$11),0))</f>
        <v/>
      </c>
      <c r="AT59" s="88"/>
      <c r="AU59" s="90" t="str">
        <f aca="false">IF(AT59="","",ROUND(AT59/(1+Справочники!$B$12),0))</f>
        <v/>
      </c>
      <c r="AV59" s="90" t="str">
        <f aca="false">IF(AT59="","",ROUND(AT59*(1-Справочники!$B$15),0))</f>
        <v/>
      </c>
      <c r="AW59" s="90" t="str">
        <f aca="false">IF(AT59="","",ROUND(AT59*(1-Справочники!$B$16),0))</f>
        <v/>
      </c>
      <c r="AX59" s="90" t="str">
        <f aca="false">IF(AT59="","",ROUND(AT59*(1-Справочники!$B$17),0))</f>
        <v/>
      </c>
      <c r="AY59" s="90" t="str">
        <f aca="false">IF(AT59="","",ROUND(AT59*(1-Справочники!$B$18),0))</f>
        <v/>
      </c>
      <c r="AZ59" s="90" t="str">
        <f aca="false">IF(AT59="","",ROUND(AT59*(1-Справочники!$B$19),0))</f>
        <v/>
      </c>
      <c r="BA59" s="81"/>
      <c r="BB59" s="81"/>
      <c r="BC59" s="81"/>
      <c r="BD59" s="81"/>
      <c r="BE59" s="91"/>
      <c r="BF59" s="81" t="s">
        <v>103</v>
      </c>
      <c r="BG59" s="89" t="n">
        <f aca="false" t="array" ref="BG59:BG59">IF(BF59="","",IFERROR(INDEX(Справочники!$B$4:$B$7,MATCH(BF59,Справочники!$A$4:$A$7,0)),""))</f>
        <v>68.5</v>
      </c>
      <c r="BH59" s="90" t="str">
        <f aca="false">IF(N(BN59)&gt;0,ROUND(SUMIF(ЗАКАЗЫ!$F$3:$F$500,$A59,ЗАКАЗЫ!$Y$3:$Y$500)/BN59,0),IF(OR(BE59="",BG59=""),"",ROUND(BE59*BG59*(1+Справочники!$B$10),0)))</f>
        <v/>
      </c>
      <c r="BI59" s="92" t="str">
        <f aca="false">IF(OR(AU59="",BH59="",AU59=0),"",(AU59-BH59)/AU59)</f>
        <v/>
      </c>
      <c r="BJ59" s="81"/>
      <c r="BK59" s="83"/>
      <c r="BL59" s="43" t="str">
        <f aca="false">IFERROR(INDEX(ЗАКАЗЫ!$N$3:$N$500,MATCH($A59,ЗАКАЗЫ!$F$3:$F$500,0)),"")</f>
        <v/>
      </c>
      <c r="BM59" s="8" t="str">
        <f aca="false">IF(BL59="","",IFERROR(VLOOKUP(BL59,'ТН ВЭД'!$A$4:$C$40,3,0),""))</f>
        <v/>
      </c>
      <c r="BN59" s="7" t="str">
        <f aca="false">IF(COUNTIF(ЗАКАЗЫ!$F$3:$F$500,$A59)=0,"",SUMIF(ЗАКАЗЫ!$F$3:$F$500,$A59,ЗАКАЗЫ!$J$3:$J$500))</f>
        <v/>
      </c>
      <c r="BO59" s="7" t="str">
        <f aca="false">IF(BN59="","",SUMIF(ЗАКАЗЫ!$F$3:$F$500,$A59,ЗАКАЗЫ!$AL$3:$AL$500))</f>
        <v/>
      </c>
      <c r="BP59" s="7" t="str">
        <f aca="false">IF(BN59="","",BN59-BO59)</f>
        <v/>
      </c>
      <c r="BQ59" s="55" t="str">
        <f aca="false">IF(BN59="","",IF(BO59&gt;=BN59,"На складе",IF(BO59&gt;0,"Частично","Ждём")))</f>
        <v/>
      </c>
      <c r="BR59" s="43"/>
      <c r="BS59" s="47" t="str">
        <f aca="false">IF(BN59="","",IF(_xlfn.MAXIFS(ЗАКАЗЫ!$AK$3:$AK$500,ЗАКАЗЫ!$F$3:$F$500,$A59)=0,"",_xlfn.MAXIFS(ЗАКАЗЫ!$AK$3:$AK$500,ЗАКАЗЫ!$F$3:$F$500,$A59)))</f>
        <v/>
      </c>
    </row>
    <row r="60" customFormat="false" ht="15.75" hidden="false" customHeight="true" outlineLevel="0" collapsed="false">
      <c r="A60" s="80" t="s">
        <v>534</v>
      </c>
      <c r="B60" s="81"/>
      <c r="C60" s="81"/>
      <c r="D60" s="81"/>
      <c r="E60" s="83"/>
      <c r="F60" s="81"/>
      <c r="G60" s="83"/>
      <c r="H60" s="83"/>
      <c r="I60" s="84" t="str">
        <f aca="false">IF(E60="","",A60&amp;"_1.jpg")</f>
        <v/>
      </c>
      <c r="J60" s="84" t="str">
        <f aca="false">IF(E60="","",A60&amp;"_2.jpg; "&amp;A60&amp;"_3.jpg")</f>
        <v/>
      </c>
      <c r="K60" s="84" t="str">
        <f aca="false">IF(E60="","",A60&amp;"_schema.jpg")</f>
        <v/>
      </c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 t="s">
        <v>261</v>
      </c>
      <c r="W60" s="81"/>
      <c r="X60" s="81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6" t="str">
        <f aca="false">IF(SUM(Y60:AJ60)=0,"",SUM(Y60:AJ60))</f>
        <v/>
      </c>
      <c r="AL60" s="84" t="str">
        <f aca="false">MID(IF(N(Y60)&gt;0,", "&amp;Y$2,"")&amp;IF(N(Z60)&gt;0,", "&amp;Z$2,"")&amp;IF(N(AA60)&gt;0,", "&amp;AA$2,"")&amp;IF(N(AB60)&gt;0,", "&amp;AB$2,"")&amp;IF(N(AC60)&gt;0,", "&amp;AC$2,"")&amp;IF(N(AD60)&gt;0,", "&amp;AD$2,"")&amp;IF(N(AE60)&gt;0,", "&amp;AE$2,"")&amp;IF(N(AF60)&gt;0,", "&amp;AF$2,"")&amp;IF(N(AG60)&gt;0,", "&amp;AG$2,"")&amp;IF(N(AH60)&gt;0,", "&amp;AH$2,"")&amp;IF(N(AI60)&gt;0,", "&amp;AI$2,"")&amp;IF(N(AJ60)&gt;0,", "&amp;AJ$2,""),3,999)</f>
        <v/>
      </c>
      <c r="AM60" s="87" t="str">
        <f aca="false">IF(E60="","",MID(IF(N(Y60)&gt;0,", "&amp;A60&amp;"-"&amp;Y$2,"")&amp;IF(N(Z60)&gt;0,", "&amp;A60&amp;"-"&amp;Z$2,"")&amp;IF(N(AA60)&gt;0,", "&amp;A60&amp;"-"&amp;AA$2,"")&amp;IF(N(AB60)&gt;0,", "&amp;A60&amp;"-"&amp;AB$2,"")&amp;IF(N(AC60)&gt;0,", "&amp;A60&amp;"-"&amp;AC$2,"")&amp;IF(N(AD60)&gt;0,", "&amp;A60&amp;"-"&amp;AD$2,"")&amp;IF(N(AE60)&gt;0,", "&amp;A60&amp;"-"&amp;AE$2,"")&amp;IF(N(AF60)&gt;0,", "&amp;A60&amp;"-"&amp;AF$2,"")&amp;IF(N(AG60)&gt;0,", "&amp;A60&amp;"-"&amp;AG$2,"")&amp;IF(N(AH60)&gt;0,", "&amp;A60&amp;"-"&amp;AH$2,"")&amp;IF(N(AI60)&gt;0,", "&amp;A60&amp;"-"&amp;AI$2,"")&amp;IF(N(AJ60)&gt;0,", "&amp;A60&amp;"-"&amp;AJ$2,""),3,999))</f>
        <v/>
      </c>
      <c r="AN60" s="81"/>
      <c r="AO60" s="88"/>
      <c r="AP60" s="89" t="str">
        <f aca="false">IF(AO60="","",ROUND(AO60/(1+Справочники!$B$13),2))</f>
        <v/>
      </c>
      <c r="AQ60" s="90" t="str">
        <f aca="false" t="array" ref="AQ60:AQ60">IF(AP60="","",AP60*INDEX(Справочники!$B$4:$B$7,MATCH("RUB",Справочники!$A$4:$A$7,0)))</f>
        <v/>
      </c>
      <c r="AR60" s="90" t="str">
        <f aca="false">IF(AQ60="","",ROUND(AQ60*(1+Справочники!$B$12),0))</f>
        <v/>
      </c>
      <c r="AS60" s="90" t="str">
        <f aca="false">IF(AR60="","",ROUND(AR60*(1-Справочники!$B$11),0))</f>
        <v/>
      </c>
      <c r="AT60" s="88"/>
      <c r="AU60" s="90" t="str">
        <f aca="false">IF(AT60="","",ROUND(AT60/(1+Справочники!$B$12),0))</f>
        <v/>
      </c>
      <c r="AV60" s="90" t="str">
        <f aca="false">IF(AT60="","",ROUND(AT60*(1-Справочники!$B$15),0))</f>
        <v/>
      </c>
      <c r="AW60" s="90" t="str">
        <f aca="false">IF(AT60="","",ROUND(AT60*(1-Справочники!$B$16),0))</f>
        <v/>
      </c>
      <c r="AX60" s="90" t="str">
        <f aca="false">IF(AT60="","",ROUND(AT60*(1-Справочники!$B$17),0))</f>
        <v/>
      </c>
      <c r="AY60" s="90" t="str">
        <f aca="false">IF(AT60="","",ROUND(AT60*(1-Справочники!$B$18),0))</f>
        <v/>
      </c>
      <c r="AZ60" s="90" t="str">
        <f aca="false">IF(AT60="","",ROUND(AT60*(1-Справочники!$B$19),0))</f>
        <v/>
      </c>
      <c r="BA60" s="81"/>
      <c r="BB60" s="81"/>
      <c r="BC60" s="81"/>
      <c r="BD60" s="81"/>
      <c r="BE60" s="91"/>
      <c r="BF60" s="81" t="s">
        <v>103</v>
      </c>
      <c r="BG60" s="89" t="n">
        <f aca="false" t="array" ref="BG60:BG60">IF(BF60="","",IFERROR(INDEX(Справочники!$B$4:$B$7,MATCH(BF60,Справочники!$A$4:$A$7,0)),""))</f>
        <v>68.5</v>
      </c>
      <c r="BH60" s="90" t="str">
        <f aca="false">IF(N(BN60)&gt;0,ROUND(SUMIF(ЗАКАЗЫ!$F$3:$F$500,$A60,ЗАКАЗЫ!$Y$3:$Y$500)/BN60,0),IF(OR(BE60="",BG60=""),"",ROUND(BE60*BG60*(1+Справочники!$B$10),0)))</f>
        <v/>
      </c>
      <c r="BI60" s="92" t="str">
        <f aca="false">IF(OR(AU60="",BH60="",AU60=0),"",(AU60-BH60)/AU60)</f>
        <v/>
      </c>
      <c r="BJ60" s="81"/>
      <c r="BK60" s="83"/>
      <c r="BL60" s="43" t="str">
        <f aca="false">IFERROR(INDEX(ЗАКАЗЫ!$N$3:$N$500,MATCH($A60,ЗАКАЗЫ!$F$3:$F$500,0)),"")</f>
        <v/>
      </c>
      <c r="BM60" s="8" t="str">
        <f aca="false">IF(BL60="","",IFERROR(VLOOKUP(BL60,'ТН ВЭД'!$A$4:$C$40,3,0),""))</f>
        <v/>
      </c>
      <c r="BN60" s="7" t="str">
        <f aca="false">IF(COUNTIF(ЗАКАЗЫ!$F$3:$F$500,$A60)=0,"",SUMIF(ЗАКАЗЫ!$F$3:$F$500,$A60,ЗАКАЗЫ!$J$3:$J$500))</f>
        <v/>
      </c>
      <c r="BO60" s="7" t="str">
        <f aca="false">IF(BN60="","",SUMIF(ЗАКАЗЫ!$F$3:$F$500,$A60,ЗАКАЗЫ!$AL$3:$AL$500))</f>
        <v/>
      </c>
      <c r="BP60" s="7" t="str">
        <f aca="false">IF(BN60="","",BN60-BO60)</f>
        <v/>
      </c>
      <c r="BQ60" s="55" t="str">
        <f aca="false">IF(BN60="","",IF(BO60&gt;=BN60,"На складе",IF(BO60&gt;0,"Частично","Ждём")))</f>
        <v/>
      </c>
      <c r="BR60" s="43"/>
      <c r="BS60" s="47" t="str">
        <f aca="false">IF(BN60="","",IF(_xlfn.MAXIFS(ЗАКАЗЫ!$AK$3:$AK$500,ЗАКАЗЫ!$F$3:$F$500,$A60)=0,"",_xlfn.MAXIFS(ЗАКАЗЫ!$AK$3:$AK$500,ЗАКАЗЫ!$F$3:$F$500,$A60)))</f>
        <v/>
      </c>
    </row>
    <row r="61" customFormat="false" ht="15.75" hidden="false" customHeight="true" outlineLevel="0" collapsed="false">
      <c r="A61" s="80" t="s">
        <v>535</v>
      </c>
      <c r="B61" s="81"/>
      <c r="C61" s="81"/>
      <c r="D61" s="81"/>
      <c r="E61" s="83"/>
      <c r="F61" s="81"/>
      <c r="G61" s="83"/>
      <c r="H61" s="83"/>
      <c r="I61" s="84" t="str">
        <f aca="false">IF(E61="","",A61&amp;"_1.jpg")</f>
        <v/>
      </c>
      <c r="J61" s="84" t="str">
        <f aca="false">IF(E61="","",A61&amp;"_2.jpg; "&amp;A61&amp;"_3.jpg")</f>
        <v/>
      </c>
      <c r="K61" s="84" t="str">
        <f aca="false">IF(E61="","",A61&amp;"_schema.jpg")</f>
        <v/>
      </c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 t="s">
        <v>261</v>
      </c>
      <c r="W61" s="81"/>
      <c r="X61" s="81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6" t="str">
        <f aca="false">IF(SUM(Y61:AJ61)=0,"",SUM(Y61:AJ61))</f>
        <v/>
      </c>
      <c r="AL61" s="84" t="str">
        <f aca="false">MID(IF(N(Y61)&gt;0,", "&amp;Y$2,"")&amp;IF(N(Z61)&gt;0,", "&amp;Z$2,"")&amp;IF(N(AA61)&gt;0,", "&amp;AA$2,"")&amp;IF(N(AB61)&gt;0,", "&amp;AB$2,"")&amp;IF(N(AC61)&gt;0,", "&amp;AC$2,"")&amp;IF(N(AD61)&gt;0,", "&amp;AD$2,"")&amp;IF(N(AE61)&gt;0,", "&amp;AE$2,"")&amp;IF(N(AF61)&gt;0,", "&amp;AF$2,"")&amp;IF(N(AG61)&gt;0,", "&amp;AG$2,"")&amp;IF(N(AH61)&gt;0,", "&amp;AH$2,"")&amp;IF(N(AI61)&gt;0,", "&amp;AI$2,"")&amp;IF(N(AJ61)&gt;0,", "&amp;AJ$2,""),3,999)</f>
        <v/>
      </c>
      <c r="AM61" s="87" t="str">
        <f aca="false">IF(E61="","",MID(IF(N(Y61)&gt;0,", "&amp;A61&amp;"-"&amp;Y$2,"")&amp;IF(N(Z61)&gt;0,", "&amp;A61&amp;"-"&amp;Z$2,"")&amp;IF(N(AA61)&gt;0,", "&amp;A61&amp;"-"&amp;AA$2,"")&amp;IF(N(AB61)&gt;0,", "&amp;A61&amp;"-"&amp;AB$2,"")&amp;IF(N(AC61)&gt;0,", "&amp;A61&amp;"-"&amp;AC$2,"")&amp;IF(N(AD61)&gt;0,", "&amp;A61&amp;"-"&amp;AD$2,"")&amp;IF(N(AE61)&gt;0,", "&amp;A61&amp;"-"&amp;AE$2,"")&amp;IF(N(AF61)&gt;0,", "&amp;A61&amp;"-"&amp;AF$2,"")&amp;IF(N(AG61)&gt;0,", "&amp;A61&amp;"-"&amp;AG$2,"")&amp;IF(N(AH61)&gt;0,", "&amp;A61&amp;"-"&amp;AH$2,"")&amp;IF(N(AI61)&gt;0,", "&amp;A61&amp;"-"&amp;AI$2,"")&amp;IF(N(AJ61)&gt;0,", "&amp;A61&amp;"-"&amp;AJ$2,""),3,999))</f>
        <v/>
      </c>
      <c r="AN61" s="81"/>
      <c r="AO61" s="88"/>
      <c r="AP61" s="89" t="str">
        <f aca="false">IF(AO61="","",ROUND(AO61/(1+Справочники!$B$13),2))</f>
        <v/>
      </c>
      <c r="AQ61" s="90" t="str">
        <f aca="false" t="array" ref="AQ61:AQ61">IF(AP61="","",AP61*INDEX(Справочники!$B$4:$B$7,MATCH("RUB",Справочники!$A$4:$A$7,0)))</f>
        <v/>
      </c>
      <c r="AR61" s="90" t="str">
        <f aca="false">IF(AQ61="","",ROUND(AQ61*(1+Справочники!$B$12),0))</f>
        <v/>
      </c>
      <c r="AS61" s="90" t="str">
        <f aca="false">IF(AR61="","",ROUND(AR61*(1-Справочники!$B$11),0))</f>
        <v/>
      </c>
      <c r="AT61" s="88"/>
      <c r="AU61" s="90" t="str">
        <f aca="false">IF(AT61="","",ROUND(AT61/(1+Справочники!$B$12),0))</f>
        <v/>
      </c>
      <c r="AV61" s="90" t="str">
        <f aca="false">IF(AT61="","",ROUND(AT61*(1-Справочники!$B$15),0))</f>
        <v/>
      </c>
      <c r="AW61" s="90" t="str">
        <f aca="false">IF(AT61="","",ROUND(AT61*(1-Справочники!$B$16),0))</f>
        <v/>
      </c>
      <c r="AX61" s="90" t="str">
        <f aca="false">IF(AT61="","",ROUND(AT61*(1-Справочники!$B$17),0))</f>
        <v/>
      </c>
      <c r="AY61" s="90" t="str">
        <f aca="false">IF(AT61="","",ROUND(AT61*(1-Справочники!$B$18),0))</f>
        <v/>
      </c>
      <c r="AZ61" s="90" t="str">
        <f aca="false">IF(AT61="","",ROUND(AT61*(1-Справочники!$B$19),0))</f>
        <v/>
      </c>
      <c r="BA61" s="81"/>
      <c r="BB61" s="81"/>
      <c r="BC61" s="81"/>
      <c r="BD61" s="81"/>
      <c r="BE61" s="91"/>
      <c r="BF61" s="81" t="s">
        <v>103</v>
      </c>
      <c r="BG61" s="89" t="n">
        <f aca="false" t="array" ref="BG61:BG61">IF(BF61="","",IFERROR(INDEX(Справочники!$B$4:$B$7,MATCH(BF61,Справочники!$A$4:$A$7,0)),""))</f>
        <v>68.5</v>
      </c>
      <c r="BH61" s="90" t="str">
        <f aca="false">IF(N(BN61)&gt;0,ROUND(SUMIF(ЗАКАЗЫ!$F$3:$F$500,$A61,ЗАКАЗЫ!$Y$3:$Y$500)/BN61,0),IF(OR(BE61="",BG61=""),"",ROUND(BE61*BG61*(1+Справочники!$B$10),0)))</f>
        <v/>
      </c>
      <c r="BI61" s="92" t="str">
        <f aca="false">IF(OR(AU61="",BH61="",AU61=0),"",(AU61-BH61)/AU61)</f>
        <v/>
      </c>
      <c r="BJ61" s="81"/>
      <c r="BK61" s="83"/>
      <c r="BL61" s="43" t="str">
        <f aca="false">IFERROR(INDEX(ЗАКАЗЫ!$N$3:$N$500,MATCH($A61,ЗАКАЗЫ!$F$3:$F$500,0)),"")</f>
        <v/>
      </c>
      <c r="BM61" s="8" t="str">
        <f aca="false">IF(BL61="","",IFERROR(VLOOKUP(BL61,'ТН ВЭД'!$A$4:$C$40,3,0),""))</f>
        <v/>
      </c>
      <c r="BN61" s="7" t="str">
        <f aca="false">IF(COUNTIF(ЗАКАЗЫ!$F$3:$F$500,$A61)=0,"",SUMIF(ЗАКАЗЫ!$F$3:$F$500,$A61,ЗАКАЗЫ!$J$3:$J$500))</f>
        <v/>
      </c>
      <c r="BO61" s="7" t="str">
        <f aca="false">IF(BN61="","",SUMIF(ЗАКАЗЫ!$F$3:$F$500,$A61,ЗАКАЗЫ!$AL$3:$AL$500))</f>
        <v/>
      </c>
      <c r="BP61" s="7" t="str">
        <f aca="false">IF(BN61="","",BN61-BO61)</f>
        <v/>
      </c>
      <c r="BQ61" s="55" t="str">
        <f aca="false">IF(BN61="","",IF(BO61&gt;=BN61,"На складе",IF(BO61&gt;0,"Частично","Ждём")))</f>
        <v/>
      </c>
      <c r="BR61" s="43"/>
      <c r="BS61" s="47" t="str">
        <f aca="false">IF(BN61="","",IF(_xlfn.MAXIFS(ЗАКАЗЫ!$AK$3:$AK$500,ЗАКАЗЫ!$F$3:$F$500,$A61)=0,"",_xlfn.MAXIFS(ЗАКАЗЫ!$AK$3:$AK$500,ЗАКАЗЫ!$F$3:$F$500,$A61)))</f>
        <v/>
      </c>
    </row>
    <row r="62" customFormat="false" ht="15.75" hidden="false" customHeight="true" outlineLevel="0" collapsed="false">
      <c r="A62" s="80" t="s">
        <v>536</v>
      </c>
      <c r="B62" s="81"/>
      <c r="C62" s="81"/>
      <c r="D62" s="81"/>
      <c r="E62" s="83"/>
      <c r="F62" s="81"/>
      <c r="G62" s="83"/>
      <c r="H62" s="83"/>
      <c r="I62" s="84" t="str">
        <f aca="false">IF(E62="","",A62&amp;"_1.jpg")</f>
        <v/>
      </c>
      <c r="J62" s="84" t="str">
        <f aca="false">IF(E62="","",A62&amp;"_2.jpg; "&amp;A62&amp;"_3.jpg")</f>
        <v/>
      </c>
      <c r="K62" s="84" t="str">
        <f aca="false">IF(E62="","",A62&amp;"_schema.jpg")</f>
        <v/>
      </c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 t="s">
        <v>261</v>
      </c>
      <c r="W62" s="81"/>
      <c r="X62" s="81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6" t="str">
        <f aca="false">IF(SUM(Y62:AJ62)=0,"",SUM(Y62:AJ62))</f>
        <v/>
      </c>
      <c r="AL62" s="84" t="str">
        <f aca="false">MID(IF(N(Y62)&gt;0,", "&amp;Y$2,"")&amp;IF(N(Z62)&gt;0,", "&amp;Z$2,"")&amp;IF(N(AA62)&gt;0,", "&amp;AA$2,"")&amp;IF(N(AB62)&gt;0,", "&amp;AB$2,"")&amp;IF(N(AC62)&gt;0,", "&amp;AC$2,"")&amp;IF(N(AD62)&gt;0,", "&amp;AD$2,"")&amp;IF(N(AE62)&gt;0,", "&amp;AE$2,"")&amp;IF(N(AF62)&gt;0,", "&amp;AF$2,"")&amp;IF(N(AG62)&gt;0,", "&amp;AG$2,"")&amp;IF(N(AH62)&gt;0,", "&amp;AH$2,"")&amp;IF(N(AI62)&gt;0,", "&amp;AI$2,"")&amp;IF(N(AJ62)&gt;0,", "&amp;AJ$2,""),3,999)</f>
        <v/>
      </c>
      <c r="AM62" s="87" t="str">
        <f aca="false">IF(E62="","",MID(IF(N(Y62)&gt;0,", "&amp;A62&amp;"-"&amp;Y$2,"")&amp;IF(N(Z62)&gt;0,", "&amp;A62&amp;"-"&amp;Z$2,"")&amp;IF(N(AA62)&gt;0,", "&amp;A62&amp;"-"&amp;AA$2,"")&amp;IF(N(AB62)&gt;0,", "&amp;A62&amp;"-"&amp;AB$2,"")&amp;IF(N(AC62)&gt;0,", "&amp;A62&amp;"-"&amp;AC$2,"")&amp;IF(N(AD62)&gt;0,", "&amp;A62&amp;"-"&amp;AD$2,"")&amp;IF(N(AE62)&gt;0,", "&amp;A62&amp;"-"&amp;AE$2,"")&amp;IF(N(AF62)&gt;0,", "&amp;A62&amp;"-"&amp;AF$2,"")&amp;IF(N(AG62)&gt;0,", "&amp;A62&amp;"-"&amp;AG$2,"")&amp;IF(N(AH62)&gt;0,", "&amp;A62&amp;"-"&amp;AH$2,"")&amp;IF(N(AI62)&gt;0,", "&amp;A62&amp;"-"&amp;AI$2,"")&amp;IF(N(AJ62)&gt;0,", "&amp;A62&amp;"-"&amp;AJ$2,""),3,999))</f>
        <v/>
      </c>
      <c r="AN62" s="81"/>
      <c r="AO62" s="88"/>
      <c r="AP62" s="89" t="str">
        <f aca="false">IF(AO62="","",ROUND(AO62/(1+Справочники!$B$13),2))</f>
        <v/>
      </c>
      <c r="AQ62" s="90" t="str">
        <f aca="false" t="array" ref="AQ62:AQ62">IF(AP62="","",AP62*INDEX(Справочники!$B$4:$B$7,MATCH("RUB",Справочники!$A$4:$A$7,0)))</f>
        <v/>
      </c>
      <c r="AR62" s="90" t="str">
        <f aca="false">IF(AQ62="","",ROUND(AQ62*(1+Справочники!$B$12),0))</f>
        <v/>
      </c>
      <c r="AS62" s="90" t="str">
        <f aca="false">IF(AR62="","",ROUND(AR62*(1-Справочники!$B$11),0))</f>
        <v/>
      </c>
      <c r="AT62" s="88"/>
      <c r="AU62" s="90" t="str">
        <f aca="false">IF(AT62="","",ROUND(AT62/(1+Справочники!$B$12),0))</f>
        <v/>
      </c>
      <c r="AV62" s="90" t="str">
        <f aca="false">IF(AT62="","",ROUND(AT62*(1-Справочники!$B$15),0))</f>
        <v/>
      </c>
      <c r="AW62" s="90" t="str">
        <f aca="false">IF(AT62="","",ROUND(AT62*(1-Справочники!$B$16),0))</f>
        <v/>
      </c>
      <c r="AX62" s="90" t="str">
        <f aca="false">IF(AT62="","",ROUND(AT62*(1-Справочники!$B$17),0))</f>
        <v/>
      </c>
      <c r="AY62" s="90" t="str">
        <f aca="false">IF(AT62="","",ROUND(AT62*(1-Справочники!$B$18),0))</f>
        <v/>
      </c>
      <c r="AZ62" s="90" t="str">
        <f aca="false">IF(AT62="","",ROUND(AT62*(1-Справочники!$B$19),0))</f>
        <v/>
      </c>
      <c r="BA62" s="81"/>
      <c r="BB62" s="81"/>
      <c r="BC62" s="81"/>
      <c r="BD62" s="81"/>
      <c r="BE62" s="91"/>
      <c r="BF62" s="81" t="s">
        <v>103</v>
      </c>
      <c r="BG62" s="89" t="n">
        <f aca="false" t="array" ref="BG62:BG62">IF(BF62="","",IFERROR(INDEX(Справочники!$B$4:$B$7,MATCH(BF62,Справочники!$A$4:$A$7,0)),""))</f>
        <v>68.5</v>
      </c>
      <c r="BH62" s="90" t="str">
        <f aca="false">IF(N(BN62)&gt;0,ROUND(SUMIF(ЗАКАЗЫ!$F$3:$F$500,$A62,ЗАКАЗЫ!$Y$3:$Y$500)/BN62,0),IF(OR(BE62="",BG62=""),"",ROUND(BE62*BG62*(1+Справочники!$B$10),0)))</f>
        <v/>
      </c>
      <c r="BI62" s="92" t="str">
        <f aca="false">IF(OR(AU62="",BH62="",AU62=0),"",(AU62-BH62)/AU62)</f>
        <v/>
      </c>
      <c r="BJ62" s="81"/>
      <c r="BK62" s="83"/>
      <c r="BL62" s="43" t="str">
        <f aca="false">IFERROR(INDEX(ЗАКАЗЫ!$N$3:$N$500,MATCH($A62,ЗАКАЗЫ!$F$3:$F$500,0)),"")</f>
        <v/>
      </c>
      <c r="BM62" s="8" t="str">
        <f aca="false">IF(BL62="","",IFERROR(VLOOKUP(BL62,'ТН ВЭД'!$A$4:$C$40,3,0),""))</f>
        <v/>
      </c>
      <c r="BN62" s="7" t="str">
        <f aca="false">IF(COUNTIF(ЗАКАЗЫ!$F$3:$F$500,$A62)=0,"",SUMIF(ЗАКАЗЫ!$F$3:$F$500,$A62,ЗАКАЗЫ!$J$3:$J$500))</f>
        <v/>
      </c>
      <c r="BO62" s="7" t="str">
        <f aca="false">IF(BN62="","",SUMIF(ЗАКАЗЫ!$F$3:$F$500,$A62,ЗАКАЗЫ!$AL$3:$AL$500))</f>
        <v/>
      </c>
      <c r="BP62" s="7" t="str">
        <f aca="false">IF(BN62="","",BN62-BO62)</f>
        <v/>
      </c>
      <c r="BQ62" s="55" t="str">
        <f aca="false">IF(BN62="","",IF(BO62&gt;=BN62,"На складе",IF(BO62&gt;0,"Частично","Ждём")))</f>
        <v/>
      </c>
      <c r="BR62" s="43"/>
      <c r="BS62" s="47" t="str">
        <f aca="false">IF(BN62="","",IF(_xlfn.MAXIFS(ЗАКАЗЫ!$AK$3:$AK$500,ЗАКАЗЫ!$F$3:$F$500,$A62)=0,"",_xlfn.MAXIFS(ЗАКАЗЫ!$AK$3:$AK$500,ЗАКАЗЫ!$F$3:$F$500,$A62)))</f>
        <v/>
      </c>
    </row>
    <row r="63" customFormat="false" ht="15.75" hidden="false" customHeight="true" outlineLevel="0" collapsed="false">
      <c r="A63" s="80" t="s">
        <v>537</v>
      </c>
      <c r="B63" s="81"/>
      <c r="C63" s="81"/>
      <c r="D63" s="81"/>
      <c r="E63" s="83"/>
      <c r="F63" s="81"/>
      <c r="G63" s="83"/>
      <c r="H63" s="83"/>
      <c r="I63" s="84" t="str">
        <f aca="false">IF(E63="","",A63&amp;"_1.jpg")</f>
        <v/>
      </c>
      <c r="J63" s="84" t="str">
        <f aca="false">IF(E63="","",A63&amp;"_2.jpg; "&amp;A63&amp;"_3.jpg")</f>
        <v/>
      </c>
      <c r="K63" s="84" t="str">
        <f aca="false">IF(E63="","",A63&amp;"_schema.jpg")</f>
        <v/>
      </c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 t="s">
        <v>261</v>
      </c>
      <c r="W63" s="81"/>
      <c r="X63" s="81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6" t="str">
        <f aca="false">IF(SUM(Y63:AJ63)=0,"",SUM(Y63:AJ63))</f>
        <v/>
      </c>
      <c r="AL63" s="84" t="str">
        <f aca="false">MID(IF(N(Y63)&gt;0,", "&amp;Y$2,"")&amp;IF(N(Z63)&gt;0,", "&amp;Z$2,"")&amp;IF(N(AA63)&gt;0,", "&amp;AA$2,"")&amp;IF(N(AB63)&gt;0,", "&amp;AB$2,"")&amp;IF(N(AC63)&gt;0,", "&amp;AC$2,"")&amp;IF(N(AD63)&gt;0,", "&amp;AD$2,"")&amp;IF(N(AE63)&gt;0,", "&amp;AE$2,"")&amp;IF(N(AF63)&gt;0,", "&amp;AF$2,"")&amp;IF(N(AG63)&gt;0,", "&amp;AG$2,"")&amp;IF(N(AH63)&gt;0,", "&amp;AH$2,"")&amp;IF(N(AI63)&gt;0,", "&amp;AI$2,"")&amp;IF(N(AJ63)&gt;0,", "&amp;AJ$2,""),3,999)</f>
        <v/>
      </c>
      <c r="AM63" s="87" t="str">
        <f aca="false">IF(E63="","",MID(IF(N(Y63)&gt;0,", "&amp;A63&amp;"-"&amp;Y$2,"")&amp;IF(N(Z63)&gt;0,", "&amp;A63&amp;"-"&amp;Z$2,"")&amp;IF(N(AA63)&gt;0,", "&amp;A63&amp;"-"&amp;AA$2,"")&amp;IF(N(AB63)&gt;0,", "&amp;A63&amp;"-"&amp;AB$2,"")&amp;IF(N(AC63)&gt;0,", "&amp;A63&amp;"-"&amp;AC$2,"")&amp;IF(N(AD63)&gt;0,", "&amp;A63&amp;"-"&amp;AD$2,"")&amp;IF(N(AE63)&gt;0,", "&amp;A63&amp;"-"&amp;AE$2,"")&amp;IF(N(AF63)&gt;0,", "&amp;A63&amp;"-"&amp;AF$2,"")&amp;IF(N(AG63)&gt;0,", "&amp;A63&amp;"-"&amp;AG$2,"")&amp;IF(N(AH63)&gt;0,", "&amp;A63&amp;"-"&amp;AH$2,"")&amp;IF(N(AI63)&gt;0,", "&amp;A63&amp;"-"&amp;AI$2,"")&amp;IF(N(AJ63)&gt;0,", "&amp;A63&amp;"-"&amp;AJ$2,""),3,999))</f>
        <v/>
      </c>
      <c r="AN63" s="81"/>
      <c r="AO63" s="88"/>
      <c r="AP63" s="89" t="str">
        <f aca="false">IF(AO63="","",ROUND(AO63/(1+Справочники!$B$13),2))</f>
        <v/>
      </c>
      <c r="AQ63" s="90" t="str">
        <f aca="false" t="array" ref="AQ63:AQ63">IF(AP63="","",AP63*INDEX(Справочники!$B$4:$B$7,MATCH("RUB",Справочники!$A$4:$A$7,0)))</f>
        <v/>
      </c>
      <c r="AR63" s="90" t="str">
        <f aca="false">IF(AQ63="","",ROUND(AQ63*(1+Справочники!$B$12),0))</f>
        <v/>
      </c>
      <c r="AS63" s="90" t="str">
        <f aca="false">IF(AR63="","",ROUND(AR63*(1-Справочники!$B$11),0))</f>
        <v/>
      </c>
      <c r="AT63" s="88"/>
      <c r="AU63" s="90" t="str">
        <f aca="false">IF(AT63="","",ROUND(AT63/(1+Справочники!$B$12),0))</f>
        <v/>
      </c>
      <c r="AV63" s="90" t="str">
        <f aca="false">IF(AT63="","",ROUND(AT63*(1-Справочники!$B$15),0))</f>
        <v/>
      </c>
      <c r="AW63" s="90" t="str">
        <f aca="false">IF(AT63="","",ROUND(AT63*(1-Справочники!$B$16),0))</f>
        <v/>
      </c>
      <c r="AX63" s="90" t="str">
        <f aca="false">IF(AT63="","",ROUND(AT63*(1-Справочники!$B$17),0))</f>
        <v/>
      </c>
      <c r="AY63" s="90" t="str">
        <f aca="false">IF(AT63="","",ROUND(AT63*(1-Справочники!$B$18),0))</f>
        <v/>
      </c>
      <c r="AZ63" s="90" t="str">
        <f aca="false">IF(AT63="","",ROUND(AT63*(1-Справочники!$B$19),0))</f>
        <v/>
      </c>
      <c r="BA63" s="81"/>
      <c r="BB63" s="81"/>
      <c r="BC63" s="81"/>
      <c r="BD63" s="81"/>
      <c r="BE63" s="91"/>
      <c r="BF63" s="81" t="s">
        <v>103</v>
      </c>
      <c r="BG63" s="89" t="n">
        <f aca="false" t="array" ref="BG63:BG63">IF(BF63="","",IFERROR(INDEX(Справочники!$B$4:$B$7,MATCH(BF63,Справочники!$A$4:$A$7,0)),""))</f>
        <v>68.5</v>
      </c>
      <c r="BH63" s="90" t="str">
        <f aca="false">IF(N(BN63)&gt;0,ROUND(SUMIF(ЗАКАЗЫ!$F$3:$F$500,$A63,ЗАКАЗЫ!$Y$3:$Y$500)/BN63,0),IF(OR(BE63="",BG63=""),"",ROUND(BE63*BG63*(1+Справочники!$B$10),0)))</f>
        <v/>
      </c>
      <c r="BI63" s="92" t="str">
        <f aca="false">IF(OR(AU63="",BH63="",AU63=0),"",(AU63-BH63)/AU63)</f>
        <v/>
      </c>
      <c r="BJ63" s="81"/>
      <c r="BK63" s="83"/>
      <c r="BL63" s="43" t="str">
        <f aca="false">IFERROR(INDEX(ЗАКАЗЫ!$N$3:$N$500,MATCH($A63,ЗАКАЗЫ!$F$3:$F$500,0)),"")</f>
        <v/>
      </c>
      <c r="BM63" s="8" t="str">
        <f aca="false">IF(BL63="","",IFERROR(VLOOKUP(BL63,'ТН ВЭД'!$A$4:$C$40,3,0),""))</f>
        <v/>
      </c>
      <c r="BN63" s="7" t="str">
        <f aca="false">IF(COUNTIF(ЗАКАЗЫ!$F$3:$F$500,$A63)=0,"",SUMIF(ЗАКАЗЫ!$F$3:$F$500,$A63,ЗАКАЗЫ!$J$3:$J$500))</f>
        <v/>
      </c>
      <c r="BO63" s="7" t="str">
        <f aca="false">IF(BN63="","",SUMIF(ЗАКАЗЫ!$F$3:$F$500,$A63,ЗАКАЗЫ!$AL$3:$AL$500))</f>
        <v/>
      </c>
      <c r="BP63" s="7" t="str">
        <f aca="false">IF(BN63="","",BN63-BO63)</f>
        <v/>
      </c>
      <c r="BQ63" s="55" t="str">
        <f aca="false">IF(BN63="","",IF(BO63&gt;=BN63,"На складе",IF(BO63&gt;0,"Частично","Ждём")))</f>
        <v/>
      </c>
      <c r="BR63" s="43"/>
      <c r="BS63" s="47" t="str">
        <f aca="false">IF(BN63="","",IF(_xlfn.MAXIFS(ЗАКАЗЫ!$AK$3:$AK$500,ЗАКАЗЫ!$F$3:$F$500,$A63)=0,"",_xlfn.MAXIFS(ЗАКАЗЫ!$AK$3:$AK$500,ЗАКАЗЫ!$F$3:$F$500,$A63)))</f>
        <v/>
      </c>
    </row>
    <row r="64" customFormat="false" ht="15.75" hidden="false" customHeight="true" outlineLevel="0" collapsed="false">
      <c r="A64" s="80" t="s">
        <v>538</v>
      </c>
      <c r="B64" s="81"/>
      <c r="C64" s="81"/>
      <c r="D64" s="81"/>
      <c r="E64" s="83"/>
      <c r="F64" s="81"/>
      <c r="G64" s="83"/>
      <c r="H64" s="83"/>
      <c r="I64" s="84" t="str">
        <f aca="false">IF(E64="","",A64&amp;"_1.jpg")</f>
        <v/>
      </c>
      <c r="J64" s="84" t="str">
        <f aca="false">IF(E64="","",A64&amp;"_2.jpg; "&amp;A64&amp;"_3.jpg")</f>
        <v/>
      </c>
      <c r="K64" s="84" t="str">
        <f aca="false">IF(E64="","",A64&amp;"_schema.jpg")</f>
        <v/>
      </c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 t="s">
        <v>261</v>
      </c>
      <c r="W64" s="81"/>
      <c r="X64" s="81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6" t="str">
        <f aca="false">IF(SUM(Y64:AJ64)=0,"",SUM(Y64:AJ64))</f>
        <v/>
      </c>
      <c r="AL64" s="84" t="str">
        <f aca="false">MID(IF(N(Y64)&gt;0,", "&amp;Y$2,"")&amp;IF(N(Z64)&gt;0,", "&amp;Z$2,"")&amp;IF(N(AA64)&gt;0,", "&amp;AA$2,"")&amp;IF(N(AB64)&gt;0,", "&amp;AB$2,"")&amp;IF(N(AC64)&gt;0,", "&amp;AC$2,"")&amp;IF(N(AD64)&gt;0,", "&amp;AD$2,"")&amp;IF(N(AE64)&gt;0,", "&amp;AE$2,"")&amp;IF(N(AF64)&gt;0,", "&amp;AF$2,"")&amp;IF(N(AG64)&gt;0,", "&amp;AG$2,"")&amp;IF(N(AH64)&gt;0,", "&amp;AH$2,"")&amp;IF(N(AI64)&gt;0,", "&amp;AI$2,"")&amp;IF(N(AJ64)&gt;0,", "&amp;AJ$2,""),3,999)</f>
        <v/>
      </c>
      <c r="AM64" s="87" t="str">
        <f aca="false">IF(E64="","",MID(IF(N(Y64)&gt;0,", "&amp;A64&amp;"-"&amp;Y$2,"")&amp;IF(N(Z64)&gt;0,", "&amp;A64&amp;"-"&amp;Z$2,"")&amp;IF(N(AA64)&gt;0,", "&amp;A64&amp;"-"&amp;AA$2,"")&amp;IF(N(AB64)&gt;0,", "&amp;A64&amp;"-"&amp;AB$2,"")&amp;IF(N(AC64)&gt;0,", "&amp;A64&amp;"-"&amp;AC$2,"")&amp;IF(N(AD64)&gt;0,", "&amp;A64&amp;"-"&amp;AD$2,"")&amp;IF(N(AE64)&gt;0,", "&amp;A64&amp;"-"&amp;AE$2,"")&amp;IF(N(AF64)&gt;0,", "&amp;A64&amp;"-"&amp;AF$2,"")&amp;IF(N(AG64)&gt;0,", "&amp;A64&amp;"-"&amp;AG$2,"")&amp;IF(N(AH64)&gt;0,", "&amp;A64&amp;"-"&amp;AH$2,"")&amp;IF(N(AI64)&gt;0,", "&amp;A64&amp;"-"&amp;AI$2,"")&amp;IF(N(AJ64)&gt;0,", "&amp;A64&amp;"-"&amp;AJ$2,""),3,999))</f>
        <v/>
      </c>
      <c r="AN64" s="81"/>
      <c r="AO64" s="88"/>
      <c r="AP64" s="89" t="str">
        <f aca="false">IF(AO64="","",ROUND(AO64/(1+Справочники!$B$13),2))</f>
        <v/>
      </c>
      <c r="AQ64" s="90" t="str">
        <f aca="false" t="array" ref="AQ64:AQ64">IF(AP64="","",AP64*INDEX(Справочники!$B$4:$B$7,MATCH("RUB",Справочники!$A$4:$A$7,0)))</f>
        <v/>
      </c>
      <c r="AR64" s="90" t="str">
        <f aca="false">IF(AQ64="","",ROUND(AQ64*(1+Справочники!$B$12),0))</f>
        <v/>
      </c>
      <c r="AS64" s="90" t="str">
        <f aca="false">IF(AR64="","",ROUND(AR64*(1-Справочники!$B$11),0))</f>
        <v/>
      </c>
      <c r="AT64" s="88"/>
      <c r="AU64" s="90" t="str">
        <f aca="false">IF(AT64="","",ROUND(AT64/(1+Справочники!$B$12),0))</f>
        <v/>
      </c>
      <c r="AV64" s="90" t="str">
        <f aca="false">IF(AT64="","",ROUND(AT64*(1-Справочники!$B$15),0))</f>
        <v/>
      </c>
      <c r="AW64" s="90" t="str">
        <f aca="false">IF(AT64="","",ROUND(AT64*(1-Справочники!$B$16),0))</f>
        <v/>
      </c>
      <c r="AX64" s="90" t="str">
        <f aca="false">IF(AT64="","",ROUND(AT64*(1-Справочники!$B$17),0))</f>
        <v/>
      </c>
      <c r="AY64" s="90" t="str">
        <f aca="false">IF(AT64="","",ROUND(AT64*(1-Справочники!$B$18),0))</f>
        <v/>
      </c>
      <c r="AZ64" s="90" t="str">
        <f aca="false">IF(AT64="","",ROUND(AT64*(1-Справочники!$B$19),0))</f>
        <v/>
      </c>
      <c r="BA64" s="81"/>
      <c r="BB64" s="81"/>
      <c r="BC64" s="81"/>
      <c r="BD64" s="81"/>
      <c r="BE64" s="91"/>
      <c r="BF64" s="81" t="s">
        <v>103</v>
      </c>
      <c r="BG64" s="89" t="n">
        <f aca="false" t="array" ref="BG64:BG64">IF(BF64="","",IFERROR(INDEX(Справочники!$B$4:$B$7,MATCH(BF64,Справочники!$A$4:$A$7,0)),""))</f>
        <v>68.5</v>
      </c>
      <c r="BH64" s="90" t="str">
        <f aca="false">IF(N(BN64)&gt;0,ROUND(SUMIF(ЗАКАЗЫ!$F$3:$F$500,$A64,ЗАКАЗЫ!$Y$3:$Y$500)/BN64,0),IF(OR(BE64="",BG64=""),"",ROUND(BE64*BG64*(1+Справочники!$B$10),0)))</f>
        <v/>
      </c>
      <c r="BI64" s="92" t="str">
        <f aca="false">IF(OR(AU64="",BH64="",AU64=0),"",(AU64-BH64)/AU64)</f>
        <v/>
      </c>
      <c r="BJ64" s="81"/>
      <c r="BK64" s="83"/>
      <c r="BL64" s="43" t="str">
        <f aca="false">IFERROR(INDEX(ЗАКАЗЫ!$N$3:$N$500,MATCH($A64,ЗАКАЗЫ!$F$3:$F$500,0)),"")</f>
        <v/>
      </c>
      <c r="BM64" s="8" t="str">
        <f aca="false">IF(BL64="","",IFERROR(VLOOKUP(BL64,'ТН ВЭД'!$A$4:$C$40,3,0),""))</f>
        <v/>
      </c>
      <c r="BN64" s="7" t="str">
        <f aca="false">IF(COUNTIF(ЗАКАЗЫ!$F$3:$F$500,$A64)=0,"",SUMIF(ЗАКАЗЫ!$F$3:$F$500,$A64,ЗАКАЗЫ!$J$3:$J$500))</f>
        <v/>
      </c>
      <c r="BO64" s="7" t="str">
        <f aca="false">IF(BN64="","",SUMIF(ЗАКАЗЫ!$F$3:$F$500,$A64,ЗАКАЗЫ!$AL$3:$AL$500))</f>
        <v/>
      </c>
      <c r="BP64" s="7" t="str">
        <f aca="false">IF(BN64="","",BN64-BO64)</f>
        <v/>
      </c>
      <c r="BQ64" s="55" t="str">
        <f aca="false">IF(BN64="","",IF(BO64&gt;=BN64,"На складе",IF(BO64&gt;0,"Частично","Ждём")))</f>
        <v/>
      </c>
      <c r="BR64" s="43"/>
      <c r="BS64" s="47" t="str">
        <f aca="false">IF(BN64="","",IF(_xlfn.MAXIFS(ЗАКАЗЫ!$AK$3:$AK$500,ЗАКАЗЫ!$F$3:$F$500,$A64)=0,"",_xlfn.MAXIFS(ЗАКАЗЫ!$AK$3:$AK$500,ЗАКАЗЫ!$F$3:$F$500,$A64)))</f>
        <v/>
      </c>
    </row>
    <row r="65" customFormat="false" ht="15.75" hidden="false" customHeight="true" outlineLevel="0" collapsed="false">
      <c r="A65" s="80" t="s">
        <v>539</v>
      </c>
      <c r="B65" s="81"/>
      <c r="C65" s="81"/>
      <c r="D65" s="81"/>
      <c r="E65" s="83"/>
      <c r="F65" s="81"/>
      <c r="G65" s="83"/>
      <c r="H65" s="83"/>
      <c r="I65" s="84" t="str">
        <f aca="false">IF(E65="","",A65&amp;"_1.jpg")</f>
        <v/>
      </c>
      <c r="J65" s="84" t="str">
        <f aca="false">IF(E65="","",A65&amp;"_2.jpg; "&amp;A65&amp;"_3.jpg")</f>
        <v/>
      </c>
      <c r="K65" s="84" t="str">
        <f aca="false">IF(E65="","",A65&amp;"_schema.jpg")</f>
        <v/>
      </c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 t="s">
        <v>261</v>
      </c>
      <c r="W65" s="81"/>
      <c r="X65" s="81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6" t="str">
        <f aca="false">IF(SUM(Y65:AJ65)=0,"",SUM(Y65:AJ65))</f>
        <v/>
      </c>
      <c r="AL65" s="84" t="str">
        <f aca="false">MID(IF(N(Y65)&gt;0,", "&amp;Y$2,"")&amp;IF(N(Z65)&gt;0,", "&amp;Z$2,"")&amp;IF(N(AA65)&gt;0,", "&amp;AA$2,"")&amp;IF(N(AB65)&gt;0,", "&amp;AB$2,"")&amp;IF(N(AC65)&gt;0,", "&amp;AC$2,"")&amp;IF(N(AD65)&gt;0,", "&amp;AD$2,"")&amp;IF(N(AE65)&gt;0,", "&amp;AE$2,"")&amp;IF(N(AF65)&gt;0,", "&amp;AF$2,"")&amp;IF(N(AG65)&gt;0,", "&amp;AG$2,"")&amp;IF(N(AH65)&gt;0,", "&amp;AH$2,"")&amp;IF(N(AI65)&gt;0,", "&amp;AI$2,"")&amp;IF(N(AJ65)&gt;0,", "&amp;AJ$2,""),3,999)</f>
        <v/>
      </c>
      <c r="AM65" s="87" t="str">
        <f aca="false">IF(E65="","",MID(IF(N(Y65)&gt;0,", "&amp;A65&amp;"-"&amp;Y$2,"")&amp;IF(N(Z65)&gt;0,", "&amp;A65&amp;"-"&amp;Z$2,"")&amp;IF(N(AA65)&gt;0,", "&amp;A65&amp;"-"&amp;AA$2,"")&amp;IF(N(AB65)&gt;0,", "&amp;A65&amp;"-"&amp;AB$2,"")&amp;IF(N(AC65)&gt;0,", "&amp;A65&amp;"-"&amp;AC$2,"")&amp;IF(N(AD65)&gt;0,", "&amp;A65&amp;"-"&amp;AD$2,"")&amp;IF(N(AE65)&gt;0,", "&amp;A65&amp;"-"&amp;AE$2,"")&amp;IF(N(AF65)&gt;0,", "&amp;A65&amp;"-"&amp;AF$2,"")&amp;IF(N(AG65)&gt;0,", "&amp;A65&amp;"-"&amp;AG$2,"")&amp;IF(N(AH65)&gt;0,", "&amp;A65&amp;"-"&amp;AH$2,"")&amp;IF(N(AI65)&gt;0,", "&amp;A65&amp;"-"&amp;AI$2,"")&amp;IF(N(AJ65)&gt;0,", "&amp;A65&amp;"-"&amp;AJ$2,""),3,999))</f>
        <v/>
      </c>
      <c r="AN65" s="81"/>
      <c r="AO65" s="88"/>
      <c r="AP65" s="89" t="str">
        <f aca="false">IF(AO65="","",ROUND(AO65/(1+Справочники!$B$13),2))</f>
        <v/>
      </c>
      <c r="AQ65" s="90" t="str">
        <f aca="false" t="array" ref="AQ65:AQ65">IF(AP65="","",AP65*INDEX(Справочники!$B$4:$B$7,MATCH("RUB",Справочники!$A$4:$A$7,0)))</f>
        <v/>
      </c>
      <c r="AR65" s="90" t="str">
        <f aca="false">IF(AQ65="","",ROUND(AQ65*(1+Справочники!$B$12),0))</f>
        <v/>
      </c>
      <c r="AS65" s="90" t="str">
        <f aca="false">IF(AR65="","",ROUND(AR65*(1-Справочники!$B$11),0))</f>
        <v/>
      </c>
      <c r="AT65" s="88"/>
      <c r="AU65" s="90" t="str">
        <f aca="false">IF(AT65="","",ROUND(AT65/(1+Справочники!$B$12),0))</f>
        <v/>
      </c>
      <c r="AV65" s="90" t="str">
        <f aca="false">IF(AT65="","",ROUND(AT65*(1-Справочники!$B$15),0))</f>
        <v/>
      </c>
      <c r="AW65" s="90" t="str">
        <f aca="false">IF(AT65="","",ROUND(AT65*(1-Справочники!$B$16),0))</f>
        <v/>
      </c>
      <c r="AX65" s="90" t="str">
        <f aca="false">IF(AT65="","",ROUND(AT65*(1-Справочники!$B$17),0))</f>
        <v/>
      </c>
      <c r="AY65" s="90" t="str">
        <f aca="false">IF(AT65="","",ROUND(AT65*(1-Справочники!$B$18),0))</f>
        <v/>
      </c>
      <c r="AZ65" s="90" t="str">
        <f aca="false">IF(AT65="","",ROUND(AT65*(1-Справочники!$B$19),0))</f>
        <v/>
      </c>
      <c r="BA65" s="81"/>
      <c r="BB65" s="81"/>
      <c r="BC65" s="81"/>
      <c r="BD65" s="81"/>
      <c r="BE65" s="91"/>
      <c r="BF65" s="81" t="s">
        <v>103</v>
      </c>
      <c r="BG65" s="89" t="n">
        <f aca="false" t="array" ref="BG65:BG65">IF(BF65="","",IFERROR(INDEX(Справочники!$B$4:$B$7,MATCH(BF65,Справочники!$A$4:$A$7,0)),""))</f>
        <v>68.5</v>
      </c>
      <c r="BH65" s="90" t="str">
        <f aca="false">IF(N(BN65)&gt;0,ROUND(SUMIF(ЗАКАЗЫ!$F$3:$F$500,$A65,ЗАКАЗЫ!$Y$3:$Y$500)/BN65,0),IF(OR(BE65="",BG65=""),"",ROUND(BE65*BG65*(1+Справочники!$B$10),0)))</f>
        <v/>
      </c>
      <c r="BI65" s="92" t="str">
        <f aca="false">IF(OR(AU65="",BH65="",AU65=0),"",(AU65-BH65)/AU65)</f>
        <v/>
      </c>
      <c r="BJ65" s="81"/>
      <c r="BK65" s="83"/>
      <c r="BL65" s="43" t="str">
        <f aca="false">IFERROR(INDEX(ЗАКАЗЫ!$N$3:$N$500,MATCH($A65,ЗАКАЗЫ!$F$3:$F$500,0)),"")</f>
        <v/>
      </c>
      <c r="BM65" s="8" t="str">
        <f aca="false">IF(BL65="","",IFERROR(VLOOKUP(BL65,'ТН ВЭД'!$A$4:$C$40,3,0),""))</f>
        <v/>
      </c>
      <c r="BN65" s="7" t="str">
        <f aca="false">IF(COUNTIF(ЗАКАЗЫ!$F$3:$F$500,$A65)=0,"",SUMIF(ЗАКАЗЫ!$F$3:$F$500,$A65,ЗАКАЗЫ!$J$3:$J$500))</f>
        <v/>
      </c>
      <c r="BO65" s="7" t="str">
        <f aca="false">IF(BN65="","",SUMIF(ЗАКАЗЫ!$F$3:$F$500,$A65,ЗАКАЗЫ!$AL$3:$AL$500))</f>
        <v/>
      </c>
      <c r="BP65" s="7" t="str">
        <f aca="false">IF(BN65="","",BN65-BO65)</f>
        <v/>
      </c>
      <c r="BQ65" s="55" t="str">
        <f aca="false">IF(BN65="","",IF(BO65&gt;=BN65,"На складе",IF(BO65&gt;0,"Частично","Ждём")))</f>
        <v/>
      </c>
      <c r="BR65" s="43"/>
      <c r="BS65" s="47" t="str">
        <f aca="false">IF(BN65="","",IF(_xlfn.MAXIFS(ЗАКАЗЫ!$AK$3:$AK$500,ЗАКАЗЫ!$F$3:$F$500,$A65)=0,"",_xlfn.MAXIFS(ЗАКАЗЫ!$AK$3:$AK$500,ЗАКАЗЫ!$F$3:$F$500,$A65)))</f>
        <v/>
      </c>
    </row>
    <row r="66" customFormat="false" ht="15.75" hidden="false" customHeight="true" outlineLevel="0" collapsed="false">
      <c r="A66" s="80" t="s">
        <v>540</v>
      </c>
      <c r="B66" s="81"/>
      <c r="C66" s="81"/>
      <c r="D66" s="81"/>
      <c r="E66" s="83"/>
      <c r="F66" s="81"/>
      <c r="G66" s="83"/>
      <c r="H66" s="83"/>
      <c r="I66" s="84" t="str">
        <f aca="false">IF(E66="","",A66&amp;"_1.jpg")</f>
        <v/>
      </c>
      <c r="J66" s="84" t="str">
        <f aca="false">IF(E66="","",A66&amp;"_2.jpg; "&amp;A66&amp;"_3.jpg")</f>
        <v/>
      </c>
      <c r="K66" s="84" t="str">
        <f aca="false">IF(E66="","",A66&amp;"_schema.jpg")</f>
        <v/>
      </c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 t="s">
        <v>261</v>
      </c>
      <c r="W66" s="81"/>
      <c r="X66" s="81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6" t="str">
        <f aca="false">IF(SUM(Y66:AJ66)=0,"",SUM(Y66:AJ66))</f>
        <v/>
      </c>
      <c r="AL66" s="84" t="str">
        <f aca="false">MID(IF(N(Y66)&gt;0,", "&amp;Y$2,"")&amp;IF(N(Z66)&gt;0,", "&amp;Z$2,"")&amp;IF(N(AA66)&gt;0,", "&amp;AA$2,"")&amp;IF(N(AB66)&gt;0,", "&amp;AB$2,"")&amp;IF(N(AC66)&gt;0,", "&amp;AC$2,"")&amp;IF(N(AD66)&gt;0,", "&amp;AD$2,"")&amp;IF(N(AE66)&gt;0,", "&amp;AE$2,"")&amp;IF(N(AF66)&gt;0,", "&amp;AF$2,"")&amp;IF(N(AG66)&gt;0,", "&amp;AG$2,"")&amp;IF(N(AH66)&gt;0,", "&amp;AH$2,"")&amp;IF(N(AI66)&gt;0,", "&amp;AI$2,"")&amp;IF(N(AJ66)&gt;0,", "&amp;AJ$2,""),3,999)</f>
        <v/>
      </c>
      <c r="AM66" s="87" t="str">
        <f aca="false">IF(E66="","",MID(IF(N(Y66)&gt;0,", "&amp;A66&amp;"-"&amp;Y$2,"")&amp;IF(N(Z66)&gt;0,", "&amp;A66&amp;"-"&amp;Z$2,"")&amp;IF(N(AA66)&gt;0,", "&amp;A66&amp;"-"&amp;AA$2,"")&amp;IF(N(AB66)&gt;0,", "&amp;A66&amp;"-"&amp;AB$2,"")&amp;IF(N(AC66)&gt;0,", "&amp;A66&amp;"-"&amp;AC$2,"")&amp;IF(N(AD66)&gt;0,", "&amp;A66&amp;"-"&amp;AD$2,"")&amp;IF(N(AE66)&gt;0,", "&amp;A66&amp;"-"&amp;AE$2,"")&amp;IF(N(AF66)&gt;0,", "&amp;A66&amp;"-"&amp;AF$2,"")&amp;IF(N(AG66)&gt;0,", "&amp;A66&amp;"-"&amp;AG$2,"")&amp;IF(N(AH66)&gt;0,", "&amp;A66&amp;"-"&amp;AH$2,"")&amp;IF(N(AI66)&gt;0,", "&amp;A66&amp;"-"&amp;AI$2,"")&amp;IF(N(AJ66)&gt;0,", "&amp;A66&amp;"-"&amp;AJ$2,""),3,999))</f>
        <v/>
      </c>
      <c r="AN66" s="81"/>
      <c r="AO66" s="88"/>
      <c r="AP66" s="89" t="str">
        <f aca="false">IF(AO66="","",ROUND(AO66/(1+Справочники!$B$13),2))</f>
        <v/>
      </c>
      <c r="AQ66" s="90" t="str">
        <f aca="false" t="array" ref="AQ66:AQ66">IF(AP66="","",AP66*INDEX(Справочники!$B$4:$B$7,MATCH("RUB",Справочники!$A$4:$A$7,0)))</f>
        <v/>
      </c>
      <c r="AR66" s="90" t="str">
        <f aca="false">IF(AQ66="","",ROUND(AQ66*(1+Справочники!$B$12),0))</f>
        <v/>
      </c>
      <c r="AS66" s="90" t="str">
        <f aca="false">IF(AR66="","",ROUND(AR66*(1-Справочники!$B$11),0))</f>
        <v/>
      </c>
      <c r="AT66" s="88"/>
      <c r="AU66" s="90" t="str">
        <f aca="false">IF(AT66="","",ROUND(AT66/(1+Справочники!$B$12),0))</f>
        <v/>
      </c>
      <c r="AV66" s="90" t="str">
        <f aca="false">IF(AT66="","",ROUND(AT66*(1-Справочники!$B$15),0))</f>
        <v/>
      </c>
      <c r="AW66" s="90" t="str">
        <f aca="false">IF(AT66="","",ROUND(AT66*(1-Справочники!$B$16),0))</f>
        <v/>
      </c>
      <c r="AX66" s="90" t="str">
        <f aca="false">IF(AT66="","",ROUND(AT66*(1-Справочники!$B$17),0))</f>
        <v/>
      </c>
      <c r="AY66" s="90" t="str">
        <f aca="false">IF(AT66="","",ROUND(AT66*(1-Справочники!$B$18),0))</f>
        <v/>
      </c>
      <c r="AZ66" s="90" t="str">
        <f aca="false">IF(AT66="","",ROUND(AT66*(1-Справочники!$B$19),0))</f>
        <v/>
      </c>
      <c r="BA66" s="81"/>
      <c r="BB66" s="81"/>
      <c r="BC66" s="81"/>
      <c r="BD66" s="81"/>
      <c r="BE66" s="91"/>
      <c r="BF66" s="81" t="s">
        <v>103</v>
      </c>
      <c r="BG66" s="89" t="n">
        <f aca="false" t="array" ref="BG66:BG66">IF(BF66="","",IFERROR(INDEX(Справочники!$B$4:$B$7,MATCH(BF66,Справочники!$A$4:$A$7,0)),""))</f>
        <v>68.5</v>
      </c>
      <c r="BH66" s="90" t="str">
        <f aca="false">IF(N(BN66)&gt;0,ROUND(SUMIF(ЗАКАЗЫ!$F$3:$F$500,$A66,ЗАКАЗЫ!$Y$3:$Y$500)/BN66,0),IF(OR(BE66="",BG66=""),"",ROUND(BE66*BG66*(1+Справочники!$B$10),0)))</f>
        <v/>
      </c>
      <c r="BI66" s="92" t="str">
        <f aca="false">IF(OR(AU66="",BH66="",AU66=0),"",(AU66-BH66)/AU66)</f>
        <v/>
      </c>
      <c r="BJ66" s="81"/>
      <c r="BK66" s="83"/>
      <c r="BL66" s="43" t="str">
        <f aca="false">IFERROR(INDEX(ЗАКАЗЫ!$N$3:$N$500,MATCH($A66,ЗАКАЗЫ!$F$3:$F$500,0)),"")</f>
        <v/>
      </c>
      <c r="BM66" s="8" t="str">
        <f aca="false">IF(BL66="","",IFERROR(VLOOKUP(BL66,'ТН ВЭД'!$A$4:$C$40,3,0),""))</f>
        <v/>
      </c>
      <c r="BN66" s="7" t="str">
        <f aca="false">IF(COUNTIF(ЗАКАЗЫ!$F$3:$F$500,$A66)=0,"",SUMIF(ЗАКАЗЫ!$F$3:$F$500,$A66,ЗАКАЗЫ!$J$3:$J$500))</f>
        <v/>
      </c>
      <c r="BO66" s="7" t="str">
        <f aca="false">IF(BN66="","",SUMIF(ЗАКАЗЫ!$F$3:$F$500,$A66,ЗАКАЗЫ!$AL$3:$AL$500))</f>
        <v/>
      </c>
      <c r="BP66" s="7" t="str">
        <f aca="false">IF(BN66="","",BN66-BO66)</f>
        <v/>
      </c>
      <c r="BQ66" s="55" t="str">
        <f aca="false">IF(BN66="","",IF(BO66&gt;=BN66,"На складе",IF(BO66&gt;0,"Частично","Ждём")))</f>
        <v/>
      </c>
      <c r="BR66" s="43"/>
      <c r="BS66" s="47" t="str">
        <f aca="false">IF(BN66="","",IF(_xlfn.MAXIFS(ЗАКАЗЫ!$AK$3:$AK$500,ЗАКАЗЫ!$F$3:$F$500,$A66)=0,"",_xlfn.MAXIFS(ЗАКАЗЫ!$AK$3:$AK$500,ЗАКАЗЫ!$F$3:$F$500,$A66)))</f>
        <v/>
      </c>
    </row>
    <row r="67" customFormat="false" ht="15.75" hidden="false" customHeight="true" outlineLevel="0" collapsed="false">
      <c r="A67" s="80" t="s">
        <v>541</v>
      </c>
      <c r="B67" s="81"/>
      <c r="C67" s="81"/>
      <c r="D67" s="81"/>
      <c r="E67" s="83"/>
      <c r="F67" s="81"/>
      <c r="G67" s="83"/>
      <c r="H67" s="83"/>
      <c r="I67" s="84" t="str">
        <f aca="false">IF(E67="","",A67&amp;"_1.jpg")</f>
        <v/>
      </c>
      <c r="J67" s="84" t="str">
        <f aca="false">IF(E67="","",A67&amp;"_2.jpg; "&amp;A67&amp;"_3.jpg")</f>
        <v/>
      </c>
      <c r="K67" s="84" t="str">
        <f aca="false">IF(E67="","",A67&amp;"_schema.jpg")</f>
        <v/>
      </c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 t="s">
        <v>261</v>
      </c>
      <c r="W67" s="81"/>
      <c r="X67" s="81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6" t="str">
        <f aca="false">IF(SUM(Y67:AJ67)=0,"",SUM(Y67:AJ67))</f>
        <v/>
      </c>
      <c r="AL67" s="84" t="str">
        <f aca="false">MID(IF(N(Y67)&gt;0,", "&amp;Y$2,"")&amp;IF(N(Z67)&gt;0,", "&amp;Z$2,"")&amp;IF(N(AA67)&gt;0,", "&amp;AA$2,"")&amp;IF(N(AB67)&gt;0,", "&amp;AB$2,"")&amp;IF(N(AC67)&gt;0,", "&amp;AC$2,"")&amp;IF(N(AD67)&gt;0,", "&amp;AD$2,"")&amp;IF(N(AE67)&gt;0,", "&amp;AE$2,"")&amp;IF(N(AF67)&gt;0,", "&amp;AF$2,"")&amp;IF(N(AG67)&gt;0,", "&amp;AG$2,"")&amp;IF(N(AH67)&gt;0,", "&amp;AH$2,"")&amp;IF(N(AI67)&gt;0,", "&amp;AI$2,"")&amp;IF(N(AJ67)&gt;0,", "&amp;AJ$2,""),3,999)</f>
        <v/>
      </c>
      <c r="AM67" s="87" t="str">
        <f aca="false">IF(E67="","",MID(IF(N(Y67)&gt;0,", "&amp;A67&amp;"-"&amp;Y$2,"")&amp;IF(N(Z67)&gt;0,", "&amp;A67&amp;"-"&amp;Z$2,"")&amp;IF(N(AA67)&gt;0,", "&amp;A67&amp;"-"&amp;AA$2,"")&amp;IF(N(AB67)&gt;0,", "&amp;A67&amp;"-"&amp;AB$2,"")&amp;IF(N(AC67)&gt;0,", "&amp;A67&amp;"-"&amp;AC$2,"")&amp;IF(N(AD67)&gt;0,", "&amp;A67&amp;"-"&amp;AD$2,"")&amp;IF(N(AE67)&gt;0,", "&amp;A67&amp;"-"&amp;AE$2,"")&amp;IF(N(AF67)&gt;0,", "&amp;A67&amp;"-"&amp;AF$2,"")&amp;IF(N(AG67)&gt;0,", "&amp;A67&amp;"-"&amp;AG$2,"")&amp;IF(N(AH67)&gt;0,", "&amp;A67&amp;"-"&amp;AH$2,"")&amp;IF(N(AI67)&gt;0,", "&amp;A67&amp;"-"&amp;AI$2,"")&amp;IF(N(AJ67)&gt;0,", "&amp;A67&amp;"-"&amp;AJ$2,""),3,999))</f>
        <v/>
      </c>
      <c r="AN67" s="81"/>
      <c r="AO67" s="88"/>
      <c r="AP67" s="89" t="str">
        <f aca="false">IF(AO67="","",ROUND(AO67/(1+Справочники!$B$13),2))</f>
        <v/>
      </c>
      <c r="AQ67" s="90" t="str">
        <f aca="false" t="array" ref="AQ67:AQ67">IF(AP67="","",AP67*INDEX(Справочники!$B$4:$B$7,MATCH("RUB",Справочники!$A$4:$A$7,0)))</f>
        <v/>
      </c>
      <c r="AR67" s="90" t="str">
        <f aca="false">IF(AQ67="","",ROUND(AQ67*(1+Справочники!$B$12),0))</f>
        <v/>
      </c>
      <c r="AS67" s="90" t="str">
        <f aca="false">IF(AR67="","",ROUND(AR67*(1-Справочники!$B$11),0))</f>
        <v/>
      </c>
      <c r="AT67" s="88"/>
      <c r="AU67" s="90" t="str">
        <f aca="false">IF(AT67="","",ROUND(AT67/(1+Справочники!$B$12),0))</f>
        <v/>
      </c>
      <c r="AV67" s="90" t="str">
        <f aca="false">IF(AT67="","",ROUND(AT67*(1-Справочники!$B$15),0))</f>
        <v/>
      </c>
      <c r="AW67" s="90" t="str">
        <f aca="false">IF(AT67="","",ROUND(AT67*(1-Справочники!$B$16),0))</f>
        <v/>
      </c>
      <c r="AX67" s="90" t="str">
        <f aca="false">IF(AT67="","",ROUND(AT67*(1-Справочники!$B$17),0))</f>
        <v/>
      </c>
      <c r="AY67" s="90" t="str">
        <f aca="false">IF(AT67="","",ROUND(AT67*(1-Справочники!$B$18),0))</f>
        <v/>
      </c>
      <c r="AZ67" s="90" t="str">
        <f aca="false">IF(AT67="","",ROUND(AT67*(1-Справочники!$B$19),0))</f>
        <v/>
      </c>
      <c r="BA67" s="81"/>
      <c r="BB67" s="81"/>
      <c r="BC67" s="81"/>
      <c r="BD67" s="81"/>
      <c r="BE67" s="91"/>
      <c r="BF67" s="81" t="s">
        <v>103</v>
      </c>
      <c r="BG67" s="89" t="n">
        <f aca="false" t="array" ref="BG67:BG67">IF(BF67="","",IFERROR(INDEX(Справочники!$B$4:$B$7,MATCH(BF67,Справочники!$A$4:$A$7,0)),""))</f>
        <v>68.5</v>
      </c>
      <c r="BH67" s="90" t="str">
        <f aca="false">IF(N(BN67)&gt;0,ROUND(SUMIF(ЗАКАЗЫ!$F$3:$F$500,$A67,ЗАКАЗЫ!$Y$3:$Y$500)/BN67,0),IF(OR(BE67="",BG67=""),"",ROUND(BE67*BG67*(1+Справочники!$B$10),0)))</f>
        <v/>
      </c>
      <c r="BI67" s="92" t="str">
        <f aca="false">IF(OR(AU67="",BH67="",AU67=0),"",(AU67-BH67)/AU67)</f>
        <v/>
      </c>
      <c r="BJ67" s="81"/>
      <c r="BK67" s="83"/>
      <c r="BL67" s="43" t="str">
        <f aca="false">IFERROR(INDEX(ЗАКАЗЫ!$N$3:$N$500,MATCH($A67,ЗАКАЗЫ!$F$3:$F$500,0)),"")</f>
        <v/>
      </c>
      <c r="BM67" s="8" t="str">
        <f aca="false">IF(BL67="","",IFERROR(VLOOKUP(BL67,'ТН ВЭД'!$A$4:$C$40,3,0),""))</f>
        <v/>
      </c>
      <c r="BN67" s="7" t="str">
        <f aca="false">IF(COUNTIF(ЗАКАЗЫ!$F$3:$F$500,$A67)=0,"",SUMIF(ЗАКАЗЫ!$F$3:$F$500,$A67,ЗАКАЗЫ!$J$3:$J$500))</f>
        <v/>
      </c>
      <c r="BO67" s="7" t="str">
        <f aca="false">IF(BN67="","",SUMIF(ЗАКАЗЫ!$F$3:$F$500,$A67,ЗАКАЗЫ!$AL$3:$AL$500))</f>
        <v/>
      </c>
      <c r="BP67" s="7" t="str">
        <f aca="false">IF(BN67="","",BN67-BO67)</f>
        <v/>
      </c>
      <c r="BQ67" s="55" t="str">
        <f aca="false">IF(BN67="","",IF(BO67&gt;=BN67,"На складе",IF(BO67&gt;0,"Частично","Ждём")))</f>
        <v/>
      </c>
      <c r="BR67" s="43"/>
      <c r="BS67" s="47" t="str">
        <f aca="false">IF(BN67="","",IF(_xlfn.MAXIFS(ЗАКАЗЫ!$AK$3:$AK$500,ЗАКАЗЫ!$F$3:$F$500,$A67)=0,"",_xlfn.MAXIFS(ЗАКАЗЫ!$AK$3:$AK$500,ЗАКАЗЫ!$F$3:$F$500,$A67)))</f>
        <v/>
      </c>
    </row>
    <row r="68" customFormat="false" ht="15.75" hidden="false" customHeight="true" outlineLevel="0" collapsed="false">
      <c r="A68" s="80" t="s">
        <v>542</v>
      </c>
      <c r="B68" s="81"/>
      <c r="C68" s="81"/>
      <c r="D68" s="81"/>
      <c r="E68" s="83"/>
      <c r="F68" s="81"/>
      <c r="G68" s="83"/>
      <c r="H68" s="83"/>
      <c r="I68" s="84" t="str">
        <f aca="false">IF(E68="","",A68&amp;"_1.jpg")</f>
        <v/>
      </c>
      <c r="J68" s="84" t="str">
        <f aca="false">IF(E68="","",A68&amp;"_2.jpg; "&amp;A68&amp;"_3.jpg")</f>
        <v/>
      </c>
      <c r="K68" s="84" t="str">
        <f aca="false">IF(E68="","",A68&amp;"_schema.jpg")</f>
        <v/>
      </c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 t="s">
        <v>261</v>
      </c>
      <c r="W68" s="81"/>
      <c r="X68" s="81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6" t="str">
        <f aca="false">IF(SUM(Y68:AJ68)=0,"",SUM(Y68:AJ68))</f>
        <v/>
      </c>
      <c r="AL68" s="84" t="str">
        <f aca="false">MID(IF(N(Y68)&gt;0,", "&amp;Y$2,"")&amp;IF(N(Z68)&gt;0,", "&amp;Z$2,"")&amp;IF(N(AA68)&gt;0,", "&amp;AA$2,"")&amp;IF(N(AB68)&gt;0,", "&amp;AB$2,"")&amp;IF(N(AC68)&gt;0,", "&amp;AC$2,"")&amp;IF(N(AD68)&gt;0,", "&amp;AD$2,"")&amp;IF(N(AE68)&gt;0,", "&amp;AE$2,"")&amp;IF(N(AF68)&gt;0,", "&amp;AF$2,"")&amp;IF(N(AG68)&gt;0,", "&amp;AG$2,"")&amp;IF(N(AH68)&gt;0,", "&amp;AH$2,"")&amp;IF(N(AI68)&gt;0,", "&amp;AI$2,"")&amp;IF(N(AJ68)&gt;0,", "&amp;AJ$2,""),3,999)</f>
        <v/>
      </c>
      <c r="AM68" s="87" t="str">
        <f aca="false">IF(E68="","",MID(IF(N(Y68)&gt;0,", "&amp;A68&amp;"-"&amp;Y$2,"")&amp;IF(N(Z68)&gt;0,", "&amp;A68&amp;"-"&amp;Z$2,"")&amp;IF(N(AA68)&gt;0,", "&amp;A68&amp;"-"&amp;AA$2,"")&amp;IF(N(AB68)&gt;0,", "&amp;A68&amp;"-"&amp;AB$2,"")&amp;IF(N(AC68)&gt;0,", "&amp;A68&amp;"-"&amp;AC$2,"")&amp;IF(N(AD68)&gt;0,", "&amp;A68&amp;"-"&amp;AD$2,"")&amp;IF(N(AE68)&gt;0,", "&amp;A68&amp;"-"&amp;AE$2,"")&amp;IF(N(AF68)&gt;0,", "&amp;A68&amp;"-"&amp;AF$2,"")&amp;IF(N(AG68)&gt;0,", "&amp;A68&amp;"-"&amp;AG$2,"")&amp;IF(N(AH68)&gt;0,", "&amp;A68&amp;"-"&amp;AH$2,"")&amp;IF(N(AI68)&gt;0,", "&amp;A68&amp;"-"&amp;AI$2,"")&amp;IF(N(AJ68)&gt;0,", "&amp;A68&amp;"-"&amp;AJ$2,""),3,999))</f>
        <v/>
      </c>
      <c r="AN68" s="81"/>
      <c r="AO68" s="88"/>
      <c r="AP68" s="89" t="str">
        <f aca="false">IF(AO68="","",ROUND(AO68/(1+Справочники!$B$13),2))</f>
        <v/>
      </c>
      <c r="AQ68" s="90" t="str">
        <f aca="false" t="array" ref="AQ68:AQ68">IF(AP68="","",AP68*INDEX(Справочники!$B$4:$B$7,MATCH("RUB",Справочники!$A$4:$A$7,0)))</f>
        <v/>
      </c>
      <c r="AR68" s="90" t="str">
        <f aca="false">IF(AQ68="","",ROUND(AQ68*(1+Справочники!$B$12),0))</f>
        <v/>
      </c>
      <c r="AS68" s="90" t="str">
        <f aca="false">IF(AR68="","",ROUND(AR68*(1-Справочники!$B$11),0))</f>
        <v/>
      </c>
      <c r="AT68" s="88"/>
      <c r="AU68" s="90" t="str">
        <f aca="false">IF(AT68="","",ROUND(AT68/(1+Справочники!$B$12),0))</f>
        <v/>
      </c>
      <c r="AV68" s="90" t="str">
        <f aca="false">IF(AT68="","",ROUND(AT68*(1-Справочники!$B$15),0))</f>
        <v/>
      </c>
      <c r="AW68" s="90" t="str">
        <f aca="false">IF(AT68="","",ROUND(AT68*(1-Справочники!$B$16),0))</f>
        <v/>
      </c>
      <c r="AX68" s="90" t="str">
        <f aca="false">IF(AT68="","",ROUND(AT68*(1-Справочники!$B$17),0))</f>
        <v/>
      </c>
      <c r="AY68" s="90" t="str">
        <f aca="false">IF(AT68="","",ROUND(AT68*(1-Справочники!$B$18),0))</f>
        <v/>
      </c>
      <c r="AZ68" s="90" t="str">
        <f aca="false">IF(AT68="","",ROUND(AT68*(1-Справочники!$B$19),0))</f>
        <v/>
      </c>
      <c r="BA68" s="81"/>
      <c r="BB68" s="81"/>
      <c r="BC68" s="81"/>
      <c r="BD68" s="81"/>
      <c r="BE68" s="91"/>
      <c r="BF68" s="81" t="s">
        <v>103</v>
      </c>
      <c r="BG68" s="89" t="n">
        <f aca="false" t="array" ref="BG68:BG68">IF(BF68="","",IFERROR(INDEX(Справочники!$B$4:$B$7,MATCH(BF68,Справочники!$A$4:$A$7,0)),""))</f>
        <v>68.5</v>
      </c>
      <c r="BH68" s="90" t="str">
        <f aca="false">IF(N(BN68)&gt;0,ROUND(SUMIF(ЗАКАЗЫ!$F$3:$F$500,$A68,ЗАКАЗЫ!$Y$3:$Y$500)/BN68,0),IF(OR(BE68="",BG68=""),"",ROUND(BE68*BG68*(1+Справочники!$B$10),0)))</f>
        <v/>
      </c>
      <c r="BI68" s="92" t="str">
        <f aca="false">IF(OR(AU68="",BH68="",AU68=0),"",(AU68-BH68)/AU68)</f>
        <v/>
      </c>
      <c r="BJ68" s="81"/>
      <c r="BK68" s="83"/>
      <c r="BL68" s="43" t="str">
        <f aca="false">IFERROR(INDEX(ЗАКАЗЫ!$N$3:$N$500,MATCH($A68,ЗАКАЗЫ!$F$3:$F$500,0)),"")</f>
        <v/>
      </c>
      <c r="BM68" s="8" t="str">
        <f aca="false">IF(BL68="","",IFERROR(VLOOKUP(BL68,'ТН ВЭД'!$A$4:$C$40,3,0),""))</f>
        <v/>
      </c>
      <c r="BN68" s="7" t="str">
        <f aca="false">IF(COUNTIF(ЗАКАЗЫ!$F$3:$F$500,$A68)=0,"",SUMIF(ЗАКАЗЫ!$F$3:$F$500,$A68,ЗАКАЗЫ!$J$3:$J$500))</f>
        <v/>
      </c>
      <c r="BO68" s="7" t="str">
        <f aca="false">IF(BN68="","",SUMIF(ЗАКАЗЫ!$F$3:$F$500,$A68,ЗАКАЗЫ!$AL$3:$AL$500))</f>
        <v/>
      </c>
      <c r="BP68" s="7" t="str">
        <f aca="false">IF(BN68="","",BN68-BO68)</f>
        <v/>
      </c>
      <c r="BQ68" s="55" t="str">
        <f aca="false">IF(BN68="","",IF(BO68&gt;=BN68,"На складе",IF(BO68&gt;0,"Частично","Ждём")))</f>
        <v/>
      </c>
      <c r="BR68" s="43"/>
      <c r="BS68" s="47" t="str">
        <f aca="false">IF(BN68="","",IF(_xlfn.MAXIFS(ЗАКАЗЫ!$AK$3:$AK$500,ЗАКАЗЫ!$F$3:$F$500,$A68)=0,"",_xlfn.MAXIFS(ЗАКАЗЫ!$AK$3:$AK$500,ЗАКАЗЫ!$F$3:$F$500,$A68)))</f>
        <v/>
      </c>
    </row>
    <row r="69" customFormat="false" ht="15.75" hidden="false" customHeight="true" outlineLevel="0" collapsed="false">
      <c r="A69" s="80" t="s">
        <v>543</v>
      </c>
      <c r="B69" s="81"/>
      <c r="C69" s="81"/>
      <c r="D69" s="81"/>
      <c r="E69" s="83"/>
      <c r="F69" s="81"/>
      <c r="G69" s="83"/>
      <c r="H69" s="83"/>
      <c r="I69" s="84" t="str">
        <f aca="false">IF(E69="","",A69&amp;"_1.jpg")</f>
        <v/>
      </c>
      <c r="J69" s="84" t="str">
        <f aca="false">IF(E69="","",A69&amp;"_2.jpg; "&amp;A69&amp;"_3.jpg")</f>
        <v/>
      </c>
      <c r="K69" s="84" t="str">
        <f aca="false">IF(E69="","",A69&amp;"_schema.jpg")</f>
        <v/>
      </c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 t="s">
        <v>261</v>
      </c>
      <c r="W69" s="81"/>
      <c r="X69" s="81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6" t="str">
        <f aca="false">IF(SUM(Y69:AJ69)=0,"",SUM(Y69:AJ69))</f>
        <v/>
      </c>
      <c r="AL69" s="84" t="str">
        <f aca="false">MID(IF(N(Y69)&gt;0,", "&amp;Y$2,"")&amp;IF(N(Z69)&gt;0,", "&amp;Z$2,"")&amp;IF(N(AA69)&gt;0,", "&amp;AA$2,"")&amp;IF(N(AB69)&gt;0,", "&amp;AB$2,"")&amp;IF(N(AC69)&gt;0,", "&amp;AC$2,"")&amp;IF(N(AD69)&gt;0,", "&amp;AD$2,"")&amp;IF(N(AE69)&gt;0,", "&amp;AE$2,"")&amp;IF(N(AF69)&gt;0,", "&amp;AF$2,"")&amp;IF(N(AG69)&gt;0,", "&amp;AG$2,"")&amp;IF(N(AH69)&gt;0,", "&amp;AH$2,"")&amp;IF(N(AI69)&gt;0,", "&amp;AI$2,"")&amp;IF(N(AJ69)&gt;0,", "&amp;AJ$2,""),3,999)</f>
        <v/>
      </c>
      <c r="AM69" s="87" t="str">
        <f aca="false">IF(E69="","",MID(IF(N(Y69)&gt;0,", "&amp;A69&amp;"-"&amp;Y$2,"")&amp;IF(N(Z69)&gt;0,", "&amp;A69&amp;"-"&amp;Z$2,"")&amp;IF(N(AA69)&gt;0,", "&amp;A69&amp;"-"&amp;AA$2,"")&amp;IF(N(AB69)&gt;0,", "&amp;A69&amp;"-"&amp;AB$2,"")&amp;IF(N(AC69)&gt;0,", "&amp;A69&amp;"-"&amp;AC$2,"")&amp;IF(N(AD69)&gt;0,", "&amp;A69&amp;"-"&amp;AD$2,"")&amp;IF(N(AE69)&gt;0,", "&amp;A69&amp;"-"&amp;AE$2,"")&amp;IF(N(AF69)&gt;0,", "&amp;A69&amp;"-"&amp;AF$2,"")&amp;IF(N(AG69)&gt;0,", "&amp;A69&amp;"-"&amp;AG$2,"")&amp;IF(N(AH69)&gt;0,", "&amp;A69&amp;"-"&amp;AH$2,"")&amp;IF(N(AI69)&gt;0,", "&amp;A69&amp;"-"&amp;AI$2,"")&amp;IF(N(AJ69)&gt;0,", "&amp;A69&amp;"-"&amp;AJ$2,""),3,999))</f>
        <v/>
      </c>
      <c r="AN69" s="81"/>
      <c r="AO69" s="88"/>
      <c r="AP69" s="89" t="str">
        <f aca="false">IF(AO69="","",ROUND(AO69/(1+Справочники!$B$13),2))</f>
        <v/>
      </c>
      <c r="AQ69" s="90" t="str">
        <f aca="false" t="array" ref="AQ69:AQ69">IF(AP69="","",AP69*INDEX(Справочники!$B$4:$B$7,MATCH("RUB",Справочники!$A$4:$A$7,0)))</f>
        <v/>
      </c>
      <c r="AR69" s="90" t="str">
        <f aca="false">IF(AQ69="","",ROUND(AQ69*(1+Справочники!$B$12),0))</f>
        <v/>
      </c>
      <c r="AS69" s="90" t="str">
        <f aca="false">IF(AR69="","",ROUND(AR69*(1-Справочники!$B$11),0))</f>
        <v/>
      </c>
      <c r="AT69" s="88"/>
      <c r="AU69" s="90" t="str">
        <f aca="false">IF(AT69="","",ROUND(AT69/(1+Справочники!$B$12),0))</f>
        <v/>
      </c>
      <c r="AV69" s="90" t="str">
        <f aca="false">IF(AT69="","",ROUND(AT69*(1-Справочники!$B$15),0))</f>
        <v/>
      </c>
      <c r="AW69" s="90" t="str">
        <f aca="false">IF(AT69="","",ROUND(AT69*(1-Справочники!$B$16),0))</f>
        <v/>
      </c>
      <c r="AX69" s="90" t="str">
        <f aca="false">IF(AT69="","",ROUND(AT69*(1-Справочники!$B$17),0))</f>
        <v/>
      </c>
      <c r="AY69" s="90" t="str">
        <f aca="false">IF(AT69="","",ROUND(AT69*(1-Справочники!$B$18),0))</f>
        <v/>
      </c>
      <c r="AZ69" s="90" t="str">
        <f aca="false">IF(AT69="","",ROUND(AT69*(1-Справочники!$B$19),0))</f>
        <v/>
      </c>
      <c r="BA69" s="81"/>
      <c r="BB69" s="81"/>
      <c r="BC69" s="81"/>
      <c r="BD69" s="81"/>
      <c r="BE69" s="91"/>
      <c r="BF69" s="81" t="s">
        <v>103</v>
      </c>
      <c r="BG69" s="89" t="n">
        <f aca="false" t="array" ref="BG69:BG69">IF(BF69="","",IFERROR(INDEX(Справочники!$B$4:$B$7,MATCH(BF69,Справочники!$A$4:$A$7,0)),""))</f>
        <v>68.5</v>
      </c>
      <c r="BH69" s="90" t="str">
        <f aca="false">IF(N(BN69)&gt;0,ROUND(SUMIF(ЗАКАЗЫ!$F$3:$F$500,$A69,ЗАКАЗЫ!$Y$3:$Y$500)/BN69,0),IF(OR(BE69="",BG69=""),"",ROUND(BE69*BG69*(1+Справочники!$B$10),0)))</f>
        <v/>
      </c>
      <c r="BI69" s="92" t="str">
        <f aca="false">IF(OR(AU69="",BH69="",AU69=0),"",(AU69-BH69)/AU69)</f>
        <v/>
      </c>
      <c r="BJ69" s="81"/>
      <c r="BK69" s="83"/>
      <c r="BL69" s="43" t="str">
        <f aca="false">IFERROR(INDEX(ЗАКАЗЫ!$N$3:$N$500,MATCH($A69,ЗАКАЗЫ!$F$3:$F$500,0)),"")</f>
        <v/>
      </c>
      <c r="BM69" s="8" t="str">
        <f aca="false">IF(BL69="","",IFERROR(VLOOKUP(BL69,'ТН ВЭД'!$A$4:$C$40,3,0),""))</f>
        <v/>
      </c>
      <c r="BN69" s="7" t="str">
        <f aca="false">IF(COUNTIF(ЗАКАЗЫ!$F$3:$F$500,$A69)=0,"",SUMIF(ЗАКАЗЫ!$F$3:$F$500,$A69,ЗАКАЗЫ!$J$3:$J$500))</f>
        <v/>
      </c>
      <c r="BO69" s="7" t="str">
        <f aca="false">IF(BN69="","",SUMIF(ЗАКАЗЫ!$F$3:$F$500,$A69,ЗАКАЗЫ!$AL$3:$AL$500))</f>
        <v/>
      </c>
      <c r="BP69" s="7" t="str">
        <f aca="false">IF(BN69="","",BN69-BO69)</f>
        <v/>
      </c>
      <c r="BQ69" s="55" t="str">
        <f aca="false">IF(BN69="","",IF(BO69&gt;=BN69,"На складе",IF(BO69&gt;0,"Частично","Ждём")))</f>
        <v/>
      </c>
      <c r="BR69" s="43"/>
      <c r="BS69" s="47" t="str">
        <f aca="false">IF(BN69="","",IF(_xlfn.MAXIFS(ЗАКАЗЫ!$AK$3:$AK$500,ЗАКАЗЫ!$F$3:$F$500,$A69)=0,"",_xlfn.MAXIFS(ЗАКАЗЫ!$AK$3:$AK$500,ЗАКАЗЫ!$F$3:$F$500,$A69)))</f>
        <v/>
      </c>
    </row>
    <row r="70" customFormat="false" ht="15.75" hidden="false" customHeight="true" outlineLevel="0" collapsed="false">
      <c r="A70" s="80" t="s">
        <v>544</v>
      </c>
      <c r="B70" s="81"/>
      <c r="C70" s="81"/>
      <c r="D70" s="81"/>
      <c r="E70" s="83"/>
      <c r="F70" s="81"/>
      <c r="G70" s="83"/>
      <c r="H70" s="83"/>
      <c r="I70" s="84" t="str">
        <f aca="false">IF(E70="","",A70&amp;"_1.jpg")</f>
        <v/>
      </c>
      <c r="J70" s="84" t="str">
        <f aca="false">IF(E70="","",A70&amp;"_2.jpg; "&amp;A70&amp;"_3.jpg")</f>
        <v/>
      </c>
      <c r="K70" s="84" t="str">
        <f aca="false">IF(E70="","",A70&amp;"_schema.jpg")</f>
        <v/>
      </c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 t="s">
        <v>261</v>
      </c>
      <c r="W70" s="81"/>
      <c r="X70" s="81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6" t="str">
        <f aca="false">IF(SUM(Y70:AJ70)=0,"",SUM(Y70:AJ70))</f>
        <v/>
      </c>
      <c r="AL70" s="84" t="str">
        <f aca="false">MID(IF(N(Y70)&gt;0,", "&amp;Y$2,"")&amp;IF(N(Z70)&gt;0,", "&amp;Z$2,"")&amp;IF(N(AA70)&gt;0,", "&amp;AA$2,"")&amp;IF(N(AB70)&gt;0,", "&amp;AB$2,"")&amp;IF(N(AC70)&gt;0,", "&amp;AC$2,"")&amp;IF(N(AD70)&gt;0,", "&amp;AD$2,"")&amp;IF(N(AE70)&gt;0,", "&amp;AE$2,"")&amp;IF(N(AF70)&gt;0,", "&amp;AF$2,"")&amp;IF(N(AG70)&gt;0,", "&amp;AG$2,"")&amp;IF(N(AH70)&gt;0,", "&amp;AH$2,"")&amp;IF(N(AI70)&gt;0,", "&amp;AI$2,"")&amp;IF(N(AJ70)&gt;0,", "&amp;AJ$2,""),3,999)</f>
        <v/>
      </c>
      <c r="AM70" s="87" t="str">
        <f aca="false">IF(E70="","",MID(IF(N(Y70)&gt;0,", "&amp;A70&amp;"-"&amp;Y$2,"")&amp;IF(N(Z70)&gt;0,", "&amp;A70&amp;"-"&amp;Z$2,"")&amp;IF(N(AA70)&gt;0,", "&amp;A70&amp;"-"&amp;AA$2,"")&amp;IF(N(AB70)&gt;0,", "&amp;A70&amp;"-"&amp;AB$2,"")&amp;IF(N(AC70)&gt;0,", "&amp;A70&amp;"-"&amp;AC$2,"")&amp;IF(N(AD70)&gt;0,", "&amp;A70&amp;"-"&amp;AD$2,"")&amp;IF(N(AE70)&gt;0,", "&amp;A70&amp;"-"&amp;AE$2,"")&amp;IF(N(AF70)&gt;0,", "&amp;A70&amp;"-"&amp;AF$2,"")&amp;IF(N(AG70)&gt;0,", "&amp;A70&amp;"-"&amp;AG$2,"")&amp;IF(N(AH70)&gt;0,", "&amp;A70&amp;"-"&amp;AH$2,"")&amp;IF(N(AI70)&gt;0,", "&amp;A70&amp;"-"&amp;AI$2,"")&amp;IF(N(AJ70)&gt;0,", "&amp;A70&amp;"-"&amp;AJ$2,""),3,999))</f>
        <v/>
      </c>
      <c r="AN70" s="81"/>
      <c r="AO70" s="88"/>
      <c r="AP70" s="89" t="str">
        <f aca="false">IF(AO70="","",ROUND(AO70/(1+Справочники!$B$13),2))</f>
        <v/>
      </c>
      <c r="AQ70" s="90" t="str">
        <f aca="false" t="array" ref="AQ70:AQ70">IF(AP70="","",AP70*INDEX(Справочники!$B$4:$B$7,MATCH("RUB",Справочники!$A$4:$A$7,0)))</f>
        <v/>
      </c>
      <c r="AR70" s="90" t="str">
        <f aca="false">IF(AQ70="","",ROUND(AQ70*(1+Справочники!$B$12),0))</f>
        <v/>
      </c>
      <c r="AS70" s="90" t="str">
        <f aca="false">IF(AR70="","",ROUND(AR70*(1-Справочники!$B$11),0))</f>
        <v/>
      </c>
      <c r="AT70" s="88"/>
      <c r="AU70" s="90" t="str">
        <f aca="false">IF(AT70="","",ROUND(AT70/(1+Справочники!$B$12),0))</f>
        <v/>
      </c>
      <c r="AV70" s="90" t="str">
        <f aca="false">IF(AT70="","",ROUND(AT70*(1-Справочники!$B$15),0))</f>
        <v/>
      </c>
      <c r="AW70" s="90" t="str">
        <f aca="false">IF(AT70="","",ROUND(AT70*(1-Справочники!$B$16),0))</f>
        <v/>
      </c>
      <c r="AX70" s="90" t="str">
        <f aca="false">IF(AT70="","",ROUND(AT70*(1-Справочники!$B$17),0))</f>
        <v/>
      </c>
      <c r="AY70" s="90" t="str">
        <f aca="false">IF(AT70="","",ROUND(AT70*(1-Справочники!$B$18),0))</f>
        <v/>
      </c>
      <c r="AZ70" s="90" t="str">
        <f aca="false">IF(AT70="","",ROUND(AT70*(1-Справочники!$B$19),0))</f>
        <v/>
      </c>
      <c r="BA70" s="81"/>
      <c r="BB70" s="81"/>
      <c r="BC70" s="81"/>
      <c r="BD70" s="81"/>
      <c r="BE70" s="91"/>
      <c r="BF70" s="81" t="s">
        <v>103</v>
      </c>
      <c r="BG70" s="89" t="n">
        <f aca="false" t="array" ref="BG70:BG70">IF(BF70="","",IFERROR(INDEX(Справочники!$B$4:$B$7,MATCH(BF70,Справочники!$A$4:$A$7,0)),""))</f>
        <v>68.5</v>
      </c>
      <c r="BH70" s="90" t="str">
        <f aca="false">IF(N(BN70)&gt;0,ROUND(SUMIF(ЗАКАЗЫ!$F$3:$F$500,$A70,ЗАКАЗЫ!$Y$3:$Y$500)/BN70,0),IF(OR(BE70="",BG70=""),"",ROUND(BE70*BG70*(1+Справочники!$B$10),0)))</f>
        <v/>
      </c>
      <c r="BI70" s="92" t="str">
        <f aca="false">IF(OR(AU70="",BH70="",AU70=0),"",(AU70-BH70)/AU70)</f>
        <v/>
      </c>
      <c r="BJ70" s="81"/>
      <c r="BK70" s="83"/>
      <c r="BL70" s="43" t="str">
        <f aca="false">IFERROR(INDEX(ЗАКАЗЫ!$N$3:$N$500,MATCH($A70,ЗАКАЗЫ!$F$3:$F$500,0)),"")</f>
        <v/>
      </c>
      <c r="BM70" s="8" t="str">
        <f aca="false">IF(BL70="","",IFERROR(VLOOKUP(BL70,'ТН ВЭД'!$A$4:$C$40,3,0),""))</f>
        <v/>
      </c>
      <c r="BN70" s="7" t="str">
        <f aca="false">IF(COUNTIF(ЗАКАЗЫ!$F$3:$F$500,$A70)=0,"",SUMIF(ЗАКАЗЫ!$F$3:$F$500,$A70,ЗАКАЗЫ!$J$3:$J$500))</f>
        <v/>
      </c>
      <c r="BO70" s="7" t="str">
        <f aca="false">IF(BN70="","",SUMIF(ЗАКАЗЫ!$F$3:$F$500,$A70,ЗАКАЗЫ!$AL$3:$AL$500))</f>
        <v/>
      </c>
      <c r="BP70" s="7" t="str">
        <f aca="false">IF(BN70="","",BN70-BO70)</f>
        <v/>
      </c>
      <c r="BQ70" s="55" t="str">
        <f aca="false">IF(BN70="","",IF(BO70&gt;=BN70,"На складе",IF(BO70&gt;0,"Частично","Ждём")))</f>
        <v/>
      </c>
      <c r="BR70" s="43"/>
      <c r="BS70" s="47" t="str">
        <f aca="false">IF(BN70="","",IF(_xlfn.MAXIFS(ЗАКАЗЫ!$AK$3:$AK$500,ЗАКАЗЫ!$F$3:$F$500,$A70)=0,"",_xlfn.MAXIFS(ЗАКАЗЫ!$AK$3:$AK$500,ЗАКАЗЫ!$F$3:$F$500,$A70)))</f>
        <v/>
      </c>
    </row>
    <row r="71" customFormat="false" ht="15.75" hidden="false" customHeight="true" outlineLevel="0" collapsed="false">
      <c r="A71" s="80" t="s">
        <v>545</v>
      </c>
      <c r="B71" s="81"/>
      <c r="C71" s="81"/>
      <c r="D71" s="81"/>
      <c r="E71" s="83"/>
      <c r="F71" s="81"/>
      <c r="G71" s="83"/>
      <c r="H71" s="83"/>
      <c r="I71" s="84" t="str">
        <f aca="false">IF(E71="","",A71&amp;"_1.jpg")</f>
        <v/>
      </c>
      <c r="J71" s="84" t="str">
        <f aca="false">IF(E71="","",A71&amp;"_2.jpg; "&amp;A71&amp;"_3.jpg")</f>
        <v/>
      </c>
      <c r="K71" s="84" t="str">
        <f aca="false">IF(E71="","",A71&amp;"_schema.jpg")</f>
        <v/>
      </c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 t="s">
        <v>261</v>
      </c>
      <c r="W71" s="81"/>
      <c r="X71" s="81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6" t="str">
        <f aca="false">IF(SUM(Y71:AJ71)=0,"",SUM(Y71:AJ71))</f>
        <v/>
      </c>
      <c r="AL71" s="84" t="str">
        <f aca="false">MID(IF(N(Y71)&gt;0,", "&amp;Y$2,"")&amp;IF(N(Z71)&gt;0,", "&amp;Z$2,"")&amp;IF(N(AA71)&gt;0,", "&amp;AA$2,"")&amp;IF(N(AB71)&gt;0,", "&amp;AB$2,"")&amp;IF(N(AC71)&gt;0,", "&amp;AC$2,"")&amp;IF(N(AD71)&gt;0,", "&amp;AD$2,"")&amp;IF(N(AE71)&gt;0,", "&amp;AE$2,"")&amp;IF(N(AF71)&gt;0,", "&amp;AF$2,"")&amp;IF(N(AG71)&gt;0,", "&amp;AG$2,"")&amp;IF(N(AH71)&gt;0,", "&amp;AH$2,"")&amp;IF(N(AI71)&gt;0,", "&amp;AI$2,"")&amp;IF(N(AJ71)&gt;0,", "&amp;AJ$2,""),3,999)</f>
        <v/>
      </c>
      <c r="AM71" s="87" t="str">
        <f aca="false">IF(E71="","",MID(IF(N(Y71)&gt;0,", "&amp;A71&amp;"-"&amp;Y$2,"")&amp;IF(N(Z71)&gt;0,", "&amp;A71&amp;"-"&amp;Z$2,"")&amp;IF(N(AA71)&gt;0,", "&amp;A71&amp;"-"&amp;AA$2,"")&amp;IF(N(AB71)&gt;0,", "&amp;A71&amp;"-"&amp;AB$2,"")&amp;IF(N(AC71)&gt;0,", "&amp;A71&amp;"-"&amp;AC$2,"")&amp;IF(N(AD71)&gt;0,", "&amp;A71&amp;"-"&amp;AD$2,"")&amp;IF(N(AE71)&gt;0,", "&amp;A71&amp;"-"&amp;AE$2,"")&amp;IF(N(AF71)&gt;0,", "&amp;A71&amp;"-"&amp;AF$2,"")&amp;IF(N(AG71)&gt;0,", "&amp;A71&amp;"-"&amp;AG$2,"")&amp;IF(N(AH71)&gt;0,", "&amp;A71&amp;"-"&amp;AH$2,"")&amp;IF(N(AI71)&gt;0,", "&amp;A71&amp;"-"&amp;AI$2,"")&amp;IF(N(AJ71)&gt;0,", "&amp;A71&amp;"-"&amp;AJ$2,""),3,999))</f>
        <v/>
      </c>
      <c r="AN71" s="81"/>
      <c r="AO71" s="88"/>
      <c r="AP71" s="89" t="str">
        <f aca="false">IF(AO71="","",ROUND(AO71/(1+Справочники!$B$13),2))</f>
        <v/>
      </c>
      <c r="AQ71" s="90" t="str">
        <f aca="false" t="array" ref="AQ71:AQ71">IF(AP71="","",AP71*INDEX(Справочники!$B$4:$B$7,MATCH("RUB",Справочники!$A$4:$A$7,0)))</f>
        <v/>
      </c>
      <c r="AR71" s="90" t="str">
        <f aca="false">IF(AQ71="","",ROUND(AQ71*(1+Справочники!$B$12),0))</f>
        <v/>
      </c>
      <c r="AS71" s="90" t="str">
        <f aca="false">IF(AR71="","",ROUND(AR71*(1-Справочники!$B$11),0))</f>
        <v/>
      </c>
      <c r="AT71" s="88"/>
      <c r="AU71" s="90" t="str">
        <f aca="false">IF(AT71="","",ROUND(AT71/(1+Справочники!$B$12),0))</f>
        <v/>
      </c>
      <c r="AV71" s="90" t="str">
        <f aca="false">IF(AT71="","",ROUND(AT71*(1-Справочники!$B$15),0))</f>
        <v/>
      </c>
      <c r="AW71" s="90" t="str">
        <f aca="false">IF(AT71="","",ROUND(AT71*(1-Справочники!$B$16),0))</f>
        <v/>
      </c>
      <c r="AX71" s="90" t="str">
        <f aca="false">IF(AT71="","",ROUND(AT71*(1-Справочники!$B$17),0))</f>
        <v/>
      </c>
      <c r="AY71" s="90" t="str">
        <f aca="false">IF(AT71="","",ROUND(AT71*(1-Справочники!$B$18),0))</f>
        <v/>
      </c>
      <c r="AZ71" s="90" t="str">
        <f aca="false">IF(AT71="","",ROUND(AT71*(1-Справочники!$B$19),0))</f>
        <v/>
      </c>
      <c r="BA71" s="81"/>
      <c r="BB71" s="81"/>
      <c r="BC71" s="81"/>
      <c r="BD71" s="81"/>
      <c r="BE71" s="91"/>
      <c r="BF71" s="81" t="s">
        <v>103</v>
      </c>
      <c r="BG71" s="89" t="n">
        <f aca="false" t="array" ref="BG71:BG71">IF(BF71="","",IFERROR(INDEX(Справочники!$B$4:$B$7,MATCH(BF71,Справочники!$A$4:$A$7,0)),""))</f>
        <v>68.5</v>
      </c>
      <c r="BH71" s="90" t="str">
        <f aca="false">IF(N(BN71)&gt;0,ROUND(SUMIF(ЗАКАЗЫ!$F$3:$F$500,$A71,ЗАКАЗЫ!$Y$3:$Y$500)/BN71,0),IF(OR(BE71="",BG71=""),"",ROUND(BE71*BG71*(1+Справочники!$B$10),0)))</f>
        <v/>
      </c>
      <c r="BI71" s="92" t="str">
        <f aca="false">IF(OR(AU71="",BH71="",AU71=0),"",(AU71-BH71)/AU71)</f>
        <v/>
      </c>
      <c r="BJ71" s="81"/>
      <c r="BK71" s="83"/>
      <c r="BL71" s="43" t="str">
        <f aca="false">IFERROR(INDEX(ЗАКАЗЫ!$N$3:$N$500,MATCH($A71,ЗАКАЗЫ!$F$3:$F$500,0)),"")</f>
        <v/>
      </c>
      <c r="BM71" s="8" t="str">
        <f aca="false">IF(BL71="","",IFERROR(VLOOKUP(BL71,'ТН ВЭД'!$A$4:$C$40,3,0),""))</f>
        <v/>
      </c>
      <c r="BN71" s="7" t="str">
        <f aca="false">IF(COUNTIF(ЗАКАЗЫ!$F$3:$F$500,$A71)=0,"",SUMIF(ЗАКАЗЫ!$F$3:$F$500,$A71,ЗАКАЗЫ!$J$3:$J$500))</f>
        <v/>
      </c>
      <c r="BO71" s="7" t="str">
        <f aca="false">IF(BN71="","",SUMIF(ЗАКАЗЫ!$F$3:$F$500,$A71,ЗАКАЗЫ!$AL$3:$AL$500))</f>
        <v/>
      </c>
      <c r="BP71" s="7" t="str">
        <f aca="false">IF(BN71="","",BN71-BO71)</f>
        <v/>
      </c>
      <c r="BQ71" s="55" t="str">
        <f aca="false">IF(BN71="","",IF(BO71&gt;=BN71,"На складе",IF(BO71&gt;0,"Частично","Ждём")))</f>
        <v/>
      </c>
      <c r="BR71" s="43"/>
      <c r="BS71" s="47" t="str">
        <f aca="false">IF(BN71="","",IF(_xlfn.MAXIFS(ЗАКАЗЫ!$AK$3:$AK$500,ЗАКАЗЫ!$F$3:$F$500,$A71)=0,"",_xlfn.MAXIFS(ЗАКАЗЫ!$AK$3:$AK$500,ЗАКАЗЫ!$F$3:$F$500,$A71)))</f>
        <v/>
      </c>
    </row>
    <row r="72" customFormat="false" ht="15.75" hidden="false" customHeight="true" outlineLevel="0" collapsed="false">
      <c r="A72" s="80" t="s">
        <v>546</v>
      </c>
      <c r="B72" s="81"/>
      <c r="C72" s="81"/>
      <c r="D72" s="81"/>
      <c r="E72" s="83"/>
      <c r="F72" s="81"/>
      <c r="G72" s="83"/>
      <c r="H72" s="83"/>
      <c r="I72" s="84" t="str">
        <f aca="false">IF(E72="","",A72&amp;"_1.jpg")</f>
        <v/>
      </c>
      <c r="J72" s="84" t="str">
        <f aca="false">IF(E72="","",A72&amp;"_2.jpg; "&amp;A72&amp;"_3.jpg")</f>
        <v/>
      </c>
      <c r="K72" s="84" t="str">
        <f aca="false">IF(E72="","",A72&amp;"_schema.jpg")</f>
        <v/>
      </c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 t="s">
        <v>261</v>
      </c>
      <c r="W72" s="81"/>
      <c r="X72" s="81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6" t="str">
        <f aca="false">IF(SUM(Y72:AJ72)=0,"",SUM(Y72:AJ72))</f>
        <v/>
      </c>
      <c r="AL72" s="84" t="str">
        <f aca="false">MID(IF(N(Y72)&gt;0,", "&amp;Y$2,"")&amp;IF(N(Z72)&gt;0,", "&amp;Z$2,"")&amp;IF(N(AA72)&gt;0,", "&amp;AA$2,"")&amp;IF(N(AB72)&gt;0,", "&amp;AB$2,"")&amp;IF(N(AC72)&gt;0,", "&amp;AC$2,"")&amp;IF(N(AD72)&gt;0,", "&amp;AD$2,"")&amp;IF(N(AE72)&gt;0,", "&amp;AE$2,"")&amp;IF(N(AF72)&gt;0,", "&amp;AF$2,"")&amp;IF(N(AG72)&gt;0,", "&amp;AG$2,"")&amp;IF(N(AH72)&gt;0,", "&amp;AH$2,"")&amp;IF(N(AI72)&gt;0,", "&amp;AI$2,"")&amp;IF(N(AJ72)&gt;0,", "&amp;AJ$2,""),3,999)</f>
        <v/>
      </c>
      <c r="AM72" s="87" t="str">
        <f aca="false">IF(E72="","",MID(IF(N(Y72)&gt;0,", "&amp;A72&amp;"-"&amp;Y$2,"")&amp;IF(N(Z72)&gt;0,", "&amp;A72&amp;"-"&amp;Z$2,"")&amp;IF(N(AA72)&gt;0,", "&amp;A72&amp;"-"&amp;AA$2,"")&amp;IF(N(AB72)&gt;0,", "&amp;A72&amp;"-"&amp;AB$2,"")&amp;IF(N(AC72)&gt;0,", "&amp;A72&amp;"-"&amp;AC$2,"")&amp;IF(N(AD72)&gt;0,", "&amp;A72&amp;"-"&amp;AD$2,"")&amp;IF(N(AE72)&gt;0,", "&amp;A72&amp;"-"&amp;AE$2,"")&amp;IF(N(AF72)&gt;0,", "&amp;A72&amp;"-"&amp;AF$2,"")&amp;IF(N(AG72)&gt;0,", "&amp;A72&amp;"-"&amp;AG$2,"")&amp;IF(N(AH72)&gt;0,", "&amp;A72&amp;"-"&amp;AH$2,"")&amp;IF(N(AI72)&gt;0,", "&amp;A72&amp;"-"&amp;AI$2,"")&amp;IF(N(AJ72)&gt;0,", "&amp;A72&amp;"-"&amp;AJ$2,""),3,999))</f>
        <v/>
      </c>
      <c r="AN72" s="81"/>
      <c r="AO72" s="88"/>
      <c r="AP72" s="89" t="str">
        <f aca="false">IF(AO72="","",ROUND(AO72/(1+Справочники!$B$13),2))</f>
        <v/>
      </c>
      <c r="AQ72" s="90" t="str">
        <f aca="false" t="array" ref="AQ72:AQ72">IF(AP72="","",AP72*INDEX(Справочники!$B$4:$B$7,MATCH("RUB",Справочники!$A$4:$A$7,0)))</f>
        <v/>
      </c>
      <c r="AR72" s="90" t="str">
        <f aca="false">IF(AQ72="","",ROUND(AQ72*(1+Справочники!$B$12),0))</f>
        <v/>
      </c>
      <c r="AS72" s="90" t="str">
        <f aca="false">IF(AR72="","",ROUND(AR72*(1-Справочники!$B$11),0))</f>
        <v/>
      </c>
      <c r="AT72" s="88"/>
      <c r="AU72" s="90" t="str">
        <f aca="false">IF(AT72="","",ROUND(AT72/(1+Справочники!$B$12),0))</f>
        <v/>
      </c>
      <c r="AV72" s="90" t="str">
        <f aca="false">IF(AT72="","",ROUND(AT72*(1-Справочники!$B$15),0))</f>
        <v/>
      </c>
      <c r="AW72" s="90" t="str">
        <f aca="false">IF(AT72="","",ROUND(AT72*(1-Справочники!$B$16),0))</f>
        <v/>
      </c>
      <c r="AX72" s="90" t="str">
        <f aca="false">IF(AT72="","",ROUND(AT72*(1-Справочники!$B$17),0))</f>
        <v/>
      </c>
      <c r="AY72" s="90" t="str">
        <f aca="false">IF(AT72="","",ROUND(AT72*(1-Справочники!$B$18),0))</f>
        <v/>
      </c>
      <c r="AZ72" s="90" t="str">
        <f aca="false">IF(AT72="","",ROUND(AT72*(1-Справочники!$B$19),0))</f>
        <v/>
      </c>
      <c r="BA72" s="81"/>
      <c r="BB72" s="81"/>
      <c r="BC72" s="81"/>
      <c r="BD72" s="81"/>
      <c r="BE72" s="91"/>
      <c r="BF72" s="81" t="s">
        <v>103</v>
      </c>
      <c r="BG72" s="89" t="n">
        <f aca="false" t="array" ref="BG72:BG72">IF(BF72="","",IFERROR(INDEX(Справочники!$B$4:$B$7,MATCH(BF72,Справочники!$A$4:$A$7,0)),""))</f>
        <v>68.5</v>
      </c>
      <c r="BH72" s="90" t="str">
        <f aca="false">IF(N(BN72)&gt;0,ROUND(SUMIF(ЗАКАЗЫ!$F$3:$F$500,$A72,ЗАКАЗЫ!$Y$3:$Y$500)/BN72,0),IF(OR(BE72="",BG72=""),"",ROUND(BE72*BG72*(1+Справочники!$B$10),0)))</f>
        <v/>
      </c>
      <c r="BI72" s="92" t="str">
        <f aca="false">IF(OR(AU72="",BH72="",AU72=0),"",(AU72-BH72)/AU72)</f>
        <v/>
      </c>
      <c r="BJ72" s="81"/>
      <c r="BK72" s="83"/>
      <c r="BL72" s="43" t="str">
        <f aca="false">IFERROR(INDEX(ЗАКАЗЫ!$N$3:$N$500,MATCH($A72,ЗАКАЗЫ!$F$3:$F$500,0)),"")</f>
        <v/>
      </c>
      <c r="BM72" s="8" t="str">
        <f aca="false">IF(BL72="","",IFERROR(VLOOKUP(BL72,'ТН ВЭД'!$A$4:$C$40,3,0),""))</f>
        <v/>
      </c>
      <c r="BN72" s="7" t="str">
        <f aca="false">IF(COUNTIF(ЗАКАЗЫ!$F$3:$F$500,$A72)=0,"",SUMIF(ЗАКАЗЫ!$F$3:$F$500,$A72,ЗАКАЗЫ!$J$3:$J$500))</f>
        <v/>
      </c>
      <c r="BO72" s="7" t="str">
        <f aca="false">IF(BN72="","",SUMIF(ЗАКАЗЫ!$F$3:$F$500,$A72,ЗАКАЗЫ!$AL$3:$AL$500))</f>
        <v/>
      </c>
      <c r="BP72" s="7" t="str">
        <f aca="false">IF(BN72="","",BN72-BO72)</f>
        <v/>
      </c>
      <c r="BQ72" s="55" t="str">
        <f aca="false">IF(BN72="","",IF(BO72&gt;=BN72,"На складе",IF(BO72&gt;0,"Частично","Ждём")))</f>
        <v/>
      </c>
      <c r="BR72" s="43"/>
      <c r="BS72" s="47" t="str">
        <f aca="false">IF(BN72="","",IF(_xlfn.MAXIFS(ЗАКАЗЫ!$AK$3:$AK$500,ЗАКАЗЫ!$F$3:$F$500,$A72)=0,"",_xlfn.MAXIFS(ЗАКАЗЫ!$AK$3:$AK$500,ЗАКАЗЫ!$F$3:$F$500,$A72)))</f>
        <v/>
      </c>
    </row>
    <row r="73" customFormat="false" ht="15.75" hidden="false" customHeight="true" outlineLevel="0" collapsed="false">
      <c r="A73" s="80" t="s">
        <v>547</v>
      </c>
      <c r="B73" s="81"/>
      <c r="C73" s="81"/>
      <c r="D73" s="81"/>
      <c r="E73" s="83"/>
      <c r="F73" s="81"/>
      <c r="G73" s="83"/>
      <c r="H73" s="83"/>
      <c r="I73" s="84" t="str">
        <f aca="false">IF(E73="","",A73&amp;"_1.jpg")</f>
        <v/>
      </c>
      <c r="J73" s="84" t="str">
        <f aca="false">IF(E73="","",A73&amp;"_2.jpg; "&amp;A73&amp;"_3.jpg")</f>
        <v/>
      </c>
      <c r="K73" s="84" t="str">
        <f aca="false">IF(E73="","",A73&amp;"_schema.jpg")</f>
        <v/>
      </c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 t="s">
        <v>261</v>
      </c>
      <c r="W73" s="81"/>
      <c r="X73" s="81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6" t="str">
        <f aca="false">IF(SUM(Y73:AJ73)=0,"",SUM(Y73:AJ73))</f>
        <v/>
      </c>
      <c r="AL73" s="84" t="str">
        <f aca="false">MID(IF(N(Y73)&gt;0,", "&amp;Y$2,"")&amp;IF(N(Z73)&gt;0,", "&amp;Z$2,"")&amp;IF(N(AA73)&gt;0,", "&amp;AA$2,"")&amp;IF(N(AB73)&gt;0,", "&amp;AB$2,"")&amp;IF(N(AC73)&gt;0,", "&amp;AC$2,"")&amp;IF(N(AD73)&gt;0,", "&amp;AD$2,"")&amp;IF(N(AE73)&gt;0,", "&amp;AE$2,"")&amp;IF(N(AF73)&gt;0,", "&amp;AF$2,"")&amp;IF(N(AG73)&gt;0,", "&amp;AG$2,"")&amp;IF(N(AH73)&gt;0,", "&amp;AH$2,"")&amp;IF(N(AI73)&gt;0,", "&amp;AI$2,"")&amp;IF(N(AJ73)&gt;0,", "&amp;AJ$2,""),3,999)</f>
        <v/>
      </c>
      <c r="AM73" s="87" t="str">
        <f aca="false">IF(E73="","",MID(IF(N(Y73)&gt;0,", "&amp;A73&amp;"-"&amp;Y$2,"")&amp;IF(N(Z73)&gt;0,", "&amp;A73&amp;"-"&amp;Z$2,"")&amp;IF(N(AA73)&gt;0,", "&amp;A73&amp;"-"&amp;AA$2,"")&amp;IF(N(AB73)&gt;0,", "&amp;A73&amp;"-"&amp;AB$2,"")&amp;IF(N(AC73)&gt;0,", "&amp;A73&amp;"-"&amp;AC$2,"")&amp;IF(N(AD73)&gt;0,", "&amp;A73&amp;"-"&amp;AD$2,"")&amp;IF(N(AE73)&gt;0,", "&amp;A73&amp;"-"&amp;AE$2,"")&amp;IF(N(AF73)&gt;0,", "&amp;A73&amp;"-"&amp;AF$2,"")&amp;IF(N(AG73)&gt;0,", "&amp;A73&amp;"-"&amp;AG$2,"")&amp;IF(N(AH73)&gt;0,", "&amp;A73&amp;"-"&amp;AH$2,"")&amp;IF(N(AI73)&gt;0,", "&amp;A73&amp;"-"&amp;AI$2,"")&amp;IF(N(AJ73)&gt;0,", "&amp;A73&amp;"-"&amp;AJ$2,""),3,999))</f>
        <v/>
      </c>
      <c r="AN73" s="81"/>
      <c r="AO73" s="88"/>
      <c r="AP73" s="89" t="str">
        <f aca="false">IF(AO73="","",ROUND(AO73/(1+Справочники!$B$13),2))</f>
        <v/>
      </c>
      <c r="AQ73" s="90" t="str">
        <f aca="false" t="array" ref="AQ73:AQ73">IF(AP73="","",AP73*INDEX(Справочники!$B$4:$B$7,MATCH("RUB",Справочники!$A$4:$A$7,0)))</f>
        <v/>
      </c>
      <c r="AR73" s="90" t="str">
        <f aca="false">IF(AQ73="","",ROUND(AQ73*(1+Справочники!$B$12),0))</f>
        <v/>
      </c>
      <c r="AS73" s="90" t="str">
        <f aca="false">IF(AR73="","",ROUND(AR73*(1-Справочники!$B$11),0))</f>
        <v/>
      </c>
      <c r="AT73" s="88"/>
      <c r="AU73" s="90" t="str">
        <f aca="false">IF(AT73="","",ROUND(AT73/(1+Справочники!$B$12),0))</f>
        <v/>
      </c>
      <c r="AV73" s="90" t="str">
        <f aca="false">IF(AT73="","",ROUND(AT73*(1-Справочники!$B$15),0))</f>
        <v/>
      </c>
      <c r="AW73" s="90" t="str">
        <f aca="false">IF(AT73="","",ROUND(AT73*(1-Справочники!$B$16),0))</f>
        <v/>
      </c>
      <c r="AX73" s="90" t="str">
        <f aca="false">IF(AT73="","",ROUND(AT73*(1-Справочники!$B$17),0))</f>
        <v/>
      </c>
      <c r="AY73" s="90" t="str">
        <f aca="false">IF(AT73="","",ROUND(AT73*(1-Справочники!$B$18),0))</f>
        <v/>
      </c>
      <c r="AZ73" s="90" t="str">
        <f aca="false">IF(AT73="","",ROUND(AT73*(1-Справочники!$B$19),0))</f>
        <v/>
      </c>
      <c r="BA73" s="81"/>
      <c r="BB73" s="81"/>
      <c r="BC73" s="81"/>
      <c r="BD73" s="81"/>
      <c r="BE73" s="91"/>
      <c r="BF73" s="81" t="s">
        <v>103</v>
      </c>
      <c r="BG73" s="89" t="n">
        <f aca="false" t="array" ref="BG73:BG73">IF(BF73="","",IFERROR(INDEX(Справочники!$B$4:$B$7,MATCH(BF73,Справочники!$A$4:$A$7,0)),""))</f>
        <v>68.5</v>
      </c>
      <c r="BH73" s="90" t="str">
        <f aca="false">IF(N(BN73)&gt;0,ROUND(SUMIF(ЗАКАЗЫ!$F$3:$F$500,$A73,ЗАКАЗЫ!$Y$3:$Y$500)/BN73,0),IF(OR(BE73="",BG73=""),"",ROUND(BE73*BG73*(1+Справочники!$B$10),0)))</f>
        <v/>
      </c>
      <c r="BI73" s="92" t="str">
        <f aca="false">IF(OR(AU73="",BH73="",AU73=0),"",(AU73-BH73)/AU73)</f>
        <v/>
      </c>
      <c r="BJ73" s="81"/>
      <c r="BK73" s="83"/>
      <c r="BL73" s="43" t="str">
        <f aca="false">IFERROR(INDEX(ЗАКАЗЫ!$N$3:$N$500,MATCH($A73,ЗАКАЗЫ!$F$3:$F$500,0)),"")</f>
        <v/>
      </c>
      <c r="BM73" s="8" t="str">
        <f aca="false">IF(BL73="","",IFERROR(VLOOKUP(BL73,'ТН ВЭД'!$A$4:$C$40,3,0),""))</f>
        <v/>
      </c>
      <c r="BN73" s="7" t="str">
        <f aca="false">IF(COUNTIF(ЗАКАЗЫ!$F$3:$F$500,$A73)=0,"",SUMIF(ЗАКАЗЫ!$F$3:$F$500,$A73,ЗАКАЗЫ!$J$3:$J$500))</f>
        <v/>
      </c>
      <c r="BO73" s="7" t="str">
        <f aca="false">IF(BN73="","",SUMIF(ЗАКАЗЫ!$F$3:$F$500,$A73,ЗАКАЗЫ!$AL$3:$AL$500))</f>
        <v/>
      </c>
      <c r="BP73" s="7" t="str">
        <f aca="false">IF(BN73="","",BN73-BO73)</f>
        <v/>
      </c>
      <c r="BQ73" s="55" t="str">
        <f aca="false">IF(BN73="","",IF(BO73&gt;=BN73,"На складе",IF(BO73&gt;0,"Частично","Ждём")))</f>
        <v/>
      </c>
      <c r="BR73" s="43"/>
      <c r="BS73" s="47" t="str">
        <f aca="false">IF(BN73="","",IF(_xlfn.MAXIFS(ЗАКАЗЫ!$AK$3:$AK$500,ЗАКАЗЫ!$F$3:$F$500,$A73)=0,"",_xlfn.MAXIFS(ЗАКАЗЫ!$AK$3:$AK$500,ЗАКАЗЫ!$F$3:$F$500,$A73)))</f>
        <v/>
      </c>
    </row>
    <row r="74" customFormat="false" ht="15.75" hidden="false" customHeight="true" outlineLevel="0" collapsed="false">
      <c r="A74" s="80" t="s">
        <v>548</v>
      </c>
      <c r="B74" s="81"/>
      <c r="C74" s="81"/>
      <c r="D74" s="81"/>
      <c r="E74" s="83"/>
      <c r="F74" s="81"/>
      <c r="G74" s="83"/>
      <c r="H74" s="83"/>
      <c r="I74" s="84" t="str">
        <f aca="false">IF(E74="","",A74&amp;"_1.jpg")</f>
        <v/>
      </c>
      <c r="J74" s="84" t="str">
        <f aca="false">IF(E74="","",A74&amp;"_2.jpg; "&amp;A74&amp;"_3.jpg")</f>
        <v/>
      </c>
      <c r="K74" s="84" t="str">
        <f aca="false">IF(E74="","",A74&amp;"_schema.jpg")</f>
        <v/>
      </c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 t="s">
        <v>261</v>
      </c>
      <c r="W74" s="81"/>
      <c r="X74" s="81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6" t="str">
        <f aca="false">IF(SUM(Y74:AJ74)=0,"",SUM(Y74:AJ74))</f>
        <v/>
      </c>
      <c r="AL74" s="84" t="str">
        <f aca="false">MID(IF(N(Y74)&gt;0,", "&amp;Y$2,"")&amp;IF(N(Z74)&gt;0,", "&amp;Z$2,"")&amp;IF(N(AA74)&gt;0,", "&amp;AA$2,"")&amp;IF(N(AB74)&gt;0,", "&amp;AB$2,"")&amp;IF(N(AC74)&gt;0,", "&amp;AC$2,"")&amp;IF(N(AD74)&gt;0,", "&amp;AD$2,"")&amp;IF(N(AE74)&gt;0,", "&amp;AE$2,"")&amp;IF(N(AF74)&gt;0,", "&amp;AF$2,"")&amp;IF(N(AG74)&gt;0,", "&amp;AG$2,"")&amp;IF(N(AH74)&gt;0,", "&amp;AH$2,"")&amp;IF(N(AI74)&gt;0,", "&amp;AI$2,"")&amp;IF(N(AJ74)&gt;0,", "&amp;AJ$2,""),3,999)</f>
        <v/>
      </c>
      <c r="AM74" s="87" t="str">
        <f aca="false">IF(E74="","",MID(IF(N(Y74)&gt;0,", "&amp;A74&amp;"-"&amp;Y$2,"")&amp;IF(N(Z74)&gt;0,", "&amp;A74&amp;"-"&amp;Z$2,"")&amp;IF(N(AA74)&gt;0,", "&amp;A74&amp;"-"&amp;AA$2,"")&amp;IF(N(AB74)&gt;0,", "&amp;A74&amp;"-"&amp;AB$2,"")&amp;IF(N(AC74)&gt;0,", "&amp;A74&amp;"-"&amp;AC$2,"")&amp;IF(N(AD74)&gt;0,", "&amp;A74&amp;"-"&amp;AD$2,"")&amp;IF(N(AE74)&gt;0,", "&amp;A74&amp;"-"&amp;AE$2,"")&amp;IF(N(AF74)&gt;0,", "&amp;A74&amp;"-"&amp;AF$2,"")&amp;IF(N(AG74)&gt;0,", "&amp;A74&amp;"-"&amp;AG$2,"")&amp;IF(N(AH74)&gt;0,", "&amp;A74&amp;"-"&amp;AH$2,"")&amp;IF(N(AI74)&gt;0,", "&amp;A74&amp;"-"&amp;AI$2,"")&amp;IF(N(AJ74)&gt;0,", "&amp;A74&amp;"-"&amp;AJ$2,""),3,999))</f>
        <v/>
      </c>
      <c r="AN74" s="81"/>
      <c r="AO74" s="88"/>
      <c r="AP74" s="89" t="str">
        <f aca="false">IF(AO74="","",ROUND(AO74/(1+Справочники!$B$13),2))</f>
        <v/>
      </c>
      <c r="AQ74" s="90" t="str">
        <f aca="false" t="array" ref="AQ74:AQ74">IF(AP74="","",AP74*INDEX(Справочники!$B$4:$B$7,MATCH("RUB",Справочники!$A$4:$A$7,0)))</f>
        <v/>
      </c>
      <c r="AR74" s="90" t="str">
        <f aca="false">IF(AQ74="","",ROUND(AQ74*(1+Справочники!$B$12),0))</f>
        <v/>
      </c>
      <c r="AS74" s="90" t="str">
        <f aca="false">IF(AR74="","",ROUND(AR74*(1-Справочники!$B$11),0))</f>
        <v/>
      </c>
      <c r="AT74" s="88"/>
      <c r="AU74" s="90" t="str">
        <f aca="false">IF(AT74="","",ROUND(AT74/(1+Справочники!$B$12),0))</f>
        <v/>
      </c>
      <c r="AV74" s="90" t="str">
        <f aca="false">IF(AT74="","",ROUND(AT74*(1-Справочники!$B$15),0))</f>
        <v/>
      </c>
      <c r="AW74" s="90" t="str">
        <f aca="false">IF(AT74="","",ROUND(AT74*(1-Справочники!$B$16),0))</f>
        <v/>
      </c>
      <c r="AX74" s="90" t="str">
        <f aca="false">IF(AT74="","",ROUND(AT74*(1-Справочники!$B$17),0))</f>
        <v/>
      </c>
      <c r="AY74" s="90" t="str">
        <f aca="false">IF(AT74="","",ROUND(AT74*(1-Справочники!$B$18),0))</f>
        <v/>
      </c>
      <c r="AZ74" s="90" t="str">
        <f aca="false">IF(AT74="","",ROUND(AT74*(1-Справочники!$B$19),0))</f>
        <v/>
      </c>
      <c r="BA74" s="81"/>
      <c r="BB74" s="81"/>
      <c r="BC74" s="81"/>
      <c r="BD74" s="81"/>
      <c r="BE74" s="91"/>
      <c r="BF74" s="81" t="s">
        <v>103</v>
      </c>
      <c r="BG74" s="89" t="n">
        <f aca="false" t="array" ref="BG74:BG74">IF(BF74="","",IFERROR(INDEX(Справочники!$B$4:$B$7,MATCH(BF74,Справочники!$A$4:$A$7,0)),""))</f>
        <v>68.5</v>
      </c>
      <c r="BH74" s="90" t="str">
        <f aca="false">IF(N(BN74)&gt;0,ROUND(SUMIF(ЗАКАЗЫ!$F$3:$F$500,$A74,ЗАКАЗЫ!$Y$3:$Y$500)/BN74,0),IF(OR(BE74="",BG74=""),"",ROUND(BE74*BG74*(1+Справочники!$B$10),0)))</f>
        <v/>
      </c>
      <c r="BI74" s="92" t="str">
        <f aca="false">IF(OR(AU74="",BH74="",AU74=0),"",(AU74-BH74)/AU74)</f>
        <v/>
      </c>
      <c r="BJ74" s="81"/>
      <c r="BK74" s="83"/>
      <c r="BL74" s="43" t="str">
        <f aca="false">IFERROR(INDEX(ЗАКАЗЫ!$N$3:$N$500,MATCH($A74,ЗАКАЗЫ!$F$3:$F$500,0)),"")</f>
        <v/>
      </c>
      <c r="BM74" s="8" t="str">
        <f aca="false">IF(BL74="","",IFERROR(VLOOKUP(BL74,'ТН ВЭД'!$A$4:$C$40,3,0),""))</f>
        <v/>
      </c>
      <c r="BN74" s="7" t="str">
        <f aca="false">IF(COUNTIF(ЗАКАЗЫ!$F$3:$F$500,$A74)=0,"",SUMIF(ЗАКАЗЫ!$F$3:$F$500,$A74,ЗАКАЗЫ!$J$3:$J$500))</f>
        <v/>
      </c>
      <c r="BO74" s="7" t="str">
        <f aca="false">IF(BN74="","",SUMIF(ЗАКАЗЫ!$F$3:$F$500,$A74,ЗАКАЗЫ!$AL$3:$AL$500))</f>
        <v/>
      </c>
      <c r="BP74" s="7" t="str">
        <f aca="false">IF(BN74="","",BN74-BO74)</f>
        <v/>
      </c>
      <c r="BQ74" s="55" t="str">
        <f aca="false">IF(BN74="","",IF(BO74&gt;=BN74,"На складе",IF(BO74&gt;0,"Частично","Ждём")))</f>
        <v/>
      </c>
      <c r="BR74" s="43"/>
      <c r="BS74" s="47" t="str">
        <f aca="false">IF(BN74="","",IF(_xlfn.MAXIFS(ЗАКАЗЫ!$AK$3:$AK$500,ЗАКАЗЫ!$F$3:$F$500,$A74)=0,"",_xlfn.MAXIFS(ЗАКАЗЫ!$AK$3:$AK$500,ЗАКАЗЫ!$F$3:$F$500,$A74)))</f>
        <v/>
      </c>
    </row>
    <row r="75" customFormat="false" ht="15.75" hidden="false" customHeight="true" outlineLevel="0" collapsed="false">
      <c r="A75" s="80" t="s">
        <v>549</v>
      </c>
      <c r="B75" s="81"/>
      <c r="C75" s="81"/>
      <c r="D75" s="81"/>
      <c r="E75" s="83"/>
      <c r="F75" s="81"/>
      <c r="G75" s="83"/>
      <c r="H75" s="83"/>
      <c r="I75" s="84" t="str">
        <f aca="false">IF(E75="","",A75&amp;"_1.jpg")</f>
        <v/>
      </c>
      <c r="J75" s="84" t="str">
        <f aca="false">IF(E75="","",A75&amp;"_2.jpg; "&amp;A75&amp;"_3.jpg")</f>
        <v/>
      </c>
      <c r="K75" s="84" t="str">
        <f aca="false">IF(E75="","",A75&amp;"_schema.jpg")</f>
        <v/>
      </c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 t="s">
        <v>261</v>
      </c>
      <c r="W75" s="81"/>
      <c r="X75" s="81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6" t="str">
        <f aca="false">IF(SUM(Y75:AJ75)=0,"",SUM(Y75:AJ75))</f>
        <v/>
      </c>
      <c r="AL75" s="84" t="str">
        <f aca="false">MID(IF(N(Y75)&gt;0,", "&amp;Y$2,"")&amp;IF(N(Z75)&gt;0,", "&amp;Z$2,"")&amp;IF(N(AA75)&gt;0,", "&amp;AA$2,"")&amp;IF(N(AB75)&gt;0,", "&amp;AB$2,"")&amp;IF(N(AC75)&gt;0,", "&amp;AC$2,"")&amp;IF(N(AD75)&gt;0,", "&amp;AD$2,"")&amp;IF(N(AE75)&gt;0,", "&amp;AE$2,"")&amp;IF(N(AF75)&gt;0,", "&amp;AF$2,"")&amp;IF(N(AG75)&gt;0,", "&amp;AG$2,"")&amp;IF(N(AH75)&gt;0,", "&amp;AH$2,"")&amp;IF(N(AI75)&gt;0,", "&amp;AI$2,"")&amp;IF(N(AJ75)&gt;0,", "&amp;AJ$2,""),3,999)</f>
        <v/>
      </c>
      <c r="AM75" s="87" t="str">
        <f aca="false">IF(E75="","",MID(IF(N(Y75)&gt;0,", "&amp;A75&amp;"-"&amp;Y$2,"")&amp;IF(N(Z75)&gt;0,", "&amp;A75&amp;"-"&amp;Z$2,"")&amp;IF(N(AA75)&gt;0,", "&amp;A75&amp;"-"&amp;AA$2,"")&amp;IF(N(AB75)&gt;0,", "&amp;A75&amp;"-"&amp;AB$2,"")&amp;IF(N(AC75)&gt;0,", "&amp;A75&amp;"-"&amp;AC$2,"")&amp;IF(N(AD75)&gt;0,", "&amp;A75&amp;"-"&amp;AD$2,"")&amp;IF(N(AE75)&gt;0,", "&amp;A75&amp;"-"&amp;AE$2,"")&amp;IF(N(AF75)&gt;0,", "&amp;A75&amp;"-"&amp;AF$2,"")&amp;IF(N(AG75)&gt;0,", "&amp;A75&amp;"-"&amp;AG$2,"")&amp;IF(N(AH75)&gt;0,", "&amp;A75&amp;"-"&amp;AH$2,"")&amp;IF(N(AI75)&gt;0,", "&amp;A75&amp;"-"&amp;AI$2,"")&amp;IF(N(AJ75)&gt;0,", "&amp;A75&amp;"-"&amp;AJ$2,""),3,999))</f>
        <v/>
      </c>
      <c r="AN75" s="81"/>
      <c r="AO75" s="88"/>
      <c r="AP75" s="89" t="str">
        <f aca="false">IF(AO75="","",ROUND(AO75/(1+Справочники!$B$13),2))</f>
        <v/>
      </c>
      <c r="AQ75" s="90" t="str">
        <f aca="false" t="array" ref="AQ75:AQ75">IF(AP75="","",AP75*INDEX(Справочники!$B$4:$B$7,MATCH("RUB",Справочники!$A$4:$A$7,0)))</f>
        <v/>
      </c>
      <c r="AR75" s="90" t="str">
        <f aca="false">IF(AQ75="","",ROUND(AQ75*(1+Справочники!$B$12),0))</f>
        <v/>
      </c>
      <c r="AS75" s="90" t="str">
        <f aca="false">IF(AR75="","",ROUND(AR75*(1-Справочники!$B$11),0))</f>
        <v/>
      </c>
      <c r="AT75" s="88"/>
      <c r="AU75" s="90" t="str">
        <f aca="false">IF(AT75="","",ROUND(AT75/(1+Справочники!$B$12),0))</f>
        <v/>
      </c>
      <c r="AV75" s="90" t="str">
        <f aca="false">IF(AT75="","",ROUND(AT75*(1-Справочники!$B$15),0))</f>
        <v/>
      </c>
      <c r="AW75" s="90" t="str">
        <f aca="false">IF(AT75="","",ROUND(AT75*(1-Справочники!$B$16),0))</f>
        <v/>
      </c>
      <c r="AX75" s="90" t="str">
        <f aca="false">IF(AT75="","",ROUND(AT75*(1-Справочники!$B$17),0))</f>
        <v/>
      </c>
      <c r="AY75" s="90" t="str">
        <f aca="false">IF(AT75="","",ROUND(AT75*(1-Справочники!$B$18),0))</f>
        <v/>
      </c>
      <c r="AZ75" s="90" t="str">
        <f aca="false">IF(AT75="","",ROUND(AT75*(1-Справочники!$B$19),0))</f>
        <v/>
      </c>
      <c r="BA75" s="81"/>
      <c r="BB75" s="81"/>
      <c r="BC75" s="81"/>
      <c r="BD75" s="81"/>
      <c r="BE75" s="91"/>
      <c r="BF75" s="81" t="s">
        <v>103</v>
      </c>
      <c r="BG75" s="89" t="n">
        <f aca="false" t="array" ref="BG75:BG75">IF(BF75="","",IFERROR(INDEX(Справочники!$B$4:$B$7,MATCH(BF75,Справочники!$A$4:$A$7,0)),""))</f>
        <v>68.5</v>
      </c>
      <c r="BH75" s="90" t="str">
        <f aca="false">IF(N(BN75)&gt;0,ROUND(SUMIF(ЗАКАЗЫ!$F$3:$F$500,$A75,ЗАКАЗЫ!$Y$3:$Y$500)/BN75,0),IF(OR(BE75="",BG75=""),"",ROUND(BE75*BG75*(1+Справочники!$B$10),0)))</f>
        <v/>
      </c>
      <c r="BI75" s="92" t="str">
        <f aca="false">IF(OR(AU75="",BH75="",AU75=0),"",(AU75-BH75)/AU75)</f>
        <v/>
      </c>
      <c r="BJ75" s="81"/>
      <c r="BK75" s="83"/>
      <c r="BL75" s="43" t="str">
        <f aca="false">IFERROR(INDEX(ЗАКАЗЫ!$N$3:$N$500,MATCH($A75,ЗАКАЗЫ!$F$3:$F$500,0)),"")</f>
        <v/>
      </c>
      <c r="BM75" s="8" t="str">
        <f aca="false">IF(BL75="","",IFERROR(VLOOKUP(BL75,'ТН ВЭД'!$A$4:$C$40,3,0),""))</f>
        <v/>
      </c>
      <c r="BN75" s="7" t="str">
        <f aca="false">IF(COUNTIF(ЗАКАЗЫ!$F$3:$F$500,$A75)=0,"",SUMIF(ЗАКАЗЫ!$F$3:$F$500,$A75,ЗАКАЗЫ!$J$3:$J$500))</f>
        <v/>
      </c>
      <c r="BO75" s="7" t="str">
        <f aca="false">IF(BN75="","",SUMIF(ЗАКАЗЫ!$F$3:$F$500,$A75,ЗАКАЗЫ!$AL$3:$AL$500))</f>
        <v/>
      </c>
      <c r="BP75" s="7" t="str">
        <f aca="false">IF(BN75="","",BN75-BO75)</f>
        <v/>
      </c>
      <c r="BQ75" s="55" t="str">
        <f aca="false">IF(BN75="","",IF(BO75&gt;=BN75,"На складе",IF(BO75&gt;0,"Частично","Ждём")))</f>
        <v/>
      </c>
      <c r="BR75" s="43"/>
      <c r="BS75" s="47" t="str">
        <f aca="false">IF(BN75="","",IF(_xlfn.MAXIFS(ЗАКАЗЫ!$AK$3:$AK$500,ЗАКАЗЫ!$F$3:$F$500,$A75)=0,"",_xlfn.MAXIFS(ЗАКАЗЫ!$AK$3:$AK$500,ЗАКАЗЫ!$F$3:$F$500,$A75)))</f>
        <v/>
      </c>
    </row>
    <row r="76" customFormat="false" ht="15.75" hidden="false" customHeight="true" outlineLevel="0" collapsed="false">
      <c r="A76" s="80" t="s">
        <v>550</v>
      </c>
      <c r="B76" s="81"/>
      <c r="C76" s="81"/>
      <c r="D76" s="81"/>
      <c r="E76" s="83"/>
      <c r="F76" s="81"/>
      <c r="G76" s="83"/>
      <c r="H76" s="83"/>
      <c r="I76" s="84" t="str">
        <f aca="false">IF(E76="","",A76&amp;"_1.jpg")</f>
        <v/>
      </c>
      <c r="J76" s="84" t="str">
        <f aca="false">IF(E76="","",A76&amp;"_2.jpg; "&amp;A76&amp;"_3.jpg")</f>
        <v/>
      </c>
      <c r="K76" s="84" t="str">
        <f aca="false">IF(E76="","",A76&amp;"_schema.jpg")</f>
        <v/>
      </c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 t="s">
        <v>261</v>
      </c>
      <c r="W76" s="81"/>
      <c r="X76" s="81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6" t="str">
        <f aca="false">IF(SUM(Y76:AJ76)=0,"",SUM(Y76:AJ76))</f>
        <v/>
      </c>
      <c r="AL76" s="84" t="str">
        <f aca="false">MID(IF(N(Y76)&gt;0,", "&amp;Y$2,"")&amp;IF(N(Z76)&gt;0,", "&amp;Z$2,"")&amp;IF(N(AA76)&gt;0,", "&amp;AA$2,"")&amp;IF(N(AB76)&gt;0,", "&amp;AB$2,"")&amp;IF(N(AC76)&gt;0,", "&amp;AC$2,"")&amp;IF(N(AD76)&gt;0,", "&amp;AD$2,"")&amp;IF(N(AE76)&gt;0,", "&amp;AE$2,"")&amp;IF(N(AF76)&gt;0,", "&amp;AF$2,"")&amp;IF(N(AG76)&gt;0,", "&amp;AG$2,"")&amp;IF(N(AH76)&gt;0,", "&amp;AH$2,"")&amp;IF(N(AI76)&gt;0,", "&amp;AI$2,"")&amp;IF(N(AJ76)&gt;0,", "&amp;AJ$2,""),3,999)</f>
        <v/>
      </c>
      <c r="AM76" s="87" t="str">
        <f aca="false">IF(E76="","",MID(IF(N(Y76)&gt;0,", "&amp;A76&amp;"-"&amp;Y$2,"")&amp;IF(N(Z76)&gt;0,", "&amp;A76&amp;"-"&amp;Z$2,"")&amp;IF(N(AA76)&gt;0,", "&amp;A76&amp;"-"&amp;AA$2,"")&amp;IF(N(AB76)&gt;0,", "&amp;A76&amp;"-"&amp;AB$2,"")&amp;IF(N(AC76)&gt;0,", "&amp;A76&amp;"-"&amp;AC$2,"")&amp;IF(N(AD76)&gt;0,", "&amp;A76&amp;"-"&amp;AD$2,"")&amp;IF(N(AE76)&gt;0,", "&amp;A76&amp;"-"&amp;AE$2,"")&amp;IF(N(AF76)&gt;0,", "&amp;A76&amp;"-"&amp;AF$2,"")&amp;IF(N(AG76)&gt;0,", "&amp;A76&amp;"-"&amp;AG$2,"")&amp;IF(N(AH76)&gt;0,", "&amp;A76&amp;"-"&amp;AH$2,"")&amp;IF(N(AI76)&gt;0,", "&amp;A76&amp;"-"&amp;AI$2,"")&amp;IF(N(AJ76)&gt;0,", "&amp;A76&amp;"-"&amp;AJ$2,""),3,999))</f>
        <v/>
      </c>
      <c r="AN76" s="81"/>
      <c r="AO76" s="88"/>
      <c r="AP76" s="89" t="str">
        <f aca="false">IF(AO76="","",ROUND(AO76/(1+Справочники!$B$13),2))</f>
        <v/>
      </c>
      <c r="AQ76" s="90" t="str">
        <f aca="false" t="array" ref="AQ76:AQ76">IF(AP76="","",AP76*INDEX(Справочники!$B$4:$B$7,MATCH("RUB",Справочники!$A$4:$A$7,0)))</f>
        <v/>
      </c>
      <c r="AR76" s="90" t="str">
        <f aca="false">IF(AQ76="","",ROUND(AQ76*(1+Справочники!$B$12),0))</f>
        <v/>
      </c>
      <c r="AS76" s="90" t="str">
        <f aca="false">IF(AR76="","",ROUND(AR76*(1-Справочники!$B$11),0))</f>
        <v/>
      </c>
      <c r="AT76" s="88"/>
      <c r="AU76" s="90" t="str">
        <f aca="false">IF(AT76="","",ROUND(AT76/(1+Справочники!$B$12),0))</f>
        <v/>
      </c>
      <c r="AV76" s="90" t="str">
        <f aca="false">IF(AT76="","",ROUND(AT76*(1-Справочники!$B$15),0))</f>
        <v/>
      </c>
      <c r="AW76" s="90" t="str">
        <f aca="false">IF(AT76="","",ROUND(AT76*(1-Справочники!$B$16),0))</f>
        <v/>
      </c>
      <c r="AX76" s="90" t="str">
        <f aca="false">IF(AT76="","",ROUND(AT76*(1-Справочники!$B$17),0))</f>
        <v/>
      </c>
      <c r="AY76" s="90" t="str">
        <f aca="false">IF(AT76="","",ROUND(AT76*(1-Справочники!$B$18),0))</f>
        <v/>
      </c>
      <c r="AZ76" s="90" t="str">
        <f aca="false">IF(AT76="","",ROUND(AT76*(1-Справочники!$B$19),0))</f>
        <v/>
      </c>
      <c r="BA76" s="81"/>
      <c r="BB76" s="81"/>
      <c r="BC76" s="81"/>
      <c r="BD76" s="81"/>
      <c r="BE76" s="91"/>
      <c r="BF76" s="81" t="s">
        <v>103</v>
      </c>
      <c r="BG76" s="89" t="n">
        <f aca="false" t="array" ref="BG76:BG76">IF(BF76="","",IFERROR(INDEX(Справочники!$B$4:$B$7,MATCH(BF76,Справочники!$A$4:$A$7,0)),""))</f>
        <v>68.5</v>
      </c>
      <c r="BH76" s="90" t="str">
        <f aca="false">IF(N(BN76)&gt;0,ROUND(SUMIF(ЗАКАЗЫ!$F$3:$F$500,$A76,ЗАКАЗЫ!$Y$3:$Y$500)/BN76,0),IF(OR(BE76="",BG76=""),"",ROUND(BE76*BG76*(1+Справочники!$B$10),0)))</f>
        <v/>
      </c>
      <c r="BI76" s="92" t="str">
        <f aca="false">IF(OR(AU76="",BH76="",AU76=0),"",(AU76-BH76)/AU76)</f>
        <v/>
      </c>
      <c r="BJ76" s="81"/>
      <c r="BK76" s="83"/>
      <c r="BL76" s="43" t="str">
        <f aca="false">IFERROR(INDEX(ЗАКАЗЫ!$N$3:$N$500,MATCH($A76,ЗАКАЗЫ!$F$3:$F$500,0)),"")</f>
        <v/>
      </c>
      <c r="BM76" s="8" t="str">
        <f aca="false">IF(BL76="","",IFERROR(VLOOKUP(BL76,'ТН ВЭД'!$A$4:$C$40,3,0),""))</f>
        <v/>
      </c>
      <c r="BN76" s="7" t="str">
        <f aca="false">IF(COUNTIF(ЗАКАЗЫ!$F$3:$F$500,$A76)=0,"",SUMIF(ЗАКАЗЫ!$F$3:$F$500,$A76,ЗАКАЗЫ!$J$3:$J$500))</f>
        <v/>
      </c>
      <c r="BO76" s="7" t="str">
        <f aca="false">IF(BN76="","",SUMIF(ЗАКАЗЫ!$F$3:$F$500,$A76,ЗАКАЗЫ!$AL$3:$AL$500))</f>
        <v/>
      </c>
      <c r="BP76" s="7" t="str">
        <f aca="false">IF(BN76="","",BN76-BO76)</f>
        <v/>
      </c>
      <c r="BQ76" s="55" t="str">
        <f aca="false">IF(BN76="","",IF(BO76&gt;=BN76,"На складе",IF(BO76&gt;0,"Частично","Ждём")))</f>
        <v/>
      </c>
      <c r="BR76" s="43"/>
      <c r="BS76" s="47" t="str">
        <f aca="false">IF(BN76="","",IF(_xlfn.MAXIFS(ЗАКАЗЫ!$AK$3:$AK$500,ЗАКАЗЫ!$F$3:$F$500,$A76)=0,"",_xlfn.MAXIFS(ЗАКАЗЫ!$AK$3:$AK$500,ЗАКАЗЫ!$F$3:$F$500,$A76)))</f>
        <v/>
      </c>
    </row>
    <row r="77" customFormat="false" ht="15.75" hidden="false" customHeight="true" outlineLevel="0" collapsed="false">
      <c r="A77" s="80" t="s">
        <v>551</v>
      </c>
      <c r="B77" s="81"/>
      <c r="C77" s="81"/>
      <c r="D77" s="81"/>
      <c r="E77" s="83"/>
      <c r="F77" s="81"/>
      <c r="G77" s="83"/>
      <c r="H77" s="83"/>
      <c r="I77" s="84" t="str">
        <f aca="false">IF(E77="","",A77&amp;"_1.jpg")</f>
        <v/>
      </c>
      <c r="J77" s="84" t="str">
        <f aca="false">IF(E77="","",A77&amp;"_2.jpg; "&amp;A77&amp;"_3.jpg")</f>
        <v/>
      </c>
      <c r="K77" s="84" t="str">
        <f aca="false">IF(E77="","",A77&amp;"_schema.jpg")</f>
        <v/>
      </c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 t="s">
        <v>261</v>
      </c>
      <c r="W77" s="81"/>
      <c r="X77" s="81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6" t="str">
        <f aca="false">IF(SUM(Y77:AJ77)=0,"",SUM(Y77:AJ77))</f>
        <v/>
      </c>
      <c r="AL77" s="84" t="str">
        <f aca="false">MID(IF(N(Y77)&gt;0,", "&amp;Y$2,"")&amp;IF(N(Z77)&gt;0,", "&amp;Z$2,"")&amp;IF(N(AA77)&gt;0,", "&amp;AA$2,"")&amp;IF(N(AB77)&gt;0,", "&amp;AB$2,"")&amp;IF(N(AC77)&gt;0,", "&amp;AC$2,"")&amp;IF(N(AD77)&gt;0,", "&amp;AD$2,"")&amp;IF(N(AE77)&gt;0,", "&amp;AE$2,"")&amp;IF(N(AF77)&gt;0,", "&amp;AF$2,"")&amp;IF(N(AG77)&gt;0,", "&amp;AG$2,"")&amp;IF(N(AH77)&gt;0,", "&amp;AH$2,"")&amp;IF(N(AI77)&gt;0,", "&amp;AI$2,"")&amp;IF(N(AJ77)&gt;0,", "&amp;AJ$2,""),3,999)</f>
        <v/>
      </c>
      <c r="AM77" s="87" t="str">
        <f aca="false">IF(E77="","",MID(IF(N(Y77)&gt;0,", "&amp;A77&amp;"-"&amp;Y$2,"")&amp;IF(N(Z77)&gt;0,", "&amp;A77&amp;"-"&amp;Z$2,"")&amp;IF(N(AA77)&gt;0,", "&amp;A77&amp;"-"&amp;AA$2,"")&amp;IF(N(AB77)&gt;0,", "&amp;A77&amp;"-"&amp;AB$2,"")&amp;IF(N(AC77)&gt;0,", "&amp;A77&amp;"-"&amp;AC$2,"")&amp;IF(N(AD77)&gt;0,", "&amp;A77&amp;"-"&amp;AD$2,"")&amp;IF(N(AE77)&gt;0,", "&amp;A77&amp;"-"&amp;AE$2,"")&amp;IF(N(AF77)&gt;0,", "&amp;A77&amp;"-"&amp;AF$2,"")&amp;IF(N(AG77)&gt;0,", "&amp;A77&amp;"-"&amp;AG$2,"")&amp;IF(N(AH77)&gt;0,", "&amp;A77&amp;"-"&amp;AH$2,"")&amp;IF(N(AI77)&gt;0,", "&amp;A77&amp;"-"&amp;AI$2,"")&amp;IF(N(AJ77)&gt;0,", "&amp;A77&amp;"-"&amp;AJ$2,""),3,999))</f>
        <v/>
      </c>
      <c r="AN77" s="81"/>
      <c r="AO77" s="88"/>
      <c r="AP77" s="89" t="str">
        <f aca="false">IF(AO77="","",ROUND(AO77/(1+Справочники!$B$13),2))</f>
        <v/>
      </c>
      <c r="AQ77" s="90" t="str">
        <f aca="false" t="array" ref="AQ77:AQ77">IF(AP77="","",AP77*INDEX(Справочники!$B$4:$B$7,MATCH("RUB",Справочники!$A$4:$A$7,0)))</f>
        <v/>
      </c>
      <c r="AR77" s="90" t="str">
        <f aca="false">IF(AQ77="","",ROUND(AQ77*(1+Справочники!$B$12),0))</f>
        <v/>
      </c>
      <c r="AS77" s="90" t="str">
        <f aca="false">IF(AR77="","",ROUND(AR77*(1-Справочники!$B$11),0))</f>
        <v/>
      </c>
      <c r="AT77" s="88"/>
      <c r="AU77" s="90" t="str">
        <f aca="false">IF(AT77="","",ROUND(AT77/(1+Справочники!$B$12),0))</f>
        <v/>
      </c>
      <c r="AV77" s="90" t="str">
        <f aca="false">IF(AT77="","",ROUND(AT77*(1-Справочники!$B$15),0))</f>
        <v/>
      </c>
      <c r="AW77" s="90" t="str">
        <f aca="false">IF(AT77="","",ROUND(AT77*(1-Справочники!$B$16),0))</f>
        <v/>
      </c>
      <c r="AX77" s="90" t="str">
        <f aca="false">IF(AT77="","",ROUND(AT77*(1-Справочники!$B$17),0))</f>
        <v/>
      </c>
      <c r="AY77" s="90" t="str">
        <f aca="false">IF(AT77="","",ROUND(AT77*(1-Справочники!$B$18),0))</f>
        <v/>
      </c>
      <c r="AZ77" s="90" t="str">
        <f aca="false">IF(AT77="","",ROUND(AT77*(1-Справочники!$B$19),0))</f>
        <v/>
      </c>
      <c r="BA77" s="81"/>
      <c r="BB77" s="81"/>
      <c r="BC77" s="81"/>
      <c r="BD77" s="81"/>
      <c r="BE77" s="91"/>
      <c r="BF77" s="81" t="s">
        <v>103</v>
      </c>
      <c r="BG77" s="89" t="n">
        <f aca="false" t="array" ref="BG77:BG77">IF(BF77="","",IFERROR(INDEX(Справочники!$B$4:$B$7,MATCH(BF77,Справочники!$A$4:$A$7,0)),""))</f>
        <v>68.5</v>
      </c>
      <c r="BH77" s="90" t="str">
        <f aca="false">IF(N(BN77)&gt;0,ROUND(SUMIF(ЗАКАЗЫ!$F$3:$F$500,$A77,ЗАКАЗЫ!$Y$3:$Y$500)/BN77,0),IF(OR(BE77="",BG77=""),"",ROUND(BE77*BG77*(1+Справочники!$B$10),0)))</f>
        <v/>
      </c>
      <c r="BI77" s="92" t="str">
        <f aca="false">IF(OR(AU77="",BH77="",AU77=0),"",(AU77-BH77)/AU77)</f>
        <v/>
      </c>
      <c r="BJ77" s="81"/>
      <c r="BK77" s="83"/>
      <c r="BL77" s="43" t="str">
        <f aca="false">IFERROR(INDEX(ЗАКАЗЫ!$N$3:$N$500,MATCH($A77,ЗАКАЗЫ!$F$3:$F$500,0)),"")</f>
        <v/>
      </c>
      <c r="BM77" s="8" t="str">
        <f aca="false">IF(BL77="","",IFERROR(VLOOKUP(BL77,'ТН ВЭД'!$A$4:$C$40,3,0),""))</f>
        <v/>
      </c>
      <c r="BN77" s="7" t="str">
        <f aca="false">IF(COUNTIF(ЗАКАЗЫ!$F$3:$F$500,$A77)=0,"",SUMIF(ЗАКАЗЫ!$F$3:$F$500,$A77,ЗАКАЗЫ!$J$3:$J$500))</f>
        <v/>
      </c>
      <c r="BO77" s="7" t="str">
        <f aca="false">IF(BN77="","",SUMIF(ЗАКАЗЫ!$F$3:$F$500,$A77,ЗАКАЗЫ!$AL$3:$AL$500))</f>
        <v/>
      </c>
      <c r="BP77" s="7" t="str">
        <f aca="false">IF(BN77="","",BN77-BO77)</f>
        <v/>
      </c>
      <c r="BQ77" s="55" t="str">
        <f aca="false">IF(BN77="","",IF(BO77&gt;=BN77,"На складе",IF(BO77&gt;0,"Частично","Ждём")))</f>
        <v/>
      </c>
      <c r="BR77" s="43"/>
      <c r="BS77" s="47" t="str">
        <f aca="false">IF(BN77="","",IF(_xlfn.MAXIFS(ЗАКАЗЫ!$AK$3:$AK$500,ЗАКАЗЫ!$F$3:$F$500,$A77)=0,"",_xlfn.MAXIFS(ЗАКАЗЫ!$AK$3:$AK$500,ЗАКАЗЫ!$F$3:$F$500,$A77)))</f>
        <v/>
      </c>
    </row>
    <row r="78" customFormat="false" ht="15.75" hidden="false" customHeight="true" outlineLevel="0" collapsed="false">
      <c r="A78" s="80" t="s">
        <v>552</v>
      </c>
      <c r="B78" s="81"/>
      <c r="C78" s="81"/>
      <c r="D78" s="81"/>
      <c r="E78" s="83"/>
      <c r="F78" s="81"/>
      <c r="G78" s="83"/>
      <c r="H78" s="83"/>
      <c r="I78" s="84" t="str">
        <f aca="false">IF(E78="","",A78&amp;"_1.jpg")</f>
        <v/>
      </c>
      <c r="J78" s="84" t="str">
        <f aca="false">IF(E78="","",A78&amp;"_2.jpg; "&amp;A78&amp;"_3.jpg")</f>
        <v/>
      </c>
      <c r="K78" s="84" t="str">
        <f aca="false">IF(E78="","",A78&amp;"_schema.jpg")</f>
        <v/>
      </c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 t="s">
        <v>261</v>
      </c>
      <c r="W78" s="81"/>
      <c r="X78" s="81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6" t="str">
        <f aca="false">IF(SUM(Y78:AJ78)=0,"",SUM(Y78:AJ78))</f>
        <v/>
      </c>
      <c r="AL78" s="84" t="str">
        <f aca="false">MID(IF(N(Y78)&gt;0,", "&amp;Y$2,"")&amp;IF(N(Z78)&gt;0,", "&amp;Z$2,"")&amp;IF(N(AA78)&gt;0,", "&amp;AA$2,"")&amp;IF(N(AB78)&gt;0,", "&amp;AB$2,"")&amp;IF(N(AC78)&gt;0,", "&amp;AC$2,"")&amp;IF(N(AD78)&gt;0,", "&amp;AD$2,"")&amp;IF(N(AE78)&gt;0,", "&amp;AE$2,"")&amp;IF(N(AF78)&gt;0,", "&amp;AF$2,"")&amp;IF(N(AG78)&gt;0,", "&amp;AG$2,"")&amp;IF(N(AH78)&gt;0,", "&amp;AH$2,"")&amp;IF(N(AI78)&gt;0,", "&amp;AI$2,"")&amp;IF(N(AJ78)&gt;0,", "&amp;AJ$2,""),3,999)</f>
        <v/>
      </c>
      <c r="AM78" s="87" t="str">
        <f aca="false">IF(E78="","",MID(IF(N(Y78)&gt;0,", "&amp;A78&amp;"-"&amp;Y$2,"")&amp;IF(N(Z78)&gt;0,", "&amp;A78&amp;"-"&amp;Z$2,"")&amp;IF(N(AA78)&gt;0,", "&amp;A78&amp;"-"&amp;AA$2,"")&amp;IF(N(AB78)&gt;0,", "&amp;A78&amp;"-"&amp;AB$2,"")&amp;IF(N(AC78)&gt;0,", "&amp;A78&amp;"-"&amp;AC$2,"")&amp;IF(N(AD78)&gt;0,", "&amp;A78&amp;"-"&amp;AD$2,"")&amp;IF(N(AE78)&gt;0,", "&amp;A78&amp;"-"&amp;AE$2,"")&amp;IF(N(AF78)&gt;0,", "&amp;A78&amp;"-"&amp;AF$2,"")&amp;IF(N(AG78)&gt;0,", "&amp;A78&amp;"-"&amp;AG$2,"")&amp;IF(N(AH78)&gt;0,", "&amp;A78&amp;"-"&amp;AH$2,"")&amp;IF(N(AI78)&gt;0,", "&amp;A78&amp;"-"&amp;AI$2,"")&amp;IF(N(AJ78)&gt;0,", "&amp;A78&amp;"-"&amp;AJ$2,""),3,999))</f>
        <v/>
      </c>
      <c r="AN78" s="81"/>
      <c r="AO78" s="88"/>
      <c r="AP78" s="89" t="str">
        <f aca="false">IF(AO78="","",ROUND(AO78/(1+Справочники!$B$13),2))</f>
        <v/>
      </c>
      <c r="AQ78" s="90" t="str">
        <f aca="false" t="array" ref="AQ78:AQ78">IF(AP78="","",AP78*INDEX(Справочники!$B$4:$B$7,MATCH("RUB",Справочники!$A$4:$A$7,0)))</f>
        <v/>
      </c>
      <c r="AR78" s="90" t="str">
        <f aca="false">IF(AQ78="","",ROUND(AQ78*(1+Справочники!$B$12),0))</f>
        <v/>
      </c>
      <c r="AS78" s="90" t="str">
        <f aca="false">IF(AR78="","",ROUND(AR78*(1-Справочники!$B$11),0))</f>
        <v/>
      </c>
      <c r="AT78" s="88"/>
      <c r="AU78" s="90" t="str">
        <f aca="false">IF(AT78="","",ROUND(AT78/(1+Справочники!$B$12),0))</f>
        <v/>
      </c>
      <c r="AV78" s="90" t="str">
        <f aca="false">IF(AT78="","",ROUND(AT78*(1-Справочники!$B$15),0))</f>
        <v/>
      </c>
      <c r="AW78" s="90" t="str">
        <f aca="false">IF(AT78="","",ROUND(AT78*(1-Справочники!$B$16),0))</f>
        <v/>
      </c>
      <c r="AX78" s="90" t="str">
        <f aca="false">IF(AT78="","",ROUND(AT78*(1-Справочники!$B$17),0))</f>
        <v/>
      </c>
      <c r="AY78" s="90" t="str">
        <f aca="false">IF(AT78="","",ROUND(AT78*(1-Справочники!$B$18),0))</f>
        <v/>
      </c>
      <c r="AZ78" s="90" t="str">
        <f aca="false">IF(AT78="","",ROUND(AT78*(1-Справочники!$B$19),0))</f>
        <v/>
      </c>
      <c r="BA78" s="81"/>
      <c r="BB78" s="81"/>
      <c r="BC78" s="81"/>
      <c r="BD78" s="81"/>
      <c r="BE78" s="91"/>
      <c r="BF78" s="81" t="s">
        <v>103</v>
      </c>
      <c r="BG78" s="89" t="n">
        <f aca="false" t="array" ref="BG78:BG78">IF(BF78="","",IFERROR(INDEX(Справочники!$B$4:$B$7,MATCH(BF78,Справочники!$A$4:$A$7,0)),""))</f>
        <v>68.5</v>
      </c>
      <c r="BH78" s="90" t="str">
        <f aca="false">IF(N(BN78)&gt;0,ROUND(SUMIF(ЗАКАЗЫ!$F$3:$F$500,$A78,ЗАКАЗЫ!$Y$3:$Y$500)/BN78,0),IF(OR(BE78="",BG78=""),"",ROUND(BE78*BG78*(1+Справочники!$B$10),0)))</f>
        <v/>
      </c>
      <c r="BI78" s="92" t="str">
        <f aca="false">IF(OR(AU78="",BH78="",AU78=0),"",(AU78-BH78)/AU78)</f>
        <v/>
      </c>
      <c r="BJ78" s="81"/>
      <c r="BK78" s="83"/>
      <c r="BL78" s="43" t="str">
        <f aca="false">IFERROR(INDEX(ЗАКАЗЫ!$N$3:$N$500,MATCH($A78,ЗАКАЗЫ!$F$3:$F$500,0)),"")</f>
        <v/>
      </c>
      <c r="BM78" s="8" t="str">
        <f aca="false">IF(BL78="","",IFERROR(VLOOKUP(BL78,'ТН ВЭД'!$A$4:$C$40,3,0),""))</f>
        <v/>
      </c>
      <c r="BN78" s="7" t="str">
        <f aca="false">IF(COUNTIF(ЗАКАЗЫ!$F$3:$F$500,$A78)=0,"",SUMIF(ЗАКАЗЫ!$F$3:$F$500,$A78,ЗАКАЗЫ!$J$3:$J$500))</f>
        <v/>
      </c>
      <c r="BO78" s="7" t="str">
        <f aca="false">IF(BN78="","",SUMIF(ЗАКАЗЫ!$F$3:$F$500,$A78,ЗАКАЗЫ!$AL$3:$AL$500))</f>
        <v/>
      </c>
      <c r="BP78" s="7" t="str">
        <f aca="false">IF(BN78="","",BN78-BO78)</f>
        <v/>
      </c>
      <c r="BQ78" s="55" t="str">
        <f aca="false">IF(BN78="","",IF(BO78&gt;=BN78,"На складе",IF(BO78&gt;0,"Частично","Ждём")))</f>
        <v/>
      </c>
      <c r="BR78" s="43"/>
      <c r="BS78" s="47" t="str">
        <f aca="false">IF(BN78="","",IF(_xlfn.MAXIFS(ЗАКАЗЫ!$AK$3:$AK$500,ЗАКАЗЫ!$F$3:$F$500,$A78)=0,"",_xlfn.MAXIFS(ЗАКАЗЫ!$AK$3:$AK$500,ЗАКАЗЫ!$F$3:$F$500,$A78)))</f>
        <v/>
      </c>
    </row>
    <row r="79" customFormat="false" ht="15.75" hidden="false" customHeight="true" outlineLevel="0" collapsed="false">
      <c r="A79" s="80" t="s">
        <v>553</v>
      </c>
      <c r="B79" s="81"/>
      <c r="C79" s="81"/>
      <c r="D79" s="81"/>
      <c r="E79" s="83"/>
      <c r="F79" s="81"/>
      <c r="G79" s="83"/>
      <c r="H79" s="83"/>
      <c r="I79" s="84" t="str">
        <f aca="false">IF(E79="","",A79&amp;"_1.jpg")</f>
        <v/>
      </c>
      <c r="J79" s="84" t="str">
        <f aca="false">IF(E79="","",A79&amp;"_2.jpg; "&amp;A79&amp;"_3.jpg")</f>
        <v/>
      </c>
      <c r="K79" s="84" t="str">
        <f aca="false">IF(E79="","",A79&amp;"_schema.jpg")</f>
        <v/>
      </c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 t="s">
        <v>261</v>
      </c>
      <c r="W79" s="81"/>
      <c r="X79" s="81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6" t="str">
        <f aca="false">IF(SUM(Y79:AJ79)=0,"",SUM(Y79:AJ79))</f>
        <v/>
      </c>
      <c r="AL79" s="84" t="str">
        <f aca="false">MID(IF(N(Y79)&gt;0,", "&amp;Y$2,"")&amp;IF(N(Z79)&gt;0,", "&amp;Z$2,"")&amp;IF(N(AA79)&gt;0,", "&amp;AA$2,"")&amp;IF(N(AB79)&gt;0,", "&amp;AB$2,"")&amp;IF(N(AC79)&gt;0,", "&amp;AC$2,"")&amp;IF(N(AD79)&gt;0,", "&amp;AD$2,"")&amp;IF(N(AE79)&gt;0,", "&amp;AE$2,"")&amp;IF(N(AF79)&gt;0,", "&amp;AF$2,"")&amp;IF(N(AG79)&gt;0,", "&amp;AG$2,"")&amp;IF(N(AH79)&gt;0,", "&amp;AH$2,"")&amp;IF(N(AI79)&gt;0,", "&amp;AI$2,"")&amp;IF(N(AJ79)&gt;0,", "&amp;AJ$2,""),3,999)</f>
        <v/>
      </c>
      <c r="AM79" s="87" t="str">
        <f aca="false">IF(E79="","",MID(IF(N(Y79)&gt;0,", "&amp;A79&amp;"-"&amp;Y$2,"")&amp;IF(N(Z79)&gt;0,", "&amp;A79&amp;"-"&amp;Z$2,"")&amp;IF(N(AA79)&gt;0,", "&amp;A79&amp;"-"&amp;AA$2,"")&amp;IF(N(AB79)&gt;0,", "&amp;A79&amp;"-"&amp;AB$2,"")&amp;IF(N(AC79)&gt;0,", "&amp;A79&amp;"-"&amp;AC$2,"")&amp;IF(N(AD79)&gt;0,", "&amp;A79&amp;"-"&amp;AD$2,"")&amp;IF(N(AE79)&gt;0,", "&amp;A79&amp;"-"&amp;AE$2,"")&amp;IF(N(AF79)&gt;0,", "&amp;A79&amp;"-"&amp;AF$2,"")&amp;IF(N(AG79)&gt;0,", "&amp;A79&amp;"-"&amp;AG$2,"")&amp;IF(N(AH79)&gt;0,", "&amp;A79&amp;"-"&amp;AH$2,"")&amp;IF(N(AI79)&gt;0,", "&amp;A79&amp;"-"&amp;AI$2,"")&amp;IF(N(AJ79)&gt;0,", "&amp;A79&amp;"-"&amp;AJ$2,""),3,999))</f>
        <v/>
      </c>
      <c r="AN79" s="81"/>
      <c r="AO79" s="88"/>
      <c r="AP79" s="89" t="str">
        <f aca="false">IF(AO79="","",ROUND(AO79/(1+Справочники!$B$13),2))</f>
        <v/>
      </c>
      <c r="AQ79" s="90" t="str">
        <f aca="false" t="array" ref="AQ79:AQ79">IF(AP79="","",AP79*INDEX(Справочники!$B$4:$B$7,MATCH("RUB",Справочники!$A$4:$A$7,0)))</f>
        <v/>
      </c>
      <c r="AR79" s="90" t="str">
        <f aca="false">IF(AQ79="","",ROUND(AQ79*(1+Справочники!$B$12),0))</f>
        <v/>
      </c>
      <c r="AS79" s="90" t="str">
        <f aca="false">IF(AR79="","",ROUND(AR79*(1-Справочники!$B$11),0))</f>
        <v/>
      </c>
      <c r="AT79" s="88"/>
      <c r="AU79" s="90" t="str">
        <f aca="false">IF(AT79="","",ROUND(AT79/(1+Справочники!$B$12),0))</f>
        <v/>
      </c>
      <c r="AV79" s="90" t="str">
        <f aca="false">IF(AT79="","",ROUND(AT79*(1-Справочники!$B$15),0))</f>
        <v/>
      </c>
      <c r="AW79" s="90" t="str">
        <f aca="false">IF(AT79="","",ROUND(AT79*(1-Справочники!$B$16),0))</f>
        <v/>
      </c>
      <c r="AX79" s="90" t="str">
        <f aca="false">IF(AT79="","",ROUND(AT79*(1-Справочники!$B$17),0))</f>
        <v/>
      </c>
      <c r="AY79" s="90" t="str">
        <f aca="false">IF(AT79="","",ROUND(AT79*(1-Справочники!$B$18),0))</f>
        <v/>
      </c>
      <c r="AZ79" s="90" t="str">
        <f aca="false">IF(AT79="","",ROUND(AT79*(1-Справочники!$B$19),0))</f>
        <v/>
      </c>
      <c r="BA79" s="81"/>
      <c r="BB79" s="81"/>
      <c r="BC79" s="81"/>
      <c r="BD79" s="81"/>
      <c r="BE79" s="91"/>
      <c r="BF79" s="81" t="s">
        <v>103</v>
      </c>
      <c r="BG79" s="89" t="n">
        <f aca="false" t="array" ref="BG79:BG79">IF(BF79="","",IFERROR(INDEX(Справочники!$B$4:$B$7,MATCH(BF79,Справочники!$A$4:$A$7,0)),""))</f>
        <v>68.5</v>
      </c>
      <c r="BH79" s="90" t="str">
        <f aca="false">IF(N(BN79)&gt;0,ROUND(SUMIF(ЗАКАЗЫ!$F$3:$F$500,$A79,ЗАКАЗЫ!$Y$3:$Y$500)/BN79,0),IF(OR(BE79="",BG79=""),"",ROUND(BE79*BG79*(1+Справочники!$B$10),0)))</f>
        <v/>
      </c>
      <c r="BI79" s="92" t="str">
        <f aca="false">IF(OR(AU79="",BH79="",AU79=0),"",(AU79-BH79)/AU79)</f>
        <v/>
      </c>
      <c r="BJ79" s="81"/>
      <c r="BK79" s="83"/>
      <c r="BL79" s="43" t="str">
        <f aca="false">IFERROR(INDEX(ЗАКАЗЫ!$N$3:$N$500,MATCH($A79,ЗАКАЗЫ!$F$3:$F$500,0)),"")</f>
        <v/>
      </c>
      <c r="BM79" s="8" t="str">
        <f aca="false">IF(BL79="","",IFERROR(VLOOKUP(BL79,'ТН ВЭД'!$A$4:$C$40,3,0),""))</f>
        <v/>
      </c>
      <c r="BN79" s="7" t="str">
        <f aca="false">IF(COUNTIF(ЗАКАЗЫ!$F$3:$F$500,$A79)=0,"",SUMIF(ЗАКАЗЫ!$F$3:$F$500,$A79,ЗАКАЗЫ!$J$3:$J$500))</f>
        <v/>
      </c>
      <c r="BO79" s="7" t="str">
        <f aca="false">IF(BN79="","",SUMIF(ЗАКАЗЫ!$F$3:$F$500,$A79,ЗАКАЗЫ!$AL$3:$AL$500))</f>
        <v/>
      </c>
      <c r="BP79" s="7" t="str">
        <f aca="false">IF(BN79="","",BN79-BO79)</f>
        <v/>
      </c>
      <c r="BQ79" s="55" t="str">
        <f aca="false">IF(BN79="","",IF(BO79&gt;=BN79,"На складе",IF(BO79&gt;0,"Частично","Ждём")))</f>
        <v/>
      </c>
      <c r="BR79" s="43"/>
      <c r="BS79" s="47" t="str">
        <f aca="false">IF(BN79="","",IF(_xlfn.MAXIFS(ЗАКАЗЫ!$AK$3:$AK$500,ЗАКАЗЫ!$F$3:$F$500,$A79)=0,"",_xlfn.MAXIFS(ЗАКАЗЫ!$AK$3:$AK$500,ЗАКАЗЫ!$F$3:$F$500,$A79)))</f>
        <v/>
      </c>
    </row>
    <row r="80" customFormat="false" ht="15.75" hidden="false" customHeight="true" outlineLevel="0" collapsed="false">
      <c r="A80" s="80" t="s">
        <v>554</v>
      </c>
      <c r="B80" s="81"/>
      <c r="C80" s="81"/>
      <c r="D80" s="81"/>
      <c r="E80" s="83"/>
      <c r="F80" s="81"/>
      <c r="G80" s="83"/>
      <c r="H80" s="83"/>
      <c r="I80" s="84" t="str">
        <f aca="false">IF(E80="","",A80&amp;"_1.jpg")</f>
        <v/>
      </c>
      <c r="J80" s="84" t="str">
        <f aca="false">IF(E80="","",A80&amp;"_2.jpg; "&amp;A80&amp;"_3.jpg")</f>
        <v/>
      </c>
      <c r="K80" s="84" t="str">
        <f aca="false">IF(E80="","",A80&amp;"_schema.jpg")</f>
        <v/>
      </c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 t="s">
        <v>261</v>
      </c>
      <c r="W80" s="81"/>
      <c r="X80" s="81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6" t="str">
        <f aca="false">IF(SUM(Y80:AJ80)=0,"",SUM(Y80:AJ80))</f>
        <v/>
      </c>
      <c r="AL80" s="84" t="str">
        <f aca="false">MID(IF(N(Y80)&gt;0,", "&amp;Y$2,"")&amp;IF(N(Z80)&gt;0,", "&amp;Z$2,"")&amp;IF(N(AA80)&gt;0,", "&amp;AA$2,"")&amp;IF(N(AB80)&gt;0,", "&amp;AB$2,"")&amp;IF(N(AC80)&gt;0,", "&amp;AC$2,"")&amp;IF(N(AD80)&gt;0,", "&amp;AD$2,"")&amp;IF(N(AE80)&gt;0,", "&amp;AE$2,"")&amp;IF(N(AF80)&gt;0,", "&amp;AF$2,"")&amp;IF(N(AG80)&gt;0,", "&amp;AG$2,"")&amp;IF(N(AH80)&gt;0,", "&amp;AH$2,"")&amp;IF(N(AI80)&gt;0,", "&amp;AI$2,"")&amp;IF(N(AJ80)&gt;0,", "&amp;AJ$2,""),3,999)</f>
        <v/>
      </c>
      <c r="AM80" s="87" t="str">
        <f aca="false">IF(E80="","",MID(IF(N(Y80)&gt;0,", "&amp;A80&amp;"-"&amp;Y$2,"")&amp;IF(N(Z80)&gt;0,", "&amp;A80&amp;"-"&amp;Z$2,"")&amp;IF(N(AA80)&gt;0,", "&amp;A80&amp;"-"&amp;AA$2,"")&amp;IF(N(AB80)&gt;0,", "&amp;A80&amp;"-"&amp;AB$2,"")&amp;IF(N(AC80)&gt;0,", "&amp;A80&amp;"-"&amp;AC$2,"")&amp;IF(N(AD80)&gt;0,", "&amp;A80&amp;"-"&amp;AD$2,"")&amp;IF(N(AE80)&gt;0,", "&amp;A80&amp;"-"&amp;AE$2,"")&amp;IF(N(AF80)&gt;0,", "&amp;A80&amp;"-"&amp;AF$2,"")&amp;IF(N(AG80)&gt;0,", "&amp;A80&amp;"-"&amp;AG$2,"")&amp;IF(N(AH80)&gt;0,", "&amp;A80&amp;"-"&amp;AH$2,"")&amp;IF(N(AI80)&gt;0,", "&amp;A80&amp;"-"&amp;AI$2,"")&amp;IF(N(AJ80)&gt;0,", "&amp;A80&amp;"-"&amp;AJ$2,""),3,999))</f>
        <v/>
      </c>
      <c r="AN80" s="81"/>
      <c r="AO80" s="88"/>
      <c r="AP80" s="89" t="str">
        <f aca="false">IF(AO80="","",ROUND(AO80/(1+Справочники!$B$13),2))</f>
        <v/>
      </c>
      <c r="AQ80" s="90" t="str">
        <f aca="false" t="array" ref="AQ80:AQ80">IF(AP80="","",AP80*INDEX(Справочники!$B$4:$B$7,MATCH("RUB",Справочники!$A$4:$A$7,0)))</f>
        <v/>
      </c>
      <c r="AR80" s="90" t="str">
        <f aca="false">IF(AQ80="","",ROUND(AQ80*(1+Справочники!$B$12),0))</f>
        <v/>
      </c>
      <c r="AS80" s="90" t="str">
        <f aca="false">IF(AR80="","",ROUND(AR80*(1-Справочники!$B$11),0))</f>
        <v/>
      </c>
      <c r="AT80" s="88"/>
      <c r="AU80" s="90" t="str">
        <f aca="false">IF(AT80="","",ROUND(AT80/(1+Справочники!$B$12),0))</f>
        <v/>
      </c>
      <c r="AV80" s="90" t="str">
        <f aca="false">IF(AT80="","",ROUND(AT80*(1-Справочники!$B$15),0))</f>
        <v/>
      </c>
      <c r="AW80" s="90" t="str">
        <f aca="false">IF(AT80="","",ROUND(AT80*(1-Справочники!$B$16),0))</f>
        <v/>
      </c>
      <c r="AX80" s="90" t="str">
        <f aca="false">IF(AT80="","",ROUND(AT80*(1-Справочники!$B$17),0))</f>
        <v/>
      </c>
      <c r="AY80" s="90" t="str">
        <f aca="false">IF(AT80="","",ROUND(AT80*(1-Справочники!$B$18),0))</f>
        <v/>
      </c>
      <c r="AZ80" s="90" t="str">
        <f aca="false">IF(AT80="","",ROUND(AT80*(1-Справочники!$B$19),0))</f>
        <v/>
      </c>
      <c r="BA80" s="81"/>
      <c r="BB80" s="81"/>
      <c r="BC80" s="81"/>
      <c r="BD80" s="81"/>
      <c r="BE80" s="91"/>
      <c r="BF80" s="81" t="s">
        <v>103</v>
      </c>
      <c r="BG80" s="89" t="n">
        <f aca="false" t="array" ref="BG80:BG80">IF(BF80="","",IFERROR(INDEX(Справочники!$B$4:$B$7,MATCH(BF80,Справочники!$A$4:$A$7,0)),""))</f>
        <v>68.5</v>
      </c>
      <c r="BH80" s="90" t="str">
        <f aca="false">IF(N(BN80)&gt;0,ROUND(SUMIF(ЗАКАЗЫ!$F$3:$F$500,$A80,ЗАКАЗЫ!$Y$3:$Y$500)/BN80,0),IF(OR(BE80="",BG80=""),"",ROUND(BE80*BG80*(1+Справочники!$B$10),0)))</f>
        <v/>
      </c>
      <c r="BI80" s="92" t="str">
        <f aca="false">IF(OR(AU80="",BH80="",AU80=0),"",(AU80-BH80)/AU80)</f>
        <v/>
      </c>
      <c r="BJ80" s="81"/>
      <c r="BK80" s="83"/>
      <c r="BL80" s="43" t="str">
        <f aca="false">IFERROR(INDEX(ЗАКАЗЫ!$N$3:$N$500,MATCH($A80,ЗАКАЗЫ!$F$3:$F$500,0)),"")</f>
        <v/>
      </c>
      <c r="BM80" s="8" t="str">
        <f aca="false">IF(BL80="","",IFERROR(VLOOKUP(BL80,'ТН ВЭД'!$A$4:$C$40,3,0),""))</f>
        <v/>
      </c>
      <c r="BN80" s="7" t="str">
        <f aca="false">IF(COUNTIF(ЗАКАЗЫ!$F$3:$F$500,$A80)=0,"",SUMIF(ЗАКАЗЫ!$F$3:$F$500,$A80,ЗАКАЗЫ!$J$3:$J$500))</f>
        <v/>
      </c>
      <c r="BO80" s="7" t="str">
        <f aca="false">IF(BN80="","",SUMIF(ЗАКАЗЫ!$F$3:$F$500,$A80,ЗАКАЗЫ!$AL$3:$AL$500))</f>
        <v/>
      </c>
      <c r="BP80" s="7" t="str">
        <f aca="false">IF(BN80="","",BN80-BO80)</f>
        <v/>
      </c>
      <c r="BQ80" s="55" t="str">
        <f aca="false">IF(BN80="","",IF(BO80&gt;=BN80,"На складе",IF(BO80&gt;0,"Частично","Ждём")))</f>
        <v/>
      </c>
      <c r="BR80" s="43"/>
      <c r="BS80" s="47" t="str">
        <f aca="false">IF(BN80="","",IF(_xlfn.MAXIFS(ЗАКАЗЫ!$AK$3:$AK$500,ЗАКАЗЫ!$F$3:$F$500,$A80)=0,"",_xlfn.MAXIFS(ЗАКАЗЫ!$AK$3:$AK$500,ЗАКАЗЫ!$F$3:$F$500,$A80)))</f>
        <v/>
      </c>
    </row>
    <row r="81" customFormat="false" ht="15.75" hidden="false" customHeight="true" outlineLevel="0" collapsed="false">
      <c r="A81" s="80" t="s">
        <v>555</v>
      </c>
      <c r="B81" s="81"/>
      <c r="C81" s="81"/>
      <c r="D81" s="81"/>
      <c r="E81" s="83"/>
      <c r="F81" s="81"/>
      <c r="G81" s="83"/>
      <c r="H81" s="83"/>
      <c r="I81" s="84" t="str">
        <f aca="false">IF(E81="","",A81&amp;"_1.jpg")</f>
        <v/>
      </c>
      <c r="J81" s="84" t="str">
        <f aca="false">IF(E81="","",A81&amp;"_2.jpg; "&amp;A81&amp;"_3.jpg")</f>
        <v/>
      </c>
      <c r="K81" s="84" t="str">
        <f aca="false">IF(E81="","",A81&amp;"_schema.jpg")</f>
        <v/>
      </c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 t="s">
        <v>261</v>
      </c>
      <c r="W81" s="81"/>
      <c r="X81" s="81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6" t="str">
        <f aca="false">IF(SUM(Y81:AJ81)=0,"",SUM(Y81:AJ81))</f>
        <v/>
      </c>
      <c r="AL81" s="84" t="str">
        <f aca="false">MID(IF(N(Y81)&gt;0,", "&amp;Y$2,"")&amp;IF(N(Z81)&gt;0,", "&amp;Z$2,"")&amp;IF(N(AA81)&gt;0,", "&amp;AA$2,"")&amp;IF(N(AB81)&gt;0,", "&amp;AB$2,"")&amp;IF(N(AC81)&gt;0,", "&amp;AC$2,"")&amp;IF(N(AD81)&gt;0,", "&amp;AD$2,"")&amp;IF(N(AE81)&gt;0,", "&amp;AE$2,"")&amp;IF(N(AF81)&gt;0,", "&amp;AF$2,"")&amp;IF(N(AG81)&gt;0,", "&amp;AG$2,"")&amp;IF(N(AH81)&gt;0,", "&amp;AH$2,"")&amp;IF(N(AI81)&gt;0,", "&amp;AI$2,"")&amp;IF(N(AJ81)&gt;0,", "&amp;AJ$2,""),3,999)</f>
        <v/>
      </c>
      <c r="AM81" s="87" t="str">
        <f aca="false">IF(E81="","",MID(IF(N(Y81)&gt;0,", "&amp;A81&amp;"-"&amp;Y$2,"")&amp;IF(N(Z81)&gt;0,", "&amp;A81&amp;"-"&amp;Z$2,"")&amp;IF(N(AA81)&gt;0,", "&amp;A81&amp;"-"&amp;AA$2,"")&amp;IF(N(AB81)&gt;0,", "&amp;A81&amp;"-"&amp;AB$2,"")&amp;IF(N(AC81)&gt;0,", "&amp;A81&amp;"-"&amp;AC$2,"")&amp;IF(N(AD81)&gt;0,", "&amp;A81&amp;"-"&amp;AD$2,"")&amp;IF(N(AE81)&gt;0,", "&amp;A81&amp;"-"&amp;AE$2,"")&amp;IF(N(AF81)&gt;0,", "&amp;A81&amp;"-"&amp;AF$2,"")&amp;IF(N(AG81)&gt;0,", "&amp;A81&amp;"-"&amp;AG$2,"")&amp;IF(N(AH81)&gt;0,", "&amp;A81&amp;"-"&amp;AH$2,"")&amp;IF(N(AI81)&gt;0,", "&amp;A81&amp;"-"&amp;AI$2,"")&amp;IF(N(AJ81)&gt;0,", "&amp;A81&amp;"-"&amp;AJ$2,""),3,999))</f>
        <v/>
      </c>
      <c r="AN81" s="81"/>
      <c r="AO81" s="88"/>
      <c r="AP81" s="89" t="str">
        <f aca="false">IF(AO81="","",ROUND(AO81/(1+Справочники!$B$13),2))</f>
        <v/>
      </c>
      <c r="AQ81" s="90" t="str">
        <f aca="false" t="array" ref="AQ81:AQ81">IF(AP81="","",AP81*INDEX(Справочники!$B$4:$B$7,MATCH("RUB",Справочники!$A$4:$A$7,0)))</f>
        <v/>
      </c>
      <c r="AR81" s="90" t="str">
        <f aca="false">IF(AQ81="","",ROUND(AQ81*(1+Справочники!$B$12),0))</f>
        <v/>
      </c>
      <c r="AS81" s="90" t="str">
        <f aca="false">IF(AR81="","",ROUND(AR81*(1-Справочники!$B$11),0))</f>
        <v/>
      </c>
      <c r="AT81" s="88"/>
      <c r="AU81" s="90" t="str">
        <f aca="false">IF(AT81="","",ROUND(AT81/(1+Справочники!$B$12),0))</f>
        <v/>
      </c>
      <c r="AV81" s="90" t="str">
        <f aca="false">IF(AT81="","",ROUND(AT81*(1-Справочники!$B$15),0))</f>
        <v/>
      </c>
      <c r="AW81" s="90" t="str">
        <f aca="false">IF(AT81="","",ROUND(AT81*(1-Справочники!$B$16),0))</f>
        <v/>
      </c>
      <c r="AX81" s="90" t="str">
        <f aca="false">IF(AT81="","",ROUND(AT81*(1-Справочники!$B$17),0))</f>
        <v/>
      </c>
      <c r="AY81" s="90" t="str">
        <f aca="false">IF(AT81="","",ROUND(AT81*(1-Справочники!$B$18),0))</f>
        <v/>
      </c>
      <c r="AZ81" s="90" t="str">
        <f aca="false">IF(AT81="","",ROUND(AT81*(1-Справочники!$B$19),0))</f>
        <v/>
      </c>
      <c r="BA81" s="81"/>
      <c r="BB81" s="81"/>
      <c r="BC81" s="81"/>
      <c r="BD81" s="81"/>
      <c r="BE81" s="91"/>
      <c r="BF81" s="81" t="s">
        <v>103</v>
      </c>
      <c r="BG81" s="89" t="n">
        <f aca="false" t="array" ref="BG81:BG81">IF(BF81="","",IFERROR(INDEX(Справочники!$B$4:$B$7,MATCH(BF81,Справочники!$A$4:$A$7,0)),""))</f>
        <v>68.5</v>
      </c>
      <c r="BH81" s="90" t="str">
        <f aca="false">IF(N(BN81)&gt;0,ROUND(SUMIF(ЗАКАЗЫ!$F$3:$F$500,$A81,ЗАКАЗЫ!$Y$3:$Y$500)/BN81,0),IF(OR(BE81="",BG81=""),"",ROUND(BE81*BG81*(1+Справочники!$B$10),0)))</f>
        <v/>
      </c>
      <c r="BI81" s="92" t="str">
        <f aca="false">IF(OR(AU81="",BH81="",AU81=0),"",(AU81-BH81)/AU81)</f>
        <v/>
      </c>
      <c r="BJ81" s="81"/>
      <c r="BK81" s="83"/>
      <c r="BL81" s="43" t="str">
        <f aca="false">IFERROR(INDEX(ЗАКАЗЫ!$N$3:$N$500,MATCH($A81,ЗАКАЗЫ!$F$3:$F$500,0)),"")</f>
        <v/>
      </c>
      <c r="BM81" s="8" t="str">
        <f aca="false">IF(BL81="","",IFERROR(VLOOKUP(BL81,'ТН ВЭД'!$A$4:$C$40,3,0),""))</f>
        <v/>
      </c>
      <c r="BN81" s="7" t="str">
        <f aca="false">IF(COUNTIF(ЗАКАЗЫ!$F$3:$F$500,$A81)=0,"",SUMIF(ЗАКАЗЫ!$F$3:$F$500,$A81,ЗАКАЗЫ!$J$3:$J$500))</f>
        <v/>
      </c>
      <c r="BO81" s="7" t="str">
        <f aca="false">IF(BN81="","",SUMIF(ЗАКАЗЫ!$F$3:$F$500,$A81,ЗАКАЗЫ!$AL$3:$AL$500))</f>
        <v/>
      </c>
      <c r="BP81" s="7" t="str">
        <f aca="false">IF(BN81="","",BN81-BO81)</f>
        <v/>
      </c>
      <c r="BQ81" s="55" t="str">
        <f aca="false">IF(BN81="","",IF(BO81&gt;=BN81,"На складе",IF(BO81&gt;0,"Частично","Ждём")))</f>
        <v/>
      </c>
      <c r="BR81" s="43"/>
      <c r="BS81" s="47" t="str">
        <f aca="false">IF(BN81="","",IF(_xlfn.MAXIFS(ЗАКАЗЫ!$AK$3:$AK$500,ЗАКАЗЫ!$F$3:$F$500,$A81)=0,"",_xlfn.MAXIFS(ЗАКАЗЫ!$AK$3:$AK$500,ЗАКАЗЫ!$F$3:$F$500,$A81)))</f>
        <v/>
      </c>
    </row>
    <row r="82" customFormat="false" ht="15.75" hidden="false" customHeight="true" outlineLevel="0" collapsed="false">
      <c r="A82" s="80" t="s">
        <v>556</v>
      </c>
      <c r="B82" s="81"/>
      <c r="C82" s="81"/>
      <c r="D82" s="81"/>
      <c r="E82" s="83"/>
      <c r="F82" s="81"/>
      <c r="G82" s="83"/>
      <c r="H82" s="83"/>
      <c r="I82" s="84" t="str">
        <f aca="false">IF(E82="","",A82&amp;"_1.jpg")</f>
        <v/>
      </c>
      <c r="J82" s="84" t="str">
        <f aca="false">IF(E82="","",A82&amp;"_2.jpg; "&amp;A82&amp;"_3.jpg")</f>
        <v/>
      </c>
      <c r="K82" s="84" t="str">
        <f aca="false">IF(E82="","",A82&amp;"_schema.jpg")</f>
        <v/>
      </c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 t="s">
        <v>261</v>
      </c>
      <c r="W82" s="81"/>
      <c r="X82" s="81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6" t="str">
        <f aca="false">IF(SUM(Y82:AJ82)=0,"",SUM(Y82:AJ82))</f>
        <v/>
      </c>
      <c r="AL82" s="84" t="str">
        <f aca="false">MID(IF(N(Y82)&gt;0,", "&amp;Y$2,"")&amp;IF(N(Z82)&gt;0,", "&amp;Z$2,"")&amp;IF(N(AA82)&gt;0,", "&amp;AA$2,"")&amp;IF(N(AB82)&gt;0,", "&amp;AB$2,"")&amp;IF(N(AC82)&gt;0,", "&amp;AC$2,"")&amp;IF(N(AD82)&gt;0,", "&amp;AD$2,"")&amp;IF(N(AE82)&gt;0,", "&amp;AE$2,"")&amp;IF(N(AF82)&gt;0,", "&amp;AF$2,"")&amp;IF(N(AG82)&gt;0,", "&amp;AG$2,"")&amp;IF(N(AH82)&gt;0,", "&amp;AH$2,"")&amp;IF(N(AI82)&gt;0,", "&amp;AI$2,"")&amp;IF(N(AJ82)&gt;0,", "&amp;AJ$2,""),3,999)</f>
        <v/>
      </c>
      <c r="AM82" s="87" t="str">
        <f aca="false">IF(E82="","",MID(IF(N(Y82)&gt;0,", "&amp;A82&amp;"-"&amp;Y$2,"")&amp;IF(N(Z82)&gt;0,", "&amp;A82&amp;"-"&amp;Z$2,"")&amp;IF(N(AA82)&gt;0,", "&amp;A82&amp;"-"&amp;AA$2,"")&amp;IF(N(AB82)&gt;0,", "&amp;A82&amp;"-"&amp;AB$2,"")&amp;IF(N(AC82)&gt;0,", "&amp;A82&amp;"-"&amp;AC$2,"")&amp;IF(N(AD82)&gt;0,", "&amp;A82&amp;"-"&amp;AD$2,"")&amp;IF(N(AE82)&gt;0,", "&amp;A82&amp;"-"&amp;AE$2,"")&amp;IF(N(AF82)&gt;0,", "&amp;A82&amp;"-"&amp;AF$2,"")&amp;IF(N(AG82)&gt;0,", "&amp;A82&amp;"-"&amp;AG$2,"")&amp;IF(N(AH82)&gt;0,", "&amp;A82&amp;"-"&amp;AH$2,"")&amp;IF(N(AI82)&gt;0,", "&amp;A82&amp;"-"&amp;AI$2,"")&amp;IF(N(AJ82)&gt;0,", "&amp;A82&amp;"-"&amp;AJ$2,""),3,999))</f>
        <v/>
      </c>
      <c r="AN82" s="81"/>
      <c r="AO82" s="88"/>
      <c r="AP82" s="89" t="str">
        <f aca="false">IF(AO82="","",ROUND(AO82/(1+Справочники!$B$13),2))</f>
        <v/>
      </c>
      <c r="AQ82" s="90" t="str">
        <f aca="false" t="array" ref="AQ82:AQ82">IF(AP82="","",AP82*INDEX(Справочники!$B$4:$B$7,MATCH("RUB",Справочники!$A$4:$A$7,0)))</f>
        <v/>
      </c>
      <c r="AR82" s="90" t="str">
        <f aca="false">IF(AQ82="","",ROUND(AQ82*(1+Справочники!$B$12),0))</f>
        <v/>
      </c>
      <c r="AS82" s="90" t="str">
        <f aca="false">IF(AR82="","",ROUND(AR82*(1-Справочники!$B$11),0))</f>
        <v/>
      </c>
      <c r="AT82" s="88"/>
      <c r="AU82" s="90" t="str">
        <f aca="false">IF(AT82="","",ROUND(AT82/(1+Справочники!$B$12),0))</f>
        <v/>
      </c>
      <c r="AV82" s="90" t="str">
        <f aca="false">IF(AT82="","",ROUND(AT82*(1-Справочники!$B$15),0))</f>
        <v/>
      </c>
      <c r="AW82" s="90" t="str">
        <f aca="false">IF(AT82="","",ROUND(AT82*(1-Справочники!$B$16),0))</f>
        <v/>
      </c>
      <c r="AX82" s="90" t="str">
        <f aca="false">IF(AT82="","",ROUND(AT82*(1-Справочники!$B$17),0))</f>
        <v/>
      </c>
      <c r="AY82" s="90" t="str">
        <f aca="false">IF(AT82="","",ROUND(AT82*(1-Справочники!$B$18),0))</f>
        <v/>
      </c>
      <c r="AZ82" s="90" t="str">
        <f aca="false">IF(AT82="","",ROUND(AT82*(1-Справочники!$B$19),0))</f>
        <v/>
      </c>
      <c r="BA82" s="81"/>
      <c r="BB82" s="81"/>
      <c r="BC82" s="81"/>
      <c r="BD82" s="81"/>
      <c r="BE82" s="91"/>
      <c r="BF82" s="81" t="s">
        <v>103</v>
      </c>
      <c r="BG82" s="89" t="n">
        <f aca="false" t="array" ref="BG82:BG82">IF(BF82="","",IFERROR(INDEX(Справочники!$B$4:$B$7,MATCH(BF82,Справочники!$A$4:$A$7,0)),""))</f>
        <v>68.5</v>
      </c>
      <c r="BH82" s="90" t="str">
        <f aca="false">IF(N(BN82)&gt;0,ROUND(SUMIF(ЗАКАЗЫ!$F$3:$F$500,$A82,ЗАКАЗЫ!$Y$3:$Y$500)/BN82,0),IF(OR(BE82="",BG82=""),"",ROUND(BE82*BG82*(1+Справочники!$B$10),0)))</f>
        <v/>
      </c>
      <c r="BI82" s="92" t="str">
        <f aca="false">IF(OR(AU82="",BH82="",AU82=0),"",(AU82-BH82)/AU82)</f>
        <v/>
      </c>
      <c r="BJ82" s="81"/>
      <c r="BK82" s="83"/>
      <c r="BL82" s="43" t="str">
        <f aca="false">IFERROR(INDEX(ЗАКАЗЫ!$N$3:$N$500,MATCH($A82,ЗАКАЗЫ!$F$3:$F$500,0)),"")</f>
        <v/>
      </c>
      <c r="BM82" s="8" t="str">
        <f aca="false">IF(BL82="","",IFERROR(VLOOKUP(BL82,'ТН ВЭД'!$A$4:$C$40,3,0),""))</f>
        <v/>
      </c>
      <c r="BN82" s="7" t="str">
        <f aca="false">IF(COUNTIF(ЗАКАЗЫ!$F$3:$F$500,$A82)=0,"",SUMIF(ЗАКАЗЫ!$F$3:$F$500,$A82,ЗАКАЗЫ!$J$3:$J$500))</f>
        <v/>
      </c>
      <c r="BO82" s="7" t="str">
        <f aca="false">IF(BN82="","",SUMIF(ЗАКАЗЫ!$F$3:$F$500,$A82,ЗАКАЗЫ!$AL$3:$AL$500))</f>
        <v/>
      </c>
      <c r="BP82" s="7" t="str">
        <f aca="false">IF(BN82="","",BN82-BO82)</f>
        <v/>
      </c>
      <c r="BQ82" s="55" t="str">
        <f aca="false">IF(BN82="","",IF(BO82&gt;=BN82,"На складе",IF(BO82&gt;0,"Частично","Ждём")))</f>
        <v/>
      </c>
      <c r="BR82" s="43"/>
      <c r="BS82" s="47" t="str">
        <f aca="false">IF(BN82="","",IF(_xlfn.MAXIFS(ЗАКАЗЫ!$AK$3:$AK$500,ЗАКАЗЫ!$F$3:$F$500,$A82)=0,"",_xlfn.MAXIFS(ЗАКАЗЫ!$AK$3:$AK$500,ЗАКАЗЫ!$F$3:$F$500,$A82)))</f>
        <v/>
      </c>
    </row>
    <row r="83" customFormat="false" ht="15.75" hidden="false" customHeight="true" outlineLevel="0" collapsed="false">
      <c r="A83" s="80" t="s">
        <v>557</v>
      </c>
      <c r="B83" s="81"/>
      <c r="C83" s="81"/>
      <c r="D83" s="81"/>
      <c r="E83" s="83"/>
      <c r="F83" s="81"/>
      <c r="G83" s="83"/>
      <c r="H83" s="83"/>
      <c r="I83" s="84" t="str">
        <f aca="false">IF(E83="","",A83&amp;"_1.jpg")</f>
        <v/>
      </c>
      <c r="J83" s="84" t="str">
        <f aca="false">IF(E83="","",A83&amp;"_2.jpg; "&amp;A83&amp;"_3.jpg")</f>
        <v/>
      </c>
      <c r="K83" s="84" t="str">
        <f aca="false">IF(E83="","",A83&amp;"_schema.jpg")</f>
        <v/>
      </c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 t="s">
        <v>261</v>
      </c>
      <c r="W83" s="81"/>
      <c r="X83" s="81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6" t="str">
        <f aca="false">IF(SUM(Y83:AJ83)=0,"",SUM(Y83:AJ83))</f>
        <v/>
      </c>
      <c r="AL83" s="84" t="str">
        <f aca="false">MID(IF(N(Y83)&gt;0,", "&amp;Y$2,"")&amp;IF(N(Z83)&gt;0,", "&amp;Z$2,"")&amp;IF(N(AA83)&gt;0,", "&amp;AA$2,"")&amp;IF(N(AB83)&gt;0,", "&amp;AB$2,"")&amp;IF(N(AC83)&gt;0,", "&amp;AC$2,"")&amp;IF(N(AD83)&gt;0,", "&amp;AD$2,"")&amp;IF(N(AE83)&gt;0,", "&amp;AE$2,"")&amp;IF(N(AF83)&gt;0,", "&amp;AF$2,"")&amp;IF(N(AG83)&gt;0,", "&amp;AG$2,"")&amp;IF(N(AH83)&gt;0,", "&amp;AH$2,"")&amp;IF(N(AI83)&gt;0,", "&amp;AI$2,"")&amp;IF(N(AJ83)&gt;0,", "&amp;AJ$2,""),3,999)</f>
        <v/>
      </c>
      <c r="AM83" s="87" t="str">
        <f aca="false">IF(E83="","",MID(IF(N(Y83)&gt;0,", "&amp;A83&amp;"-"&amp;Y$2,"")&amp;IF(N(Z83)&gt;0,", "&amp;A83&amp;"-"&amp;Z$2,"")&amp;IF(N(AA83)&gt;0,", "&amp;A83&amp;"-"&amp;AA$2,"")&amp;IF(N(AB83)&gt;0,", "&amp;A83&amp;"-"&amp;AB$2,"")&amp;IF(N(AC83)&gt;0,", "&amp;A83&amp;"-"&amp;AC$2,"")&amp;IF(N(AD83)&gt;0,", "&amp;A83&amp;"-"&amp;AD$2,"")&amp;IF(N(AE83)&gt;0,", "&amp;A83&amp;"-"&amp;AE$2,"")&amp;IF(N(AF83)&gt;0,", "&amp;A83&amp;"-"&amp;AF$2,"")&amp;IF(N(AG83)&gt;0,", "&amp;A83&amp;"-"&amp;AG$2,"")&amp;IF(N(AH83)&gt;0,", "&amp;A83&amp;"-"&amp;AH$2,"")&amp;IF(N(AI83)&gt;0,", "&amp;A83&amp;"-"&amp;AI$2,"")&amp;IF(N(AJ83)&gt;0,", "&amp;A83&amp;"-"&amp;AJ$2,""),3,999))</f>
        <v/>
      </c>
      <c r="AN83" s="81"/>
      <c r="AO83" s="88"/>
      <c r="AP83" s="89" t="str">
        <f aca="false">IF(AO83="","",ROUND(AO83/(1+Справочники!$B$13),2))</f>
        <v/>
      </c>
      <c r="AQ83" s="90" t="str">
        <f aca="false" t="array" ref="AQ83:AQ83">IF(AP83="","",AP83*INDEX(Справочники!$B$4:$B$7,MATCH("RUB",Справочники!$A$4:$A$7,0)))</f>
        <v/>
      </c>
      <c r="AR83" s="90" t="str">
        <f aca="false">IF(AQ83="","",ROUND(AQ83*(1+Справочники!$B$12),0))</f>
        <v/>
      </c>
      <c r="AS83" s="90" t="str">
        <f aca="false">IF(AR83="","",ROUND(AR83*(1-Справочники!$B$11),0))</f>
        <v/>
      </c>
      <c r="AT83" s="88"/>
      <c r="AU83" s="90" t="str">
        <f aca="false">IF(AT83="","",ROUND(AT83/(1+Справочники!$B$12),0))</f>
        <v/>
      </c>
      <c r="AV83" s="90" t="str">
        <f aca="false">IF(AT83="","",ROUND(AT83*(1-Справочники!$B$15),0))</f>
        <v/>
      </c>
      <c r="AW83" s="90" t="str">
        <f aca="false">IF(AT83="","",ROUND(AT83*(1-Справочники!$B$16),0))</f>
        <v/>
      </c>
      <c r="AX83" s="90" t="str">
        <f aca="false">IF(AT83="","",ROUND(AT83*(1-Справочники!$B$17),0))</f>
        <v/>
      </c>
      <c r="AY83" s="90" t="str">
        <f aca="false">IF(AT83="","",ROUND(AT83*(1-Справочники!$B$18),0))</f>
        <v/>
      </c>
      <c r="AZ83" s="90" t="str">
        <f aca="false">IF(AT83="","",ROUND(AT83*(1-Справочники!$B$19),0))</f>
        <v/>
      </c>
      <c r="BA83" s="81"/>
      <c r="BB83" s="81"/>
      <c r="BC83" s="81"/>
      <c r="BD83" s="81"/>
      <c r="BE83" s="91"/>
      <c r="BF83" s="81" t="s">
        <v>103</v>
      </c>
      <c r="BG83" s="89" t="n">
        <f aca="false" t="array" ref="BG83:BG83">IF(BF83="","",IFERROR(INDEX(Справочники!$B$4:$B$7,MATCH(BF83,Справочники!$A$4:$A$7,0)),""))</f>
        <v>68.5</v>
      </c>
      <c r="BH83" s="90" t="str">
        <f aca="false">IF(N(BN83)&gt;0,ROUND(SUMIF(ЗАКАЗЫ!$F$3:$F$500,$A83,ЗАКАЗЫ!$Y$3:$Y$500)/BN83,0),IF(OR(BE83="",BG83=""),"",ROUND(BE83*BG83*(1+Справочники!$B$10),0)))</f>
        <v/>
      </c>
      <c r="BI83" s="92" t="str">
        <f aca="false">IF(OR(AU83="",BH83="",AU83=0),"",(AU83-BH83)/AU83)</f>
        <v/>
      </c>
      <c r="BJ83" s="81"/>
      <c r="BK83" s="83"/>
      <c r="BL83" s="43" t="str">
        <f aca="false">IFERROR(INDEX(ЗАКАЗЫ!$N$3:$N$500,MATCH($A83,ЗАКАЗЫ!$F$3:$F$500,0)),"")</f>
        <v/>
      </c>
      <c r="BM83" s="8" t="str">
        <f aca="false">IF(BL83="","",IFERROR(VLOOKUP(BL83,'ТН ВЭД'!$A$4:$C$40,3,0),""))</f>
        <v/>
      </c>
      <c r="BN83" s="7" t="str">
        <f aca="false">IF(COUNTIF(ЗАКАЗЫ!$F$3:$F$500,$A83)=0,"",SUMIF(ЗАКАЗЫ!$F$3:$F$500,$A83,ЗАКАЗЫ!$J$3:$J$500))</f>
        <v/>
      </c>
      <c r="BO83" s="7" t="str">
        <f aca="false">IF(BN83="","",SUMIF(ЗАКАЗЫ!$F$3:$F$500,$A83,ЗАКАЗЫ!$AL$3:$AL$500))</f>
        <v/>
      </c>
      <c r="BP83" s="7" t="str">
        <f aca="false">IF(BN83="","",BN83-BO83)</f>
        <v/>
      </c>
      <c r="BQ83" s="55" t="str">
        <f aca="false">IF(BN83="","",IF(BO83&gt;=BN83,"На складе",IF(BO83&gt;0,"Частично","Ждём")))</f>
        <v/>
      </c>
      <c r="BR83" s="43"/>
      <c r="BS83" s="47" t="str">
        <f aca="false">IF(BN83="","",IF(_xlfn.MAXIFS(ЗАКАЗЫ!$AK$3:$AK$500,ЗАКАЗЫ!$F$3:$F$500,$A83)=0,"",_xlfn.MAXIFS(ЗАКАЗЫ!$AK$3:$AK$500,ЗАКАЗЫ!$F$3:$F$500,$A83)))</f>
        <v/>
      </c>
    </row>
    <row r="84" customFormat="false" ht="15.75" hidden="false" customHeight="true" outlineLevel="0" collapsed="false">
      <c r="A84" s="80" t="s">
        <v>558</v>
      </c>
      <c r="B84" s="81"/>
      <c r="C84" s="81"/>
      <c r="D84" s="81"/>
      <c r="E84" s="83"/>
      <c r="F84" s="81"/>
      <c r="G84" s="83"/>
      <c r="H84" s="83"/>
      <c r="I84" s="84" t="str">
        <f aca="false">IF(E84="","",A84&amp;"_1.jpg")</f>
        <v/>
      </c>
      <c r="J84" s="84" t="str">
        <f aca="false">IF(E84="","",A84&amp;"_2.jpg; "&amp;A84&amp;"_3.jpg")</f>
        <v/>
      </c>
      <c r="K84" s="84" t="str">
        <f aca="false">IF(E84="","",A84&amp;"_schema.jpg")</f>
        <v/>
      </c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 t="s">
        <v>261</v>
      </c>
      <c r="W84" s="81"/>
      <c r="X84" s="81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6" t="str">
        <f aca="false">IF(SUM(Y84:AJ84)=0,"",SUM(Y84:AJ84))</f>
        <v/>
      </c>
      <c r="AL84" s="84" t="str">
        <f aca="false">MID(IF(N(Y84)&gt;0,", "&amp;Y$2,"")&amp;IF(N(Z84)&gt;0,", "&amp;Z$2,"")&amp;IF(N(AA84)&gt;0,", "&amp;AA$2,"")&amp;IF(N(AB84)&gt;0,", "&amp;AB$2,"")&amp;IF(N(AC84)&gt;0,", "&amp;AC$2,"")&amp;IF(N(AD84)&gt;0,", "&amp;AD$2,"")&amp;IF(N(AE84)&gt;0,", "&amp;AE$2,"")&amp;IF(N(AF84)&gt;0,", "&amp;AF$2,"")&amp;IF(N(AG84)&gt;0,", "&amp;AG$2,"")&amp;IF(N(AH84)&gt;0,", "&amp;AH$2,"")&amp;IF(N(AI84)&gt;0,", "&amp;AI$2,"")&amp;IF(N(AJ84)&gt;0,", "&amp;AJ$2,""),3,999)</f>
        <v/>
      </c>
      <c r="AM84" s="87" t="str">
        <f aca="false">IF(E84="","",MID(IF(N(Y84)&gt;0,", "&amp;A84&amp;"-"&amp;Y$2,"")&amp;IF(N(Z84)&gt;0,", "&amp;A84&amp;"-"&amp;Z$2,"")&amp;IF(N(AA84)&gt;0,", "&amp;A84&amp;"-"&amp;AA$2,"")&amp;IF(N(AB84)&gt;0,", "&amp;A84&amp;"-"&amp;AB$2,"")&amp;IF(N(AC84)&gt;0,", "&amp;A84&amp;"-"&amp;AC$2,"")&amp;IF(N(AD84)&gt;0,", "&amp;A84&amp;"-"&amp;AD$2,"")&amp;IF(N(AE84)&gt;0,", "&amp;A84&amp;"-"&amp;AE$2,"")&amp;IF(N(AF84)&gt;0,", "&amp;A84&amp;"-"&amp;AF$2,"")&amp;IF(N(AG84)&gt;0,", "&amp;A84&amp;"-"&amp;AG$2,"")&amp;IF(N(AH84)&gt;0,", "&amp;A84&amp;"-"&amp;AH$2,"")&amp;IF(N(AI84)&gt;0,", "&amp;A84&amp;"-"&amp;AI$2,"")&amp;IF(N(AJ84)&gt;0,", "&amp;A84&amp;"-"&amp;AJ$2,""),3,999))</f>
        <v/>
      </c>
      <c r="AN84" s="81"/>
      <c r="AO84" s="88"/>
      <c r="AP84" s="89" t="str">
        <f aca="false">IF(AO84="","",ROUND(AO84/(1+Справочники!$B$13),2))</f>
        <v/>
      </c>
      <c r="AQ84" s="90" t="str">
        <f aca="false" t="array" ref="AQ84:AQ84">IF(AP84="","",AP84*INDEX(Справочники!$B$4:$B$7,MATCH("RUB",Справочники!$A$4:$A$7,0)))</f>
        <v/>
      </c>
      <c r="AR84" s="90" t="str">
        <f aca="false">IF(AQ84="","",ROUND(AQ84*(1+Справочники!$B$12),0))</f>
        <v/>
      </c>
      <c r="AS84" s="90" t="str">
        <f aca="false">IF(AR84="","",ROUND(AR84*(1-Справочники!$B$11),0))</f>
        <v/>
      </c>
      <c r="AT84" s="88"/>
      <c r="AU84" s="90" t="str">
        <f aca="false">IF(AT84="","",ROUND(AT84/(1+Справочники!$B$12),0))</f>
        <v/>
      </c>
      <c r="AV84" s="90" t="str">
        <f aca="false">IF(AT84="","",ROUND(AT84*(1-Справочники!$B$15),0))</f>
        <v/>
      </c>
      <c r="AW84" s="90" t="str">
        <f aca="false">IF(AT84="","",ROUND(AT84*(1-Справочники!$B$16),0))</f>
        <v/>
      </c>
      <c r="AX84" s="90" t="str">
        <f aca="false">IF(AT84="","",ROUND(AT84*(1-Справочники!$B$17),0))</f>
        <v/>
      </c>
      <c r="AY84" s="90" t="str">
        <f aca="false">IF(AT84="","",ROUND(AT84*(1-Справочники!$B$18),0))</f>
        <v/>
      </c>
      <c r="AZ84" s="90" t="str">
        <f aca="false">IF(AT84="","",ROUND(AT84*(1-Справочники!$B$19),0))</f>
        <v/>
      </c>
      <c r="BA84" s="81"/>
      <c r="BB84" s="81"/>
      <c r="BC84" s="81"/>
      <c r="BD84" s="81"/>
      <c r="BE84" s="91"/>
      <c r="BF84" s="81" t="s">
        <v>103</v>
      </c>
      <c r="BG84" s="89" t="n">
        <f aca="false" t="array" ref="BG84:BG84">IF(BF84="","",IFERROR(INDEX(Справочники!$B$4:$B$7,MATCH(BF84,Справочники!$A$4:$A$7,0)),""))</f>
        <v>68.5</v>
      </c>
      <c r="BH84" s="90" t="str">
        <f aca="false">IF(N(BN84)&gt;0,ROUND(SUMIF(ЗАКАЗЫ!$F$3:$F$500,$A84,ЗАКАЗЫ!$Y$3:$Y$500)/BN84,0),IF(OR(BE84="",BG84=""),"",ROUND(BE84*BG84*(1+Справочники!$B$10),0)))</f>
        <v/>
      </c>
      <c r="BI84" s="92" t="str">
        <f aca="false">IF(OR(AU84="",BH84="",AU84=0),"",(AU84-BH84)/AU84)</f>
        <v/>
      </c>
      <c r="BJ84" s="81"/>
      <c r="BK84" s="83"/>
      <c r="BL84" s="43" t="str">
        <f aca="false">IFERROR(INDEX(ЗАКАЗЫ!$N$3:$N$500,MATCH($A84,ЗАКАЗЫ!$F$3:$F$500,0)),"")</f>
        <v/>
      </c>
      <c r="BM84" s="8" t="str">
        <f aca="false">IF(BL84="","",IFERROR(VLOOKUP(BL84,'ТН ВЭД'!$A$4:$C$40,3,0),""))</f>
        <v/>
      </c>
      <c r="BN84" s="7" t="str">
        <f aca="false">IF(COUNTIF(ЗАКАЗЫ!$F$3:$F$500,$A84)=0,"",SUMIF(ЗАКАЗЫ!$F$3:$F$500,$A84,ЗАКАЗЫ!$J$3:$J$500))</f>
        <v/>
      </c>
      <c r="BO84" s="7" t="str">
        <f aca="false">IF(BN84="","",SUMIF(ЗАКАЗЫ!$F$3:$F$500,$A84,ЗАКАЗЫ!$AL$3:$AL$500))</f>
        <v/>
      </c>
      <c r="BP84" s="7" t="str">
        <f aca="false">IF(BN84="","",BN84-BO84)</f>
        <v/>
      </c>
      <c r="BQ84" s="55" t="str">
        <f aca="false">IF(BN84="","",IF(BO84&gt;=BN84,"На складе",IF(BO84&gt;0,"Частично","Ждём")))</f>
        <v/>
      </c>
      <c r="BR84" s="43"/>
      <c r="BS84" s="47" t="str">
        <f aca="false">IF(BN84="","",IF(_xlfn.MAXIFS(ЗАКАЗЫ!$AK$3:$AK$500,ЗАКАЗЫ!$F$3:$F$500,$A84)=0,"",_xlfn.MAXIFS(ЗАКАЗЫ!$AK$3:$AK$500,ЗАКАЗЫ!$F$3:$F$500,$A84)))</f>
        <v/>
      </c>
    </row>
    <row r="85" customFormat="false" ht="15.75" hidden="false" customHeight="true" outlineLevel="0" collapsed="false">
      <c r="A85" s="80" t="s">
        <v>559</v>
      </c>
      <c r="B85" s="81"/>
      <c r="C85" s="81"/>
      <c r="D85" s="81"/>
      <c r="E85" s="83"/>
      <c r="F85" s="81"/>
      <c r="G85" s="83"/>
      <c r="H85" s="83"/>
      <c r="I85" s="84" t="str">
        <f aca="false">IF(E85="","",A85&amp;"_1.jpg")</f>
        <v/>
      </c>
      <c r="J85" s="84" t="str">
        <f aca="false">IF(E85="","",A85&amp;"_2.jpg; "&amp;A85&amp;"_3.jpg")</f>
        <v/>
      </c>
      <c r="K85" s="84" t="str">
        <f aca="false">IF(E85="","",A85&amp;"_schema.jpg")</f>
        <v/>
      </c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 t="s">
        <v>261</v>
      </c>
      <c r="W85" s="81"/>
      <c r="X85" s="81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6" t="str">
        <f aca="false">IF(SUM(Y85:AJ85)=0,"",SUM(Y85:AJ85))</f>
        <v/>
      </c>
      <c r="AL85" s="84" t="str">
        <f aca="false">MID(IF(N(Y85)&gt;0,", "&amp;Y$2,"")&amp;IF(N(Z85)&gt;0,", "&amp;Z$2,"")&amp;IF(N(AA85)&gt;0,", "&amp;AA$2,"")&amp;IF(N(AB85)&gt;0,", "&amp;AB$2,"")&amp;IF(N(AC85)&gt;0,", "&amp;AC$2,"")&amp;IF(N(AD85)&gt;0,", "&amp;AD$2,"")&amp;IF(N(AE85)&gt;0,", "&amp;AE$2,"")&amp;IF(N(AF85)&gt;0,", "&amp;AF$2,"")&amp;IF(N(AG85)&gt;0,", "&amp;AG$2,"")&amp;IF(N(AH85)&gt;0,", "&amp;AH$2,"")&amp;IF(N(AI85)&gt;0,", "&amp;AI$2,"")&amp;IF(N(AJ85)&gt;0,", "&amp;AJ$2,""),3,999)</f>
        <v/>
      </c>
      <c r="AM85" s="87" t="str">
        <f aca="false">IF(E85="","",MID(IF(N(Y85)&gt;0,", "&amp;A85&amp;"-"&amp;Y$2,"")&amp;IF(N(Z85)&gt;0,", "&amp;A85&amp;"-"&amp;Z$2,"")&amp;IF(N(AA85)&gt;0,", "&amp;A85&amp;"-"&amp;AA$2,"")&amp;IF(N(AB85)&gt;0,", "&amp;A85&amp;"-"&amp;AB$2,"")&amp;IF(N(AC85)&gt;0,", "&amp;A85&amp;"-"&amp;AC$2,"")&amp;IF(N(AD85)&gt;0,", "&amp;A85&amp;"-"&amp;AD$2,"")&amp;IF(N(AE85)&gt;0,", "&amp;A85&amp;"-"&amp;AE$2,"")&amp;IF(N(AF85)&gt;0,", "&amp;A85&amp;"-"&amp;AF$2,"")&amp;IF(N(AG85)&gt;0,", "&amp;A85&amp;"-"&amp;AG$2,"")&amp;IF(N(AH85)&gt;0,", "&amp;A85&amp;"-"&amp;AH$2,"")&amp;IF(N(AI85)&gt;0,", "&amp;A85&amp;"-"&amp;AI$2,"")&amp;IF(N(AJ85)&gt;0,", "&amp;A85&amp;"-"&amp;AJ$2,""),3,999))</f>
        <v/>
      </c>
      <c r="AN85" s="81"/>
      <c r="AO85" s="88"/>
      <c r="AP85" s="89" t="str">
        <f aca="false">IF(AO85="","",ROUND(AO85/(1+Справочники!$B$13),2))</f>
        <v/>
      </c>
      <c r="AQ85" s="90" t="str">
        <f aca="false" t="array" ref="AQ85:AQ85">IF(AP85="","",AP85*INDEX(Справочники!$B$4:$B$7,MATCH("RUB",Справочники!$A$4:$A$7,0)))</f>
        <v/>
      </c>
      <c r="AR85" s="90" t="str">
        <f aca="false">IF(AQ85="","",ROUND(AQ85*(1+Справочники!$B$12),0))</f>
        <v/>
      </c>
      <c r="AS85" s="90" t="str">
        <f aca="false">IF(AR85="","",ROUND(AR85*(1-Справочники!$B$11),0))</f>
        <v/>
      </c>
      <c r="AT85" s="88"/>
      <c r="AU85" s="90" t="str">
        <f aca="false">IF(AT85="","",ROUND(AT85/(1+Справочники!$B$12),0))</f>
        <v/>
      </c>
      <c r="AV85" s="90" t="str">
        <f aca="false">IF(AT85="","",ROUND(AT85*(1-Справочники!$B$15),0))</f>
        <v/>
      </c>
      <c r="AW85" s="90" t="str">
        <f aca="false">IF(AT85="","",ROUND(AT85*(1-Справочники!$B$16),0))</f>
        <v/>
      </c>
      <c r="AX85" s="90" t="str">
        <f aca="false">IF(AT85="","",ROUND(AT85*(1-Справочники!$B$17),0))</f>
        <v/>
      </c>
      <c r="AY85" s="90" t="str">
        <f aca="false">IF(AT85="","",ROUND(AT85*(1-Справочники!$B$18),0))</f>
        <v/>
      </c>
      <c r="AZ85" s="90" t="str">
        <f aca="false">IF(AT85="","",ROUND(AT85*(1-Справочники!$B$19),0))</f>
        <v/>
      </c>
      <c r="BA85" s="81"/>
      <c r="BB85" s="81"/>
      <c r="BC85" s="81"/>
      <c r="BD85" s="81"/>
      <c r="BE85" s="91"/>
      <c r="BF85" s="81" t="s">
        <v>103</v>
      </c>
      <c r="BG85" s="89" t="n">
        <f aca="false" t="array" ref="BG85:BG85">IF(BF85="","",IFERROR(INDEX(Справочники!$B$4:$B$7,MATCH(BF85,Справочники!$A$4:$A$7,0)),""))</f>
        <v>68.5</v>
      </c>
      <c r="BH85" s="90" t="str">
        <f aca="false">IF(N(BN85)&gt;0,ROUND(SUMIF(ЗАКАЗЫ!$F$3:$F$500,$A85,ЗАКАЗЫ!$Y$3:$Y$500)/BN85,0),IF(OR(BE85="",BG85=""),"",ROUND(BE85*BG85*(1+Справочники!$B$10),0)))</f>
        <v/>
      </c>
      <c r="BI85" s="92" t="str">
        <f aca="false">IF(OR(AU85="",BH85="",AU85=0),"",(AU85-BH85)/AU85)</f>
        <v/>
      </c>
      <c r="BJ85" s="81"/>
      <c r="BK85" s="83"/>
      <c r="BL85" s="43" t="str">
        <f aca="false">IFERROR(INDEX(ЗАКАЗЫ!$N$3:$N$500,MATCH($A85,ЗАКАЗЫ!$F$3:$F$500,0)),"")</f>
        <v/>
      </c>
      <c r="BM85" s="8" t="str">
        <f aca="false">IF(BL85="","",IFERROR(VLOOKUP(BL85,'ТН ВЭД'!$A$4:$C$40,3,0),""))</f>
        <v/>
      </c>
      <c r="BN85" s="7" t="str">
        <f aca="false">IF(COUNTIF(ЗАКАЗЫ!$F$3:$F$500,$A85)=0,"",SUMIF(ЗАКАЗЫ!$F$3:$F$500,$A85,ЗАКАЗЫ!$J$3:$J$500))</f>
        <v/>
      </c>
      <c r="BO85" s="7" t="str">
        <f aca="false">IF(BN85="","",SUMIF(ЗАКАЗЫ!$F$3:$F$500,$A85,ЗАКАЗЫ!$AL$3:$AL$500))</f>
        <v/>
      </c>
      <c r="BP85" s="7" t="str">
        <f aca="false">IF(BN85="","",BN85-BO85)</f>
        <v/>
      </c>
      <c r="BQ85" s="55" t="str">
        <f aca="false">IF(BN85="","",IF(BO85&gt;=BN85,"На складе",IF(BO85&gt;0,"Частично","Ждём")))</f>
        <v/>
      </c>
      <c r="BR85" s="43"/>
      <c r="BS85" s="47" t="str">
        <f aca="false">IF(BN85="","",IF(_xlfn.MAXIFS(ЗАКАЗЫ!$AK$3:$AK$500,ЗАКАЗЫ!$F$3:$F$500,$A85)=0,"",_xlfn.MAXIFS(ЗАКАЗЫ!$AK$3:$AK$500,ЗАКАЗЫ!$F$3:$F$500,$A85)))</f>
        <v/>
      </c>
    </row>
    <row r="86" customFormat="false" ht="15.75" hidden="false" customHeight="true" outlineLevel="0" collapsed="false">
      <c r="A86" s="80" t="s">
        <v>560</v>
      </c>
      <c r="B86" s="81"/>
      <c r="C86" s="81"/>
      <c r="D86" s="81"/>
      <c r="E86" s="83"/>
      <c r="F86" s="81"/>
      <c r="G86" s="83"/>
      <c r="H86" s="83"/>
      <c r="I86" s="84" t="str">
        <f aca="false">IF(E86="","",A86&amp;"_1.jpg")</f>
        <v/>
      </c>
      <c r="J86" s="84" t="str">
        <f aca="false">IF(E86="","",A86&amp;"_2.jpg; "&amp;A86&amp;"_3.jpg")</f>
        <v/>
      </c>
      <c r="K86" s="84" t="str">
        <f aca="false">IF(E86="","",A86&amp;"_schema.jpg")</f>
        <v/>
      </c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 t="s">
        <v>261</v>
      </c>
      <c r="W86" s="81"/>
      <c r="X86" s="81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6" t="str">
        <f aca="false">IF(SUM(Y86:AJ86)=0,"",SUM(Y86:AJ86))</f>
        <v/>
      </c>
      <c r="AL86" s="84" t="str">
        <f aca="false">MID(IF(N(Y86)&gt;0,", "&amp;Y$2,"")&amp;IF(N(Z86)&gt;0,", "&amp;Z$2,"")&amp;IF(N(AA86)&gt;0,", "&amp;AA$2,"")&amp;IF(N(AB86)&gt;0,", "&amp;AB$2,"")&amp;IF(N(AC86)&gt;0,", "&amp;AC$2,"")&amp;IF(N(AD86)&gt;0,", "&amp;AD$2,"")&amp;IF(N(AE86)&gt;0,", "&amp;AE$2,"")&amp;IF(N(AF86)&gt;0,", "&amp;AF$2,"")&amp;IF(N(AG86)&gt;0,", "&amp;AG$2,"")&amp;IF(N(AH86)&gt;0,", "&amp;AH$2,"")&amp;IF(N(AI86)&gt;0,", "&amp;AI$2,"")&amp;IF(N(AJ86)&gt;0,", "&amp;AJ$2,""),3,999)</f>
        <v/>
      </c>
      <c r="AM86" s="87" t="str">
        <f aca="false">IF(E86="","",MID(IF(N(Y86)&gt;0,", "&amp;A86&amp;"-"&amp;Y$2,"")&amp;IF(N(Z86)&gt;0,", "&amp;A86&amp;"-"&amp;Z$2,"")&amp;IF(N(AA86)&gt;0,", "&amp;A86&amp;"-"&amp;AA$2,"")&amp;IF(N(AB86)&gt;0,", "&amp;A86&amp;"-"&amp;AB$2,"")&amp;IF(N(AC86)&gt;0,", "&amp;A86&amp;"-"&amp;AC$2,"")&amp;IF(N(AD86)&gt;0,", "&amp;A86&amp;"-"&amp;AD$2,"")&amp;IF(N(AE86)&gt;0,", "&amp;A86&amp;"-"&amp;AE$2,"")&amp;IF(N(AF86)&gt;0,", "&amp;A86&amp;"-"&amp;AF$2,"")&amp;IF(N(AG86)&gt;0,", "&amp;A86&amp;"-"&amp;AG$2,"")&amp;IF(N(AH86)&gt;0,", "&amp;A86&amp;"-"&amp;AH$2,"")&amp;IF(N(AI86)&gt;0,", "&amp;A86&amp;"-"&amp;AI$2,"")&amp;IF(N(AJ86)&gt;0,", "&amp;A86&amp;"-"&amp;AJ$2,""),3,999))</f>
        <v/>
      </c>
      <c r="AN86" s="81"/>
      <c r="AO86" s="88"/>
      <c r="AP86" s="89" t="str">
        <f aca="false">IF(AO86="","",ROUND(AO86/(1+Справочники!$B$13),2))</f>
        <v/>
      </c>
      <c r="AQ86" s="90" t="str">
        <f aca="false" t="array" ref="AQ86:AQ86">IF(AP86="","",AP86*INDEX(Справочники!$B$4:$B$7,MATCH("RUB",Справочники!$A$4:$A$7,0)))</f>
        <v/>
      </c>
      <c r="AR86" s="90" t="str">
        <f aca="false">IF(AQ86="","",ROUND(AQ86*(1+Справочники!$B$12),0))</f>
        <v/>
      </c>
      <c r="AS86" s="90" t="str">
        <f aca="false">IF(AR86="","",ROUND(AR86*(1-Справочники!$B$11),0))</f>
        <v/>
      </c>
      <c r="AT86" s="88"/>
      <c r="AU86" s="90" t="str">
        <f aca="false">IF(AT86="","",ROUND(AT86/(1+Справочники!$B$12),0))</f>
        <v/>
      </c>
      <c r="AV86" s="90" t="str">
        <f aca="false">IF(AT86="","",ROUND(AT86*(1-Справочники!$B$15),0))</f>
        <v/>
      </c>
      <c r="AW86" s="90" t="str">
        <f aca="false">IF(AT86="","",ROUND(AT86*(1-Справочники!$B$16),0))</f>
        <v/>
      </c>
      <c r="AX86" s="90" t="str">
        <f aca="false">IF(AT86="","",ROUND(AT86*(1-Справочники!$B$17),0))</f>
        <v/>
      </c>
      <c r="AY86" s="90" t="str">
        <f aca="false">IF(AT86="","",ROUND(AT86*(1-Справочники!$B$18),0))</f>
        <v/>
      </c>
      <c r="AZ86" s="90" t="str">
        <f aca="false">IF(AT86="","",ROUND(AT86*(1-Справочники!$B$19),0))</f>
        <v/>
      </c>
      <c r="BA86" s="81"/>
      <c r="BB86" s="81"/>
      <c r="BC86" s="81"/>
      <c r="BD86" s="81"/>
      <c r="BE86" s="91"/>
      <c r="BF86" s="81" t="s">
        <v>103</v>
      </c>
      <c r="BG86" s="89" t="n">
        <f aca="false" t="array" ref="BG86:BG86">IF(BF86="","",IFERROR(INDEX(Справочники!$B$4:$B$7,MATCH(BF86,Справочники!$A$4:$A$7,0)),""))</f>
        <v>68.5</v>
      </c>
      <c r="BH86" s="90" t="str">
        <f aca="false">IF(N(BN86)&gt;0,ROUND(SUMIF(ЗАКАЗЫ!$F$3:$F$500,$A86,ЗАКАЗЫ!$Y$3:$Y$500)/BN86,0),IF(OR(BE86="",BG86=""),"",ROUND(BE86*BG86*(1+Справочники!$B$10),0)))</f>
        <v/>
      </c>
      <c r="BI86" s="92" t="str">
        <f aca="false">IF(OR(AU86="",BH86="",AU86=0),"",(AU86-BH86)/AU86)</f>
        <v/>
      </c>
      <c r="BJ86" s="81"/>
      <c r="BK86" s="83"/>
      <c r="BL86" s="43" t="str">
        <f aca="false">IFERROR(INDEX(ЗАКАЗЫ!$N$3:$N$500,MATCH($A86,ЗАКАЗЫ!$F$3:$F$500,0)),"")</f>
        <v/>
      </c>
      <c r="BM86" s="8" t="str">
        <f aca="false">IF(BL86="","",IFERROR(VLOOKUP(BL86,'ТН ВЭД'!$A$4:$C$40,3,0),""))</f>
        <v/>
      </c>
      <c r="BN86" s="7" t="str">
        <f aca="false">IF(COUNTIF(ЗАКАЗЫ!$F$3:$F$500,$A86)=0,"",SUMIF(ЗАКАЗЫ!$F$3:$F$500,$A86,ЗАКАЗЫ!$J$3:$J$500))</f>
        <v/>
      </c>
      <c r="BO86" s="7" t="str">
        <f aca="false">IF(BN86="","",SUMIF(ЗАКАЗЫ!$F$3:$F$500,$A86,ЗАКАЗЫ!$AL$3:$AL$500))</f>
        <v/>
      </c>
      <c r="BP86" s="7" t="str">
        <f aca="false">IF(BN86="","",BN86-BO86)</f>
        <v/>
      </c>
      <c r="BQ86" s="55" t="str">
        <f aca="false">IF(BN86="","",IF(BO86&gt;=BN86,"На складе",IF(BO86&gt;0,"Частично","Ждём")))</f>
        <v/>
      </c>
      <c r="BR86" s="43"/>
      <c r="BS86" s="47" t="str">
        <f aca="false">IF(BN86="","",IF(_xlfn.MAXIFS(ЗАКАЗЫ!$AK$3:$AK$500,ЗАКАЗЫ!$F$3:$F$500,$A86)=0,"",_xlfn.MAXIFS(ЗАКАЗЫ!$AK$3:$AK$500,ЗАКАЗЫ!$F$3:$F$500,$A86)))</f>
        <v/>
      </c>
    </row>
    <row r="87" customFormat="false" ht="15.75" hidden="false" customHeight="true" outlineLevel="0" collapsed="false">
      <c r="A87" s="80" t="s">
        <v>561</v>
      </c>
      <c r="B87" s="81"/>
      <c r="C87" s="81"/>
      <c r="D87" s="81"/>
      <c r="E87" s="83"/>
      <c r="F87" s="81"/>
      <c r="G87" s="83"/>
      <c r="H87" s="83"/>
      <c r="I87" s="84" t="str">
        <f aca="false">IF(E87="","",A87&amp;"_1.jpg")</f>
        <v/>
      </c>
      <c r="J87" s="84" t="str">
        <f aca="false">IF(E87="","",A87&amp;"_2.jpg; "&amp;A87&amp;"_3.jpg")</f>
        <v/>
      </c>
      <c r="K87" s="84" t="str">
        <f aca="false">IF(E87="","",A87&amp;"_schema.jpg")</f>
        <v/>
      </c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 t="s">
        <v>261</v>
      </c>
      <c r="W87" s="81"/>
      <c r="X87" s="81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6" t="str">
        <f aca="false">IF(SUM(Y87:AJ87)=0,"",SUM(Y87:AJ87))</f>
        <v/>
      </c>
      <c r="AL87" s="84" t="str">
        <f aca="false">MID(IF(N(Y87)&gt;0,", "&amp;Y$2,"")&amp;IF(N(Z87)&gt;0,", "&amp;Z$2,"")&amp;IF(N(AA87)&gt;0,", "&amp;AA$2,"")&amp;IF(N(AB87)&gt;0,", "&amp;AB$2,"")&amp;IF(N(AC87)&gt;0,", "&amp;AC$2,"")&amp;IF(N(AD87)&gt;0,", "&amp;AD$2,"")&amp;IF(N(AE87)&gt;0,", "&amp;AE$2,"")&amp;IF(N(AF87)&gt;0,", "&amp;AF$2,"")&amp;IF(N(AG87)&gt;0,", "&amp;AG$2,"")&amp;IF(N(AH87)&gt;0,", "&amp;AH$2,"")&amp;IF(N(AI87)&gt;0,", "&amp;AI$2,"")&amp;IF(N(AJ87)&gt;0,", "&amp;AJ$2,""),3,999)</f>
        <v/>
      </c>
      <c r="AM87" s="87" t="str">
        <f aca="false">IF(E87="","",MID(IF(N(Y87)&gt;0,", "&amp;A87&amp;"-"&amp;Y$2,"")&amp;IF(N(Z87)&gt;0,", "&amp;A87&amp;"-"&amp;Z$2,"")&amp;IF(N(AA87)&gt;0,", "&amp;A87&amp;"-"&amp;AA$2,"")&amp;IF(N(AB87)&gt;0,", "&amp;A87&amp;"-"&amp;AB$2,"")&amp;IF(N(AC87)&gt;0,", "&amp;A87&amp;"-"&amp;AC$2,"")&amp;IF(N(AD87)&gt;0,", "&amp;A87&amp;"-"&amp;AD$2,"")&amp;IF(N(AE87)&gt;0,", "&amp;A87&amp;"-"&amp;AE$2,"")&amp;IF(N(AF87)&gt;0,", "&amp;A87&amp;"-"&amp;AF$2,"")&amp;IF(N(AG87)&gt;0,", "&amp;A87&amp;"-"&amp;AG$2,"")&amp;IF(N(AH87)&gt;0,", "&amp;A87&amp;"-"&amp;AH$2,"")&amp;IF(N(AI87)&gt;0,", "&amp;A87&amp;"-"&amp;AI$2,"")&amp;IF(N(AJ87)&gt;0,", "&amp;A87&amp;"-"&amp;AJ$2,""),3,999))</f>
        <v/>
      </c>
      <c r="AN87" s="81"/>
      <c r="AO87" s="88"/>
      <c r="AP87" s="89" t="str">
        <f aca="false">IF(AO87="","",ROUND(AO87/(1+Справочники!$B$13),2))</f>
        <v/>
      </c>
      <c r="AQ87" s="90" t="str">
        <f aca="false" t="array" ref="AQ87:AQ87">IF(AP87="","",AP87*INDEX(Справочники!$B$4:$B$7,MATCH("RUB",Справочники!$A$4:$A$7,0)))</f>
        <v/>
      </c>
      <c r="AR87" s="90" t="str">
        <f aca="false">IF(AQ87="","",ROUND(AQ87*(1+Справочники!$B$12),0))</f>
        <v/>
      </c>
      <c r="AS87" s="90" t="str">
        <f aca="false">IF(AR87="","",ROUND(AR87*(1-Справочники!$B$11),0))</f>
        <v/>
      </c>
      <c r="AT87" s="88"/>
      <c r="AU87" s="90" t="str">
        <f aca="false">IF(AT87="","",ROUND(AT87/(1+Справочники!$B$12),0))</f>
        <v/>
      </c>
      <c r="AV87" s="90" t="str">
        <f aca="false">IF(AT87="","",ROUND(AT87*(1-Справочники!$B$15),0))</f>
        <v/>
      </c>
      <c r="AW87" s="90" t="str">
        <f aca="false">IF(AT87="","",ROUND(AT87*(1-Справочники!$B$16),0))</f>
        <v/>
      </c>
      <c r="AX87" s="90" t="str">
        <f aca="false">IF(AT87="","",ROUND(AT87*(1-Справочники!$B$17),0))</f>
        <v/>
      </c>
      <c r="AY87" s="90" t="str">
        <f aca="false">IF(AT87="","",ROUND(AT87*(1-Справочники!$B$18),0))</f>
        <v/>
      </c>
      <c r="AZ87" s="90" t="str">
        <f aca="false">IF(AT87="","",ROUND(AT87*(1-Справочники!$B$19),0))</f>
        <v/>
      </c>
      <c r="BA87" s="81"/>
      <c r="BB87" s="81"/>
      <c r="BC87" s="81"/>
      <c r="BD87" s="81"/>
      <c r="BE87" s="91"/>
      <c r="BF87" s="81" t="s">
        <v>103</v>
      </c>
      <c r="BG87" s="89" t="n">
        <f aca="false" t="array" ref="BG87:BG87">IF(BF87="","",IFERROR(INDEX(Справочники!$B$4:$B$7,MATCH(BF87,Справочники!$A$4:$A$7,0)),""))</f>
        <v>68.5</v>
      </c>
      <c r="BH87" s="90" t="str">
        <f aca="false">IF(N(BN87)&gt;0,ROUND(SUMIF(ЗАКАЗЫ!$F$3:$F$500,$A87,ЗАКАЗЫ!$Y$3:$Y$500)/BN87,0),IF(OR(BE87="",BG87=""),"",ROUND(BE87*BG87*(1+Справочники!$B$10),0)))</f>
        <v/>
      </c>
      <c r="BI87" s="92" t="str">
        <f aca="false">IF(OR(AU87="",BH87="",AU87=0),"",(AU87-BH87)/AU87)</f>
        <v/>
      </c>
      <c r="BJ87" s="81"/>
      <c r="BK87" s="83"/>
      <c r="BL87" s="43" t="str">
        <f aca="false">IFERROR(INDEX(ЗАКАЗЫ!$N$3:$N$500,MATCH($A87,ЗАКАЗЫ!$F$3:$F$500,0)),"")</f>
        <v/>
      </c>
      <c r="BM87" s="8" t="str">
        <f aca="false">IF(BL87="","",IFERROR(VLOOKUP(BL87,'ТН ВЭД'!$A$4:$C$40,3,0),""))</f>
        <v/>
      </c>
      <c r="BN87" s="7" t="str">
        <f aca="false">IF(COUNTIF(ЗАКАЗЫ!$F$3:$F$500,$A87)=0,"",SUMIF(ЗАКАЗЫ!$F$3:$F$500,$A87,ЗАКАЗЫ!$J$3:$J$500))</f>
        <v/>
      </c>
      <c r="BO87" s="7" t="str">
        <f aca="false">IF(BN87="","",SUMIF(ЗАКАЗЫ!$F$3:$F$500,$A87,ЗАКАЗЫ!$AL$3:$AL$500))</f>
        <v/>
      </c>
      <c r="BP87" s="7" t="str">
        <f aca="false">IF(BN87="","",BN87-BO87)</f>
        <v/>
      </c>
      <c r="BQ87" s="55" t="str">
        <f aca="false">IF(BN87="","",IF(BO87&gt;=BN87,"На складе",IF(BO87&gt;0,"Частично","Ждём")))</f>
        <v/>
      </c>
      <c r="BR87" s="43"/>
      <c r="BS87" s="47" t="str">
        <f aca="false">IF(BN87="","",IF(_xlfn.MAXIFS(ЗАКАЗЫ!$AK$3:$AK$500,ЗАКАЗЫ!$F$3:$F$500,$A87)=0,"",_xlfn.MAXIFS(ЗАКАЗЫ!$AK$3:$AK$500,ЗАКАЗЫ!$F$3:$F$500,$A87)))</f>
        <v/>
      </c>
    </row>
    <row r="88" customFormat="false" ht="15.75" hidden="false" customHeight="true" outlineLevel="0" collapsed="false">
      <c r="A88" s="80" t="s">
        <v>562</v>
      </c>
      <c r="B88" s="81"/>
      <c r="C88" s="81"/>
      <c r="D88" s="81"/>
      <c r="E88" s="83"/>
      <c r="F88" s="81"/>
      <c r="G88" s="83"/>
      <c r="H88" s="83"/>
      <c r="I88" s="84" t="str">
        <f aca="false">IF(E88="","",A88&amp;"_1.jpg")</f>
        <v/>
      </c>
      <c r="J88" s="84" t="str">
        <f aca="false">IF(E88="","",A88&amp;"_2.jpg; "&amp;A88&amp;"_3.jpg")</f>
        <v/>
      </c>
      <c r="K88" s="84" t="str">
        <f aca="false">IF(E88="","",A88&amp;"_schema.jpg")</f>
        <v/>
      </c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 t="s">
        <v>261</v>
      </c>
      <c r="W88" s="81"/>
      <c r="X88" s="81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6" t="str">
        <f aca="false">IF(SUM(Y88:AJ88)=0,"",SUM(Y88:AJ88))</f>
        <v/>
      </c>
      <c r="AL88" s="84" t="str">
        <f aca="false">MID(IF(N(Y88)&gt;0,", "&amp;Y$2,"")&amp;IF(N(Z88)&gt;0,", "&amp;Z$2,"")&amp;IF(N(AA88)&gt;0,", "&amp;AA$2,"")&amp;IF(N(AB88)&gt;0,", "&amp;AB$2,"")&amp;IF(N(AC88)&gt;0,", "&amp;AC$2,"")&amp;IF(N(AD88)&gt;0,", "&amp;AD$2,"")&amp;IF(N(AE88)&gt;0,", "&amp;AE$2,"")&amp;IF(N(AF88)&gt;0,", "&amp;AF$2,"")&amp;IF(N(AG88)&gt;0,", "&amp;AG$2,"")&amp;IF(N(AH88)&gt;0,", "&amp;AH$2,"")&amp;IF(N(AI88)&gt;0,", "&amp;AI$2,"")&amp;IF(N(AJ88)&gt;0,", "&amp;AJ$2,""),3,999)</f>
        <v/>
      </c>
      <c r="AM88" s="87" t="str">
        <f aca="false">IF(E88="","",MID(IF(N(Y88)&gt;0,", "&amp;A88&amp;"-"&amp;Y$2,"")&amp;IF(N(Z88)&gt;0,", "&amp;A88&amp;"-"&amp;Z$2,"")&amp;IF(N(AA88)&gt;0,", "&amp;A88&amp;"-"&amp;AA$2,"")&amp;IF(N(AB88)&gt;0,", "&amp;A88&amp;"-"&amp;AB$2,"")&amp;IF(N(AC88)&gt;0,", "&amp;A88&amp;"-"&amp;AC$2,"")&amp;IF(N(AD88)&gt;0,", "&amp;A88&amp;"-"&amp;AD$2,"")&amp;IF(N(AE88)&gt;0,", "&amp;A88&amp;"-"&amp;AE$2,"")&amp;IF(N(AF88)&gt;0,", "&amp;A88&amp;"-"&amp;AF$2,"")&amp;IF(N(AG88)&gt;0,", "&amp;A88&amp;"-"&amp;AG$2,"")&amp;IF(N(AH88)&gt;0,", "&amp;A88&amp;"-"&amp;AH$2,"")&amp;IF(N(AI88)&gt;0,", "&amp;A88&amp;"-"&amp;AI$2,"")&amp;IF(N(AJ88)&gt;0,", "&amp;A88&amp;"-"&amp;AJ$2,""),3,999))</f>
        <v/>
      </c>
      <c r="AN88" s="81"/>
      <c r="AO88" s="88"/>
      <c r="AP88" s="89" t="str">
        <f aca="false">IF(AO88="","",ROUND(AO88/(1+Справочники!$B$13),2))</f>
        <v/>
      </c>
      <c r="AQ88" s="90" t="str">
        <f aca="false" t="array" ref="AQ88:AQ88">IF(AP88="","",AP88*INDEX(Справочники!$B$4:$B$7,MATCH("RUB",Справочники!$A$4:$A$7,0)))</f>
        <v/>
      </c>
      <c r="AR88" s="90" t="str">
        <f aca="false">IF(AQ88="","",ROUND(AQ88*(1+Справочники!$B$12),0))</f>
        <v/>
      </c>
      <c r="AS88" s="90" t="str">
        <f aca="false">IF(AR88="","",ROUND(AR88*(1-Справочники!$B$11),0))</f>
        <v/>
      </c>
      <c r="AT88" s="88"/>
      <c r="AU88" s="90" t="str">
        <f aca="false">IF(AT88="","",ROUND(AT88/(1+Справочники!$B$12),0))</f>
        <v/>
      </c>
      <c r="AV88" s="90" t="str">
        <f aca="false">IF(AT88="","",ROUND(AT88*(1-Справочники!$B$15),0))</f>
        <v/>
      </c>
      <c r="AW88" s="90" t="str">
        <f aca="false">IF(AT88="","",ROUND(AT88*(1-Справочники!$B$16),0))</f>
        <v/>
      </c>
      <c r="AX88" s="90" t="str">
        <f aca="false">IF(AT88="","",ROUND(AT88*(1-Справочники!$B$17),0))</f>
        <v/>
      </c>
      <c r="AY88" s="90" t="str">
        <f aca="false">IF(AT88="","",ROUND(AT88*(1-Справочники!$B$18),0))</f>
        <v/>
      </c>
      <c r="AZ88" s="90" t="str">
        <f aca="false">IF(AT88="","",ROUND(AT88*(1-Справочники!$B$19),0))</f>
        <v/>
      </c>
      <c r="BA88" s="81"/>
      <c r="BB88" s="81"/>
      <c r="BC88" s="81"/>
      <c r="BD88" s="81"/>
      <c r="BE88" s="91"/>
      <c r="BF88" s="81" t="s">
        <v>103</v>
      </c>
      <c r="BG88" s="89" t="n">
        <f aca="false" t="array" ref="BG88:BG88">IF(BF88="","",IFERROR(INDEX(Справочники!$B$4:$B$7,MATCH(BF88,Справочники!$A$4:$A$7,0)),""))</f>
        <v>68.5</v>
      </c>
      <c r="BH88" s="90" t="str">
        <f aca="false">IF(N(BN88)&gt;0,ROUND(SUMIF(ЗАКАЗЫ!$F$3:$F$500,$A88,ЗАКАЗЫ!$Y$3:$Y$500)/BN88,0),IF(OR(BE88="",BG88=""),"",ROUND(BE88*BG88*(1+Справочники!$B$10),0)))</f>
        <v/>
      </c>
      <c r="BI88" s="92" t="str">
        <f aca="false">IF(OR(AU88="",BH88="",AU88=0),"",(AU88-BH88)/AU88)</f>
        <v/>
      </c>
      <c r="BJ88" s="81"/>
      <c r="BK88" s="83"/>
      <c r="BL88" s="43" t="str">
        <f aca="false">IFERROR(INDEX(ЗАКАЗЫ!$N$3:$N$500,MATCH($A88,ЗАКАЗЫ!$F$3:$F$500,0)),"")</f>
        <v/>
      </c>
      <c r="BM88" s="8" t="str">
        <f aca="false">IF(BL88="","",IFERROR(VLOOKUP(BL88,'ТН ВЭД'!$A$4:$C$40,3,0),""))</f>
        <v/>
      </c>
      <c r="BN88" s="7" t="str">
        <f aca="false">IF(COUNTIF(ЗАКАЗЫ!$F$3:$F$500,$A88)=0,"",SUMIF(ЗАКАЗЫ!$F$3:$F$500,$A88,ЗАКАЗЫ!$J$3:$J$500))</f>
        <v/>
      </c>
      <c r="BO88" s="7" t="str">
        <f aca="false">IF(BN88="","",SUMIF(ЗАКАЗЫ!$F$3:$F$500,$A88,ЗАКАЗЫ!$AL$3:$AL$500))</f>
        <v/>
      </c>
      <c r="BP88" s="7" t="str">
        <f aca="false">IF(BN88="","",BN88-BO88)</f>
        <v/>
      </c>
      <c r="BQ88" s="55" t="str">
        <f aca="false">IF(BN88="","",IF(BO88&gt;=BN88,"На складе",IF(BO88&gt;0,"Частично","Ждём")))</f>
        <v/>
      </c>
      <c r="BR88" s="43"/>
      <c r="BS88" s="47" t="str">
        <f aca="false">IF(BN88="","",IF(_xlfn.MAXIFS(ЗАКАЗЫ!$AK$3:$AK$500,ЗАКАЗЫ!$F$3:$F$500,$A88)=0,"",_xlfn.MAXIFS(ЗАКАЗЫ!$AK$3:$AK$500,ЗАКАЗЫ!$F$3:$F$500,$A88)))</f>
        <v/>
      </c>
    </row>
    <row r="89" customFormat="false" ht="15.75" hidden="false" customHeight="true" outlineLevel="0" collapsed="false">
      <c r="A89" s="80" t="s">
        <v>563</v>
      </c>
      <c r="B89" s="81"/>
      <c r="C89" s="81"/>
      <c r="D89" s="81"/>
      <c r="E89" s="83"/>
      <c r="F89" s="81"/>
      <c r="G89" s="83"/>
      <c r="H89" s="83"/>
      <c r="I89" s="84" t="str">
        <f aca="false">IF(E89="","",A89&amp;"_1.jpg")</f>
        <v/>
      </c>
      <c r="J89" s="84" t="str">
        <f aca="false">IF(E89="","",A89&amp;"_2.jpg; "&amp;A89&amp;"_3.jpg")</f>
        <v/>
      </c>
      <c r="K89" s="84" t="str">
        <f aca="false">IF(E89="","",A89&amp;"_schema.jpg")</f>
        <v/>
      </c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 t="s">
        <v>261</v>
      </c>
      <c r="W89" s="81"/>
      <c r="X89" s="81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6" t="str">
        <f aca="false">IF(SUM(Y89:AJ89)=0,"",SUM(Y89:AJ89))</f>
        <v/>
      </c>
      <c r="AL89" s="84" t="str">
        <f aca="false">MID(IF(N(Y89)&gt;0,", "&amp;Y$2,"")&amp;IF(N(Z89)&gt;0,", "&amp;Z$2,"")&amp;IF(N(AA89)&gt;0,", "&amp;AA$2,"")&amp;IF(N(AB89)&gt;0,", "&amp;AB$2,"")&amp;IF(N(AC89)&gt;0,", "&amp;AC$2,"")&amp;IF(N(AD89)&gt;0,", "&amp;AD$2,"")&amp;IF(N(AE89)&gt;0,", "&amp;AE$2,"")&amp;IF(N(AF89)&gt;0,", "&amp;AF$2,"")&amp;IF(N(AG89)&gt;0,", "&amp;AG$2,"")&amp;IF(N(AH89)&gt;0,", "&amp;AH$2,"")&amp;IF(N(AI89)&gt;0,", "&amp;AI$2,"")&amp;IF(N(AJ89)&gt;0,", "&amp;AJ$2,""),3,999)</f>
        <v/>
      </c>
      <c r="AM89" s="87" t="str">
        <f aca="false">IF(E89="","",MID(IF(N(Y89)&gt;0,", "&amp;A89&amp;"-"&amp;Y$2,"")&amp;IF(N(Z89)&gt;0,", "&amp;A89&amp;"-"&amp;Z$2,"")&amp;IF(N(AA89)&gt;0,", "&amp;A89&amp;"-"&amp;AA$2,"")&amp;IF(N(AB89)&gt;0,", "&amp;A89&amp;"-"&amp;AB$2,"")&amp;IF(N(AC89)&gt;0,", "&amp;A89&amp;"-"&amp;AC$2,"")&amp;IF(N(AD89)&gt;0,", "&amp;A89&amp;"-"&amp;AD$2,"")&amp;IF(N(AE89)&gt;0,", "&amp;A89&amp;"-"&amp;AE$2,"")&amp;IF(N(AF89)&gt;0,", "&amp;A89&amp;"-"&amp;AF$2,"")&amp;IF(N(AG89)&gt;0,", "&amp;A89&amp;"-"&amp;AG$2,"")&amp;IF(N(AH89)&gt;0,", "&amp;A89&amp;"-"&amp;AH$2,"")&amp;IF(N(AI89)&gt;0,", "&amp;A89&amp;"-"&amp;AI$2,"")&amp;IF(N(AJ89)&gt;0,", "&amp;A89&amp;"-"&amp;AJ$2,""),3,999))</f>
        <v/>
      </c>
      <c r="AN89" s="81"/>
      <c r="AO89" s="88"/>
      <c r="AP89" s="89" t="str">
        <f aca="false">IF(AO89="","",ROUND(AO89/(1+Справочники!$B$13),2))</f>
        <v/>
      </c>
      <c r="AQ89" s="90" t="str">
        <f aca="false" t="array" ref="AQ89:AQ89">IF(AP89="","",AP89*INDEX(Справочники!$B$4:$B$7,MATCH("RUB",Справочники!$A$4:$A$7,0)))</f>
        <v/>
      </c>
      <c r="AR89" s="90" t="str">
        <f aca="false">IF(AQ89="","",ROUND(AQ89*(1+Справочники!$B$12),0))</f>
        <v/>
      </c>
      <c r="AS89" s="90" t="str">
        <f aca="false">IF(AR89="","",ROUND(AR89*(1-Справочники!$B$11),0))</f>
        <v/>
      </c>
      <c r="AT89" s="88"/>
      <c r="AU89" s="90" t="str">
        <f aca="false">IF(AT89="","",ROUND(AT89/(1+Справочники!$B$12),0))</f>
        <v/>
      </c>
      <c r="AV89" s="90" t="str">
        <f aca="false">IF(AT89="","",ROUND(AT89*(1-Справочники!$B$15),0))</f>
        <v/>
      </c>
      <c r="AW89" s="90" t="str">
        <f aca="false">IF(AT89="","",ROUND(AT89*(1-Справочники!$B$16),0))</f>
        <v/>
      </c>
      <c r="AX89" s="90" t="str">
        <f aca="false">IF(AT89="","",ROUND(AT89*(1-Справочники!$B$17),0))</f>
        <v/>
      </c>
      <c r="AY89" s="90" t="str">
        <f aca="false">IF(AT89="","",ROUND(AT89*(1-Справочники!$B$18),0))</f>
        <v/>
      </c>
      <c r="AZ89" s="90" t="str">
        <f aca="false">IF(AT89="","",ROUND(AT89*(1-Справочники!$B$19),0))</f>
        <v/>
      </c>
      <c r="BA89" s="81"/>
      <c r="BB89" s="81"/>
      <c r="BC89" s="81"/>
      <c r="BD89" s="81"/>
      <c r="BE89" s="91"/>
      <c r="BF89" s="81" t="s">
        <v>103</v>
      </c>
      <c r="BG89" s="89" t="n">
        <f aca="false" t="array" ref="BG89:BG89">IF(BF89="","",IFERROR(INDEX(Справочники!$B$4:$B$7,MATCH(BF89,Справочники!$A$4:$A$7,0)),""))</f>
        <v>68.5</v>
      </c>
      <c r="BH89" s="90" t="str">
        <f aca="false">IF(N(BN89)&gt;0,ROUND(SUMIF(ЗАКАЗЫ!$F$3:$F$500,$A89,ЗАКАЗЫ!$Y$3:$Y$500)/BN89,0),IF(OR(BE89="",BG89=""),"",ROUND(BE89*BG89*(1+Справочники!$B$10),0)))</f>
        <v/>
      </c>
      <c r="BI89" s="92" t="str">
        <f aca="false">IF(OR(AU89="",BH89="",AU89=0),"",(AU89-BH89)/AU89)</f>
        <v/>
      </c>
      <c r="BJ89" s="81"/>
      <c r="BK89" s="83"/>
      <c r="BL89" s="43" t="str">
        <f aca="false">IFERROR(INDEX(ЗАКАЗЫ!$N$3:$N$500,MATCH($A89,ЗАКАЗЫ!$F$3:$F$500,0)),"")</f>
        <v/>
      </c>
      <c r="BM89" s="8" t="str">
        <f aca="false">IF(BL89="","",IFERROR(VLOOKUP(BL89,'ТН ВЭД'!$A$4:$C$40,3,0),""))</f>
        <v/>
      </c>
      <c r="BN89" s="7" t="str">
        <f aca="false">IF(COUNTIF(ЗАКАЗЫ!$F$3:$F$500,$A89)=0,"",SUMIF(ЗАКАЗЫ!$F$3:$F$500,$A89,ЗАКАЗЫ!$J$3:$J$500))</f>
        <v/>
      </c>
      <c r="BO89" s="7" t="str">
        <f aca="false">IF(BN89="","",SUMIF(ЗАКАЗЫ!$F$3:$F$500,$A89,ЗАКАЗЫ!$AL$3:$AL$500))</f>
        <v/>
      </c>
      <c r="BP89" s="7" t="str">
        <f aca="false">IF(BN89="","",BN89-BO89)</f>
        <v/>
      </c>
      <c r="BQ89" s="55" t="str">
        <f aca="false">IF(BN89="","",IF(BO89&gt;=BN89,"На складе",IF(BO89&gt;0,"Частично","Ждём")))</f>
        <v/>
      </c>
      <c r="BR89" s="43"/>
      <c r="BS89" s="47" t="str">
        <f aca="false">IF(BN89="","",IF(_xlfn.MAXIFS(ЗАКАЗЫ!$AK$3:$AK$500,ЗАКАЗЫ!$F$3:$F$500,$A89)=0,"",_xlfn.MAXIFS(ЗАКАЗЫ!$AK$3:$AK$500,ЗАКАЗЫ!$F$3:$F$500,$A89)))</f>
        <v/>
      </c>
    </row>
    <row r="90" customFormat="false" ht="15.75" hidden="false" customHeight="true" outlineLevel="0" collapsed="false">
      <c r="A90" s="80" t="s">
        <v>564</v>
      </c>
      <c r="B90" s="81"/>
      <c r="C90" s="81"/>
      <c r="D90" s="81"/>
      <c r="E90" s="83"/>
      <c r="F90" s="81"/>
      <c r="G90" s="83"/>
      <c r="H90" s="83"/>
      <c r="I90" s="84" t="str">
        <f aca="false">IF(E90="","",A90&amp;"_1.jpg")</f>
        <v/>
      </c>
      <c r="J90" s="84" t="str">
        <f aca="false">IF(E90="","",A90&amp;"_2.jpg; "&amp;A90&amp;"_3.jpg")</f>
        <v/>
      </c>
      <c r="K90" s="84" t="str">
        <f aca="false">IF(E90="","",A90&amp;"_schema.jpg")</f>
        <v/>
      </c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 t="s">
        <v>261</v>
      </c>
      <c r="W90" s="81"/>
      <c r="X90" s="81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6" t="str">
        <f aca="false">IF(SUM(Y90:AJ90)=0,"",SUM(Y90:AJ90))</f>
        <v/>
      </c>
      <c r="AL90" s="84" t="str">
        <f aca="false">MID(IF(N(Y90)&gt;0,", "&amp;Y$2,"")&amp;IF(N(Z90)&gt;0,", "&amp;Z$2,"")&amp;IF(N(AA90)&gt;0,", "&amp;AA$2,"")&amp;IF(N(AB90)&gt;0,", "&amp;AB$2,"")&amp;IF(N(AC90)&gt;0,", "&amp;AC$2,"")&amp;IF(N(AD90)&gt;0,", "&amp;AD$2,"")&amp;IF(N(AE90)&gt;0,", "&amp;AE$2,"")&amp;IF(N(AF90)&gt;0,", "&amp;AF$2,"")&amp;IF(N(AG90)&gt;0,", "&amp;AG$2,"")&amp;IF(N(AH90)&gt;0,", "&amp;AH$2,"")&amp;IF(N(AI90)&gt;0,", "&amp;AI$2,"")&amp;IF(N(AJ90)&gt;0,", "&amp;AJ$2,""),3,999)</f>
        <v/>
      </c>
      <c r="AM90" s="87" t="str">
        <f aca="false">IF(E90="","",MID(IF(N(Y90)&gt;0,", "&amp;A90&amp;"-"&amp;Y$2,"")&amp;IF(N(Z90)&gt;0,", "&amp;A90&amp;"-"&amp;Z$2,"")&amp;IF(N(AA90)&gt;0,", "&amp;A90&amp;"-"&amp;AA$2,"")&amp;IF(N(AB90)&gt;0,", "&amp;A90&amp;"-"&amp;AB$2,"")&amp;IF(N(AC90)&gt;0,", "&amp;A90&amp;"-"&amp;AC$2,"")&amp;IF(N(AD90)&gt;0,", "&amp;A90&amp;"-"&amp;AD$2,"")&amp;IF(N(AE90)&gt;0,", "&amp;A90&amp;"-"&amp;AE$2,"")&amp;IF(N(AF90)&gt;0,", "&amp;A90&amp;"-"&amp;AF$2,"")&amp;IF(N(AG90)&gt;0,", "&amp;A90&amp;"-"&amp;AG$2,"")&amp;IF(N(AH90)&gt;0,", "&amp;A90&amp;"-"&amp;AH$2,"")&amp;IF(N(AI90)&gt;0,", "&amp;A90&amp;"-"&amp;AI$2,"")&amp;IF(N(AJ90)&gt;0,", "&amp;A90&amp;"-"&amp;AJ$2,""),3,999))</f>
        <v/>
      </c>
      <c r="AN90" s="81"/>
      <c r="AO90" s="88"/>
      <c r="AP90" s="89" t="str">
        <f aca="false">IF(AO90="","",ROUND(AO90/(1+Справочники!$B$13),2))</f>
        <v/>
      </c>
      <c r="AQ90" s="90" t="str">
        <f aca="false" t="array" ref="AQ90:AQ90">IF(AP90="","",AP90*INDEX(Справочники!$B$4:$B$7,MATCH("RUB",Справочники!$A$4:$A$7,0)))</f>
        <v/>
      </c>
      <c r="AR90" s="90" t="str">
        <f aca="false">IF(AQ90="","",ROUND(AQ90*(1+Справочники!$B$12),0))</f>
        <v/>
      </c>
      <c r="AS90" s="90" t="str">
        <f aca="false">IF(AR90="","",ROUND(AR90*(1-Справочники!$B$11),0))</f>
        <v/>
      </c>
      <c r="AT90" s="88"/>
      <c r="AU90" s="90" t="str">
        <f aca="false">IF(AT90="","",ROUND(AT90/(1+Справочники!$B$12),0))</f>
        <v/>
      </c>
      <c r="AV90" s="90" t="str">
        <f aca="false">IF(AT90="","",ROUND(AT90*(1-Справочники!$B$15),0))</f>
        <v/>
      </c>
      <c r="AW90" s="90" t="str">
        <f aca="false">IF(AT90="","",ROUND(AT90*(1-Справочники!$B$16),0))</f>
        <v/>
      </c>
      <c r="AX90" s="90" t="str">
        <f aca="false">IF(AT90="","",ROUND(AT90*(1-Справочники!$B$17),0))</f>
        <v/>
      </c>
      <c r="AY90" s="90" t="str">
        <f aca="false">IF(AT90="","",ROUND(AT90*(1-Справочники!$B$18),0))</f>
        <v/>
      </c>
      <c r="AZ90" s="90" t="str">
        <f aca="false">IF(AT90="","",ROUND(AT90*(1-Справочники!$B$19),0))</f>
        <v/>
      </c>
      <c r="BA90" s="81"/>
      <c r="BB90" s="81"/>
      <c r="BC90" s="81"/>
      <c r="BD90" s="81"/>
      <c r="BE90" s="91"/>
      <c r="BF90" s="81" t="s">
        <v>103</v>
      </c>
      <c r="BG90" s="89" t="n">
        <f aca="false" t="array" ref="BG90:BG90">IF(BF90="","",IFERROR(INDEX(Справочники!$B$4:$B$7,MATCH(BF90,Справочники!$A$4:$A$7,0)),""))</f>
        <v>68.5</v>
      </c>
      <c r="BH90" s="90" t="str">
        <f aca="false">IF(N(BN90)&gt;0,ROUND(SUMIF(ЗАКАЗЫ!$F$3:$F$500,$A90,ЗАКАЗЫ!$Y$3:$Y$500)/BN90,0),IF(OR(BE90="",BG90=""),"",ROUND(BE90*BG90*(1+Справочники!$B$10),0)))</f>
        <v/>
      </c>
      <c r="BI90" s="92" t="str">
        <f aca="false">IF(OR(AU90="",BH90="",AU90=0),"",(AU90-BH90)/AU90)</f>
        <v/>
      </c>
      <c r="BJ90" s="81"/>
      <c r="BK90" s="83"/>
      <c r="BL90" s="43" t="str">
        <f aca="false">IFERROR(INDEX(ЗАКАЗЫ!$N$3:$N$500,MATCH($A90,ЗАКАЗЫ!$F$3:$F$500,0)),"")</f>
        <v/>
      </c>
      <c r="BM90" s="8" t="str">
        <f aca="false">IF(BL90="","",IFERROR(VLOOKUP(BL90,'ТН ВЭД'!$A$4:$C$40,3,0),""))</f>
        <v/>
      </c>
      <c r="BN90" s="7" t="str">
        <f aca="false">IF(COUNTIF(ЗАКАЗЫ!$F$3:$F$500,$A90)=0,"",SUMIF(ЗАКАЗЫ!$F$3:$F$500,$A90,ЗАКАЗЫ!$J$3:$J$500))</f>
        <v/>
      </c>
      <c r="BO90" s="7" t="str">
        <f aca="false">IF(BN90="","",SUMIF(ЗАКАЗЫ!$F$3:$F$500,$A90,ЗАКАЗЫ!$AL$3:$AL$500))</f>
        <v/>
      </c>
      <c r="BP90" s="7" t="str">
        <f aca="false">IF(BN90="","",BN90-BO90)</f>
        <v/>
      </c>
      <c r="BQ90" s="55" t="str">
        <f aca="false">IF(BN90="","",IF(BO90&gt;=BN90,"На складе",IF(BO90&gt;0,"Частично","Ждём")))</f>
        <v/>
      </c>
      <c r="BR90" s="43"/>
      <c r="BS90" s="47" t="str">
        <f aca="false">IF(BN90="","",IF(_xlfn.MAXIFS(ЗАКАЗЫ!$AK$3:$AK$500,ЗАКАЗЫ!$F$3:$F$500,$A90)=0,"",_xlfn.MAXIFS(ЗАКАЗЫ!$AK$3:$AK$500,ЗАКАЗЫ!$F$3:$F$500,$A90)))</f>
        <v/>
      </c>
    </row>
    <row r="91" customFormat="false" ht="15.75" hidden="false" customHeight="true" outlineLevel="0" collapsed="false">
      <c r="A91" s="80" t="s">
        <v>565</v>
      </c>
      <c r="B91" s="81"/>
      <c r="C91" s="81"/>
      <c r="D91" s="81"/>
      <c r="E91" s="83"/>
      <c r="F91" s="81"/>
      <c r="G91" s="83"/>
      <c r="H91" s="83"/>
      <c r="I91" s="84" t="str">
        <f aca="false">IF(E91="","",A91&amp;"_1.jpg")</f>
        <v/>
      </c>
      <c r="J91" s="84" t="str">
        <f aca="false">IF(E91="","",A91&amp;"_2.jpg; "&amp;A91&amp;"_3.jpg")</f>
        <v/>
      </c>
      <c r="K91" s="84" t="str">
        <f aca="false">IF(E91="","",A91&amp;"_schema.jpg")</f>
        <v/>
      </c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 t="s">
        <v>261</v>
      </c>
      <c r="W91" s="81"/>
      <c r="X91" s="81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6" t="str">
        <f aca="false">IF(SUM(Y91:AJ91)=0,"",SUM(Y91:AJ91))</f>
        <v/>
      </c>
      <c r="AL91" s="84" t="str">
        <f aca="false">MID(IF(N(Y91)&gt;0,", "&amp;Y$2,"")&amp;IF(N(Z91)&gt;0,", "&amp;Z$2,"")&amp;IF(N(AA91)&gt;0,", "&amp;AA$2,"")&amp;IF(N(AB91)&gt;0,", "&amp;AB$2,"")&amp;IF(N(AC91)&gt;0,", "&amp;AC$2,"")&amp;IF(N(AD91)&gt;0,", "&amp;AD$2,"")&amp;IF(N(AE91)&gt;0,", "&amp;AE$2,"")&amp;IF(N(AF91)&gt;0,", "&amp;AF$2,"")&amp;IF(N(AG91)&gt;0,", "&amp;AG$2,"")&amp;IF(N(AH91)&gt;0,", "&amp;AH$2,"")&amp;IF(N(AI91)&gt;0,", "&amp;AI$2,"")&amp;IF(N(AJ91)&gt;0,", "&amp;AJ$2,""),3,999)</f>
        <v/>
      </c>
      <c r="AM91" s="87" t="str">
        <f aca="false">IF(E91="","",MID(IF(N(Y91)&gt;0,", "&amp;A91&amp;"-"&amp;Y$2,"")&amp;IF(N(Z91)&gt;0,", "&amp;A91&amp;"-"&amp;Z$2,"")&amp;IF(N(AA91)&gt;0,", "&amp;A91&amp;"-"&amp;AA$2,"")&amp;IF(N(AB91)&gt;0,", "&amp;A91&amp;"-"&amp;AB$2,"")&amp;IF(N(AC91)&gt;0,", "&amp;A91&amp;"-"&amp;AC$2,"")&amp;IF(N(AD91)&gt;0,", "&amp;A91&amp;"-"&amp;AD$2,"")&amp;IF(N(AE91)&gt;0,", "&amp;A91&amp;"-"&amp;AE$2,"")&amp;IF(N(AF91)&gt;0,", "&amp;A91&amp;"-"&amp;AF$2,"")&amp;IF(N(AG91)&gt;0,", "&amp;A91&amp;"-"&amp;AG$2,"")&amp;IF(N(AH91)&gt;0,", "&amp;A91&amp;"-"&amp;AH$2,"")&amp;IF(N(AI91)&gt;0,", "&amp;A91&amp;"-"&amp;AI$2,"")&amp;IF(N(AJ91)&gt;0,", "&amp;A91&amp;"-"&amp;AJ$2,""),3,999))</f>
        <v/>
      </c>
      <c r="AN91" s="81"/>
      <c r="AO91" s="88"/>
      <c r="AP91" s="89" t="str">
        <f aca="false">IF(AO91="","",ROUND(AO91/(1+Справочники!$B$13),2))</f>
        <v/>
      </c>
      <c r="AQ91" s="90" t="str">
        <f aca="false" t="array" ref="AQ91:AQ91">IF(AP91="","",AP91*INDEX(Справочники!$B$4:$B$7,MATCH("RUB",Справочники!$A$4:$A$7,0)))</f>
        <v/>
      </c>
      <c r="AR91" s="90" t="str">
        <f aca="false">IF(AQ91="","",ROUND(AQ91*(1+Справочники!$B$12),0))</f>
        <v/>
      </c>
      <c r="AS91" s="90" t="str">
        <f aca="false">IF(AR91="","",ROUND(AR91*(1-Справочники!$B$11),0))</f>
        <v/>
      </c>
      <c r="AT91" s="88"/>
      <c r="AU91" s="90" t="str">
        <f aca="false">IF(AT91="","",ROUND(AT91/(1+Справочники!$B$12),0))</f>
        <v/>
      </c>
      <c r="AV91" s="90" t="str">
        <f aca="false">IF(AT91="","",ROUND(AT91*(1-Справочники!$B$15),0))</f>
        <v/>
      </c>
      <c r="AW91" s="90" t="str">
        <f aca="false">IF(AT91="","",ROUND(AT91*(1-Справочники!$B$16),0))</f>
        <v/>
      </c>
      <c r="AX91" s="90" t="str">
        <f aca="false">IF(AT91="","",ROUND(AT91*(1-Справочники!$B$17),0))</f>
        <v/>
      </c>
      <c r="AY91" s="90" t="str">
        <f aca="false">IF(AT91="","",ROUND(AT91*(1-Справочники!$B$18),0))</f>
        <v/>
      </c>
      <c r="AZ91" s="90" t="str">
        <f aca="false">IF(AT91="","",ROUND(AT91*(1-Справочники!$B$19),0))</f>
        <v/>
      </c>
      <c r="BA91" s="81"/>
      <c r="BB91" s="81"/>
      <c r="BC91" s="81"/>
      <c r="BD91" s="81"/>
      <c r="BE91" s="91"/>
      <c r="BF91" s="81" t="s">
        <v>103</v>
      </c>
      <c r="BG91" s="89" t="n">
        <f aca="false" t="array" ref="BG91:BG91">IF(BF91="","",IFERROR(INDEX(Справочники!$B$4:$B$7,MATCH(BF91,Справочники!$A$4:$A$7,0)),""))</f>
        <v>68.5</v>
      </c>
      <c r="BH91" s="90" t="str">
        <f aca="false">IF(N(BN91)&gt;0,ROUND(SUMIF(ЗАКАЗЫ!$F$3:$F$500,$A91,ЗАКАЗЫ!$Y$3:$Y$500)/BN91,0),IF(OR(BE91="",BG91=""),"",ROUND(BE91*BG91*(1+Справочники!$B$10),0)))</f>
        <v/>
      </c>
      <c r="BI91" s="92" t="str">
        <f aca="false">IF(OR(AU91="",BH91="",AU91=0),"",(AU91-BH91)/AU91)</f>
        <v/>
      </c>
      <c r="BJ91" s="81"/>
      <c r="BK91" s="83"/>
      <c r="BL91" s="43" t="str">
        <f aca="false">IFERROR(INDEX(ЗАКАЗЫ!$N$3:$N$500,MATCH($A91,ЗАКАЗЫ!$F$3:$F$500,0)),"")</f>
        <v/>
      </c>
      <c r="BM91" s="8" t="str">
        <f aca="false">IF(BL91="","",IFERROR(VLOOKUP(BL91,'ТН ВЭД'!$A$4:$C$40,3,0),""))</f>
        <v/>
      </c>
      <c r="BN91" s="7" t="str">
        <f aca="false">IF(COUNTIF(ЗАКАЗЫ!$F$3:$F$500,$A91)=0,"",SUMIF(ЗАКАЗЫ!$F$3:$F$500,$A91,ЗАКАЗЫ!$J$3:$J$500))</f>
        <v/>
      </c>
      <c r="BO91" s="7" t="str">
        <f aca="false">IF(BN91="","",SUMIF(ЗАКАЗЫ!$F$3:$F$500,$A91,ЗАКАЗЫ!$AL$3:$AL$500))</f>
        <v/>
      </c>
      <c r="BP91" s="7" t="str">
        <f aca="false">IF(BN91="","",BN91-BO91)</f>
        <v/>
      </c>
      <c r="BQ91" s="55" t="str">
        <f aca="false">IF(BN91="","",IF(BO91&gt;=BN91,"На складе",IF(BO91&gt;0,"Частично","Ждём")))</f>
        <v/>
      </c>
      <c r="BR91" s="43"/>
      <c r="BS91" s="47" t="str">
        <f aca="false">IF(BN91="","",IF(_xlfn.MAXIFS(ЗАКАЗЫ!$AK$3:$AK$500,ЗАКАЗЫ!$F$3:$F$500,$A91)=0,"",_xlfn.MAXIFS(ЗАКАЗЫ!$AK$3:$AK$500,ЗАКАЗЫ!$F$3:$F$500,$A91)))</f>
        <v/>
      </c>
    </row>
    <row r="92" customFormat="false" ht="15.75" hidden="false" customHeight="true" outlineLevel="0" collapsed="false">
      <c r="A92" s="80" t="s">
        <v>566</v>
      </c>
      <c r="B92" s="81"/>
      <c r="C92" s="81"/>
      <c r="D92" s="81"/>
      <c r="E92" s="83"/>
      <c r="F92" s="81"/>
      <c r="G92" s="83"/>
      <c r="H92" s="83"/>
      <c r="I92" s="84" t="str">
        <f aca="false">IF(E92="","",A92&amp;"_1.jpg")</f>
        <v/>
      </c>
      <c r="J92" s="84" t="str">
        <f aca="false">IF(E92="","",A92&amp;"_2.jpg; "&amp;A92&amp;"_3.jpg")</f>
        <v/>
      </c>
      <c r="K92" s="84" t="str">
        <f aca="false">IF(E92="","",A92&amp;"_schema.jpg")</f>
        <v/>
      </c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 t="s">
        <v>261</v>
      </c>
      <c r="W92" s="81"/>
      <c r="X92" s="81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6" t="str">
        <f aca="false">IF(SUM(Y92:AJ92)=0,"",SUM(Y92:AJ92))</f>
        <v/>
      </c>
      <c r="AL92" s="84" t="str">
        <f aca="false">MID(IF(N(Y92)&gt;0,", "&amp;Y$2,"")&amp;IF(N(Z92)&gt;0,", "&amp;Z$2,"")&amp;IF(N(AA92)&gt;0,", "&amp;AA$2,"")&amp;IF(N(AB92)&gt;0,", "&amp;AB$2,"")&amp;IF(N(AC92)&gt;0,", "&amp;AC$2,"")&amp;IF(N(AD92)&gt;0,", "&amp;AD$2,"")&amp;IF(N(AE92)&gt;0,", "&amp;AE$2,"")&amp;IF(N(AF92)&gt;0,", "&amp;AF$2,"")&amp;IF(N(AG92)&gt;0,", "&amp;AG$2,"")&amp;IF(N(AH92)&gt;0,", "&amp;AH$2,"")&amp;IF(N(AI92)&gt;0,", "&amp;AI$2,"")&amp;IF(N(AJ92)&gt;0,", "&amp;AJ$2,""),3,999)</f>
        <v/>
      </c>
      <c r="AM92" s="87" t="str">
        <f aca="false">IF(E92="","",MID(IF(N(Y92)&gt;0,", "&amp;A92&amp;"-"&amp;Y$2,"")&amp;IF(N(Z92)&gt;0,", "&amp;A92&amp;"-"&amp;Z$2,"")&amp;IF(N(AA92)&gt;0,", "&amp;A92&amp;"-"&amp;AA$2,"")&amp;IF(N(AB92)&gt;0,", "&amp;A92&amp;"-"&amp;AB$2,"")&amp;IF(N(AC92)&gt;0,", "&amp;A92&amp;"-"&amp;AC$2,"")&amp;IF(N(AD92)&gt;0,", "&amp;A92&amp;"-"&amp;AD$2,"")&amp;IF(N(AE92)&gt;0,", "&amp;A92&amp;"-"&amp;AE$2,"")&amp;IF(N(AF92)&gt;0,", "&amp;A92&amp;"-"&amp;AF$2,"")&amp;IF(N(AG92)&gt;0,", "&amp;A92&amp;"-"&amp;AG$2,"")&amp;IF(N(AH92)&gt;0,", "&amp;A92&amp;"-"&amp;AH$2,"")&amp;IF(N(AI92)&gt;0,", "&amp;A92&amp;"-"&amp;AI$2,"")&amp;IF(N(AJ92)&gt;0,", "&amp;A92&amp;"-"&amp;AJ$2,""),3,999))</f>
        <v/>
      </c>
      <c r="AN92" s="81"/>
      <c r="AO92" s="88"/>
      <c r="AP92" s="89" t="str">
        <f aca="false">IF(AO92="","",ROUND(AO92/(1+Справочники!$B$13),2))</f>
        <v/>
      </c>
      <c r="AQ92" s="90" t="str">
        <f aca="false" t="array" ref="AQ92:AQ92">IF(AP92="","",AP92*INDEX(Справочники!$B$4:$B$7,MATCH("RUB",Справочники!$A$4:$A$7,0)))</f>
        <v/>
      </c>
      <c r="AR92" s="90" t="str">
        <f aca="false">IF(AQ92="","",ROUND(AQ92*(1+Справочники!$B$12),0))</f>
        <v/>
      </c>
      <c r="AS92" s="90" t="str">
        <f aca="false">IF(AR92="","",ROUND(AR92*(1-Справочники!$B$11),0))</f>
        <v/>
      </c>
      <c r="AT92" s="88"/>
      <c r="AU92" s="90" t="str">
        <f aca="false">IF(AT92="","",ROUND(AT92/(1+Справочники!$B$12),0))</f>
        <v/>
      </c>
      <c r="AV92" s="90" t="str">
        <f aca="false">IF(AT92="","",ROUND(AT92*(1-Справочники!$B$15),0))</f>
        <v/>
      </c>
      <c r="AW92" s="90" t="str">
        <f aca="false">IF(AT92="","",ROUND(AT92*(1-Справочники!$B$16),0))</f>
        <v/>
      </c>
      <c r="AX92" s="90" t="str">
        <f aca="false">IF(AT92="","",ROUND(AT92*(1-Справочники!$B$17),0))</f>
        <v/>
      </c>
      <c r="AY92" s="90" t="str">
        <f aca="false">IF(AT92="","",ROUND(AT92*(1-Справочники!$B$18),0))</f>
        <v/>
      </c>
      <c r="AZ92" s="90" t="str">
        <f aca="false">IF(AT92="","",ROUND(AT92*(1-Справочники!$B$19),0))</f>
        <v/>
      </c>
      <c r="BA92" s="81"/>
      <c r="BB92" s="81"/>
      <c r="BC92" s="81"/>
      <c r="BD92" s="81"/>
      <c r="BE92" s="91"/>
      <c r="BF92" s="81" t="s">
        <v>103</v>
      </c>
      <c r="BG92" s="89" t="n">
        <f aca="false" t="array" ref="BG92:BG92">IF(BF92="","",IFERROR(INDEX(Справочники!$B$4:$B$7,MATCH(BF92,Справочники!$A$4:$A$7,0)),""))</f>
        <v>68.5</v>
      </c>
      <c r="BH92" s="90" t="str">
        <f aca="false">IF(N(BN92)&gt;0,ROUND(SUMIF(ЗАКАЗЫ!$F$3:$F$500,$A92,ЗАКАЗЫ!$Y$3:$Y$500)/BN92,0),IF(OR(BE92="",BG92=""),"",ROUND(BE92*BG92*(1+Справочники!$B$10),0)))</f>
        <v/>
      </c>
      <c r="BI92" s="92" t="str">
        <f aca="false">IF(OR(AU92="",BH92="",AU92=0),"",(AU92-BH92)/AU92)</f>
        <v/>
      </c>
      <c r="BJ92" s="81"/>
      <c r="BK92" s="83"/>
      <c r="BL92" s="43" t="str">
        <f aca="false">IFERROR(INDEX(ЗАКАЗЫ!$N$3:$N$500,MATCH($A92,ЗАКАЗЫ!$F$3:$F$500,0)),"")</f>
        <v/>
      </c>
      <c r="BM92" s="8" t="str">
        <f aca="false">IF(BL92="","",IFERROR(VLOOKUP(BL92,'ТН ВЭД'!$A$4:$C$40,3,0),""))</f>
        <v/>
      </c>
      <c r="BN92" s="7" t="str">
        <f aca="false">IF(COUNTIF(ЗАКАЗЫ!$F$3:$F$500,$A92)=0,"",SUMIF(ЗАКАЗЫ!$F$3:$F$500,$A92,ЗАКАЗЫ!$J$3:$J$500))</f>
        <v/>
      </c>
      <c r="BO92" s="7" t="str">
        <f aca="false">IF(BN92="","",SUMIF(ЗАКАЗЫ!$F$3:$F$500,$A92,ЗАКАЗЫ!$AL$3:$AL$500))</f>
        <v/>
      </c>
      <c r="BP92" s="7" t="str">
        <f aca="false">IF(BN92="","",BN92-BO92)</f>
        <v/>
      </c>
      <c r="BQ92" s="55" t="str">
        <f aca="false">IF(BN92="","",IF(BO92&gt;=BN92,"На складе",IF(BO92&gt;0,"Частично","Ждём")))</f>
        <v/>
      </c>
      <c r="BR92" s="43"/>
      <c r="BS92" s="47" t="str">
        <f aca="false">IF(BN92="","",IF(_xlfn.MAXIFS(ЗАКАЗЫ!$AK$3:$AK$500,ЗАКАЗЫ!$F$3:$F$500,$A92)=0,"",_xlfn.MAXIFS(ЗАКАЗЫ!$AK$3:$AK$500,ЗАКАЗЫ!$F$3:$F$500,$A92)))</f>
        <v/>
      </c>
    </row>
    <row r="93" customFormat="false" ht="15.75" hidden="false" customHeight="true" outlineLevel="0" collapsed="false">
      <c r="A93" s="80" t="s">
        <v>567</v>
      </c>
      <c r="B93" s="81"/>
      <c r="C93" s="81"/>
      <c r="D93" s="81"/>
      <c r="E93" s="83"/>
      <c r="F93" s="81"/>
      <c r="G93" s="83"/>
      <c r="H93" s="83"/>
      <c r="I93" s="84" t="str">
        <f aca="false">IF(E93="","",A93&amp;"_1.jpg")</f>
        <v/>
      </c>
      <c r="J93" s="84" t="str">
        <f aca="false">IF(E93="","",A93&amp;"_2.jpg; "&amp;A93&amp;"_3.jpg")</f>
        <v/>
      </c>
      <c r="K93" s="84" t="str">
        <f aca="false">IF(E93="","",A93&amp;"_schema.jpg")</f>
        <v/>
      </c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 t="s">
        <v>261</v>
      </c>
      <c r="W93" s="81"/>
      <c r="X93" s="81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6" t="str">
        <f aca="false">IF(SUM(Y93:AJ93)=0,"",SUM(Y93:AJ93))</f>
        <v/>
      </c>
      <c r="AL93" s="84" t="str">
        <f aca="false">MID(IF(N(Y93)&gt;0,", "&amp;Y$2,"")&amp;IF(N(Z93)&gt;0,", "&amp;Z$2,"")&amp;IF(N(AA93)&gt;0,", "&amp;AA$2,"")&amp;IF(N(AB93)&gt;0,", "&amp;AB$2,"")&amp;IF(N(AC93)&gt;0,", "&amp;AC$2,"")&amp;IF(N(AD93)&gt;0,", "&amp;AD$2,"")&amp;IF(N(AE93)&gt;0,", "&amp;AE$2,"")&amp;IF(N(AF93)&gt;0,", "&amp;AF$2,"")&amp;IF(N(AG93)&gt;0,", "&amp;AG$2,"")&amp;IF(N(AH93)&gt;0,", "&amp;AH$2,"")&amp;IF(N(AI93)&gt;0,", "&amp;AI$2,"")&amp;IF(N(AJ93)&gt;0,", "&amp;AJ$2,""),3,999)</f>
        <v/>
      </c>
      <c r="AM93" s="87" t="str">
        <f aca="false">IF(E93="","",MID(IF(N(Y93)&gt;0,", "&amp;A93&amp;"-"&amp;Y$2,"")&amp;IF(N(Z93)&gt;0,", "&amp;A93&amp;"-"&amp;Z$2,"")&amp;IF(N(AA93)&gt;0,", "&amp;A93&amp;"-"&amp;AA$2,"")&amp;IF(N(AB93)&gt;0,", "&amp;A93&amp;"-"&amp;AB$2,"")&amp;IF(N(AC93)&gt;0,", "&amp;A93&amp;"-"&amp;AC$2,"")&amp;IF(N(AD93)&gt;0,", "&amp;A93&amp;"-"&amp;AD$2,"")&amp;IF(N(AE93)&gt;0,", "&amp;A93&amp;"-"&amp;AE$2,"")&amp;IF(N(AF93)&gt;0,", "&amp;A93&amp;"-"&amp;AF$2,"")&amp;IF(N(AG93)&gt;0,", "&amp;A93&amp;"-"&amp;AG$2,"")&amp;IF(N(AH93)&gt;0,", "&amp;A93&amp;"-"&amp;AH$2,"")&amp;IF(N(AI93)&gt;0,", "&amp;A93&amp;"-"&amp;AI$2,"")&amp;IF(N(AJ93)&gt;0,", "&amp;A93&amp;"-"&amp;AJ$2,""),3,999))</f>
        <v/>
      </c>
      <c r="AN93" s="81"/>
      <c r="AO93" s="88"/>
      <c r="AP93" s="89" t="str">
        <f aca="false">IF(AO93="","",ROUND(AO93/(1+Справочники!$B$13),2))</f>
        <v/>
      </c>
      <c r="AQ93" s="90" t="str">
        <f aca="false" t="array" ref="AQ93:AQ93">IF(AP93="","",AP93*INDEX(Справочники!$B$4:$B$7,MATCH("RUB",Справочники!$A$4:$A$7,0)))</f>
        <v/>
      </c>
      <c r="AR93" s="90" t="str">
        <f aca="false">IF(AQ93="","",ROUND(AQ93*(1+Справочники!$B$12),0))</f>
        <v/>
      </c>
      <c r="AS93" s="90" t="str">
        <f aca="false">IF(AR93="","",ROUND(AR93*(1-Справочники!$B$11),0))</f>
        <v/>
      </c>
      <c r="AT93" s="88"/>
      <c r="AU93" s="90" t="str">
        <f aca="false">IF(AT93="","",ROUND(AT93/(1+Справочники!$B$12),0))</f>
        <v/>
      </c>
      <c r="AV93" s="90" t="str">
        <f aca="false">IF(AT93="","",ROUND(AT93*(1-Справочники!$B$15),0))</f>
        <v/>
      </c>
      <c r="AW93" s="90" t="str">
        <f aca="false">IF(AT93="","",ROUND(AT93*(1-Справочники!$B$16),0))</f>
        <v/>
      </c>
      <c r="AX93" s="90" t="str">
        <f aca="false">IF(AT93="","",ROUND(AT93*(1-Справочники!$B$17),0))</f>
        <v/>
      </c>
      <c r="AY93" s="90" t="str">
        <f aca="false">IF(AT93="","",ROUND(AT93*(1-Справочники!$B$18),0))</f>
        <v/>
      </c>
      <c r="AZ93" s="90" t="str">
        <f aca="false">IF(AT93="","",ROUND(AT93*(1-Справочники!$B$19),0))</f>
        <v/>
      </c>
      <c r="BA93" s="81"/>
      <c r="BB93" s="81"/>
      <c r="BC93" s="81"/>
      <c r="BD93" s="81"/>
      <c r="BE93" s="91"/>
      <c r="BF93" s="81" t="s">
        <v>103</v>
      </c>
      <c r="BG93" s="89" t="n">
        <f aca="false" t="array" ref="BG93:BG93">IF(BF93="","",IFERROR(INDEX(Справочники!$B$4:$B$7,MATCH(BF93,Справочники!$A$4:$A$7,0)),""))</f>
        <v>68.5</v>
      </c>
      <c r="BH93" s="90" t="str">
        <f aca="false">IF(N(BN93)&gt;0,ROUND(SUMIF(ЗАКАЗЫ!$F$3:$F$500,$A93,ЗАКАЗЫ!$Y$3:$Y$500)/BN93,0),IF(OR(BE93="",BG93=""),"",ROUND(BE93*BG93*(1+Справочники!$B$10),0)))</f>
        <v/>
      </c>
      <c r="BI93" s="92" t="str">
        <f aca="false">IF(OR(AU93="",BH93="",AU93=0),"",(AU93-BH93)/AU93)</f>
        <v/>
      </c>
      <c r="BJ93" s="81"/>
      <c r="BK93" s="83"/>
      <c r="BL93" s="43" t="str">
        <f aca="false">IFERROR(INDEX(ЗАКАЗЫ!$N$3:$N$500,MATCH($A93,ЗАКАЗЫ!$F$3:$F$500,0)),"")</f>
        <v/>
      </c>
      <c r="BM93" s="8" t="str">
        <f aca="false">IF(BL93="","",IFERROR(VLOOKUP(BL93,'ТН ВЭД'!$A$4:$C$40,3,0),""))</f>
        <v/>
      </c>
      <c r="BN93" s="7" t="str">
        <f aca="false">IF(COUNTIF(ЗАКАЗЫ!$F$3:$F$500,$A93)=0,"",SUMIF(ЗАКАЗЫ!$F$3:$F$500,$A93,ЗАКАЗЫ!$J$3:$J$500))</f>
        <v/>
      </c>
      <c r="BO93" s="7" t="str">
        <f aca="false">IF(BN93="","",SUMIF(ЗАКАЗЫ!$F$3:$F$500,$A93,ЗАКАЗЫ!$AL$3:$AL$500))</f>
        <v/>
      </c>
      <c r="BP93" s="7" t="str">
        <f aca="false">IF(BN93="","",BN93-BO93)</f>
        <v/>
      </c>
      <c r="BQ93" s="55" t="str">
        <f aca="false">IF(BN93="","",IF(BO93&gt;=BN93,"На складе",IF(BO93&gt;0,"Частично","Ждём")))</f>
        <v/>
      </c>
      <c r="BR93" s="43"/>
      <c r="BS93" s="47" t="str">
        <f aca="false">IF(BN93="","",IF(_xlfn.MAXIFS(ЗАКАЗЫ!$AK$3:$AK$500,ЗАКАЗЫ!$F$3:$F$500,$A93)=0,"",_xlfn.MAXIFS(ЗАКАЗЫ!$AK$3:$AK$500,ЗАКАЗЫ!$F$3:$F$500,$A93)))</f>
        <v/>
      </c>
    </row>
    <row r="94" customFormat="false" ht="15.75" hidden="false" customHeight="true" outlineLevel="0" collapsed="false">
      <c r="A94" s="80" t="s">
        <v>568</v>
      </c>
      <c r="B94" s="81"/>
      <c r="C94" s="81"/>
      <c r="D94" s="81"/>
      <c r="E94" s="83"/>
      <c r="F94" s="81"/>
      <c r="G94" s="83"/>
      <c r="H94" s="83"/>
      <c r="I94" s="84" t="str">
        <f aca="false">IF(E94="","",A94&amp;"_1.jpg")</f>
        <v/>
      </c>
      <c r="J94" s="84" t="str">
        <f aca="false">IF(E94="","",A94&amp;"_2.jpg; "&amp;A94&amp;"_3.jpg")</f>
        <v/>
      </c>
      <c r="K94" s="84" t="str">
        <f aca="false">IF(E94="","",A94&amp;"_schema.jpg")</f>
        <v/>
      </c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 t="s">
        <v>261</v>
      </c>
      <c r="W94" s="81"/>
      <c r="X94" s="81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6" t="str">
        <f aca="false">IF(SUM(Y94:AJ94)=0,"",SUM(Y94:AJ94))</f>
        <v/>
      </c>
      <c r="AL94" s="84" t="str">
        <f aca="false">MID(IF(N(Y94)&gt;0,", "&amp;Y$2,"")&amp;IF(N(Z94)&gt;0,", "&amp;Z$2,"")&amp;IF(N(AA94)&gt;0,", "&amp;AA$2,"")&amp;IF(N(AB94)&gt;0,", "&amp;AB$2,"")&amp;IF(N(AC94)&gt;0,", "&amp;AC$2,"")&amp;IF(N(AD94)&gt;0,", "&amp;AD$2,"")&amp;IF(N(AE94)&gt;0,", "&amp;AE$2,"")&amp;IF(N(AF94)&gt;0,", "&amp;AF$2,"")&amp;IF(N(AG94)&gt;0,", "&amp;AG$2,"")&amp;IF(N(AH94)&gt;0,", "&amp;AH$2,"")&amp;IF(N(AI94)&gt;0,", "&amp;AI$2,"")&amp;IF(N(AJ94)&gt;0,", "&amp;AJ$2,""),3,999)</f>
        <v/>
      </c>
      <c r="AM94" s="87" t="str">
        <f aca="false">IF(E94="","",MID(IF(N(Y94)&gt;0,", "&amp;A94&amp;"-"&amp;Y$2,"")&amp;IF(N(Z94)&gt;0,", "&amp;A94&amp;"-"&amp;Z$2,"")&amp;IF(N(AA94)&gt;0,", "&amp;A94&amp;"-"&amp;AA$2,"")&amp;IF(N(AB94)&gt;0,", "&amp;A94&amp;"-"&amp;AB$2,"")&amp;IF(N(AC94)&gt;0,", "&amp;A94&amp;"-"&amp;AC$2,"")&amp;IF(N(AD94)&gt;0,", "&amp;A94&amp;"-"&amp;AD$2,"")&amp;IF(N(AE94)&gt;0,", "&amp;A94&amp;"-"&amp;AE$2,"")&amp;IF(N(AF94)&gt;0,", "&amp;A94&amp;"-"&amp;AF$2,"")&amp;IF(N(AG94)&gt;0,", "&amp;A94&amp;"-"&amp;AG$2,"")&amp;IF(N(AH94)&gt;0,", "&amp;A94&amp;"-"&amp;AH$2,"")&amp;IF(N(AI94)&gt;0,", "&amp;A94&amp;"-"&amp;AI$2,"")&amp;IF(N(AJ94)&gt;0,", "&amp;A94&amp;"-"&amp;AJ$2,""),3,999))</f>
        <v/>
      </c>
      <c r="AN94" s="81"/>
      <c r="AO94" s="88"/>
      <c r="AP94" s="89" t="str">
        <f aca="false">IF(AO94="","",ROUND(AO94/(1+Справочники!$B$13),2))</f>
        <v/>
      </c>
      <c r="AQ94" s="90" t="str">
        <f aca="false" t="array" ref="AQ94:AQ94">IF(AP94="","",AP94*INDEX(Справочники!$B$4:$B$7,MATCH("RUB",Справочники!$A$4:$A$7,0)))</f>
        <v/>
      </c>
      <c r="AR94" s="90" t="str">
        <f aca="false">IF(AQ94="","",ROUND(AQ94*(1+Справочники!$B$12),0))</f>
        <v/>
      </c>
      <c r="AS94" s="90" t="str">
        <f aca="false">IF(AR94="","",ROUND(AR94*(1-Справочники!$B$11),0))</f>
        <v/>
      </c>
      <c r="AT94" s="88"/>
      <c r="AU94" s="90" t="str">
        <f aca="false">IF(AT94="","",ROUND(AT94/(1+Справочники!$B$12),0))</f>
        <v/>
      </c>
      <c r="AV94" s="90" t="str">
        <f aca="false">IF(AT94="","",ROUND(AT94*(1-Справочники!$B$15),0))</f>
        <v/>
      </c>
      <c r="AW94" s="90" t="str">
        <f aca="false">IF(AT94="","",ROUND(AT94*(1-Справочники!$B$16),0))</f>
        <v/>
      </c>
      <c r="AX94" s="90" t="str">
        <f aca="false">IF(AT94="","",ROUND(AT94*(1-Справочники!$B$17),0))</f>
        <v/>
      </c>
      <c r="AY94" s="90" t="str">
        <f aca="false">IF(AT94="","",ROUND(AT94*(1-Справочники!$B$18),0))</f>
        <v/>
      </c>
      <c r="AZ94" s="90" t="str">
        <f aca="false">IF(AT94="","",ROUND(AT94*(1-Справочники!$B$19),0))</f>
        <v/>
      </c>
      <c r="BA94" s="81"/>
      <c r="BB94" s="81"/>
      <c r="BC94" s="81"/>
      <c r="BD94" s="81"/>
      <c r="BE94" s="91"/>
      <c r="BF94" s="81" t="s">
        <v>103</v>
      </c>
      <c r="BG94" s="89" t="n">
        <f aca="false" t="array" ref="BG94:BG94">IF(BF94="","",IFERROR(INDEX(Справочники!$B$4:$B$7,MATCH(BF94,Справочники!$A$4:$A$7,0)),""))</f>
        <v>68.5</v>
      </c>
      <c r="BH94" s="90" t="str">
        <f aca="false">IF(N(BN94)&gt;0,ROUND(SUMIF(ЗАКАЗЫ!$F$3:$F$500,$A94,ЗАКАЗЫ!$Y$3:$Y$500)/BN94,0),IF(OR(BE94="",BG94=""),"",ROUND(BE94*BG94*(1+Справочники!$B$10),0)))</f>
        <v/>
      </c>
      <c r="BI94" s="92" t="str">
        <f aca="false">IF(OR(AU94="",BH94="",AU94=0),"",(AU94-BH94)/AU94)</f>
        <v/>
      </c>
      <c r="BJ94" s="81"/>
      <c r="BK94" s="83"/>
      <c r="BL94" s="43" t="str">
        <f aca="false">IFERROR(INDEX(ЗАКАЗЫ!$N$3:$N$500,MATCH($A94,ЗАКАЗЫ!$F$3:$F$500,0)),"")</f>
        <v/>
      </c>
      <c r="BM94" s="8" t="str">
        <f aca="false">IF(BL94="","",IFERROR(VLOOKUP(BL94,'ТН ВЭД'!$A$4:$C$40,3,0),""))</f>
        <v/>
      </c>
      <c r="BN94" s="7" t="str">
        <f aca="false">IF(COUNTIF(ЗАКАЗЫ!$F$3:$F$500,$A94)=0,"",SUMIF(ЗАКАЗЫ!$F$3:$F$500,$A94,ЗАКАЗЫ!$J$3:$J$500))</f>
        <v/>
      </c>
      <c r="BO94" s="7" t="str">
        <f aca="false">IF(BN94="","",SUMIF(ЗАКАЗЫ!$F$3:$F$500,$A94,ЗАКАЗЫ!$AL$3:$AL$500))</f>
        <v/>
      </c>
      <c r="BP94" s="7" t="str">
        <f aca="false">IF(BN94="","",BN94-BO94)</f>
        <v/>
      </c>
      <c r="BQ94" s="55" t="str">
        <f aca="false">IF(BN94="","",IF(BO94&gt;=BN94,"На складе",IF(BO94&gt;0,"Частично","Ждём")))</f>
        <v/>
      </c>
      <c r="BR94" s="43"/>
      <c r="BS94" s="47" t="str">
        <f aca="false">IF(BN94="","",IF(_xlfn.MAXIFS(ЗАКАЗЫ!$AK$3:$AK$500,ЗАКАЗЫ!$F$3:$F$500,$A94)=0,"",_xlfn.MAXIFS(ЗАКАЗЫ!$AK$3:$AK$500,ЗАКАЗЫ!$F$3:$F$500,$A94)))</f>
        <v/>
      </c>
    </row>
    <row r="95" customFormat="false" ht="15.75" hidden="false" customHeight="true" outlineLevel="0" collapsed="false">
      <c r="A95" s="80" t="s">
        <v>569</v>
      </c>
      <c r="B95" s="81"/>
      <c r="C95" s="81"/>
      <c r="D95" s="81"/>
      <c r="E95" s="83"/>
      <c r="F95" s="81"/>
      <c r="G95" s="83"/>
      <c r="H95" s="83"/>
      <c r="I95" s="84" t="str">
        <f aca="false">IF(E95="","",A95&amp;"_1.jpg")</f>
        <v/>
      </c>
      <c r="J95" s="84" t="str">
        <f aca="false">IF(E95="","",A95&amp;"_2.jpg; "&amp;A95&amp;"_3.jpg")</f>
        <v/>
      </c>
      <c r="K95" s="84" t="str">
        <f aca="false">IF(E95="","",A95&amp;"_schema.jpg")</f>
        <v/>
      </c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 t="s">
        <v>261</v>
      </c>
      <c r="W95" s="81"/>
      <c r="X95" s="81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6" t="str">
        <f aca="false">IF(SUM(Y95:AJ95)=0,"",SUM(Y95:AJ95))</f>
        <v/>
      </c>
      <c r="AL95" s="84" t="str">
        <f aca="false">MID(IF(N(Y95)&gt;0,", "&amp;Y$2,"")&amp;IF(N(Z95)&gt;0,", "&amp;Z$2,"")&amp;IF(N(AA95)&gt;0,", "&amp;AA$2,"")&amp;IF(N(AB95)&gt;0,", "&amp;AB$2,"")&amp;IF(N(AC95)&gt;0,", "&amp;AC$2,"")&amp;IF(N(AD95)&gt;0,", "&amp;AD$2,"")&amp;IF(N(AE95)&gt;0,", "&amp;AE$2,"")&amp;IF(N(AF95)&gt;0,", "&amp;AF$2,"")&amp;IF(N(AG95)&gt;0,", "&amp;AG$2,"")&amp;IF(N(AH95)&gt;0,", "&amp;AH$2,"")&amp;IF(N(AI95)&gt;0,", "&amp;AI$2,"")&amp;IF(N(AJ95)&gt;0,", "&amp;AJ$2,""),3,999)</f>
        <v/>
      </c>
      <c r="AM95" s="87" t="str">
        <f aca="false">IF(E95="","",MID(IF(N(Y95)&gt;0,", "&amp;A95&amp;"-"&amp;Y$2,"")&amp;IF(N(Z95)&gt;0,", "&amp;A95&amp;"-"&amp;Z$2,"")&amp;IF(N(AA95)&gt;0,", "&amp;A95&amp;"-"&amp;AA$2,"")&amp;IF(N(AB95)&gt;0,", "&amp;A95&amp;"-"&amp;AB$2,"")&amp;IF(N(AC95)&gt;0,", "&amp;A95&amp;"-"&amp;AC$2,"")&amp;IF(N(AD95)&gt;0,", "&amp;A95&amp;"-"&amp;AD$2,"")&amp;IF(N(AE95)&gt;0,", "&amp;A95&amp;"-"&amp;AE$2,"")&amp;IF(N(AF95)&gt;0,", "&amp;A95&amp;"-"&amp;AF$2,"")&amp;IF(N(AG95)&gt;0,", "&amp;A95&amp;"-"&amp;AG$2,"")&amp;IF(N(AH95)&gt;0,", "&amp;A95&amp;"-"&amp;AH$2,"")&amp;IF(N(AI95)&gt;0,", "&amp;A95&amp;"-"&amp;AI$2,"")&amp;IF(N(AJ95)&gt;0,", "&amp;A95&amp;"-"&amp;AJ$2,""),3,999))</f>
        <v/>
      </c>
      <c r="AN95" s="81"/>
      <c r="AO95" s="88"/>
      <c r="AP95" s="89" t="str">
        <f aca="false">IF(AO95="","",ROUND(AO95/(1+Справочники!$B$13),2))</f>
        <v/>
      </c>
      <c r="AQ95" s="90" t="str">
        <f aca="false" t="array" ref="AQ95:AQ95">IF(AP95="","",AP95*INDEX(Справочники!$B$4:$B$7,MATCH("RUB",Справочники!$A$4:$A$7,0)))</f>
        <v/>
      </c>
      <c r="AR95" s="90" t="str">
        <f aca="false">IF(AQ95="","",ROUND(AQ95*(1+Справочники!$B$12),0))</f>
        <v/>
      </c>
      <c r="AS95" s="90" t="str">
        <f aca="false">IF(AR95="","",ROUND(AR95*(1-Справочники!$B$11),0))</f>
        <v/>
      </c>
      <c r="AT95" s="88"/>
      <c r="AU95" s="90" t="str">
        <f aca="false">IF(AT95="","",ROUND(AT95/(1+Справочники!$B$12),0))</f>
        <v/>
      </c>
      <c r="AV95" s="90" t="str">
        <f aca="false">IF(AT95="","",ROUND(AT95*(1-Справочники!$B$15),0))</f>
        <v/>
      </c>
      <c r="AW95" s="90" t="str">
        <f aca="false">IF(AT95="","",ROUND(AT95*(1-Справочники!$B$16),0))</f>
        <v/>
      </c>
      <c r="AX95" s="90" t="str">
        <f aca="false">IF(AT95="","",ROUND(AT95*(1-Справочники!$B$17),0))</f>
        <v/>
      </c>
      <c r="AY95" s="90" t="str">
        <f aca="false">IF(AT95="","",ROUND(AT95*(1-Справочники!$B$18),0))</f>
        <v/>
      </c>
      <c r="AZ95" s="90" t="str">
        <f aca="false">IF(AT95="","",ROUND(AT95*(1-Справочники!$B$19),0))</f>
        <v/>
      </c>
      <c r="BA95" s="81"/>
      <c r="BB95" s="81"/>
      <c r="BC95" s="81"/>
      <c r="BD95" s="81"/>
      <c r="BE95" s="91"/>
      <c r="BF95" s="81" t="s">
        <v>103</v>
      </c>
      <c r="BG95" s="89" t="n">
        <f aca="false" t="array" ref="BG95:BG95">IF(BF95="","",IFERROR(INDEX(Справочники!$B$4:$B$7,MATCH(BF95,Справочники!$A$4:$A$7,0)),""))</f>
        <v>68.5</v>
      </c>
      <c r="BH95" s="90" t="str">
        <f aca="false">IF(N(BN95)&gt;0,ROUND(SUMIF(ЗАКАЗЫ!$F$3:$F$500,$A95,ЗАКАЗЫ!$Y$3:$Y$500)/BN95,0),IF(OR(BE95="",BG95=""),"",ROUND(BE95*BG95*(1+Справочники!$B$10),0)))</f>
        <v/>
      </c>
      <c r="BI95" s="92" t="str">
        <f aca="false">IF(OR(AU95="",BH95="",AU95=0),"",(AU95-BH95)/AU95)</f>
        <v/>
      </c>
      <c r="BJ95" s="81"/>
      <c r="BK95" s="83"/>
      <c r="BL95" s="43" t="str">
        <f aca="false">IFERROR(INDEX(ЗАКАЗЫ!$N$3:$N$500,MATCH($A95,ЗАКАЗЫ!$F$3:$F$500,0)),"")</f>
        <v/>
      </c>
      <c r="BM95" s="8" t="str">
        <f aca="false">IF(BL95="","",IFERROR(VLOOKUP(BL95,'ТН ВЭД'!$A$4:$C$40,3,0),""))</f>
        <v/>
      </c>
      <c r="BN95" s="7" t="str">
        <f aca="false">IF(COUNTIF(ЗАКАЗЫ!$F$3:$F$500,$A95)=0,"",SUMIF(ЗАКАЗЫ!$F$3:$F$500,$A95,ЗАКАЗЫ!$J$3:$J$500))</f>
        <v/>
      </c>
      <c r="BO95" s="7" t="str">
        <f aca="false">IF(BN95="","",SUMIF(ЗАКАЗЫ!$F$3:$F$500,$A95,ЗАКАЗЫ!$AL$3:$AL$500))</f>
        <v/>
      </c>
      <c r="BP95" s="7" t="str">
        <f aca="false">IF(BN95="","",BN95-BO95)</f>
        <v/>
      </c>
      <c r="BQ95" s="55" t="str">
        <f aca="false">IF(BN95="","",IF(BO95&gt;=BN95,"На складе",IF(BO95&gt;0,"Частично","Ждём")))</f>
        <v/>
      </c>
      <c r="BR95" s="43"/>
      <c r="BS95" s="47" t="str">
        <f aca="false">IF(BN95="","",IF(_xlfn.MAXIFS(ЗАКАЗЫ!$AK$3:$AK$500,ЗАКАЗЫ!$F$3:$F$500,$A95)=0,"",_xlfn.MAXIFS(ЗАКАЗЫ!$AK$3:$AK$500,ЗАКАЗЫ!$F$3:$F$500,$A95)))</f>
        <v/>
      </c>
    </row>
    <row r="96" customFormat="false" ht="15.75" hidden="false" customHeight="true" outlineLevel="0" collapsed="false">
      <c r="A96" s="80" t="s">
        <v>570</v>
      </c>
      <c r="B96" s="81"/>
      <c r="C96" s="81"/>
      <c r="D96" s="81"/>
      <c r="E96" s="83"/>
      <c r="F96" s="81"/>
      <c r="G96" s="83"/>
      <c r="H96" s="83"/>
      <c r="I96" s="84" t="str">
        <f aca="false">IF(E96="","",A96&amp;"_1.jpg")</f>
        <v/>
      </c>
      <c r="J96" s="84" t="str">
        <f aca="false">IF(E96="","",A96&amp;"_2.jpg; "&amp;A96&amp;"_3.jpg")</f>
        <v/>
      </c>
      <c r="K96" s="84" t="str">
        <f aca="false">IF(E96="","",A96&amp;"_schema.jpg")</f>
        <v/>
      </c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 t="s">
        <v>261</v>
      </c>
      <c r="W96" s="81"/>
      <c r="X96" s="81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6" t="str">
        <f aca="false">IF(SUM(Y96:AJ96)=0,"",SUM(Y96:AJ96))</f>
        <v/>
      </c>
      <c r="AL96" s="84" t="str">
        <f aca="false">MID(IF(N(Y96)&gt;0,", "&amp;Y$2,"")&amp;IF(N(Z96)&gt;0,", "&amp;Z$2,"")&amp;IF(N(AA96)&gt;0,", "&amp;AA$2,"")&amp;IF(N(AB96)&gt;0,", "&amp;AB$2,"")&amp;IF(N(AC96)&gt;0,", "&amp;AC$2,"")&amp;IF(N(AD96)&gt;0,", "&amp;AD$2,"")&amp;IF(N(AE96)&gt;0,", "&amp;AE$2,"")&amp;IF(N(AF96)&gt;0,", "&amp;AF$2,"")&amp;IF(N(AG96)&gt;0,", "&amp;AG$2,"")&amp;IF(N(AH96)&gt;0,", "&amp;AH$2,"")&amp;IF(N(AI96)&gt;0,", "&amp;AI$2,"")&amp;IF(N(AJ96)&gt;0,", "&amp;AJ$2,""),3,999)</f>
        <v/>
      </c>
      <c r="AM96" s="87" t="str">
        <f aca="false">IF(E96="","",MID(IF(N(Y96)&gt;0,", "&amp;A96&amp;"-"&amp;Y$2,"")&amp;IF(N(Z96)&gt;0,", "&amp;A96&amp;"-"&amp;Z$2,"")&amp;IF(N(AA96)&gt;0,", "&amp;A96&amp;"-"&amp;AA$2,"")&amp;IF(N(AB96)&gt;0,", "&amp;A96&amp;"-"&amp;AB$2,"")&amp;IF(N(AC96)&gt;0,", "&amp;A96&amp;"-"&amp;AC$2,"")&amp;IF(N(AD96)&gt;0,", "&amp;A96&amp;"-"&amp;AD$2,"")&amp;IF(N(AE96)&gt;0,", "&amp;A96&amp;"-"&amp;AE$2,"")&amp;IF(N(AF96)&gt;0,", "&amp;A96&amp;"-"&amp;AF$2,"")&amp;IF(N(AG96)&gt;0,", "&amp;A96&amp;"-"&amp;AG$2,"")&amp;IF(N(AH96)&gt;0,", "&amp;A96&amp;"-"&amp;AH$2,"")&amp;IF(N(AI96)&gt;0,", "&amp;A96&amp;"-"&amp;AI$2,"")&amp;IF(N(AJ96)&gt;0,", "&amp;A96&amp;"-"&amp;AJ$2,""),3,999))</f>
        <v/>
      </c>
      <c r="AN96" s="81"/>
      <c r="AO96" s="88"/>
      <c r="AP96" s="89" t="str">
        <f aca="false">IF(AO96="","",ROUND(AO96/(1+Справочники!$B$13),2))</f>
        <v/>
      </c>
      <c r="AQ96" s="90" t="str">
        <f aca="false" t="array" ref="AQ96:AQ96">IF(AP96="","",AP96*INDEX(Справочники!$B$4:$B$7,MATCH("RUB",Справочники!$A$4:$A$7,0)))</f>
        <v/>
      </c>
      <c r="AR96" s="90" t="str">
        <f aca="false">IF(AQ96="","",ROUND(AQ96*(1+Справочники!$B$12),0))</f>
        <v/>
      </c>
      <c r="AS96" s="90" t="str">
        <f aca="false">IF(AR96="","",ROUND(AR96*(1-Справочники!$B$11),0))</f>
        <v/>
      </c>
      <c r="AT96" s="88"/>
      <c r="AU96" s="90" t="str">
        <f aca="false">IF(AT96="","",ROUND(AT96/(1+Справочники!$B$12),0))</f>
        <v/>
      </c>
      <c r="AV96" s="90" t="str">
        <f aca="false">IF(AT96="","",ROUND(AT96*(1-Справочники!$B$15),0))</f>
        <v/>
      </c>
      <c r="AW96" s="90" t="str">
        <f aca="false">IF(AT96="","",ROUND(AT96*(1-Справочники!$B$16),0))</f>
        <v/>
      </c>
      <c r="AX96" s="90" t="str">
        <f aca="false">IF(AT96="","",ROUND(AT96*(1-Справочники!$B$17),0))</f>
        <v/>
      </c>
      <c r="AY96" s="90" t="str">
        <f aca="false">IF(AT96="","",ROUND(AT96*(1-Справочники!$B$18),0))</f>
        <v/>
      </c>
      <c r="AZ96" s="90" t="str">
        <f aca="false">IF(AT96="","",ROUND(AT96*(1-Справочники!$B$19),0))</f>
        <v/>
      </c>
      <c r="BA96" s="81"/>
      <c r="BB96" s="81"/>
      <c r="BC96" s="81"/>
      <c r="BD96" s="81"/>
      <c r="BE96" s="91"/>
      <c r="BF96" s="81" t="s">
        <v>103</v>
      </c>
      <c r="BG96" s="89" t="n">
        <f aca="false" t="array" ref="BG96:BG96">IF(BF96="","",IFERROR(INDEX(Справочники!$B$4:$B$7,MATCH(BF96,Справочники!$A$4:$A$7,0)),""))</f>
        <v>68.5</v>
      </c>
      <c r="BH96" s="90" t="str">
        <f aca="false">IF(N(BN96)&gt;0,ROUND(SUMIF(ЗАКАЗЫ!$F$3:$F$500,$A96,ЗАКАЗЫ!$Y$3:$Y$500)/BN96,0),IF(OR(BE96="",BG96=""),"",ROUND(BE96*BG96*(1+Справочники!$B$10),0)))</f>
        <v/>
      </c>
      <c r="BI96" s="92" t="str">
        <f aca="false">IF(OR(AU96="",BH96="",AU96=0),"",(AU96-BH96)/AU96)</f>
        <v/>
      </c>
      <c r="BJ96" s="81"/>
      <c r="BK96" s="83"/>
      <c r="BL96" s="43" t="str">
        <f aca="false">IFERROR(INDEX(ЗАКАЗЫ!$N$3:$N$500,MATCH($A96,ЗАКАЗЫ!$F$3:$F$500,0)),"")</f>
        <v/>
      </c>
      <c r="BM96" s="8" t="str">
        <f aca="false">IF(BL96="","",IFERROR(VLOOKUP(BL96,'ТН ВЭД'!$A$4:$C$40,3,0),""))</f>
        <v/>
      </c>
      <c r="BN96" s="7" t="str">
        <f aca="false">IF(COUNTIF(ЗАКАЗЫ!$F$3:$F$500,$A96)=0,"",SUMIF(ЗАКАЗЫ!$F$3:$F$500,$A96,ЗАКАЗЫ!$J$3:$J$500))</f>
        <v/>
      </c>
      <c r="BO96" s="7" t="str">
        <f aca="false">IF(BN96="","",SUMIF(ЗАКАЗЫ!$F$3:$F$500,$A96,ЗАКАЗЫ!$AL$3:$AL$500))</f>
        <v/>
      </c>
      <c r="BP96" s="7" t="str">
        <f aca="false">IF(BN96="","",BN96-BO96)</f>
        <v/>
      </c>
      <c r="BQ96" s="55" t="str">
        <f aca="false">IF(BN96="","",IF(BO96&gt;=BN96,"На складе",IF(BO96&gt;0,"Частично","Ждём")))</f>
        <v/>
      </c>
      <c r="BR96" s="43"/>
      <c r="BS96" s="47" t="str">
        <f aca="false">IF(BN96="","",IF(_xlfn.MAXIFS(ЗАКАЗЫ!$AK$3:$AK$500,ЗАКАЗЫ!$F$3:$F$500,$A96)=0,"",_xlfn.MAXIFS(ЗАКАЗЫ!$AK$3:$AK$500,ЗАКАЗЫ!$F$3:$F$500,$A96)))</f>
        <v/>
      </c>
    </row>
    <row r="97" customFormat="false" ht="15.75" hidden="false" customHeight="true" outlineLevel="0" collapsed="false">
      <c r="A97" s="80" t="s">
        <v>571</v>
      </c>
      <c r="B97" s="81"/>
      <c r="C97" s="81"/>
      <c r="D97" s="81"/>
      <c r="E97" s="83"/>
      <c r="F97" s="81"/>
      <c r="G97" s="83"/>
      <c r="H97" s="83"/>
      <c r="I97" s="84" t="str">
        <f aca="false">IF(E97="","",A97&amp;"_1.jpg")</f>
        <v/>
      </c>
      <c r="J97" s="84" t="str">
        <f aca="false">IF(E97="","",A97&amp;"_2.jpg; "&amp;A97&amp;"_3.jpg")</f>
        <v/>
      </c>
      <c r="K97" s="84" t="str">
        <f aca="false">IF(E97="","",A97&amp;"_schema.jpg")</f>
        <v/>
      </c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 t="s">
        <v>261</v>
      </c>
      <c r="W97" s="81"/>
      <c r="X97" s="81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6" t="str">
        <f aca="false">IF(SUM(Y97:AJ97)=0,"",SUM(Y97:AJ97))</f>
        <v/>
      </c>
      <c r="AL97" s="84" t="str">
        <f aca="false">MID(IF(N(Y97)&gt;0,", "&amp;Y$2,"")&amp;IF(N(Z97)&gt;0,", "&amp;Z$2,"")&amp;IF(N(AA97)&gt;0,", "&amp;AA$2,"")&amp;IF(N(AB97)&gt;0,", "&amp;AB$2,"")&amp;IF(N(AC97)&gt;0,", "&amp;AC$2,"")&amp;IF(N(AD97)&gt;0,", "&amp;AD$2,"")&amp;IF(N(AE97)&gt;0,", "&amp;AE$2,"")&amp;IF(N(AF97)&gt;0,", "&amp;AF$2,"")&amp;IF(N(AG97)&gt;0,", "&amp;AG$2,"")&amp;IF(N(AH97)&gt;0,", "&amp;AH$2,"")&amp;IF(N(AI97)&gt;0,", "&amp;AI$2,"")&amp;IF(N(AJ97)&gt;0,", "&amp;AJ$2,""),3,999)</f>
        <v/>
      </c>
      <c r="AM97" s="87" t="str">
        <f aca="false">IF(E97="","",MID(IF(N(Y97)&gt;0,", "&amp;A97&amp;"-"&amp;Y$2,"")&amp;IF(N(Z97)&gt;0,", "&amp;A97&amp;"-"&amp;Z$2,"")&amp;IF(N(AA97)&gt;0,", "&amp;A97&amp;"-"&amp;AA$2,"")&amp;IF(N(AB97)&gt;0,", "&amp;A97&amp;"-"&amp;AB$2,"")&amp;IF(N(AC97)&gt;0,", "&amp;A97&amp;"-"&amp;AC$2,"")&amp;IF(N(AD97)&gt;0,", "&amp;A97&amp;"-"&amp;AD$2,"")&amp;IF(N(AE97)&gt;0,", "&amp;A97&amp;"-"&amp;AE$2,"")&amp;IF(N(AF97)&gt;0,", "&amp;A97&amp;"-"&amp;AF$2,"")&amp;IF(N(AG97)&gt;0,", "&amp;A97&amp;"-"&amp;AG$2,"")&amp;IF(N(AH97)&gt;0,", "&amp;A97&amp;"-"&amp;AH$2,"")&amp;IF(N(AI97)&gt;0,", "&amp;A97&amp;"-"&amp;AI$2,"")&amp;IF(N(AJ97)&gt;0,", "&amp;A97&amp;"-"&amp;AJ$2,""),3,999))</f>
        <v/>
      </c>
      <c r="AN97" s="81"/>
      <c r="AO97" s="88"/>
      <c r="AP97" s="89" t="str">
        <f aca="false">IF(AO97="","",ROUND(AO97/(1+Справочники!$B$13),2))</f>
        <v/>
      </c>
      <c r="AQ97" s="90" t="str">
        <f aca="false" t="array" ref="AQ97:AQ97">IF(AP97="","",AP97*INDEX(Справочники!$B$4:$B$7,MATCH("RUB",Справочники!$A$4:$A$7,0)))</f>
        <v/>
      </c>
      <c r="AR97" s="90" t="str">
        <f aca="false">IF(AQ97="","",ROUND(AQ97*(1+Справочники!$B$12),0))</f>
        <v/>
      </c>
      <c r="AS97" s="90" t="str">
        <f aca="false">IF(AR97="","",ROUND(AR97*(1-Справочники!$B$11),0))</f>
        <v/>
      </c>
      <c r="AT97" s="88"/>
      <c r="AU97" s="90" t="str">
        <f aca="false">IF(AT97="","",ROUND(AT97/(1+Справочники!$B$12),0))</f>
        <v/>
      </c>
      <c r="AV97" s="90" t="str">
        <f aca="false">IF(AT97="","",ROUND(AT97*(1-Справочники!$B$15),0))</f>
        <v/>
      </c>
      <c r="AW97" s="90" t="str">
        <f aca="false">IF(AT97="","",ROUND(AT97*(1-Справочники!$B$16),0))</f>
        <v/>
      </c>
      <c r="AX97" s="90" t="str">
        <f aca="false">IF(AT97="","",ROUND(AT97*(1-Справочники!$B$17),0))</f>
        <v/>
      </c>
      <c r="AY97" s="90" t="str">
        <f aca="false">IF(AT97="","",ROUND(AT97*(1-Справочники!$B$18),0))</f>
        <v/>
      </c>
      <c r="AZ97" s="90" t="str">
        <f aca="false">IF(AT97="","",ROUND(AT97*(1-Справочники!$B$19),0))</f>
        <v/>
      </c>
      <c r="BA97" s="81"/>
      <c r="BB97" s="81"/>
      <c r="BC97" s="81"/>
      <c r="BD97" s="81"/>
      <c r="BE97" s="91"/>
      <c r="BF97" s="81" t="s">
        <v>103</v>
      </c>
      <c r="BG97" s="89" t="n">
        <f aca="false" t="array" ref="BG97:BG97">IF(BF97="","",IFERROR(INDEX(Справочники!$B$4:$B$7,MATCH(BF97,Справочники!$A$4:$A$7,0)),""))</f>
        <v>68.5</v>
      </c>
      <c r="BH97" s="90" t="str">
        <f aca="false">IF(N(BN97)&gt;0,ROUND(SUMIF(ЗАКАЗЫ!$F$3:$F$500,$A97,ЗАКАЗЫ!$Y$3:$Y$500)/BN97,0),IF(OR(BE97="",BG97=""),"",ROUND(BE97*BG97*(1+Справочники!$B$10),0)))</f>
        <v/>
      </c>
      <c r="BI97" s="92" t="str">
        <f aca="false">IF(OR(AU97="",BH97="",AU97=0),"",(AU97-BH97)/AU97)</f>
        <v/>
      </c>
      <c r="BJ97" s="81"/>
      <c r="BK97" s="83"/>
      <c r="BL97" s="43" t="str">
        <f aca="false">IFERROR(INDEX(ЗАКАЗЫ!$N$3:$N$500,MATCH($A97,ЗАКАЗЫ!$F$3:$F$500,0)),"")</f>
        <v/>
      </c>
      <c r="BM97" s="8" t="str">
        <f aca="false">IF(BL97="","",IFERROR(VLOOKUP(BL97,'ТН ВЭД'!$A$4:$C$40,3,0),""))</f>
        <v/>
      </c>
      <c r="BN97" s="7" t="str">
        <f aca="false">IF(COUNTIF(ЗАКАЗЫ!$F$3:$F$500,$A97)=0,"",SUMIF(ЗАКАЗЫ!$F$3:$F$500,$A97,ЗАКАЗЫ!$J$3:$J$500))</f>
        <v/>
      </c>
      <c r="BO97" s="7" t="str">
        <f aca="false">IF(BN97="","",SUMIF(ЗАКАЗЫ!$F$3:$F$500,$A97,ЗАКАЗЫ!$AL$3:$AL$500))</f>
        <v/>
      </c>
      <c r="BP97" s="7" t="str">
        <f aca="false">IF(BN97="","",BN97-BO97)</f>
        <v/>
      </c>
      <c r="BQ97" s="55" t="str">
        <f aca="false">IF(BN97="","",IF(BO97&gt;=BN97,"На складе",IF(BO97&gt;0,"Частично","Ждём")))</f>
        <v/>
      </c>
      <c r="BR97" s="43"/>
      <c r="BS97" s="47" t="str">
        <f aca="false">IF(BN97="","",IF(_xlfn.MAXIFS(ЗАКАЗЫ!$AK$3:$AK$500,ЗАКАЗЫ!$F$3:$F$500,$A97)=0,"",_xlfn.MAXIFS(ЗАКАЗЫ!$AK$3:$AK$500,ЗАКАЗЫ!$F$3:$F$500,$A97)))</f>
        <v/>
      </c>
    </row>
    <row r="98" customFormat="false" ht="15.75" hidden="false" customHeight="true" outlineLevel="0" collapsed="false">
      <c r="A98" s="80" t="s">
        <v>572</v>
      </c>
      <c r="B98" s="81"/>
      <c r="C98" s="81"/>
      <c r="D98" s="81"/>
      <c r="E98" s="83"/>
      <c r="F98" s="81"/>
      <c r="G98" s="83"/>
      <c r="H98" s="83"/>
      <c r="I98" s="84" t="str">
        <f aca="false">IF(E98="","",A98&amp;"_1.jpg")</f>
        <v/>
      </c>
      <c r="J98" s="84" t="str">
        <f aca="false">IF(E98="","",A98&amp;"_2.jpg; "&amp;A98&amp;"_3.jpg")</f>
        <v/>
      </c>
      <c r="K98" s="84" t="str">
        <f aca="false">IF(E98="","",A98&amp;"_schema.jpg")</f>
        <v/>
      </c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 t="s">
        <v>261</v>
      </c>
      <c r="W98" s="81"/>
      <c r="X98" s="81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6" t="str">
        <f aca="false">IF(SUM(Y98:AJ98)=0,"",SUM(Y98:AJ98))</f>
        <v/>
      </c>
      <c r="AL98" s="84" t="str">
        <f aca="false">MID(IF(N(Y98)&gt;0,", "&amp;Y$2,"")&amp;IF(N(Z98)&gt;0,", "&amp;Z$2,"")&amp;IF(N(AA98)&gt;0,", "&amp;AA$2,"")&amp;IF(N(AB98)&gt;0,", "&amp;AB$2,"")&amp;IF(N(AC98)&gt;0,", "&amp;AC$2,"")&amp;IF(N(AD98)&gt;0,", "&amp;AD$2,"")&amp;IF(N(AE98)&gt;0,", "&amp;AE$2,"")&amp;IF(N(AF98)&gt;0,", "&amp;AF$2,"")&amp;IF(N(AG98)&gt;0,", "&amp;AG$2,"")&amp;IF(N(AH98)&gt;0,", "&amp;AH$2,"")&amp;IF(N(AI98)&gt;0,", "&amp;AI$2,"")&amp;IF(N(AJ98)&gt;0,", "&amp;AJ$2,""),3,999)</f>
        <v/>
      </c>
      <c r="AM98" s="87" t="str">
        <f aca="false">IF(E98="","",MID(IF(N(Y98)&gt;0,", "&amp;A98&amp;"-"&amp;Y$2,"")&amp;IF(N(Z98)&gt;0,", "&amp;A98&amp;"-"&amp;Z$2,"")&amp;IF(N(AA98)&gt;0,", "&amp;A98&amp;"-"&amp;AA$2,"")&amp;IF(N(AB98)&gt;0,", "&amp;A98&amp;"-"&amp;AB$2,"")&amp;IF(N(AC98)&gt;0,", "&amp;A98&amp;"-"&amp;AC$2,"")&amp;IF(N(AD98)&gt;0,", "&amp;A98&amp;"-"&amp;AD$2,"")&amp;IF(N(AE98)&gt;0,", "&amp;A98&amp;"-"&amp;AE$2,"")&amp;IF(N(AF98)&gt;0,", "&amp;A98&amp;"-"&amp;AF$2,"")&amp;IF(N(AG98)&gt;0,", "&amp;A98&amp;"-"&amp;AG$2,"")&amp;IF(N(AH98)&gt;0,", "&amp;A98&amp;"-"&amp;AH$2,"")&amp;IF(N(AI98)&gt;0,", "&amp;A98&amp;"-"&amp;AI$2,"")&amp;IF(N(AJ98)&gt;0,", "&amp;A98&amp;"-"&amp;AJ$2,""),3,999))</f>
        <v/>
      </c>
      <c r="AN98" s="81"/>
      <c r="AO98" s="88"/>
      <c r="AP98" s="89" t="str">
        <f aca="false">IF(AO98="","",ROUND(AO98/(1+Справочники!$B$13),2))</f>
        <v/>
      </c>
      <c r="AQ98" s="90" t="str">
        <f aca="false" t="array" ref="AQ98:AQ98">IF(AP98="","",AP98*INDEX(Справочники!$B$4:$B$7,MATCH("RUB",Справочники!$A$4:$A$7,0)))</f>
        <v/>
      </c>
      <c r="AR98" s="90" t="str">
        <f aca="false">IF(AQ98="","",ROUND(AQ98*(1+Справочники!$B$12),0))</f>
        <v/>
      </c>
      <c r="AS98" s="90" t="str">
        <f aca="false">IF(AR98="","",ROUND(AR98*(1-Справочники!$B$11),0))</f>
        <v/>
      </c>
      <c r="AT98" s="88"/>
      <c r="AU98" s="90" t="str">
        <f aca="false">IF(AT98="","",ROUND(AT98/(1+Справочники!$B$12),0))</f>
        <v/>
      </c>
      <c r="AV98" s="90" t="str">
        <f aca="false">IF(AT98="","",ROUND(AT98*(1-Справочники!$B$15),0))</f>
        <v/>
      </c>
      <c r="AW98" s="90" t="str">
        <f aca="false">IF(AT98="","",ROUND(AT98*(1-Справочники!$B$16),0))</f>
        <v/>
      </c>
      <c r="AX98" s="90" t="str">
        <f aca="false">IF(AT98="","",ROUND(AT98*(1-Справочники!$B$17),0))</f>
        <v/>
      </c>
      <c r="AY98" s="90" t="str">
        <f aca="false">IF(AT98="","",ROUND(AT98*(1-Справочники!$B$18),0))</f>
        <v/>
      </c>
      <c r="AZ98" s="90" t="str">
        <f aca="false">IF(AT98="","",ROUND(AT98*(1-Справочники!$B$19),0))</f>
        <v/>
      </c>
      <c r="BA98" s="81"/>
      <c r="BB98" s="81"/>
      <c r="BC98" s="81"/>
      <c r="BD98" s="81"/>
      <c r="BE98" s="91"/>
      <c r="BF98" s="81" t="s">
        <v>103</v>
      </c>
      <c r="BG98" s="89" t="n">
        <f aca="false" t="array" ref="BG98:BG98">IF(BF98="","",IFERROR(INDEX(Справочники!$B$4:$B$7,MATCH(BF98,Справочники!$A$4:$A$7,0)),""))</f>
        <v>68.5</v>
      </c>
      <c r="BH98" s="90" t="str">
        <f aca="false">IF(N(BN98)&gt;0,ROUND(SUMIF(ЗАКАЗЫ!$F$3:$F$500,$A98,ЗАКАЗЫ!$Y$3:$Y$500)/BN98,0),IF(OR(BE98="",BG98=""),"",ROUND(BE98*BG98*(1+Справочники!$B$10),0)))</f>
        <v/>
      </c>
      <c r="BI98" s="92" t="str">
        <f aca="false">IF(OR(AU98="",BH98="",AU98=0),"",(AU98-BH98)/AU98)</f>
        <v/>
      </c>
      <c r="BJ98" s="81"/>
      <c r="BK98" s="83"/>
      <c r="BL98" s="43" t="str">
        <f aca="false">IFERROR(INDEX(ЗАКАЗЫ!$N$3:$N$500,MATCH($A98,ЗАКАЗЫ!$F$3:$F$500,0)),"")</f>
        <v/>
      </c>
      <c r="BM98" s="8" t="str">
        <f aca="false">IF(BL98="","",IFERROR(VLOOKUP(BL98,'ТН ВЭД'!$A$4:$C$40,3,0),""))</f>
        <v/>
      </c>
      <c r="BN98" s="7" t="str">
        <f aca="false">IF(COUNTIF(ЗАКАЗЫ!$F$3:$F$500,$A98)=0,"",SUMIF(ЗАКАЗЫ!$F$3:$F$500,$A98,ЗАКАЗЫ!$J$3:$J$500))</f>
        <v/>
      </c>
      <c r="BO98" s="7" t="str">
        <f aca="false">IF(BN98="","",SUMIF(ЗАКАЗЫ!$F$3:$F$500,$A98,ЗАКАЗЫ!$AL$3:$AL$500))</f>
        <v/>
      </c>
      <c r="BP98" s="7" t="str">
        <f aca="false">IF(BN98="","",BN98-BO98)</f>
        <v/>
      </c>
      <c r="BQ98" s="55" t="str">
        <f aca="false">IF(BN98="","",IF(BO98&gt;=BN98,"На складе",IF(BO98&gt;0,"Частично","Ждём")))</f>
        <v/>
      </c>
      <c r="BR98" s="43"/>
      <c r="BS98" s="47" t="str">
        <f aca="false">IF(BN98="","",IF(_xlfn.MAXIFS(ЗАКАЗЫ!$AK$3:$AK$500,ЗАКАЗЫ!$F$3:$F$500,$A98)=0,"",_xlfn.MAXIFS(ЗАКАЗЫ!$AK$3:$AK$500,ЗАКАЗЫ!$F$3:$F$500,$A98)))</f>
        <v/>
      </c>
    </row>
    <row r="99" customFormat="false" ht="15.75" hidden="false" customHeight="true" outlineLevel="0" collapsed="false">
      <c r="A99" s="80" t="s">
        <v>573</v>
      </c>
      <c r="B99" s="81"/>
      <c r="C99" s="81"/>
      <c r="D99" s="81"/>
      <c r="E99" s="83"/>
      <c r="F99" s="81"/>
      <c r="G99" s="83"/>
      <c r="H99" s="83"/>
      <c r="I99" s="84" t="str">
        <f aca="false">IF(E99="","",A99&amp;"_1.jpg")</f>
        <v/>
      </c>
      <c r="J99" s="84" t="str">
        <f aca="false">IF(E99="","",A99&amp;"_2.jpg; "&amp;A99&amp;"_3.jpg")</f>
        <v/>
      </c>
      <c r="K99" s="84" t="str">
        <f aca="false">IF(E99="","",A99&amp;"_schema.jpg")</f>
        <v/>
      </c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 t="s">
        <v>261</v>
      </c>
      <c r="W99" s="81"/>
      <c r="X99" s="81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6" t="str">
        <f aca="false">IF(SUM(Y99:AJ99)=0,"",SUM(Y99:AJ99))</f>
        <v/>
      </c>
      <c r="AL99" s="84" t="str">
        <f aca="false">MID(IF(N(Y99)&gt;0,", "&amp;Y$2,"")&amp;IF(N(Z99)&gt;0,", "&amp;Z$2,"")&amp;IF(N(AA99)&gt;0,", "&amp;AA$2,"")&amp;IF(N(AB99)&gt;0,", "&amp;AB$2,"")&amp;IF(N(AC99)&gt;0,", "&amp;AC$2,"")&amp;IF(N(AD99)&gt;0,", "&amp;AD$2,"")&amp;IF(N(AE99)&gt;0,", "&amp;AE$2,"")&amp;IF(N(AF99)&gt;0,", "&amp;AF$2,"")&amp;IF(N(AG99)&gt;0,", "&amp;AG$2,"")&amp;IF(N(AH99)&gt;0,", "&amp;AH$2,"")&amp;IF(N(AI99)&gt;0,", "&amp;AI$2,"")&amp;IF(N(AJ99)&gt;0,", "&amp;AJ$2,""),3,999)</f>
        <v/>
      </c>
      <c r="AM99" s="87" t="str">
        <f aca="false">IF(E99="","",MID(IF(N(Y99)&gt;0,", "&amp;A99&amp;"-"&amp;Y$2,"")&amp;IF(N(Z99)&gt;0,", "&amp;A99&amp;"-"&amp;Z$2,"")&amp;IF(N(AA99)&gt;0,", "&amp;A99&amp;"-"&amp;AA$2,"")&amp;IF(N(AB99)&gt;0,", "&amp;A99&amp;"-"&amp;AB$2,"")&amp;IF(N(AC99)&gt;0,", "&amp;A99&amp;"-"&amp;AC$2,"")&amp;IF(N(AD99)&gt;0,", "&amp;A99&amp;"-"&amp;AD$2,"")&amp;IF(N(AE99)&gt;0,", "&amp;A99&amp;"-"&amp;AE$2,"")&amp;IF(N(AF99)&gt;0,", "&amp;A99&amp;"-"&amp;AF$2,"")&amp;IF(N(AG99)&gt;0,", "&amp;A99&amp;"-"&amp;AG$2,"")&amp;IF(N(AH99)&gt;0,", "&amp;A99&amp;"-"&amp;AH$2,"")&amp;IF(N(AI99)&gt;0,", "&amp;A99&amp;"-"&amp;AI$2,"")&amp;IF(N(AJ99)&gt;0,", "&amp;A99&amp;"-"&amp;AJ$2,""),3,999))</f>
        <v/>
      </c>
      <c r="AN99" s="81"/>
      <c r="AO99" s="88"/>
      <c r="AP99" s="89" t="str">
        <f aca="false">IF(AO99="","",ROUND(AO99/(1+Справочники!$B$13),2))</f>
        <v/>
      </c>
      <c r="AQ99" s="90" t="str">
        <f aca="false" t="array" ref="AQ99:AQ99">IF(AP99="","",AP99*INDEX(Справочники!$B$4:$B$7,MATCH("RUB",Справочники!$A$4:$A$7,0)))</f>
        <v/>
      </c>
      <c r="AR99" s="90" t="str">
        <f aca="false">IF(AQ99="","",ROUND(AQ99*(1+Справочники!$B$12),0))</f>
        <v/>
      </c>
      <c r="AS99" s="90" t="str">
        <f aca="false">IF(AR99="","",ROUND(AR99*(1-Справочники!$B$11),0))</f>
        <v/>
      </c>
      <c r="AT99" s="88"/>
      <c r="AU99" s="90" t="str">
        <f aca="false">IF(AT99="","",ROUND(AT99/(1+Справочники!$B$12),0))</f>
        <v/>
      </c>
      <c r="AV99" s="90" t="str">
        <f aca="false">IF(AT99="","",ROUND(AT99*(1-Справочники!$B$15),0))</f>
        <v/>
      </c>
      <c r="AW99" s="90" t="str">
        <f aca="false">IF(AT99="","",ROUND(AT99*(1-Справочники!$B$16),0))</f>
        <v/>
      </c>
      <c r="AX99" s="90" t="str">
        <f aca="false">IF(AT99="","",ROUND(AT99*(1-Справочники!$B$17),0))</f>
        <v/>
      </c>
      <c r="AY99" s="90" t="str">
        <f aca="false">IF(AT99="","",ROUND(AT99*(1-Справочники!$B$18),0))</f>
        <v/>
      </c>
      <c r="AZ99" s="90" t="str">
        <f aca="false">IF(AT99="","",ROUND(AT99*(1-Справочники!$B$19),0))</f>
        <v/>
      </c>
      <c r="BA99" s="81"/>
      <c r="BB99" s="81"/>
      <c r="BC99" s="81"/>
      <c r="BD99" s="81"/>
      <c r="BE99" s="91"/>
      <c r="BF99" s="81" t="s">
        <v>103</v>
      </c>
      <c r="BG99" s="89" t="n">
        <f aca="false" t="array" ref="BG99:BG99">IF(BF99="","",IFERROR(INDEX(Справочники!$B$4:$B$7,MATCH(BF99,Справочники!$A$4:$A$7,0)),""))</f>
        <v>68.5</v>
      </c>
      <c r="BH99" s="90" t="str">
        <f aca="false">IF(N(BN99)&gt;0,ROUND(SUMIF(ЗАКАЗЫ!$F$3:$F$500,$A99,ЗАКАЗЫ!$Y$3:$Y$500)/BN99,0),IF(OR(BE99="",BG99=""),"",ROUND(BE99*BG99*(1+Справочники!$B$10),0)))</f>
        <v/>
      </c>
      <c r="BI99" s="92" t="str">
        <f aca="false">IF(OR(AU99="",BH99="",AU99=0),"",(AU99-BH99)/AU99)</f>
        <v/>
      </c>
      <c r="BJ99" s="81"/>
      <c r="BK99" s="83"/>
      <c r="BL99" s="43" t="str">
        <f aca="false">IFERROR(INDEX(ЗАКАЗЫ!$N$3:$N$500,MATCH($A99,ЗАКАЗЫ!$F$3:$F$500,0)),"")</f>
        <v/>
      </c>
      <c r="BM99" s="8" t="str">
        <f aca="false">IF(BL99="","",IFERROR(VLOOKUP(BL99,'ТН ВЭД'!$A$4:$C$40,3,0),""))</f>
        <v/>
      </c>
      <c r="BN99" s="7" t="str">
        <f aca="false">IF(COUNTIF(ЗАКАЗЫ!$F$3:$F$500,$A99)=0,"",SUMIF(ЗАКАЗЫ!$F$3:$F$500,$A99,ЗАКАЗЫ!$J$3:$J$500))</f>
        <v/>
      </c>
      <c r="BO99" s="7" t="str">
        <f aca="false">IF(BN99="","",SUMIF(ЗАКАЗЫ!$F$3:$F$500,$A99,ЗАКАЗЫ!$AL$3:$AL$500))</f>
        <v/>
      </c>
      <c r="BP99" s="7" t="str">
        <f aca="false">IF(BN99="","",BN99-BO99)</f>
        <v/>
      </c>
      <c r="BQ99" s="55" t="str">
        <f aca="false">IF(BN99="","",IF(BO99&gt;=BN99,"На складе",IF(BO99&gt;0,"Частично","Ждём")))</f>
        <v/>
      </c>
      <c r="BR99" s="43"/>
      <c r="BS99" s="47" t="str">
        <f aca="false">IF(BN99="","",IF(_xlfn.MAXIFS(ЗАКАЗЫ!$AK$3:$AK$500,ЗАКАЗЫ!$F$3:$F$500,$A99)=0,"",_xlfn.MAXIFS(ЗАКАЗЫ!$AK$3:$AK$500,ЗАКАЗЫ!$F$3:$F$500,$A99)))</f>
        <v/>
      </c>
    </row>
    <row r="100" customFormat="false" ht="15.75" hidden="false" customHeight="true" outlineLevel="0" collapsed="false">
      <c r="A100" s="80" t="s">
        <v>574</v>
      </c>
      <c r="B100" s="81"/>
      <c r="C100" s="81"/>
      <c r="D100" s="81"/>
      <c r="E100" s="83"/>
      <c r="F100" s="81"/>
      <c r="G100" s="83"/>
      <c r="H100" s="83"/>
      <c r="I100" s="84" t="str">
        <f aca="false">IF(E100="","",A100&amp;"_1.jpg")</f>
        <v/>
      </c>
      <c r="J100" s="84" t="str">
        <f aca="false">IF(E100="","",A100&amp;"_2.jpg; "&amp;A100&amp;"_3.jpg")</f>
        <v/>
      </c>
      <c r="K100" s="84" t="str">
        <f aca="false">IF(E100="","",A100&amp;"_schema.jpg")</f>
        <v/>
      </c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 t="s">
        <v>261</v>
      </c>
      <c r="W100" s="81"/>
      <c r="X100" s="81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6" t="str">
        <f aca="false">IF(SUM(Y100:AJ100)=0,"",SUM(Y100:AJ100))</f>
        <v/>
      </c>
      <c r="AL100" s="84" t="str">
        <f aca="false">MID(IF(N(Y100)&gt;0,", "&amp;Y$2,"")&amp;IF(N(Z100)&gt;0,", "&amp;Z$2,"")&amp;IF(N(AA100)&gt;0,", "&amp;AA$2,"")&amp;IF(N(AB100)&gt;0,", "&amp;AB$2,"")&amp;IF(N(AC100)&gt;0,", "&amp;AC$2,"")&amp;IF(N(AD100)&gt;0,", "&amp;AD$2,"")&amp;IF(N(AE100)&gt;0,", "&amp;AE$2,"")&amp;IF(N(AF100)&gt;0,", "&amp;AF$2,"")&amp;IF(N(AG100)&gt;0,", "&amp;AG$2,"")&amp;IF(N(AH100)&gt;0,", "&amp;AH$2,"")&amp;IF(N(AI100)&gt;0,", "&amp;AI$2,"")&amp;IF(N(AJ100)&gt;0,", "&amp;AJ$2,""),3,999)</f>
        <v/>
      </c>
      <c r="AM100" s="87" t="str">
        <f aca="false">IF(E100="","",MID(IF(N(Y100)&gt;0,", "&amp;A100&amp;"-"&amp;Y$2,"")&amp;IF(N(Z100)&gt;0,", "&amp;A100&amp;"-"&amp;Z$2,"")&amp;IF(N(AA100)&gt;0,", "&amp;A100&amp;"-"&amp;AA$2,"")&amp;IF(N(AB100)&gt;0,", "&amp;A100&amp;"-"&amp;AB$2,"")&amp;IF(N(AC100)&gt;0,", "&amp;A100&amp;"-"&amp;AC$2,"")&amp;IF(N(AD100)&gt;0,", "&amp;A100&amp;"-"&amp;AD$2,"")&amp;IF(N(AE100)&gt;0,", "&amp;A100&amp;"-"&amp;AE$2,"")&amp;IF(N(AF100)&gt;0,", "&amp;A100&amp;"-"&amp;AF$2,"")&amp;IF(N(AG100)&gt;0,", "&amp;A100&amp;"-"&amp;AG$2,"")&amp;IF(N(AH100)&gt;0,", "&amp;A100&amp;"-"&amp;AH$2,"")&amp;IF(N(AI100)&gt;0,", "&amp;A100&amp;"-"&amp;AI$2,"")&amp;IF(N(AJ100)&gt;0,", "&amp;A100&amp;"-"&amp;AJ$2,""),3,999))</f>
        <v/>
      </c>
      <c r="AN100" s="81"/>
      <c r="AO100" s="88"/>
      <c r="AP100" s="89" t="str">
        <f aca="false">IF(AO100="","",ROUND(AO100/(1+Справочники!$B$13),2))</f>
        <v/>
      </c>
      <c r="AQ100" s="90" t="str">
        <f aca="false" t="array" ref="AQ100:AQ100">IF(AP100="","",AP100*INDEX(Справочники!$B$4:$B$7,MATCH("RUB",Справочники!$A$4:$A$7,0)))</f>
        <v/>
      </c>
      <c r="AR100" s="90" t="str">
        <f aca="false">IF(AQ100="","",ROUND(AQ100*(1+Справочники!$B$12),0))</f>
        <v/>
      </c>
      <c r="AS100" s="90" t="str">
        <f aca="false">IF(AR100="","",ROUND(AR100*(1-Справочники!$B$11),0))</f>
        <v/>
      </c>
      <c r="AT100" s="88"/>
      <c r="AU100" s="90" t="str">
        <f aca="false">IF(AT100="","",ROUND(AT100/(1+Справочники!$B$12),0))</f>
        <v/>
      </c>
      <c r="AV100" s="90" t="str">
        <f aca="false">IF(AT100="","",ROUND(AT100*(1-Справочники!$B$15),0))</f>
        <v/>
      </c>
      <c r="AW100" s="90" t="str">
        <f aca="false">IF(AT100="","",ROUND(AT100*(1-Справочники!$B$16),0))</f>
        <v/>
      </c>
      <c r="AX100" s="90" t="str">
        <f aca="false">IF(AT100="","",ROUND(AT100*(1-Справочники!$B$17),0))</f>
        <v/>
      </c>
      <c r="AY100" s="90" t="str">
        <f aca="false">IF(AT100="","",ROUND(AT100*(1-Справочники!$B$18),0))</f>
        <v/>
      </c>
      <c r="AZ100" s="90" t="str">
        <f aca="false">IF(AT100="","",ROUND(AT100*(1-Справочники!$B$19),0))</f>
        <v/>
      </c>
      <c r="BA100" s="81"/>
      <c r="BB100" s="81"/>
      <c r="BC100" s="81"/>
      <c r="BD100" s="81"/>
      <c r="BE100" s="91"/>
      <c r="BF100" s="81" t="s">
        <v>103</v>
      </c>
      <c r="BG100" s="89" t="n">
        <f aca="false" t="array" ref="BG100:BG100">IF(BF100="","",IFERROR(INDEX(Справочники!$B$4:$B$7,MATCH(BF100,Справочники!$A$4:$A$7,0)),""))</f>
        <v>68.5</v>
      </c>
      <c r="BH100" s="90" t="str">
        <f aca="false">IF(N(BN100)&gt;0,ROUND(SUMIF(ЗАКАЗЫ!$F$3:$F$500,$A100,ЗАКАЗЫ!$Y$3:$Y$500)/BN100,0),IF(OR(BE100="",BG100=""),"",ROUND(BE100*BG100*(1+Справочники!$B$10),0)))</f>
        <v/>
      </c>
      <c r="BI100" s="92" t="str">
        <f aca="false">IF(OR(AU100="",BH100="",AU100=0),"",(AU100-BH100)/AU100)</f>
        <v/>
      </c>
      <c r="BJ100" s="81"/>
      <c r="BK100" s="83"/>
      <c r="BL100" s="43" t="str">
        <f aca="false">IFERROR(INDEX(ЗАКАЗЫ!$N$3:$N$500,MATCH($A100,ЗАКАЗЫ!$F$3:$F$500,0)),"")</f>
        <v/>
      </c>
      <c r="BM100" s="8" t="str">
        <f aca="false">IF(BL100="","",IFERROR(VLOOKUP(BL100,'ТН ВЭД'!$A$4:$C$40,3,0),""))</f>
        <v/>
      </c>
      <c r="BN100" s="7" t="str">
        <f aca="false">IF(COUNTIF(ЗАКАЗЫ!$F$3:$F$500,$A100)=0,"",SUMIF(ЗАКАЗЫ!$F$3:$F$500,$A100,ЗАКАЗЫ!$J$3:$J$500))</f>
        <v/>
      </c>
      <c r="BO100" s="7" t="str">
        <f aca="false">IF(BN100="","",SUMIF(ЗАКАЗЫ!$F$3:$F$500,$A100,ЗАКАЗЫ!$AL$3:$AL$500))</f>
        <v/>
      </c>
      <c r="BP100" s="7" t="str">
        <f aca="false">IF(BN100="","",BN100-BO100)</f>
        <v/>
      </c>
      <c r="BQ100" s="55" t="str">
        <f aca="false">IF(BN100="","",IF(BO100&gt;=BN100,"На складе",IF(BO100&gt;0,"Частично","Ждём")))</f>
        <v/>
      </c>
      <c r="BR100" s="43"/>
      <c r="BS100" s="47" t="str">
        <f aca="false">IF(BN100="","",IF(_xlfn.MAXIFS(ЗАКАЗЫ!$AK$3:$AK$500,ЗАКАЗЫ!$F$3:$F$500,$A100)=0,"",_xlfn.MAXIFS(ЗАКАЗЫ!$AK$3:$AK$500,ЗАКАЗЫ!$F$3:$F$500,$A100)))</f>
        <v/>
      </c>
    </row>
    <row r="101" customFormat="false" ht="15.75" hidden="false" customHeight="true" outlineLevel="0" collapsed="false">
      <c r="A101" s="80" t="s">
        <v>575</v>
      </c>
      <c r="B101" s="81"/>
      <c r="C101" s="81"/>
      <c r="D101" s="81"/>
      <c r="E101" s="83"/>
      <c r="F101" s="81"/>
      <c r="G101" s="83"/>
      <c r="H101" s="83"/>
      <c r="I101" s="84" t="str">
        <f aca="false">IF(E101="","",A101&amp;"_1.jpg")</f>
        <v/>
      </c>
      <c r="J101" s="84" t="str">
        <f aca="false">IF(E101="","",A101&amp;"_2.jpg; "&amp;A101&amp;"_3.jpg")</f>
        <v/>
      </c>
      <c r="K101" s="84" t="str">
        <f aca="false">IF(E101="","",A101&amp;"_schema.jpg")</f>
        <v/>
      </c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 t="s">
        <v>261</v>
      </c>
      <c r="W101" s="81"/>
      <c r="X101" s="81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6" t="str">
        <f aca="false">IF(SUM(Y101:AJ101)=0,"",SUM(Y101:AJ101))</f>
        <v/>
      </c>
      <c r="AL101" s="84" t="str">
        <f aca="false">MID(IF(N(Y101)&gt;0,", "&amp;Y$2,"")&amp;IF(N(Z101)&gt;0,", "&amp;Z$2,"")&amp;IF(N(AA101)&gt;0,", "&amp;AA$2,"")&amp;IF(N(AB101)&gt;0,", "&amp;AB$2,"")&amp;IF(N(AC101)&gt;0,", "&amp;AC$2,"")&amp;IF(N(AD101)&gt;0,", "&amp;AD$2,"")&amp;IF(N(AE101)&gt;0,", "&amp;AE$2,"")&amp;IF(N(AF101)&gt;0,", "&amp;AF$2,"")&amp;IF(N(AG101)&gt;0,", "&amp;AG$2,"")&amp;IF(N(AH101)&gt;0,", "&amp;AH$2,"")&amp;IF(N(AI101)&gt;0,", "&amp;AI$2,"")&amp;IF(N(AJ101)&gt;0,", "&amp;AJ$2,""),3,999)</f>
        <v/>
      </c>
      <c r="AM101" s="87" t="str">
        <f aca="false">IF(E101="","",MID(IF(N(Y101)&gt;0,", "&amp;A101&amp;"-"&amp;Y$2,"")&amp;IF(N(Z101)&gt;0,", "&amp;A101&amp;"-"&amp;Z$2,"")&amp;IF(N(AA101)&gt;0,", "&amp;A101&amp;"-"&amp;AA$2,"")&amp;IF(N(AB101)&gt;0,", "&amp;A101&amp;"-"&amp;AB$2,"")&amp;IF(N(AC101)&gt;0,", "&amp;A101&amp;"-"&amp;AC$2,"")&amp;IF(N(AD101)&gt;0,", "&amp;A101&amp;"-"&amp;AD$2,"")&amp;IF(N(AE101)&gt;0,", "&amp;A101&amp;"-"&amp;AE$2,"")&amp;IF(N(AF101)&gt;0,", "&amp;A101&amp;"-"&amp;AF$2,"")&amp;IF(N(AG101)&gt;0,", "&amp;A101&amp;"-"&amp;AG$2,"")&amp;IF(N(AH101)&gt;0,", "&amp;A101&amp;"-"&amp;AH$2,"")&amp;IF(N(AI101)&gt;0,", "&amp;A101&amp;"-"&amp;AI$2,"")&amp;IF(N(AJ101)&gt;0,", "&amp;A101&amp;"-"&amp;AJ$2,""),3,999))</f>
        <v/>
      </c>
      <c r="AN101" s="81"/>
      <c r="AO101" s="88"/>
      <c r="AP101" s="89" t="str">
        <f aca="false">IF(AO101="","",ROUND(AO101/(1+Справочники!$B$13),2))</f>
        <v/>
      </c>
      <c r="AQ101" s="90" t="str">
        <f aca="false" t="array" ref="AQ101:AQ101">IF(AP101="","",AP101*INDEX(Справочники!$B$4:$B$7,MATCH("RUB",Справочники!$A$4:$A$7,0)))</f>
        <v/>
      </c>
      <c r="AR101" s="90" t="str">
        <f aca="false">IF(AQ101="","",ROUND(AQ101*(1+Справочники!$B$12),0))</f>
        <v/>
      </c>
      <c r="AS101" s="90" t="str">
        <f aca="false">IF(AR101="","",ROUND(AR101*(1-Справочники!$B$11),0))</f>
        <v/>
      </c>
      <c r="AT101" s="88"/>
      <c r="AU101" s="90" t="str">
        <f aca="false">IF(AT101="","",ROUND(AT101/(1+Справочники!$B$12),0))</f>
        <v/>
      </c>
      <c r="AV101" s="90" t="str">
        <f aca="false">IF(AT101="","",ROUND(AT101*(1-Справочники!$B$15),0))</f>
        <v/>
      </c>
      <c r="AW101" s="90" t="str">
        <f aca="false">IF(AT101="","",ROUND(AT101*(1-Справочники!$B$16),0))</f>
        <v/>
      </c>
      <c r="AX101" s="90" t="str">
        <f aca="false">IF(AT101="","",ROUND(AT101*(1-Справочники!$B$17),0))</f>
        <v/>
      </c>
      <c r="AY101" s="90" t="str">
        <f aca="false">IF(AT101="","",ROUND(AT101*(1-Справочники!$B$18),0))</f>
        <v/>
      </c>
      <c r="AZ101" s="90" t="str">
        <f aca="false">IF(AT101="","",ROUND(AT101*(1-Справочники!$B$19),0))</f>
        <v/>
      </c>
      <c r="BA101" s="81"/>
      <c r="BB101" s="81"/>
      <c r="BC101" s="81"/>
      <c r="BD101" s="81"/>
      <c r="BE101" s="91"/>
      <c r="BF101" s="81" t="s">
        <v>103</v>
      </c>
      <c r="BG101" s="89" t="n">
        <f aca="false" t="array" ref="BG101:BG101">IF(BF101="","",IFERROR(INDEX(Справочники!$B$4:$B$7,MATCH(BF101,Справочники!$A$4:$A$7,0)),""))</f>
        <v>68.5</v>
      </c>
      <c r="BH101" s="90" t="str">
        <f aca="false">IF(N(BN101)&gt;0,ROUND(SUMIF(ЗАКАЗЫ!$F$3:$F$500,$A101,ЗАКАЗЫ!$Y$3:$Y$500)/BN101,0),IF(OR(BE101="",BG101=""),"",ROUND(BE101*BG101*(1+Справочники!$B$10),0)))</f>
        <v/>
      </c>
      <c r="BI101" s="92" t="str">
        <f aca="false">IF(OR(AU101="",BH101="",AU101=0),"",(AU101-BH101)/AU101)</f>
        <v/>
      </c>
      <c r="BJ101" s="81"/>
      <c r="BK101" s="83"/>
      <c r="BL101" s="43" t="str">
        <f aca="false">IFERROR(INDEX(ЗАКАЗЫ!$N$3:$N$500,MATCH($A101,ЗАКАЗЫ!$F$3:$F$500,0)),"")</f>
        <v/>
      </c>
      <c r="BM101" s="8" t="str">
        <f aca="false">IF(BL101="","",IFERROR(VLOOKUP(BL101,'ТН ВЭД'!$A$4:$C$40,3,0),""))</f>
        <v/>
      </c>
      <c r="BN101" s="7" t="str">
        <f aca="false">IF(COUNTIF(ЗАКАЗЫ!$F$3:$F$500,$A101)=0,"",SUMIF(ЗАКАЗЫ!$F$3:$F$500,$A101,ЗАКАЗЫ!$J$3:$J$500))</f>
        <v/>
      </c>
      <c r="BO101" s="7" t="str">
        <f aca="false">IF(BN101="","",SUMIF(ЗАКАЗЫ!$F$3:$F$500,$A101,ЗАКАЗЫ!$AL$3:$AL$500))</f>
        <v/>
      </c>
      <c r="BP101" s="7" t="str">
        <f aca="false">IF(BN101="","",BN101-BO101)</f>
        <v/>
      </c>
      <c r="BQ101" s="55" t="str">
        <f aca="false">IF(BN101="","",IF(BO101&gt;=BN101,"На складе",IF(BO101&gt;0,"Частично","Ждём")))</f>
        <v/>
      </c>
      <c r="BR101" s="43"/>
      <c r="BS101" s="47" t="str">
        <f aca="false">IF(BN101="","",IF(_xlfn.MAXIFS(ЗАКАЗЫ!$AK$3:$AK$500,ЗАКАЗЫ!$F$3:$F$500,$A101)=0,"",_xlfn.MAXIFS(ЗАКАЗЫ!$AK$3:$AK$500,ЗАКАЗЫ!$F$3:$F$500,$A101)))</f>
        <v/>
      </c>
    </row>
    <row r="102" customFormat="false" ht="15.75" hidden="false" customHeight="true" outlineLevel="0" collapsed="false">
      <c r="A102" s="80" t="s">
        <v>576</v>
      </c>
      <c r="B102" s="81"/>
      <c r="C102" s="81"/>
      <c r="D102" s="81"/>
      <c r="E102" s="83"/>
      <c r="F102" s="81"/>
      <c r="G102" s="83"/>
      <c r="H102" s="83"/>
      <c r="I102" s="84" t="str">
        <f aca="false">IF(E102="","",A102&amp;"_1.jpg")</f>
        <v/>
      </c>
      <c r="J102" s="84" t="str">
        <f aca="false">IF(E102="","",A102&amp;"_2.jpg; "&amp;A102&amp;"_3.jpg")</f>
        <v/>
      </c>
      <c r="K102" s="84" t="str">
        <f aca="false">IF(E102="","",A102&amp;"_schema.jpg")</f>
        <v/>
      </c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 t="s">
        <v>261</v>
      </c>
      <c r="W102" s="81"/>
      <c r="X102" s="81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6" t="str">
        <f aca="false">IF(SUM(Y102:AJ102)=0,"",SUM(Y102:AJ102))</f>
        <v/>
      </c>
      <c r="AL102" s="84" t="str">
        <f aca="false">MID(IF(N(Y102)&gt;0,", "&amp;Y$2,"")&amp;IF(N(Z102)&gt;0,", "&amp;Z$2,"")&amp;IF(N(AA102)&gt;0,", "&amp;AA$2,"")&amp;IF(N(AB102)&gt;0,", "&amp;AB$2,"")&amp;IF(N(AC102)&gt;0,", "&amp;AC$2,"")&amp;IF(N(AD102)&gt;0,", "&amp;AD$2,"")&amp;IF(N(AE102)&gt;0,", "&amp;AE$2,"")&amp;IF(N(AF102)&gt;0,", "&amp;AF$2,"")&amp;IF(N(AG102)&gt;0,", "&amp;AG$2,"")&amp;IF(N(AH102)&gt;0,", "&amp;AH$2,"")&amp;IF(N(AI102)&gt;0,", "&amp;AI$2,"")&amp;IF(N(AJ102)&gt;0,", "&amp;AJ$2,""),3,999)</f>
        <v/>
      </c>
      <c r="AM102" s="87" t="str">
        <f aca="false">IF(E102="","",MID(IF(N(Y102)&gt;0,", "&amp;A102&amp;"-"&amp;Y$2,"")&amp;IF(N(Z102)&gt;0,", "&amp;A102&amp;"-"&amp;Z$2,"")&amp;IF(N(AA102)&gt;0,", "&amp;A102&amp;"-"&amp;AA$2,"")&amp;IF(N(AB102)&gt;0,", "&amp;A102&amp;"-"&amp;AB$2,"")&amp;IF(N(AC102)&gt;0,", "&amp;A102&amp;"-"&amp;AC$2,"")&amp;IF(N(AD102)&gt;0,", "&amp;A102&amp;"-"&amp;AD$2,"")&amp;IF(N(AE102)&gt;0,", "&amp;A102&amp;"-"&amp;AE$2,"")&amp;IF(N(AF102)&gt;0,", "&amp;A102&amp;"-"&amp;AF$2,"")&amp;IF(N(AG102)&gt;0,", "&amp;A102&amp;"-"&amp;AG$2,"")&amp;IF(N(AH102)&gt;0,", "&amp;A102&amp;"-"&amp;AH$2,"")&amp;IF(N(AI102)&gt;0,", "&amp;A102&amp;"-"&amp;AI$2,"")&amp;IF(N(AJ102)&gt;0,", "&amp;A102&amp;"-"&amp;AJ$2,""),3,999))</f>
        <v/>
      </c>
      <c r="AN102" s="81"/>
      <c r="AO102" s="88"/>
      <c r="AP102" s="89" t="str">
        <f aca="false">IF(AO102="","",ROUND(AO102/(1+Справочники!$B$13),2))</f>
        <v/>
      </c>
      <c r="AQ102" s="90" t="str">
        <f aca="false" t="array" ref="AQ102:AQ102">IF(AP102="","",AP102*INDEX(Справочники!$B$4:$B$7,MATCH("RUB",Справочники!$A$4:$A$7,0)))</f>
        <v/>
      </c>
      <c r="AR102" s="90" t="str">
        <f aca="false">IF(AQ102="","",ROUND(AQ102*(1+Справочники!$B$12),0))</f>
        <v/>
      </c>
      <c r="AS102" s="90" t="str">
        <f aca="false">IF(AR102="","",ROUND(AR102*(1-Справочники!$B$11),0))</f>
        <v/>
      </c>
      <c r="AT102" s="88"/>
      <c r="AU102" s="90" t="str">
        <f aca="false">IF(AT102="","",ROUND(AT102/(1+Справочники!$B$12),0))</f>
        <v/>
      </c>
      <c r="AV102" s="90" t="str">
        <f aca="false">IF(AT102="","",ROUND(AT102*(1-Справочники!$B$15),0))</f>
        <v/>
      </c>
      <c r="AW102" s="90" t="str">
        <f aca="false">IF(AT102="","",ROUND(AT102*(1-Справочники!$B$16),0))</f>
        <v/>
      </c>
      <c r="AX102" s="90" t="str">
        <f aca="false">IF(AT102="","",ROUND(AT102*(1-Справочники!$B$17),0))</f>
        <v/>
      </c>
      <c r="AY102" s="90" t="str">
        <f aca="false">IF(AT102="","",ROUND(AT102*(1-Справочники!$B$18),0))</f>
        <v/>
      </c>
      <c r="AZ102" s="90" t="str">
        <f aca="false">IF(AT102="","",ROUND(AT102*(1-Справочники!$B$19),0))</f>
        <v/>
      </c>
      <c r="BA102" s="81"/>
      <c r="BB102" s="81"/>
      <c r="BC102" s="81"/>
      <c r="BD102" s="81"/>
      <c r="BE102" s="91"/>
      <c r="BF102" s="81" t="s">
        <v>103</v>
      </c>
      <c r="BG102" s="89" t="n">
        <f aca="false" t="array" ref="BG102:BG102">IF(BF102="","",IFERROR(INDEX(Справочники!$B$4:$B$7,MATCH(BF102,Справочники!$A$4:$A$7,0)),""))</f>
        <v>68.5</v>
      </c>
      <c r="BH102" s="90" t="str">
        <f aca="false">IF(N(BN102)&gt;0,ROUND(SUMIF(ЗАКАЗЫ!$F$3:$F$500,$A102,ЗАКАЗЫ!$Y$3:$Y$500)/BN102,0),IF(OR(BE102="",BG102=""),"",ROUND(BE102*BG102*(1+Справочники!$B$10),0)))</f>
        <v/>
      </c>
      <c r="BI102" s="92" t="str">
        <f aca="false">IF(OR(AU102="",BH102="",AU102=0),"",(AU102-BH102)/AU102)</f>
        <v/>
      </c>
      <c r="BJ102" s="81"/>
      <c r="BK102" s="83"/>
      <c r="BL102" s="43" t="str">
        <f aca="false">IFERROR(INDEX(ЗАКАЗЫ!$N$3:$N$500,MATCH($A102,ЗАКАЗЫ!$F$3:$F$500,0)),"")</f>
        <v/>
      </c>
      <c r="BM102" s="8" t="str">
        <f aca="false">IF(BL102="","",IFERROR(VLOOKUP(BL102,'ТН ВЭД'!$A$4:$C$40,3,0),""))</f>
        <v/>
      </c>
      <c r="BN102" s="7" t="str">
        <f aca="false">IF(COUNTIF(ЗАКАЗЫ!$F$3:$F$500,$A102)=0,"",SUMIF(ЗАКАЗЫ!$F$3:$F$500,$A102,ЗАКАЗЫ!$J$3:$J$500))</f>
        <v/>
      </c>
      <c r="BO102" s="7" t="str">
        <f aca="false">IF(BN102="","",SUMIF(ЗАКАЗЫ!$F$3:$F$500,$A102,ЗАКАЗЫ!$AL$3:$AL$500))</f>
        <v/>
      </c>
      <c r="BP102" s="7" t="str">
        <f aca="false">IF(BN102="","",BN102-BO102)</f>
        <v/>
      </c>
      <c r="BQ102" s="55" t="str">
        <f aca="false">IF(BN102="","",IF(BO102&gt;=BN102,"На складе",IF(BO102&gt;0,"Частично","Ждём")))</f>
        <v/>
      </c>
      <c r="BR102" s="43"/>
      <c r="BS102" s="47" t="str">
        <f aca="false">IF(BN102="","",IF(_xlfn.MAXIFS(ЗАКАЗЫ!$AK$3:$AK$500,ЗАКАЗЫ!$F$3:$F$500,$A102)=0,"",_xlfn.MAXIFS(ЗАКАЗЫ!$AK$3:$AK$500,ЗАКАЗЫ!$F$3:$F$500,$A102)))</f>
        <v/>
      </c>
    </row>
    <row r="103" customFormat="false" ht="15.75" hidden="false" customHeight="true" outlineLevel="0" collapsed="false">
      <c r="A103" s="80" t="s">
        <v>577</v>
      </c>
      <c r="B103" s="81"/>
      <c r="C103" s="81"/>
      <c r="D103" s="81"/>
      <c r="E103" s="83"/>
      <c r="F103" s="81"/>
      <c r="G103" s="83"/>
      <c r="H103" s="83"/>
      <c r="I103" s="84" t="str">
        <f aca="false">IF(E103="","",A103&amp;"_1.jpg")</f>
        <v/>
      </c>
      <c r="J103" s="84" t="str">
        <f aca="false">IF(E103="","",A103&amp;"_2.jpg; "&amp;A103&amp;"_3.jpg")</f>
        <v/>
      </c>
      <c r="K103" s="84" t="str">
        <f aca="false">IF(E103="","",A103&amp;"_schema.jpg")</f>
        <v/>
      </c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 t="s">
        <v>261</v>
      </c>
      <c r="W103" s="81"/>
      <c r="X103" s="81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6" t="str">
        <f aca="false">IF(SUM(Y103:AJ103)=0,"",SUM(Y103:AJ103))</f>
        <v/>
      </c>
      <c r="AL103" s="84" t="str">
        <f aca="false">MID(IF(N(Y103)&gt;0,", "&amp;Y$2,"")&amp;IF(N(Z103)&gt;0,", "&amp;Z$2,"")&amp;IF(N(AA103)&gt;0,", "&amp;AA$2,"")&amp;IF(N(AB103)&gt;0,", "&amp;AB$2,"")&amp;IF(N(AC103)&gt;0,", "&amp;AC$2,"")&amp;IF(N(AD103)&gt;0,", "&amp;AD$2,"")&amp;IF(N(AE103)&gt;0,", "&amp;AE$2,"")&amp;IF(N(AF103)&gt;0,", "&amp;AF$2,"")&amp;IF(N(AG103)&gt;0,", "&amp;AG$2,"")&amp;IF(N(AH103)&gt;0,", "&amp;AH$2,"")&amp;IF(N(AI103)&gt;0,", "&amp;AI$2,"")&amp;IF(N(AJ103)&gt;0,", "&amp;AJ$2,""),3,999)</f>
        <v/>
      </c>
      <c r="AM103" s="87" t="str">
        <f aca="false">IF(E103="","",MID(IF(N(Y103)&gt;0,", "&amp;A103&amp;"-"&amp;Y$2,"")&amp;IF(N(Z103)&gt;0,", "&amp;A103&amp;"-"&amp;Z$2,"")&amp;IF(N(AA103)&gt;0,", "&amp;A103&amp;"-"&amp;AA$2,"")&amp;IF(N(AB103)&gt;0,", "&amp;A103&amp;"-"&amp;AB$2,"")&amp;IF(N(AC103)&gt;0,", "&amp;A103&amp;"-"&amp;AC$2,"")&amp;IF(N(AD103)&gt;0,", "&amp;A103&amp;"-"&amp;AD$2,"")&amp;IF(N(AE103)&gt;0,", "&amp;A103&amp;"-"&amp;AE$2,"")&amp;IF(N(AF103)&gt;0,", "&amp;A103&amp;"-"&amp;AF$2,"")&amp;IF(N(AG103)&gt;0,", "&amp;A103&amp;"-"&amp;AG$2,"")&amp;IF(N(AH103)&gt;0,", "&amp;A103&amp;"-"&amp;AH$2,"")&amp;IF(N(AI103)&gt;0,", "&amp;A103&amp;"-"&amp;AI$2,"")&amp;IF(N(AJ103)&gt;0,", "&amp;A103&amp;"-"&amp;AJ$2,""),3,999))</f>
        <v/>
      </c>
      <c r="AN103" s="81"/>
      <c r="AO103" s="88"/>
      <c r="AP103" s="89" t="str">
        <f aca="false">IF(AO103="","",ROUND(AO103/(1+Справочники!$B$13),2))</f>
        <v/>
      </c>
      <c r="AQ103" s="90" t="str">
        <f aca="false" t="array" ref="AQ103:AQ103">IF(AP103="","",AP103*INDEX(Справочники!$B$4:$B$7,MATCH("RUB",Справочники!$A$4:$A$7,0)))</f>
        <v/>
      </c>
      <c r="AR103" s="90" t="str">
        <f aca="false">IF(AQ103="","",ROUND(AQ103*(1+Справочники!$B$12),0))</f>
        <v/>
      </c>
      <c r="AS103" s="90" t="str">
        <f aca="false">IF(AR103="","",ROUND(AR103*(1-Справочники!$B$11),0))</f>
        <v/>
      </c>
      <c r="AT103" s="88"/>
      <c r="AU103" s="90" t="str">
        <f aca="false">IF(AT103="","",ROUND(AT103/(1+Справочники!$B$12),0))</f>
        <v/>
      </c>
      <c r="AV103" s="90" t="str">
        <f aca="false">IF(AT103="","",ROUND(AT103*(1-Справочники!$B$15),0))</f>
        <v/>
      </c>
      <c r="AW103" s="90" t="str">
        <f aca="false">IF(AT103="","",ROUND(AT103*(1-Справочники!$B$16),0))</f>
        <v/>
      </c>
      <c r="AX103" s="90" t="str">
        <f aca="false">IF(AT103="","",ROUND(AT103*(1-Справочники!$B$17),0))</f>
        <v/>
      </c>
      <c r="AY103" s="90" t="str">
        <f aca="false">IF(AT103="","",ROUND(AT103*(1-Справочники!$B$18),0))</f>
        <v/>
      </c>
      <c r="AZ103" s="90" t="str">
        <f aca="false">IF(AT103="","",ROUND(AT103*(1-Справочники!$B$19),0))</f>
        <v/>
      </c>
      <c r="BA103" s="81"/>
      <c r="BB103" s="81"/>
      <c r="BC103" s="81"/>
      <c r="BD103" s="81"/>
      <c r="BE103" s="91"/>
      <c r="BF103" s="81" t="s">
        <v>103</v>
      </c>
      <c r="BG103" s="89" t="n">
        <f aca="false" t="array" ref="BG103:BG103">IF(BF103="","",IFERROR(INDEX(Справочники!$B$4:$B$7,MATCH(BF103,Справочники!$A$4:$A$7,0)),""))</f>
        <v>68.5</v>
      </c>
      <c r="BH103" s="90" t="str">
        <f aca="false">IF(N(BN103)&gt;0,ROUND(SUMIF(ЗАКАЗЫ!$F$3:$F$500,$A103,ЗАКАЗЫ!$Y$3:$Y$500)/BN103,0),IF(OR(BE103="",BG103=""),"",ROUND(BE103*BG103*(1+Справочники!$B$10),0)))</f>
        <v/>
      </c>
      <c r="BI103" s="92" t="str">
        <f aca="false">IF(OR(AU103="",BH103="",AU103=0),"",(AU103-BH103)/AU103)</f>
        <v/>
      </c>
      <c r="BJ103" s="81"/>
      <c r="BK103" s="83"/>
      <c r="BL103" s="43" t="str">
        <f aca="false">IFERROR(INDEX(ЗАКАЗЫ!$N$3:$N$500,MATCH($A103,ЗАКАЗЫ!$F$3:$F$500,0)),"")</f>
        <v/>
      </c>
      <c r="BM103" s="8" t="str">
        <f aca="false">IF(BL103="","",IFERROR(VLOOKUP(BL103,'ТН ВЭД'!$A$4:$C$40,3,0),""))</f>
        <v/>
      </c>
      <c r="BN103" s="7" t="str">
        <f aca="false">IF(COUNTIF(ЗАКАЗЫ!$F$3:$F$500,$A103)=0,"",SUMIF(ЗАКАЗЫ!$F$3:$F$500,$A103,ЗАКАЗЫ!$J$3:$J$500))</f>
        <v/>
      </c>
      <c r="BO103" s="7" t="str">
        <f aca="false">IF(BN103="","",SUMIF(ЗАКАЗЫ!$F$3:$F$500,$A103,ЗАКАЗЫ!$AL$3:$AL$500))</f>
        <v/>
      </c>
      <c r="BP103" s="7" t="str">
        <f aca="false">IF(BN103="","",BN103-BO103)</f>
        <v/>
      </c>
      <c r="BQ103" s="55" t="str">
        <f aca="false">IF(BN103="","",IF(BO103&gt;=BN103,"На складе",IF(BO103&gt;0,"Частично","Ждём")))</f>
        <v/>
      </c>
      <c r="BR103" s="43"/>
      <c r="BS103" s="47" t="str">
        <f aca="false">IF(BN103="","",IF(_xlfn.MAXIFS(ЗАКАЗЫ!$AK$3:$AK$500,ЗАКАЗЫ!$F$3:$F$500,$A103)=0,"",_xlfn.MAXIFS(ЗАКАЗЫ!$AK$3:$AK$500,ЗАКАЗЫ!$F$3:$F$500,$A103)))</f>
        <v/>
      </c>
    </row>
    <row r="104" customFormat="false" ht="15.75" hidden="false" customHeight="true" outlineLevel="0" collapsed="false">
      <c r="A104" s="80" t="s">
        <v>578</v>
      </c>
      <c r="B104" s="81"/>
      <c r="C104" s="81"/>
      <c r="D104" s="81"/>
      <c r="E104" s="83"/>
      <c r="F104" s="81"/>
      <c r="G104" s="83"/>
      <c r="H104" s="83"/>
      <c r="I104" s="84" t="str">
        <f aca="false">IF(E104="","",A104&amp;"_1.jpg")</f>
        <v/>
      </c>
      <c r="J104" s="84" t="str">
        <f aca="false">IF(E104="","",A104&amp;"_2.jpg; "&amp;A104&amp;"_3.jpg")</f>
        <v/>
      </c>
      <c r="K104" s="84" t="str">
        <f aca="false">IF(E104="","",A104&amp;"_schema.jpg")</f>
        <v/>
      </c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 t="s">
        <v>261</v>
      </c>
      <c r="W104" s="81"/>
      <c r="X104" s="81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6" t="str">
        <f aca="false">IF(SUM(Y104:AJ104)=0,"",SUM(Y104:AJ104))</f>
        <v/>
      </c>
      <c r="AL104" s="84" t="str">
        <f aca="false">MID(IF(N(Y104)&gt;0,", "&amp;Y$2,"")&amp;IF(N(Z104)&gt;0,", "&amp;Z$2,"")&amp;IF(N(AA104)&gt;0,", "&amp;AA$2,"")&amp;IF(N(AB104)&gt;0,", "&amp;AB$2,"")&amp;IF(N(AC104)&gt;0,", "&amp;AC$2,"")&amp;IF(N(AD104)&gt;0,", "&amp;AD$2,"")&amp;IF(N(AE104)&gt;0,", "&amp;AE$2,"")&amp;IF(N(AF104)&gt;0,", "&amp;AF$2,"")&amp;IF(N(AG104)&gt;0,", "&amp;AG$2,"")&amp;IF(N(AH104)&gt;0,", "&amp;AH$2,"")&amp;IF(N(AI104)&gt;0,", "&amp;AI$2,"")&amp;IF(N(AJ104)&gt;0,", "&amp;AJ$2,""),3,999)</f>
        <v/>
      </c>
      <c r="AM104" s="87" t="str">
        <f aca="false">IF(E104="","",MID(IF(N(Y104)&gt;0,", "&amp;A104&amp;"-"&amp;Y$2,"")&amp;IF(N(Z104)&gt;0,", "&amp;A104&amp;"-"&amp;Z$2,"")&amp;IF(N(AA104)&gt;0,", "&amp;A104&amp;"-"&amp;AA$2,"")&amp;IF(N(AB104)&gt;0,", "&amp;A104&amp;"-"&amp;AB$2,"")&amp;IF(N(AC104)&gt;0,", "&amp;A104&amp;"-"&amp;AC$2,"")&amp;IF(N(AD104)&gt;0,", "&amp;A104&amp;"-"&amp;AD$2,"")&amp;IF(N(AE104)&gt;0,", "&amp;A104&amp;"-"&amp;AE$2,"")&amp;IF(N(AF104)&gt;0,", "&amp;A104&amp;"-"&amp;AF$2,"")&amp;IF(N(AG104)&gt;0,", "&amp;A104&amp;"-"&amp;AG$2,"")&amp;IF(N(AH104)&gt;0,", "&amp;A104&amp;"-"&amp;AH$2,"")&amp;IF(N(AI104)&gt;0,", "&amp;A104&amp;"-"&amp;AI$2,"")&amp;IF(N(AJ104)&gt;0,", "&amp;A104&amp;"-"&amp;AJ$2,""),3,999))</f>
        <v/>
      </c>
      <c r="AN104" s="81"/>
      <c r="AO104" s="88"/>
      <c r="AP104" s="89" t="str">
        <f aca="false">IF(AO104="","",ROUND(AO104/(1+Справочники!$B$13),2))</f>
        <v/>
      </c>
      <c r="AQ104" s="90" t="str">
        <f aca="false" t="array" ref="AQ104:AQ104">IF(AP104="","",AP104*INDEX(Справочники!$B$4:$B$7,MATCH("RUB",Справочники!$A$4:$A$7,0)))</f>
        <v/>
      </c>
      <c r="AR104" s="90" t="str">
        <f aca="false">IF(AQ104="","",ROUND(AQ104*(1+Справочники!$B$12),0))</f>
        <v/>
      </c>
      <c r="AS104" s="90" t="str">
        <f aca="false">IF(AR104="","",ROUND(AR104*(1-Справочники!$B$11),0))</f>
        <v/>
      </c>
      <c r="AT104" s="88"/>
      <c r="AU104" s="90" t="str">
        <f aca="false">IF(AT104="","",ROUND(AT104/(1+Справочники!$B$12),0))</f>
        <v/>
      </c>
      <c r="AV104" s="90" t="str">
        <f aca="false">IF(AT104="","",ROUND(AT104*(1-Справочники!$B$15),0))</f>
        <v/>
      </c>
      <c r="AW104" s="90" t="str">
        <f aca="false">IF(AT104="","",ROUND(AT104*(1-Справочники!$B$16),0))</f>
        <v/>
      </c>
      <c r="AX104" s="90" t="str">
        <f aca="false">IF(AT104="","",ROUND(AT104*(1-Справочники!$B$17),0))</f>
        <v/>
      </c>
      <c r="AY104" s="90" t="str">
        <f aca="false">IF(AT104="","",ROUND(AT104*(1-Справочники!$B$18),0))</f>
        <v/>
      </c>
      <c r="AZ104" s="90" t="str">
        <f aca="false">IF(AT104="","",ROUND(AT104*(1-Справочники!$B$19),0))</f>
        <v/>
      </c>
      <c r="BA104" s="81"/>
      <c r="BB104" s="81"/>
      <c r="BC104" s="81"/>
      <c r="BD104" s="81"/>
      <c r="BE104" s="91"/>
      <c r="BF104" s="81" t="s">
        <v>103</v>
      </c>
      <c r="BG104" s="89" t="n">
        <f aca="false" t="array" ref="BG104:BG104">IF(BF104="","",IFERROR(INDEX(Справочники!$B$4:$B$7,MATCH(BF104,Справочники!$A$4:$A$7,0)),""))</f>
        <v>68.5</v>
      </c>
      <c r="BH104" s="90" t="str">
        <f aca="false">IF(N(BN104)&gt;0,ROUND(SUMIF(ЗАКАЗЫ!$F$3:$F$500,$A104,ЗАКАЗЫ!$Y$3:$Y$500)/BN104,0),IF(OR(BE104="",BG104=""),"",ROUND(BE104*BG104*(1+Справочники!$B$10),0)))</f>
        <v/>
      </c>
      <c r="BI104" s="92" t="str">
        <f aca="false">IF(OR(AU104="",BH104="",AU104=0),"",(AU104-BH104)/AU104)</f>
        <v/>
      </c>
      <c r="BJ104" s="81"/>
      <c r="BK104" s="83"/>
      <c r="BL104" s="43" t="str">
        <f aca="false">IFERROR(INDEX(ЗАКАЗЫ!$N$3:$N$500,MATCH($A104,ЗАКАЗЫ!$F$3:$F$500,0)),"")</f>
        <v/>
      </c>
      <c r="BM104" s="8" t="str">
        <f aca="false">IF(BL104="","",IFERROR(VLOOKUP(BL104,'ТН ВЭД'!$A$4:$C$40,3,0),""))</f>
        <v/>
      </c>
      <c r="BN104" s="7" t="str">
        <f aca="false">IF(COUNTIF(ЗАКАЗЫ!$F$3:$F$500,$A104)=0,"",SUMIF(ЗАКАЗЫ!$F$3:$F$500,$A104,ЗАКАЗЫ!$J$3:$J$500))</f>
        <v/>
      </c>
      <c r="BO104" s="7" t="str">
        <f aca="false">IF(BN104="","",SUMIF(ЗАКАЗЫ!$F$3:$F$500,$A104,ЗАКАЗЫ!$AL$3:$AL$500))</f>
        <v/>
      </c>
      <c r="BP104" s="7" t="str">
        <f aca="false">IF(BN104="","",BN104-BO104)</f>
        <v/>
      </c>
      <c r="BQ104" s="55" t="str">
        <f aca="false">IF(BN104="","",IF(BO104&gt;=BN104,"На складе",IF(BO104&gt;0,"Частично","Ждём")))</f>
        <v/>
      </c>
      <c r="BR104" s="43"/>
      <c r="BS104" s="47" t="str">
        <f aca="false">IF(BN104="","",IF(_xlfn.MAXIFS(ЗАКАЗЫ!$AK$3:$AK$500,ЗАКАЗЫ!$F$3:$F$500,$A104)=0,"",_xlfn.MAXIFS(ЗАКАЗЫ!$AK$3:$AK$500,ЗАКАЗЫ!$F$3:$F$500,$A104)))</f>
        <v/>
      </c>
    </row>
    <row r="105" customFormat="false" ht="15.75" hidden="false" customHeight="true" outlineLevel="0" collapsed="false">
      <c r="A105" s="80" t="s">
        <v>579</v>
      </c>
      <c r="B105" s="81"/>
      <c r="C105" s="81"/>
      <c r="D105" s="81"/>
      <c r="E105" s="83"/>
      <c r="F105" s="81"/>
      <c r="G105" s="83"/>
      <c r="H105" s="83"/>
      <c r="I105" s="84" t="str">
        <f aca="false">IF(E105="","",A105&amp;"_1.jpg")</f>
        <v/>
      </c>
      <c r="J105" s="84" t="str">
        <f aca="false">IF(E105="","",A105&amp;"_2.jpg; "&amp;A105&amp;"_3.jpg")</f>
        <v/>
      </c>
      <c r="K105" s="84" t="str">
        <f aca="false">IF(E105="","",A105&amp;"_schema.jpg")</f>
        <v/>
      </c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 t="s">
        <v>261</v>
      </c>
      <c r="W105" s="81"/>
      <c r="X105" s="81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6" t="str">
        <f aca="false">IF(SUM(Y105:AJ105)=0,"",SUM(Y105:AJ105))</f>
        <v/>
      </c>
      <c r="AL105" s="84" t="str">
        <f aca="false">MID(IF(N(Y105)&gt;0,", "&amp;Y$2,"")&amp;IF(N(Z105)&gt;0,", "&amp;Z$2,"")&amp;IF(N(AA105)&gt;0,", "&amp;AA$2,"")&amp;IF(N(AB105)&gt;0,", "&amp;AB$2,"")&amp;IF(N(AC105)&gt;0,", "&amp;AC$2,"")&amp;IF(N(AD105)&gt;0,", "&amp;AD$2,"")&amp;IF(N(AE105)&gt;0,", "&amp;AE$2,"")&amp;IF(N(AF105)&gt;0,", "&amp;AF$2,"")&amp;IF(N(AG105)&gt;0,", "&amp;AG$2,"")&amp;IF(N(AH105)&gt;0,", "&amp;AH$2,"")&amp;IF(N(AI105)&gt;0,", "&amp;AI$2,"")&amp;IF(N(AJ105)&gt;0,", "&amp;AJ$2,""),3,999)</f>
        <v/>
      </c>
      <c r="AM105" s="87" t="str">
        <f aca="false">IF(E105="","",MID(IF(N(Y105)&gt;0,", "&amp;A105&amp;"-"&amp;Y$2,"")&amp;IF(N(Z105)&gt;0,", "&amp;A105&amp;"-"&amp;Z$2,"")&amp;IF(N(AA105)&gt;0,", "&amp;A105&amp;"-"&amp;AA$2,"")&amp;IF(N(AB105)&gt;0,", "&amp;A105&amp;"-"&amp;AB$2,"")&amp;IF(N(AC105)&gt;0,", "&amp;A105&amp;"-"&amp;AC$2,"")&amp;IF(N(AD105)&gt;0,", "&amp;A105&amp;"-"&amp;AD$2,"")&amp;IF(N(AE105)&gt;0,", "&amp;A105&amp;"-"&amp;AE$2,"")&amp;IF(N(AF105)&gt;0,", "&amp;A105&amp;"-"&amp;AF$2,"")&amp;IF(N(AG105)&gt;0,", "&amp;A105&amp;"-"&amp;AG$2,"")&amp;IF(N(AH105)&gt;0,", "&amp;A105&amp;"-"&amp;AH$2,"")&amp;IF(N(AI105)&gt;0,", "&amp;A105&amp;"-"&amp;AI$2,"")&amp;IF(N(AJ105)&gt;0,", "&amp;A105&amp;"-"&amp;AJ$2,""),3,999))</f>
        <v/>
      </c>
      <c r="AN105" s="81"/>
      <c r="AO105" s="88"/>
      <c r="AP105" s="89" t="str">
        <f aca="false">IF(AO105="","",ROUND(AO105/(1+Справочники!$B$13),2))</f>
        <v/>
      </c>
      <c r="AQ105" s="90" t="str">
        <f aca="false" t="array" ref="AQ105:AQ105">IF(AP105="","",AP105*INDEX(Справочники!$B$4:$B$7,MATCH("RUB",Справочники!$A$4:$A$7,0)))</f>
        <v/>
      </c>
      <c r="AR105" s="90" t="str">
        <f aca="false">IF(AQ105="","",ROUND(AQ105*(1+Справочники!$B$12),0))</f>
        <v/>
      </c>
      <c r="AS105" s="90" t="str">
        <f aca="false">IF(AR105="","",ROUND(AR105*(1-Справочники!$B$11),0))</f>
        <v/>
      </c>
      <c r="AT105" s="88"/>
      <c r="AU105" s="90" t="str">
        <f aca="false">IF(AT105="","",ROUND(AT105/(1+Справочники!$B$12),0))</f>
        <v/>
      </c>
      <c r="AV105" s="90" t="str">
        <f aca="false">IF(AT105="","",ROUND(AT105*(1-Справочники!$B$15),0))</f>
        <v/>
      </c>
      <c r="AW105" s="90" t="str">
        <f aca="false">IF(AT105="","",ROUND(AT105*(1-Справочники!$B$16),0))</f>
        <v/>
      </c>
      <c r="AX105" s="90" t="str">
        <f aca="false">IF(AT105="","",ROUND(AT105*(1-Справочники!$B$17),0))</f>
        <v/>
      </c>
      <c r="AY105" s="90" t="str">
        <f aca="false">IF(AT105="","",ROUND(AT105*(1-Справочники!$B$18),0))</f>
        <v/>
      </c>
      <c r="AZ105" s="90" t="str">
        <f aca="false">IF(AT105="","",ROUND(AT105*(1-Справочники!$B$19),0))</f>
        <v/>
      </c>
      <c r="BA105" s="81"/>
      <c r="BB105" s="81"/>
      <c r="BC105" s="81"/>
      <c r="BD105" s="81"/>
      <c r="BE105" s="91"/>
      <c r="BF105" s="81" t="s">
        <v>103</v>
      </c>
      <c r="BG105" s="89" t="n">
        <f aca="false" t="array" ref="BG105:BG105">IF(BF105="","",IFERROR(INDEX(Справочники!$B$4:$B$7,MATCH(BF105,Справочники!$A$4:$A$7,0)),""))</f>
        <v>68.5</v>
      </c>
      <c r="BH105" s="90" t="str">
        <f aca="false">IF(N(BN105)&gt;0,ROUND(SUMIF(ЗАКАЗЫ!$F$3:$F$500,$A105,ЗАКАЗЫ!$Y$3:$Y$500)/BN105,0),IF(OR(BE105="",BG105=""),"",ROUND(BE105*BG105*(1+Справочники!$B$10),0)))</f>
        <v/>
      </c>
      <c r="BI105" s="92" t="str">
        <f aca="false">IF(OR(AU105="",BH105="",AU105=0),"",(AU105-BH105)/AU105)</f>
        <v/>
      </c>
      <c r="BJ105" s="81"/>
      <c r="BK105" s="83"/>
      <c r="BL105" s="43" t="str">
        <f aca="false">IFERROR(INDEX(ЗАКАЗЫ!$N$3:$N$500,MATCH($A105,ЗАКАЗЫ!$F$3:$F$500,0)),"")</f>
        <v/>
      </c>
      <c r="BM105" s="8" t="str">
        <f aca="false">IF(BL105="","",IFERROR(VLOOKUP(BL105,'ТН ВЭД'!$A$4:$C$40,3,0),""))</f>
        <v/>
      </c>
      <c r="BN105" s="7" t="str">
        <f aca="false">IF(COUNTIF(ЗАКАЗЫ!$F$3:$F$500,$A105)=0,"",SUMIF(ЗАКАЗЫ!$F$3:$F$500,$A105,ЗАКАЗЫ!$J$3:$J$500))</f>
        <v/>
      </c>
      <c r="BO105" s="7" t="str">
        <f aca="false">IF(BN105="","",SUMIF(ЗАКАЗЫ!$F$3:$F$500,$A105,ЗАКАЗЫ!$AL$3:$AL$500))</f>
        <v/>
      </c>
      <c r="BP105" s="7" t="str">
        <f aca="false">IF(BN105="","",BN105-BO105)</f>
        <v/>
      </c>
      <c r="BQ105" s="55" t="str">
        <f aca="false">IF(BN105="","",IF(BO105&gt;=BN105,"На складе",IF(BO105&gt;0,"Частично","Ждём")))</f>
        <v/>
      </c>
      <c r="BR105" s="43"/>
      <c r="BS105" s="47" t="str">
        <f aca="false">IF(BN105="","",IF(_xlfn.MAXIFS(ЗАКАЗЫ!$AK$3:$AK$500,ЗАКАЗЫ!$F$3:$F$500,$A105)=0,"",_xlfn.MAXIFS(ЗАКАЗЫ!$AK$3:$AK$500,ЗАКАЗЫ!$F$3:$F$500,$A105)))</f>
        <v/>
      </c>
    </row>
    <row r="106" customFormat="false" ht="15.75" hidden="false" customHeight="true" outlineLevel="0" collapsed="false">
      <c r="A106" s="80" t="s">
        <v>580</v>
      </c>
      <c r="B106" s="81"/>
      <c r="C106" s="81"/>
      <c r="D106" s="81"/>
      <c r="E106" s="83"/>
      <c r="F106" s="81"/>
      <c r="G106" s="83"/>
      <c r="H106" s="83"/>
      <c r="I106" s="84" t="str">
        <f aca="false">IF(E106="","",A106&amp;"_1.jpg")</f>
        <v/>
      </c>
      <c r="J106" s="84" t="str">
        <f aca="false">IF(E106="","",A106&amp;"_2.jpg; "&amp;A106&amp;"_3.jpg")</f>
        <v/>
      </c>
      <c r="K106" s="84" t="str">
        <f aca="false">IF(E106="","",A106&amp;"_schema.jpg")</f>
        <v/>
      </c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 t="s">
        <v>261</v>
      </c>
      <c r="W106" s="81"/>
      <c r="X106" s="81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6" t="str">
        <f aca="false">IF(SUM(Y106:AJ106)=0,"",SUM(Y106:AJ106))</f>
        <v/>
      </c>
      <c r="AL106" s="84" t="str">
        <f aca="false">MID(IF(N(Y106)&gt;0,", "&amp;Y$2,"")&amp;IF(N(Z106)&gt;0,", "&amp;Z$2,"")&amp;IF(N(AA106)&gt;0,", "&amp;AA$2,"")&amp;IF(N(AB106)&gt;0,", "&amp;AB$2,"")&amp;IF(N(AC106)&gt;0,", "&amp;AC$2,"")&amp;IF(N(AD106)&gt;0,", "&amp;AD$2,"")&amp;IF(N(AE106)&gt;0,", "&amp;AE$2,"")&amp;IF(N(AF106)&gt;0,", "&amp;AF$2,"")&amp;IF(N(AG106)&gt;0,", "&amp;AG$2,"")&amp;IF(N(AH106)&gt;0,", "&amp;AH$2,"")&amp;IF(N(AI106)&gt;0,", "&amp;AI$2,"")&amp;IF(N(AJ106)&gt;0,", "&amp;AJ$2,""),3,999)</f>
        <v/>
      </c>
      <c r="AM106" s="87" t="str">
        <f aca="false">IF(E106="","",MID(IF(N(Y106)&gt;0,", "&amp;A106&amp;"-"&amp;Y$2,"")&amp;IF(N(Z106)&gt;0,", "&amp;A106&amp;"-"&amp;Z$2,"")&amp;IF(N(AA106)&gt;0,", "&amp;A106&amp;"-"&amp;AA$2,"")&amp;IF(N(AB106)&gt;0,", "&amp;A106&amp;"-"&amp;AB$2,"")&amp;IF(N(AC106)&gt;0,", "&amp;A106&amp;"-"&amp;AC$2,"")&amp;IF(N(AD106)&gt;0,", "&amp;A106&amp;"-"&amp;AD$2,"")&amp;IF(N(AE106)&gt;0,", "&amp;A106&amp;"-"&amp;AE$2,"")&amp;IF(N(AF106)&gt;0,", "&amp;A106&amp;"-"&amp;AF$2,"")&amp;IF(N(AG106)&gt;0,", "&amp;A106&amp;"-"&amp;AG$2,"")&amp;IF(N(AH106)&gt;0,", "&amp;A106&amp;"-"&amp;AH$2,"")&amp;IF(N(AI106)&gt;0,", "&amp;A106&amp;"-"&amp;AI$2,"")&amp;IF(N(AJ106)&gt;0,", "&amp;A106&amp;"-"&amp;AJ$2,""),3,999))</f>
        <v/>
      </c>
      <c r="AN106" s="81"/>
      <c r="AO106" s="88"/>
      <c r="AP106" s="89" t="str">
        <f aca="false">IF(AO106="","",ROUND(AO106/(1+Справочники!$B$13),2))</f>
        <v/>
      </c>
      <c r="AQ106" s="90" t="str">
        <f aca="false" t="array" ref="AQ106:AQ106">IF(AP106="","",AP106*INDEX(Справочники!$B$4:$B$7,MATCH("RUB",Справочники!$A$4:$A$7,0)))</f>
        <v/>
      </c>
      <c r="AR106" s="90" t="str">
        <f aca="false">IF(AQ106="","",ROUND(AQ106*(1+Справочники!$B$12),0))</f>
        <v/>
      </c>
      <c r="AS106" s="90" t="str">
        <f aca="false">IF(AR106="","",ROUND(AR106*(1-Справочники!$B$11),0))</f>
        <v/>
      </c>
      <c r="AT106" s="88"/>
      <c r="AU106" s="90" t="str">
        <f aca="false">IF(AT106="","",ROUND(AT106/(1+Справочники!$B$12),0))</f>
        <v/>
      </c>
      <c r="AV106" s="90" t="str">
        <f aca="false">IF(AT106="","",ROUND(AT106*(1-Справочники!$B$15),0))</f>
        <v/>
      </c>
      <c r="AW106" s="90" t="str">
        <f aca="false">IF(AT106="","",ROUND(AT106*(1-Справочники!$B$16),0))</f>
        <v/>
      </c>
      <c r="AX106" s="90" t="str">
        <f aca="false">IF(AT106="","",ROUND(AT106*(1-Справочники!$B$17),0))</f>
        <v/>
      </c>
      <c r="AY106" s="90" t="str">
        <f aca="false">IF(AT106="","",ROUND(AT106*(1-Справочники!$B$18),0))</f>
        <v/>
      </c>
      <c r="AZ106" s="90" t="str">
        <f aca="false">IF(AT106="","",ROUND(AT106*(1-Справочники!$B$19),0))</f>
        <v/>
      </c>
      <c r="BA106" s="81"/>
      <c r="BB106" s="81"/>
      <c r="BC106" s="81"/>
      <c r="BD106" s="81"/>
      <c r="BE106" s="91"/>
      <c r="BF106" s="81" t="s">
        <v>103</v>
      </c>
      <c r="BG106" s="89" t="n">
        <f aca="false" t="array" ref="BG106:BG106">IF(BF106="","",IFERROR(INDEX(Справочники!$B$4:$B$7,MATCH(BF106,Справочники!$A$4:$A$7,0)),""))</f>
        <v>68.5</v>
      </c>
      <c r="BH106" s="90" t="str">
        <f aca="false">IF(N(BN106)&gt;0,ROUND(SUMIF(ЗАКАЗЫ!$F$3:$F$500,$A106,ЗАКАЗЫ!$Y$3:$Y$500)/BN106,0),IF(OR(BE106="",BG106=""),"",ROUND(BE106*BG106*(1+Справочники!$B$10),0)))</f>
        <v/>
      </c>
      <c r="BI106" s="92" t="str">
        <f aca="false">IF(OR(AU106="",BH106="",AU106=0),"",(AU106-BH106)/AU106)</f>
        <v/>
      </c>
      <c r="BJ106" s="81"/>
      <c r="BK106" s="83"/>
      <c r="BL106" s="43" t="str">
        <f aca="false">IFERROR(INDEX(ЗАКАЗЫ!$N$3:$N$500,MATCH($A106,ЗАКАЗЫ!$F$3:$F$500,0)),"")</f>
        <v/>
      </c>
      <c r="BM106" s="8" t="str">
        <f aca="false">IF(BL106="","",IFERROR(VLOOKUP(BL106,'ТН ВЭД'!$A$4:$C$40,3,0),""))</f>
        <v/>
      </c>
      <c r="BN106" s="7" t="str">
        <f aca="false">IF(COUNTIF(ЗАКАЗЫ!$F$3:$F$500,$A106)=0,"",SUMIF(ЗАКАЗЫ!$F$3:$F$500,$A106,ЗАКАЗЫ!$J$3:$J$500))</f>
        <v/>
      </c>
      <c r="BO106" s="7" t="str">
        <f aca="false">IF(BN106="","",SUMIF(ЗАКАЗЫ!$F$3:$F$500,$A106,ЗАКАЗЫ!$AL$3:$AL$500))</f>
        <v/>
      </c>
      <c r="BP106" s="7" t="str">
        <f aca="false">IF(BN106="","",BN106-BO106)</f>
        <v/>
      </c>
      <c r="BQ106" s="55" t="str">
        <f aca="false">IF(BN106="","",IF(BO106&gt;=BN106,"На складе",IF(BO106&gt;0,"Частично","Ждём")))</f>
        <v/>
      </c>
      <c r="BR106" s="43"/>
      <c r="BS106" s="47" t="str">
        <f aca="false">IF(BN106="","",IF(_xlfn.MAXIFS(ЗАКАЗЫ!$AK$3:$AK$500,ЗАКАЗЫ!$F$3:$F$500,$A106)=0,"",_xlfn.MAXIFS(ЗАКАЗЫ!$AK$3:$AK$500,ЗАКАЗЫ!$F$3:$F$500,$A106)))</f>
        <v/>
      </c>
    </row>
    <row r="107" customFormat="false" ht="15.75" hidden="false" customHeight="true" outlineLevel="0" collapsed="false">
      <c r="A107" s="80" t="s">
        <v>581</v>
      </c>
      <c r="B107" s="81"/>
      <c r="C107" s="81"/>
      <c r="D107" s="81"/>
      <c r="E107" s="83"/>
      <c r="F107" s="81"/>
      <c r="G107" s="83"/>
      <c r="H107" s="83"/>
      <c r="I107" s="84" t="str">
        <f aca="false">IF(E107="","",A107&amp;"_1.jpg")</f>
        <v/>
      </c>
      <c r="J107" s="84" t="str">
        <f aca="false">IF(E107="","",A107&amp;"_2.jpg; "&amp;A107&amp;"_3.jpg")</f>
        <v/>
      </c>
      <c r="K107" s="84" t="str">
        <f aca="false">IF(E107="","",A107&amp;"_schema.jpg")</f>
        <v/>
      </c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 t="s">
        <v>261</v>
      </c>
      <c r="W107" s="81"/>
      <c r="X107" s="81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6" t="str">
        <f aca="false">IF(SUM(Y107:AJ107)=0,"",SUM(Y107:AJ107))</f>
        <v/>
      </c>
      <c r="AL107" s="84" t="str">
        <f aca="false">MID(IF(N(Y107)&gt;0,", "&amp;Y$2,"")&amp;IF(N(Z107)&gt;0,", "&amp;Z$2,"")&amp;IF(N(AA107)&gt;0,", "&amp;AA$2,"")&amp;IF(N(AB107)&gt;0,", "&amp;AB$2,"")&amp;IF(N(AC107)&gt;0,", "&amp;AC$2,"")&amp;IF(N(AD107)&gt;0,", "&amp;AD$2,"")&amp;IF(N(AE107)&gt;0,", "&amp;AE$2,"")&amp;IF(N(AF107)&gt;0,", "&amp;AF$2,"")&amp;IF(N(AG107)&gt;0,", "&amp;AG$2,"")&amp;IF(N(AH107)&gt;0,", "&amp;AH$2,"")&amp;IF(N(AI107)&gt;0,", "&amp;AI$2,"")&amp;IF(N(AJ107)&gt;0,", "&amp;AJ$2,""),3,999)</f>
        <v/>
      </c>
      <c r="AM107" s="87" t="str">
        <f aca="false">IF(E107="","",MID(IF(N(Y107)&gt;0,", "&amp;A107&amp;"-"&amp;Y$2,"")&amp;IF(N(Z107)&gt;0,", "&amp;A107&amp;"-"&amp;Z$2,"")&amp;IF(N(AA107)&gt;0,", "&amp;A107&amp;"-"&amp;AA$2,"")&amp;IF(N(AB107)&gt;0,", "&amp;A107&amp;"-"&amp;AB$2,"")&amp;IF(N(AC107)&gt;0,", "&amp;A107&amp;"-"&amp;AC$2,"")&amp;IF(N(AD107)&gt;0,", "&amp;A107&amp;"-"&amp;AD$2,"")&amp;IF(N(AE107)&gt;0,", "&amp;A107&amp;"-"&amp;AE$2,"")&amp;IF(N(AF107)&gt;0,", "&amp;A107&amp;"-"&amp;AF$2,"")&amp;IF(N(AG107)&gt;0,", "&amp;A107&amp;"-"&amp;AG$2,"")&amp;IF(N(AH107)&gt;0,", "&amp;A107&amp;"-"&amp;AH$2,"")&amp;IF(N(AI107)&gt;0,", "&amp;A107&amp;"-"&amp;AI$2,"")&amp;IF(N(AJ107)&gt;0,", "&amp;A107&amp;"-"&amp;AJ$2,""),3,999))</f>
        <v/>
      </c>
      <c r="AN107" s="81"/>
      <c r="AO107" s="88"/>
      <c r="AP107" s="89" t="str">
        <f aca="false">IF(AO107="","",ROUND(AO107/(1+Справочники!$B$13),2))</f>
        <v/>
      </c>
      <c r="AQ107" s="90" t="str">
        <f aca="false" t="array" ref="AQ107:AQ107">IF(AP107="","",AP107*INDEX(Справочники!$B$4:$B$7,MATCH("RUB",Справочники!$A$4:$A$7,0)))</f>
        <v/>
      </c>
      <c r="AR107" s="90" t="str">
        <f aca="false">IF(AQ107="","",ROUND(AQ107*(1+Справочники!$B$12),0))</f>
        <v/>
      </c>
      <c r="AS107" s="90" t="str">
        <f aca="false">IF(AR107="","",ROUND(AR107*(1-Справочники!$B$11),0))</f>
        <v/>
      </c>
      <c r="AT107" s="88"/>
      <c r="AU107" s="90" t="str">
        <f aca="false">IF(AT107="","",ROUND(AT107/(1+Справочники!$B$12),0))</f>
        <v/>
      </c>
      <c r="AV107" s="90" t="str">
        <f aca="false">IF(AT107="","",ROUND(AT107*(1-Справочники!$B$15),0))</f>
        <v/>
      </c>
      <c r="AW107" s="90" t="str">
        <f aca="false">IF(AT107="","",ROUND(AT107*(1-Справочники!$B$16),0))</f>
        <v/>
      </c>
      <c r="AX107" s="90" t="str">
        <f aca="false">IF(AT107="","",ROUND(AT107*(1-Справочники!$B$17),0))</f>
        <v/>
      </c>
      <c r="AY107" s="90" t="str">
        <f aca="false">IF(AT107="","",ROUND(AT107*(1-Справочники!$B$18),0))</f>
        <v/>
      </c>
      <c r="AZ107" s="90" t="str">
        <f aca="false">IF(AT107="","",ROUND(AT107*(1-Справочники!$B$19),0))</f>
        <v/>
      </c>
      <c r="BA107" s="81"/>
      <c r="BB107" s="81"/>
      <c r="BC107" s="81"/>
      <c r="BD107" s="81"/>
      <c r="BE107" s="91"/>
      <c r="BF107" s="81" t="s">
        <v>103</v>
      </c>
      <c r="BG107" s="89" t="n">
        <f aca="false" t="array" ref="BG107:BG107">IF(BF107="","",IFERROR(INDEX(Справочники!$B$4:$B$7,MATCH(BF107,Справочники!$A$4:$A$7,0)),""))</f>
        <v>68.5</v>
      </c>
      <c r="BH107" s="90" t="str">
        <f aca="false">IF(N(BN107)&gt;0,ROUND(SUMIF(ЗАКАЗЫ!$F$3:$F$500,$A107,ЗАКАЗЫ!$Y$3:$Y$500)/BN107,0),IF(OR(BE107="",BG107=""),"",ROUND(BE107*BG107*(1+Справочники!$B$10),0)))</f>
        <v/>
      </c>
      <c r="BI107" s="92" t="str">
        <f aca="false">IF(OR(AU107="",BH107="",AU107=0),"",(AU107-BH107)/AU107)</f>
        <v/>
      </c>
      <c r="BJ107" s="81"/>
      <c r="BK107" s="83"/>
      <c r="BL107" s="43" t="str">
        <f aca="false">IFERROR(INDEX(ЗАКАЗЫ!$N$3:$N$500,MATCH($A107,ЗАКАЗЫ!$F$3:$F$500,0)),"")</f>
        <v/>
      </c>
      <c r="BM107" s="8" t="str">
        <f aca="false">IF(BL107="","",IFERROR(VLOOKUP(BL107,'ТН ВЭД'!$A$4:$C$40,3,0),""))</f>
        <v/>
      </c>
      <c r="BN107" s="7" t="str">
        <f aca="false">IF(COUNTIF(ЗАКАЗЫ!$F$3:$F$500,$A107)=0,"",SUMIF(ЗАКАЗЫ!$F$3:$F$500,$A107,ЗАКАЗЫ!$J$3:$J$500))</f>
        <v/>
      </c>
      <c r="BO107" s="7" t="str">
        <f aca="false">IF(BN107="","",SUMIF(ЗАКАЗЫ!$F$3:$F$500,$A107,ЗАКАЗЫ!$AL$3:$AL$500))</f>
        <v/>
      </c>
      <c r="BP107" s="7" t="str">
        <f aca="false">IF(BN107="","",BN107-BO107)</f>
        <v/>
      </c>
      <c r="BQ107" s="55" t="str">
        <f aca="false">IF(BN107="","",IF(BO107&gt;=BN107,"На складе",IF(BO107&gt;0,"Частично","Ждём")))</f>
        <v/>
      </c>
      <c r="BR107" s="43"/>
      <c r="BS107" s="47" t="str">
        <f aca="false">IF(BN107="","",IF(_xlfn.MAXIFS(ЗАКАЗЫ!$AK$3:$AK$500,ЗАКАЗЫ!$F$3:$F$500,$A107)=0,"",_xlfn.MAXIFS(ЗАКАЗЫ!$AK$3:$AK$500,ЗАКАЗЫ!$F$3:$F$500,$A107)))</f>
        <v/>
      </c>
    </row>
    <row r="108" customFormat="false" ht="15.75" hidden="false" customHeight="true" outlineLevel="0" collapsed="false">
      <c r="A108" s="80" t="s">
        <v>582</v>
      </c>
      <c r="B108" s="81"/>
      <c r="C108" s="81"/>
      <c r="D108" s="81"/>
      <c r="E108" s="83"/>
      <c r="F108" s="81"/>
      <c r="G108" s="83"/>
      <c r="H108" s="83"/>
      <c r="I108" s="84" t="str">
        <f aca="false">IF(E108="","",A108&amp;"_1.jpg")</f>
        <v/>
      </c>
      <c r="J108" s="84" t="str">
        <f aca="false">IF(E108="","",A108&amp;"_2.jpg; "&amp;A108&amp;"_3.jpg")</f>
        <v/>
      </c>
      <c r="K108" s="84" t="str">
        <f aca="false">IF(E108="","",A108&amp;"_schema.jpg")</f>
        <v/>
      </c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 t="s">
        <v>261</v>
      </c>
      <c r="W108" s="81"/>
      <c r="X108" s="81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6" t="str">
        <f aca="false">IF(SUM(Y108:AJ108)=0,"",SUM(Y108:AJ108))</f>
        <v/>
      </c>
      <c r="AL108" s="84" t="str">
        <f aca="false">MID(IF(N(Y108)&gt;0,", "&amp;Y$2,"")&amp;IF(N(Z108)&gt;0,", "&amp;Z$2,"")&amp;IF(N(AA108)&gt;0,", "&amp;AA$2,"")&amp;IF(N(AB108)&gt;0,", "&amp;AB$2,"")&amp;IF(N(AC108)&gt;0,", "&amp;AC$2,"")&amp;IF(N(AD108)&gt;0,", "&amp;AD$2,"")&amp;IF(N(AE108)&gt;0,", "&amp;AE$2,"")&amp;IF(N(AF108)&gt;0,", "&amp;AF$2,"")&amp;IF(N(AG108)&gt;0,", "&amp;AG$2,"")&amp;IF(N(AH108)&gt;0,", "&amp;AH$2,"")&amp;IF(N(AI108)&gt;0,", "&amp;AI$2,"")&amp;IF(N(AJ108)&gt;0,", "&amp;AJ$2,""),3,999)</f>
        <v/>
      </c>
      <c r="AM108" s="87" t="str">
        <f aca="false">IF(E108="","",MID(IF(N(Y108)&gt;0,", "&amp;A108&amp;"-"&amp;Y$2,"")&amp;IF(N(Z108)&gt;0,", "&amp;A108&amp;"-"&amp;Z$2,"")&amp;IF(N(AA108)&gt;0,", "&amp;A108&amp;"-"&amp;AA$2,"")&amp;IF(N(AB108)&gt;0,", "&amp;A108&amp;"-"&amp;AB$2,"")&amp;IF(N(AC108)&gt;0,", "&amp;A108&amp;"-"&amp;AC$2,"")&amp;IF(N(AD108)&gt;0,", "&amp;A108&amp;"-"&amp;AD$2,"")&amp;IF(N(AE108)&gt;0,", "&amp;A108&amp;"-"&amp;AE$2,"")&amp;IF(N(AF108)&gt;0,", "&amp;A108&amp;"-"&amp;AF$2,"")&amp;IF(N(AG108)&gt;0,", "&amp;A108&amp;"-"&amp;AG$2,"")&amp;IF(N(AH108)&gt;0,", "&amp;A108&amp;"-"&amp;AH$2,"")&amp;IF(N(AI108)&gt;0,", "&amp;A108&amp;"-"&amp;AI$2,"")&amp;IF(N(AJ108)&gt;0,", "&amp;A108&amp;"-"&amp;AJ$2,""),3,999))</f>
        <v/>
      </c>
      <c r="AN108" s="81"/>
      <c r="AO108" s="88"/>
      <c r="AP108" s="89" t="str">
        <f aca="false">IF(AO108="","",ROUND(AO108/(1+Справочники!$B$13),2))</f>
        <v/>
      </c>
      <c r="AQ108" s="90" t="str">
        <f aca="false" t="array" ref="AQ108:AQ108">IF(AP108="","",AP108*INDEX(Справочники!$B$4:$B$7,MATCH("RUB",Справочники!$A$4:$A$7,0)))</f>
        <v/>
      </c>
      <c r="AR108" s="90" t="str">
        <f aca="false">IF(AQ108="","",ROUND(AQ108*(1+Справочники!$B$12),0))</f>
        <v/>
      </c>
      <c r="AS108" s="90" t="str">
        <f aca="false">IF(AR108="","",ROUND(AR108*(1-Справочники!$B$11),0))</f>
        <v/>
      </c>
      <c r="AT108" s="88"/>
      <c r="AU108" s="90" t="str">
        <f aca="false">IF(AT108="","",ROUND(AT108/(1+Справочники!$B$12),0))</f>
        <v/>
      </c>
      <c r="AV108" s="90" t="str">
        <f aca="false">IF(AT108="","",ROUND(AT108*(1-Справочники!$B$15),0))</f>
        <v/>
      </c>
      <c r="AW108" s="90" t="str">
        <f aca="false">IF(AT108="","",ROUND(AT108*(1-Справочники!$B$16),0))</f>
        <v/>
      </c>
      <c r="AX108" s="90" t="str">
        <f aca="false">IF(AT108="","",ROUND(AT108*(1-Справочники!$B$17),0))</f>
        <v/>
      </c>
      <c r="AY108" s="90" t="str">
        <f aca="false">IF(AT108="","",ROUND(AT108*(1-Справочники!$B$18),0))</f>
        <v/>
      </c>
      <c r="AZ108" s="90" t="str">
        <f aca="false">IF(AT108="","",ROUND(AT108*(1-Справочники!$B$19),0))</f>
        <v/>
      </c>
      <c r="BA108" s="81"/>
      <c r="BB108" s="81"/>
      <c r="BC108" s="81"/>
      <c r="BD108" s="81"/>
      <c r="BE108" s="91"/>
      <c r="BF108" s="81" t="s">
        <v>103</v>
      </c>
      <c r="BG108" s="89" t="n">
        <f aca="false" t="array" ref="BG108:BG108">IF(BF108="","",IFERROR(INDEX(Справочники!$B$4:$B$7,MATCH(BF108,Справочники!$A$4:$A$7,0)),""))</f>
        <v>68.5</v>
      </c>
      <c r="BH108" s="90" t="str">
        <f aca="false">IF(N(BN108)&gt;0,ROUND(SUMIF(ЗАКАЗЫ!$F$3:$F$500,$A108,ЗАКАЗЫ!$Y$3:$Y$500)/BN108,0),IF(OR(BE108="",BG108=""),"",ROUND(BE108*BG108*(1+Справочники!$B$10),0)))</f>
        <v/>
      </c>
      <c r="BI108" s="92" t="str">
        <f aca="false">IF(OR(AU108="",BH108="",AU108=0),"",(AU108-BH108)/AU108)</f>
        <v/>
      </c>
      <c r="BJ108" s="81"/>
      <c r="BK108" s="83"/>
      <c r="BL108" s="43" t="str">
        <f aca="false">IFERROR(INDEX(ЗАКАЗЫ!$N$3:$N$500,MATCH($A108,ЗАКАЗЫ!$F$3:$F$500,0)),"")</f>
        <v/>
      </c>
      <c r="BM108" s="8" t="str">
        <f aca="false">IF(BL108="","",IFERROR(VLOOKUP(BL108,'ТН ВЭД'!$A$4:$C$40,3,0),""))</f>
        <v/>
      </c>
      <c r="BN108" s="7" t="str">
        <f aca="false">IF(COUNTIF(ЗАКАЗЫ!$F$3:$F$500,$A108)=0,"",SUMIF(ЗАКАЗЫ!$F$3:$F$500,$A108,ЗАКАЗЫ!$J$3:$J$500))</f>
        <v/>
      </c>
      <c r="BO108" s="7" t="str">
        <f aca="false">IF(BN108="","",SUMIF(ЗАКАЗЫ!$F$3:$F$500,$A108,ЗАКАЗЫ!$AL$3:$AL$500))</f>
        <v/>
      </c>
      <c r="BP108" s="7" t="str">
        <f aca="false">IF(BN108="","",BN108-BO108)</f>
        <v/>
      </c>
      <c r="BQ108" s="55" t="str">
        <f aca="false">IF(BN108="","",IF(BO108&gt;=BN108,"На складе",IF(BO108&gt;0,"Частично","Ждём")))</f>
        <v/>
      </c>
      <c r="BR108" s="43"/>
      <c r="BS108" s="47" t="str">
        <f aca="false">IF(BN108="","",IF(_xlfn.MAXIFS(ЗАКАЗЫ!$AK$3:$AK$500,ЗАКАЗЫ!$F$3:$F$500,$A108)=0,"",_xlfn.MAXIFS(ЗАКАЗЫ!$AK$3:$AK$500,ЗАКАЗЫ!$F$3:$F$500,$A108)))</f>
        <v/>
      </c>
    </row>
    <row r="109" customFormat="false" ht="15.75" hidden="false" customHeight="true" outlineLevel="0" collapsed="false">
      <c r="A109" s="80" t="s">
        <v>583</v>
      </c>
      <c r="B109" s="81"/>
      <c r="C109" s="81"/>
      <c r="D109" s="81"/>
      <c r="E109" s="83"/>
      <c r="F109" s="81"/>
      <c r="G109" s="83"/>
      <c r="H109" s="83"/>
      <c r="I109" s="84" t="str">
        <f aca="false">IF(E109="","",A109&amp;"_1.jpg")</f>
        <v/>
      </c>
      <c r="J109" s="84" t="str">
        <f aca="false">IF(E109="","",A109&amp;"_2.jpg; "&amp;A109&amp;"_3.jpg")</f>
        <v/>
      </c>
      <c r="K109" s="84" t="str">
        <f aca="false">IF(E109="","",A109&amp;"_schema.jpg")</f>
        <v/>
      </c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 t="s">
        <v>261</v>
      </c>
      <c r="W109" s="81"/>
      <c r="X109" s="81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6" t="str">
        <f aca="false">IF(SUM(Y109:AJ109)=0,"",SUM(Y109:AJ109))</f>
        <v/>
      </c>
      <c r="AL109" s="84" t="str">
        <f aca="false">MID(IF(N(Y109)&gt;0,", "&amp;Y$2,"")&amp;IF(N(Z109)&gt;0,", "&amp;Z$2,"")&amp;IF(N(AA109)&gt;0,", "&amp;AA$2,"")&amp;IF(N(AB109)&gt;0,", "&amp;AB$2,"")&amp;IF(N(AC109)&gt;0,", "&amp;AC$2,"")&amp;IF(N(AD109)&gt;0,", "&amp;AD$2,"")&amp;IF(N(AE109)&gt;0,", "&amp;AE$2,"")&amp;IF(N(AF109)&gt;0,", "&amp;AF$2,"")&amp;IF(N(AG109)&gt;0,", "&amp;AG$2,"")&amp;IF(N(AH109)&gt;0,", "&amp;AH$2,"")&amp;IF(N(AI109)&gt;0,", "&amp;AI$2,"")&amp;IF(N(AJ109)&gt;0,", "&amp;AJ$2,""),3,999)</f>
        <v/>
      </c>
      <c r="AM109" s="87" t="str">
        <f aca="false">IF(E109="","",MID(IF(N(Y109)&gt;0,", "&amp;A109&amp;"-"&amp;Y$2,"")&amp;IF(N(Z109)&gt;0,", "&amp;A109&amp;"-"&amp;Z$2,"")&amp;IF(N(AA109)&gt;0,", "&amp;A109&amp;"-"&amp;AA$2,"")&amp;IF(N(AB109)&gt;0,", "&amp;A109&amp;"-"&amp;AB$2,"")&amp;IF(N(AC109)&gt;0,", "&amp;A109&amp;"-"&amp;AC$2,"")&amp;IF(N(AD109)&gt;0,", "&amp;A109&amp;"-"&amp;AD$2,"")&amp;IF(N(AE109)&gt;0,", "&amp;A109&amp;"-"&amp;AE$2,"")&amp;IF(N(AF109)&gt;0,", "&amp;A109&amp;"-"&amp;AF$2,"")&amp;IF(N(AG109)&gt;0,", "&amp;A109&amp;"-"&amp;AG$2,"")&amp;IF(N(AH109)&gt;0,", "&amp;A109&amp;"-"&amp;AH$2,"")&amp;IF(N(AI109)&gt;0,", "&amp;A109&amp;"-"&amp;AI$2,"")&amp;IF(N(AJ109)&gt;0,", "&amp;A109&amp;"-"&amp;AJ$2,""),3,999))</f>
        <v/>
      </c>
      <c r="AN109" s="81"/>
      <c r="AO109" s="88"/>
      <c r="AP109" s="89" t="str">
        <f aca="false">IF(AO109="","",ROUND(AO109/(1+Справочники!$B$13),2))</f>
        <v/>
      </c>
      <c r="AQ109" s="90" t="str">
        <f aca="false" t="array" ref="AQ109:AQ109">IF(AP109="","",AP109*INDEX(Справочники!$B$4:$B$7,MATCH("RUB",Справочники!$A$4:$A$7,0)))</f>
        <v/>
      </c>
      <c r="AR109" s="90" t="str">
        <f aca="false">IF(AQ109="","",ROUND(AQ109*(1+Справочники!$B$12),0))</f>
        <v/>
      </c>
      <c r="AS109" s="90" t="str">
        <f aca="false">IF(AR109="","",ROUND(AR109*(1-Справочники!$B$11),0))</f>
        <v/>
      </c>
      <c r="AT109" s="88"/>
      <c r="AU109" s="90" t="str">
        <f aca="false">IF(AT109="","",ROUND(AT109/(1+Справочники!$B$12),0))</f>
        <v/>
      </c>
      <c r="AV109" s="90" t="str">
        <f aca="false">IF(AT109="","",ROUND(AT109*(1-Справочники!$B$15),0))</f>
        <v/>
      </c>
      <c r="AW109" s="90" t="str">
        <f aca="false">IF(AT109="","",ROUND(AT109*(1-Справочники!$B$16),0))</f>
        <v/>
      </c>
      <c r="AX109" s="90" t="str">
        <f aca="false">IF(AT109="","",ROUND(AT109*(1-Справочники!$B$17),0))</f>
        <v/>
      </c>
      <c r="AY109" s="90" t="str">
        <f aca="false">IF(AT109="","",ROUND(AT109*(1-Справочники!$B$18),0))</f>
        <v/>
      </c>
      <c r="AZ109" s="90" t="str">
        <f aca="false">IF(AT109="","",ROUND(AT109*(1-Справочники!$B$19),0))</f>
        <v/>
      </c>
      <c r="BA109" s="81"/>
      <c r="BB109" s="81"/>
      <c r="BC109" s="81"/>
      <c r="BD109" s="81"/>
      <c r="BE109" s="91"/>
      <c r="BF109" s="81" t="s">
        <v>103</v>
      </c>
      <c r="BG109" s="89" t="n">
        <f aca="false" t="array" ref="BG109:BG109">IF(BF109="","",IFERROR(INDEX(Справочники!$B$4:$B$7,MATCH(BF109,Справочники!$A$4:$A$7,0)),""))</f>
        <v>68.5</v>
      </c>
      <c r="BH109" s="90" t="str">
        <f aca="false">IF(N(BN109)&gt;0,ROUND(SUMIF(ЗАКАЗЫ!$F$3:$F$500,$A109,ЗАКАЗЫ!$Y$3:$Y$500)/BN109,0),IF(OR(BE109="",BG109=""),"",ROUND(BE109*BG109*(1+Справочники!$B$10),0)))</f>
        <v/>
      </c>
      <c r="BI109" s="92" t="str">
        <f aca="false">IF(OR(AU109="",BH109="",AU109=0),"",(AU109-BH109)/AU109)</f>
        <v/>
      </c>
      <c r="BJ109" s="81"/>
      <c r="BK109" s="83"/>
      <c r="BL109" s="43" t="str">
        <f aca="false">IFERROR(INDEX(ЗАКАЗЫ!$N$3:$N$500,MATCH($A109,ЗАКАЗЫ!$F$3:$F$500,0)),"")</f>
        <v/>
      </c>
      <c r="BM109" s="8" t="str">
        <f aca="false">IF(BL109="","",IFERROR(VLOOKUP(BL109,'ТН ВЭД'!$A$4:$C$40,3,0),""))</f>
        <v/>
      </c>
      <c r="BN109" s="7" t="str">
        <f aca="false">IF(COUNTIF(ЗАКАЗЫ!$F$3:$F$500,$A109)=0,"",SUMIF(ЗАКАЗЫ!$F$3:$F$500,$A109,ЗАКАЗЫ!$J$3:$J$500))</f>
        <v/>
      </c>
      <c r="BO109" s="7" t="str">
        <f aca="false">IF(BN109="","",SUMIF(ЗАКАЗЫ!$F$3:$F$500,$A109,ЗАКАЗЫ!$AL$3:$AL$500))</f>
        <v/>
      </c>
      <c r="BP109" s="7" t="str">
        <f aca="false">IF(BN109="","",BN109-BO109)</f>
        <v/>
      </c>
      <c r="BQ109" s="55" t="str">
        <f aca="false">IF(BN109="","",IF(BO109&gt;=BN109,"На складе",IF(BO109&gt;0,"Частично","Ждём")))</f>
        <v/>
      </c>
      <c r="BR109" s="43"/>
      <c r="BS109" s="47" t="str">
        <f aca="false">IF(BN109="","",IF(_xlfn.MAXIFS(ЗАКАЗЫ!$AK$3:$AK$500,ЗАКАЗЫ!$F$3:$F$500,$A109)=0,"",_xlfn.MAXIFS(ЗАКАЗЫ!$AK$3:$AK$500,ЗАКАЗЫ!$F$3:$F$500,$A109)))</f>
        <v/>
      </c>
    </row>
    <row r="110" customFormat="false" ht="15.75" hidden="false" customHeight="true" outlineLevel="0" collapsed="false">
      <c r="A110" s="80" t="s">
        <v>584</v>
      </c>
      <c r="B110" s="81"/>
      <c r="C110" s="81"/>
      <c r="D110" s="81"/>
      <c r="E110" s="83"/>
      <c r="F110" s="81"/>
      <c r="G110" s="83"/>
      <c r="H110" s="83"/>
      <c r="I110" s="84" t="str">
        <f aca="false">IF(E110="","",A110&amp;"_1.jpg")</f>
        <v/>
      </c>
      <c r="J110" s="84" t="str">
        <f aca="false">IF(E110="","",A110&amp;"_2.jpg; "&amp;A110&amp;"_3.jpg")</f>
        <v/>
      </c>
      <c r="K110" s="84" t="str">
        <f aca="false">IF(E110="","",A110&amp;"_schema.jpg")</f>
        <v/>
      </c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 t="s">
        <v>261</v>
      </c>
      <c r="W110" s="81"/>
      <c r="X110" s="81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6" t="str">
        <f aca="false">IF(SUM(Y110:AJ110)=0,"",SUM(Y110:AJ110))</f>
        <v/>
      </c>
      <c r="AL110" s="84" t="str">
        <f aca="false">MID(IF(N(Y110)&gt;0,", "&amp;Y$2,"")&amp;IF(N(Z110)&gt;0,", "&amp;Z$2,"")&amp;IF(N(AA110)&gt;0,", "&amp;AA$2,"")&amp;IF(N(AB110)&gt;0,", "&amp;AB$2,"")&amp;IF(N(AC110)&gt;0,", "&amp;AC$2,"")&amp;IF(N(AD110)&gt;0,", "&amp;AD$2,"")&amp;IF(N(AE110)&gt;0,", "&amp;AE$2,"")&amp;IF(N(AF110)&gt;0,", "&amp;AF$2,"")&amp;IF(N(AG110)&gt;0,", "&amp;AG$2,"")&amp;IF(N(AH110)&gt;0,", "&amp;AH$2,"")&amp;IF(N(AI110)&gt;0,", "&amp;AI$2,"")&amp;IF(N(AJ110)&gt;0,", "&amp;AJ$2,""),3,999)</f>
        <v/>
      </c>
      <c r="AM110" s="87" t="str">
        <f aca="false">IF(E110="","",MID(IF(N(Y110)&gt;0,", "&amp;A110&amp;"-"&amp;Y$2,"")&amp;IF(N(Z110)&gt;0,", "&amp;A110&amp;"-"&amp;Z$2,"")&amp;IF(N(AA110)&gt;0,", "&amp;A110&amp;"-"&amp;AA$2,"")&amp;IF(N(AB110)&gt;0,", "&amp;A110&amp;"-"&amp;AB$2,"")&amp;IF(N(AC110)&gt;0,", "&amp;A110&amp;"-"&amp;AC$2,"")&amp;IF(N(AD110)&gt;0,", "&amp;A110&amp;"-"&amp;AD$2,"")&amp;IF(N(AE110)&gt;0,", "&amp;A110&amp;"-"&amp;AE$2,"")&amp;IF(N(AF110)&gt;0,", "&amp;A110&amp;"-"&amp;AF$2,"")&amp;IF(N(AG110)&gt;0,", "&amp;A110&amp;"-"&amp;AG$2,"")&amp;IF(N(AH110)&gt;0,", "&amp;A110&amp;"-"&amp;AH$2,"")&amp;IF(N(AI110)&gt;0,", "&amp;A110&amp;"-"&amp;AI$2,"")&amp;IF(N(AJ110)&gt;0,", "&amp;A110&amp;"-"&amp;AJ$2,""),3,999))</f>
        <v/>
      </c>
      <c r="AN110" s="81"/>
      <c r="AO110" s="88"/>
      <c r="AP110" s="89" t="str">
        <f aca="false">IF(AO110="","",ROUND(AO110/(1+Справочники!$B$13),2))</f>
        <v/>
      </c>
      <c r="AQ110" s="90" t="str">
        <f aca="false" t="array" ref="AQ110:AQ110">IF(AP110="","",AP110*INDEX(Справочники!$B$4:$B$7,MATCH("RUB",Справочники!$A$4:$A$7,0)))</f>
        <v/>
      </c>
      <c r="AR110" s="90" t="str">
        <f aca="false">IF(AQ110="","",ROUND(AQ110*(1+Справочники!$B$12),0))</f>
        <v/>
      </c>
      <c r="AS110" s="90" t="str">
        <f aca="false">IF(AR110="","",ROUND(AR110*(1-Справочники!$B$11),0))</f>
        <v/>
      </c>
      <c r="AT110" s="88"/>
      <c r="AU110" s="90" t="str">
        <f aca="false">IF(AT110="","",ROUND(AT110/(1+Справочники!$B$12),0))</f>
        <v/>
      </c>
      <c r="AV110" s="90" t="str">
        <f aca="false">IF(AT110="","",ROUND(AT110*(1-Справочники!$B$15),0))</f>
        <v/>
      </c>
      <c r="AW110" s="90" t="str">
        <f aca="false">IF(AT110="","",ROUND(AT110*(1-Справочники!$B$16),0))</f>
        <v/>
      </c>
      <c r="AX110" s="90" t="str">
        <f aca="false">IF(AT110="","",ROUND(AT110*(1-Справочники!$B$17),0))</f>
        <v/>
      </c>
      <c r="AY110" s="90" t="str">
        <f aca="false">IF(AT110="","",ROUND(AT110*(1-Справочники!$B$18),0))</f>
        <v/>
      </c>
      <c r="AZ110" s="90" t="str">
        <f aca="false">IF(AT110="","",ROUND(AT110*(1-Справочники!$B$19),0))</f>
        <v/>
      </c>
      <c r="BA110" s="81"/>
      <c r="BB110" s="81"/>
      <c r="BC110" s="81"/>
      <c r="BD110" s="81"/>
      <c r="BE110" s="91"/>
      <c r="BF110" s="81" t="s">
        <v>103</v>
      </c>
      <c r="BG110" s="89" t="n">
        <f aca="false" t="array" ref="BG110:BG110">IF(BF110="","",IFERROR(INDEX(Справочники!$B$4:$B$7,MATCH(BF110,Справочники!$A$4:$A$7,0)),""))</f>
        <v>68.5</v>
      </c>
      <c r="BH110" s="90" t="str">
        <f aca="false">IF(N(BN110)&gt;0,ROUND(SUMIF(ЗАКАЗЫ!$F$3:$F$500,$A110,ЗАКАЗЫ!$Y$3:$Y$500)/BN110,0),IF(OR(BE110="",BG110=""),"",ROUND(BE110*BG110*(1+Справочники!$B$10),0)))</f>
        <v/>
      </c>
      <c r="BI110" s="92" t="str">
        <f aca="false">IF(OR(AU110="",BH110="",AU110=0),"",(AU110-BH110)/AU110)</f>
        <v/>
      </c>
      <c r="BJ110" s="81"/>
      <c r="BK110" s="83"/>
      <c r="BL110" s="43" t="str">
        <f aca="false">IFERROR(INDEX(ЗАКАЗЫ!$N$3:$N$500,MATCH($A110,ЗАКАЗЫ!$F$3:$F$500,0)),"")</f>
        <v/>
      </c>
      <c r="BM110" s="8" t="str">
        <f aca="false">IF(BL110="","",IFERROR(VLOOKUP(BL110,'ТН ВЭД'!$A$4:$C$40,3,0),""))</f>
        <v/>
      </c>
      <c r="BN110" s="7" t="str">
        <f aca="false">IF(COUNTIF(ЗАКАЗЫ!$F$3:$F$500,$A110)=0,"",SUMIF(ЗАКАЗЫ!$F$3:$F$500,$A110,ЗАКАЗЫ!$J$3:$J$500))</f>
        <v/>
      </c>
      <c r="BO110" s="7" t="str">
        <f aca="false">IF(BN110="","",SUMIF(ЗАКАЗЫ!$F$3:$F$500,$A110,ЗАКАЗЫ!$AL$3:$AL$500))</f>
        <v/>
      </c>
      <c r="BP110" s="7" t="str">
        <f aca="false">IF(BN110="","",BN110-BO110)</f>
        <v/>
      </c>
      <c r="BQ110" s="55" t="str">
        <f aca="false">IF(BN110="","",IF(BO110&gt;=BN110,"На складе",IF(BO110&gt;0,"Частично","Ждём")))</f>
        <v/>
      </c>
      <c r="BR110" s="43"/>
      <c r="BS110" s="47" t="str">
        <f aca="false">IF(BN110="","",IF(_xlfn.MAXIFS(ЗАКАЗЫ!$AK$3:$AK$500,ЗАКАЗЫ!$F$3:$F$500,$A110)=0,"",_xlfn.MAXIFS(ЗАКАЗЫ!$AK$3:$AK$500,ЗАКАЗЫ!$F$3:$F$500,$A110)))</f>
        <v/>
      </c>
    </row>
    <row r="111" customFormat="false" ht="15.75" hidden="false" customHeight="true" outlineLevel="0" collapsed="false">
      <c r="A111" s="80" t="s">
        <v>585</v>
      </c>
      <c r="B111" s="81"/>
      <c r="C111" s="81"/>
      <c r="D111" s="81"/>
      <c r="E111" s="83"/>
      <c r="F111" s="81"/>
      <c r="G111" s="83"/>
      <c r="H111" s="83"/>
      <c r="I111" s="84" t="str">
        <f aca="false">IF(E111="","",A111&amp;"_1.jpg")</f>
        <v/>
      </c>
      <c r="J111" s="84" t="str">
        <f aca="false">IF(E111="","",A111&amp;"_2.jpg; "&amp;A111&amp;"_3.jpg")</f>
        <v/>
      </c>
      <c r="K111" s="84" t="str">
        <f aca="false">IF(E111="","",A111&amp;"_schema.jpg")</f>
        <v/>
      </c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 t="s">
        <v>261</v>
      </c>
      <c r="W111" s="81"/>
      <c r="X111" s="81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6" t="str">
        <f aca="false">IF(SUM(Y111:AJ111)=0,"",SUM(Y111:AJ111))</f>
        <v/>
      </c>
      <c r="AL111" s="84" t="str">
        <f aca="false">MID(IF(N(Y111)&gt;0,", "&amp;Y$2,"")&amp;IF(N(Z111)&gt;0,", "&amp;Z$2,"")&amp;IF(N(AA111)&gt;0,", "&amp;AA$2,"")&amp;IF(N(AB111)&gt;0,", "&amp;AB$2,"")&amp;IF(N(AC111)&gt;0,", "&amp;AC$2,"")&amp;IF(N(AD111)&gt;0,", "&amp;AD$2,"")&amp;IF(N(AE111)&gt;0,", "&amp;AE$2,"")&amp;IF(N(AF111)&gt;0,", "&amp;AF$2,"")&amp;IF(N(AG111)&gt;0,", "&amp;AG$2,"")&amp;IF(N(AH111)&gt;0,", "&amp;AH$2,"")&amp;IF(N(AI111)&gt;0,", "&amp;AI$2,"")&amp;IF(N(AJ111)&gt;0,", "&amp;AJ$2,""),3,999)</f>
        <v/>
      </c>
      <c r="AM111" s="87" t="str">
        <f aca="false">IF(E111="","",MID(IF(N(Y111)&gt;0,", "&amp;A111&amp;"-"&amp;Y$2,"")&amp;IF(N(Z111)&gt;0,", "&amp;A111&amp;"-"&amp;Z$2,"")&amp;IF(N(AA111)&gt;0,", "&amp;A111&amp;"-"&amp;AA$2,"")&amp;IF(N(AB111)&gt;0,", "&amp;A111&amp;"-"&amp;AB$2,"")&amp;IF(N(AC111)&gt;0,", "&amp;A111&amp;"-"&amp;AC$2,"")&amp;IF(N(AD111)&gt;0,", "&amp;A111&amp;"-"&amp;AD$2,"")&amp;IF(N(AE111)&gt;0,", "&amp;A111&amp;"-"&amp;AE$2,"")&amp;IF(N(AF111)&gt;0,", "&amp;A111&amp;"-"&amp;AF$2,"")&amp;IF(N(AG111)&gt;0,", "&amp;A111&amp;"-"&amp;AG$2,"")&amp;IF(N(AH111)&gt;0,", "&amp;A111&amp;"-"&amp;AH$2,"")&amp;IF(N(AI111)&gt;0,", "&amp;A111&amp;"-"&amp;AI$2,"")&amp;IF(N(AJ111)&gt;0,", "&amp;A111&amp;"-"&amp;AJ$2,""),3,999))</f>
        <v/>
      </c>
      <c r="AN111" s="81"/>
      <c r="AO111" s="88"/>
      <c r="AP111" s="89" t="str">
        <f aca="false">IF(AO111="","",ROUND(AO111/(1+Справочники!$B$13),2))</f>
        <v/>
      </c>
      <c r="AQ111" s="90" t="str">
        <f aca="false" t="array" ref="AQ111:AQ111">IF(AP111="","",AP111*INDEX(Справочники!$B$4:$B$7,MATCH("RUB",Справочники!$A$4:$A$7,0)))</f>
        <v/>
      </c>
      <c r="AR111" s="90" t="str">
        <f aca="false">IF(AQ111="","",ROUND(AQ111*(1+Справочники!$B$12),0))</f>
        <v/>
      </c>
      <c r="AS111" s="90" t="str">
        <f aca="false">IF(AR111="","",ROUND(AR111*(1-Справочники!$B$11),0))</f>
        <v/>
      </c>
      <c r="AT111" s="88"/>
      <c r="AU111" s="90" t="str">
        <f aca="false">IF(AT111="","",ROUND(AT111/(1+Справочники!$B$12),0))</f>
        <v/>
      </c>
      <c r="AV111" s="90" t="str">
        <f aca="false">IF(AT111="","",ROUND(AT111*(1-Справочники!$B$15),0))</f>
        <v/>
      </c>
      <c r="AW111" s="90" t="str">
        <f aca="false">IF(AT111="","",ROUND(AT111*(1-Справочники!$B$16),0))</f>
        <v/>
      </c>
      <c r="AX111" s="90" t="str">
        <f aca="false">IF(AT111="","",ROUND(AT111*(1-Справочники!$B$17),0))</f>
        <v/>
      </c>
      <c r="AY111" s="90" t="str">
        <f aca="false">IF(AT111="","",ROUND(AT111*(1-Справочники!$B$18),0))</f>
        <v/>
      </c>
      <c r="AZ111" s="90" t="str">
        <f aca="false">IF(AT111="","",ROUND(AT111*(1-Справочники!$B$19),0))</f>
        <v/>
      </c>
      <c r="BA111" s="81"/>
      <c r="BB111" s="81"/>
      <c r="BC111" s="81"/>
      <c r="BD111" s="81"/>
      <c r="BE111" s="91"/>
      <c r="BF111" s="81" t="s">
        <v>103</v>
      </c>
      <c r="BG111" s="89" t="n">
        <f aca="false" t="array" ref="BG111:BG111">IF(BF111="","",IFERROR(INDEX(Справочники!$B$4:$B$7,MATCH(BF111,Справочники!$A$4:$A$7,0)),""))</f>
        <v>68.5</v>
      </c>
      <c r="BH111" s="90" t="str">
        <f aca="false">IF(N(BN111)&gt;0,ROUND(SUMIF(ЗАКАЗЫ!$F$3:$F$500,$A111,ЗАКАЗЫ!$Y$3:$Y$500)/BN111,0),IF(OR(BE111="",BG111=""),"",ROUND(BE111*BG111*(1+Справочники!$B$10),0)))</f>
        <v/>
      </c>
      <c r="BI111" s="92" t="str">
        <f aca="false">IF(OR(AU111="",BH111="",AU111=0),"",(AU111-BH111)/AU111)</f>
        <v/>
      </c>
      <c r="BJ111" s="81"/>
      <c r="BK111" s="83"/>
      <c r="BL111" s="43" t="str">
        <f aca="false">IFERROR(INDEX(ЗАКАЗЫ!$N$3:$N$500,MATCH($A111,ЗАКАЗЫ!$F$3:$F$500,0)),"")</f>
        <v/>
      </c>
      <c r="BM111" s="8" t="str">
        <f aca="false">IF(BL111="","",IFERROR(VLOOKUP(BL111,'ТН ВЭД'!$A$4:$C$40,3,0),""))</f>
        <v/>
      </c>
      <c r="BN111" s="7" t="str">
        <f aca="false">IF(COUNTIF(ЗАКАЗЫ!$F$3:$F$500,$A111)=0,"",SUMIF(ЗАКАЗЫ!$F$3:$F$500,$A111,ЗАКАЗЫ!$J$3:$J$500))</f>
        <v/>
      </c>
      <c r="BO111" s="7" t="str">
        <f aca="false">IF(BN111="","",SUMIF(ЗАКАЗЫ!$F$3:$F$500,$A111,ЗАКАЗЫ!$AL$3:$AL$500))</f>
        <v/>
      </c>
      <c r="BP111" s="7" t="str">
        <f aca="false">IF(BN111="","",BN111-BO111)</f>
        <v/>
      </c>
      <c r="BQ111" s="55" t="str">
        <f aca="false">IF(BN111="","",IF(BO111&gt;=BN111,"На складе",IF(BO111&gt;0,"Частично","Ждём")))</f>
        <v/>
      </c>
      <c r="BR111" s="43"/>
      <c r="BS111" s="47" t="str">
        <f aca="false">IF(BN111="","",IF(_xlfn.MAXIFS(ЗАКАЗЫ!$AK$3:$AK$500,ЗАКАЗЫ!$F$3:$F$500,$A111)=0,"",_xlfn.MAXIFS(ЗАКАЗЫ!$AK$3:$AK$500,ЗАКАЗЫ!$F$3:$F$500,$A111)))</f>
        <v/>
      </c>
    </row>
    <row r="112" customFormat="false" ht="15.75" hidden="false" customHeight="true" outlineLevel="0" collapsed="false">
      <c r="A112" s="80" t="s">
        <v>586</v>
      </c>
      <c r="B112" s="81"/>
      <c r="C112" s="81"/>
      <c r="D112" s="81"/>
      <c r="E112" s="83"/>
      <c r="F112" s="81"/>
      <c r="G112" s="83"/>
      <c r="H112" s="83"/>
      <c r="I112" s="84" t="str">
        <f aca="false">IF(E112="","",A112&amp;"_1.jpg")</f>
        <v/>
      </c>
      <c r="J112" s="84" t="str">
        <f aca="false">IF(E112="","",A112&amp;"_2.jpg; "&amp;A112&amp;"_3.jpg")</f>
        <v/>
      </c>
      <c r="K112" s="84" t="str">
        <f aca="false">IF(E112="","",A112&amp;"_schema.jpg")</f>
        <v/>
      </c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 t="s">
        <v>261</v>
      </c>
      <c r="W112" s="81"/>
      <c r="X112" s="81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6" t="str">
        <f aca="false">IF(SUM(Y112:AJ112)=0,"",SUM(Y112:AJ112))</f>
        <v/>
      </c>
      <c r="AL112" s="84" t="str">
        <f aca="false">MID(IF(N(Y112)&gt;0,", "&amp;Y$2,"")&amp;IF(N(Z112)&gt;0,", "&amp;Z$2,"")&amp;IF(N(AA112)&gt;0,", "&amp;AA$2,"")&amp;IF(N(AB112)&gt;0,", "&amp;AB$2,"")&amp;IF(N(AC112)&gt;0,", "&amp;AC$2,"")&amp;IF(N(AD112)&gt;0,", "&amp;AD$2,"")&amp;IF(N(AE112)&gt;0,", "&amp;AE$2,"")&amp;IF(N(AF112)&gt;0,", "&amp;AF$2,"")&amp;IF(N(AG112)&gt;0,", "&amp;AG$2,"")&amp;IF(N(AH112)&gt;0,", "&amp;AH$2,"")&amp;IF(N(AI112)&gt;0,", "&amp;AI$2,"")&amp;IF(N(AJ112)&gt;0,", "&amp;AJ$2,""),3,999)</f>
        <v/>
      </c>
      <c r="AM112" s="87" t="str">
        <f aca="false">IF(E112="","",MID(IF(N(Y112)&gt;0,", "&amp;A112&amp;"-"&amp;Y$2,"")&amp;IF(N(Z112)&gt;0,", "&amp;A112&amp;"-"&amp;Z$2,"")&amp;IF(N(AA112)&gt;0,", "&amp;A112&amp;"-"&amp;AA$2,"")&amp;IF(N(AB112)&gt;0,", "&amp;A112&amp;"-"&amp;AB$2,"")&amp;IF(N(AC112)&gt;0,", "&amp;A112&amp;"-"&amp;AC$2,"")&amp;IF(N(AD112)&gt;0,", "&amp;A112&amp;"-"&amp;AD$2,"")&amp;IF(N(AE112)&gt;0,", "&amp;A112&amp;"-"&amp;AE$2,"")&amp;IF(N(AF112)&gt;0,", "&amp;A112&amp;"-"&amp;AF$2,"")&amp;IF(N(AG112)&gt;0,", "&amp;A112&amp;"-"&amp;AG$2,"")&amp;IF(N(AH112)&gt;0,", "&amp;A112&amp;"-"&amp;AH$2,"")&amp;IF(N(AI112)&gt;0,", "&amp;A112&amp;"-"&amp;AI$2,"")&amp;IF(N(AJ112)&gt;0,", "&amp;A112&amp;"-"&amp;AJ$2,""),3,999))</f>
        <v/>
      </c>
      <c r="AN112" s="81"/>
      <c r="AO112" s="88"/>
      <c r="AP112" s="89" t="str">
        <f aca="false">IF(AO112="","",ROUND(AO112/(1+Справочники!$B$13),2))</f>
        <v/>
      </c>
      <c r="AQ112" s="90" t="str">
        <f aca="false" t="array" ref="AQ112:AQ112">IF(AP112="","",AP112*INDEX(Справочники!$B$4:$B$7,MATCH("RUB",Справочники!$A$4:$A$7,0)))</f>
        <v/>
      </c>
      <c r="AR112" s="90" t="str">
        <f aca="false">IF(AQ112="","",ROUND(AQ112*(1+Справочники!$B$12),0))</f>
        <v/>
      </c>
      <c r="AS112" s="90" t="str">
        <f aca="false">IF(AR112="","",ROUND(AR112*(1-Справочники!$B$11),0))</f>
        <v/>
      </c>
      <c r="AT112" s="88"/>
      <c r="AU112" s="90" t="str">
        <f aca="false">IF(AT112="","",ROUND(AT112/(1+Справочники!$B$12),0))</f>
        <v/>
      </c>
      <c r="AV112" s="90" t="str">
        <f aca="false">IF(AT112="","",ROUND(AT112*(1-Справочники!$B$15),0))</f>
        <v/>
      </c>
      <c r="AW112" s="90" t="str">
        <f aca="false">IF(AT112="","",ROUND(AT112*(1-Справочники!$B$16),0))</f>
        <v/>
      </c>
      <c r="AX112" s="90" t="str">
        <f aca="false">IF(AT112="","",ROUND(AT112*(1-Справочники!$B$17),0))</f>
        <v/>
      </c>
      <c r="AY112" s="90" t="str">
        <f aca="false">IF(AT112="","",ROUND(AT112*(1-Справочники!$B$18),0))</f>
        <v/>
      </c>
      <c r="AZ112" s="90" t="str">
        <f aca="false">IF(AT112="","",ROUND(AT112*(1-Справочники!$B$19),0))</f>
        <v/>
      </c>
      <c r="BA112" s="81"/>
      <c r="BB112" s="81"/>
      <c r="BC112" s="81"/>
      <c r="BD112" s="81"/>
      <c r="BE112" s="91"/>
      <c r="BF112" s="81" t="s">
        <v>103</v>
      </c>
      <c r="BG112" s="89" t="n">
        <f aca="false" t="array" ref="BG112:BG112">IF(BF112="","",IFERROR(INDEX(Справочники!$B$4:$B$7,MATCH(BF112,Справочники!$A$4:$A$7,0)),""))</f>
        <v>68.5</v>
      </c>
      <c r="BH112" s="90" t="str">
        <f aca="false">IF(N(BN112)&gt;0,ROUND(SUMIF(ЗАКАЗЫ!$F$3:$F$500,$A112,ЗАКАЗЫ!$Y$3:$Y$500)/BN112,0),IF(OR(BE112="",BG112=""),"",ROUND(BE112*BG112*(1+Справочники!$B$10),0)))</f>
        <v/>
      </c>
      <c r="BI112" s="92" t="str">
        <f aca="false">IF(OR(AU112="",BH112="",AU112=0),"",(AU112-BH112)/AU112)</f>
        <v/>
      </c>
      <c r="BJ112" s="81"/>
      <c r="BK112" s="83"/>
      <c r="BL112" s="43" t="str">
        <f aca="false">IFERROR(INDEX(ЗАКАЗЫ!$N$3:$N$500,MATCH($A112,ЗАКАЗЫ!$F$3:$F$500,0)),"")</f>
        <v/>
      </c>
      <c r="BM112" s="8" t="str">
        <f aca="false">IF(BL112="","",IFERROR(VLOOKUP(BL112,'ТН ВЭД'!$A$4:$C$40,3,0),""))</f>
        <v/>
      </c>
      <c r="BN112" s="7" t="str">
        <f aca="false">IF(COUNTIF(ЗАКАЗЫ!$F$3:$F$500,$A112)=0,"",SUMIF(ЗАКАЗЫ!$F$3:$F$500,$A112,ЗАКАЗЫ!$J$3:$J$500))</f>
        <v/>
      </c>
      <c r="BO112" s="7" t="str">
        <f aca="false">IF(BN112="","",SUMIF(ЗАКАЗЫ!$F$3:$F$500,$A112,ЗАКАЗЫ!$AL$3:$AL$500))</f>
        <v/>
      </c>
      <c r="BP112" s="7" t="str">
        <f aca="false">IF(BN112="","",BN112-BO112)</f>
        <v/>
      </c>
      <c r="BQ112" s="55" t="str">
        <f aca="false">IF(BN112="","",IF(BO112&gt;=BN112,"На складе",IF(BO112&gt;0,"Частично","Ждём")))</f>
        <v/>
      </c>
      <c r="BR112" s="43"/>
      <c r="BS112" s="47" t="str">
        <f aca="false">IF(BN112="","",IF(_xlfn.MAXIFS(ЗАКАЗЫ!$AK$3:$AK$500,ЗАКАЗЫ!$F$3:$F$500,$A112)=0,"",_xlfn.MAXIFS(ЗАКАЗЫ!$AK$3:$AK$500,ЗАКАЗЫ!$F$3:$F$500,$A112)))</f>
        <v/>
      </c>
    </row>
    <row r="113" customFormat="false" ht="15.75" hidden="false" customHeight="true" outlineLevel="0" collapsed="false">
      <c r="A113" s="80" t="s">
        <v>587</v>
      </c>
      <c r="B113" s="81"/>
      <c r="C113" s="81"/>
      <c r="D113" s="81"/>
      <c r="E113" s="83"/>
      <c r="F113" s="81"/>
      <c r="G113" s="83"/>
      <c r="H113" s="83"/>
      <c r="I113" s="84" t="str">
        <f aca="false">IF(E113="","",A113&amp;"_1.jpg")</f>
        <v/>
      </c>
      <c r="J113" s="84" t="str">
        <f aca="false">IF(E113="","",A113&amp;"_2.jpg; "&amp;A113&amp;"_3.jpg")</f>
        <v/>
      </c>
      <c r="K113" s="84" t="str">
        <f aca="false">IF(E113="","",A113&amp;"_schema.jpg")</f>
        <v/>
      </c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 t="s">
        <v>261</v>
      </c>
      <c r="W113" s="81"/>
      <c r="X113" s="81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6" t="str">
        <f aca="false">IF(SUM(Y113:AJ113)=0,"",SUM(Y113:AJ113))</f>
        <v/>
      </c>
      <c r="AL113" s="84" t="str">
        <f aca="false">MID(IF(N(Y113)&gt;0,", "&amp;Y$2,"")&amp;IF(N(Z113)&gt;0,", "&amp;Z$2,"")&amp;IF(N(AA113)&gt;0,", "&amp;AA$2,"")&amp;IF(N(AB113)&gt;0,", "&amp;AB$2,"")&amp;IF(N(AC113)&gt;0,", "&amp;AC$2,"")&amp;IF(N(AD113)&gt;0,", "&amp;AD$2,"")&amp;IF(N(AE113)&gt;0,", "&amp;AE$2,"")&amp;IF(N(AF113)&gt;0,", "&amp;AF$2,"")&amp;IF(N(AG113)&gt;0,", "&amp;AG$2,"")&amp;IF(N(AH113)&gt;0,", "&amp;AH$2,"")&amp;IF(N(AI113)&gt;0,", "&amp;AI$2,"")&amp;IF(N(AJ113)&gt;0,", "&amp;AJ$2,""),3,999)</f>
        <v/>
      </c>
      <c r="AM113" s="87" t="str">
        <f aca="false">IF(E113="","",MID(IF(N(Y113)&gt;0,", "&amp;A113&amp;"-"&amp;Y$2,"")&amp;IF(N(Z113)&gt;0,", "&amp;A113&amp;"-"&amp;Z$2,"")&amp;IF(N(AA113)&gt;0,", "&amp;A113&amp;"-"&amp;AA$2,"")&amp;IF(N(AB113)&gt;0,", "&amp;A113&amp;"-"&amp;AB$2,"")&amp;IF(N(AC113)&gt;0,", "&amp;A113&amp;"-"&amp;AC$2,"")&amp;IF(N(AD113)&gt;0,", "&amp;A113&amp;"-"&amp;AD$2,"")&amp;IF(N(AE113)&gt;0,", "&amp;A113&amp;"-"&amp;AE$2,"")&amp;IF(N(AF113)&gt;0,", "&amp;A113&amp;"-"&amp;AF$2,"")&amp;IF(N(AG113)&gt;0,", "&amp;A113&amp;"-"&amp;AG$2,"")&amp;IF(N(AH113)&gt;0,", "&amp;A113&amp;"-"&amp;AH$2,"")&amp;IF(N(AI113)&gt;0,", "&amp;A113&amp;"-"&amp;AI$2,"")&amp;IF(N(AJ113)&gt;0,", "&amp;A113&amp;"-"&amp;AJ$2,""),3,999))</f>
        <v/>
      </c>
      <c r="AN113" s="81"/>
      <c r="AO113" s="88"/>
      <c r="AP113" s="89" t="str">
        <f aca="false">IF(AO113="","",ROUND(AO113/(1+Справочники!$B$13),2))</f>
        <v/>
      </c>
      <c r="AQ113" s="90" t="str">
        <f aca="false" t="array" ref="AQ113:AQ113">IF(AP113="","",AP113*INDEX(Справочники!$B$4:$B$7,MATCH("RUB",Справочники!$A$4:$A$7,0)))</f>
        <v/>
      </c>
      <c r="AR113" s="90" t="str">
        <f aca="false">IF(AQ113="","",ROUND(AQ113*(1+Справочники!$B$12),0))</f>
        <v/>
      </c>
      <c r="AS113" s="90" t="str">
        <f aca="false">IF(AR113="","",ROUND(AR113*(1-Справочники!$B$11),0))</f>
        <v/>
      </c>
      <c r="AT113" s="88"/>
      <c r="AU113" s="90" t="str">
        <f aca="false">IF(AT113="","",ROUND(AT113/(1+Справочники!$B$12),0))</f>
        <v/>
      </c>
      <c r="AV113" s="90" t="str">
        <f aca="false">IF(AT113="","",ROUND(AT113*(1-Справочники!$B$15),0))</f>
        <v/>
      </c>
      <c r="AW113" s="90" t="str">
        <f aca="false">IF(AT113="","",ROUND(AT113*(1-Справочники!$B$16),0))</f>
        <v/>
      </c>
      <c r="AX113" s="90" t="str">
        <f aca="false">IF(AT113="","",ROUND(AT113*(1-Справочники!$B$17),0))</f>
        <v/>
      </c>
      <c r="AY113" s="90" t="str">
        <f aca="false">IF(AT113="","",ROUND(AT113*(1-Справочники!$B$18),0))</f>
        <v/>
      </c>
      <c r="AZ113" s="90" t="str">
        <f aca="false">IF(AT113="","",ROUND(AT113*(1-Справочники!$B$19),0))</f>
        <v/>
      </c>
      <c r="BA113" s="81"/>
      <c r="BB113" s="81"/>
      <c r="BC113" s="81"/>
      <c r="BD113" s="81"/>
      <c r="BE113" s="91"/>
      <c r="BF113" s="81" t="s">
        <v>103</v>
      </c>
      <c r="BG113" s="89" t="n">
        <f aca="false" t="array" ref="BG113:BG113">IF(BF113="","",IFERROR(INDEX(Справочники!$B$4:$B$7,MATCH(BF113,Справочники!$A$4:$A$7,0)),""))</f>
        <v>68.5</v>
      </c>
      <c r="BH113" s="90" t="str">
        <f aca="false">IF(N(BN113)&gt;0,ROUND(SUMIF(ЗАКАЗЫ!$F$3:$F$500,$A113,ЗАКАЗЫ!$Y$3:$Y$500)/BN113,0),IF(OR(BE113="",BG113=""),"",ROUND(BE113*BG113*(1+Справочники!$B$10),0)))</f>
        <v/>
      </c>
      <c r="BI113" s="92" t="str">
        <f aca="false">IF(OR(AU113="",BH113="",AU113=0),"",(AU113-BH113)/AU113)</f>
        <v/>
      </c>
      <c r="BJ113" s="81"/>
      <c r="BK113" s="83"/>
      <c r="BL113" s="43" t="str">
        <f aca="false">IFERROR(INDEX(ЗАКАЗЫ!$N$3:$N$500,MATCH($A113,ЗАКАЗЫ!$F$3:$F$500,0)),"")</f>
        <v/>
      </c>
      <c r="BM113" s="8" t="str">
        <f aca="false">IF(BL113="","",IFERROR(VLOOKUP(BL113,'ТН ВЭД'!$A$4:$C$40,3,0),""))</f>
        <v/>
      </c>
      <c r="BN113" s="7" t="str">
        <f aca="false">IF(COUNTIF(ЗАКАЗЫ!$F$3:$F$500,$A113)=0,"",SUMIF(ЗАКАЗЫ!$F$3:$F$500,$A113,ЗАКАЗЫ!$J$3:$J$500))</f>
        <v/>
      </c>
      <c r="BO113" s="7" t="str">
        <f aca="false">IF(BN113="","",SUMIF(ЗАКАЗЫ!$F$3:$F$500,$A113,ЗАКАЗЫ!$AL$3:$AL$500))</f>
        <v/>
      </c>
      <c r="BP113" s="7" t="str">
        <f aca="false">IF(BN113="","",BN113-BO113)</f>
        <v/>
      </c>
      <c r="BQ113" s="55" t="str">
        <f aca="false">IF(BN113="","",IF(BO113&gt;=BN113,"На складе",IF(BO113&gt;0,"Частично","Ждём")))</f>
        <v/>
      </c>
      <c r="BR113" s="43"/>
      <c r="BS113" s="47" t="str">
        <f aca="false">IF(BN113="","",IF(_xlfn.MAXIFS(ЗАКАЗЫ!$AK$3:$AK$500,ЗАКАЗЫ!$F$3:$F$500,$A113)=0,"",_xlfn.MAXIFS(ЗАКАЗЫ!$AK$3:$AK$500,ЗАКАЗЫ!$F$3:$F$500,$A113)))</f>
        <v/>
      </c>
    </row>
    <row r="114" customFormat="false" ht="15.75" hidden="false" customHeight="true" outlineLevel="0" collapsed="false">
      <c r="A114" s="80" t="s">
        <v>588</v>
      </c>
      <c r="B114" s="81"/>
      <c r="C114" s="81"/>
      <c r="D114" s="81"/>
      <c r="E114" s="83"/>
      <c r="F114" s="81"/>
      <c r="G114" s="83"/>
      <c r="H114" s="83"/>
      <c r="I114" s="84" t="str">
        <f aca="false">IF(E114="","",A114&amp;"_1.jpg")</f>
        <v/>
      </c>
      <c r="J114" s="84" t="str">
        <f aca="false">IF(E114="","",A114&amp;"_2.jpg; "&amp;A114&amp;"_3.jpg")</f>
        <v/>
      </c>
      <c r="K114" s="84" t="str">
        <f aca="false">IF(E114="","",A114&amp;"_schema.jpg")</f>
        <v/>
      </c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 t="s">
        <v>261</v>
      </c>
      <c r="W114" s="81"/>
      <c r="X114" s="81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6" t="str">
        <f aca="false">IF(SUM(Y114:AJ114)=0,"",SUM(Y114:AJ114))</f>
        <v/>
      </c>
      <c r="AL114" s="84" t="str">
        <f aca="false">MID(IF(N(Y114)&gt;0,", "&amp;Y$2,"")&amp;IF(N(Z114)&gt;0,", "&amp;Z$2,"")&amp;IF(N(AA114)&gt;0,", "&amp;AA$2,"")&amp;IF(N(AB114)&gt;0,", "&amp;AB$2,"")&amp;IF(N(AC114)&gt;0,", "&amp;AC$2,"")&amp;IF(N(AD114)&gt;0,", "&amp;AD$2,"")&amp;IF(N(AE114)&gt;0,", "&amp;AE$2,"")&amp;IF(N(AF114)&gt;0,", "&amp;AF$2,"")&amp;IF(N(AG114)&gt;0,", "&amp;AG$2,"")&amp;IF(N(AH114)&gt;0,", "&amp;AH$2,"")&amp;IF(N(AI114)&gt;0,", "&amp;AI$2,"")&amp;IF(N(AJ114)&gt;0,", "&amp;AJ$2,""),3,999)</f>
        <v/>
      </c>
      <c r="AM114" s="87" t="str">
        <f aca="false">IF(E114="","",MID(IF(N(Y114)&gt;0,", "&amp;A114&amp;"-"&amp;Y$2,"")&amp;IF(N(Z114)&gt;0,", "&amp;A114&amp;"-"&amp;Z$2,"")&amp;IF(N(AA114)&gt;0,", "&amp;A114&amp;"-"&amp;AA$2,"")&amp;IF(N(AB114)&gt;0,", "&amp;A114&amp;"-"&amp;AB$2,"")&amp;IF(N(AC114)&gt;0,", "&amp;A114&amp;"-"&amp;AC$2,"")&amp;IF(N(AD114)&gt;0,", "&amp;A114&amp;"-"&amp;AD$2,"")&amp;IF(N(AE114)&gt;0,", "&amp;A114&amp;"-"&amp;AE$2,"")&amp;IF(N(AF114)&gt;0,", "&amp;A114&amp;"-"&amp;AF$2,"")&amp;IF(N(AG114)&gt;0,", "&amp;A114&amp;"-"&amp;AG$2,"")&amp;IF(N(AH114)&gt;0,", "&amp;A114&amp;"-"&amp;AH$2,"")&amp;IF(N(AI114)&gt;0,", "&amp;A114&amp;"-"&amp;AI$2,"")&amp;IF(N(AJ114)&gt;0,", "&amp;A114&amp;"-"&amp;AJ$2,""),3,999))</f>
        <v/>
      </c>
      <c r="AN114" s="81"/>
      <c r="AO114" s="88"/>
      <c r="AP114" s="89" t="str">
        <f aca="false">IF(AO114="","",ROUND(AO114/(1+Справочники!$B$13),2))</f>
        <v/>
      </c>
      <c r="AQ114" s="90" t="str">
        <f aca="false" t="array" ref="AQ114:AQ114">IF(AP114="","",AP114*INDEX(Справочники!$B$4:$B$7,MATCH("RUB",Справочники!$A$4:$A$7,0)))</f>
        <v/>
      </c>
      <c r="AR114" s="90" t="str">
        <f aca="false">IF(AQ114="","",ROUND(AQ114*(1+Справочники!$B$12),0))</f>
        <v/>
      </c>
      <c r="AS114" s="90" t="str">
        <f aca="false">IF(AR114="","",ROUND(AR114*(1-Справочники!$B$11),0))</f>
        <v/>
      </c>
      <c r="AT114" s="88"/>
      <c r="AU114" s="90" t="str">
        <f aca="false">IF(AT114="","",ROUND(AT114/(1+Справочники!$B$12),0))</f>
        <v/>
      </c>
      <c r="AV114" s="90" t="str">
        <f aca="false">IF(AT114="","",ROUND(AT114*(1-Справочники!$B$15),0))</f>
        <v/>
      </c>
      <c r="AW114" s="90" t="str">
        <f aca="false">IF(AT114="","",ROUND(AT114*(1-Справочники!$B$16),0))</f>
        <v/>
      </c>
      <c r="AX114" s="90" t="str">
        <f aca="false">IF(AT114="","",ROUND(AT114*(1-Справочники!$B$17),0))</f>
        <v/>
      </c>
      <c r="AY114" s="90" t="str">
        <f aca="false">IF(AT114="","",ROUND(AT114*(1-Справочники!$B$18),0))</f>
        <v/>
      </c>
      <c r="AZ114" s="90" t="str">
        <f aca="false">IF(AT114="","",ROUND(AT114*(1-Справочники!$B$19),0))</f>
        <v/>
      </c>
      <c r="BA114" s="81"/>
      <c r="BB114" s="81"/>
      <c r="BC114" s="81"/>
      <c r="BD114" s="81"/>
      <c r="BE114" s="91"/>
      <c r="BF114" s="81" t="s">
        <v>103</v>
      </c>
      <c r="BG114" s="89" t="n">
        <f aca="false" t="array" ref="BG114:BG114">IF(BF114="","",IFERROR(INDEX(Справочники!$B$4:$B$7,MATCH(BF114,Справочники!$A$4:$A$7,0)),""))</f>
        <v>68.5</v>
      </c>
      <c r="BH114" s="90" t="str">
        <f aca="false">IF(N(BN114)&gt;0,ROUND(SUMIF(ЗАКАЗЫ!$F$3:$F$500,$A114,ЗАКАЗЫ!$Y$3:$Y$500)/BN114,0),IF(OR(BE114="",BG114=""),"",ROUND(BE114*BG114*(1+Справочники!$B$10),0)))</f>
        <v/>
      </c>
      <c r="BI114" s="92" t="str">
        <f aca="false">IF(OR(AU114="",BH114="",AU114=0),"",(AU114-BH114)/AU114)</f>
        <v/>
      </c>
      <c r="BJ114" s="81"/>
      <c r="BK114" s="83"/>
      <c r="BL114" s="43" t="str">
        <f aca="false">IFERROR(INDEX(ЗАКАЗЫ!$N$3:$N$500,MATCH($A114,ЗАКАЗЫ!$F$3:$F$500,0)),"")</f>
        <v/>
      </c>
      <c r="BM114" s="8" t="str">
        <f aca="false">IF(BL114="","",IFERROR(VLOOKUP(BL114,'ТН ВЭД'!$A$4:$C$40,3,0),""))</f>
        <v/>
      </c>
      <c r="BN114" s="7" t="str">
        <f aca="false">IF(COUNTIF(ЗАКАЗЫ!$F$3:$F$500,$A114)=0,"",SUMIF(ЗАКАЗЫ!$F$3:$F$500,$A114,ЗАКАЗЫ!$J$3:$J$500))</f>
        <v/>
      </c>
      <c r="BO114" s="7" t="str">
        <f aca="false">IF(BN114="","",SUMIF(ЗАКАЗЫ!$F$3:$F$500,$A114,ЗАКАЗЫ!$AL$3:$AL$500))</f>
        <v/>
      </c>
      <c r="BP114" s="7" t="str">
        <f aca="false">IF(BN114="","",BN114-BO114)</f>
        <v/>
      </c>
      <c r="BQ114" s="55" t="str">
        <f aca="false">IF(BN114="","",IF(BO114&gt;=BN114,"На складе",IF(BO114&gt;0,"Частично","Ждём")))</f>
        <v/>
      </c>
      <c r="BR114" s="43"/>
      <c r="BS114" s="47" t="str">
        <f aca="false">IF(BN114="","",IF(_xlfn.MAXIFS(ЗАКАЗЫ!$AK$3:$AK$500,ЗАКАЗЫ!$F$3:$F$500,$A114)=0,"",_xlfn.MAXIFS(ЗАКАЗЫ!$AK$3:$AK$500,ЗАКАЗЫ!$F$3:$F$500,$A114)))</f>
        <v/>
      </c>
    </row>
    <row r="115" customFormat="false" ht="15.75" hidden="false" customHeight="true" outlineLevel="0" collapsed="false">
      <c r="A115" s="80" t="s">
        <v>589</v>
      </c>
      <c r="B115" s="81"/>
      <c r="C115" s="81"/>
      <c r="D115" s="81"/>
      <c r="E115" s="83"/>
      <c r="F115" s="81"/>
      <c r="G115" s="83"/>
      <c r="H115" s="83"/>
      <c r="I115" s="84" t="str">
        <f aca="false">IF(E115="","",A115&amp;"_1.jpg")</f>
        <v/>
      </c>
      <c r="J115" s="84" t="str">
        <f aca="false">IF(E115="","",A115&amp;"_2.jpg; "&amp;A115&amp;"_3.jpg")</f>
        <v/>
      </c>
      <c r="K115" s="84" t="str">
        <f aca="false">IF(E115="","",A115&amp;"_schema.jpg")</f>
        <v/>
      </c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 t="s">
        <v>261</v>
      </c>
      <c r="W115" s="81"/>
      <c r="X115" s="81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6" t="str">
        <f aca="false">IF(SUM(Y115:AJ115)=0,"",SUM(Y115:AJ115))</f>
        <v/>
      </c>
      <c r="AL115" s="84" t="str">
        <f aca="false">MID(IF(N(Y115)&gt;0,", "&amp;Y$2,"")&amp;IF(N(Z115)&gt;0,", "&amp;Z$2,"")&amp;IF(N(AA115)&gt;0,", "&amp;AA$2,"")&amp;IF(N(AB115)&gt;0,", "&amp;AB$2,"")&amp;IF(N(AC115)&gt;0,", "&amp;AC$2,"")&amp;IF(N(AD115)&gt;0,", "&amp;AD$2,"")&amp;IF(N(AE115)&gt;0,", "&amp;AE$2,"")&amp;IF(N(AF115)&gt;0,", "&amp;AF$2,"")&amp;IF(N(AG115)&gt;0,", "&amp;AG$2,"")&amp;IF(N(AH115)&gt;0,", "&amp;AH$2,"")&amp;IF(N(AI115)&gt;0,", "&amp;AI$2,"")&amp;IF(N(AJ115)&gt;0,", "&amp;AJ$2,""),3,999)</f>
        <v/>
      </c>
      <c r="AM115" s="87" t="str">
        <f aca="false">IF(E115="","",MID(IF(N(Y115)&gt;0,", "&amp;A115&amp;"-"&amp;Y$2,"")&amp;IF(N(Z115)&gt;0,", "&amp;A115&amp;"-"&amp;Z$2,"")&amp;IF(N(AA115)&gt;0,", "&amp;A115&amp;"-"&amp;AA$2,"")&amp;IF(N(AB115)&gt;0,", "&amp;A115&amp;"-"&amp;AB$2,"")&amp;IF(N(AC115)&gt;0,", "&amp;A115&amp;"-"&amp;AC$2,"")&amp;IF(N(AD115)&gt;0,", "&amp;A115&amp;"-"&amp;AD$2,"")&amp;IF(N(AE115)&gt;0,", "&amp;A115&amp;"-"&amp;AE$2,"")&amp;IF(N(AF115)&gt;0,", "&amp;A115&amp;"-"&amp;AF$2,"")&amp;IF(N(AG115)&gt;0,", "&amp;A115&amp;"-"&amp;AG$2,"")&amp;IF(N(AH115)&gt;0,", "&amp;A115&amp;"-"&amp;AH$2,"")&amp;IF(N(AI115)&gt;0,", "&amp;A115&amp;"-"&amp;AI$2,"")&amp;IF(N(AJ115)&gt;0,", "&amp;A115&amp;"-"&amp;AJ$2,""),3,999))</f>
        <v/>
      </c>
      <c r="AN115" s="81"/>
      <c r="AO115" s="88"/>
      <c r="AP115" s="89" t="str">
        <f aca="false">IF(AO115="","",ROUND(AO115/(1+Справочники!$B$13),2))</f>
        <v/>
      </c>
      <c r="AQ115" s="90" t="str">
        <f aca="false" t="array" ref="AQ115:AQ115">IF(AP115="","",AP115*INDEX(Справочники!$B$4:$B$7,MATCH("RUB",Справочники!$A$4:$A$7,0)))</f>
        <v/>
      </c>
      <c r="AR115" s="90" t="str">
        <f aca="false">IF(AQ115="","",ROUND(AQ115*(1+Справочники!$B$12),0))</f>
        <v/>
      </c>
      <c r="AS115" s="90" t="str">
        <f aca="false">IF(AR115="","",ROUND(AR115*(1-Справочники!$B$11),0))</f>
        <v/>
      </c>
      <c r="AT115" s="88"/>
      <c r="AU115" s="90" t="str">
        <f aca="false">IF(AT115="","",ROUND(AT115/(1+Справочники!$B$12),0))</f>
        <v/>
      </c>
      <c r="AV115" s="90" t="str">
        <f aca="false">IF(AT115="","",ROUND(AT115*(1-Справочники!$B$15),0))</f>
        <v/>
      </c>
      <c r="AW115" s="90" t="str">
        <f aca="false">IF(AT115="","",ROUND(AT115*(1-Справочники!$B$16),0))</f>
        <v/>
      </c>
      <c r="AX115" s="90" t="str">
        <f aca="false">IF(AT115="","",ROUND(AT115*(1-Справочники!$B$17),0))</f>
        <v/>
      </c>
      <c r="AY115" s="90" t="str">
        <f aca="false">IF(AT115="","",ROUND(AT115*(1-Справочники!$B$18),0))</f>
        <v/>
      </c>
      <c r="AZ115" s="90" t="str">
        <f aca="false">IF(AT115="","",ROUND(AT115*(1-Справочники!$B$19),0))</f>
        <v/>
      </c>
      <c r="BA115" s="81"/>
      <c r="BB115" s="81"/>
      <c r="BC115" s="81"/>
      <c r="BD115" s="81"/>
      <c r="BE115" s="91"/>
      <c r="BF115" s="81" t="s">
        <v>103</v>
      </c>
      <c r="BG115" s="89" t="n">
        <f aca="false" t="array" ref="BG115:BG115">IF(BF115="","",IFERROR(INDEX(Справочники!$B$4:$B$7,MATCH(BF115,Справочники!$A$4:$A$7,0)),""))</f>
        <v>68.5</v>
      </c>
      <c r="BH115" s="90" t="str">
        <f aca="false">IF(N(BN115)&gt;0,ROUND(SUMIF(ЗАКАЗЫ!$F$3:$F$500,$A115,ЗАКАЗЫ!$Y$3:$Y$500)/BN115,0),IF(OR(BE115="",BG115=""),"",ROUND(BE115*BG115*(1+Справочники!$B$10),0)))</f>
        <v/>
      </c>
      <c r="BI115" s="92" t="str">
        <f aca="false">IF(OR(AU115="",BH115="",AU115=0),"",(AU115-BH115)/AU115)</f>
        <v/>
      </c>
      <c r="BJ115" s="81"/>
      <c r="BK115" s="83"/>
      <c r="BL115" s="43" t="str">
        <f aca="false">IFERROR(INDEX(ЗАКАЗЫ!$N$3:$N$500,MATCH($A115,ЗАКАЗЫ!$F$3:$F$500,0)),"")</f>
        <v/>
      </c>
      <c r="BM115" s="8" t="str">
        <f aca="false">IF(BL115="","",IFERROR(VLOOKUP(BL115,'ТН ВЭД'!$A$4:$C$40,3,0),""))</f>
        <v/>
      </c>
      <c r="BN115" s="7" t="str">
        <f aca="false">IF(COUNTIF(ЗАКАЗЫ!$F$3:$F$500,$A115)=0,"",SUMIF(ЗАКАЗЫ!$F$3:$F$500,$A115,ЗАКАЗЫ!$J$3:$J$500))</f>
        <v/>
      </c>
      <c r="BO115" s="7" t="str">
        <f aca="false">IF(BN115="","",SUMIF(ЗАКАЗЫ!$F$3:$F$500,$A115,ЗАКАЗЫ!$AL$3:$AL$500))</f>
        <v/>
      </c>
      <c r="BP115" s="7" t="str">
        <f aca="false">IF(BN115="","",BN115-BO115)</f>
        <v/>
      </c>
      <c r="BQ115" s="55" t="str">
        <f aca="false">IF(BN115="","",IF(BO115&gt;=BN115,"На складе",IF(BO115&gt;0,"Частично","Ждём")))</f>
        <v/>
      </c>
      <c r="BR115" s="43"/>
      <c r="BS115" s="47" t="str">
        <f aca="false">IF(BN115="","",IF(_xlfn.MAXIFS(ЗАКАЗЫ!$AK$3:$AK$500,ЗАКАЗЫ!$F$3:$F$500,$A115)=0,"",_xlfn.MAXIFS(ЗАКАЗЫ!$AK$3:$AK$500,ЗАКАЗЫ!$F$3:$F$500,$A115)))</f>
        <v/>
      </c>
    </row>
    <row r="116" customFormat="false" ht="15.75" hidden="false" customHeight="true" outlineLevel="0" collapsed="false">
      <c r="A116" s="80" t="s">
        <v>590</v>
      </c>
      <c r="B116" s="81"/>
      <c r="C116" s="81"/>
      <c r="D116" s="81"/>
      <c r="E116" s="83"/>
      <c r="F116" s="81"/>
      <c r="G116" s="83"/>
      <c r="H116" s="83"/>
      <c r="I116" s="84" t="str">
        <f aca="false">IF(E116="","",A116&amp;"_1.jpg")</f>
        <v/>
      </c>
      <c r="J116" s="84" t="str">
        <f aca="false">IF(E116="","",A116&amp;"_2.jpg; "&amp;A116&amp;"_3.jpg")</f>
        <v/>
      </c>
      <c r="K116" s="84" t="str">
        <f aca="false">IF(E116="","",A116&amp;"_schema.jpg")</f>
        <v/>
      </c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 t="s">
        <v>261</v>
      </c>
      <c r="W116" s="81"/>
      <c r="X116" s="81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6" t="str">
        <f aca="false">IF(SUM(Y116:AJ116)=0,"",SUM(Y116:AJ116))</f>
        <v/>
      </c>
      <c r="AL116" s="84" t="str">
        <f aca="false">MID(IF(N(Y116)&gt;0,", "&amp;Y$2,"")&amp;IF(N(Z116)&gt;0,", "&amp;Z$2,"")&amp;IF(N(AA116)&gt;0,", "&amp;AA$2,"")&amp;IF(N(AB116)&gt;0,", "&amp;AB$2,"")&amp;IF(N(AC116)&gt;0,", "&amp;AC$2,"")&amp;IF(N(AD116)&gt;0,", "&amp;AD$2,"")&amp;IF(N(AE116)&gt;0,", "&amp;AE$2,"")&amp;IF(N(AF116)&gt;0,", "&amp;AF$2,"")&amp;IF(N(AG116)&gt;0,", "&amp;AG$2,"")&amp;IF(N(AH116)&gt;0,", "&amp;AH$2,"")&amp;IF(N(AI116)&gt;0,", "&amp;AI$2,"")&amp;IF(N(AJ116)&gt;0,", "&amp;AJ$2,""),3,999)</f>
        <v/>
      </c>
      <c r="AM116" s="87" t="str">
        <f aca="false">IF(E116="","",MID(IF(N(Y116)&gt;0,", "&amp;A116&amp;"-"&amp;Y$2,"")&amp;IF(N(Z116)&gt;0,", "&amp;A116&amp;"-"&amp;Z$2,"")&amp;IF(N(AA116)&gt;0,", "&amp;A116&amp;"-"&amp;AA$2,"")&amp;IF(N(AB116)&gt;0,", "&amp;A116&amp;"-"&amp;AB$2,"")&amp;IF(N(AC116)&gt;0,", "&amp;A116&amp;"-"&amp;AC$2,"")&amp;IF(N(AD116)&gt;0,", "&amp;A116&amp;"-"&amp;AD$2,"")&amp;IF(N(AE116)&gt;0,", "&amp;A116&amp;"-"&amp;AE$2,"")&amp;IF(N(AF116)&gt;0,", "&amp;A116&amp;"-"&amp;AF$2,"")&amp;IF(N(AG116)&gt;0,", "&amp;A116&amp;"-"&amp;AG$2,"")&amp;IF(N(AH116)&gt;0,", "&amp;A116&amp;"-"&amp;AH$2,"")&amp;IF(N(AI116)&gt;0,", "&amp;A116&amp;"-"&amp;AI$2,"")&amp;IF(N(AJ116)&gt;0,", "&amp;A116&amp;"-"&amp;AJ$2,""),3,999))</f>
        <v/>
      </c>
      <c r="AN116" s="81"/>
      <c r="AO116" s="88"/>
      <c r="AP116" s="89" t="str">
        <f aca="false">IF(AO116="","",ROUND(AO116/(1+Справочники!$B$13),2))</f>
        <v/>
      </c>
      <c r="AQ116" s="90" t="str">
        <f aca="false" t="array" ref="AQ116:AQ116">IF(AP116="","",AP116*INDEX(Справочники!$B$4:$B$7,MATCH("RUB",Справочники!$A$4:$A$7,0)))</f>
        <v/>
      </c>
      <c r="AR116" s="90" t="str">
        <f aca="false">IF(AQ116="","",ROUND(AQ116*(1+Справочники!$B$12),0))</f>
        <v/>
      </c>
      <c r="AS116" s="90" t="str">
        <f aca="false">IF(AR116="","",ROUND(AR116*(1-Справочники!$B$11),0))</f>
        <v/>
      </c>
      <c r="AT116" s="88"/>
      <c r="AU116" s="90" t="str">
        <f aca="false">IF(AT116="","",ROUND(AT116/(1+Справочники!$B$12),0))</f>
        <v/>
      </c>
      <c r="AV116" s="90" t="str">
        <f aca="false">IF(AT116="","",ROUND(AT116*(1-Справочники!$B$15),0))</f>
        <v/>
      </c>
      <c r="AW116" s="90" t="str">
        <f aca="false">IF(AT116="","",ROUND(AT116*(1-Справочники!$B$16),0))</f>
        <v/>
      </c>
      <c r="AX116" s="90" t="str">
        <f aca="false">IF(AT116="","",ROUND(AT116*(1-Справочники!$B$17),0))</f>
        <v/>
      </c>
      <c r="AY116" s="90" t="str">
        <f aca="false">IF(AT116="","",ROUND(AT116*(1-Справочники!$B$18),0))</f>
        <v/>
      </c>
      <c r="AZ116" s="90" t="str">
        <f aca="false">IF(AT116="","",ROUND(AT116*(1-Справочники!$B$19),0))</f>
        <v/>
      </c>
      <c r="BA116" s="81"/>
      <c r="BB116" s="81"/>
      <c r="BC116" s="81"/>
      <c r="BD116" s="81"/>
      <c r="BE116" s="91"/>
      <c r="BF116" s="81" t="s">
        <v>103</v>
      </c>
      <c r="BG116" s="89" t="n">
        <f aca="false" t="array" ref="BG116:BG116">IF(BF116="","",IFERROR(INDEX(Справочники!$B$4:$B$7,MATCH(BF116,Справочники!$A$4:$A$7,0)),""))</f>
        <v>68.5</v>
      </c>
      <c r="BH116" s="90" t="str">
        <f aca="false">IF(N(BN116)&gt;0,ROUND(SUMIF(ЗАКАЗЫ!$F$3:$F$500,$A116,ЗАКАЗЫ!$Y$3:$Y$500)/BN116,0),IF(OR(BE116="",BG116=""),"",ROUND(BE116*BG116*(1+Справочники!$B$10),0)))</f>
        <v/>
      </c>
      <c r="BI116" s="92" t="str">
        <f aca="false">IF(OR(AU116="",BH116="",AU116=0),"",(AU116-BH116)/AU116)</f>
        <v/>
      </c>
      <c r="BJ116" s="81"/>
      <c r="BK116" s="83"/>
      <c r="BL116" s="43" t="str">
        <f aca="false">IFERROR(INDEX(ЗАКАЗЫ!$N$3:$N$500,MATCH($A116,ЗАКАЗЫ!$F$3:$F$500,0)),"")</f>
        <v/>
      </c>
      <c r="BM116" s="8" t="str">
        <f aca="false">IF(BL116="","",IFERROR(VLOOKUP(BL116,'ТН ВЭД'!$A$4:$C$40,3,0),""))</f>
        <v/>
      </c>
      <c r="BN116" s="7" t="str">
        <f aca="false">IF(COUNTIF(ЗАКАЗЫ!$F$3:$F$500,$A116)=0,"",SUMIF(ЗАКАЗЫ!$F$3:$F$500,$A116,ЗАКАЗЫ!$J$3:$J$500))</f>
        <v/>
      </c>
      <c r="BO116" s="7" t="str">
        <f aca="false">IF(BN116="","",SUMIF(ЗАКАЗЫ!$F$3:$F$500,$A116,ЗАКАЗЫ!$AL$3:$AL$500))</f>
        <v/>
      </c>
      <c r="BP116" s="7" t="str">
        <f aca="false">IF(BN116="","",BN116-BO116)</f>
        <v/>
      </c>
      <c r="BQ116" s="55" t="str">
        <f aca="false">IF(BN116="","",IF(BO116&gt;=BN116,"На складе",IF(BO116&gt;0,"Частично","Ждём")))</f>
        <v/>
      </c>
      <c r="BR116" s="43"/>
      <c r="BS116" s="47" t="str">
        <f aca="false">IF(BN116="","",IF(_xlfn.MAXIFS(ЗАКАЗЫ!$AK$3:$AK$500,ЗАКАЗЫ!$F$3:$F$500,$A116)=0,"",_xlfn.MAXIFS(ЗАКАЗЫ!$AK$3:$AK$500,ЗАКАЗЫ!$F$3:$F$500,$A116)))</f>
        <v/>
      </c>
    </row>
    <row r="117" customFormat="false" ht="15.75" hidden="false" customHeight="true" outlineLevel="0" collapsed="false">
      <c r="A117" s="80" t="s">
        <v>591</v>
      </c>
      <c r="B117" s="81"/>
      <c r="C117" s="81"/>
      <c r="D117" s="81"/>
      <c r="E117" s="83"/>
      <c r="F117" s="81"/>
      <c r="G117" s="83"/>
      <c r="H117" s="83"/>
      <c r="I117" s="84" t="str">
        <f aca="false">IF(E117="","",A117&amp;"_1.jpg")</f>
        <v/>
      </c>
      <c r="J117" s="84" t="str">
        <f aca="false">IF(E117="","",A117&amp;"_2.jpg; "&amp;A117&amp;"_3.jpg")</f>
        <v/>
      </c>
      <c r="K117" s="84" t="str">
        <f aca="false">IF(E117="","",A117&amp;"_schema.jpg")</f>
        <v/>
      </c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 t="s">
        <v>261</v>
      </c>
      <c r="W117" s="81"/>
      <c r="X117" s="81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6" t="str">
        <f aca="false">IF(SUM(Y117:AJ117)=0,"",SUM(Y117:AJ117))</f>
        <v/>
      </c>
      <c r="AL117" s="84" t="str">
        <f aca="false">MID(IF(N(Y117)&gt;0,", "&amp;Y$2,"")&amp;IF(N(Z117)&gt;0,", "&amp;Z$2,"")&amp;IF(N(AA117)&gt;0,", "&amp;AA$2,"")&amp;IF(N(AB117)&gt;0,", "&amp;AB$2,"")&amp;IF(N(AC117)&gt;0,", "&amp;AC$2,"")&amp;IF(N(AD117)&gt;0,", "&amp;AD$2,"")&amp;IF(N(AE117)&gt;0,", "&amp;AE$2,"")&amp;IF(N(AF117)&gt;0,", "&amp;AF$2,"")&amp;IF(N(AG117)&gt;0,", "&amp;AG$2,"")&amp;IF(N(AH117)&gt;0,", "&amp;AH$2,"")&amp;IF(N(AI117)&gt;0,", "&amp;AI$2,"")&amp;IF(N(AJ117)&gt;0,", "&amp;AJ$2,""),3,999)</f>
        <v/>
      </c>
      <c r="AM117" s="87" t="str">
        <f aca="false">IF(E117="","",MID(IF(N(Y117)&gt;0,", "&amp;A117&amp;"-"&amp;Y$2,"")&amp;IF(N(Z117)&gt;0,", "&amp;A117&amp;"-"&amp;Z$2,"")&amp;IF(N(AA117)&gt;0,", "&amp;A117&amp;"-"&amp;AA$2,"")&amp;IF(N(AB117)&gt;0,", "&amp;A117&amp;"-"&amp;AB$2,"")&amp;IF(N(AC117)&gt;0,", "&amp;A117&amp;"-"&amp;AC$2,"")&amp;IF(N(AD117)&gt;0,", "&amp;A117&amp;"-"&amp;AD$2,"")&amp;IF(N(AE117)&gt;0,", "&amp;A117&amp;"-"&amp;AE$2,"")&amp;IF(N(AF117)&gt;0,", "&amp;A117&amp;"-"&amp;AF$2,"")&amp;IF(N(AG117)&gt;0,", "&amp;A117&amp;"-"&amp;AG$2,"")&amp;IF(N(AH117)&gt;0,", "&amp;A117&amp;"-"&amp;AH$2,"")&amp;IF(N(AI117)&gt;0,", "&amp;A117&amp;"-"&amp;AI$2,"")&amp;IF(N(AJ117)&gt;0,", "&amp;A117&amp;"-"&amp;AJ$2,""),3,999))</f>
        <v/>
      </c>
      <c r="AN117" s="81"/>
      <c r="AO117" s="88"/>
      <c r="AP117" s="89" t="str">
        <f aca="false">IF(AO117="","",ROUND(AO117/(1+Справочники!$B$13),2))</f>
        <v/>
      </c>
      <c r="AQ117" s="90" t="str">
        <f aca="false" t="array" ref="AQ117:AQ117">IF(AP117="","",AP117*INDEX(Справочники!$B$4:$B$7,MATCH("RUB",Справочники!$A$4:$A$7,0)))</f>
        <v/>
      </c>
      <c r="AR117" s="90" t="str">
        <f aca="false">IF(AQ117="","",ROUND(AQ117*(1+Справочники!$B$12),0))</f>
        <v/>
      </c>
      <c r="AS117" s="90" t="str">
        <f aca="false">IF(AR117="","",ROUND(AR117*(1-Справочники!$B$11),0))</f>
        <v/>
      </c>
      <c r="AT117" s="88"/>
      <c r="AU117" s="90" t="str">
        <f aca="false">IF(AT117="","",ROUND(AT117/(1+Справочники!$B$12),0))</f>
        <v/>
      </c>
      <c r="AV117" s="90" t="str">
        <f aca="false">IF(AT117="","",ROUND(AT117*(1-Справочники!$B$15),0))</f>
        <v/>
      </c>
      <c r="AW117" s="90" t="str">
        <f aca="false">IF(AT117="","",ROUND(AT117*(1-Справочники!$B$16),0))</f>
        <v/>
      </c>
      <c r="AX117" s="90" t="str">
        <f aca="false">IF(AT117="","",ROUND(AT117*(1-Справочники!$B$17),0))</f>
        <v/>
      </c>
      <c r="AY117" s="90" t="str">
        <f aca="false">IF(AT117="","",ROUND(AT117*(1-Справочники!$B$18),0))</f>
        <v/>
      </c>
      <c r="AZ117" s="90" t="str">
        <f aca="false">IF(AT117="","",ROUND(AT117*(1-Справочники!$B$19),0))</f>
        <v/>
      </c>
      <c r="BA117" s="81"/>
      <c r="BB117" s="81"/>
      <c r="BC117" s="81"/>
      <c r="BD117" s="81"/>
      <c r="BE117" s="91"/>
      <c r="BF117" s="81" t="s">
        <v>103</v>
      </c>
      <c r="BG117" s="89" t="n">
        <f aca="false" t="array" ref="BG117:BG117">IF(BF117="","",IFERROR(INDEX(Справочники!$B$4:$B$7,MATCH(BF117,Справочники!$A$4:$A$7,0)),""))</f>
        <v>68.5</v>
      </c>
      <c r="BH117" s="90" t="str">
        <f aca="false">IF(N(BN117)&gt;0,ROUND(SUMIF(ЗАКАЗЫ!$F$3:$F$500,$A117,ЗАКАЗЫ!$Y$3:$Y$500)/BN117,0),IF(OR(BE117="",BG117=""),"",ROUND(BE117*BG117*(1+Справочники!$B$10),0)))</f>
        <v/>
      </c>
      <c r="BI117" s="92" t="str">
        <f aca="false">IF(OR(AU117="",BH117="",AU117=0),"",(AU117-BH117)/AU117)</f>
        <v/>
      </c>
      <c r="BJ117" s="81"/>
      <c r="BK117" s="83"/>
      <c r="BL117" s="43" t="str">
        <f aca="false">IFERROR(INDEX(ЗАКАЗЫ!$N$3:$N$500,MATCH($A117,ЗАКАЗЫ!$F$3:$F$500,0)),"")</f>
        <v/>
      </c>
      <c r="BM117" s="8" t="str">
        <f aca="false">IF(BL117="","",IFERROR(VLOOKUP(BL117,'ТН ВЭД'!$A$4:$C$40,3,0),""))</f>
        <v/>
      </c>
      <c r="BN117" s="7" t="str">
        <f aca="false">IF(COUNTIF(ЗАКАЗЫ!$F$3:$F$500,$A117)=0,"",SUMIF(ЗАКАЗЫ!$F$3:$F$500,$A117,ЗАКАЗЫ!$J$3:$J$500))</f>
        <v/>
      </c>
      <c r="BO117" s="7" t="str">
        <f aca="false">IF(BN117="","",SUMIF(ЗАКАЗЫ!$F$3:$F$500,$A117,ЗАКАЗЫ!$AL$3:$AL$500))</f>
        <v/>
      </c>
      <c r="BP117" s="7" t="str">
        <f aca="false">IF(BN117="","",BN117-BO117)</f>
        <v/>
      </c>
      <c r="BQ117" s="55" t="str">
        <f aca="false">IF(BN117="","",IF(BO117&gt;=BN117,"На складе",IF(BO117&gt;0,"Частично","Ждём")))</f>
        <v/>
      </c>
      <c r="BR117" s="43"/>
      <c r="BS117" s="47" t="str">
        <f aca="false">IF(BN117="","",IF(_xlfn.MAXIFS(ЗАКАЗЫ!$AK$3:$AK$500,ЗАКАЗЫ!$F$3:$F$500,$A117)=0,"",_xlfn.MAXIFS(ЗАКАЗЫ!$AK$3:$AK$500,ЗАКАЗЫ!$F$3:$F$500,$A117)))</f>
        <v/>
      </c>
    </row>
    <row r="118" customFormat="false" ht="15.75" hidden="false" customHeight="true" outlineLevel="0" collapsed="false">
      <c r="A118" s="80" t="s">
        <v>592</v>
      </c>
      <c r="B118" s="81"/>
      <c r="C118" s="81"/>
      <c r="D118" s="81"/>
      <c r="E118" s="83"/>
      <c r="F118" s="81"/>
      <c r="G118" s="83"/>
      <c r="H118" s="83"/>
      <c r="I118" s="84" t="str">
        <f aca="false">IF(E118="","",A118&amp;"_1.jpg")</f>
        <v/>
      </c>
      <c r="J118" s="84" t="str">
        <f aca="false">IF(E118="","",A118&amp;"_2.jpg; "&amp;A118&amp;"_3.jpg")</f>
        <v/>
      </c>
      <c r="K118" s="84" t="str">
        <f aca="false">IF(E118="","",A118&amp;"_schema.jpg")</f>
        <v/>
      </c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 t="s">
        <v>261</v>
      </c>
      <c r="W118" s="81"/>
      <c r="X118" s="81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6" t="str">
        <f aca="false">IF(SUM(Y118:AJ118)=0,"",SUM(Y118:AJ118))</f>
        <v/>
      </c>
      <c r="AL118" s="84" t="str">
        <f aca="false">MID(IF(N(Y118)&gt;0,", "&amp;Y$2,"")&amp;IF(N(Z118)&gt;0,", "&amp;Z$2,"")&amp;IF(N(AA118)&gt;0,", "&amp;AA$2,"")&amp;IF(N(AB118)&gt;0,", "&amp;AB$2,"")&amp;IF(N(AC118)&gt;0,", "&amp;AC$2,"")&amp;IF(N(AD118)&gt;0,", "&amp;AD$2,"")&amp;IF(N(AE118)&gt;0,", "&amp;AE$2,"")&amp;IF(N(AF118)&gt;0,", "&amp;AF$2,"")&amp;IF(N(AG118)&gt;0,", "&amp;AG$2,"")&amp;IF(N(AH118)&gt;0,", "&amp;AH$2,"")&amp;IF(N(AI118)&gt;0,", "&amp;AI$2,"")&amp;IF(N(AJ118)&gt;0,", "&amp;AJ$2,""),3,999)</f>
        <v/>
      </c>
      <c r="AM118" s="87" t="str">
        <f aca="false">IF(E118="","",MID(IF(N(Y118)&gt;0,", "&amp;A118&amp;"-"&amp;Y$2,"")&amp;IF(N(Z118)&gt;0,", "&amp;A118&amp;"-"&amp;Z$2,"")&amp;IF(N(AA118)&gt;0,", "&amp;A118&amp;"-"&amp;AA$2,"")&amp;IF(N(AB118)&gt;0,", "&amp;A118&amp;"-"&amp;AB$2,"")&amp;IF(N(AC118)&gt;0,", "&amp;A118&amp;"-"&amp;AC$2,"")&amp;IF(N(AD118)&gt;0,", "&amp;A118&amp;"-"&amp;AD$2,"")&amp;IF(N(AE118)&gt;0,", "&amp;A118&amp;"-"&amp;AE$2,"")&amp;IF(N(AF118)&gt;0,", "&amp;A118&amp;"-"&amp;AF$2,"")&amp;IF(N(AG118)&gt;0,", "&amp;A118&amp;"-"&amp;AG$2,"")&amp;IF(N(AH118)&gt;0,", "&amp;A118&amp;"-"&amp;AH$2,"")&amp;IF(N(AI118)&gt;0,", "&amp;A118&amp;"-"&amp;AI$2,"")&amp;IF(N(AJ118)&gt;0,", "&amp;A118&amp;"-"&amp;AJ$2,""),3,999))</f>
        <v/>
      </c>
      <c r="AN118" s="81"/>
      <c r="AO118" s="88"/>
      <c r="AP118" s="89" t="str">
        <f aca="false">IF(AO118="","",ROUND(AO118/(1+Справочники!$B$13),2))</f>
        <v/>
      </c>
      <c r="AQ118" s="90" t="str">
        <f aca="false" t="array" ref="AQ118:AQ118">IF(AP118="","",AP118*INDEX(Справочники!$B$4:$B$7,MATCH("RUB",Справочники!$A$4:$A$7,0)))</f>
        <v/>
      </c>
      <c r="AR118" s="90" t="str">
        <f aca="false">IF(AQ118="","",ROUND(AQ118*(1+Справочники!$B$12),0))</f>
        <v/>
      </c>
      <c r="AS118" s="90" t="str">
        <f aca="false">IF(AR118="","",ROUND(AR118*(1-Справочники!$B$11),0))</f>
        <v/>
      </c>
      <c r="AT118" s="88"/>
      <c r="AU118" s="90" t="str">
        <f aca="false">IF(AT118="","",ROUND(AT118/(1+Справочники!$B$12),0))</f>
        <v/>
      </c>
      <c r="AV118" s="90" t="str">
        <f aca="false">IF(AT118="","",ROUND(AT118*(1-Справочники!$B$15),0))</f>
        <v/>
      </c>
      <c r="AW118" s="90" t="str">
        <f aca="false">IF(AT118="","",ROUND(AT118*(1-Справочники!$B$16),0))</f>
        <v/>
      </c>
      <c r="AX118" s="90" t="str">
        <f aca="false">IF(AT118="","",ROUND(AT118*(1-Справочники!$B$17),0))</f>
        <v/>
      </c>
      <c r="AY118" s="90" t="str">
        <f aca="false">IF(AT118="","",ROUND(AT118*(1-Справочники!$B$18),0))</f>
        <v/>
      </c>
      <c r="AZ118" s="90" t="str">
        <f aca="false">IF(AT118="","",ROUND(AT118*(1-Справочники!$B$19),0))</f>
        <v/>
      </c>
      <c r="BA118" s="81"/>
      <c r="BB118" s="81"/>
      <c r="BC118" s="81"/>
      <c r="BD118" s="81"/>
      <c r="BE118" s="91"/>
      <c r="BF118" s="81" t="s">
        <v>103</v>
      </c>
      <c r="BG118" s="89" t="n">
        <f aca="false" t="array" ref="BG118:BG118">IF(BF118="","",IFERROR(INDEX(Справочники!$B$4:$B$7,MATCH(BF118,Справочники!$A$4:$A$7,0)),""))</f>
        <v>68.5</v>
      </c>
      <c r="BH118" s="90" t="str">
        <f aca="false">IF(N(BN118)&gt;0,ROUND(SUMIF(ЗАКАЗЫ!$F$3:$F$500,$A118,ЗАКАЗЫ!$Y$3:$Y$500)/BN118,0),IF(OR(BE118="",BG118=""),"",ROUND(BE118*BG118*(1+Справочники!$B$10),0)))</f>
        <v/>
      </c>
      <c r="BI118" s="92" t="str">
        <f aca="false">IF(OR(AU118="",BH118="",AU118=0),"",(AU118-BH118)/AU118)</f>
        <v/>
      </c>
      <c r="BJ118" s="81"/>
      <c r="BK118" s="83"/>
      <c r="BL118" s="43" t="str">
        <f aca="false">IFERROR(INDEX(ЗАКАЗЫ!$N$3:$N$500,MATCH($A118,ЗАКАЗЫ!$F$3:$F$500,0)),"")</f>
        <v/>
      </c>
      <c r="BM118" s="8" t="str">
        <f aca="false">IF(BL118="","",IFERROR(VLOOKUP(BL118,'ТН ВЭД'!$A$4:$C$40,3,0),""))</f>
        <v/>
      </c>
      <c r="BN118" s="7" t="str">
        <f aca="false">IF(COUNTIF(ЗАКАЗЫ!$F$3:$F$500,$A118)=0,"",SUMIF(ЗАКАЗЫ!$F$3:$F$500,$A118,ЗАКАЗЫ!$J$3:$J$500))</f>
        <v/>
      </c>
      <c r="BO118" s="7" t="str">
        <f aca="false">IF(BN118="","",SUMIF(ЗАКАЗЫ!$F$3:$F$500,$A118,ЗАКАЗЫ!$AL$3:$AL$500))</f>
        <v/>
      </c>
      <c r="BP118" s="7" t="str">
        <f aca="false">IF(BN118="","",BN118-BO118)</f>
        <v/>
      </c>
      <c r="BQ118" s="55" t="str">
        <f aca="false">IF(BN118="","",IF(BO118&gt;=BN118,"На складе",IF(BO118&gt;0,"Частично","Ждём")))</f>
        <v/>
      </c>
      <c r="BR118" s="43"/>
      <c r="BS118" s="47" t="str">
        <f aca="false">IF(BN118="","",IF(_xlfn.MAXIFS(ЗАКАЗЫ!$AK$3:$AK$500,ЗАКАЗЫ!$F$3:$F$500,$A118)=0,"",_xlfn.MAXIFS(ЗАКАЗЫ!$AK$3:$AK$500,ЗАКАЗЫ!$F$3:$F$500,$A118)))</f>
        <v/>
      </c>
    </row>
    <row r="119" customFormat="false" ht="15.75" hidden="false" customHeight="true" outlineLevel="0" collapsed="false">
      <c r="A119" s="80" t="s">
        <v>593</v>
      </c>
      <c r="B119" s="81"/>
      <c r="C119" s="81"/>
      <c r="D119" s="81"/>
      <c r="E119" s="83"/>
      <c r="F119" s="81"/>
      <c r="G119" s="83"/>
      <c r="H119" s="83"/>
      <c r="I119" s="84" t="str">
        <f aca="false">IF(E119="","",A119&amp;"_1.jpg")</f>
        <v/>
      </c>
      <c r="J119" s="84" t="str">
        <f aca="false">IF(E119="","",A119&amp;"_2.jpg; "&amp;A119&amp;"_3.jpg")</f>
        <v/>
      </c>
      <c r="K119" s="84" t="str">
        <f aca="false">IF(E119="","",A119&amp;"_schema.jpg")</f>
        <v/>
      </c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 t="s">
        <v>261</v>
      </c>
      <c r="W119" s="81"/>
      <c r="X119" s="81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6" t="str">
        <f aca="false">IF(SUM(Y119:AJ119)=0,"",SUM(Y119:AJ119))</f>
        <v/>
      </c>
      <c r="AL119" s="84" t="str">
        <f aca="false">MID(IF(N(Y119)&gt;0,", "&amp;Y$2,"")&amp;IF(N(Z119)&gt;0,", "&amp;Z$2,"")&amp;IF(N(AA119)&gt;0,", "&amp;AA$2,"")&amp;IF(N(AB119)&gt;0,", "&amp;AB$2,"")&amp;IF(N(AC119)&gt;0,", "&amp;AC$2,"")&amp;IF(N(AD119)&gt;0,", "&amp;AD$2,"")&amp;IF(N(AE119)&gt;0,", "&amp;AE$2,"")&amp;IF(N(AF119)&gt;0,", "&amp;AF$2,"")&amp;IF(N(AG119)&gt;0,", "&amp;AG$2,"")&amp;IF(N(AH119)&gt;0,", "&amp;AH$2,"")&amp;IF(N(AI119)&gt;0,", "&amp;AI$2,"")&amp;IF(N(AJ119)&gt;0,", "&amp;AJ$2,""),3,999)</f>
        <v/>
      </c>
      <c r="AM119" s="87" t="str">
        <f aca="false">IF(E119="","",MID(IF(N(Y119)&gt;0,", "&amp;A119&amp;"-"&amp;Y$2,"")&amp;IF(N(Z119)&gt;0,", "&amp;A119&amp;"-"&amp;Z$2,"")&amp;IF(N(AA119)&gt;0,", "&amp;A119&amp;"-"&amp;AA$2,"")&amp;IF(N(AB119)&gt;0,", "&amp;A119&amp;"-"&amp;AB$2,"")&amp;IF(N(AC119)&gt;0,", "&amp;A119&amp;"-"&amp;AC$2,"")&amp;IF(N(AD119)&gt;0,", "&amp;A119&amp;"-"&amp;AD$2,"")&amp;IF(N(AE119)&gt;0,", "&amp;A119&amp;"-"&amp;AE$2,"")&amp;IF(N(AF119)&gt;0,", "&amp;A119&amp;"-"&amp;AF$2,"")&amp;IF(N(AG119)&gt;0,", "&amp;A119&amp;"-"&amp;AG$2,"")&amp;IF(N(AH119)&gt;0,", "&amp;A119&amp;"-"&amp;AH$2,"")&amp;IF(N(AI119)&gt;0,", "&amp;A119&amp;"-"&amp;AI$2,"")&amp;IF(N(AJ119)&gt;0,", "&amp;A119&amp;"-"&amp;AJ$2,""),3,999))</f>
        <v/>
      </c>
      <c r="AN119" s="81"/>
      <c r="AO119" s="88"/>
      <c r="AP119" s="89" t="str">
        <f aca="false">IF(AO119="","",ROUND(AO119/(1+Справочники!$B$13),2))</f>
        <v/>
      </c>
      <c r="AQ119" s="90" t="str">
        <f aca="false" t="array" ref="AQ119:AQ119">IF(AP119="","",AP119*INDEX(Справочники!$B$4:$B$7,MATCH("RUB",Справочники!$A$4:$A$7,0)))</f>
        <v/>
      </c>
      <c r="AR119" s="90" t="str">
        <f aca="false">IF(AQ119="","",ROUND(AQ119*(1+Справочники!$B$12),0))</f>
        <v/>
      </c>
      <c r="AS119" s="90" t="str">
        <f aca="false">IF(AR119="","",ROUND(AR119*(1-Справочники!$B$11),0))</f>
        <v/>
      </c>
      <c r="AT119" s="88"/>
      <c r="AU119" s="90" t="str">
        <f aca="false">IF(AT119="","",ROUND(AT119/(1+Справочники!$B$12),0))</f>
        <v/>
      </c>
      <c r="AV119" s="90" t="str">
        <f aca="false">IF(AT119="","",ROUND(AT119*(1-Справочники!$B$15),0))</f>
        <v/>
      </c>
      <c r="AW119" s="90" t="str">
        <f aca="false">IF(AT119="","",ROUND(AT119*(1-Справочники!$B$16),0))</f>
        <v/>
      </c>
      <c r="AX119" s="90" t="str">
        <f aca="false">IF(AT119="","",ROUND(AT119*(1-Справочники!$B$17),0))</f>
        <v/>
      </c>
      <c r="AY119" s="90" t="str">
        <f aca="false">IF(AT119="","",ROUND(AT119*(1-Справочники!$B$18),0))</f>
        <v/>
      </c>
      <c r="AZ119" s="90" t="str">
        <f aca="false">IF(AT119="","",ROUND(AT119*(1-Справочники!$B$19),0))</f>
        <v/>
      </c>
      <c r="BA119" s="81"/>
      <c r="BB119" s="81"/>
      <c r="BC119" s="81"/>
      <c r="BD119" s="81"/>
      <c r="BE119" s="91"/>
      <c r="BF119" s="81" t="s">
        <v>103</v>
      </c>
      <c r="BG119" s="89" t="n">
        <f aca="false" t="array" ref="BG119:BG119">IF(BF119="","",IFERROR(INDEX(Справочники!$B$4:$B$7,MATCH(BF119,Справочники!$A$4:$A$7,0)),""))</f>
        <v>68.5</v>
      </c>
      <c r="BH119" s="90" t="str">
        <f aca="false">IF(N(BN119)&gt;0,ROUND(SUMIF(ЗАКАЗЫ!$F$3:$F$500,$A119,ЗАКАЗЫ!$Y$3:$Y$500)/BN119,0),IF(OR(BE119="",BG119=""),"",ROUND(BE119*BG119*(1+Справочники!$B$10),0)))</f>
        <v/>
      </c>
      <c r="BI119" s="92" t="str">
        <f aca="false">IF(OR(AU119="",BH119="",AU119=0),"",(AU119-BH119)/AU119)</f>
        <v/>
      </c>
      <c r="BJ119" s="81"/>
      <c r="BK119" s="83"/>
      <c r="BL119" s="43" t="str">
        <f aca="false">IFERROR(INDEX(ЗАКАЗЫ!$N$3:$N$500,MATCH($A119,ЗАКАЗЫ!$F$3:$F$500,0)),"")</f>
        <v/>
      </c>
      <c r="BM119" s="8" t="str">
        <f aca="false">IF(BL119="","",IFERROR(VLOOKUP(BL119,'ТН ВЭД'!$A$4:$C$40,3,0),""))</f>
        <v/>
      </c>
      <c r="BN119" s="7" t="str">
        <f aca="false">IF(COUNTIF(ЗАКАЗЫ!$F$3:$F$500,$A119)=0,"",SUMIF(ЗАКАЗЫ!$F$3:$F$500,$A119,ЗАКАЗЫ!$J$3:$J$500))</f>
        <v/>
      </c>
      <c r="BO119" s="7" t="str">
        <f aca="false">IF(BN119="","",SUMIF(ЗАКАЗЫ!$F$3:$F$500,$A119,ЗАКАЗЫ!$AL$3:$AL$500))</f>
        <v/>
      </c>
      <c r="BP119" s="7" t="str">
        <f aca="false">IF(BN119="","",BN119-BO119)</f>
        <v/>
      </c>
      <c r="BQ119" s="55" t="str">
        <f aca="false">IF(BN119="","",IF(BO119&gt;=BN119,"На складе",IF(BO119&gt;0,"Частично","Ждём")))</f>
        <v/>
      </c>
      <c r="BR119" s="43"/>
      <c r="BS119" s="47" t="str">
        <f aca="false">IF(BN119="","",IF(_xlfn.MAXIFS(ЗАКАЗЫ!$AK$3:$AK$500,ЗАКАЗЫ!$F$3:$F$500,$A119)=0,"",_xlfn.MAXIFS(ЗАКАЗЫ!$AK$3:$AK$500,ЗАКАЗЫ!$F$3:$F$500,$A119)))</f>
        <v/>
      </c>
    </row>
    <row r="120" customFormat="false" ht="15.75" hidden="false" customHeight="true" outlineLevel="0" collapsed="false">
      <c r="A120" s="80" t="s">
        <v>594</v>
      </c>
      <c r="B120" s="81"/>
      <c r="C120" s="81"/>
      <c r="D120" s="81"/>
      <c r="E120" s="83"/>
      <c r="F120" s="81"/>
      <c r="G120" s="83"/>
      <c r="H120" s="83"/>
      <c r="I120" s="84" t="str">
        <f aca="false">IF(E120="","",A120&amp;"_1.jpg")</f>
        <v/>
      </c>
      <c r="J120" s="84" t="str">
        <f aca="false">IF(E120="","",A120&amp;"_2.jpg; "&amp;A120&amp;"_3.jpg")</f>
        <v/>
      </c>
      <c r="K120" s="84" t="str">
        <f aca="false">IF(E120="","",A120&amp;"_schema.jpg")</f>
        <v/>
      </c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 t="s">
        <v>261</v>
      </c>
      <c r="W120" s="81"/>
      <c r="X120" s="81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6" t="str">
        <f aca="false">IF(SUM(Y120:AJ120)=0,"",SUM(Y120:AJ120))</f>
        <v/>
      </c>
      <c r="AL120" s="84" t="str">
        <f aca="false">MID(IF(N(Y120)&gt;0,", "&amp;Y$2,"")&amp;IF(N(Z120)&gt;0,", "&amp;Z$2,"")&amp;IF(N(AA120)&gt;0,", "&amp;AA$2,"")&amp;IF(N(AB120)&gt;0,", "&amp;AB$2,"")&amp;IF(N(AC120)&gt;0,", "&amp;AC$2,"")&amp;IF(N(AD120)&gt;0,", "&amp;AD$2,"")&amp;IF(N(AE120)&gt;0,", "&amp;AE$2,"")&amp;IF(N(AF120)&gt;0,", "&amp;AF$2,"")&amp;IF(N(AG120)&gt;0,", "&amp;AG$2,"")&amp;IF(N(AH120)&gt;0,", "&amp;AH$2,"")&amp;IF(N(AI120)&gt;0,", "&amp;AI$2,"")&amp;IF(N(AJ120)&gt;0,", "&amp;AJ$2,""),3,999)</f>
        <v/>
      </c>
      <c r="AM120" s="87" t="str">
        <f aca="false">IF(E120="","",MID(IF(N(Y120)&gt;0,", "&amp;A120&amp;"-"&amp;Y$2,"")&amp;IF(N(Z120)&gt;0,", "&amp;A120&amp;"-"&amp;Z$2,"")&amp;IF(N(AA120)&gt;0,", "&amp;A120&amp;"-"&amp;AA$2,"")&amp;IF(N(AB120)&gt;0,", "&amp;A120&amp;"-"&amp;AB$2,"")&amp;IF(N(AC120)&gt;0,", "&amp;A120&amp;"-"&amp;AC$2,"")&amp;IF(N(AD120)&gt;0,", "&amp;A120&amp;"-"&amp;AD$2,"")&amp;IF(N(AE120)&gt;0,", "&amp;A120&amp;"-"&amp;AE$2,"")&amp;IF(N(AF120)&gt;0,", "&amp;A120&amp;"-"&amp;AF$2,"")&amp;IF(N(AG120)&gt;0,", "&amp;A120&amp;"-"&amp;AG$2,"")&amp;IF(N(AH120)&gt;0,", "&amp;A120&amp;"-"&amp;AH$2,"")&amp;IF(N(AI120)&gt;0,", "&amp;A120&amp;"-"&amp;AI$2,"")&amp;IF(N(AJ120)&gt;0,", "&amp;A120&amp;"-"&amp;AJ$2,""),3,999))</f>
        <v/>
      </c>
      <c r="AN120" s="81"/>
      <c r="AO120" s="88"/>
      <c r="AP120" s="89" t="str">
        <f aca="false">IF(AO120="","",ROUND(AO120/(1+Справочники!$B$13),2))</f>
        <v/>
      </c>
      <c r="AQ120" s="90" t="str">
        <f aca="false" t="array" ref="AQ120:AQ120">IF(AP120="","",AP120*INDEX(Справочники!$B$4:$B$7,MATCH("RUB",Справочники!$A$4:$A$7,0)))</f>
        <v/>
      </c>
      <c r="AR120" s="90" t="str">
        <f aca="false">IF(AQ120="","",ROUND(AQ120*(1+Справочники!$B$12),0))</f>
        <v/>
      </c>
      <c r="AS120" s="90" t="str">
        <f aca="false">IF(AR120="","",ROUND(AR120*(1-Справочники!$B$11),0))</f>
        <v/>
      </c>
      <c r="AT120" s="88"/>
      <c r="AU120" s="90" t="str">
        <f aca="false">IF(AT120="","",ROUND(AT120/(1+Справочники!$B$12),0))</f>
        <v/>
      </c>
      <c r="AV120" s="90" t="str">
        <f aca="false">IF(AT120="","",ROUND(AT120*(1-Справочники!$B$15),0))</f>
        <v/>
      </c>
      <c r="AW120" s="90" t="str">
        <f aca="false">IF(AT120="","",ROUND(AT120*(1-Справочники!$B$16),0))</f>
        <v/>
      </c>
      <c r="AX120" s="90" t="str">
        <f aca="false">IF(AT120="","",ROUND(AT120*(1-Справочники!$B$17),0))</f>
        <v/>
      </c>
      <c r="AY120" s="90" t="str">
        <f aca="false">IF(AT120="","",ROUND(AT120*(1-Справочники!$B$18),0))</f>
        <v/>
      </c>
      <c r="AZ120" s="90" t="str">
        <f aca="false">IF(AT120="","",ROUND(AT120*(1-Справочники!$B$19),0))</f>
        <v/>
      </c>
      <c r="BA120" s="81"/>
      <c r="BB120" s="81"/>
      <c r="BC120" s="81"/>
      <c r="BD120" s="81"/>
      <c r="BE120" s="91"/>
      <c r="BF120" s="81" t="s">
        <v>103</v>
      </c>
      <c r="BG120" s="89" t="n">
        <f aca="false" t="array" ref="BG120:BG120">IF(BF120="","",IFERROR(INDEX(Справочники!$B$4:$B$7,MATCH(BF120,Справочники!$A$4:$A$7,0)),""))</f>
        <v>68.5</v>
      </c>
      <c r="BH120" s="90" t="str">
        <f aca="false">IF(N(BN120)&gt;0,ROUND(SUMIF(ЗАКАЗЫ!$F$3:$F$500,$A120,ЗАКАЗЫ!$Y$3:$Y$500)/BN120,0),IF(OR(BE120="",BG120=""),"",ROUND(BE120*BG120*(1+Справочники!$B$10),0)))</f>
        <v/>
      </c>
      <c r="BI120" s="92" t="str">
        <f aca="false">IF(OR(AU120="",BH120="",AU120=0),"",(AU120-BH120)/AU120)</f>
        <v/>
      </c>
      <c r="BJ120" s="81"/>
      <c r="BK120" s="83"/>
      <c r="BL120" s="43" t="str">
        <f aca="false">IFERROR(INDEX(ЗАКАЗЫ!$N$3:$N$500,MATCH($A120,ЗАКАЗЫ!$F$3:$F$500,0)),"")</f>
        <v/>
      </c>
      <c r="BM120" s="8" t="str">
        <f aca="false">IF(BL120="","",IFERROR(VLOOKUP(BL120,'ТН ВЭД'!$A$4:$C$40,3,0),""))</f>
        <v/>
      </c>
      <c r="BN120" s="7" t="str">
        <f aca="false">IF(COUNTIF(ЗАКАЗЫ!$F$3:$F$500,$A120)=0,"",SUMIF(ЗАКАЗЫ!$F$3:$F$500,$A120,ЗАКАЗЫ!$J$3:$J$500))</f>
        <v/>
      </c>
      <c r="BO120" s="7" t="str">
        <f aca="false">IF(BN120="","",SUMIF(ЗАКАЗЫ!$F$3:$F$500,$A120,ЗАКАЗЫ!$AL$3:$AL$500))</f>
        <v/>
      </c>
      <c r="BP120" s="7" t="str">
        <f aca="false">IF(BN120="","",BN120-BO120)</f>
        <v/>
      </c>
      <c r="BQ120" s="55" t="str">
        <f aca="false">IF(BN120="","",IF(BO120&gt;=BN120,"На складе",IF(BO120&gt;0,"Частично","Ждём")))</f>
        <v/>
      </c>
      <c r="BR120" s="43"/>
      <c r="BS120" s="47" t="str">
        <f aca="false">IF(BN120="","",IF(_xlfn.MAXIFS(ЗАКАЗЫ!$AK$3:$AK$500,ЗАКАЗЫ!$F$3:$F$500,$A120)=0,"",_xlfn.MAXIFS(ЗАКАЗЫ!$AK$3:$AK$500,ЗАКАЗЫ!$F$3:$F$500,$A120)))</f>
        <v/>
      </c>
    </row>
    <row r="121" customFormat="false" ht="15.75" hidden="false" customHeight="true" outlineLevel="0" collapsed="false">
      <c r="A121" s="80" t="s">
        <v>595</v>
      </c>
      <c r="B121" s="81"/>
      <c r="C121" s="81"/>
      <c r="D121" s="81"/>
      <c r="E121" s="83"/>
      <c r="F121" s="81"/>
      <c r="G121" s="83"/>
      <c r="H121" s="83"/>
      <c r="I121" s="84" t="str">
        <f aca="false">IF(E121="","",A121&amp;"_1.jpg")</f>
        <v/>
      </c>
      <c r="J121" s="84" t="str">
        <f aca="false">IF(E121="","",A121&amp;"_2.jpg; "&amp;A121&amp;"_3.jpg")</f>
        <v/>
      </c>
      <c r="K121" s="84" t="str">
        <f aca="false">IF(E121="","",A121&amp;"_schema.jpg")</f>
        <v/>
      </c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 t="s">
        <v>261</v>
      </c>
      <c r="W121" s="81"/>
      <c r="X121" s="81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6" t="str">
        <f aca="false">IF(SUM(Y121:AJ121)=0,"",SUM(Y121:AJ121))</f>
        <v/>
      </c>
      <c r="AL121" s="84" t="str">
        <f aca="false">MID(IF(N(Y121)&gt;0,", "&amp;Y$2,"")&amp;IF(N(Z121)&gt;0,", "&amp;Z$2,"")&amp;IF(N(AA121)&gt;0,", "&amp;AA$2,"")&amp;IF(N(AB121)&gt;0,", "&amp;AB$2,"")&amp;IF(N(AC121)&gt;0,", "&amp;AC$2,"")&amp;IF(N(AD121)&gt;0,", "&amp;AD$2,"")&amp;IF(N(AE121)&gt;0,", "&amp;AE$2,"")&amp;IF(N(AF121)&gt;0,", "&amp;AF$2,"")&amp;IF(N(AG121)&gt;0,", "&amp;AG$2,"")&amp;IF(N(AH121)&gt;0,", "&amp;AH$2,"")&amp;IF(N(AI121)&gt;0,", "&amp;AI$2,"")&amp;IF(N(AJ121)&gt;0,", "&amp;AJ$2,""),3,999)</f>
        <v/>
      </c>
      <c r="AM121" s="87" t="str">
        <f aca="false">IF(E121="","",MID(IF(N(Y121)&gt;0,", "&amp;A121&amp;"-"&amp;Y$2,"")&amp;IF(N(Z121)&gt;0,", "&amp;A121&amp;"-"&amp;Z$2,"")&amp;IF(N(AA121)&gt;0,", "&amp;A121&amp;"-"&amp;AA$2,"")&amp;IF(N(AB121)&gt;0,", "&amp;A121&amp;"-"&amp;AB$2,"")&amp;IF(N(AC121)&gt;0,", "&amp;A121&amp;"-"&amp;AC$2,"")&amp;IF(N(AD121)&gt;0,", "&amp;A121&amp;"-"&amp;AD$2,"")&amp;IF(N(AE121)&gt;0,", "&amp;A121&amp;"-"&amp;AE$2,"")&amp;IF(N(AF121)&gt;0,", "&amp;A121&amp;"-"&amp;AF$2,"")&amp;IF(N(AG121)&gt;0,", "&amp;A121&amp;"-"&amp;AG$2,"")&amp;IF(N(AH121)&gt;0,", "&amp;A121&amp;"-"&amp;AH$2,"")&amp;IF(N(AI121)&gt;0,", "&amp;A121&amp;"-"&amp;AI$2,"")&amp;IF(N(AJ121)&gt;0,", "&amp;A121&amp;"-"&amp;AJ$2,""),3,999))</f>
        <v/>
      </c>
      <c r="AN121" s="81"/>
      <c r="AO121" s="88"/>
      <c r="AP121" s="89" t="str">
        <f aca="false">IF(AO121="","",ROUND(AO121/(1+Справочники!$B$13),2))</f>
        <v/>
      </c>
      <c r="AQ121" s="90" t="str">
        <f aca="false" t="array" ref="AQ121:AQ121">IF(AP121="","",AP121*INDEX(Справочники!$B$4:$B$7,MATCH("RUB",Справочники!$A$4:$A$7,0)))</f>
        <v/>
      </c>
      <c r="AR121" s="90" t="str">
        <f aca="false">IF(AQ121="","",ROUND(AQ121*(1+Справочники!$B$12),0))</f>
        <v/>
      </c>
      <c r="AS121" s="90" t="str">
        <f aca="false">IF(AR121="","",ROUND(AR121*(1-Справочники!$B$11),0))</f>
        <v/>
      </c>
      <c r="AT121" s="88"/>
      <c r="AU121" s="90" t="str">
        <f aca="false">IF(AT121="","",ROUND(AT121/(1+Справочники!$B$12),0))</f>
        <v/>
      </c>
      <c r="AV121" s="90" t="str">
        <f aca="false">IF(AT121="","",ROUND(AT121*(1-Справочники!$B$15),0))</f>
        <v/>
      </c>
      <c r="AW121" s="90" t="str">
        <f aca="false">IF(AT121="","",ROUND(AT121*(1-Справочники!$B$16),0))</f>
        <v/>
      </c>
      <c r="AX121" s="90" t="str">
        <f aca="false">IF(AT121="","",ROUND(AT121*(1-Справочники!$B$17),0))</f>
        <v/>
      </c>
      <c r="AY121" s="90" t="str">
        <f aca="false">IF(AT121="","",ROUND(AT121*(1-Справочники!$B$18),0))</f>
        <v/>
      </c>
      <c r="AZ121" s="90" t="str">
        <f aca="false">IF(AT121="","",ROUND(AT121*(1-Справочники!$B$19),0))</f>
        <v/>
      </c>
      <c r="BA121" s="81"/>
      <c r="BB121" s="81"/>
      <c r="BC121" s="81"/>
      <c r="BD121" s="81"/>
      <c r="BE121" s="91"/>
      <c r="BF121" s="81" t="s">
        <v>103</v>
      </c>
      <c r="BG121" s="89" t="n">
        <f aca="false" t="array" ref="BG121:BG121">IF(BF121="","",IFERROR(INDEX(Справочники!$B$4:$B$7,MATCH(BF121,Справочники!$A$4:$A$7,0)),""))</f>
        <v>68.5</v>
      </c>
      <c r="BH121" s="90" t="str">
        <f aca="false">IF(N(BN121)&gt;0,ROUND(SUMIF(ЗАКАЗЫ!$F$3:$F$500,$A121,ЗАКАЗЫ!$Y$3:$Y$500)/BN121,0),IF(OR(BE121="",BG121=""),"",ROUND(BE121*BG121*(1+Справочники!$B$10),0)))</f>
        <v/>
      </c>
      <c r="BI121" s="92" t="str">
        <f aca="false">IF(OR(AU121="",BH121="",AU121=0),"",(AU121-BH121)/AU121)</f>
        <v/>
      </c>
      <c r="BJ121" s="81"/>
      <c r="BK121" s="83"/>
      <c r="BL121" s="43" t="str">
        <f aca="false">IFERROR(INDEX(ЗАКАЗЫ!$N$3:$N$500,MATCH($A121,ЗАКАЗЫ!$F$3:$F$500,0)),"")</f>
        <v/>
      </c>
      <c r="BM121" s="8" t="str">
        <f aca="false">IF(BL121="","",IFERROR(VLOOKUP(BL121,'ТН ВЭД'!$A$4:$C$40,3,0),""))</f>
        <v/>
      </c>
      <c r="BN121" s="7" t="str">
        <f aca="false">IF(COUNTIF(ЗАКАЗЫ!$F$3:$F$500,$A121)=0,"",SUMIF(ЗАКАЗЫ!$F$3:$F$500,$A121,ЗАКАЗЫ!$J$3:$J$500))</f>
        <v/>
      </c>
      <c r="BO121" s="7" t="str">
        <f aca="false">IF(BN121="","",SUMIF(ЗАКАЗЫ!$F$3:$F$500,$A121,ЗАКАЗЫ!$AL$3:$AL$500))</f>
        <v/>
      </c>
      <c r="BP121" s="7" t="str">
        <f aca="false">IF(BN121="","",BN121-BO121)</f>
        <v/>
      </c>
      <c r="BQ121" s="55" t="str">
        <f aca="false">IF(BN121="","",IF(BO121&gt;=BN121,"На складе",IF(BO121&gt;0,"Частично","Ждём")))</f>
        <v/>
      </c>
      <c r="BR121" s="43"/>
      <c r="BS121" s="47" t="str">
        <f aca="false">IF(BN121="","",IF(_xlfn.MAXIFS(ЗАКАЗЫ!$AK$3:$AK$500,ЗАКАЗЫ!$F$3:$F$500,$A121)=0,"",_xlfn.MAXIFS(ЗАКАЗЫ!$AK$3:$AK$500,ЗАКАЗЫ!$F$3:$F$500,$A121)))</f>
        <v/>
      </c>
    </row>
    <row r="122" customFormat="false" ht="15.75" hidden="false" customHeight="true" outlineLevel="0" collapsed="false">
      <c r="A122" s="80" t="s">
        <v>596</v>
      </c>
      <c r="B122" s="81"/>
      <c r="C122" s="81"/>
      <c r="D122" s="81"/>
      <c r="E122" s="83"/>
      <c r="F122" s="81"/>
      <c r="G122" s="83"/>
      <c r="H122" s="83"/>
      <c r="I122" s="84" t="str">
        <f aca="false">IF(E122="","",A122&amp;"_1.jpg")</f>
        <v/>
      </c>
      <c r="J122" s="84" t="str">
        <f aca="false">IF(E122="","",A122&amp;"_2.jpg; "&amp;A122&amp;"_3.jpg")</f>
        <v/>
      </c>
      <c r="K122" s="84" t="str">
        <f aca="false">IF(E122="","",A122&amp;"_schema.jpg")</f>
        <v/>
      </c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 t="s">
        <v>261</v>
      </c>
      <c r="W122" s="81"/>
      <c r="X122" s="81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6" t="str">
        <f aca="false">IF(SUM(Y122:AJ122)=0,"",SUM(Y122:AJ122))</f>
        <v/>
      </c>
      <c r="AL122" s="84" t="str">
        <f aca="false">MID(IF(N(Y122)&gt;0,", "&amp;Y$2,"")&amp;IF(N(Z122)&gt;0,", "&amp;Z$2,"")&amp;IF(N(AA122)&gt;0,", "&amp;AA$2,"")&amp;IF(N(AB122)&gt;0,", "&amp;AB$2,"")&amp;IF(N(AC122)&gt;0,", "&amp;AC$2,"")&amp;IF(N(AD122)&gt;0,", "&amp;AD$2,"")&amp;IF(N(AE122)&gt;0,", "&amp;AE$2,"")&amp;IF(N(AF122)&gt;0,", "&amp;AF$2,"")&amp;IF(N(AG122)&gt;0,", "&amp;AG$2,"")&amp;IF(N(AH122)&gt;0,", "&amp;AH$2,"")&amp;IF(N(AI122)&gt;0,", "&amp;AI$2,"")&amp;IF(N(AJ122)&gt;0,", "&amp;AJ$2,""),3,999)</f>
        <v/>
      </c>
      <c r="AM122" s="87" t="str">
        <f aca="false">IF(E122="","",MID(IF(N(Y122)&gt;0,", "&amp;A122&amp;"-"&amp;Y$2,"")&amp;IF(N(Z122)&gt;0,", "&amp;A122&amp;"-"&amp;Z$2,"")&amp;IF(N(AA122)&gt;0,", "&amp;A122&amp;"-"&amp;AA$2,"")&amp;IF(N(AB122)&gt;0,", "&amp;A122&amp;"-"&amp;AB$2,"")&amp;IF(N(AC122)&gt;0,", "&amp;A122&amp;"-"&amp;AC$2,"")&amp;IF(N(AD122)&gt;0,", "&amp;A122&amp;"-"&amp;AD$2,"")&amp;IF(N(AE122)&gt;0,", "&amp;A122&amp;"-"&amp;AE$2,"")&amp;IF(N(AF122)&gt;0,", "&amp;A122&amp;"-"&amp;AF$2,"")&amp;IF(N(AG122)&gt;0,", "&amp;A122&amp;"-"&amp;AG$2,"")&amp;IF(N(AH122)&gt;0,", "&amp;A122&amp;"-"&amp;AH$2,"")&amp;IF(N(AI122)&gt;0,", "&amp;A122&amp;"-"&amp;AI$2,"")&amp;IF(N(AJ122)&gt;0,", "&amp;A122&amp;"-"&amp;AJ$2,""),3,999))</f>
        <v/>
      </c>
      <c r="AN122" s="81"/>
      <c r="AO122" s="88"/>
      <c r="AP122" s="89" t="str">
        <f aca="false">IF(AO122="","",ROUND(AO122/(1+Справочники!$B$13),2))</f>
        <v/>
      </c>
      <c r="AQ122" s="90" t="str">
        <f aca="false" t="array" ref="AQ122:AQ122">IF(AP122="","",AP122*INDEX(Справочники!$B$4:$B$7,MATCH("RUB",Справочники!$A$4:$A$7,0)))</f>
        <v/>
      </c>
      <c r="AR122" s="90" t="str">
        <f aca="false">IF(AQ122="","",ROUND(AQ122*(1+Справочники!$B$12),0))</f>
        <v/>
      </c>
      <c r="AS122" s="90" t="str">
        <f aca="false">IF(AR122="","",ROUND(AR122*(1-Справочники!$B$11),0))</f>
        <v/>
      </c>
      <c r="AT122" s="88"/>
      <c r="AU122" s="90" t="str">
        <f aca="false">IF(AT122="","",ROUND(AT122/(1+Справочники!$B$12),0))</f>
        <v/>
      </c>
      <c r="AV122" s="90" t="str">
        <f aca="false">IF(AT122="","",ROUND(AT122*(1-Справочники!$B$15),0))</f>
        <v/>
      </c>
      <c r="AW122" s="90" t="str">
        <f aca="false">IF(AT122="","",ROUND(AT122*(1-Справочники!$B$16),0))</f>
        <v/>
      </c>
      <c r="AX122" s="90" t="str">
        <f aca="false">IF(AT122="","",ROUND(AT122*(1-Справочники!$B$17),0))</f>
        <v/>
      </c>
      <c r="AY122" s="90" t="str">
        <f aca="false">IF(AT122="","",ROUND(AT122*(1-Справочники!$B$18),0))</f>
        <v/>
      </c>
      <c r="AZ122" s="90" t="str">
        <f aca="false">IF(AT122="","",ROUND(AT122*(1-Справочники!$B$19),0))</f>
        <v/>
      </c>
      <c r="BA122" s="81"/>
      <c r="BB122" s="81"/>
      <c r="BC122" s="81"/>
      <c r="BD122" s="81"/>
      <c r="BE122" s="91"/>
      <c r="BF122" s="81" t="s">
        <v>103</v>
      </c>
      <c r="BG122" s="89" t="n">
        <f aca="false" t="array" ref="BG122:BG122">IF(BF122="","",IFERROR(INDEX(Справочники!$B$4:$B$7,MATCH(BF122,Справочники!$A$4:$A$7,0)),""))</f>
        <v>68.5</v>
      </c>
      <c r="BH122" s="90" t="str">
        <f aca="false">IF(N(BN122)&gt;0,ROUND(SUMIF(ЗАКАЗЫ!$F$3:$F$500,$A122,ЗАКАЗЫ!$Y$3:$Y$500)/BN122,0),IF(OR(BE122="",BG122=""),"",ROUND(BE122*BG122*(1+Справочники!$B$10),0)))</f>
        <v/>
      </c>
      <c r="BI122" s="92" t="str">
        <f aca="false">IF(OR(AU122="",BH122="",AU122=0),"",(AU122-BH122)/AU122)</f>
        <v/>
      </c>
      <c r="BJ122" s="81"/>
      <c r="BK122" s="83"/>
      <c r="BL122" s="43" t="str">
        <f aca="false">IFERROR(INDEX(ЗАКАЗЫ!$N$3:$N$500,MATCH($A122,ЗАКАЗЫ!$F$3:$F$500,0)),"")</f>
        <v/>
      </c>
      <c r="BM122" s="8" t="str">
        <f aca="false">IF(BL122="","",IFERROR(VLOOKUP(BL122,'ТН ВЭД'!$A$4:$C$40,3,0),""))</f>
        <v/>
      </c>
      <c r="BN122" s="7" t="str">
        <f aca="false">IF(COUNTIF(ЗАКАЗЫ!$F$3:$F$500,$A122)=0,"",SUMIF(ЗАКАЗЫ!$F$3:$F$500,$A122,ЗАКАЗЫ!$J$3:$J$500))</f>
        <v/>
      </c>
      <c r="BO122" s="7" t="str">
        <f aca="false">IF(BN122="","",SUMIF(ЗАКАЗЫ!$F$3:$F$500,$A122,ЗАКАЗЫ!$AL$3:$AL$500))</f>
        <v/>
      </c>
      <c r="BP122" s="7" t="str">
        <f aca="false">IF(BN122="","",BN122-BO122)</f>
        <v/>
      </c>
      <c r="BQ122" s="55" t="str">
        <f aca="false">IF(BN122="","",IF(BO122&gt;=BN122,"На складе",IF(BO122&gt;0,"Частично","Ждём")))</f>
        <v/>
      </c>
      <c r="BR122" s="43"/>
      <c r="BS122" s="47" t="str">
        <f aca="false">IF(BN122="","",IF(_xlfn.MAXIFS(ЗАКАЗЫ!$AK$3:$AK$500,ЗАКАЗЫ!$F$3:$F$500,$A122)=0,"",_xlfn.MAXIFS(ЗАКАЗЫ!$AK$3:$AK$500,ЗАКАЗЫ!$F$3:$F$500,$A122)))</f>
        <v/>
      </c>
    </row>
    <row r="123" customFormat="false" ht="15.75" hidden="false" customHeight="true" outlineLevel="0" collapsed="false">
      <c r="A123" s="80" t="s">
        <v>597</v>
      </c>
      <c r="B123" s="81"/>
      <c r="C123" s="81"/>
      <c r="D123" s="81"/>
      <c r="E123" s="83"/>
      <c r="F123" s="81"/>
      <c r="G123" s="83"/>
      <c r="H123" s="83"/>
      <c r="I123" s="84" t="str">
        <f aca="false">IF(E123="","",A123&amp;"_1.jpg")</f>
        <v/>
      </c>
      <c r="J123" s="84" t="str">
        <f aca="false">IF(E123="","",A123&amp;"_2.jpg; "&amp;A123&amp;"_3.jpg")</f>
        <v/>
      </c>
      <c r="K123" s="84" t="str">
        <f aca="false">IF(E123="","",A123&amp;"_schema.jpg")</f>
        <v/>
      </c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 t="s">
        <v>261</v>
      </c>
      <c r="W123" s="81"/>
      <c r="X123" s="81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6" t="str">
        <f aca="false">IF(SUM(Y123:AJ123)=0,"",SUM(Y123:AJ123))</f>
        <v/>
      </c>
      <c r="AL123" s="84" t="str">
        <f aca="false">MID(IF(N(Y123)&gt;0,", "&amp;Y$2,"")&amp;IF(N(Z123)&gt;0,", "&amp;Z$2,"")&amp;IF(N(AA123)&gt;0,", "&amp;AA$2,"")&amp;IF(N(AB123)&gt;0,", "&amp;AB$2,"")&amp;IF(N(AC123)&gt;0,", "&amp;AC$2,"")&amp;IF(N(AD123)&gt;0,", "&amp;AD$2,"")&amp;IF(N(AE123)&gt;0,", "&amp;AE$2,"")&amp;IF(N(AF123)&gt;0,", "&amp;AF$2,"")&amp;IF(N(AG123)&gt;0,", "&amp;AG$2,"")&amp;IF(N(AH123)&gt;0,", "&amp;AH$2,"")&amp;IF(N(AI123)&gt;0,", "&amp;AI$2,"")&amp;IF(N(AJ123)&gt;0,", "&amp;AJ$2,""),3,999)</f>
        <v/>
      </c>
      <c r="AM123" s="87" t="str">
        <f aca="false">IF(E123="","",MID(IF(N(Y123)&gt;0,", "&amp;A123&amp;"-"&amp;Y$2,"")&amp;IF(N(Z123)&gt;0,", "&amp;A123&amp;"-"&amp;Z$2,"")&amp;IF(N(AA123)&gt;0,", "&amp;A123&amp;"-"&amp;AA$2,"")&amp;IF(N(AB123)&gt;0,", "&amp;A123&amp;"-"&amp;AB$2,"")&amp;IF(N(AC123)&gt;0,", "&amp;A123&amp;"-"&amp;AC$2,"")&amp;IF(N(AD123)&gt;0,", "&amp;A123&amp;"-"&amp;AD$2,"")&amp;IF(N(AE123)&gt;0,", "&amp;A123&amp;"-"&amp;AE$2,"")&amp;IF(N(AF123)&gt;0,", "&amp;A123&amp;"-"&amp;AF$2,"")&amp;IF(N(AG123)&gt;0,", "&amp;A123&amp;"-"&amp;AG$2,"")&amp;IF(N(AH123)&gt;0,", "&amp;A123&amp;"-"&amp;AH$2,"")&amp;IF(N(AI123)&gt;0,", "&amp;A123&amp;"-"&amp;AI$2,"")&amp;IF(N(AJ123)&gt;0,", "&amp;A123&amp;"-"&amp;AJ$2,""),3,999))</f>
        <v/>
      </c>
      <c r="AN123" s="81"/>
      <c r="AO123" s="88"/>
      <c r="AP123" s="89" t="str">
        <f aca="false">IF(AO123="","",ROUND(AO123/(1+Справочники!$B$13),2))</f>
        <v/>
      </c>
      <c r="AQ123" s="90" t="str">
        <f aca="false" t="array" ref="AQ123:AQ123">IF(AP123="","",AP123*INDEX(Справочники!$B$4:$B$7,MATCH("RUB",Справочники!$A$4:$A$7,0)))</f>
        <v/>
      </c>
      <c r="AR123" s="90" t="str">
        <f aca="false">IF(AQ123="","",ROUND(AQ123*(1+Справочники!$B$12),0))</f>
        <v/>
      </c>
      <c r="AS123" s="90" t="str">
        <f aca="false">IF(AR123="","",ROUND(AR123*(1-Справочники!$B$11),0))</f>
        <v/>
      </c>
      <c r="AT123" s="88"/>
      <c r="AU123" s="90" t="str">
        <f aca="false">IF(AT123="","",ROUND(AT123/(1+Справочники!$B$12),0))</f>
        <v/>
      </c>
      <c r="AV123" s="90" t="str">
        <f aca="false">IF(AT123="","",ROUND(AT123*(1-Справочники!$B$15),0))</f>
        <v/>
      </c>
      <c r="AW123" s="90" t="str">
        <f aca="false">IF(AT123="","",ROUND(AT123*(1-Справочники!$B$16),0))</f>
        <v/>
      </c>
      <c r="AX123" s="90" t="str">
        <f aca="false">IF(AT123="","",ROUND(AT123*(1-Справочники!$B$17),0))</f>
        <v/>
      </c>
      <c r="AY123" s="90" t="str">
        <f aca="false">IF(AT123="","",ROUND(AT123*(1-Справочники!$B$18),0))</f>
        <v/>
      </c>
      <c r="AZ123" s="90" t="str">
        <f aca="false">IF(AT123="","",ROUND(AT123*(1-Справочники!$B$19),0))</f>
        <v/>
      </c>
      <c r="BA123" s="81"/>
      <c r="BB123" s="81"/>
      <c r="BC123" s="81"/>
      <c r="BD123" s="81"/>
      <c r="BE123" s="91"/>
      <c r="BF123" s="81" t="s">
        <v>103</v>
      </c>
      <c r="BG123" s="89" t="n">
        <f aca="false" t="array" ref="BG123:BG123">IF(BF123="","",IFERROR(INDEX(Справочники!$B$4:$B$7,MATCH(BF123,Справочники!$A$4:$A$7,0)),""))</f>
        <v>68.5</v>
      </c>
      <c r="BH123" s="90" t="str">
        <f aca="false">IF(N(BN123)&gt;0,ROUND(SUMIF(ЗАКАЗЫ!$F$3:$F$500,$A123,ЗАКАЗЫ!$Y$3:$Y$500)/BN123,0),IF(OR(BE123="",BG123=""),"",ROUND(BE123*BG123*(1+Справочники!$B$10),0)))</f>
        <v/>
      </c>
      <c r="BI123" s="92" t="str">
        <f aca="false">IF(OR(AU123="",BH123="",AU123=0),"",(AU123-BH123)/AU123)</f>
        <v/>
      </c>
      <c r="BJ123" s="81"/>
      <c r="BK123" s="83"/>
      <c r="BL123" s="43" t="str">
        <f aca="false">IFERROR(INDEX(ЗАКАЗЫ!$N$3:$N$500,MATCH($A123,ЗАКАЗЫ!$F$3:$F$500,0)),"")</f>
        <v/>
      </c>
      <c r="BM123" s="8" t="str">
        <f aca="false">IF(BL123="","",IFERROR(VLOOKUP(BL123,'ТН ВЭД'!$A$4:$C$40,3,0),""))</f>
        <v/>
      </c>
      <c r="BN123" s="7" t="str">
        <f aca="false">IF(COUNTIF(ЗАКАЗЫ!$F$3:$F$500,$A123)=0,"",SUMIF(ЗАКАЗЫ!$F$3:$F$500,$A123,ЗАКАЗЫ!$J$3:$J$500))</f>
        <v/>
      </c>
      <c r="BO123" s="7" t="str">
        <f aca="false">IF(BN123="","",SUMIF(ЗАКАЗЫ!$F$3:$F$500,$A123,ЗАКАЗЫ!$AL$3:$AL$500))</f>
        <v/>
      </c>
      <c r="BP123" s="7" t="str">
        <f aca="false">IF(BN123="","",BN123-BO123)</f>
        <v/>
      </c>
      <c r="BQ123" s="55" t="str">
        <f aca="false">IF(BN123="","",IF(BO123&gt;=BN123,"На складе",IF(BO123&gt;0,"Частично","Ждём")))</f>
        <v/>
      </c>
      <c r="BR123" s="43"/>
      <c r="BS123" s="47" t="str">
        <f aca="false">IF(BN123="","",IF(_xlfn.MAXIFS(ЗАКАЗЫ!$AK$3:$AK$500,ЗАКАЗЫ!$F$3:$F$500,$A123)=0,"",_xlfn.MAXIFS(ЗАКАЗЫ!$AK$3:$AK$500,ЗАКАЗЫ!$F$3:$F$500,$A123)))</f>
        <v/>
      </c>
    </row>
    <row r="124" customFormat="false" ht="15.75" hidden="false" customHeight="true" outlineLevel="0" collapsed="false">
      <c r="A124" s="80" t="s">
        <v>598</v>
      </c>
      <c r="B124" s="81"/>
      <c r="C124" s="81"/>
      <c r="D124" s="81"/>
      <c r="E124" s="83"/>
      <c r="F124" s="81"/>
      <c r="G124" s="83"/>
      <c r="H124" s="83"/>
      <c r="I124" s="84" t="str">
        <f aca="false">IF(E124="","",A124&amp;"_1.jpg")</f>
        <v/>
      </c>
      <c r="J124" s="84" t="str">
        <f aca="false">IF(E124="","",A124&amp;"_2.jpg; "&amp;A124&amp;"_3.jpg")</f>
        <v/>
      </c>
      <c r="K124" s="84" t="str">
        <f aca="false">IF(E124="","",A124&amp;"_schema.jpg")</f>
        <v/>
      </c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 t="s">
        <v>261</v>
      </c>
      <c r="W124" s="81"/>
      <c r="X124" s="81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6" t="str">
        <f aca="false">IF(SUM(Y124:AJ124)=0,"",SUM(Y124:AJ124))</f>
        <v/>
      </c>
      <c r="AL124" s="84" t="str">
        <f aca="false">MID(IF(N(Y124)&gt;0,", "&amp;Y$2,"")&amp;IF(N(Z124)&gt;0,", "&amp;Z$2,"")&amp;IF(N(AA124)&gt;0,", "&amp;AA$2,"")&amp;IF(N(AB124)&gt;0,", "&amp;AB$2,"")&amp;IF(N(AC124)&gt;0,", "&amp;AC$2,"")&amp;IF(N(AD124)&gt;0,", "&amp;AD$2,"")&amp;IF(N(AE124)&gt;0,", "&amp;AE$2,"")&amp;IF(N(AF124)&gt;0,", "&amp;AF$2,"")&amp;IF(N(AG124)&gt;0,", "&amp;AG$2,"")&amp;IF(N(AH124)&gt;0,", "&amp;AH$2,"")&amp;IF(N(AI124)&gt;0,", "&amp;AI$2,"")&amp;IF(N(AJ124)&gt;0,", "&amp;AJ$2,""),3,999)</f>
        <v/>
      </c>
      <c r="AM124" s="87" t="str">
        <f aca="false">IF(E124="","",MID(IF(N(Y124)&gt;0,", "&amp;A124&amp;"-"&amp;Y$2,"")&amp;IF(N(Z124)&gt;0,", "&amp;A124&amp;"-"&amp;Z$2,"")&amp;IF(N(AA124)&gt;0,", "&amp;A124&amp;"-"&amp;AA$2,"")&amp;IF(N(AB124)&gt;0,", "&amp;A124&amp;"-"&amp;AB$2,"")&amp;IF(N(AC124)&gt;0,", "&amp;A124&amp;"-"&amp;AC$2,"")&amp;IF(N(AD124)&gt;0,", "&amp;A124&amp;"-"&amp;AD$2,"")&amp;IF(N(AE124)&gt;0,", "&amp;A124&amp;"-"&amp;AE$2,"")&amp;IF(N(AF124)&gt;0,", "&amp;A124&amp;"-"&amp;AF$2,"")&amp;IF(N(AG124)&gt;0,", "&amp;A124&amp;"-"&amp;AG$2,"")&amp;IF(N(AH124)&gt;0,", "&amp;A124&amp;"-"&amp;AH$2,"")&amp;IF(N(AI124)&gt;0,", "&amp;A124&amp;"-"&amp;AI$2,"")&amp;IF(N(AJ124)&gt;0,", "&amp;A124&amp;"-"&amp;AJ$2,""),3,999))</f>
        <v/>
      </c>
      <c r="AN124" s="81"/>
      <c r="AO124" s="88"/>
      <c r="AP124" s="89" t="str">
        <f aca="false">IF(AO124="","",ROUND(AO124/(1+Справочники!$B$13),2))</f>
        <v/>
      </c>
      <c r="AQ124" s="90" t="str">
        <f aca="false" t="array" ref="AQ124:AQ124">IF(AP124="","",AP124*INDEX(Справочники!$B$4:$B$7,MATCH("RUB",Справочники!$A$4:$A$7,0)))</f>
        <v/>
      </c>
      <c r="AR124" s="90" t="str">
        <f aca="false">IF(AQ124="","",ROUND(AQ124*(1+Справочники!$B$12),0))</f>
        <v/>
      </c>
      <c r="AS124" s="90" t="str">
        <f aca="false">IF(AR124="","",ROUND(AR124*(1-Справочники!$B$11),0))</f>
        <v/>
      </c>
      <c r="AT124" s="88"/>
      <c r="AU124" s="90" t="str">
        <f aca="false">IF(AT124="","",ROUND(AT124/(1+Справочники!$B$12),0))</f>
        <v/>
      </c>
      <c r="AV124" s="90" t="str">
        <f aca="false">IF(AT124="","",ROUND(AT124*(1-Справочники!$B$15),0))</f>
        <v/>
      </c>
      <c r="AW124" s="90" t="str">
        <f aca="false">IF(AT124="","",ROUND(AT124*(1-Справочники!$B$16),0))</f>
        <v/>
      </c>
      <c r="AX124" s="90" t="str">
        <f aca="false">IF(AT124="","",ROUND(AT124*(1-Справочники!$B$17),0))</f>
        <v/>
      </c>
      <c r="AY124" s="90" t="str">
        <f aca="false">IF(AT124="","",ROUND(AT124*(1-Справочники!$B$18),0))</f>
        <v/>
      </c>
      <c r="AZ124" s="90" t="str">
        <f aca="false">IF(AT124="","",ROUND(AT124*(1-Справочники!$B$19),0))</f>
        <v/>
      </c>
      <c r="BA124" s="81"/>
      <c r="BB124" s="81"/>
      <c r="BC124" s="81"/>
      <c r="BD124" s="81"/>
      <c r="BE124" s="91"/>
      <c r="BF124" s="81" t="s">
        <v>103</v>
      </c>
      <c r="BG124" s="89" t="n">
        <f aca="false" t="array" ref="BG124:BG124">IF(BF124="","",IFERROR(INDEX(Справочники!$B$4:$B$7,MATCH(BF124,Справочники!$A$4:$A$7,0)),""))</f>
        <v>68.5</v>
      </c>
      <c r="BH124" s="90" t="str">
        <f aca="false">IF(N(BN124)&gt;0,ROUND(SUMIF(ЗАКАЗЫ!$F$3:$F$500,$A124,ЗАКАЗЫ!$Y$3:$Y$500)/BN124,0),IF(OR(BE124="",BG124=""),"",ROUND(BE124*BG124*(1+Справочники!$B$10),0)))</f>
        <v/>
      </c>
      <c r="BI124" s="92" t="str">
        <f aca="false">IF(OR(AU124="",BH124="",AU124=0),"",(AU124-BH124)/AU124)</f>
        <v/>
      </c>
      <c r="BJ124" s="81"/>
      <c r="BK124" s="83"/>
      <c r="BL124" s="43" t="str">
        <f aca="false">IFERROR(INDEX(ЗАКАЗЫ!$N$3:$N$500,MATCH($A124,ЗАКАЗЫ!$F$3:$F$500,0)),"")</f>
        <v/>
      </c>
      <c r="BM124" s="8" t="str">
        <f aca="false">IF(BL124="","",IFERROR(VLOOKUP(BL124,'ТН ВЭД'!$A$4:$C$40,3,0),""))</f>
        <v/>
      </c>
      <c r="BN124" s="7" t="str">
        <f aca="false">IF(COUNTIF(ЗАКАЗЫ!$F$3:$F$500,$A124)=0,"",SUMIF(ЗАКАЗЫ!$F$3:$F$500,$A124,ЗАКАЗЫ!$J$3:$J$500))</f>
        <v/>
      </c>
      <c r="BO124" s="7" t="str">
        <f aca="false">IF(BN124="","",SUMIF(ЗАКАЗЫ!$F$3:$F$500,$A124,ЗАКАЗЫ!$AL$3:$AL$500))</f>
        <v/>
      </c>
      <c r="BP124" s="7" t="str">
        <f aca="false">IF(BN124="","",BN124-BO124)</f>
        <v/>
      </c>
      <c r="BQ124" s="55" t="str">
        <f aca="false">IF(BN124="","",IF(BO124&gt;=BN124,"На складе",IF(BO124&gt;0,"Частично","Ждём")))</f>
        <v/>
      </c>
      <c r="BR124" s="43"/>
      <c r="BS124" s="47" t="str">
        <f aca="false">IF(BN124="","",IF(_xlfn.MAXIFS(ЗАКАЗЫ!$AK$3:$AK$500,ЗАКАЗЫ!$F$3:$F$500,$A124)=0,"",_xlfn.MAXIFS(ЗАКАЗЫ!$AK$3:$AK$500,ЗАКАЗЫ!$F$3:$F$500,$A124)))</f>
        <v/>
      </c>
    </row>
    <row r="125" customFormat="false" ht="15.75" hidden="false" customHeight="true" outlineLevel="0" collapsed="false">
      <c r="A125" s="80" t="s">
        <v>599</v>
      </c>
      <c r="B125" s="81"/>
      <c r="C125" s="81"/>
      <c r="D125" s="81"/>
      <c r="E125" s="83"/>
      <c r="F125" s="81"/>
      <c r="G125" s="83"/>
      <c r="H125" s="83"/>
      <c r="I125" s="84" t="str">
        <f aca="false">IF(E125="","",A125&amp;"_1.jpg")</f>
        <v/>
      </c>
      <c r="J125" s="84" t="str">
        <f aca="false">IF(E125="","",A125&amp;"_2.jpg; "&amp;A125&amp;"_3.jpg")</f>
        <v/>
      </c>
      <c r="K125" s="84" t="str">
        <f aca="false">IF(E125="","",A125&amp;"_schema.jpg")</f>
        <v/>
      </c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 t="s">
        <v>261</v>
      </c>
      <c r="W125" s="81"/>
      <c r="X125" s="81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6" t="str">
        <f aca="false">IF(SUM(Y125:AJ125)=0,"",SUM(Y125:AJ125))</f>
        <v/>
      </c>
      <c r="AL125" s="84" t="str">
        <f aca="false">MID(IF(N(Y125)&gt;0,", "&amp;Y$2,"")&amp;IF(N(Z125)&gt;0,", "&amp;Z$2,"")&amp;IF(N(AA125)&gt;0,", "&amp;AA$2,"")&amp;IF(N(AB125)&gt;0,", "&amp;AB$2,"")&amp;IF(N(AC125)&gt;0,", "&amp;AC$2,"")&amp;IF(N(AD125)&gt;0,", "&amp;AD$2,"")&amp;IF(N(AE125)&gt;0,", "&amp;AE$2,"")&amp;IF(N(AF125)&gt;0,", "&amp;AF$2,"")&amp;IF(N(AG125)&gt;0,", "&amp;AG$2,"")&amp;IF(N(AH125)&gt;0,", "&amp;AH$2,"")&amp;IF(N(AI125)&gt;0,", "&amp;AI$2,"")&amp;IF(N(AJ125)&gt;0,", "&amp;AJ$2,""),3,999)</f>
        <v/>
      </c>
      <c r="AM125" s="87" t="str">
        <f aca="false">IF(E125="","",MID(IF(N(Y125)&gt;0,", "&amp;A125&amp;"-"&amp;Y$2,"")&amp;IF(N(Z125)&gt;0,", "&amp;A125&amp;"-"&amp;Z$2,"")&amp;IF(N(AA125)&gt;0,", "&amp;A125&amp;"-"&amp;AA$2,"")&amp;IF(N(AB125)&gt;0,", "&amp;A125&amp;"-"&amp;AB$2,"")&amp;IF(N(AC125)&gt;0,", "&amp;A125&amp;"-"&amp;AC$2,"")&amp;IF(N(AD125)&gt;0,", "&amp;A125&amp;"-"&amp;AD$2,"")&amp;IF(N(AE125)&gt;0,", "&amp;A125&amp;"-"&amp;AE$2,"")&amp;IF(N(AF125)&gt;0,", "&amp;A125&amp;"-"&amp;AF$2,"")&amp;IF(N(AG125)&gt;0,", "&amp;A125&amp;"-"&amp;AG$2,"")&amp;IF(N(AH125)&gt;0,", "&amp;A125&amp;"-"&amp;AH$2,"")&amp;IF(N(AI125)&gt;0,", "&amp;A125&amp;"-"&amp;AI$2,"")&amp;IF(N(AJ125)&gt;0,", "&amp;A125&amp;"-"&amp;AJ$2,""),3,999))</f>
        <v/>
      </c>
      <c r="AN125" s="81"/>
      <c r="AO125" s="88"/>
      <c r="AP125" s="89" t="str">
        <f aca="false">IF(AO125="","",ROUND(AO125/(1+Справочники!$B$13),2))</f>
        <v/>
      </c>
      <c r="AQ125" s="90" t="str">
        <f aca="false" t="array" ref="AQ125:AQ125">IF(AP125="","",AP125*INDEX(Справочники!$B$4:$B$7,MATCH("RUB",Справочники!$A$4:$A$7,0)))</f>
        <v/>
      </c>
      <c r="AR125" s="90" t="str">
        <f aca="false">IF(AQ125="","",ROUND(AQ125*(1+Справочники!$B$12),0))</f>
        <v/>
      </c>
      <c r="AS125" s="90" t="str">
        <f aca="false">IF(AR125="","",ROUND(AR125*(1-Справочники!$B$11),0))</f>
        <v/>
      </c>
      <c r="AT125" s="88"/>
      <c r="AU125" s="90" t="str">
        <f aca="false">IF(AT125="","",ROUND(AT125/(1+Справочники!$B$12),0))</f>
        <v/>
      </c>
      <c r="AV125" s="90" t="str">
        <f aca="false">IF(AT125="","",ROUND(AT125*(1-Справочники!$B$15),0))</f>
        <v/>
      </c>
      <c r="AW125" s="90" t="str">
        <f aca="false">IF(AT125="","",ROUND(AT125*(1-Справочники!$B$16),0))</f>
        <v/>
      </c>
      <c r="AX125" s="90" t="str">
        <f aca="false">IF(AT125="","",ROUND(AT125*(1-Справочники!$B$17),0))</f>
        <v/>
      </c>
      <c r="AY125" s="90" t="str">
        <f aca="false">IF(AT125="","",ROUND(AT125*(1-Справочники!$B$18),0))</f>
        <v/>
      </c>
      <c r="AZ125" s="90" t="str">
        <f aca="false">IF(AT125="","",ROUND(AT125*(1-Справочники!$B$19),0))</f>
        <v/>
      </c>
      <c r="BA125" s="81"/>
      <c r="BB125" s="81"/>
      <c r="BC125" s="81"/>
      <c r="BD125" s="81"/>
      <c r="BE125" s="91"/>
      <c r="BF125" s="81" t="s">
        <v>103</v>
      </c>
      <c r="BG125" s="89" t="n">
        <f aca="false" t="array" ref="BG125:BG125">IF(BF125="","",IFERROR(INDEX(Справочники!$B$4:$B$7,MATCH(BF125,Справочники!$A$4:$A$7,0)),""))</f>
        <v>68.5</v>
      </c>
      <c r="BH125" s="90" t="str">
        <f aca="false">IF(N(BN125)&gt;0,ROUND(SUMIF(ЗАКАЗЫ!$F$3:$F$500,$A125,ЗАКАЗЫ!$Y$3:$Y$500)/BN125,0),IF(OR(BE125="",BG125=""),"",ROUND(BE125*BG125*(1+Справочники!$B$10),0)))</f>
        <v/>
      </c>
      <c r="BI125" s="92" t="str">
        <f aca="false">IF(OR(AU125="",BH125="",AU125=0),"",(AU125-BH125)/AU125)</f>
        <v/>
      </c>
      <c r="BJ125" s="81"/>
      <c r="BK125" s="83"/>
      <c r="BL125" s="43" t="str">
        <f aca="false">IFERROR(INDEX(ЗАКАЗЫ!$N$3:$N$500,MATCH($A125,ЗАКАЗЫ!$F$3:$F$500,0)),"")</f>
        <v/>
      </c>
      <c r="BM125" s="8" t="str">
        <f aca="false">IF(BL125="","",IFERROR(VLOOKUP(BL125,'ТН ВЭД'!$A$4:$C$40,3,0),""))</f>
        <v/>
      </c>
      <c r="BN125" s="7" t="str">
        <f aca="false">IF(COUNTIF(ЗАКАЗЫ!$F$3:$F$500,$A125)=0,"",SUMIF(ЗАКАЗЫ!$F$3:$F$500,$A125,ЗАКАЗЫ!$J$3:$J$500))</f>
        <v/>
      </c>
      <c r="BO125" s="7" t="str">
        <f aca="false">IF(BN125="","",SUMIF(ЗАКАЗЫ!$F$3:$F$500,$A125,ЗАКАЗЫ!$AL$3:$AL$500))</f>
        <v/>
      </c>
      <c r="BP125" s="7" t="str">
        <f aca="false">IF(BN125="","",BN125-BO125)</f>
        <v/>
      </c>
      <c r="BQ125" s="55" t="str">
        <f aca="false">IF(BN125="","",IF(BO125&gt;=BN125,"На складе",IF(BO125&gt;0,"Частично","Ждём")))</f>
        <v/>
      </c>
      <c r="BR125" s="43"/>
      <c r="BS125" s="47" t="str">
        <f aca="false">IF(BN125="","",IF(_xlfn.MAXIFS(ЗАКАЗЫ!$AK$3:$AK$500,ЗАКАЗЫ!$F$3:$F$500,$A125)=0,"",_xlfn.MAXIFS(ЗАКАЗЫ!$AK$3:$AK$500,ЗАКАЗЫ!$F$3:$F$500,$A125)))</f>
        <v/>
      </c>
    </row>
    <row r="126" customFormat="false" ht="15.75" hidden="false" customHeight="true" outlineLevel="0" collapsed="false">
      <c r="A126" s="80" t="s">
        <v>600</v>
      </c>
      <c r="B126" s="81"/>
      <c r="C126" s="81"/>
      <c r="D126" s="81"/>
      <c r="E126" s="83"/>
      <c r="F126" s="81"/>
      <c r="G126" s="83"/>
      <c r="H126" s="83"/>
      <c r="I126" s="84" t="str">
        <f aca="false">IF(E126="","",A126&amp;"_1.jpg")</f>
        <v/>
      </c>
      <c r="J126" s="84" t="str">
        <f aca="false">IF(E126="","",A126&amp;"_2.jpg; "&amp;A126&amp;"_3.jpg")</f>
        <v/>
      </c>
      <c r="K126" s="84" t="str">
        <f aca="false">IF(E126="","",A126&amp;"_schema.jpg")</f>
        <v/>
      </c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 t="s">
        <v>261</v>
      </c>
      <c r="W126" s="81"/>
      <c r="X126" s="81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6" t="str">
        <f aca="false">IF(SUM(Y126:AJ126)=0,"",SUM(Y126:AJ126))</f>
        <v/>
      </c>
      <c r="AL126" s="84" t="str">
        <f aca="false">MID(IF(N(Y126)&gt;0,", "&amp;Y$2,"")&amp;IF(N(Z126)&gt;0,", "&amp;Z$2,"")&amp;IF(N(AA126)&gt;0,", "&amp;AA$2,"")&amp;IF(N(AB126)&gt;0,", "&amp;AB$2,"")&amp;IF(N(AC126)&gt;0,", "&amp;AC$2,"")&amp;IF(N(AD126)&gt;0,", "&amp;AD$2,"")&amp;IF(N(AE126)&gt;0,", "&amp;AE$2,"")&amp;IF(N(AF126)&gt;0,", "&amp;AF$2,"")&amp;IF(N(AG126)&gt;0,", "&amp;AG$2,"")&amp;IF(N(AH126)&gt;0,", "&amp;AH$2,"")&amp;IF(N(AI126)&gt;0,", "&amp;AI$2,"")&amp;IF(N(AJ126)&gt;0,", "&amp;AJ$2,""),3,999)</f>
        <v/>
      </c>
      <c r="AM126" s="87" t="str">
        <f aca="false">IF(E126="","",MID(IF(N(Y126)&gt;0,", "&amp;A126&amp;"-"&amp;Y$2,"")&amp;IF(N(Z126)&gt;0,", "&amp;A126&amp;"-"&amp;Z$2,"")&amp;IF(N(AA126)&gt;0,", "&amp;A126&amp;"-"&amp;AA$2,"")&amp;IF(N(AB126)&gt;0,", "&amp;A126&amp;"-"&amp;AB$2,"")&amp;IF(N(AC126)&gt;0,", "&amp;A126&amp;"-"&amp;AC$2,"")&amp;IF(N(AD126)&gt;0,", "&amp;A126&amp;"-"&amp;AD$2,"")&amp;IF(N(AE126)&gt;0,", "&amp;A126&amp;"-"&amp;AE$2,"")&amp;IF(N(AF126)&gt;0,", "&amp;A126&amp;"-"&amp;AF$2,"")&amp;IF(N(AG126)&gt;0,", "&amp;A126&amp;"-"&amp;AG$2,"")&amp;IF(N(AH126)&gt;0,", "&amp;A126&amp;"-"&amp;AH$2,"")&amp;IF(N(AI126)&gt;0,", "&amp;A126&amp;"-"&amp;AI$2,"")&amp;IF(N(AJ126)&gt;0,", "&amp;A126&amp;"-"&amp;AJ$2,""),3,999))</f>
        <v/>
      </c>
      <c r="AN126" s="81"/>
      <c r="AO126" s="88"/>
      <c r="AP126" s="89" t="str">
        <f aca="false">IF(AO126="","",ROUND(AO126/(1+Справочники!$B$13),2))</f>
        <v/>
      </c>
      <c r="AQ126" s="90" t="str">
        <f aca="false" t="array" ref="AQ126:AQ126">IF(AP126="","",AP126*INDEX(Справочники!$B$4:$B$7,MATCH("RUB",Справочники!$A$4:$A$7,0)))</f>
        <v/>
      </c>
      <c r="AR126" s="90" t="str">
        <f aca="false">IF(AQ126="","",ROUND(AQ126*(1+Справочники!$B$12),0))</f>
        <v/>
      </c>
      <c r="AS126" s="90" t="str">
        <f aca="false">IF(AR126="","",ROUND(AR126*(1-Справочники!$B$11),0))</f>
        <v/>
      </c>
      <c r="AT126" s="88"/>
      <c r="AU126" s="90" t="str">
        <f aca="false">IF(AT126="","",ROUND(AT126/(1+Справочники!$B$12),0))</f>
        <v/>
      </c>
      <c r="AV126" s="90" t="str">
        <f aca="false">IF(AT126="","",ROUND(AT126*(1-Справочники!$B$15),0))</f>
        <v/>
      </c>
      <c r="AW126" s="90" t="str">
        <f aca="false">IF(AT126="","",ROUND(AT126*(1-Справочники!$B$16),0))</f>
        <v/>
      </c>
      <c r="AX126" s="90" t="str">
        <f aca="false">IF(AT126="","",ROUND(AT126*(1-Справочники!$B$17),0))</f>
        <v/>
      </c>
      <c r="AY126" s="90" t="str">
        <f aca="false">IF(AT126="","",ROUND(AT126*(1-Справочники!$B$18),0))</f>
        <v/>
      </c>
      <c r="AZ126" s="90" t="str">
        <f aca="false">IF(AT126="","",ROUND(AT126*(1-Справочники!$B$19),0))</f>
        <v/>
      </c>
      <c r="BA126" s="81"/>
      <c r="BB126" s="81"/>
      <c r="BC126" s="81"/>
      <c r="BD126" s="81"/>
      <c r="BE126" s="91"/>
      <c r="BF126" s="81" t="s">
        <v>103</v>
      </c>
      <c r="BG126" s="89" t="n">
        <f aca="false" t="array" ref="BG126:BG126">IF(BF126="","",IFERROR(INDEX(Справочники!$B$4:$B$7,MATCH(BF126,Справочники!$A$4:$A$7,0)),""))</f>
        <v>68.5</v>
      </c>
      <c r="BH126" s="90" t="str">
        <f aca="false">IF(N(BN126)&gt;0,ROUND(SUMIF(ЗАКАЗЫ!$F$3:$F$500,$A126,ЗАКАЗЫ!$Y$3:$Y$500)/BN126,0),IF(OR(BE126="",BG126=""),"",ROUND(BE126*BG126*(1+Справочники!$B$10),0)))</f>
        <v/>
      </c>
      <c r="BI126" s="92" t="str">
        <f aca="false">IF(OR(AU126="",BH126="",AU126=0),"",(AU126-BH126)/AU126)</f>
        <v/>
      </c>
      <c r="BJ126" s="81"/>
      <c r="BK126" s="83"/>
      <c r="BL126" s="43" t="str">
        <f aca="false">IFERROR(INDEX(ЗАКАЗЫ!$N$3:$N$500,MATCH($A126,ЗАКАЗЫ!$F$3:$F$500,0)),"")</f>
        <v/>
      </c>
      <c r="BM126" s="8" t="str">
        <f aca="false">IF(BL126="","",IFERROR(VLOOKUP(BL126,'ТН ВЭД'!$A$4:$C$40,3,0),""))</f>
        <v/>
      </c>
      <c r="BN126" s="7" t="str">
        <f aca="false">IF(COUNTIF(ЗАКАЗЫ!$F$3:$F$500,$A126)=0,"",SUMIF(ЗАКАЗЫ!$F$3:$F$500,$A126,ЗАКАЗЫ!$J$3:$J$500))</f>
        <v/>
      </c>
      <c r="BO126" s="7" t="str">
        <f aca="false">IF(BN126="","",SUMIF(ЗАКАЗЫ!$F$3:$F$500,$A126,ЗАКАЗЫ!$AL$3:$AL$500))</f>
        <v/>
      </c>
      <c r="BP126" s="7" t="str">
        <f aca="false">IF(BN126="","",BN126-BO126)</f>
        <v/>
      </c>
      <c r="BQ126" s="55" t="str">
        <f aca="false">IF(BN126="","",IF(BO126&gt;=BN126,"На складе",IF(BO126&gt;0,"Частично","Ждём")))</f>
        <v/>
      </c>
      <c r="BR126" s="43"/>
      <c r="BS126" s="47" t="str">
        <f aca="false">IF(BN126="","",IF(_xlfn.MAXIFS(ЗАКАЗЫ!$AK$3:$AK$500,ЗАКАЗЫ!$F$3:$F$500,$A126)=0,"",_xlfn.MAXIFS(ЗАКАЗЫ!$AK$3:$AK$500,ЗАКАЗЫ!$F$3:$F$500,$A126)))</f>
        <v/>
      </c>
    </row>
    <row r="127" customFormat="false" ht="15.75" hidden="false" customHeight="true" outlineLevel="0" collapsed="false">
      <c r="A127" s="80" t="s">
        <v>601</v>
      </c>
      <c r="B127" s="81"/>
      <c r="C127" s="81"/>
      <c r="D127" s="81"/>
      <c r="E127" s="83"/>
      <c r="F127" s="81"/>
      <c r="G127" s="83"/>
      <c r="H127" s="83"/>
      <c r="I127" s="84" t="str">
        <f aca="false">IF(E127="","",A127&amp;"_1.jpg")</f>
        <v/>
      </c>
      <c r="J127" s="84" t="str">
        <f aca="false">IF(E127="","",A127&amp;"_2.jpg; "&amp;A127&amp;"_3.jpg")</f>
        <v/>
      </c>
      <c r="K127" s="84" t="str">
        <f aca="false">IF(E127="","",A127&amp;"_schema.jpg")</f>
        <v/>
      </c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 t="s">
        <v>261</v>
      </c>
      <c r="W127" s="81"/>
      <c r="X127" s="81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6" t="str">
        <f aca="false">IF(SUM(Y127:AJ127)=0,"",SUM(Y127:AJ127))</f>
        <v/>
      </c>
      <c r="AL127" s="84" t="str">
        <f aca="false">MID(IF(N(Y127)&gt;0,", "&amp;Y$2,"")&amp;IF(N(Z127)&gt;0,", "&amp;Z$2,"")&amp;IF(N(AA127)&gt;0,", "&amp;AA$2,"")&amp;IF(N(AB127)&gt;0,", "&amp;AB$2,"")&amp;IF(N(AC127)&gt;0,", "&amp;AC$2,"")&amp;IF(N(AD127)&gt;0,", "&amp;AD$2,"")&amp;IF(N(AE127)&gt;0,", "&amp;AE$2,"")&amp;IF(N(AF127)&gt;0,", "&amp;AF$2,"")&amp;IF(N(AG127)&gt;0,", "&amp;AG$2,"")&amp;IF(N(AH127)&gt;0,", "&amp;AH$2,"")&amp;IF(N(AI127)&gt;0,", "&amp;AI$2,"")&amp;IF(N(AJ127)&gt;0,", "&amp;AJ$2,""),3,999)</f>
        <v/>
      </c>
      <c r="AM127" s="87" t="str">
        <f aca="false">IF(E127="","",MID(IF(N(Y127)&gt;0,", "&amp;A127&amp;"-"&amp;Y$2,"")&amp;IF(N(Z127)&gt;0,", "&amp;A127&amp;"-"&amp;Z$2,"")&amp;IF(N(AA127)&gt;0,", "&amp;A127&amp;"-"&amp;AA$2,"")&amp;IF(N(AB127)&gt;0,", "&amp;A127&amp;"-"&amp;AB$2,"")&amp;IF(N(AC127)&gt;0,", "&amp;A127&amp;"-"&amp;AC$2,"")&amp;IF(N(AD127)&gt;0,", "&amp;A127&amp;"-"&amp;AD$2,"")&amp;IF(N(AE127)&gt;0,", "&amp;A127&amp;"-"&amp;AE$2,"")&amp;IF(N(AF127)&gt;0,", "&amp;A127&amp;"-"&amp;AF$2,"")&amp;IF(N(AG127)&gt;0,", "&amp;A127&amp;"-"&amp;AG$2,"")&amp;IF(N(AH127)&gt;0,", "&amp;A127&amp;"-"&amp;AH$2,"")&amp;IF(N(AI127)&gt;0,", "&amp;A127&amp;"-"&amp;AI$2,"")&amp;IF(N(AJ127)&gt;0,", "&amp;A127&amp;"-"&amp;AJ$2,""),3,999))</f>
        <v/>
      </c>
      <c r="AN127" s="81"/>
      <c r="AO127" s="88"/>
      <c r="AP127" s="89" t="str">
        <f aca="false">IF(AO127="","",ROUND(AO127/(1+Справочники!$B$13),2))</f>
        <v/>
      </c>
      <c r="AQ127" s="90" t="str">
        <f aca="false" t="array" ref="AQ127:AQ127">IF(AP127="","",AP127*INDEX(Справочники!$B$4:$B$7,MATCH("RUB",Справочники!$A$4:$A$7,0)))</f>
        <v/>
      </c>
      <c r="AR127" s="90" t="str">
        <f aca="false">IF(AQ127="","",ROUND(AQ127*(1+Справочники!$B$12),0))</f>
        <v/>
      </c>
      <c r="AS127" s="90" t="str">
        <f aca="false">IF(AR127="","",ROUND(AR127*(1-Справочники!$B$11),0))</f>
        <v/>
      </c>
      <c r="AT127" s="88"/>
      <c r="AU127" s="90" t="str">
        <f aca="false">IF(AT127="","",ROUND(AT127/(1+Справочники!$B$12),0))</f>
        <v/>
      </c>
      <c r="AV127" s="90" t="str">
        <f aca="false">IF(AT127="","",ROUND(AT127*(1-Справочники!$B$15),0))</f>
        <v/>
      </c>
      <c r="AW127" s="90" t="str">
        <f aca="false">IF(AT127="","",ROUND(AT127*(1-Справочники!$B$16),0))</f>
        <v/>
      </c>
      <c r="AX127" s="90" t="str">
        <f aca="false">IF(AT127="","",ROUND(AT127*(1-Справочники!$B$17),0))</f>
        <v/>
      </c>
      <c r="AY127" s="90" t="str">
        <f aca="false">IF(AT127="","",ROUND(AT127*(1-Справочники!$B$18),0))</f>
        <v/>
      </c>
      <c r="AZ127" s="90" t="str">
        <f aca="false">IF(AT127="","",ROUND(AT127*(1-Справочники!$B$19),0))</f>
        <v/>
      </c>
      <c r="BA127" s="81"/>
      <c r="BB127" s="81"/>
      <c r="BC127" s="81"/>
      <c r="BD127" s="81"/>
      <c r="BE127" s="91"/>
      <c r="BF127" s="81" t="s">
        <v>103</v>
      </c>
      <c r="BG127" s="89" t="n">
        <f aca="false" t="array" ref="BG127:BG127">IF(BF127="","",IFERROR(INDEX(Справочники!$B$4:$B$7,MATCH(BF127,Справочники!$A$4:$A$7,0)),""))</f>
        <v>68.5</v>
      </c>
      <c r="BH127" s="90" t="str">
        <f aca="false">IF(N(BN127)&gt;0,ROUND(SUMIF(ЗАКАЗЫ!$F$3:$F$500,$A127,ЗАКАЗЫ!$Y$3:$Y$500)/BN127,0),IF(OR(BE127="",BG127=""),"",ROUND(BE127*BG127*(1+Справочники!$B$10),0)))</f>
        <v/>
      </c>
      <c r="BI127" s="92" t="str">
        <f aca="false">IF(OR(AU127="",BH127="",AU127=0),"",(AU127-BH127)/AU127)</f>
        <v/>
      </c>
      <c r="BJ127" s="81"/>
      <c r="BK127" s="83"/>
      <c r="BL127" s="43" t="str">
        <f aca="false">IFERROR(INDEX(ЗАКАЗЫ!$N$3:$N$500,MATCH($A127,ЗАКАЗЫ!$F$3:$F$500,0)),"")</f>
        <v/>
      </c>
      <c r="BM127" s="8" t="str">
        <f aca="false">IF(BL127="","",IFERROR(VLOOKUP(BL127,'ТН ВЭД'!$A$4:$C$40,3,0),""))</f>
        <v/>
      </c>
      <c r="BN127" s="7" t="str">
        <f aca="false">IF(COUNTIF(ЗАКАЗЫ!$F$3:$F$500,$A127)=0,"",SUMIF(ЗАКАЗЫ!$F$3:$F$500,$A127,ЗАКАЗЫ!$J$3:$J$500))</f>
        <v/>
      </c>
      <c r="BO127" s="7" t="str">
        <f aca="false">IF(BN127="","",SUMIF(ЗАКАЗЫ!$F$3:$F$500,$A127,ЗАКАЗЫ!$AL$3:$AL$500))</f>
        <v/>
      </c>
      <c r="BP127" s="7" t="str">
        <f aca="false">IF(BN127="","",BN127-BO127)</f>
        <v/>
      </c>
      <c r="BQ127" s="55" t="str">
        <f aca="false">IF(BN127="","",IF(BO127&gt;=BN127,"На складе",IF(BO127&gt;0,"Частично","Ждём")))</f>
        <v/>
      </c>
      <c r="BR127" s="43"/>
      <c r="BS127" s="47" t="str">
        <f aca="false">IF(BN127="","",IF(_xlfn.MAXIFS(ЗАКАЗЫ!$AK$3:$AK$500,ЗАКАЗЫ!$F$3:$F$500,$A127)=0,"",_xlfn.MAXIFS(ЗАКАЗЫ!$AK$3:$AK$500,ЗАКАЗЫ!$F$3:$F$500,$A127)))</f>
        <v/>
      </c>
    </row>
    <row r="128" customFormat="false" ht="15.75" hidden="false" customHeight="true" outlineLevel="0" collapsed="false">
      <c r="A128" s="80" t="s">
        <v>602</v>
      </c>
      <c r="B128" s="81"/>
      <c r="C128" s="81"/>
      <c r="D128" s="81"/>
      <c r="E128" s="83"/>
      <c r="F128" s="81"/>
      <c r="G128" s="83"/>
      <c r="H128" s="83"/>
      <c r="I128" s="84" t="str">
        <f aca="false">IF(E128="","",A128&amp;"_1.jpg")</f>
        <v/>
      </c>
      <c r="J128" s="84" t="str">
        <f aca="false">IF(E128="","",A128&amp;"_2.jpg; "&amp;A128&amp;"_3.jpg")</f>
        <v/>
      </c>
      <c r="K128" s="84" t="str">
        <f aca="false">IF(E128="","",A128&amp;"_schema.jpg")</f>
        <v/>
      </c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 t="s">
        <v>261</v>
      </c>
      <c r="W128" s="81"/>
      <c r="X128" s="81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6" t="str">
        <f aca="false">IF(SUM(Y128:AJ128)=0,"",SUM(Y128:AJ128))</f>
        <v/>
      </c>
      <c r="AL128" s="84" t="str">
        <f aca="false">MID(IF(N(Y128)&gt;0,", "&amp;Y$2,"")&amp;IF(N(Z128)&gt;0,", "&amp;Z$2,"")&amp;IF(N(AA128)&gt;0,", "&amp;AA$2,"")&amp;IF(N(AB128)&gt;0,", "&amp;AB$2,"")&amp;IF(N(AC128)&gt;0,", "&amp;AC$2,"")&amp;IF(N(AD128)&gt;0,", "&amp;AD$2,"")&amp;IF(N(AE128)&gt;0,", "&amp;AE$2,"")&amp;IF(N(AF128)&gt;0,", "&amp;AF$2,"")&amp;IF(N(AG128)&gt;0,", "&amp;AG$2,"")&amp;IF(N(AH128)&gt;0,", "&amp;AH$2,"")&amp;IF(N(AI128)&gt;0,", "&amp;AI$2,"")&amp;IF(N(AJ128)&gt;0,", "&amp;AJ$2,""),3,999)</f>
        <v/>
      </c>
      <c r="AM128" s="87" t="str">
        <f aca="false">IF(E128="","",MID(IF(N(Y128)&gt;0,", "&amp;A128&amp;"-"&amp;Y$2,"")&amp;IF(N(Z128)&gt;0,", "&amp;A128&amp;"-"&amp;Z$2,"")&amp;IF(N(AA128)&gt;0,", "&amp;A128&amp;"-"&amp;AA$2,"")&amp;IF(N(AB128)&gt;0,", "&amp;A128&amp;"-"&amp;AB$2,"")&amp;IF(N(AC128)&gt;0,", "&amp;A128&amp;"-"&amp;AC$2,"")&amp;IF(N(AD128)&gt;0,", "&amp;A128&amp;"-"&amp;AD$2,"")&amp;IF(N(AE128)&gt;0,", "&amp;A128&amp;"-"&amp;AE$2,"")&amp;IF(N(AF128)&gt;0,", "&amp;A128&amp;"-"&amp;AF$2,"")&amp;IF(N(AG128)&gt;0,", "&amp;A128&amp;"-"&amp;AG$2,"")&amp;IF(N(AH128)&gt;0,", "&amp;A128&amp;"-"&amp;AH$2,"")&amp;IF(N(AI128)&gt;0,", "&amp;A128&amp;"-"&amp;AI$2,"")&amp;IF(N(AJ128)&gt;0,", "&amp;A128&amp;"-"&amp;AJ$2,""),3,999))</f>
        <v/>
      </c>
      <c r="AN128" s="81"/>
      <c r="AO128" s="88"/>
      <c r="AP128" s="89" t="str">
        <f aca="false">IF(AO128="","",ROUND(AO128/(1+Справочники!$B$13),2))</f>
        <v/>
      </c>
      <c r="AQ128" s="90" t="str">
        <f aca="false" t="array" ref="AQ128:AQ128">IF(AP128="","",AP128*INDEX(Справочники!$B$4:$B$7,MATCH("RUB",Справочники!$A$4:$A$7,0)))</f>
        <v/>
      </c>
      <c r="AR128" s="90" t="str">
        <f aca="false">IF(AQ128="","",ROUND(AQ128*(1+Справочники!$B$12),0))</f>
        <v/>
      </c>
      <c r="AS128" s="90" t="str">
        <f aca="false">IF(AR128="","",ROUND(AR128*(1-Справочники!$B$11),0))</f>
        <v/>
      </c>
      <c r="AT128" s="88"/>
      <c r="AU128" s="90" t="str">
        <f aca="false">IF(AT128="","",ROUND(AT128/(1+Справочники!$B$12),0))</f>
        <v/>
      </c>
      <c r="AV128" s="90" t="str">
        <f aca="false">IF(AT128="","",ROUND(AT128*(1-Справочники!$B$15),0))</f>
        <v/>
      </c>
      <c r="AW128" s="90" t="str">
        <f aca="false">IF(AT128="","",ROUND(AT128*(1-Справочники!$B$16),0))</f>
        <v/>
      </c>
      <c r="AX128" s="90" t="str">
        <f aca="false">IF(AT128="","",ROUND(AT128*(1-Справочники!$B$17),0))</f>
        <v/>
      </c>
      <c r="AY128" s="90" t="str">
        <f aca="false">IF(AT128="","",ROUND(AT128*(1-Справочники!$B$18),0))</f>
        <v/>
      </c>
      <c r="AZ128" s="90" t="str">
        <f aca="false">IF(AT128="","",ROUND(AT128*(1-Справочники!$B$19),0))</f>
        <v/>
      </c>
      <c r="BA128" s="81"/>
      <c r="BB128" s="81"/>
      <c r="BC128" s="81"/>
      <c r="BD128" s="81"/>
      <c r="BE128" s="91"/>
      <c r="BF128" s="81" t="s">
        <v>103</v>
      </c>
      <c r="BG128" s="89" t="n">
        <f aca="false" t="array" ref="BG128:BG128">IF(BF128="","",IFERROR(INDEX(Справочники!$B$4:$B$7,MATCH(BF128,Справочники!$A$4:$A$7,0)),""))</f>
        <v>68.5</v>
      </c>
      <c r="BH128" s="90" t="str">
        <f aca="false">IF(N(BN128)&gt;0,ROUND(SUMIF(ЗАКАЗЫ!$F$3:$F$500,$A128,ЗАКАЗЫ!$Y$3:$Y$500)/BN128,0),IF(OR(BE128="",BG128=""),"",ROUND(BE128*BG128*(1+Справочники!$B$10),0)))</f>
        <v/>
      </c>
      <c r="BI128" s="92" t="str">
        <f aca="false">IF(OR(AU128="",BH128="",AU128=0),"",(AU128-BH128)/AU128)</f>
        <v/>
      </c>
      <c r="BJ128" s="81"/>
      <c r="BK128" s="83"/>
      <c r="BL128" s="43" t="str">
        <f aca="false">IFERROR(INDEX(ЗАКАЗЫ!$N$3:$N$500,MATCH($A128,ЗАКАЗЫ!$F$3:$F$500,0)),"")</f>
        <v/>
      </c>
      <c r="BM128" s="8" t="str">
        <f aca="false">IF(BL128="","",IFERROR(VLOOKUP(BL128,'ТН ВЭД'!$A$4:$C$40,3,0),""))</f>
        <v/>
      </c>
      <c r="BN128" s="7" t="str">
        <f aca="false">IF(COUNTIF(ЗАКАЗЫ!$F$3:$F$500,$A128)=0,"",SUMIF(ЗАКАЗЫ!$F$3:$F$500,$A128,ЗАКАЗЫ!$J$3:$J$500))</f>
        <v/>
      </c>
      <c r="BO128" s="7" t="str">
        <f aca="false">IF(BN128="","",SUMIF(ЗАКАЗЫ!$F$3:$F$500,$A128,ЗАКАЗЫ!$AL$3:$AL$500))</f>
        <v/>
      </c>
      <c r="BP128" s="7" t="str">
        <f aca="false">IF(BN128="","",BN128-BO128)</f>
        <v/>
      </c>
      <c r="BQ128" s="55" t="str">
        <f aca="false">IF(BN128="","",IF(BO128&gt;=BN128,"На складе",IF(BO128&gt;0,"Частично","Ждём")))</f>
        <v/>
      </c>
      <c r="BR128" s="43"/>
      <c r="BS128" s="47" t="str">
        <f aca="false">IF(BN128="","",IF(_xlfn.MAXIFS(ЗАКАЗЫ!$AK$3:$AK$500,ЗАКАЗЫ!$F$3:$F$500,$A128)=0,"",_xlfn.MAXIFS(ЗАКАЗЫ!$AK$3:$AK$500,ЗАКАЗЫ!$F$3:$F$500,$A128)))</f>
        <v/>
      </c>
    </row>
    <row r="129" customFormat="false" ht="15.75" hidden="false" customHeight="true" outlineLevel="0" collapsed="false">
      <c r="A129" s="80" t="s">
        <v>603</v>
      </c>
      <c r="B129" s="81"/>
      <c r="C129" s="81"/>
      <c r="D129" s="81"/>
      <c r="E129" s="83"/>
      <c r="F129" s="81"/>
      <c r="G129" s="83"/>
      <c r="H129" s="83"/>
      <c r="I129" s="84" t="str">
        <f aca="false">IF(E129="","",A129&amp;"_1.jpg")</f>
        <v/>
      </c>
      <c r="J129" s="84" t="str">
        <f aca="false">IF(E129="","",A129&amp;"_2.jpg; "&amp;A129&amp;"_3.jpg")</f>
        <v/>
      </c>
      <c r="K129" s="84" t="str">
        <f aca="false">IF(E129="","",A129&amp;"_schema.jpg")</f>
        <v/>
      </c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 t="s">
        <v>261</v>
      </c>
      <c r="W129" s="81"/>
      <c r="X129" s="81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6" t="str">
        <f aca="false">IF(SUM(Y129:AJ129)=0,"",SUM(Y129:AJ129))</f>
        <v/>
      </c>
      <c r="AL129" s="84" t="str">
        <f aca="false">MID(IF(N(Y129)&gt;0,", "&amp;Y$2,"")&amp;IF(N(Z129)&gt;0,", "&amp;Z$2,"")&amp;IF(N(AA129)&gt;0,", "&amp;AA$2,"")&amp;IF(N(AB129)&gt;0,", "&amp;AB$2,"")&amp;IF(N(AC129)&gt;0,", "&amp;AC$2,"")&amp;IF(N(AD129)&gt;0,", "&amp;AD$2,"")&amp;IF(N(AE129)&gt;0,", "&amp;AE$2,"")&amp;IF(N(AF129)&gt;0,", "&amp;AF$2,"")&amp;IF(N(AG129)&gt;0,", "&amp;AG$2,"")&amp;IF(N(AH129)&gt;0,", "&amp;AH$2,"")&amp;IF(N(AI129)&gt;0,", "&amp;AI$2,"")&amp;IF(N(AJ129)&gt;0,", "&amp;AJ$2,""),3,999)</f>
        <v/>
      </c>
      <c r="AM129" s="87" t="str">
        <f aca="false">IF(E129="","",MID(IF(N(Y129)&gt;0,", "&amp;A129&amp;"-"&amp;Y$2,"")&amp;IF(N(Z129)&gt;0,", "&amp;A129&amp;"-"&amp;Z$2,"")&amp;IF(N(AA129)&gt;0,", "&amp;A129&amp;"-"&amp;AA$2,"")&amp;IF(N(AB129)&gt;0,", "&amp;A129&amp;"-"&amp;AB$2,"")&amp;IF(N(AC129)&gt;0,", "&amp;A129&amp;"-"&amp;AC$2,"")&amp;IF(N(AD129)&gt;0,", "&amp;A129&amp;"-"&amp;AD$2,"")&amp;IF(N(AE129)&gt;0,", "&amp;A129&amp;"-"&amp;AE$2,"")&amp;IF(N(AF129)&gt;0,", "&amp;A129&amp;"-"&amp;AF$2,"")&amp;IF(N(AG129)&gt;0,", "&amp;A129&amp;"-"&amp;AG$2,"")&amp;IF(N(AH129)&gt;0,", "&amp;A129&amp;"-"&amp;AH$2,"")&amp;IF(N(AI129)&gt;0,", "&amp;A129&amp;"-"&amp;AI$2,"")&amp;IF(N(AJ129)&gt;0,", "&amp;A129&amp;"-"&amp;AJ$2,""),3,999))</f>
        <v/>
      </c>
      <c r="AN129" s="81"/>
      <c r="AO129" s="88"/>
      <c r="AP129" s="89" t="str">
        <f aca="false">IF(AO129="","",ROUND(AO129/(1+Справочники!$B$13),2))</f>
        <v/>
      </c>
      <c r="AQ129" s="90" t="str">
        <f aca="false" t="array" ref="AQ129:AQ129">IF(AP129="","",AP129*INDEX(Справочники!$B$4:$B$7,MATCH("RUB",Справочники!$A$4:$A$7,0)))</f>
        <v/>
      </c>
      <c r="AR129" s="90" t="str">
        <f aca="false">IF(AQ129="","",ROUND(AQ129*(1+Справочники!$B$12),0))</f>
        <v/>
      </c>
      <c r="AS129" s="90" t="str">
        <f aca="false">IF(AR129="","",ROUND(AR129*(1-Справочники!$B$11),0))</f>
        <v/>
      </c>
      <c r="AT129" s="88"/>
      <c r="AU129" s="90" t="str">
        <f aca="false">IF(AT129="","",ROUND(AT129/(1+Справочники!$B$12),0))</f>
        <v/>
      </c>
      <c r="AV129" s="90" t="str">
        <f aca="false">IF(AT129="","",ROUND(AT129*(1-Справочники!$B$15),0))</f>
        <v/>
      </c>
      <c r="AW129" s="90" t="str">
        <f aca="false">IF(AT129="","",ROUND(AT129*(1-Справочники!$B$16),0))</f>
        <v/>
      </c>
      <c r="AX129" s="90" t="str">
        <f aca="false">IF(AT129="","",ROUND(AT129*(1-Справочники!$B$17),0))</f>
        <v/>
      </c>
      <c r="AY129" s="90" t="str">
        <f aca="false">IF(AT129="","",ROUND(AT129*(1-Справочники!$B$18),0))</f>
        <v/>
      </c>
      <c r="AZ129" s="90" t="str">
        <f aca="false">IF(AT129="","",ROUND(AT129*(1-Справочники!$B$19),0))</f>
        <v/>
      </c>
      <c r="BA129" s="81"/>
      <c r="BB129" s="81"/>
      <c r="BC129" s="81"/>
      <c r="BD129" s="81"/>
      <c r="BE129" s="91"/>
      <c r="BF129" s="81" t="s">
        <v>103</v>
      </c>
      <c r="BG129" s="89" t="n">
        <f aca="false" t="array" ref="BG129:BG129">IF(BF129="","",IFERROR(INDEX(Справочники!$B$4:$B$7,MATCH(BF129,Справочники!$A$4:$A$7,0)),""))</f>
        <v>68.5</v>
      </c>
      <c r="BH129" s="90" t="str">
        <f aca="false">IF(N(BN129)&gt;0,ROUND(SUMIF(ЗАКАЗЫ!$F$3:$F$500,$A129,ЗАКАЗЫ!$Y$3:$Y$500)/BN129,0),IF(OR(BE129="",BG129=""),"",ROUND(BE129*BG129*(1+Справочники!$B$10),0)))</f>
        <v/>
      </c>
      <c r="BI129" s="92" t="str">
        <f aca="false">IF(OR(AU129="",BH129="",AU129=0),"",(AU129-BH129)/AU129)</f>
        <v/>
      </c>
      <c r="BJ129" s="81"/>
      <c r="BK129" s="83"/>
      <c r="BL129" s="43" t="str">
        <f aca="false">IFERROR(INDEX(ЗАКАЗЫ!$N$3:$N$500,MATCH($A129,ЗАКАЗЫ!$F$3:$F$500,0)),"")</f>
        <v/>
      </c>
      <c r="BM129" s="8" t="str">
        <f aca="false">IF(BL129="","",IFERROR(VLOOKUP(BL129,'ТН ВЭД'!$A$4:$C$40,3,0),""))</f>
        <v/>
      </c>
      <c r="BN129" s="7" t="str">
        <f aca="false">IF(COUNTIF(ЗАКАЗЫ!$F$3:$F$500,$A129)=0,"",SUMIF(ЗАКАЗЫ!$F$3:$F$500,$A129,ЗАКАЗЫ!$J$3:$J$500))</f>
        <v/>
      </c>
      <c r="BO129" s="7" t="str">
        <f aca="false">IF(BN129="","",SUMIF(ЗАКАЗЫ!$F$3:$F$500,$A129,ЗАКАЗЫ!$AL$3:$AL$500))</f>
        <v/>
      </c>
      <c r="BP129" s="7" t="str">
        <f aca="false">IF(BN129="","",BN129-BO129)</f>
        <v/>
      </c>
      <c r="BQ129" s="55" t="str">
        <f aca="false">IF(BN129="","",IF(BO129&gt;=BN129,"На складе",IF(BO129&gt;0,"Частично","Ждём")))</f>
        <v/>
      </c>
      <c r="BR129" s="43"/>
      <c r="BS129" s="47" t="str">
        <f aca="false">IF(BN129="","",IF(_xlfn.MAXIFS(ЗАКАЗЫ!$AK$3:$AK$500,ЗАКАЗЫ!$F$3:$F$500,$A129)=0,"",_xlfn.MAXIFS(ЗАКАЗЫ!$AK$3:$AK$500,ЗАКАЗЫ!$F$3:$F$500,$A129)))</f>
        <v/>
      </c>
    </row>
    <row r="130" customFormat="false" ht="15.75" hidden="false" customHeight="true" outlineLevel="0" collapsed="false">
      <c r="A130" s="80" t="s">
        <v>604</v>
      </c>
      <c r="B130" s="81"/>
      <c r="C130" s="81"/>
      <c r="D130" s="81"/>
      <c r="E130" s="83"/>
      <c r="F130" s="81"/>
      <c r="G130" s="83"/>
      <c r="H130" s="83"/>
      <c r="I130" s="84" t="str">
        <f aca="false">IF(E130="","",A130&amp;"_1.jpg")</f>
        <v/>
      </c>
      <c r="J130" s="84" t="str">
        <f aca="false">IF(E130="","",A130&amp;"_2.jpg; "&amp;A130&amp;"_3.jpg")</f>
        <v/>
      </c>
      <c r="K130" s="84" t="str">
        <f aca="false">IF(E130="","",A130&amp;"_schema.jpg")</f>
        <v/>
      </c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 t="s">
        <v>261</v>
      </c>
      <c r="W130" s="81"/>
      <c r="X130" s="81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6" t="str">
        <f aca="false">IF(SUM(Y130:AJ130)=0,"",SUM(Y130:AJ130))</f>
        <v/>
      </c>
      <c r="AL130" s="84" t="str">
        <f aca="false">MID(IF(N(Y130)&gt;0,", "&amp;Y$2,"")&amp;IF(N(Z130)&gt;0,", "&amp;Z$2,"")&amp;IF(N(AA130)&gt;0,", "&amp;AA$2,"")&amp;IF(N(AB130)&gt;0,", "&amp;AB$2,"")&amp;IF(N(AC130)&gt;0,", "&amp;AC$2,"")&amp;IF(N(AD130)&gt;0,", "&amp;AD$2,"")&amp;IF(N(AE130)&gt;0,", "&amp;AE$2,"")&amp;IF(N(AF130)&gt;0,", "&amp;AF$2,"")&amp;IF(N(AG130)&gt;0,", "&amp;AG$2,"")&amp;IF(N(AH130)&gt;0,", "&amp;AH$2,"")&amp;IF(N(AI130)&gt;0,", "&amp;AI$2,"")&amp;IF(N(AJ130)&gt;0,", "&amp;AJ$2,""),3,999)</f>
        <v/>
      </c>
      <c r="AM130" s="87" t="str">
        <f aca="false">IF(E130="","",MID(IF(N(Y130)&gt;0,", "&amp;A130&amp;"-"&amp;Y$2,"")&amp;IF(N(Z130)&gt;0,", "&amp;A130&amp;"-"&amp;Z$2,"")&amp;IF(N(AA130)&gt;0,", "&amp;A130&amp;"-"&amp;AA$2,"")&amp;IF(N(AB130)&gt;0,", "&amp;A130&amp;"-"&amp;AB$2,"")&amp;IF(N(AC130)&gt;0,", "&amp;A130&amp;"-"&amp;AC$2,"")&amp;IF(N(AD130)&gt;0,", "&amp;A130&amp;"-"&amp;AD$2,"")&amp;IF(N(AE130)&gt;0,", "&amp;A130&amp;"-"&amp;AE$2,"")&amp;IF(N(AF130)&gt;0,", "&amp;A130&amp;"-"&amp;AF$2,"")&amp;IF(N(AG130)&gt;0,", "&amp;A130&amp;"-"&amp;AG$2,"")&amp;IF(N(AH130)&gt;0,", "&amp;A130&amp;"-"&amp;AH$2,"")&amp;IF(N(AI130)&gt;0,", "&amp;A130&amp;"-"&amp;AI$2,"")&amp;IF(N(AJ130)&gt;0,", "&amp;A130&amp;"-"&amp;AJ$2,""),3,999))</f>
        <v/>
      </c>
      <c r="AN130" s="81"/>
      <c r="AO130" s="88"/>
      <c r="AP130" s="89" t="str">
        <f aca="false">IF(AO130="","",ROUND(AO130/(1+Справочники!$B$13),2))</f>
        <v/>
      </c>
      <c r="AQ130" s="90" t="str">
        <f aca="false" t="array" ref="AQ130:AQ130">IF(AP130="","",AP130*INDEX(Справочники!$B$4:$B$7,MATCH("RUB",Справочники!$A$4:$A$7,0)))</f>
        <v/>
      </c>
      <c r="AR130" s="90" t="str">
        <f aca="false">IF(AQ130="","",ROUND(AQ130*(1+Справочники!$B$12),0))</f>
        <v/>
      </c>
      <c r="AS130" s="90" t="str">
        <f aca="false">IF(AR130="","",ROUND(AR130*(1-Справочники!$B$11),0))</f>
        <v/>
      </c>
      <c r="AT130" s="88"/>
      <c r="AU130" s="90" t="str">
        <f aca="false">IF(AT130="","",ROUND(AT130/(1+Справочники!$B$12),0))</f>
        <v/>
      </c>
      <c r="AV130" s="90" t="str">
        <f aca="false">IF(AT130="","",ROUND(AT130*(1-Справочники!$B$15),0))</f>
        <v/>
      </c>
      <c r="AW130" s="90" t="str">
        <f aca="false">IF(AT130="","",ROUND(AT130*(1-Справочники!$B$16),0))</f>
        <v/>
      </c>
      <c r="AX130" s="90" t="str">
        <f aca="false">IF(AT130="","",ROUND(AT130*(1-Справочники!$B$17),0))</f>
        <v/>
      </c>
      <c r="AY130" s="90" t="str">
        <f aca="false">IF(AT130="","",ROUND(AT130*(1-Справочники!$B$18),0))</f>
        <v/>
      </c>
      <c r="AZ130" s="90" t="str">
        <f aca="false">IF(AT130="","",ROUND(AT130*(1-Справочники!$B$19),0))</f>
        <v/>
      </c>
      <c r="BA130" s="81"/>
      <c r="BB130" s="81"/>
      <c r="BC130" s="81"/>
      <c r="BD130" s="81"/>
      <c r="BE130" s="91"/>
      <c r="BF130" s="81" t="s">
        <v>103</v>
      </c>
      <c r="BG130" s="89" t="n">
        <f aca="false" t="array" ref="BG130:BG130">IF(BF130="","",IFERROR(INDEX(Справочники!$B$4:$B$7,MATCH(BF130,Справочники!$A$4:$A$7,0)),""))</f>
        <v>68.5</v>
      </c>
      <c r="BH130" s="90" t="str">
        <f aca="false">IF(N(BN130)&gt;0,ROUND(SUMIF(ЗАКАЗЫ!$F$3:$F$500,$A130,ЗАКАЗЫ!$Y$3:$Y$500)/BN130,0),IF(OR(BE130="",BG130=""),"",ROUND(BE130*BG130*(1+Справочники!$B$10),0)))</f>
        <v/>
      </c>
      <c r="BI130" s="92" t="str">
        <f aca="false">IF(OR(AU130="",BH130="",AU130=0),"",(AU130-BH130)/AU130)</f>
        <v/>
      </c>
      <c r="BJ130" s="81"/>
      <c r="BK130" s="83"/>
      <c r="BL130" s="43" t="str">
        <f aca="false">IFERROR(INDEX(ЗАКАЗЫ!$N$3:$N$500,MATCH($A130,ЗАКАЗЫ!$F$3:$F$500,0)),"")</f>
        <v/>
      </c>
      <c r="BM130" s="8" t="str">
        <f aca="false">IF(BL130="","",IFERROR(VLOOKUP(BL130,'ТН ВЭД'!$A$4:$C$40,3,0),""))</f>
        <v/>
      </c>
      <c r="BN130" s="7" t="str">
        <f aca="false">IF(COUNTIF(ЗАКАЗЫ!$F$3:$F$500,$A130)=0,"",SUMIF(ЗАКАЗЫ!$F$3:$F$500,$A130,ЗАКАЗЫ!$J$3:$J$500))</f>
        <v/>
      </c>
      <c r="BO130" s="7" t="str">
        <f aca="false">IF(BN130="","",SUMIF(ЗАКАЗЫ!$F$3:$F$500,$A130,ЗАКАЗЫ!$AL$3:$AL$500))</f>
        <v/>
      </c>
      <c r="BP130" s="7" t="str">
        <f aca="false">IF(BN130="","",BN130-BO130)</f>
        <v/>
      </c>
      <c r="BQ130" s="55" t="str">
        <f aca="false">IF(BN130="","",IF(BO130&gt;=BN130,"На складе",IF(BO130&gt;0,"Частично","Ждём")))</f>
        <v/>
      </c>
      <c r="BR130" s="43"/>
      <c r="BS130" s="47" t="str">
        <f aca="false">IF(BN130="","",IF(_xlfn.MAXIFS(ЗАКАЗЫ!$AK$3:$AK$500,ЗАКАЗЫ!$F$3:$F$500,$A130)=0,"",_xlfn.MAXIFS(ЗАКАЗЫ!$AK$3:$AK$500,ЗАКАЗЫ!$F$3:$F$500,$A130)))</f>
        <v/>
      </c>
    </row>
    <row r="131" customFormat="false" ht="15.75" hidden="false" customHeight="true" outlineLevel="0" collapsed="false">
      <c r="A131" s="80" t="s">
        <v>605</v>
      </c>
      <c r="B131" s="81"/>
      <c r="C131" s="81"/>
      <c r="D131" s="81"/>
      <c r="E131" s="83"/>
      <c r="F131" s="81"/>
      <c r="G131" s="83"/>
      <c r="H131" s="83"/>
      <c r="I131" s="84" t="str">
        <f aca="false">IF(E131="","",A131&amp;"_1.jpg")</f>
        <v/>
      </c>
      <c r="J131" s="84" t="str">
        <f aca="false">IF(E131="","",A131&amp;"_2.jpg; "&amp;A131&amp;"_3.jpg")</f>
        <v/>
      </c>
      <c r="K131" s="84" t="str">
        <f aca="false">IF(E131="","",A131&amp;"_schema.jpg")</f>
        <v/>
      </c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 t="s">
        <v>261</v>
      </c>
      <c r="W131" s="81"/>
      <c r="X131" s="81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6" t="str">
        <f aca="false">IF(SUM(Y131:AJ131)=0,"",SUM(Y131:AJ131))</f>
        <v/>
      </c>
      <c r="AL131" s="84" t="str">
        <f aca="false">MID(IF(N(Y131)&gt;0,", "&amp;Y$2,"")&amp;IF(N(Z131)&gt;0,", "&amp;Z$2,"")&amp;IF(N(AA131)&gt;0,", "&amp;AA$2,"")&amp;IF(N(AB131)&gt;0,", "&amp;AB$2,"")&amp;IF(N(AC131)&gt;0,", "&amp;AC$2,"")&amp;IF(N(AD131)&gt;0,", "&amp;AD$2,"")&amp;IF(N(AE131)&gt;0,", "&amp;AE$2,"")&amp;IF(N(AF131)&gt;0,", "&amp;AF$2,"")&amp;IF(N(AG131)&gt;0,", "&amp;AG$2,"")&amp;IF(N(AH131)&gt;0,", "&amp;AH$2,"")&amp;IF(N(AI131)&gt;0,", "&amp;AI$2,"")&amp;IF(N(AJ131)&gt;0,", "&amp;AJ$2,""),3,999)</f>
        <v/>
      </c>
      <c r="AM131" s="87" t="str">
        <f aca="false">IF(E131="","",MID(IF(N(Y131)&gt;0,", "&amp;A131&amp;"-"&amp;Y$2,"")&amp;IF(N(Z131)&gt;0,", "&amp;A131&amp;"-"&amp;Z$2,"")&amp;IF(N(AA131)&gt;0,", "&amp;A131&amp;"-"&amp;AA$2,"")&amp;IF(N(AB131)&gt;0,", "&amp;A131&amp;"-"&amp;AB$2,"")&amp;IF(N(AC131)&gt;0,", "&amp;A131&amp;"-"&amp;AC$2,"")&amp;IF(N(AD131)&gt;0,", "&amp;A131&amp;"-"&amp;AD$2,"")&amp;IF(N(AE131)&gt;0,", "&amp;A131&amp;"-"&amp;AE$2,"")&amp;IF(N(AF131)&gt;0,", "&amp;A131&amp;"-"&amp;AF$2,"")&amp;IF(N(AG131)&gt;0,", "&amp;A131&amp;"-"&amp;AG$2,"")&amp;IF(N(AH131)&gt;0,", "&amp;A131&amp;"-"&amp;AH$2,"")&amp;IF(N(AI131)&gt;0,", "&amp;A131&amp;"-"&amp;AI$2,"")&amp;IF(N(AJ131)&gt;0,", "&amp;A131&amp;"-"&amp;AJ$2,""),3,999))</f>
        <v/>
      </c>
      <c r="AN131" s="81"/>
      <c r="AO131" s="88"/>
      <c r="AP131" s="89" t="str">
        <f aca="false">IF(AO131="","",ROUND(AO131/(1+Справочники!$B$13),2))</f>
        <v/>
      </c>
      <c r="AQ131" s="90" t="str">
        <f aca="false" t="array" ref="AQ131:AQ131">IF(AP131="","",AP131*INDEX(Справочники!$B$4:$B$7,MATCH("RUB",Справочники!$A$4:$A$7,0)))</f>
        <v/>
      </c>
      <c r="AR131" s="90" t="str">
        <f aca="false">IF(AQ131="","",ROUND(AQ131*(1+Справочники!$B$12),0))</f>
        <v/>
      </c>
      <c r="AS131" s="90" t="str">
        <f aca="false">IF(AR131="","",ROUND(AR131*(1-Справочники!$B$11),0))</f>
        <v/>
      </c>
      <c r="AT131" s="88"/>
      <c r="AU131" s="90" t="str">
        <f aca="false">IF(AT131="","",ROUND(AT131/(1+Справочники!$B$12),0))</f>
        <v/>
      </c>
      <c r="AV131" s="90" t="str">
        <f aca="false">IF(AT131="","",ROUND(AT131*(1-Справочники!$B$15),0))</f>
        <v/>
      </c>
      <c r="AW131" s="90" t="str">
        <f aca="false">IF(AT131="","",ROUND(AT131*(1-Справочники!$B$16),0))</f>
        <v/>
      </c>
      <c r="AX131" s="90" t="str">
        <f aca="false">IF(AT131="","",ROUND(AT131*(1-Справочники!$B$17),0))</f>
        <v/>
      </c>
      <c r="AY131" s="90" t="str">
        <f aca="false">IF(AT131="","",ROUND(AT131*(1-Справочники!$B$18),0))</f>
        <v/>
      </c>
      <c r="AZ131" s="90" t="str">
        <f aca="false">IF(AT131="","",ROUND(AT131*(1-Справочники!$B$19),0))</f>
        <v/>
      </c>
      <c r="BA131" s="81"/>
      <c r="BB131" s="81"/>
      <c r="BC131" s="81"/>
      <c r="BD131" s="81"/>
      <c r="BE131" s="91"/>
      <c r="BF131" s="81" t="s">
        <v>103</v>
      </c>
      <c r="BG131" s="89" t="n">
        <f aca="false" t="array" ref="BG131:BG131">IF(BF131="","",IFERROR(INDEX(Справочники!$B$4:$B$7,MATCH(BF131,Справочники!$A$4:$A$7,0)),""))</f>
        <v>68.5</v>
      </c>
      <c r="BH131" s="90" t="str">
        <f aca="false">IF(N(BN131)&gt;0,ROUND(SUMIF(ЗАКАЗЫ!$F$3:$F$500,$A131,ЗАКАЗЫ!$Y$3:$Y$500)/BN131,0),IF(OR(BE131="",BG131=""),"",ROUND(BE131*BG131*(1+Справочники!$B$10),0)))</f>
        <v/>
      </c>
      <c r="BI131" s="92" t="str">
        <f aca="false">IF(OR(AU131="",BH131="",AU131=0),"",(AU131-BH131)/AU131)</f>
        <v/>
      </c>
      <c r="BJ131" s="81"/>
      <c r="BK131" s="83"/>
      <c r="BL131" s="43" t="str">
        <f aca="false">IFERROR(INDEX(ЗАКАЗЫ!$N$3:$N$500,MATCH($A131,ЗАКАЗЫ!$F$3:$F$500,0)),"")</f>
        <v/>
      </c>
      <c r="BM131" s="8" t="str">
        <f aca="false">IF(BL131="","",IFERROR(VLOOKUP(BL131,'ТН ВЭД'!$A$4:$C$40,3,0),""))</f>
        <v/>
      </c>
      <c r="BN131" s="7" t="str">
        <f aca="false">IF(COUNTIF(ЗАКАЗЫ!$F$3:$F$500,$A131)=0,"",SUMIF(ЗАКАЗЫ!$F$3:$F$500,$A131,ЗАКАЗЫ!$J$3:$J$500))</f>
        <v/>
      </c>
      <c r="BO131" s="7" t="str">
        <f aca="false">IF(BN131="","",SUMIF(ЗАКАЗЫ!$F$3:$F$500,$A131,ЗАКАЗЫ!$AL$3:$AL$500))</f>
        <v/>
      </c>
      <c r="BP131" s="7" t="str">
        <f aca="false">IF(BN131="","",BN131-BO131)</f>
        <v/>
      </c>
      <c r="BQ131" s="55" t="str">
        <f aca="false">IF(BN131="","",IF(BO131&gt;=BN131,"На складе",IF(BO131&gt;0,"Частично","Ждём")))</f>
        <v/>
      </c>
      <c r="BR131" s="43"/>
      <c r="BS131" s="47" t="str">
        <f aca="false">IF(BN131="","",IF(_xlfn.MAXIFS(ЗАКАЗЫ!$AK$3:$AK$500,ЗАКАЗЫ!$F$3:$F$500,$A131)=0,"",_xlfn.MAXIFS(ЗАКАЗЫ!$AK$3:$AK$500,ЗАКАЗЫ!$F$3:$F$500,$A131)))</f>
        <v/>
      </c>
    </row>
    <row r="132" customFormat="false" ht="15.75" hidden="false" customHeight="true" outlineLevel="0" collapsed="false">
      <c r="A132" s="80" t="s">
        <v>606</v>
      </c>
      <c r="B132" s="81"/>
      <c r="C132" s="81"/>
      <c r="D132" s="81"/>
      <c r="E132" s="83"/>
      <c r="F132" s="81"/>
      <c r="G132" s="83"/>
      <c r="H132" s="83"/>
      <c r="I132" s="84" t="str">
        <f aca="false">IF(E132="","",A132&amp;"_1.jpg")</f>
        <v/>
      </c>
      <c r="J132" s="84" t="str">
        <f aca="false">IF(E132="","",A132&amp;"_2.jpg; "&amp;A132&amp;"_3.jpg")</f>
        <v/>
      </c>
      <c r="K132" s="84" t="str">
        <f aca="false">IF(E132="","",A132&amp;"_schema.jpg")</f>
        <v/>
      </c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 t="s">
        <v>261</v>
      </c>
      <c r="W132" s="81"/>
      <c r="X132" s="81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6" t="str">
        <f aca="false">IF(SUM(Y132:AJ132)=0,"",SUM(Y132:AJ132))</f>
        <v/>
      </c>
      <c r="AL132" s="84" t="str">
        <f aca="false">MID(IF(N(Y132)&gt;0,", "&amp;Y$2,"")&amp;IF(N(Z132)&gt;0,", "&amp;Z$2,"")&amp;IF(N(AA132)&gt;0,", "&amp;AA$2,"")&amp;IF(N(AB132)&gt;0,", "&amp;AB$2,"")&amp;IF(N(AC132)&gt;0,", "&amp;AC$2,"")&amp;IF(N(AD132)&gt;0,", "&amp;AD$2,"")&amp;IF(N(AE132)&gt;0,", "&amp;AE$2,"")&amp;IF(N(AF132)&gt;0,", "&amp;AF$2,"")&amp;IF(N(AG132)&gt;0,", "&amp;AG$2,"")&amp;IF(N(AH132)&gt;0,", "&amp;AH$2,"")&amp;IF(N(AI132)&gt;0,", "&amp;AI$2,"")&amp;IF(N(AJ132)&gt;0,", "&amp;AJ$2,""),3,999)</f>
        <v/>
      </c>
      <c r="AM132" s="87" t="str">
        <f aca="false">IF(E132="","",MID(IF(N(Y132)&gt;0,", "&amp;A132&amp;"-"&amp;Y$2,"")&amp;IF(N(Z132)&gt;0,", "&amp;A132&amp;"-"&amp;Z$2,"")&amp;IF(N(AA132)&gt;0,", "&amp;A132&amp;"-"&amp;AA$2,"")&amp;IF(N(AB132)&gt;0,", "&amp;A132&amp;"-"&amp;AB$2,"")&amp;IF(N(AC132)&gt;0,", "&amp;A132&amp;"-"&amp;AC$2,"")&amp;IF(N(AD132)&gt;0,", "&amp;A132&amp;"-"&amp;AD$2,"")&amp;IF(N(AE132)&gt;0,", "&amp;A132&amp;"-"&amp;AE$2,"")&amp;IF(N(AF132)&gt;0,", "&amp;A132&amp;"-"&amp;AF$2,"")&amp;IF(N(AG132)&gt;0,", "&amp;A132&amp;"-"&amp;AG$2,"")&amp;IF(N(AH132)&gt;0,", "&amp;A132&amp;"-"&amp;AH$2,"")&amp;IF(N(AI132)&gt;0,", "&amp;A132&amp;"-"&amp;AI$2,"")&amp;IF(N(AJ132)&gt;0,", "&amp;A132&amp;"-"&amp;AJ$2,""),3,999))</f>
        <v/>
      </c>
      <c r="AN132" s="81"/>
      <c r="AO132" s="88"/>
      <c r="AP132" s="89" t="str">
        <f aca="false">IF(AO132="","",ROUND(AO132/(1+Справочники!$B$13),2))</f>
        <v/>
      </c>
      <c r="AQ132" s="90" t="str">
        <f aca="false" t="array" ref="AQ132:AQ132">IF(AP132="","",AP132*INDEX(Справочники!$B$4:$B$7,MATCH("RUB",Справочники!$A$4:$A$7,0)))</f>
        <v/>
      </c>
      <c r="AR132" s="90" t="str">
        <f aca="false">IF(AQ132="","",ROUND(AQ132*(1+Справочники!$B$12),0))</f>
        <v/>
      </c>
      <c r="AS132" s="90" t="str">
        <f aca="false">IF(AR132="","",ROUND(AR132*(1-Справочники!$B$11),0))</f>
        <v/>
      </c>
      <c r="AT132" s="88"/>
      <c r="AU132" s="90" t="str">
        <f aca="false">IF(AT132="","",ROUND(AT132/(1+Справочники!$B$12),0))</f>
        <v/>
      </c>
      <c r="AV132" s="90" t="str">
        <f aca="false">IF(AT132="","",ROUND(AT132*(1-Справочники!$B$15),0))</f>
        <v/>
      </c>
      <c r="AW132" s="90" t="str">
        <f aca="false">IF(AT132="","",ROUND(AT132*(1-Справочники!$B$16),0))</f>
        <v/>
      </c>
      <c r="AX132" s="90" t="str">
        <f aca="false">IF(AT132="","",ROUND(AT132*(1-Справочники!$B$17),0))</f>
        <v/>
      </c>
      <c r="AY132" s="90" t="str">
        <f aca="false">IF(AT132="","",ROUND(AT132*(1-Справочники!$B$18),0))</f>
        <v/>
      </c>
      <c r="AZ132" s="90" t="str">
        <f aca="false">IF(AT132="","",ROUND(AT132*(1-Справочники!$B$19),0))</f>
        <v/>
      </c>
      <c r="BA132" s="81"/>
      <c r="BB132" s="81"/>
      <c r="BC132" s="81"/>
      <c r="BD132" s="81"/>
      <c r="BE132" s="91"/>
      <c r="BF132" s="81" t="s">
        <v>103</v>
      </c>
      <c r="BG132" s="89" t="n">
        <f aca="false" t="array" ref="BG132:BG132">IF(BF132="","",IFERROR(INDEX(Справочники!$B$4:$B$7,MATCH(BF132,Справочники!$A$4:$A$7,0)),""))</f>
        <v>68.5</v>
      </c>
      <c r="BH132" s="90" t="str">
        <f aca="false">IF(N(BN132)&gt;0,ROUND(SUMIF(ЗАКАЗЫ!$F$3:$F$500,$A132,ЗАКАЗЫ!$Y$3:$Y$500)/BN132,0),IF(OR(BE132="",BG132=""),"",ROUND(BE132*BG132*(1+Справочники!$B$10),0)))</f>
        <v/>
      </c>
      <c r="BI132" s="92" t="str">
        <f aca="false">IF(OR(AU132="",BH132="",AU132=0),"",(AU132-BH132)/AU132)</f>
        <v/>
      </c>
      <c r="BJ132" s="81"/>
      <c r="BK132" s="83"/>
      <c r="BL132" s="43" t="str">
        <f aca="false">IFERROR(INDEX(ЗАКАЗЫ!$N$3:$N$500,MATCH($A132,ЗАКАЗЫ!$F$3:$F$500,0)),"")</f>
        <v/>
      </c>
      <c r="BM132" s="8" t="str">
        <f aca="false">IF(BL132="","",IFERROR(VLOOKUP(BL132,'ТН ВЭД'!$A$4:$C$40,3,0),""))</f>
        <v/>
      </c>
      <c r="BN132" s="7" t="str">
        <f aca="false">IF(COUNTIF(ЗАКАЗЫ!$F$3:$F$500,$A132)=0,"",SUMIF(ЗАКАЗЫ!$F$3:$F$500,$A132,ЗАКАЗЫ!$J$3:$J$500))</f>
        <v/>
      </c>
      <c r="BO132" s="7" t="str">
        <f aca="false">IF(BN132="","",SUMIF(ЗАКАЗЫ!$F$3:$F$500,$A132,ЗАКАЗЫ!$AL$3:$AL$500))</f>
        <v/>
      </c>
      <c r="BP132" s="7" t="str">
        <f aca="false">IF(BN132="","",BN132-BO132)</f>
        <v/>
      </c>
      <c r="BQ132" s="55" t="str">
        <f aca="false">IF(BN132="","",IF(BO132&gt;=BN132,"На складе",IF(BO132&gt;0,"Частично","Ждём")))</f>
        <v/>
      </c>
      <c r="BR132" s="43"/>
      <c r="BS132" s="47" t="str">
        <f aca="false">IF(BN132="","",IF(_xlfn.MAXIFS(ЗАКАЗЫ!$AK$3:$AK$500,ЗАКАЗЫ!$F$3:$F$500,$A132)=0,"",_xlfn.MAXIFS(ЗАКАЗЫ!$AK$3:$AK$500,ЗАКАЗЫ!$F$3:$F$500,$A132)))</f>
        <v/>
      </c>
    </row>
    <row r="133" customFormat="false" ht="15.75" hidden="false" customHeight="true" outlineLevel="0" collapsed="false">
      <c r="A133" s="80" t="s">
        <v>607</v>
      </c>
      <c r="B133" s="81"/>
      <c r="C133" s="81"/>
      <c r="D133" s="81"/>
      <c r="E133" s="83"/>
      <c r="F133" s="81"/>
      <c r="G133" s="83"/>
      <c r="H133" s="83"/>
      <c r="I133" s="84" t="str">
        <f aca="false">IF(E133="","",A133&amp;"_1.jpg")</f>
        <v/>
      </c>
      <c r="J133" s="84" t="str">
        <f aca="false">IF(E133="","",A133&amp;"_2.jpg; "&amp;A133&amp;"_3.jpg")</f>
        <v/>
      </c>
      <c r="K133" s="84" t="str">
        <f aca="false">IF(E133="","",A133&amp;"_schema.jpg")</f>
        <v/>
      </c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 t="s">
        <v>261</v>
      </c>
      <c r="W133" s="81"/>
      <c r="X133" s="81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6" t="str">
        <f aca="false">IF(SUM(Y133:AJ133)=0,"",SUM(Y133:AJ133))</f>
        <v/>
      </c>
      <c r="AL133" s="84" t="str">
        <f aca="false">MID(IF(N(Y133)&gt;0,", "&amp;Y$2,"")&amp;IF(N(Z133)&gt;0,", "&amp;Z$2,"")&amp;IF(N(AA133)&gt;0,", "&amp;AA$2,"")&amp;IF(N(AB133)&gt;0,", "&amp;AB$2,"")&amp;IF(N(AC133)&gt;0,", "&amp;AC$2,"")&amp;IF(N(AD133)&gt;0,", "&amp;AD$2,"")&amp;IF(N(AE133)&gt;0,", "&amp;AE$2,"")&amp;IF(N(AF133)&gt;0,", "&amp;AF$2,"")&amp;IF(N(AG133)&gt;0,", "&amp;AG$2,"")&amp;IF(N(AH133)&gt;0,", "&amp;AH$2,"")&amp;IF(N(AI133)&gt;0,", "&amp;AI$2,"")&amp;IF(N(AJ133)&gt;0,", "&amp;AJ$2,""),3,999)</f>
        <v/>
      </c>
      <c r="AM133" s="87" t="str">
        <f aca="false">IF(E133="","",MID(IF(N(Y133)&gt;0,", "&amp;A133&amp;"-"&amp;Y$2,"")&amp;IF(N(Z133)&gt;0,", "&amp;A133&amp;"-"&amp;Z$2,"")&amp;IF(N(AA133)&gt;0,", "&amp;A133&amp;"-"&amp;AA$2,"")&amp;IF(N(AB133)&gt;0,", "&amp;A133&amp;"-"&amp;AB$2,"")&amp;IF(N(AC133)&gt;0,", "&amp;A133&amp;"-"&amp;AC$2,"")&amp;IF(N(AD133)&gt;0,", "&amp;A133&amp;"-"&amp;AD$2,"")&amp;IF(N(AE133)&gt;0,", "&amp;A133&amp;"-"&amp;AE$2,"")&amp;IF(N(AF133)&gt;0,", "&amp;A133&amp;"-"&amp;AF$2,"")&amp;IF(N(AG133)&gt;0,", "&amp;A133&amp;"-"&amp;AG$2,"")&amp;IF(N(AH133)&gt;0,", "&amp;A133&amp;"-"&amp;AH$2,"")&amp;IF(N(AI133)&gt;0,", "&amp;A133&amp;"-"&amp;AI$2,"")&amp;IF(N(AJ133)&gt;0,", "&amp;A133&amp;"-"&amp;AJ$2,""),3,999))</f>
        <v/>
      </c>
      <c r="AN133" s="81"/>
      <c r="AO133" s="88"/>
      <c r="AP133" s="89" t="str">
        <f aca="false">IF(AO133="","",ROUND(AO133/(1+Справочники!$B$13),2))</f>
        <v/>
      </c>
      <c r="AQ133" s="90" t="str">
        <f aca="false" t="array" ref="AQ133:AQ133">IF(AP133="","",AP133*INDEX(Справочники!$B$4:$B$7,MATCH("RUB",Справочники!$A$4:$A$7,0)))</f>
        <v/>
      </c>
      <c r="AR133" s="90" t="str">
        <f aca="false">IF(AQ133="","",ROUND(AQ133*(1+Справочники!$B$12),0))</f>
        <v/>
      </c>
      <c r="AS133" s="90" t="str">
        <f aca="false">IF(AR133="","",ROUND(AR133*(1-Справочники!$B$11),0))</f>
        <v/>
      </c>
      <c r="AT133" s="88"/>
      <c r="AU133" s="90" t="str">
        <f aca="false">IF(AT133="","",ROUND(AT133/(1+Справочники!$B$12),0))</f>
        <v/>
      </c>
      <c r="AV133" s="90" t="str">
        <f aca="false">IF(AT133="","",ROUND(AT133*(1-Справочники!$B$15),0))</f>
        <v/>
      </c>
      <c r="AW133" s="90" t="str">
        <f aca="false">IF(AT133="","",ROUND(AT133*(1-Справочники!$B$16),0))</f>
        <v/>
      </c>
      <c r="AX133" s="90" t="str">
        <f aca="false">IF(AT133="","",ROUND(AT133*(1-Справочники!$B$17),0))</f>
        <v/>
      </c>
      <c r="AY133" s="90" t="str">
        <f aca="false">IF(AT133="","",ROUND(AT133*(1-Справочники!$B$18),0))</f>
        <v/>
      </c>
      <c r="AZ133" s="90" t="str">
        <f aca="false">IF(AT133="","",ROUND(AT133*(1-Справочники!$B$19),0))</f>
        <v/>
      </c>
      <c r="BA133" s="81"/>
      <c r="BB133" s="81"/>
      <c r="BC133" s="81"/>
      <c r="BD133" s="81"/>
      <c r="BE133" s="91"/>
      <c r="BF133" s="81" t="s">
        <v>103</v>
      </c>
      <c r="BG133" s="89" t="n">
        <f aca="false" t="array" ref="BG133:BG133">IF(BF133="","",IFERROR(INDEX(Справочники!$B$4:$B$7,MATCH(BF133,Справочники!$A$4:$A$7,0)),""))</f>
        <v>68.5</v>
      </c>
      <c r="BH133" s="90" t="str">
        <f aca="false">IF(N(BN133)&gt;0,ROUND(SUMIF(ЗАКАЗЫ!$F$3:$F$500,$A133,ЗАКАЗЫ!$Y$3:$Y$500)/BN133,0),IF(OR(BE133="",BG133=""),"",ROUND(BE133*BG133*(1+Справочники!$B$10),0)))</f>
        <v/>
      </c>
      <c r="BI133" s="92" t="str">
        <f aca="false">IF(OR(AU133="",BH133="",AU133=0),"",(AU133-BH133)/AU133)</f>
        <v/>
      </c>
      <c r="BJ133" s="81"/>
      <c r="BK133" s="83"/>
      <c r="BL133" s="43" t="str">
        <f aca="false">IFERROR(INDEX(ЗАКАЗЫ!$N$3:$N$500,MATCH($A133,ЗАКАЗЫ!$F$3:$F$500,0)),"")</f>
        <v/>
      </c>
      <c r="BM133" s="8" t="str">
        <f aca="false">IF(BL133="","",IFERROR(VLOOKUP(BL133,'ТН ВЭД'!$A$4:$C$40,3,0),""))</f>
        <v/>
      </c>
      <c r="BN133" s="7" t="str">
        <f aca="false">IF(COUNTIF(ЗАКАЗЫ!$F$3:$F$500,$A133)=0,"",SUMIF(ЗАКАЗЫ!$F$3:$F$500,$A133,ЗАКАЗЫ!$J$3:$J$500))</f>
        <v/>
      </c>
      <c r="BO133" s="7" t="str">
        <f aca="false">IF(BN133="","",SUMIF(ЗАКАЗЫ!$F$3:$F$500,$A133,ЗАКАЗЫ!$AL$3:$AL$500))</f>
        <v/>
      </c>
      <c r="BP133" s="7" t="str">
        <f aca="false">IF(BN133="","",BN133-BO133)</f>
        <v/>
      </c>
      <c r="BQ133" s="55" t="str">
        <f aca="false">IF(BN133="","",IF(BO133&gt;=BN133,"На складе",IF(BO133&gt;0,"Частично","Ждём")))</f>
        <v/>
      </c>
      <c r="BR133" s="43"/>
      <c r="BS133" s="47" t="str">
        <f aca="false">IF(BN133="","",IF(_xlfn.MAXIFS(ЗАКАЗЫ!$AK$3:$AK$500,ЗАКАЗЫ!$F$3:$F$500,$A133)=0,"",_xlfn.MAXIFS(ЗАКАЗЫ!$AK$3:$AK$500,ЗАКАЗЫ!$F$3:$F$500,$A133)))</f>
        <v/>
      </c>
    </row>
    <row r="134" customFormat="false" ht="15.75" hidden="false" customHeight="true" outlineLevel="0" collapsed="false">
      <c r="A134" s="80" t="s">
        <v>608</v>
      </c>
      <c r="B134" s="81"/>
      <c r="C134" s="81"/>
      <c r="D134" s="81"/>
      <c r="E134" s="83"/>
      <c r="F134" s="81"/>
      <c r="G134" s="83"/>
      <c r="H134" s="83"/>
      <c r="I134" s="84" t="str">
        <f aca="false">IF(E134="","",A134&amp;"_1.jpg")</f>
        <v/>
      </c>
      <c r="J134" s="84" t="str">
        <f aca="false">IF(E134="","",A134&amp;"_2.jpg; "&amp;A134&amp;"_3.jpg")</f>
        <v/>
      </c>
      <c r="K134" s="84" t="str">
        <f aca="false">IF(E134="","",A134&amp;"_schema.jpg")</f>
        <v/>
      </c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 t="s">
        <v>261</v>
      </c>
      <c r="W134" s="81"/>
      <c r="X134" s="81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6" t="str">
        <f aca="false">IF(SUM(Y134:AJ134)=0,"",SUM(Y134:AJ134))</f>
        <v/>
      </c>
      <c r="AL134" s="84" t="str">
        <f aca="false">MID(IF(N(Y134)&gt;0,", "&amp;Y$2,"")&amp;IF(N(Z134)&gt;0,", "&amp;Z$2,"")&amp;IF(N(AA134)&gt;0,", "&amp;AA$2,"")&amp;IF(N(AB134)&gt;0,", "&amp;AB$2,"")&amp;IF(N(AC134)&gt;0,", "&amp;AC$2,"")&amp;IF(N(AD134)&gt;0,", "&amp;AD$2,"")&amp;IF(N(AE134)&gt;0,", "&amp;AE$2,"")&amp;IF(N(AF134)&gt;0,", "&amp;AF$2,"")&amp;IF(N(AG134)&gt;0,", "&amp;AG$2,"")&amp;IF(N(AH134)&gt;0,", "&amp;AH$2,"")&amp;IF(N(AI134)&gt;0,", "&amp;AI$2,"")&amp;IF(N(AJ134)&gt;0,", "&amp;AJ$2,""),3,999)</f>
        <v/>
      </c>
      <c r="AM134" s="87" t="str">
        <f aca="false">IF(E134="","",MID(IF(N(Y134)&gt;0,", "&amp;A134&amp;"-"&amp;Y$2,"")&amp;IF(N(Z134)&gt;0,", "&amp;A134&amp;"-"&amp;Z$2,"")&amp;IF(N(AA134)&gt;0,", "&amp;A134&amp;"-"&amp;AA$2,"")&amp;IF(N(AB134)&gt;0,", "&amp;A134&amp;"-"&amp;AB$2,"")&amp;IF(N(AC134)&gt;0,", "&amp;A134&amp;"-"&amp;AC$2,"")&amp;IF(N(AD134)&gt;0,", "&amp;A134&amp;"-"&amp;AD$2,"")&amp;IF(N(AE134)&gt;0,", "&amp;A134&amp;"-"&amp;AE$2,"")&amp;IF(N(AF134)&gt;0,", "&amp;A134&amp;"-"&amp;AF$2,"")&amp;IF(N(AG134)&gt;0,", "&amp;A134&amp;"-"&amp;AG$2,"")&amp;IF(N(AH134)&gt;0,", "&amp;A134&amp;"-"&amp;AH$2,"")&amp;IF(N(AI134)&gt;0,", "&amp;A134&amp;"-"&amp;AI$2,"")&amp;IF(N(AJ134)&gt;0,", "&amp;A134&amp;"-"&amp;AJ$2,""),3,999))</f>
        <v/>
      </c>
      <c r="AN134" s="81"/>
      <c r="AO134" s="88"/>
      <c r="AP134" s="89" t="str">
        <f aca="false">IF(AO134="","",ROUND(AO134/(1+Справочники!$B$13),2))</f>
        <v/>
      </c>
      <c r="AQ134" s="90" t="str">
        <f aca="false" t="array" ref="AQ134:AQ134">IF(AP134="","",AP134*INDEX(Справочники!$B$4:$B$7,MATCH("RUB",Справочники!$A$4:$A$7,0)))</f>
        <v/>
      </c>
      <c r="AR134" s="90" t="str">
        <f aca="false">IF(AQ134="","",ROUND(AQ134*(1+Справочники!$B$12),0))</f>
        <v/>
      </c>
      <c r="AS134" s="90" t="str">
        <f aca="false">IF(AR134="","",ROUND(AR134*(1-Справочники!$B$11),0))</f>
        <v/>
      </c>
      <c r="AT134" s="88"/>
      <c r="AU134" s="90" t="str">
        <f aca="false">IF(AT134="","",ROUND(AT134/(1+Справочники!$B$12),0))</f>
        <v/>
      </c>
      <c r="AV134" s="90" t="str">
        <f aca="false">IF(AT134="","",ROUND(AT134*(1-Справочники!$B$15),0))</f>
        <v/>
      </c>
      <c r="AW134" s="90" t="str">
        <f aca="false">IF(AT134="","",ROUND(AT134*(1-Справочники!$B$16),0))</f>
        <v/>
      </c>
      <c r="AX134" s="90" t="str">
        <f aca="false">IF(AT134="","",ROUND(AT134*(1-Справочники!$B$17),0))</f>
        <v/>
      </c>
      <c r="AY134" s="90" t="str">
        <f aca="false">IF(AT134="","",ROUND(AT134*(1-Справочники!$B$18),0))</f>
        <v/>
      </c>
      <c r="AZ134" s="90" t="str">
        <f aca="false">IF(AT134="","",ROUND(AT134*(1-Справочники!$B$19),0))</f>
        <v/>
      </c>
      <c r="BA134" s="81"/>
      <c r="BB134" s="81"/>
      <c r="BC134" s="81"/>
      <c r="BD134" s="81"/>
      <c r="BE134" s="91"/>
      <c r="BF134" s="81" t="s">
        <v>103</v>
      </c>
      <c r="BG134" s="89" t="n">
        <f aca="false" t="array" ref="BG134:BG134">IF(BF134="","",IFERROR(INDEX(Справочники!$B$4:$B$7,MATCH(BF134,Справочники!$A$4:$A$7,0)),""))</f>
        <v>68.5</v>
      </c>
      <c r="BH134" s="90" t="str">
        <f aca="false">IF(N(BN134)&gt;0,ROUND(SUMIF(ЗАКАЗЫ!$F$3:$F$500,$A134,ЗАКАЗЫ!$Y$3:$Y$500)/BN134,0),IF(OR(BE134="",BG134=""),"",ROUND(BE134*BG134*(1+Справочники!$B$10),0)))</f>
        <v/>
      </c>
      <c r="BI134" s="92" t="str">
        <f aca="false">IF(OR(AU134="",BH134="",AU134=0),"",(AU134-BH134)/AU134)</f>
        <v/>
      </c>
      <c r="BJ134" s="81"/>
      <c r="BK134" s="83"/>
      <c r="BL134" s="43" t="str">
        <f aca="false">IFERROR(INDEX(ЗАКАЗЫ!$N$3:$N$500,MATCH($A134,ЗАКАЗЫ!$F$3:$F$500,0)),"")</f>
        <v/>
      </c>
      <c r="BM134" s="8" t="str">
        <f aca="false">IF(BL134="","",IFERROR(VLOOKUP(BL134,'ТН ВЭД'!$A$4:$C$40,3,0),""))</f>
        <v/>
      </c>
      <c r="BN134" s="7" t="str">
        <f aca="false">IF(COUNTIF(ЗАКАЗЫ!$F$3:$F$500,$A134)=0,"",SUMIF(ЗАКАЗЫ!$F$3:$F$500,$A134,ЗАКАЗЫ!$J$3:$J$500))</f>
        <v/>
      </c>
      <c r="BO134" s="7" t="str">
        <f aca="false">IF(BN134="","",SUMIF(ЗАКАЗЫ!$F$3:$F$500,$A134,ЗАКАЗЫ!$AL$3:$AL$500))</f>
        <v/>
      </c>
      <c r="BP134" s="7" t="str">
        <f aca="false">IF(BN134="","",BN134-BO134)</f>
        <v/>
      </c>
      <c r="BQ134" s="55" t="str">
        <f aca="false">IF(BN134="","",IF(BO134&gt;=BN134,"На складе",IF(BO134&gt;0,"Частично","Ждём")))</f>
        <v/>
      </c>
      <c r="BR134" s="43"/>
      <c r="BS134" s="47" t="str">
        <f aca="false">IF(BN134="","",IF(_xlfn.MAXIFS(ЗАКАЗЫ!$AK$3:$AK$500,ЗАКАЗЫ!$F$3:$F$500,$A134)=0,"",_xlfn.MAXIFS(ЗАКАЗЫ!$AK$3:$AK$500,ЗАКАЗЫ!$F$3:$F$500,$A134)))</f>
        <v/>
      </c>
    </row>
    <row r="135" customFormat="false" ht="15.75" hidden="false" customHeight="true" outlineLevel="0" collapsed="false">
      <c r="A135" s="80" t="s">
        <v>609</v>
      </c>
      <c r="B135" s="81"/>
      <c r="C135" s="81"/>
      <c r="D135" s="81"/>
      <c r="E135" s="83"/>
      <c r="F135" s="81"/>
      <c r="G135" s="83"/>
      <c r="H135" s="83"/>
      <c r="I135" s="84" t="str">
        <f aca="false">IF(E135="","",A135&amp;"_1.jpg")</f>
        <v/>
      </c>
      <c r="J135" s="84" t="str">
        <f aca="false">IF(E135="","",A135&amp;"_2.jpg; "&amp;A135&amp;"_3.jpg")</f>
        <v/>
      </c>
      <c r="K135" s="84" t="str">
        <f aca="false">IF(E135="","",A135&amp;"_schema.jpg")</f>
        <v/>
      </c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 t="s">
        <v>261</v>
      </c>
      <c r="W135" s="81"/>
      <c r="X135" s="81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6" t="str">
        <f aca="false">IF(SUM(Y135:AJ135)=0,"",SUM(Y135:AJ135))</f>
        <v/>
      </c>
      <c r="AL135" s="84" t="str">
        <f aca="false">MID(IF(N(Y135)&gt;0,", "&amp;Y$2,"")&amp;IF(N(Z135)&gt;0,", "&amp;Z$2,"")&amp;IF(N(AA135)&gt;0,", "&amp;AA$2,"")&amp;IF(N(AB135)&gt;0,", "&amp;AB$2,"")&amp;IF(N(AC135)&gt;0,", "&amp;AC$2,"")&amp;IF(N(AD135)&gt;0,", "&amp;AD$2,"")&amp;IF(N(AE135)&gt;0,", "&amp;AE$2,"")&amp;IF(N(AF135)&gt;0,", "&amp;AF$2,"")&amp;IF(N(AG135)&gt;0,", "&amp;AG$2,"")&amp;IF(N(AH135)&gt;0,", "&amp;AH$2,"")&amp;IF(N(AI135)&gt;0,", "&amp;AI$2,"")&amp;IF(N(AJ135)&gt;0,", "&amp;AJ$2,""),3,999)</f>
        <v/>
      </c>
      <c r="AM135" s="87" t="str">
        <f aca="false">IF(E135="","",MID(IF(N(Y135)&gt;0,", "&amp;A135&amp;"-"&amp;Y$2,"")&amp;IF(N(Z135)&gt;0,", "&amp;A135&amp;"-"&amp;Z$2,"")&amp;IF(N(AA135)&gt;0,", "&amp;A135&amp;"-"&amp;AA$2,"")&amp;IF(N(AB135)&gt;0,", "&amp;A135&amp;"-"&amp;AB$2,"")&amp;IF(N(AC135)&gt;0,", "&amp;A135&amp;"-"&amp;AC$2,"")&amp;IF(N(AD135)&gt;0,", "&amp;A135&amp;"-"&amp;AD$2,"")&amp;IF(N(AE135)&gt;0,", "&amp;A135&amp;"-"&amp;AE$2,"")&amp;IF(N(AF135)&gt;0,", "&amp;A135&amp;"-"&amp;AF$2,"")&amp;IF(N(AG135)&gt;0,", "&amp;A135&amp;"-"&amp;AG$2,"")&amp;IF(N(AH135)&gt;0,", "&amp;A135&amp;"-"&amp;AH$2,"")&amp;IF(N(AI135)&gt;0,", "&amp;A135&amp;"-"&amp;AI$2,"")&amp;IF(N(AJ135)&gt;0,", "&amp;A135&amp;"-"&amp;AJ$2,""),3,999))</f>
        <v/>
      </c>
      <c r="AN135" s="81"/>
      <c r="AO135" s="88"/>
      <c r="AP135" s="89" t="str">
        <f aca="false">IF(AO135="","",ROUND(AO135/(1+Справочники!$B$13),2))</f>
        <v/>
      </c>
      <c r="AQ135" s="90" t="str">
        <f aca="false" t="array" ref="AQ135:AQ135">IF(AP135="","",AP135*INDEX(Справочники!$B$4:$B$7,MATCH("RUB",Справочники!$A$4:$A$7,0)))</f>
        <v/>
      </c>
      <c r="AR135" s="90" t="str">
        <f aca="false">IF(AQ135="","",ROUND(AQ135*(1+Справочники!$B$12),0))</f>
        <v/>
      </c>
      <c r="AS135" s="90" t="str">
        <f aca="false">IF(AR135="","",ROUND(AR135*(1-Справочники!$B$11),0))</f>
        <v/>
      </c>
      <c r="AT135" s="88"/>
      <c r="AU135" s="90" t="str">
        <f aca="false">IF(AT135="","",ROUND(AT135/(1+Справочники!$B$12),0))</f>
        <v/>
      </c>
      <c r="AV135" s="90" t="str">
        <f aca="false">IF(AT135="","",ROUND(AT135*(1-Справочники!$B$15),0))</f>
        <v/>
      </c>
      <c r="AW135" s="90" t="str">
        <f aca="false">IF(AT135="","",ROUND(AT135*(1-Справочники!$B$16),0))</f>
        <v/>
      </c>
      <c r="AX135" s="90" t="str">
        <f aca="false">IF(AT135="","",ROUND(AT135*(1-Справочники!$B$17),0))</f>
        <v/>
      </c>
      <c r="AY135" s="90" t="str">
        <f aca="false">IF(AT135="","",ROUND(AT135*(1-Справочники!$B$18),0))</f>
        <v/>
      </c>
      <c r="AZ135" s="90" t="str">
        <f aca="false">IF(AT135="","",ROUND(AT135*(1-Справочники!$B$19),0))</f>
        <v/>
      </c>
      <c r="BA135" s="81"/>
      <c r="BB135" s="81"/>
      <c r="BC135" s="81"/>
      <c r="BD135" s="81"/>
      <c r="BE135" s="91"/>
      <c r="BF135" s="81" t="s">
        <v>103</v>
      </c>
      <c r="BG135" s="89" t="n">
        <f aca="false" t="array" ref="BG135:BG135">IF(BF135="","",IFERROR(INDEX(Справочники!$B$4:$B$7,MATCH(BF135,Справочники!$A$4:$A$7,0)),""))</f>
        <v>68.5</v>
      </c>
      <c r="BH135" s="90" t="str">
        <f aca="false">IF(N(BN135)&gt;0,ROUND(SUMIF(ЗАКАЗЫ!$F$3:$F$500,$A135,ЗАКАЗЫ!$Y$3:$Y$500)/BN135,0),IF(OR(BE135="",BG135=""),"",ROUND(BE135*BG135*(1+Справочники!$B$10),0)))</f>
        <v/>
      </c>
      <c r="BI135" s="92" t="str">
        <f aca="false">IF(OR(AU135="",BH135="",AU135=0),"",(AU135-BH135)/AU135)</f>
        <v/>
      </c>
      <c r="BJ135" s="81"/>
      <c r="BK135" s="83"/>
      <c r="BL135" s="43" t="str">
        <f aca="false">IFERROR(INDEX(ЗАКАЗЫ!$N$3:$N$500,MATCH($A135,ЗАКАЗЫ!$F$3:$F$500,0)),"")</f>
        <v/>
      </c>
      <c r="BM135" s="8" t="str">
        <f aca="false">IF(BL135="","",IFERROR(VLOOKUP(BL135,'ТН ВЭД'!$A$4:$C$40,3,0),""))</f>
        <v/>
      </c>
      <c r="BN135" s="7" t="str">
        <f aca="false">IF(COUNTIF(ЗАКАЗЫ!$F$3:$F$500,$A135)=0,"",SUMIF(ЗАКАЗЫ!$F$3:$F$500,$A135,ЗАКАЗЫ!$J$3:$J$500))</f>
        <v/>
      </c>
      <c r="BO135" s="7" t="str">
        <f aca="false">IF(BN135="","",SUMIF(ЗАКАЗЫ!$F$3:$F$500,$A135,ЗАКАЗЫ!$AL$3:$AL$500))</f>
        <v/>
      </c>
      <c r="BP135" s="7" t="str">
        <f aca="false">IF(BN135="","",BN135-BO135)</f>
        <v/>
      </c>
      <c r="BQ135" s="55" t="str">
        <f aca="false">IF(BN135="","",IF(BO135&gt;=BN135,"На складе",IF(BO135&gt;0,"Частично","Ждём")))</f>
        <v/>
      </c>
      <c r="BR135" s="43"/>
      <c r="BS135" s="47" t="str">
        <f aca="false">IF(BN135="","",IF(_xlfn.MAXIFS(ЗАКАЗЫ!$AK$3:$AK$500,ЗАКАЗЫ!$F$3:$F$500,$A135)=0,"",_xlfn.MAXIFS(ЗАКАЗЫ!$AK$3:$AK$500,ЗАКАЗЫ!$F$3:$F$500,$A135)))</f>
        <v/>
      </c>
    </row>
    <row r="136" customFormat="false" ht="15.75" hidden="false" customHeight="true" outlineLevel="0" collapsed="false">
      <c r="A136" s="80" t="s">
        <v>610</v>
      </c>
      <c r="B136" s="81"/>
      <c r="C136" s="81"/>
      <c r="D136" s="81"/>
      <c r="E136" s="83"/>
      <c r="F136" s="81"/>
      <c r="G136" s="83"/>
      <c r="H136" s="83"/>
      <c r="I136" s="84" t="str">
        <f aca="false">IF(E136="","",A136&amp;"_1.jpg")</f>
        <v/>
      </c>
      <c r="J136" s="84" t="str">
        <f aca="false">IF(E136="","",A136&amp;"_2.jpg; "&amp;A136&amp;"_3.jpg")</f>
        <v/>
      </c>
      <c r="K136" s="84" t="str">
        <f aca="false">IF(E136="","",A136&amp;"_schema.jpg")</f>
        <v/>
      </c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 t="s">
        <v>261</v>
      </c>
      <c r="W136" s="81"/>
      <c r="X136" s="81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6" t="str">
        <f aca="false">IF(SUM(Y136:AJ136)=0,"",SUM(Y136:AJ136))</f>
        <v/>
      </c>
      <c r="AL136" s="84" t="str">
        <f aca="false">MID(IF(N(Y136)&gt;0,", "&amp;Y$2,"")&amp;IF(N(Z136)&gt;0,", "&amp;Z$2,"")&amp;IF(N(AA136)&gt;0,", "&amp;AA$2,"")&amp;IF(N(AB136)&gt;0,", "&amp;AB$2,"")&amp;IF(N(AC136)&gt;0,", "&amp;AC$2,"")&amp;IF(N(AD136)&gt;0,", "&amp;AD$2,"")&amp;IF(N(AE136)&gt;0,", "&amp;AE$2,"")&amp;IF(N(AF136)&gt;0,", "&amp;AF$2,"")&amp;IF(N(AG136)&gt;0,", "&amp;AG$2,"")&amp;IF(N(AH136)&gt;0,", "&amp;AH$2,"")&amp;IF(N(AI136)&gt;0,", "&amp;AI$2,"")&amp;IF(N(AJ136)&gt;0,", "&amp;AJ$2,""),3,999)</f>
        <v/>
      </c>
      <c r="AM136" s="87" t="str">
        <f aca="false">IF(E136="","",MID(IF(N(Y136)&gt;0,", "&amp;A136&amp;"-"&amp;Y$2,"")&amp;IF(N(Z136)&gt;0,", "&amp;A136&amp;"-"&amp;Z$2,"")&amp;IF(N(AA136)&gt;0,", "&amp;A136&amp;"-"&amp;AA$2,"")&amp;IF(N(AB136)&gt;0,", "&amp;A136&amp;"-"&amp;AB$2,"")&amp;IF(N(AC136)&gt;0,", "&amp;A136&amp;"-"&amp;AC$2,"")&amp;IF(N(AD136)&gt;0,", "&amp;A136&amp;"-"&amp;AD$2,"")&amp;IF(N(AE136)&gt;0,", "&amp;A136&amp;"-"&amp;AE$2,"")&amp;IF(N(AF136)&gt;0,", "&amp;A136&amp;"-"&amp;AF$2,"")&amp;IF(N(AG136)&gt;0,", "&amp;A136&amp;"-"&amp;AG$2,"")&amp;IF(N(AH136)&gt;0,", "&amp;A136&amp;"-"&amp;AH$2,"")&amp;IF(N(AI136)&gt;0,", "&amp;A136&amp;"-"&amp;AI$2,"")&amp;IF(N(AJ136)&gt;0,", "&amp;A136&amp;"-"&amp;AJ$2,""),3,999))</f>
        <v/>
      </c>
      <c r="AN136" s="81"/>
      <c r="AO136" s="88"/>
      <c r="AP136" s="89" t="str">
        <f aca="false">IF(AO136="","",ROUND(AO136/(1+Справочники!$B$13),2))</f>
        <v/>
      </c>
      <c r="AQ136" s="90" t="str">
        <f aca="false" t="array" ref="AQ136:AQ136">IF(AP136="","",AP136*INDEX(Справочники!$B$4:$B$7,MATCH("RUB",Справочники!$A$4:$A$7,0)))</f>
        <v/>
      </c>
      <c r="AR136" s="90" t="str">
        <f aca="false">IF(AQ136="","",ROUND(AQ136*(1+Справочники!$B$12),0))</f>
        <v/>
      </c>
      <c r="AS136" s="90" t="str">
        <f aca="false">IF(AR136="","",ROUND(AR136*(1-Справочники!$B$11),0))</f>
        <v/>
      </c>
      <c r="AT136" s="88"/>
      <c r="AU136" s="90" t="str">
        <f aca="false">IF(AT136="","",ROUND(AT136/(1+Справочники!$B$12),0))</f>
        <v/>
      </c>
      <c r="AV136" s="90" t="str">
        <f aca="false">IF(AT136="","",ROUND(AT136*(1-Справочники!$B$15),0))</f>
        <v/>
      </c>
      <c r="AW136" s="90" t="str">
        <f aca="false">IF(AT136="","",ROUND(AT136*(1-Справочники!$B$16),0))</f>
        <v/>
      </c>
      <c r="AX136" s="90" t="str">
        <f aca="false">IF(AT136="","",ROUND(AT136*(1-Справочники!$B$17),0))</f>
        <v/>
      </c>
      <c r="AY136" s="90" t="str">
        <f aca="false">IF(AT136="","",ROUND(AT136*(1-Справочники!$B$18),0))</f>
        <v/>
      </c>
      <c r="AZ136" s="90" t="str">
        <f aca="false">IF(AT136="","",ROUND(AT136*(1-Справочники!$B$19),0))</f>
        <v/>
      </c>
      <c r="BA136" s="81"/>
      <c r="BB136" s="81"/>
      <c r="BC136" s="81"/>
      <c r="BD136" s="81"/>
      <c r="BE136" s="91"/>
      <c r="BF136" s="81" t="s">
        <v>103</v>
      </c>
      <c r="BG136" s="89" t="n">
        <f aca="false" t="array" ref="BG136:BG136">IF(BF136="","",IFERROR(INDEX(Справочники!$B$4:$B$7,MATCH(BF136,Справочники!$A$4:$A$7,0)),""))</f>
        <v>68.5</v>
      </c>
      <c r="BH136" s="90" t="str">
        <f aca="false">IF(N(BN136)&gt;0,ROUND(SUMIF(ЗАКАЗЫ!$F$3:$F$500,$A136,ЗАКАЗЫ!$Y$3:$Y$500)/BN136,0),IF(OR(BE136="",BG136=""),"",ROUND(BE136*BG136*(1+Справочники!$B$10),0)))</f>
        <v/>
      </c>
      <c r="BI136" s="92" t="str">
        <f aca="false">IF(OR(AU136="",BH136="",AU136=0),"",(AU136-BH136)/AU136)</f>
        <v/>
      </c>
      <c r="BJ136" s="81"/>
      <c r="BK136" s="83"/>
      <c r="BL136" s="43" t="str">
        <f aca="false">IFERROR(INDEX(ЗАКАЗЫ!$N$3:$N$500,MATCH($A136,ЗАКАЗЫ!$F$3:$F$500,0)),"")</f>
        <v/>
      </c>
      <c r="BM136" s="8" t="str">
        <f aca="false">IF(BL136="","",IFERROR(VLOOKUP(BL136,'ТН ВЭД'!$A$4:$C$40,3,0),""))</f>
        <v/>
      </c>
      <c r="BN136" s="7" t="str">
        <f aca="false">IF(COUNTIF(ЗАКАЗЫ!$F$3:$F$500,$A136)=0,"",SUMIF(ЗАКАЗЫ!$F$3:$F$500,$A136,ЗАКАЗЫ!$J$3:$J$500))</f>
        <v/>
      </c>
      <c r="BO136" s="7" t="str">
        <f aca="false">IF(BN136="","",SUMIF(ЗАКАЗЫ!$F$3:$F$500,$A136,ЗАКАЗЫ!$AL$3:$AL$500))</f>
        <v/>
      </c>
      <c r="BP136" s="7" t="str">
        <f aca="false">IF(BN136="","",BN136-BO136)</f>
        <v/>
      </c>
      <c r="BQ136" s="55" t="str">
        <f aca="false">IF(BN136="","",IF(BO136&gt;=BN136,"На складе",IF(BO136&gt;0,"Частично","Ждём")))</f>
        <v/>
      </c>
      <c r="BR136" s="43"/>
      <c r="BS136" s="47" t="str">
        <f aca="false">IF(BN136="","",IF(_xlfn.MAXIFS(ЗАКАЗЫ!$AK$3:$AK$500,ЗАКАЗЫ!$F$3:$F$500,$A136)=0,"",_xlfn.MAXIFS(ЗАКАЗЫ!$AK$3:$AK$500,ЗАКАЗЫ!$F$3:$F$500,$A136)))</f>
        <v/>
      </c>
    </row>
    <row r="137" customFormat="false" ht="15.75" hidden="false" customHeight="true" outlineLevel="0" collapsed="false">
      <c r="A137" s="80" t="s">
        <v>611</v>
      </c>
      <c r="B137" s="81"/>
      <c r="C137" s="81"/>
      <c r="D137" s="81"/>
      <c r="E137" s="83"/>
      <c r="F137" s="81"/>
      <c r="G137" s="83"/>
      <c r="H137" s="83"/>
      <c r="I137" s="84" t="str">
        <f aca="false">IF(E137="","",A137&amp;"_1.jpg")</f>
        <v/>
      </c>
      <c r="J137" s="84" t="str">
        <f aca="false">IF(E137="","",A137&amp;"_2.jpg; "&amp;A137&amp;"_3.jpg")</f>
        <v/>
      </c>
      <c r="K137" s="84" t="str">
        <f aca="false">IF(E137="","",A137&amp;"_schema.jpg")</f>
        <v/>
      </c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 t="s">
        <v>261</v>
      </c>
      <c r="W137" s="81"/>
      <c r="X137" s="81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6" t="str">
        <f aca="false">IF(SUM(Y137:AJ137)=0,"",SUM(Y137:AJ137))</f>
        <v/>
      </c>
      <c r="AL137" s="84" t="str">
        <f aca="false">MID(IF(N(Y137)&gt;0,", "&amp;Y$2,"")&amp;IF(N(Z137)&gt;0,", "&amp;Z$2,"")&amp;IF(N(AA137)&gt;0,", "&amp;AA$2,"")&amp;IF(N(AB137)&gt;0,", "&amp;AB$2,"")&amp;IF(N(AC137)&gt;0,", "&amp;AC$2,"")&amp;IF(N(AD137)&gt;0,", "&amp;AD$2,"")&amp;IF(N(AE137)&gt;0,", "&amp;AE$2,"")&amp;IF(N(AF137)&gt;0,", "&amp;AF$2,"")&amp;IF(N(AG137)&gt;0,", "&amp;AG$2,"")&amp;IF(N(AH137)&gt;0,", "&amp;AH$2,"")&amp;IF(N(AI137)&gt;0,", "&amp;AI$2,"")&amp;IF(N(AJ137)&gt;0,", "&amp;AJ$2,""),3,999)</f>
        <v/>
      </c>
      <c r="AM137" s="87" t="str">
        <f aca="false">IF(E137="","",MID(IF(N(Y137)&gt;0,", "&amp;A137&amp;"-"&amp;Y$2,"")&amp;IF(N(Z137)&gt;0,", "&amp;A137&amp;"-"&amp;Z$2,"")&amp;IF(N(AA137)&gt;0,", "&amp;A137&amp;"-"&amp;AA$2,"")&amp;IF(N(AB137)&gt;0,", "&amp;A137&amp;"-"&amp;AB$2,"")&amp;IF(N(AC137)&gt;0,", "&amp;A137&amp;"-"&amp;AC$2,"")&amp;IF(N(AD137)&gt;0,", "&amp;A137&amp;"-"&amp;AD$2,"")&amp;IF(N(AE137)&gt;0,", "&amp;A137&amp;"-"&amp;AE$2,"")&amp;IF(N(AF137)&gt;0,", "&amp;A137&amp;"-"&amp;AF$2,"")&amp;IF(N(AG137)&gt;0,", "&amp;A137&amp;"-"&amp;AG$2,"")&amp;IF(N(AH137)&gt;0,", "&amp;A137&amp;"-"&amp;AH$2,"")&amp;IF(N(AI137)&gt;0,", "&amp;A137&amp;"-"&amp;AI$2,"")&amp;IF(N(AJ137)&gt;0,", "&amp;A137&amp;"-"&amp;AJ$2,""),3,999))</f>
        <v/>
      </c>
      <c r="AN137" s="81"/>
      <c r="AO137" s="88"/>
      <c r="AP137" s="89" t="str">
        <f aca="false">IF(AO137="","",ROUND(AO137/(1+Справочники!$B$13),2))</f>
        <v/>
      </c>
      <c r="AQ137" s="90" t="str">
        <f aca="false" t="array" ref="AQ137:AQ137">IF(AP137="","",AP137*INDEX(Справочники!$B$4:$B$7,MATCH("RUB",Справочники!$A$4:$A$7,0)))</f>
        <v/>
      </c>
      <c r="AR137" s="90" t="str">
        <f aca="false">IF(AQ137="","",ROUND(AQ137*(1+Справочники!$B$12),0))</f>
        <v/>
      </c>
      <c r="AS137" s="90" t="str">
        <f aca="false">IF(AR137="","",ROUND(AR137*(1-Справочники!$B$11),0))</f>
        <v/>
      </c>
      <c r="AT137" s="88"/>
      <c r="AU137" s="90" t="str">
        <f aca="false">IF(AT137="","",ROUND(AT137/(1+Справочники!$B$12),0))</f>
        <v/>
      </c>
      <c r="AV137" s="90" t="str">
        <f aca="false">IF(AT137="","",ROUND(AT137*(1-Справочники!$B$15),0))</f>
        <v/>
      </c>
      <c r="AW137" s="90" t="str">
        <f aca="false">IF(AT137="","",ROUND(AT137*(1-Справочники!$B$16),0))</f>
        <v/>
      </c>
      <c r="AX137" s="90" t="str">
        <f aca="false">IF(AT137="","",ROUND(AT137*(1-Справочники!$B$17),0))</f>
        <v/>
      </c>
      <c r="AY137" s="90" t="str">
        <f aca="false">IF(AT137="","",ROUND(AT137*(1-Справочники!$B$18),0))</f>
        <v/>
      </c>
      <c r="AZ137" s="90" t="str">
        <f aca="false">IF(AT137="","",ROUND(AT137*(1-Справочники!$B$19),0))</f>
        <v/>
      </c>
      <c r="BA137" s="81"/>
      <c r="BB137" s="81"/>
      <c r="BC137" s="81"/>
      <c r="BD137" s="81"/>
      <c r="BE137" s="91"/>
      <c r="BF137" s="81" t="s">
        <v>103</v>
      </c>
      <c r="BG137" s="89" t="n">
        <f aca="false" t="array" ref="BG137:BG137">IF(BF137="","",IFERROR(INDEX(Справочники!$B$4:$B$7,MATCH(BF137,Справочники!$A$4:$A$7,0)),""))</f>
        <v>68.5</v>
      </c>
      <c r="BH137" s="90" t="str">
        <f aca="false">IF(N(BN137)&gt;0,ROUND(SUMIF(ЗАКАЗЫ!$F$3:$F$500,$A137,ЗАКАЗЫ!$Y$3:$Y$500)/BN137,0),IF(OR(BE137="",BG137=""),"",ROUND(BE137*BG137*(1+Справочники!$B$10),0)))</f>
        <v/>
      </c>
      <c r="BI137" s="92" t="str">
        <f aca="false">IF(OR(AU137="",BH137="",AU137=0),"",(AU137-BH137)/AU137)</f>
        <v/>
      </c>
      <c r="BJ137" s="81"/>
      <c r="BK137" s="83"/>
      <c r="BL137" s="43" t="str">
        <f aca="false">IFERROR(INDEX(ЗАКАЗЫ!$N$3:$N$500,MATCH($A137,ЗАКАЗЫ!$F$3:$F$500,0)),"")</f>
        <v/>
      </c>
      <c r="BM137" s="8" t="str">
        <f aca="false">IF(BL137="","",IFERROR(VLOOKUP(BL137,'ТН ВЭД'!$A$4:$C$40,3,0),""))</f>
        <v/>
      </c>
      <c r="BN137" s="7" t="str">
        <f aca="false">IF(COUNTIF(ЗАКАЗЫ!$F$3:$F$500,$A137)=0,"",SUMIF(ЗАКАЗЫ!$F$3:$F$500,$A137,ЗАКАЗЫ!$J$3:$J$500))</f>
        <v/>
      </c>
      <c r="BO137" s="7" t="str">
        <f aca="false">IF(BN137="","",SUMIF(ЗАКАЗЫ!$F$3:$F$500,$A137,ЗАКАЗЫ!$AL$3:$AL$500))</f>
        <v/>
      </c>
      <c r="BP137" s="7" t="str">
        <f aca="false">IF(BN137="","",BN137-BO137)</f>
        <v/>
      </c>
      <c r="BQ137" s="55" t="str">
        <f aca="false">IF(BN137="","",IF(BO137&gt;=BN137,"На складе",IF(BO137&gt;0,"Частично","Ждём")))</f>
        <v/>
      </c>
      <c r="BR137" s="43"/>
      <c r="BS137" s="47" t="str">
        <f aca="false">IF(BN137="","",IF(_xlfn.MAXIFS(ЗАКАЗЫ!$AK$3:$AK$500,ЗАКАЗЫ!$F$3:$F$500,$A137)=0,"",_xlfn.MAXIFS(ЗАКАЗЫ!$AK$3:$AK$500,ЗАКАЗЫ!$F$3:$F$500,$A137)))</f>
        <v/>
      </c>
    </row>
    <row r="138" customFormat="false" ht="15.75" hidden="false" customHeight="true" outlineLevel="0" collapsed="false">
      <c r="A138" s="80" t="s">
        <v>612</v>
      </c>
      <c r="B138" s="81"/>
      <c r="C138" s="81"/>
      <c r="D138" s="81"/>
      <c r="E138" s="83"/>
      <c r="F138" s="81"/>
      <c r="G138" s="83"/>
      <c r="H138" s="83"/>
      <c r="I138" s="84" t="str">
        <f aca="false">IF(E138="","",A138&amp;"_1.jpg")</f>
        <v/>
      </c>
      <c r="J138" s="84" t="str">
        <f aca="false">IF(E138="","",A138&amp;"_2.jpg; "&amp;A138&amp;"_3.jpg")</f>
        <v/>
      </c>
      <c r="K138" s="84" t="str">
        <f aca="false">IF(E138="","",A138&amp;"_schema.jpg")</f>
        <v/>
      </c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 t="s">
        <v>261</v>
      </c>
      <c r="W138" s="81"/>
      <c r="X138" s="81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6" t="str">
        <f aca="false">IF(SUM(Y138:AJ138)=0,"",SUM(Y138:AJ138))</f>
        <v/>
      </c>
      <c r="AL138" s="84" t="str">
        <f aca="false">MID(IF(N(Y138)&gt;0,", "&amp;Y$2,"")&amp;IF(N(Z138)&gt;0,", "&amp;Z$2,"")&amp;IF(N(AA138)&gt;0,", "&amp;AA$2,"")&amp;IF(N(AB138)&gt;0,", "&amp;AB$2,"")&amp;IF(N(AC138)&gt;0,", "&amp;AC$2,"")&amp;IF(N(AD138)&gt;0,", "&amp;AD$2,"")&amp;IF(N(AE138)&gt;0,", "&amp;AE$2,"")&amp;IF(N(AF138)&gt;0,", "&amp;AF$2,"")&amp;IF(N(AG138)&gt;0,", "&amp;AG$2,"")&amp;IF(N(AH138)&gt;0,", "&amp;AH$2,"")&amp;IF(N(AI138)&gt;0,", "&amp;AI$2,"")&amp;IF(N(AJ138)&gt;0,", "&amp;AJ$2,""),3,999)</f>
        <v/>
      </c>
      <c r="AM138" s="87" t="str">
        <f aca="false">IF(E138="","",MID(IF(N(Y138)&gt;0,", "&amp;A138&amp;"-"&amp;Y$2,"")&amp;IF(N(Z138)&gt;0,", "&amp;A138&amp;"-"&amp;Z$2,"")&amp;IF(N(AA138)&gt;0,", "&amp;A138&amp;"-"&amp;AA$2,"")&amp;IF(N(AB138)&gt;0,", "&amp;A138&amp;"-"&amp;AB$2,"")&amp;IF(N(AC138)&gt;0,", "&amp;A138&amp;"-"&amp;AC$2,"")&amp;IF(N(AD138)&gt;0,", "&amp;A138&amp;"-"&amp;AD$2,"")&amp;IF(N(AE138)&gt;0,", "&amp;A138&amp;"-"&amp;AE$2,"")&amp;IF(N(AF138)&gt;0,", "&amp;A138&amp;"-"&amp;AF$2,"")&amp;IF(N(AG138)&gt;0,", "&amp;A138&amp;"-"&amp;AG$2,"")&amp;IF(N(AH138)&gt;0,", "&amp;A138&amp;"-"&amp;AH$2,"")&amp;IF(N(AI138)&gt;0,", "&amp;A138&amp;"-"&amp;AI$2,"")&amp;IF(N(AJ138)&gt;0,", "&amp;A138&amp;"-"&amp;AJ$2,""),3,999))</f>
        <v/>
      </c>
      <c r="AN138" s="81"/>
      <c r="AO138" s="88"/>
      <c r="AP138" s="89" t="str">
        <f aca="false">IF(AO138="","",ROUND(AO138/(1+Справочники!$B$13),2))</f>
        <v/>
      </c>
      <c r="AQ138" s="90" t="str">
        <f aca="false" t="array" ref="AQ138:AQ138">IF(AP138="","",AP138*INDEX(Справочники!$B$4:$B$7,MATCH("RUB",Справочники!$A$4:$A$7,0)))</f>
        <v/>
      </c>
      <c r="AR138" s="90" t="str">
        <f aca="false">IF(AQ138="","",ROUND(AQ138*(1+Справочники!$B$12),0))</f>
        <v/>
      </c>
      <c r="AS138" s="90" t="str">
        <f aca="false">IF(AR138="","",ROUND(AR138*(1-Справочники!$B$11),0))</f>
        <v/>
      </c>
      <c r="AT138" s="88"/>
      <c r="AU138" s="90" t="str">
        <f aca="false">IF(AT138="","",ROUND(AT138/(1+Справочники!$B$12),0))</f>
        <v/>
      </c>
      <c r="AV138" s="90" t="str">
        <f aca="false">IF(AT138="","",ROUND(AT138*(1-Справочники!$B$15),0))</f>
        <v/>
      </c>
      <c r="AW138" s="90" t="str">
        <f aca="false">IF(AT138="","",ROUND(AT138*(1-Справочники!$B$16),0))</f>
        <v/>
      </c>
      <c r="AX138" s="90" t="str">
        <f aca="false">IF(AT138="","",ROUND(AT138*(1-Справочники!$B$17),0))</f>
        <v/>
      </c>
      <c r="AY138" s="90" t="str">
        <f aca="false">IF(AT138="","",ROUND(AT138*(1-Справочники!$B$18),0))</f>
        <v/>
      </c>
      <c r="AZ138" s="90" t="str">
        <f aca="false">IF(AT138="","",ROUND(AT138*(1-Справочники!$B$19),0))</f>
        <v/>
      </c>
      <c r="BA138" s="81"/>
      <c r="BB138" s="81"/>
      <c r="BC138" s="81"/>
      <c r="BD138" s="81"/>
      <c r="BE138" s="91"/>
      <c r="BF138" s="81" t="s">
        <v>103</v>
      </c>
      <c r="BG138" s="89" t="n">
        <f aca="false" t="array" ref="BG138:BG138">IF(BF138="","",IFERROR(INDEX(Справочники!$B$4:$B$7,MATCH(BF138,Справочники!$A$4:$A$7,0)),""))</f>
        <v>68.5</v>
      </c>
      <c r="BH138" s="90" t="str">
        <f aca="false">IF(N(BN138)&gt;0,ROUND(SUMIF(ЗАКАЗЫ!$F$3:$F$500,$A138,ЗАКАЗЫ!$Y$3:$Y$500)/BN138,0),IF(OR(BE138="",BG138=""),"",ROUND(BE138*BG138*(1+Справочники!$B$10),0)))</f>
        <v/>
      </c>
      <c r="BI138" s="92" t="str">
        <f aca="false">IF(OR(AU138="",BH138="",AU138=0),"",(AU138-BH138)/AU138)</f>
        <v/>
      </c>
      <c r="BJ138" s="81"/>
      <c r="BK138" s="83"/>
      <c r="BL138" s="43" t="str">
        <f aca="false">IFERROR(INDEX(ЗАКАЗЫ!$N$3:$N$500,MATCH($A138,ЗАКАЗЫ!$F$3:$F$500,0)),"")</f>
        <v/>
      </c>
      <c r="BM138" s="8" t="str">
        <f aca="false">IF(BL138="","",IFERROR(VLOOKUP(BL138,'ТН ВЭД'!$A$4:$C$40,3,0),""))</f>
        <v/>
      </c>
      <c r="BN138" s="7" t="str">
        <f aca="false">IF(COUNTIF(ЗАКАЗЫ!$F$3:$F$500,$A138)=0,"",SUMIF(ЗАКАЗЫ!$F$3:$F$500,$A138,ЗАКАЗЫ!$J$3:$J$500))</f>
        <v/>
      </c>
      <c r="BO138" s="7" t="str">
        <f aca="false">IF(BN138="","",SUMIF(ЗАКАЗЫ!$F$3:$F$500,$A138,ЗАКАЗЫ!$AL$3:$AL$500))</f>
        <v/>
      </c>
      <c r="BP138" s="7" t="str">
        <f aca="false">IF(BN138="","",BN138-BO138)</f>
        <v/>
      </c>
      <c r="BQ138" s="55" t="str">
        <f aca="false">IF(BN138="","",IF(BO138&gt;=BN138,"На складе",IF(BO138&gt;0,"Частично","Ждём")))</f>
        <v/>
      </c>
      <c r="BR138" s="43"/>
      <c r="BS138" s="47" t="str">
        <f aca="false">IF(BN138="","",IF(_xlfn.MAXIFS(ЗАКАЗЫ!$AK$3:$AK$500,ЗАКАЗЫ!$F$3:$F$500,$A138)=0,"",_xlfn.MAXIFS(ЗАКАЗЫ!$AK$3:$AK$500,ЗАКАЗЫ!$F$3:$F$500,$A138)))</f>
        <v/>
      </c>
    </row>
    <row r="139" customFormat="false" ht="15.75" hidden="false" customHeight="true" outlineLevel="0" collapsed="false">
      <c r="A139" s="80" t="s">
        <v>613</v>
      </c>
      <c r="B139" s="81"/>
      <c r="C139" s="81"/>
      <c r="D139" s="81"/>
      <c r="E139" s="83"/>
      <c r="F139" s="81"/>
      <c r="G139" s="83"/>
      <c r="H139" s="83"/>
      <c r="I139" s="84" t="str">
        <f aca="false">IF(E139="","",A139&amp;"_1.jpg")</f>
        <v/>
      </c>
      <c r="J139" s="84" t="str">
        <f aca="false">IF(E139="","",A139&amp;"_2.jpg; "&amp;A139&amp;"_3.jpg")</f>
        <v/>
      </c>
      <c r="K139" s="84" t="str">
        <f aca="false">IF(E139="","",A139&amp;"_schema.jpg")</f>
        <v/>
      </c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 t="s">
        <v>261</v>
      </c>
      <c r="W139" s="81"/>
      <c r="X139" s="81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6" t="str">
        <f aca="false">IF(SUM(Y139:AJ139)=0,"",SUM(Y139:AJ139))</f>
        <v/>
      </c>
      <c r="AL139" s="84" t="str">
        <f aca="false">MID(IF(N(Y139)&gt;0,", "&amp;Y$2,"")&amp;IF(N(Z139)&gt;0,", "&amp;Z$2,"")&amp;IF(N(AA139)&gt;0,", "&amp;AA$2,"")&amp;IF(N(AB139)&gt;0,", "&amp;AB$2,"")&amp;IF(N(AC139)&gt;0,", "&amp;AC$2,"")&amp;IF(N(AD139)&gt;0,", "&amp;AD$2,"")&amp;IF(N(AE139)&gt;0,", "&amp;AE$2,"")&amp;IF(N(AF139)&gt;0,", "&amp;AF$2,"")&amp;IF(N(AG139)&gt;0,", "&amp;AG$2,"")&amp;IF(N(AH139)&gt;0,", "&amp;AH$2,"")&amp;IF(N(AI139)&gt;0,", "&amp;AI$2,"")&amp;IF(N(AJ139)&gt;0,", "&amp;AJ$2,""),3,999)</f>
        <v/>
      </c>
      <c r="AM139" s="87" t="str">
        <f aca="false">IF(E139="","",MID(IF(N(Y139)&gt;0,", "&amp;A139&amp;"-"&amp;Y$2,"")&amp;IF(N(Z139)&gt;0,", "&amp;A139&amp;"-"&amp;Z$2,"")&amp;IF(N(AA139)&gt;0,", "&amp;A139&amp;"-"&amp;AA$2,"")&amp;IF(N(AB139)&gt;0,", "&amp;A139&amp;"-"&amp;AB$2,"")&amp;IF(N(AC139)&gt;0,", "&amp;A139&amp;"-"&amp;AC$2,"")&amp;IF(N(AD139)&gt;0,", "&amp;A139&amp;"-"&amp;AD$2,"")&amp;IF(N(AE139)&gt;0,", "&amp;A139&amp;"-"&amp;AE$2,"")&amp;IF(N(AF139)&gt;0,", "&amp;A139&amp;"-"&amp;AF$2,"")&amp;IF(N(AG139)&gt;0,", "&amp;A139&amp;"-"&amp;AG$2,"")&amp;IF(N(AH139)&gt;0,", "&amp;A139&amp;"-"&amp;AH$2,"")&amp;IF(N(AI139)&gt;0,", "&amp;A139&amp;"-"&amp;AI$2,"")&amp;IF(N(AJ139)&gt;0,", "&amp;A139&amp;"-"&amp;AJ$2,""),3,999))</f>
        <v/>
      </c>
      <c r="AN139" s="81"/>
      <c r="AO139" s="88"/>
      <c r="AP139" s="89" t="str">
        <f aca="false">IF(AO139="","",ROUND(AO139/(1+Справочники!$B$13),2))</f>
        <v/>
      </c>
      <c r="AQ139" s="90" t="str">
        <f aca="false" t="array" ref="AQ139:AQ139">IF(AP139="","",AP139*INDEX(Справочники!$B$4:$B$7,MATCH("RUB",Справочники!$A$4:$A$7,0)))</f>
        <v/>
      </c>
      <c r="AR139" s="90" t="str">
        <f aca="false">IF(AQ139="","",ROUND(AQ139*(1+Справочники!$B$12),0))</f>
        <v/>
      </c>
      <c r="AS139" s="90" t="str">
        <f aca="false">IF(AR139="","",ROUND(AR139*(1-Справочники!$B$11),0))</f>
        <v/>
      </c>
      <c r="AT139" s="88"/>
      <c r="AU139" s="90" t="str">
        <f aca="false">IF(AT139="","",ROUND(AT139/(1+Справочники!$B$12),0))</f>
        <v/>
      </c>
      <c r="AV139" s="90" t="str">
        <f aca="false">IF(AT139="","",ROUND(AT139*(1-Справочники!$B$15),0))</f>
        <v/>
      </c>
      <c r="AW139" s="90" t="str">
        <f aca="false">IF(AT139="","",ROUND(AT139*(1-Справочники!$B$16),0))</f>
        <v/>
      </c>
      <c r="AX139" s="90" t="str">
        <f aca="false">IF(AT139="","",ROUND(AT139*(1-Справочники!$B$17),0))</f>
        <v/>
      </c>
      <c r="AY139" s="90" t="str">
        <f aca="false">IF(AT139="","",ROUND(AT139*(1-Справочники!$B$18),0))</f>
        <v/>
      </c>
      <c r="AZ139" s="90" t="str">
        <f aca="false">IF(AT139="","",ROUND(AT139*(1-Справочники!$B$19),0))</f>
        <v/>
      </c>
      <c r="BA139" s="81"/>
      <c r="BB139" s="81"/>
      <c r="BC139" s="81"/>
      <c r="BD139" s="81"/>
      <c r="BE139" s="91"/>
      <c r="BF139" s="81" t="s">
        <v>103</v>
      </c>
      <c r="BG139" s="89" t="n">
        <f aca="false" t="array" ref="BG139:BG139">IF(BF139="","",IFERROR(INDEX(Справочники!$B$4:$B$7,MATCH(BF139,Справочники!$A$4:$A$7,0)),""))</f>
        <v>68.5</v>
      </c>
      <c r="BH139" s="90" t="str">
        <f aca="false">IF(N(BN139)&gt;0,ROUND(SUMIF(ЗАКАЗЫ!$F$3:$F$500,$A139,ЗАКАЗЫ!$Y$3:$Y$500)/BN139,0),IF(OR(BE139="",BG139=""),"",ROUND(BE139*BG139*(1+Справочники!$B$10),0)))</f>
        <v/>
      </c>
      <c r="BI139" s="92" t="str">
        <f aca="false">IF(OR(AU139="",BH139="",AU139=0),"",(AU139-BH139)/AU139)</f>
        <v/>
      </c>
      <c r="BJ139" s="81"/>
      <c r="BK139" s="83"/>
      <c r="BL139" s="43" t="str">
        <f aca="false">IFERROR(INDEX(ЗАКАЗЫ!$N$3:$N$500,MATCH($A139,ЗАКАЗЫ!$F$3:$F$500,0)),"")</f>
        <v/>
      </c>
      <c r="BM139" s="8" t="str">
        <f aca="false">IF(BL139="","",IFERROR(VLOOKUP(BL139,'ТН ВЭД'!$A$4:$C$40,3,0),""))</f>
        <v/>
      </c>
      <c r="BN139" s="7" t="str">
        <f aca="false">IF(COUNTIF(ЗАКАЗЫ!$F$3:$F$500,$A139)=0,"",SUMIF(ЗАКАЗЫ!$F$3:$F$500,$A139,ЗАКАЗЫ!$J$3:$J$500))</f>
        <v/>
      </c>
      <c r="BO139" s="7" t="str">
        <f aca="false">IF(BN139="","",SUMIF(ЗАКАЗЫ!$F$3:$F$500,$A139,ЗАКАЗЫ!$AL$3:$AL$500))</f>
        <v/>
      </c>
      <c r="BP139" s="7" t="str">
        <f aca="false">IF(BN139="","",BN139-BO139)</f>
        <v/>
      </c>
      <c r="BQ139" s="55" t="str">
        <f aca="false">IF(BN139="","",IF(BO139&gt;=BN139,"На складе",IF(BO139&gt;0,"Частично","Ждём")))</f>
        <v/>
      </c>
      <c r="BR139" s="43"/>
      <c r="BS139" s="47" t="str">
        <f aca="false">IF(BN139="","",IF(_xlfn.MAXIFS(ЗАКАЗЫ!$AK$3:$AK$500,ЗАКАЗЫ!$F$3:$F$500,$A139)=0,"",_xlfn.MAXIFS(ЗАКАЗЫ!$AK$3:$AK$500,ЗАКАЗЫ!$F$3:$F$500,$A139)))</f>
        <v/>
      </c>
    </row>
    <row r="140" customFormat="false" ht="15.75" hidden="false" customHeight="true" outlineLevel="0" collapsed="false">
      <c r="A140" s="80" t="s">
        <v>614</v>
      </c>
      <c r="B140" s="81"/>
      <c r="C140" s="81"/>
      <c r="D140" s="81"/>
      <c r="E140" s="83"/>
      <c r="F140" s="81"/>
      <c r="G140" s="83"/>
      <c r="H140" s="83"/>
      <c r="I140" s="84" t="str">
        <f aca="false">IF(E140="","",A140&amp;"_1.jpg")</f>
        <v/>
      </c>
      <c r="J140" s="84" t="str">
        <f aca="false">IF(E140="","",A140&amp;"_2.jpg; "&amp;A140&amp;"_3.jpg")</f>
        <v/>
      </c>
      <c r="K140" s="84" t="str">
        <f aca="false">IF(E140="","",A140&amp;"_schema.jpg")</f>
        <v/>
      </c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 t="s">
        <v>261</v>
      </c>
      <c r="W140" s="81"/>
      <c r="X140" s="81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6" t="str">
        <f aca="false">IF(SUM(Y140:AJ140)=0,"",SUM(Y140:AJ140))</f>
        <v/>
      </c>
      <c r="AL140" s="84" t="str">
        <f aca="false">MID(IF(N(Y140)&gt;0,", "&amp;Y$2,"")&amp;IF(N(Z140)&gt;0,", "&amp;Z$2,"")&amp;IF(N(AA140)&gt;0,", "&amp;AA$2,"")&amp;IF(N(AB140)&gt;0,", "&amp;AB$2,"")&amp;IF(N(AC140)&gt;0,", "&amp;AC$2,"")&amp;IF(N(AD140)&gt;0,", "&amp;AD$2,"")&amp;IF(N(AE140)&gt;0,", "&amp;AE$2,"")&amp;IF(N(AF140)&gt;0,", "&amp;AF$2,"")&amp;IF(N(AG140)&gt;0,", "&amp;AG$2,"")&amp;IF(N(AH140)&gt;0,", "&amp;AH$2,"")&amp;IF(N(AI140)&gt;0,", "&amp;AI$2,"")&amp;IF(N(AJ140)&gt;0,", "&amp;AJ$2,""),3,999)</f>
        <v/>
      </c>
      <c r="AM140" s="87" t="str">
        <f aca="false">IF(E140="","",MID(IF(N(Y140)&gt;0,", "&amp;A140&amp;"-"&amp;Y$2,"")&amp;IF(N(Z140)&gt;0,", "&amp;A140&amp;"-"&amp;Z$2,"")&amp;IF(N(AA140)&gt;0,", "&amp;A140&amp;"-"&amp;AA$2,"")&amp;IF(N(AB140)&gt;0,", "&amp;A140&amp;"-"&amp;AB$2,"")&amp;IF(N(AC140)&gt;0,", "&amp;A140&amp;"-"&amp;AC$2,"")&amp;IF(N(AD140)&gt;0,", "&amp;A140&amp;"-"&amp;AD$2,"")&amp;IF(N(AE140)&gt;0,", "&amp;A140&amp;"-"&amp;AE$2,"")&amp;IF(N(AF140)&gt;0,", "&amp;A140&amp;"-"&amp;AF$2,"")&amp;IF(N(AG140)&gt;0,", "&amp;A140&amp;"-"&amp;AG$2,"")&amp;IF(N(AH140)&gt;0,", "&amp;A140&amp;"-"&amp;AH$2,"")&amp;IF(N(AI140)&gt;0,", "&amp;A140&amp;"-"&amp;AI$2,"")&amp;IF(N(AJ140)&gt;0,", "&amp;A140&amp;"-"&amp;AJ$2,""),3,999))</f>
        <v/>
      </c>
      <c r="AN140" s="81"/>
      <c r="AO140" s="88"/>
      <c r="AP140" s="89" t="str">
        <f aca="false">IF(AO140="","",ROUND(AO140/(1+Справочники!$B$13),2))</f>
        <v/>
      </c>
      <c r="AQ140" s="90" t="str">
        <f aca="false" t="array" ref="AQ140:AQ140">IF(AP140="","",AP140*INDEX(Справочники!$B$4:$B$7,MATCH("RUB",Справочники!$A$4:$A$7,0)))</f>
        <v/>
      </c>
      <c r="AR140" s="90" t="str">
        <f aca="false">IF(AQ140="","",ROUND(AQ140*(1+Справочники!$B$12),0))</f>
        <v/>
      </c>
      <c r="AS140" s="90" t="str">
        <f aca="false">IF(AR140="","",ROUND(AR140*(1-Справочники!$B$11),0))</f>
        <v/>
      </c>
      <c r="AT140" s="88"/>
      <c r="AU140" s="90" t="str">
        <f aca="false">IF(AT140="","",ROUND(AT140/(1+Справочники!$B$12),0))</f>
        <v/>
      </c>
      <c r="AV140" s="90" t="str">
        <f aca="false">IF(AT140="","",ROUND(AT140*(1-Справочники!$B$15),0))</f>
        <v/>
      </c>
      <c r="AW140" s="90" t="str">
        <f aca="false">IF(AT140="","",ROUND(AT140*(1-Справочники!$B$16),0))</f>
        <v/>
      </c>
      <c r="AX140" s="90" t="str">
        <f aca="false">IF(AT140="","",ROUND(AT140*(1-Справочники!$B$17),0))</f>
        <v/>
      </c>
      <c r="AY140" s="90" t="str">
        <f aca="false">IF(AT140="","",ROUND(AT140*(1-Справочники!$B$18),0))</f>
        <v/>
      </c>
      <c r="AZ140" s="90" t="str">
        <f aca="false">IF(AT140="","",ROUND(AT140*(1-Справочники!$B$19),0))</f>
        <v/>
      </c>
      <c r="BA140" s="81"/>
      <c r="BB140" s="81"/>
      <c r="BC140" s="81"/>
      <c r="BD140" s="81"/>
      <c r="BE140" s="91"/>
      <c r="BF140" s="81" t="s">
        <v>103</v>
      </c>
      <c r="BG140" s="89" t="n">
        <f aca="false" t="array" ref="BG140:BG140">IF(BF140="","",IFERROR(INDEX(Справочники!$B$4:$B$7,MATCH(BF140,Справочники!$A$4:$A$7,0)),""))</f>
        <v>68.5</v>
      </c>
      <c r="BH140" s="90" t="str">
        <f aca="false">IF(N(BN140)&gt;0,ROUND(SUMIF(ЗАКАЗЫ!$F$3:$F$500,$A140,ЗАКАЗЫ!$Y$3:$Y$500)/BN140,0),IF(OR(BE140="",BG140=""),"",ROUND(BE140*BG140*(1+Справочники!$B$10),0)))</f>
        <v/>
      </c>
      <c r="BI140" s="92" t="str">
        <f aca="false">IF(OR(AU140="",BH140="",AU140=0),"",(AU140-BH140)/AU140)</f>
        <v/>
      </c>
      <c r="BJ140" s="81"/>
      <c r="BK140" s="83"/>
      <c r="BL140" s="43" t="str">
        <f aca="false">IFERROR(INDEX(ЗАКАЗЫ!$N$3:$N$500,MATCH($A140,ЗАКАЗЫ!$F$3:$F$500,0)),"")</f>
        <v/>
      </c>
      <c r="BM140" s="8" t="str">
        <f aca="false">IF(BL140="","",IFERROR(VLOOKUP(BL140,'ТН ВЭД'!$A$4:$C$40,3,0),""))</f>
        <v/>
      </c>
      <c r="BN140" s="7" t="str">
        <f aca="false">IF(COUNTIF(ЗАКАЗЫ!$F$3:$F$500,$A140)=0,"",SUMIF(ЗАКАЗЫ!$F$3:$F$500,$A140,ЗАКАЗЫ!$J$3:$J$500))</f>
        <v/>
      </c>
      <c r="BO140" s="7" t="str">
        <f aca="false">IF(BN140="","",SUMIF(ЗАКАЗЫ!$F$3:$F$500,$A140,ЗАКАЗЫ!$AL$3:$AL$500))</f>
        <v/>
      </c>
      <c r="BP140" s="7" t="str">
        <f aca="false">IF(BN140="","",BN140-BO140)</f>
        <v/>
      </c>
      <c r="BQ140" s="55" t="str">
        <f aca="false">IF(BN140="","",IF(BO140&gt;=BN140,"На складе",IF(BO140&gt;0,"Частично","Ждём")))</f>
        <v/>
      </c>
      <c r="BR140" s="43"/>
      <c r="BS140" s="47" t="str">
        <f aca="false">IF(BN140="","",IF(_xlfn.MAXIFS(ЗАКАЗЫ!$AK$3:$AK$500,ЗАКАЗЫ!$F$3:$F$500,$A140)=0,"",_xlfn.MAXIFS(ЗАКАЗЫ!$AK$3:$AK$500,ЗАКАЗЫ!$F$3:$F$500,$A140)))</f>
        <v/>
      </c>
    </row>
    <row r="141" customFormat="false" ht="15.75" hidden="false" customHeight="true" outlineLevel="0" collapsed="false">
      <c r="A141" s="80" t="s">
        <v>615</v>
      </c>
      <c r="B141" s="81"/>
      <c r="C141" s="81"/>
      <c r="D141" s="81"/>
      <c r="E141" s="83"/>
      <c r="F141" s="81"/>
      <c r="G141" s="83"/>
      <c r="H141" s="83"/>
      <c r="I141" s="84" t="str">
        <f aca="false">IF(E141="","",A141&amp;"_1.jpg")</f>
        <v/>
      </c>
      <c r="J141" s="84" t="str">
        <f aca="false">IF(E141="","",A141&amp;"_2.jpg; "&amp;A141&amp;"_3.jpg")</f>
        <v/>
      </c>
      <c r="K141" s="84" t="str">
        <f aca="false">IF(E141="","",A141&amp;"_schema.jpg")</f>
        <v/>
      </c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 t="s">
        <v>261</v>
      </c>
      <c r="W141" s="81"/>
      <c r="X141" s="81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6" t="str">
        <f aca="false">IF(SUM(Y141:AJ141)=0,"",SUM(Y141:AJ141))</f>
        <v/>
      </c>
      <c r="AL141" s="84" t="str">
        <f aca="false">MID(IF(N(Y141)&gt;0,", "&amp;Y$2,"")&amp;IF(N(Z141)&gt;0,", "&amp;Z$2,"")&amp;IF(N(AA141)&gt;0,", "&amp;AA$2,"")&amp;IF(N(AB141)&gt;0,", "&amp;AB$2,"")&amp;IF(N(AC141)&gt;0,", "&amp;AC$2,"")&amp;IF(N(AD141)&gt;0,", "&amp;AD$2,"")&amp;IF(N(AE141)&gt;0,", "&amp;AE$2,"")&amp;IF(N(AF141)&gt;0,", "&amp;AF$2,"")&amp;IF(N(AG141)&gt;0,", "&amp;AG$2,"")&amp;IF(N(AH141)&gt;0,", "&amp;AH$2,"")&amp;IF(N(AI141)&gt;0,", "&amp;AI$2,"")&amp;IF(N(AJ141)&gt;0,", "&amp;AJ$2,""),3,999)</f>
        <v/>
      </c>
      <c r="AM141" s="87" t="str">
        <f aca="false">IF(E141="","",MID(IF(N(Y141)&gt;0,", "&amp;A141&amp;"-"&amp;Y$2,"")&amp;IF(N(Z141)&gt;0,", "&amp;A141&amp;"-"&amp;Z$2,"")&amp;IF(N(AA141)&gt;0,", "&amp;A141&amp;"-"&amp;AA$2,"")&amp;IF(N(AB141)&gt;0,", "&amp;A141&amp;"-"&amp;AB$2,"")&amp;IF(N(AC141)&gt;0,", "&amp;A141&amp;"-"&amp;AC$2,"")&amp;IF(N(AD141)&gt;0,", "&amp;A141&amp;"-"&amp;AD$2,"")&amp;IF(N(AE141)&gt;0,", "&amp;A141&amp;"-"&amp;AE$2,"")&amp;IF(N(AF141)&gt;0,", "&amp;A141&amp;"-"&amp;AF$2,"")&amp;IF(N(AG141)&gt;0,", "&amp;A141&amp;"-"&amp;AG$2,"")&amp;IF(N(AH141)&gt;0,", "&amp;A141&amp;"-"&amp;AH$2,"")&amp;IF(N(AI141)&gt;0,", "&amp;A141&amp;"-"&amp;AI$2,"")&amp;IF(N(AJ141)&gt;0,", "&amp;A141&amp;"-"&amp;AJ$2,""),3,999))</f>
        <v/>
      </c>
      <c r="AN141" s="81"/>
      <c r="AO141" s="88"/>
      <c r="AP141" s="89" t="str">
        <f aca="false">IF(AO141="","",ROUND(AO141/(1+Справочники!$B$13),2))</f>
        <v/>
      </c>
      <c r="AQ141" s="90" t="str">
        <f aca="false" t="array" ref="AQ141:AQ141">IF(AP141="","",AP141*INDEX(Справочники!$B$4:$B$7,MATCH("RUB",Справочники!$A$4:$A$7,0)))</f>
        <v/>
      </c>
      <c r="AR141" s="90" t="str">
        <f aca="false">IF(AQ141="","",ROUND(AQ141*(1+Справочники!$B$12),0))</f>
        <v/>
      </c>
      <c r="AS141" s="90" t="str">
        <f aca="false">IF(AR141="","",ROUND(AR141*(1-Справочники!$B$11),0))</f>
        <v/>
      </c>
      <c r="AT141" s="88"/>
      <c r="AU141" s="90" t="str">
        <f aca="false">IF(AT141="","",ROUND(AT141/(1+Справочники!$B$12),0))</f>
        <v/>
      </c>
      <c r="AV141" s="90" t="str">
        <f aca="false">IF(AT141="","",ROUND(AT141*(1-Справочники!$B$15),0))</f>
        <v/>
      </c>
      <c r="AW141" s="90" t="str">
        <f aca="false">IF(AT141="","",ROUND(AT141*(1-Справочники!$B$16),0))</f>
        <v/>
      </c>
      <c r="AX141" s="90" t="str">
        <f aca="false">IF(AT141="","",ROUND(AT141*(1-Справочники!$B$17),0))</f>
        <v/>
      </c>
      <c r="AY141" s="90" t="str">
        <f aca="false">IF(AT141="","",ROUND(AT141*(1-Справочники!$B$18),0))</f>
        <v/>
      </c>
      <c r="AZ141" s="90" t="str">
        <f aca="false">IF(AT141="","",ROUND(AT141*(1-Справочники!$B$19),0))</f>
        <v/>
      </c>
      <c r="BA141" s="81"/>
      <c r="BB141" s="81"/>
      <c r="BC141" s="81"/>
      <c r="BD141" s="81"/>
      <c r="BE141" s="91"/>
      <c r="BF141" s="81" t="s">
        <v>103</v>
      </c>
      <c r="BG141" s="89" t="n">
        <f aca="false" t="array" ref="BG141:BG141">IF(BF141="","",IFERROR(INDEX(Справочники!$B$4:$B$7,MATCH(BF141,Справочники!$A$4:$A$7,0)),""))</f>
        <v>68.5</v>
      </c>
      <c r="BH141" s="90" t="str">
        <f aca="false">IF(N(BN141)&gt;0,ROUND(SUMIF(ЗАКАЗЫ!$F$3:$F$500,$A141,ЗАКАЗЫ!$Y$3:$Y$500)/BN141,0),IF(OR(BE141="",BG141=""),"",ROUND(BE141*BG141*(1+Справочники!$B$10),0)))</f>
        <v/>
      </c>
      <c r="BI141" s="92" t="str">
        <f aca="false">IF(OR(AU141="",BH141="",AU141=0),"",(AU141-BH141)/AU141)</f>
        <v/>
      </c>
      <c r="BJ141" s="81"/>
      <c r="BK141" s="83"/>
      <c r="BL141" s="43" t="str">
        <f aca="false">IFERROR(INDEX(ЗАКАЗЫ!$N$3:$N$500,MATCH($A141,ЗАКАЗЫ!$F$3:$F$500,0)),"")</f>
        <v/>
      </c>
      <c r="BM141" s="8" t="str">
        <f aca="false">IF(BL141="","",IFERROR(VLOOKUP(BL141,'ТН ВЭД'!$A$4:$C$40,3,0),""))</f>
        <v/>
      </c>
      <c r="BN141" s="7" t="str">
        <f aca="false">IF(COUNTIF(ЗАКАЗЫ!$F$3:$F$500,$A141)=0,"",SUMIF(ЗАКАЗЫ!$F$3:$F$500,$A141,ЗАКАЗЫ!$J$3:$J$500))</f>
        <v/>
      </c>
      <c r="BO141" s="7" t="str">
        <f aca="false">IF(BN141="","",SUMIF(ЗАКАЗЫ!$F$3:$F$500,$A141,ЗАКАЗЫ!$AL$3:$AL$500))</f>
        <v/>
      </c>
      <c r="BP141" s="7" t="str">
        <f aca="false">IF(BN141="","",BN141-BO141)</f>
        <v/>
      </c>
      <c r="BQ141" s="55" t="str">
        <f aca="false">IF(BN141="","",IF(BO141&gt;=BN141,"На складе",IF(BO141&gt;0,"Частично","Ждём")))</f>
        <v/>
      </c>
      <c r="BR141" s="43"/>
      <c r="BS141" s="47" t="str">
        <f aca="false">IF(BN141="","",IF(_xlfn.MAXIFS(ЗАКАЗЫ!$AK$3:$AK$500,ЗАКАЗЫ!$F$3:$F$500,$A141)=0,"",_xlfn.MAXIFS(ЗАКАЗЫ!$AK$3:$AK$500,ЗАКАЗЫ!$F$3:$F$500,$A141)))</f>
        <v/>
      </c>
    </row>
    <row r="142" customFormat="false" ht="15.75" hidden="false" customHeight="true" outlineLevel="0" collapsed="false">
      <c r="A142" s="80" t="s">
        <v>616</v>
      </c>
      <c r="B142" s="81"/>
      <c r="C142" s="81"/>
      <c r="D142" s="81"/>
      <c r="E142" s="83"/>
      <c r="F142" s="81"/>
      <c r="G142" s="83"/>
      <c r="H142" s="83"/>
      <c r="I142" s="84" t="str">
        <f aca="false">IF(E142="","",A142&amp;"_1.jpg")</f>
        <v/>
      </c>
      <c r="J142" s="84" t="str">
        <f aca="false">IF(E142="","",A142&amp;"_2.jpg; "&amp;A142&amp;"_3.jpg")</f>
        <v/>
      </c>
      <c r="K142" s="84" t="str">
        <f aca="false">IF(E142="","",A142&amp;"_schema.jpg")</f>
        <v/>
      </c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 t="s">
        <v>261</v>
      </c>
      <c r="W142" s="81"/>
      <c r="X142" s="81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6" t="str">
        <f aca="false">IF(SUM(Y142:AJ142)=0,"",SUM(Y142:AJ142))</f>
        <v/>
      </c>
      <c r="AL142" s="84" t="str">
        <f aca="false">MID(IF(N(Y142)&gt;0,", "&amp;Y$2,"")&amp;IF(N(Z142)&gt;0,", "&amp;Z$2,"")&amp;IF(N(AA142)&gt;0,", "&amp;AA$2,"")&amp;IF(N(AB142)&gt;0,", "&amp;AB$2,"")&amp;IF(N(AC142)&gt;0,", "&amp;AC$2,"")&amp;IF(N(AD142)&gt;0,", "&amp;AD$2,"")&amp;IF(N(AE142)&gt;0,", "&amp;AE$2,"")&amp;IF(N(AF142)&gt;0,", "&amp;AF$2,"")&amp;IF(N(AG142)&gt;0,", "&amp;AG$2,"")&amp;IF(N(AH142)&gt;0,", "&amp;AH$2,"")&amp;IF(N(AI142)&gt;0,", "&amp;AI$2,"")&amp;IF(N(AJ142)&gt;0,", "&amp;AJ$2,""),3,999)</f>
        <v/>
      </c>
      <c r="AM142" s="87" t="str">
        <f aca="false">IF(E142="","",MID(IF(N(Y142)&gt;0,", "&amp;A142&amp;"-"&amp;Y$2,"")&amp;IF(N(Z142)&gt;0,", "&amp;A142&amp;"-"&amp;Z$2,"")&amp;IF(N(AA142)&gt;0,", "&amp;A142&amp;"-"&amp;AA$2,"")&amp;IF(N(AB142)&gt;0,", "&amp;A142&amp;"-"&amp;AB$2,"")&amp;IF(N(AC142)&gt;0,", "&amp;A142&amp;"-"&amp;AC$2,"")&amp;IF(N(AD142)&gt;0,", "&amp;A142&amp;"-"&amp;AD$2,"")&amp;IF(N(AE142)&gt;0,", "&amp;A142&amp;"-"&amp;AE$2,"")&amp;IF(N(AF142)&gt;0,", "&amp;A142&amp;"-"&amp;AF$2,"")&amp;IF(N(AG142)&gt;0,", "&amp;A142&amp;"-"&amp;AG$2,"")&amp;IF(N(AH142)&gt;0,", "&amp;A142&amp;"-"&amp;AH$2,"")&amp;IF(N(AI142)&gt;0,", "&amp;A142&amp;"-"&amp;AI$2,"")&amp;IF(N(AJ142)&gt;0,", "&amp;A142&amp;"-"&amp;AJ$2,""),3,999))</f>
        <v/>
      </c>
      <c r="AN142" s="81"/>
      <c r="AO142" s="88"/>
      <c r="AP142" s="89" t="str">
        <f aca="false">IF(AO142="","",ROUND(AO142/(1+Справочники!$B$13),2))</f>
        <v/>
      </c>
      <c r="AQ142" s="90" t="str">
        <f aca="false" t="array" ref="AQ142:AQ142">IF(AP142="","",AP142*INDEX(Справочники!$B$4:$B$7,MATCH("RUB",Справочники!$A$4:$A$7,0)))</f>
        <v/>
      </c>
      <c r="AR142" s="90" t="str">
        <f aca="false">IF(AQ142="","",ROUND(AQ142*(1+Справочники!$B$12),0))</f>
        <v/>
      </c>
      <c r="AS142" s="90" t="str">
        <f aca="false">IF(AR142="","",ROUND(AR142*(1-Справочники!$B$11),0))</f>
        <v/>
      </c>
      <c r="AT142" s="88"/>
      <c r="AU142" s="90" t="str">
        <f aca="false">IF(AT142="","",ROUND(AT142/(1+Справочники!$B$12),0))</f>
        <v/>
      </c>
      <c r="AV142" s="90" t="str">
        <f aca="false">IF(AT142="","",ROUND(AT142*(1-Справочники!$B$15),0))</f>
        <v/>
      </c>
      <c r="AW142" s="90" t="str">
        <f aca="false">IF(AT142="","",ROUND(AT142*(1-Справочники!$B$16),0))</f>
        <v/>
      </c>
      <c r="AX142" s="90" t="str">
        <f aca="false">IF(AT142="","",ROUND(AT142*(1-Справочники!$B$17),0))</f>
        <v/>
      </c>
      <c r="AY142" s="90" t="str">
        <f aca="false">IF(AT142="","",ROUND(AT142*(1-Справочники!$B$18),0))</f>
        <v/>
      </c>
      <c r="AZ142" s="90" t="str">
        <f aca="false">IF(AT142="","",ROUND(AT142*(1-Справочники!$B$19),0))</f>
        <v/>
      </c>
      <c r="BA142" s="81"/>
      <c r="BB142" s="81"/>
      <c r="BC142" s="81"/>
      <c r="BD142" s="81"/>
      <c r="BE142" s="91"/>
      <c r="BF142" s="81" t="s">
        <v>103</v>
      </c>
      <c r="BG142" s="89" t="n">
        <f aca="false" t="array" ref="BG142:BG142">IF(BF142="","",IFERROR(INDEX(Справочники!$B$4:$B$7,MATCH(BF142,Справочники!$A$4:$A$7,0)),""))</f>
        <v>68.5</v>
      </c>
      <c r="BH142" s="90" t="str">
        <f aca="false">IF(N(BN142)&gt;0,ROUND(SUMIF(ЗАКАЗЫ!$F$3:$F$500,$A142,ЗАКАЗЫ!$Y$3:$Y$500)/BN142,0),IF(OR(BE142="",BG142=""),"",ROUND(BE142*BG142*(1+Справочники!$B$10),0)))</f>
        <v/>
      </c>
      <c r="BI142" s="92" t="str">
        <f aca="false">IF(OR(AU142="",BH142="",AU142=0),"",(AU142-BH142)/AU142)</f>
        <v/>
      </c>
      <c r="BJ142" s="81"/>
      <c r="BK142" s="83"/>
      <c r="BL142" s="43" t="str">
        <f aca="false">IFERROR(INDEX(ЗАКАЗЫ!$N$3:$N$500,MATCH($A142,ЗАКАЗЫ!$F$3:$F$500,0)),"")</f>
        <v/>
      </c>
      <c r="BM142" s="8" t="str">
        <f aca="false">IF(BL142="","",IFERROR(VLOOKUP(BL142,'ТН ВЭД'!$A$4:$C$40,3,0),""))</f>
        <v/>
      </c>
      <c r="BN142" s="7" t="str">
        <f aca="false">IF(COUNTIF(ЗАКАЗЫ!$F$3:$F$500,$A142)=0,"",SUMIF(ЗАКАЗЫ!$F$3:$F$500,$A142,ЗАКАЗЫ!$J$3:$J$500))</f>
        <v/>
      </c>
      <c r="BO142" s="7" t="str">
        <f aca="false">IF(BN142="","",SUMIF(ЗАКАЗЫ!$F$3:$F$500,$A142,ЗАКАЗЫ!$AL$3:$AL$500))</f>
        <v/>
      </c>
      <c r="BP142" s="7" t="str">
        <f aca="false">IF(BN142="","",BN142-BO142)</f>
        <v/>
      </c>
      <c r="BQ142" s="55" t="str">
        <f aca="false">IF(BN142="","",IF(BO142&gt;=BN142,"На складе",IF(BO142&gt;0,"Частично","Ждём")))</f>
        <v/>
      </c>
      <c r="BR142" s="43"/>
      <c r="BS142" s="47" t="str">
        <f aca="false">IF(BN142="","",IF(_xlfn.MAXIFS(ЗАКАЗЫ!$AK$3:$AK$500,ЗАКАЗЫ!$F$3:$F$500,$A142)=0,"",_xlfn.MAXIFS(ЗАКАЗЫ!$AK$3:$AK$500,ЗАКАЗЫ!$F$3:$F$500,$A142)))</f>
        <v/>
      </c>
    </row>
    <row r="143" customFormat="false" ht="15.75" hidden="false" customHeight="true" outlineLevel="0" collapsed="false">
      <c r="A143" s="80" t="s">
        <v>617</v>
      </c>
      <c r="B143" s="81"/>
      <c r="C143" s="81"/>
      <c r="D143" s="81"/>
      <c r="E143" s="83"/>
      <c r="F143" s="81"/>
      <c r="G143" s="83"/>
      <c r="H143" s="83"/>
      <c r="I143" s="84" t="str">
        <f aca="false">IF(E143="","",A143&amp;"_1.jpg")</f>
        <v/>
      </c>
      <c r="J143" s="84" t="str">
        <f aca="false">IF(E143="","",A143&amp;"_2.jpg; "&amp;A143&amp;"_3.jpg")</f>
        <v/>
      </c>
      <c r="K143" s="84" t="str">
        <f aca="false">IF(E143="","",A143&amp;"_schema.jpg")</f>
        <v/>
      </c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 t="s">
        <v>261</v>
      </c>
      <c r="W143" s="81"/>
      <c r="X143" s="81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6" t="str">
        <f aca="false">IF(SUM(Y143:AJ143)=0,"",SUM(Y143:AJ143))</f>
        <v/>
      </c>
      <c r="AL143" s="84" t="str">
        <f aca="false">MID(IF(N(Y143)&gt;0,", "&amp;Y$2,"")&amp;IF(N(Z143)&gt;0,", "&amp;Z$2,"")&amp;IF(N(AA143)&gt;0,", "&amp;AA$2,"")&amp;IF(N(AB143)&gt;0,", "&amp;AB$2,"")&amp;IF(N(AC143)&gt;0,", "&amp;AC$2,"")&amp;IF(N(AD143)&gt;0,", "&amp;AD$2,"")&amp;IF(N(AE143)&gt;0,", "&amp;AE$2,"")&amp;IF(N(AF143)&gt;0,", "&amp;AF$2,"")&amp;IF(N(AG143)&gt;0,", "&amp;AG$2,"")&amp;IF(N(AH143)&gt;0,", "&amp;AH$2,"")&amp;IF(N(AI143)&gt;0,", "&amp;AI$2,"")&amp;IF(N(AJ143)&gt;0,", "&amp;AJ$2,""),3,999)</f>
        <v/>
      </c>
      <c r="AM143" s="87" t="str">
        <f aca="false">IF(E143="","",MID(IF(N(Y143)&gt;0,", "&amp;A143&amp;"-"&amp;Y$2,"")&amp;IF(N(Z143)&gt;0,", "&amp;A143&amp;"-"&amp;Z$2,"")&amp;IF(N(AA143)&gt;0,", "&amp;A143&amp;"-"&amp;AA$2,"")&amp;IF(N(AB143)&gt;0,", "&amp;A143&amp;"-"&amp;AB$2,"")&amp;IF(N(AC143)&gt;0,", "&amp;A143&amp;"-"&amp;AC$2,"")&amp;IF(N(AD143)&gt;0,", "&amp;A143&amp;"-"&amp;AD$2,"")&amp;IF(N(AE143)&gt;0,", "&amp;A143&amp;"-"&amp;AE$2,"")&amp;IF(N(AF143)&gt;0,", "&amp;A143&amp;"-"&amp;AF$2,"")&amp;IF(N(AG143)&gt;0,", "&amp;A143&amp;"-"&amp;AG$2,"")&amp;IF(N(AH143)&gt;0,", "&amp;A143&amp;"-"&amp;AH$2,"")&amp;IF(N(AI143)&gt;0,", "&amp;A143&amp;"-"&amp;AI$2,"")&amp;IF(N(AJ143)&gt;0,", "&amp;A143&amp;"-"&amp;AJ$2,""),3,999))</f>
        <v/>
      </c>
      <c r="AN143" s="81"/>
      <c r="AO143" s="88"/>
      <c r="AP143" s="89" t="str">
        <f aca="false">IF(AO143="","",ROUND(AO143/(1+Справочники!$B$13),2))</f>
        <v/>
      </c>
      <c r="AQ143" s="90" t="str">
        <f aca="false" t="array" ref="AQ143:AQ143">IF(AP143="","",AP143*INDEX(Справочники!$B$4:$B$7,MATCH("RUB",Справочники!$A$4:$A$7,0)))</f>
        <v/>
      </c>
      <c r="AR143" s="90" t="str">
        <f aca="false">IF(AQ143="","",ROUND(AQ143*(1+Справочники!$B$12),0))</f>
        <v/>
      </c>
      <c r="AS143" s="90" t="str">
        <f aca="false">IF(AR143="","",ROUND(AR143*(1-Справочники!$B$11),0))</f>
        <v/>
      </c>
      <c r="AT143" s="88"/>
      <c r="AU143" s="90" t="str">
        <f aca="false">IF(AT143="","",ROUND(AT143/(1+Справочники!$B$12),0))</f>
        <v/>
      </c>
      <c r="AV143" s="90" t="str">
        <f aca="false">IF(AT143="","",ROUND(AT143*(1-Справочники!$B$15),0))</f>
        <v/>
      </c>
      <c r="AW143" s="90" t="str">
        <f aca="false">IF(AT143="","",ROUND(AT143*(1-Справочники!$B$16),0))</f>
        <v/>
      </c>
      <c r="AX143" s="90" t="str">
        <f aca="false">IF(AT143="","",ROUND(AT143*(1-Справочники!$B$17),0))</f>
        <v/>
      </c>
      <c r="AY143" s="90" t="str">
        <f aca="false">IF(AT143="","",ROUND(AT143*(1-Справочники!$B$18),0))</f>
        <v/>
      </c>
      <c r="AZ143" s="90" t="str">
        <f aca="false">IF(AT143="","",ROUND(AT143*(1-Справочники!$B$19),0))</f>
        <v/>
      </c>
      <c r="BA143" s="81"/>
      <c r="BB143" s="81"/>
      <c r="BC143" s="81"/>
      <c r="BD143" s="81"/>
      <c r="BE143" s="91"/>
      <c r="BF143" s="81" t="s">
        <v>103</v>
      </c>
      <c r="BG143" s="89" t="n">
        <f aca="false" t="array" ref="BG143:BG143">IF(BF143="","",IFERROR(INDEX(Справочники!$B$4:$B$7,MATCH(BF143,Справочники!$A$4:$A$7,0)),""))</f>
        <v>68.5</v>
      </c>
      <c r="BH143" s="90" t="str">
        <f aca="false">IF(N(BN143)&gt;0,ROUND(SUMIF(ЗАКАЗЫ!$F$3:$F$500,$A143,ЗАКАЗЫ!$Y$3:$Y$500)/BN143,0),IF(OR(BE143="",BG143=""),"",ROUND(BE143*BG143*(1+Справочники!$B$10),0)))</f>
        <v/>
      </c>
      <c r="BI143" s="92" t="str">
        <f aca="false">IF(OR(AU143="",BH143="",AU143=0),"",(AU143-BH143)/AU143)</f>
        <v/>
      </c>
      <c r="BJ143" s="81"/>
      <c r="BK143" s="83"/>
      <c r="BL143" s="43" t="str">
        <f aca="false">IFERROR(INDEX(ЗАКАЗЫ!$N$3:$N$500,MATCH($A143,ЗАКАЗЫ!$F$3:$F$500,0)),"")</f>
        <v/>
      </c>
      <c r="BM143" s="8" t="str">
        <f aca="false">IF(BL143="","",IFERROR(VLOOKUP(BL143,'ТН ВЭД'!$A$4:$C$40,3,0),""))</f>
        <v/>
      </c>
      <c r="BN143" s="7" t="str">
        <f aca="false">IF(COUNTIF(ЗАКАЗЫ!$F$3:$F$500,$A143)=0,"",SUMIF(ЗАКАЗЫ!$F$3:$F$500,$A143,ЗАКАЗЫ!$J$3:$J$500))</f>
        <v/>
      </c>
      <c r="BO143" s="7" t="str">
        <f aca="false">IF(BN143="","",SUMIF(ЗАКАЗЫ!$F$3:$F$500,$A143,ЗАКАЗЫ!$AL$3:$AL$500))</f>
        <v/>
      </c>
      <c r="BP143" s="7" t="str">
        <f aca="false">IF(BN143="","",BN143-BO143)</f>
        <v/>
      </c>
      <c r="BQ143" s="55" t="str">
        <f aca="false">IF(BN143="","",IF(BO143&gt;=BN143,"На складе",IF(BO143&gt;0,"Частично","Ждём")))</f>
        <v/>
      </c>
      <c r="BR143" s="43"/>
      <c r="BS143" s="47" t="str">
        <f aca="false">IF(BN143="","",IF(_xlfn.MAXIFS(ЗАКАЗЫ!$AK$3:$AK$500,ЗАКАЗЫ!$F$3:$F$500,$A143)=0,"",_xlfn.MAXIFS(ЗАКАЗЫ!$AK$3:$AK$500,ЗАКАЗЫ!$F$3:$F$500,$A143)))</f>
        <v/>
      </c>
    </row>
    <row r="144" customFormat="false" ht="15.75" hidden="false" customHeight="true" outlineLevel="0" collapsed="false">
      <c r="A144" s="80" t="s">
        <v>618</v>
      </c>
      <c r="B144" s="81"/>
      <c r="C144" s="81"/>
      <c r="D144" s="81"/>
      <c r="E144" s="83"/>
      <c r="F144" s="81"/>
      <c r="G144" s="83"/>
      <c r="H144" s="83"/>
      <c r="I144" s="84" t="str">
        <f aca="false">IF(E144="","",A144&amp;"_1.jpg")</f>
        <v/>
      </c>
      <c r="J144" s="84" t="str">
        <f aca="false">IF(E144="","",A144&amp;"_2.jpg; "&amp;A144&amp;"_3.jpg")</f>
        <v/>
      </c>
      <c r="K144" s="84" t="str">
        <f aca="false">IF(E144="","",A144&amp;"_schema.jpg")</f>
        <v/>
      </c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 t="s">
        <v>261</v>
      </c>
      <c r="W144" s="81"/>
      <c r="X144" s="81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6" t="str">
        <f aca="false">IF(SUM(Y144:AJ144)=0,"",SUM(Y144:AJ144))</f>
        <v/>
      </c>
      <c r="AL144" s="84" t="str">
        <f aca="false">MID(IF(N(Y144)&gt;0,", "&amp;Y$2,"")&amp;IF(N(Z144)&gt;0,", "&amp;Z$2,"")&amp;IF(N(AA144)&gt;0,", "&amp;AA$2,"")&amp;IF(N(AB144)&gt;0,", "&amp;AB$2,"")&amp;IF(N(AC144)&gt;0,", "&amp;AC$2,"")&amp;IF(N(AD144)&gt;0,", "&amp;AD$2,"")&amp;IF(N(AE144)&gt;0,", "&amp;AE$2,"")&amp;IF(N(AF144)&gt;0,", "&amp;AF$2,"")&amp;IF(N(AG144)&gt;0,", "&amp;AG$2,"")&amp;IF(N(AH144)&gt;0,", "&amp;AH$2,"")&amp;IF(N(AI144)&gt;0,", "&amp;AI$2,"")&amp;IF(N(AJ144)&gt;0,", "&amp;AJ$2,""),3,999)</f>
        <v/>
      </c>
      <c r="AM144" s="87" t="str">
        <f aca="false">IF(E144="","",MID(IF(N(Y144)&gt;0,", "&amp;A144&amp;"-"&amp;Y$2,"")&amp;IF(N(Z144)&gt;0,", "&amp;A144&amp;"-"&amp;Z$2,"")&amp;IF(N(AA144)&gt;0,", "&amp;A144&amp;"-"&amp;AA$2,"")&amp;IF(N(AB144)&gt;0,", "&amp;A144&amp;"-"&amp;AB$2,"")&amp;IF(N(AC144)&gt;0,", "&amp;A144&amp;"-"&amp;AC$2,"")&amp;IF(N(AD144)&gt;0,", "&amp;A144&amp;"-"&amp;AD$2,"")&amp;IF(N(AE144)&gt;0,", "&amp;A144&amp;"-"&amp;AE$2,"")&amp;IF(N(AF144)&gt;0,", "&amp;A144&amp;"-"&amp;AF$2,"")&amp;IF(N(AG144)&gt;0,", "&amp;A144&amp;"-"&amp;AG$2,"")&amp;IF(N(AH144)&gt;0,", "&amp;A144&amp;"-"&amp;AH$2,"")&amp;IF(N(AI144)&gt;0,", "&amp;A144&amp;"-"&amp;AI$2,"")&amp;IF(N(AJ144)&gt;0,", "&amp;A144&amp;"-"&amp;AJ$2,""),3,999))</f>
        <v/>
      </c>
      <c r="AN144" s="81"/>
      <c r="AO144" s="88"/>
      <c r="AP144" s="89" t="str">
        <f aca="false">IF(AO144="","",ROUND(AO144/(1+Справочники!$B$13),2))</f>
        <v/>
      </c>
      <c r="AQ144" s="90" t="str">
        <f aca="false" t="array" ref="AQ144:AQ144">IF(AP144="","",AP144*INDEX(Справочники!$B$4:$B$7,MATCH("RUB",Справочники!$A$4:$A$7,0)))</f>
        <v/>
      </c>
      <c r="AR144" s="90" t="str">
        <f aca="false">IF(AQ144="","",ROUND(AQ144*(1+Справочники!$B$12),0))</f>
        <v/>
      </c>
      <c r="AS144" s="90" t="str">
        <f aca="false">IF(AR144="","",ROUND(AR144*(1-Справочники!$B$11),0))</f>
        <v/>
      </c>
      <c r="AT144" s="88"/>
      <c r="AU144" s="90" t="str">
        <f aca="false">IF(AT144="","",ROUND(AT144/(1+Справочники!$B$12),0))</f>
        <v/>
      </c>
      <c r="AV144" s="90" t="str">
        <f aca="false">IF(AT144="","",ROUND(AT144*(1-Справочники!$B$15),0))</f>
        <v/>
      </c>
      <c r="AW144" s="90" t="str">
        <f aca="false">IF(AT144="","",ROUND(AT144*(1-Справочники!$B$16),0))</f>
        <v/>
      </c>
      <c r="AX144" s="90" t="str">
        <f aca="false">IF(AT144="","",ROUND(AT144*(1-Справочники!$B$17),0))</f>
        <v/>
      </c>
      <c r="AY144" s="90" t="str">
        <f aca="false">IF(AT144="","",ROUND(AT144*(1-Справочники!$B$18),0))</f>
        <v/>
      </c>
      <c r="AZ144" s="90" t="str">
        <f aca="false">IF(AT144="","",ROUND(AT144*(1-Справочники!$B$19),0))</f>
        <v/>
      </c>
      <c r="BA144" s="81"/>
      <c r="BB144" s="81"/>
      <c r="BC144" s="81"/>
      <c r="BD144" s="81"/>
      <c r="BE144" s="91"/>
      <c r="BF144" s="81" t="s">
        <v>103</v>
      </c>
      <c r="BG144" s="89" t="n">
        <f aca="false" t="array" ref="BG144:BG144">IF(BF144="","",IFERROR(INDEX(Справочники!$B$4:$B$7,MATCH(BF144,Справочники!$A$4:$A$7,0)),""))</f>
        <v>68.5</v>
      </c>
      <c r="BH144" s="90" t="str">
        <f aca="false">IF(N(BN144)&gt;0,ROUND(SUMIF(ЗАКАЗЫ!$F$3:$F$500,$A144,ЗАКАЗЫ!$Y$3:$Y$500)/BN144,0),IF(OR(BE144="",BG144=""),"",ROUND(BE144*BG144*(1+Справочники!$B$10),0)))</f>
        <v/>
      </c>
      <c r="BI144" s="92" t="str">
        <f aca="false">IF(OR(AU144="",BH144="",AU144=0),"",(AU144-BH144)/AU144)</f>
        <v/>
      </c>
      <c r="BJ144" s="81"/>
      <c r="BK144" s="83"/>
      <c r="BL144" s="43" t="str">
        <f aca="false">IFERROR(INDEX(ЗАКАЗЫ!$N$3:$N$500,MATCH($A144,ЗАКАЗЫ!$F$3:$F$500,0)),"")</f>
        <v/>
      </c>
      <c r="BM144" s="8" t="str">
        <f aca="false">IF(BL144="","",IFERROR(VLOOKUP(BL144,'ТН ВЭД'!$A$4:$C$40,3,0),""))</f>
        <v/>
      </c>
      <c r="BN144" s="7" t="str">
        <f aca="false">IF(COUNTIF(ЗАКАЗЫ!$F$3:$F$500,$A144)=0,"",SUMIF(ЗАКАЗЫ!$F$3:$F$500,$A144,ЗАКАЗЫ!$J$3:$J$500))</f>
        <v/>
      </c>
      <c r="BO144" s="7" t="str">
        <f aca="false">IF(BN144="","",SUMIF(ЗАКАЗЫ!$F$3:$F$500,$A144,ЗАКАЗЫ!$AL$3:$AL$500))</f>
        <v/>
      </c>
      <c r="BP144" s="7" t="str">
        <f aca="false">IF(BN144="","",BN144-BO144)</f>
        <v/>
      </c>
      <c r="BQ144" s="55" t="str">
        <f aca="false">IF(BN144="","",IF(BO144&gt;=BN144,"На складе",IF(BO144&gt;0,"Частично","Ждём")))</f>
        <v/>
      </c>
      <c r="BR144" s="43"/>
      <c r="BS144" s="47" t="str">
        <f aca="false">IF(BN144="","",IF(_xlfn.MAXIFS(ЗАКАЗЫ!$AK$3:$AK$500,ЗАКАЗЫ!$F$3:$F$500,$A144)=0,"",_xlfn.MAXIFS(ЗАКАЗЫ!$AK$3:$AK$500,ЗАКАЗЫ!$F$3:$F$500,$A144)))</f>
        <v/>
      </c>
    </row>
    <row r="145" customFormat="false" ht="15.75" hidden="false" customHeight="true" outlineLevel="0" collapsed="false">
      <c r="A145" s="80" t="s">
        <v>619</v>
      </c>
      <c r="B145" s="81"/>
      <c r="C145" s="81"/>
      <c r="D145" s="81"/>
      <c r="E145" s="83"/>
      <c r="F145" s="81"/>
      <c r="G145" s="83"/>
      <c r="H145" s="83"/>
      <c r="I145" s="84" t="str">
        <f aca="false">IF(E145="","",A145&amp;"_1.jpg")</f>
        <v/>
      </c>
      <c r="J145" s="84" t="str">
        <f aca="false">IF(E145="","",A145&amp;"_2.jpg; "&amp;A145&amp;"_3.jpg")</f>
        <v/>
      </c>
      <c r="K145" s="84" t="str">
        <f aca="false">IF(E145="","",A145&amp;"_schema.jpg")</f>
        <v/>
      </c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 t="s">
        <v>261</v>
      </c>
      <c r="W145" s="81"/>
      <c r="X145" s="81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6" t="str">
        <f aca="false">IF(SUM(Y145:AJ145)=0,"",SUM(Y145:AJ145))</f>
        <v/>
      </c>
      <c r="AL145" s="84" t="str">
        <f aca="false">MID(IF(N(Y145)&gt;0,", "&amp;Y$2,"")&amp;IF(N(Z145)&gt;0,", "&amp;Z$2,"")&amp;IF(N(AA145)&gt;0,", "&amp;AA$2,"")&amp;IF(N(AB145)&gt;0,", "&amp;AB$2,"")&amp;IF(N(AC145)&gt;0,", "&amp;AC$2,"")&amp;IF(N(AD145)&gt;0,", "&amp;AD$2,"")&amp;IF(N(AE145)&gt;0,", "&amp;AE$2,"")&amp;IF(N(AF145)&gt;0,", "&amp;AF$2,"")&amp;IF(N(AG145)&gt;0,", "&amp;AG$2,"")&amp;IF(N(AH145)&gt;0,", "&amp;AH$2,"")&amp;IF(N(AI145)&gt;0,", "&amp;AI$2,"")&amp;IF(N(AJ145)&gt;0,", "&amp;AJ$2,""),3,999)</f>
        <v/>
      </c>
      <c r="AM145" s="87" t="str">
        <f aca="false">IF(E145="","",MID(IF(N(Y145)&gt;0,", "&amp;A145&amp;"-"&amp;Y$2,"")&amp;IF(N(Z145)&gt;0,", "&amp;A145&amp;"-"&amp;Z$2,"")&amp;IF(N(AA145)&gt;0,", "&amp;A145&amp;"-"&amp;AA$2,"")&amp;IF(N(AB145)&gt;0,", "&amp;A145&amp;"-"&amp;AB$2,"")&amp;IF(N(AC145)&gt;0,", "&amp;A145&amp;"-"&amp;AC$2,"")&amp;IF(N(AD145)&gt;0,", "&amp;A145&amp;"-"&amp;AD$2,"")&amp;IF(N(AE145)&gt;0,", "&amp;A145&amp;"-"&amp;AE$2,"")&amp;IF(N(AF145)&gt;0,", "&amp;A145&amp;"-"&amp;AF$2,"")&amp;IF(N(AG145)&gt;0,", "&amp;A145&amp;"-"&amp;AG$2,"")&amp;IF(N(AH145)&gt;0,", "&amp;A145&amp;"-"&amp;AH$2,"")&amp;IF(N(AI145)&gt;0,", "&amp;A145&amp;"-"&amp;AI$2,"")&amp;IF(N(AJ145)&gt;0,", "&amp;A145&amp;"-"&amp;AJ$2,""),3,999))</f>
        <v/>
      </c>
      <c r="AN145" s="81"/>
      <c r="AO145" s="88"/>
      <c r="AP145" s="89" t="str">
        <f aca="false">IF(AO145="","",ROUND(AO145/(1+Справочники!$B$13),2))</f>
        <v/>
      </c>
      <c r="AQ145" s="90" t="str">
        <f aca="false" t="array" ref="AQ145:AQ145">IF(AP145="","",AP145*INDEX(Справочники!$B$4:$B$7,MATCH("RUB",Справочники!$A$4:$A$7,0)))</f>
        <v/>
      </c>
      <c r="AR145" s="90" t="str">
        <f aca="false">IF(AQ145="","",ROUND(AQ145*(1+Справочники!$B$12),0))</f>
        <v/>
      </c>
      <c r="AS145" s="90" t="str">
        <f aca="false">IF(AR145="","",ROUND(AR145*(1-Справочники!$B$11),0))</f>
        <v/>
      </c>
      <c r="AT145" s="88"/>
      <c r="AU145" s="90" t="str">
        <f aca="false">IF(AT145="","",ROUND(AT145/(1+Справочники!$B$12),0))</f>
        <v/>
      </c>
      <c r="AV145" s="90" t="str">
        <f aca="false">IF(AT145="","",ROUND(AT145*(1-Справочники!$B$15),0))</f>
        <v/>
      </c>
      <c r="AW145" s="90" t="str">
        <f aca="false">IF(AT145="","",ROUND(AT145*(1-Справочники!$B$16),0))</f>
        <v/>
      </c>
      <c r="AX145" s="90" t="str">
        <f aca="false">IF(AT145="","",ROUND(AT145*(1-Справочники!$B$17),0))</f>
        <v/>
      </c>
      <c r="AY145" s="90" t="str">
        <f aca="false">IF(AT145="","",ROUND(AT145*(1-Справочники!$B$18),0))</f>
        <v/>
      </c>
      <c r="AZ145" s="90" t="str">
        <f aca="false">IF(AT145="","",ROUND(AT145*(1-Справочники!$B$19),0))</f>
        <v/>
      </c>
      <c r="BA145" s="81"/>
      <c r="BB145" s="81"/>
      <c r="BC145" s="81"/>
      <c r="BD145" s="81"/>
      <c r="BE145" s="91"/>
      <c r="BF145" s="81" t="s">
        <v>103</v>
      </c>
      <c r="BG145" s="89" t="n">
        <f aca="false" t="array" ref="BG145:BG145">IF(BF145="","",IFERROR(INDEX(Справочники!$B$4:$B$7,MATCH(BF145,Справочники!$A$4:$A$7,0)),""))</f>
        <v>68.5</v>
      </c>
      <c r="BH145" s="90" t="str">
        <f aca="false">IF(N(BN145)&gt;0,ROUND(SUMIF(ЗАКАЗЫ!$F$3:$F$500,$A145,ЗАКАЗЫ!$Y$3:$Y$500)/BN145,0),IF(OR(BE145="",BG145=""),"",ROUND(BE145*BG145*(1+Справочники!$B$10),0)))</f>
        <v/>
      </c>
      <c r="BI145" s="92" t="str">
        <f aca="false">IF(OR(AU145="",BH145="",AU145=0),"",(AU145-BH145)/AU145)</f>
        <v/>
      </c>
      <c r="BJ145" s="81"/>
      <c r="BK145" s="83"/>
      <c r="BL145" s="43" t="str">
        <f aca="false">IFERROR(INDEX(ЗАКАЗЫ!$N$3:$N$500,MATCH($A145,ЗАКАЗЫ!$F$3:$F$500,0)),"")</f>
        <v/>
      </c>
      <c r="BM145" s="8" t="str">
        <f aca="false">IF(BL145="","",IFERROR(VLOOKUP(BL145,'ТН ВЭД'!$A$4:$C$40,3,0),""))</f>
        <v/>
      </c>
      <c r="BN145" s="7" t="str">
        <f aca="false">IF(COUNTIF(ЗАКАЗЫ!$F$3:$F$500,$A145)=0,"",SUMIF(ЗАКАЗЫ!$F$3:$F$500,$A145,ЗАКАЗЫ!$J$3:$J$500))</f>
        <v/>
      </c>
      <c r="BO145" s="7" t="str">
        <f aca="false">IF(BN145="","",SUMIF(ЗАКАЗЫ!$F$3:$F$500,$A145,ЗАКАЗЫ!$AL$3:$AL$500))</f>
        <v/>
      </c>
      <c r="BP145" s="7" t="str">
        <f aca="false">IF(BN145="","",BN145-BO145)</f>
        <v/>
      </c>
      <c r="BQ145" s="55" t="str">
        <f aca="false">IF(BN145="","",IF(BO145&gt;=BN145,"На складе",IF(BO145&gt;0,"Частично","Ждём")))</f>
        <v/>
      </c>
      <c r="BR145" s="43"/>
      <c r="BS145" s="47" t="str">
        <f aca="false">IF(BN145="","",IF(_xlfn.MAXIFS(ЗАКАЗЫ!$AK$3:$AK$500,ЗАКАЗЫ!$F$3:$F$500,$A145)=0,"",_xlfn.MAXIFS(ЗАКАЗЫ!$AK$3:$AK$500,ЗАКАЗЫ!$F$3:$F$500,$A145)))</f>
        <v/>
      </c>
    </row>
    <row r="146" customFormat="false" ht="15.75" hidden="false" customHeight="true" outlineLevel="0" collapsed="false">
      <c r="A146" s="80" t="s">
        <v>620</v>
      </c>
      <c r="B146" s="81"/>
      <c r="C146" s="81"/>
      <c r="D146" s="81"/>
      <c r="E146" s="83"/>
      <c r="F146" s="81"/>
      <c r="G146" s="83"/>
      <c r="H146" s="83"/>
      <c r="I146" s="84" t="str">
        <f aca="false">IF(E146="","",A146&amp;"_1.jpg")</f>
        <v/>
      </c>
      <c r="J146" s="84" t="str">
        <f aca="false">IF(E146="","",A146&amp;"_2.jpg; "&amp;A146&amp;"_3.jpg")</f>
        <v/>
      </c>
      <c r="K146" s="84" t="str">
        <f aca="false">IF(E146="","",A146&amp;"_schema.jpg")</f>
        <v/>
      </c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 t="s">
        <v>261</v>
      </c>
      <c r="W146" s="81"/>
      <c r="X146" s="81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6" t="str">
        <f aca="false">IF(SUM(Y146:AJ146)=0,"",SUM(Y146:AJ146))</f>
        <v/>
      </c>
      <c r="AL146" s="84" t="str">
        <f aca="false">MID(IF(N(Y146)&gt;0,", "&amp;Y$2,"")&amp;IF(N(Z146)&gt;0,", "&amp;Z$2,"")&amp;IF(N(AA146)&gt;0,", "&amp;AA$2,"")&amp;IF(N(AB146)&gt;0,", "&amp;AB$2,"")&amp;IF(N(AC146)&gt;0,", "&amp;AC$2,"")&amp;IF(N(AD146)&gt;0,", "&amp;AD$2,"")&amp;IF(N(AE146)&gt;0,", "&amp;AE$2,"")&amp;IF(N(AF146)&gt;0,", "&amp;AF$2,"")&amp;IF(N(AG146)&gt;0,", "&amp;AG$2,"")&amp;IF(N(AH146)&gt;0,", "&amp;AH$2,"")&amp;IF(N(AI146)&gt;0,", "&amp;AI$2,"")&amp;IF(N(AJ146)&gt;0,", "&amp;AJ$2,""),3,999)</f>
        <v/>
      </c>
      <c r="AM146" s="87" t="str">
        <f aca="false">IF(E146="","",MID(IF(N(Y146)&gt;0,", "&amp;A146&amp;"-"&amp;Y$2,"")&amp;IF(N(Z146)&gt;0,", "&amp;A146&amp;"-"&amp;Z$2,"")&amp;IF(N(AA146)&gt;0,", "&amp;A146&amp;"-"&amp;AA$2,"")&amp;IF(N(AB146)&gt;0,", "&amp;A146&amp;"-"&amp;AB$2,"")&amp;IF(N(AC146)&gt;0,", "&amp;A146&amp;"-"&amp;AC$2,"")&amp;IF(N(AD146)&gt;0,", "&amp;A146&amp;"-"&amp;AD$2,"")&amp;IF(N(AE146)&gt;0,", "&amp;A146&amp;"-"&amp;AE$2,"")&amp;IF(N(AF146)&gt;0,", "&amp;A146&amp;"-"&amp;AF$2,"")&amp;IF(N(AG146)&gt;0,", "&amp;A146&amp;"-"&amp;AG$2,"")&amp;IF(N(AH146)&gt;0,", "&amp;A146&amp;"-"&amp;AH$2,"")&amp;IF(N(AI146)&gt;0,", "&amp;A146&amp;"-"&amp;AI$2,"")&amp;IF(N(AJ146)&gt;0,", "&amp;A146&amp;"-"&amp;AJ$2,""),3,999))</f>
        <v/>
      </c>
      <c r="AN146" s="81"/>
      <c r="AO146" s="88"/>
      <c r="AP146" s="89" t="str">
        <f aca="false">IF(AO146="","",ROUND(AO146/(1+Справочники!$B$13),2))</f>
        <v/>
      </c>
      <c r="AQ146" s="90" t="str">
        <f aca="false" t="array" ref="AQ146:AQ146">IF(AP146="","",AP146*INDEX(Справочники!$B$4:$B$7,MATCH("RUB",Справочники!$A$4:$A$7,0)))</f>
        <v/>
      </c>
      <c r="AR146" s="90" t="str">
        <f aca="false">IF(AQ146="","",ROUND(AQ146*(1+Справочники!$B$12),0))</f>
        <v/>
      </c>
      <c r="AS146" s="90" t="str">
        <f aca="false">IF(AR146="","",ROUND(AR146*(1-Справочники!$B$11),0))</f>
        <v/>
      </c>
      <c r="AT146" s="88"/>
      <c r="AU146" s="90" t="str">
        <f aca="false">IF(AT146="","",ROUND(AT146/(1+Справочники!$B$12),0))</f>
        <v/>
      </c>
      <c r="AV146" s="90" t="str">
        <f aca="false">IF(AT146="","",ROUND(AT146*(1-Справочники!$B$15),0))</f>
        <v/>
      </c>
      <c r="AW146" s="90" t="str">
        <f aca="false">IF(AT146="","",ROUND(AT146*(1-Справочники!$B$16),0))</f>
        <v/>
      </c>
      <c r="AX146" s="90" t="str">
        <f aca="false">IF(AT146="","",ROUND(AT146*(1-Справочники!$B$17),0))</f>
        <v/>
      </c>
      <c r="AY146" s="90" t="str">
        <f aca="false">IF(AT146="","",ROUND(AT146*(1-Справочники!$B$18),0))</f>
        <v/>
      </c>
      <c r="AZ146" s="90" t="str">
        <f aca="false">IF(AT146="","",ROUND(AT146*(1-Справочники!$B$19),0))</f>
        <v/>
      </c>
      <c r="BA146" s="81"/>
      <c r="BB146" s="81"/>
      <c r="BC146" s="81"/>
      <c r="BD146" s="81"/>
      <c r="BE146" s="91"/>
      <c r="BF146" s="81" t="s">
        <v>103</v>
      </c>
      <c r="BG146" s="89" t="n">
        <f aca="false" t="array" ref="BG146:BG146">IF(BF146="","",IFERROR(INDEX(Справочники!$B$4:$B$7,MATCH(BF146,Справочники!$A$4:$A$7,0)),""))</f>
        <v>68.5</v>
      </c>
      <c r="BH146" s="90" t="str">
        <f aca="false">IF(N(BN146)&gt;0,ROUND(SUMIF(ЗАКАЗЫ!$F$3:$F$500,$A146,ЗАКАЗЫ!$Y$3:$Y$500)/BN146,0),IF(OR(BE146="",BG146=""),"",ROUND(BE146*BG146*(1+Справочники!$B$10),0)))</f>
        <v/>
      </c>
      <c r="BI146" s="92" t="str">
        <f aca="false">IF(OR(AU146="",BH146="",AU146=0),"",(AU146-BH146)/AU146)</f>
        <v/>
      </c>
      <c r="BJ146" s="81"/>
      <c r="BK146" s="83"/>
      <c r="BL146" s="43" t="str">
        <f aca="false">IFERROR(INDEX(ЗАКАЗЫ!$N$3:$N$500,MATCH($A146,ЗАКАЗЫ!$F$3:$F$500,0)),"")</f>
        <v/>
      </c>
      <c r="BM146" s="8" t="str">
        <f aca="false">IF(BL146="","",IFERROR(VLOOKUP(BL146,'ТН ВЭД'!$A$4:$C$40,3,0),""))</f>
        <v/>
      </c>
      <c r="BN146" s="7" t="str">
        <f aca="false">IF(COUNTIF(ЗАКАЗЫ!$F$3:$F$500,$A146)=0,"",SUMIF(ЗАКАЗЫ!$F$3:$F$500,$A146,ЗАКАЗЫ!$J$3:$J$500))</f>
        <v/>
      </c>
      <c r="BO146" s="7" t="str">
        <f aca="false">IF(BN146="","",SUMIF(ЗАКАЗЫ!$F$3:$F$500,$A146,ЗАКАЗЫ!$AL$3:$AL$500))</f>
        <v/>
      </c>
      <c r="BP146" s="7" t="str">
        <f aca="false">IF(BN146="","",BN146-BO146)</f>
        <v/>
      </c>
      <c r="BQ146" s="55" t="str">
        <f aca="false">IF(BN146="","",IF(BO146&gt;=BN146,"На складе",IF(BO146&gt;0,"Частично","Ждём")))</f>
        <v/>
      </c>
      <c r="BR146" s="43"/>
      <c r="BS146" s="47" t="str">
        <f aca="false">IF(BN146="","",IF(_xlfn.MAXIFS(ЗАКАЗЫ!$AK$3:$AK$500,ЗАКАЗЫ!$F$3:$F$500,$A146)=0,"",_xlfn.MAXIFS(ЗАКАЗЫ!$AK$3:$AK$500,ЗАКАЗЫ!$F$3:$F$500,$A146)))</f>
        <v/>
      </c>
    </row>
    <row r="147" customFormat="false" ht="15.75" hidden="false" customHeight="true" outlineLevel="0" collapsed="false">
      <c r="A147" s="80" t="s">
        <v>621</v>
      </c>
      <c r="B147" s="81"/>
      <c r="C147" s="81"/>
      <c r="D147" s="81"/>
      <c r="E147" s="83"/>
      <c r="F147" s="81"/>
      <c r="G147" s="83"/>
      <c r="H147" s="83"/>
      <c r="I147" s="84" t="str">
        <f aca="false">IF(E147="","",A147&amp;"_1.jpg")</f>
        <v/>
      </c>
      <c r="J147" s="84" t="str">
        <f aca="false">IF(E147="","",A147&amp;"_2.jpg; "&amp;A147&amp;"_3.jpg")</f>
        <v/>
      </c>
      <c r="K147" s="84" t="str">
        <f aca="false">IF(E147="","",A147&amp;"_schema.jpg")</f>
        <v/>
      </c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 t="s">
        <v>261</v>
      </c>
      <c r="W147" s="81"/>
      <c r="X147" s="81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6" t="str">
        <f aca="false">IF(SUM(Y147:AJ147)=0,"",SUM(Y147:AJ147))</f>
        <v/>
      </c>
      <c r="AL147" s="84" t="str">
        <f aca="false">MID(IF(N(Y147)&gt;0,", "&amp;Y$2,"")&amp;IF(N(Z147)&gt;0,", "&amp;Z$2,"")&amp;IF(N(AA147)&gt;0,", "&amp;AA$2,"")&amp;IF(N(AB147)&gt;0,", "&amp;AB$2,"")&amp;IF(N(AC147)&gt;0,", "&amp;AC$2,"")&amp;IF(N(AD147)&gt;0,", "&amp;AD$2,"")&amp;IF(N(AE147)&gt;0,", "&amp;AE$2,"")&amp;IF(N(AF147)&gt;0,", "&amp;AF$2,"")&amp;IF(N(AG147)&gt;0,", "&amp;AG$2,"")&amp;IF(N(AH147)&gt;0,", "&amp;AH$2,"")&amp;IF(N(AI147)&gt;0,", "&amp;AI$2,"")&amp;IF(N(AJ147)&gt;0,", "&amp;AJ$2,""),3,999)</f>
        <v/>
      </c>
      <c r="AM147" s="87" t="str">
        <f aca="false">IF(E147="","",MID(IF(N(Y147)&gt;0,", "&amp;A147&amp;"-"&amp;Y$2,"")&amp;IF(N(Z147)&gt;0,", "&amp;A147&amp;"-"&amp;Z$2,"")&amp;IF(N(AA147)&gt;0,", "&amp;A147&amp;"-"&amp;AA$2,"")&amp;IF(N(AB147)&gt;0,", "&amp;A147&amp;"-"&amp;AB$2,"")&amp;IF(N(AC147)&gt;0,", "&amp;A147&amp;"-"&amp;AC$2,"")&amp;IF(N(AD147)&gt;0,", "&amp;A147&amp;"-"&amp;AD$2,"")&amp;IF(N(AE147)&gt;0,", "&amp;A147&amp;"-"&amp;AE$2,"")&amp;IF(N(AF147)&gt;0,", "&amp;A147&amp;"-"&amp;AF$2,"")&amp;IF(N(AG147)&gt;0,", "&amp;A147&amp;"-"&amp;AG$2,"")&amp;IF(N(AH147)&gt;0,", "&amp;A147&amp;"-"&amp;AH$2,"")&amp;IF(N(AI147)&gt;0,", "&amp;A147&amp;"-"&amp;AI$2,"")&amp;IF(N(AJ147)&gt;0,", "&amp;A147&amp;"-"&amp;AJ$2,""),3,999))</f>
        <v/>
      </c>
      <c r="AN147" s="81"/>
      <c r="AO147" s="88"/>
      <c r="AP147" s="89" t="str">
        <f aca="false">IF(AO147="","",ROUND(AO147/(1+Справочники!$B$13),2))</f>
        <v/>
      </c>
      <c r="AQ147" s="90" t="str">
        <f aca="false" t="array" ref="AQ147:AQ147">IF(AP147="","",AP147*INDEX(Справочники!$B$4:$B$7,MATCH("RUB",Справочники!$A$4:$A$7,0)))</f>
        <v/>
      </c>
      <c r="AR147" s="90" t="str">
        <f aca="false">IF(AQ147="","",ROUND(AQ147*(1+Справочники!$B$12),0))</f>
        <v/>
      </c>
      <c r="AS147" s="90" t="str">
        <f aca="false">IF(AR147="","",ROUND(AR147*(1-Справочники!$B$11),0))</f>
        <v/>
      </c>
      <c r="AT147" s="88"/>
      <c r="AU147" s="90" t="str">
        <f aca="false">IF(AT147="","",ROUND(AT147/(1+Справочники!$B$12),0))</f>
        <v/>
      </c>
      <c r="AV147" s="90" t="str">
        <f aca="false">IF(AT147="","",ROUND(AT147*(1-Справочники!$B$15),0))</f>
        <v/>
      </c>
      <c r="AW147" s="90" t="str">
        <f aca="false">IF(AT147="","",ROUND(AT147*(1-Справочники!$B$16),0))</f>
        <v/>
      </c>
      <c r="AX147" s="90" t="str">
        <f aca="false">IF(AT147="","",ROUND(AT147*(1-Справочники!$B$17),0))</f>
        <v/>
      </c>
      <c r="AY147" s="90" t="str">
        <f aca="false">IF(AT147="","",ROUND(AT147*(1-Справочники!$B$18),0))</f>
        <v/>
      </c>
      <c r="AZ147" s="90" t="str">
        <f aca="false">IF(AT147="","",ROUND(AT147*(1-Справочники!$B$19),0))</f>
        <v/>
      </c>
      <c r="BA147" s="81"/>
      <c r="BB147" s="81"/>
      <c r="BC147" s="81"/>
      <c r="BD147" s="81"/>
      <c r="BE147" s="91"/>
      <c r="BF147" s="81" t="s">
        <v>103</v>
      </c>
      <c r="BG147" s="89" t="n">
        <f aca="false" t="array" ref="BG147:BG147">IF(BF147="","",IFERROR(INDEX(Справочники!$B$4:$B$7,MATCH(BF147,Справочники!$A$4:$A$7,0)),""))</f>
        <v>68.5</v>
      </c>
      <c r="BH147" s="90" t="str">
        <f aca="false">IF(N(BN147)&gt;0,ROUND(SUMIF(ЗАКАЗЫ!$F$3:$F$500,$A147,ЗАКАЗЫ!$Y$3:$Y$500)/BN147,0),IF(OR(BE147="",BG147=""),"",ROUND(BE147*BG147*(1+Справочники!$B$10),0)))</f>
        <v/>
      </c>
      <c r="BI147" s="92" t="str">
        <f aca="false">IF(OR(AU147="",BH147="",AU147=0),"",(AU147-BH147)/AU147)</f>
        <v/>
      </c>
      <c r="BJ147" s="81"/>
      <c r="BK147" s="83"/>
      <c r="BL147" s="43" t="str">
        <f aca="false">IFERROR(INDEX(ЗАКАЗЫ!$N$3:$N$500,MATCH($A147,ЗАКАЗЫ!$F$3:$F$500,0)),"")</f>
        <v/>
      </c>
      <c r="BM147" s="8" t="str">
        <f aca="false">IF(BL147="","",IFERROR(VLOOKUP(BL147,'ТН ВЭД'!$A$4:$C$40,3,0),""))</f>
        <v/>
      </c>
      <c r="BN147" s="7" t="str">
        <f aca="false">IF(COUNTIF(ЗАКАЗЫ!$F$3:$F$500,$A147)=0,"",SUMIF(ЗАКАЗЫ!$F$3:$F$500,$A147,ЗАКАЗЫ!$J$3:$J$500))</f>
        <v/>
      </c>
      <c r="BO147" s="7" t="str">
        <f aca="false">IF(BN147="","",SUMIF(ЗАКАЗЫ!$F$3:$F$500,$A147,ЗАКАЗЫ!$AL$3:$AL$500))</f>
        <v/>
      </c>
      <c r="BP147" s="7" t="str">
        <f aca="false">IF(BN147="","",BN147-BO147)</f>
        <v/>
      </c>
      <c r="BQ147" s="55" t="str">
        <f aca="false">IF(BN147="","",IF(BO147&gt;=BN147,"На складе",IF(BO147&gt;0,"Частично","Ждём")))</f>
        <v/>
      </c>
      <c r="BR147" s="43"/>
      <c r="BS147" s="47" t="str">
        <f aca="false">IF(BN147="","",IF(_xlfn.MAXIFS(ЗАКАЗЫ!$AK$3:$AK$500,ЗАКАЗЫ!$F$3:$F$500,$A147)=0,"",_xlfn.MAXIFS(ЗАКАЗЫ!$AK$3:$AK$500,ЗАКАЗЫ!$F$3:$F$500,$A147)))</f>
        <v/>
      </c>
    </row>
    <row r="148" customFormat="false" ht="15.75" hidden="false" customHeight="true" outlineLevel="0" collapsed="false">
      <c r="A148" s="80" t="s">
        <v>622</v>
      </c>
      <c r="B148" s="81"/>
      <c r="C148" s="81"/>
      <c r="D148" s="81"/>
      <c r="E148" s="83"/>
      <c r="F148" s="81"/>
      <c r="G148" s="83"/>
      <c r="H148" s="83"/>
      <c r="I148" s="84" t="str">
        <f aca="false">IF(E148="","",A148&amp;"_1.jpg")</f>
        <v/>
      </c>
      <c r="J148" s="84" t="str">
        <f aca="false">IF(E148="","",A148&amp;"_2.jpg; "&amp;A148&amp;"_3.jpg")</f>
        <v/>
      </c>
      <c r="K148" s="84" t="str">
        <f aca="false">IF(E148="","",A148&amp;"_schema.jpg")</f>
        <v/>
      </c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 t="s">
        <v>261</v>
      </c>
      <c r="W148" s="81"/>
      <c r="X148" s="81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6" t="str">
        <f aca="false">IF(SUM(Y148:AJ148)=0,"",SUM(Y148:AJ148))</f>
        <v/>
      </c>
      <c r="AL148" s="84" t="str">
        <f aca="false">MID(IF(N(Y148)&gt;0,", "&amp;Y$2,"")&amp;IF(N(Z148)&gt;0,", "&amp;Z$2,"")&amp;IF(N(AA148)&gt;0,", "&amp;AA$2,"")&amp;IF(N(AB148)&gt;0,", "&amp;AB$2,"")&amp;IF(N(AC148)&gt;0,", "&amp;AC$2,"")&amp;IF(N(AD148)&gt;0,", "&amp;AD$2,"")&amp;IF(N(AE148)&gt;0,", "&amp;AE$2,"")&amp;IF(N(AF148)&gt;0,", "&amp;AF$2,"")&amp;IF(N(AG148)&gt;0,", "&amp;AG$2,"")&amp;IF(N(AH148)&gt;0,", "&amp;AH$2,"")&amp;IF(N(AI148)&gt;0,", "&amp;AI$2,"")&amp;IF(N(AJ148)&gt;0,", "&amp;AJ$2,""),3,999)</f>
        <v/>
      </c>
      <c r="AM148" s="87" t="str">
        <f aca="false">IF(E148="","",MID(IF(N(Y148)&gt;0,", "&amp;A148&amp;"-"&amp;Y$2,"")&amp;IF(N(Z148)&gt;0,", "&amp;A148&amp;"-"&amp;Z$2,"")&amp;IF(N(AA148)&gt;0,", "&amp;A148&amp;"-"&amp;AA$2,"")&amp;IF(N(AB148)&gt;0,", "&amp;A148&amp;"-"&amp;AB$2,"")&amp;IF(N(AC148)&gt;0,", "&amp;A148&amp;"-"&amp;AC$2,"")&amp;IF(N(AD148)&gt;0,", "&amp;A148&amp;"-"&amp;AD$2,"")&amp;IF(N(AE148)&gt;0,", "&amp;A148&amp;"-"&amp;AE$2,"")&amp;IF(N(AF148)&gt;0,", "&amp;A148&amp;"-"&amp;AF$2,"")&amp;IF(N(AG148)&gt;0,", "&amp;A148&amp;"-"&amp;AG$2,"")&amp;IF(N(AH148)&gt;0,", "&amp;A148&amp;"-"&amp;AH$2,"")&amp;IF(N(AI148)&gt;0,", "&amp;A148&amp;"-"&amp;AI$2,"")&amp;IF(N(AJ148)&gt;0,", "&amp;A148&amp;"-"&amp;AJ$2,""),3,999))</f>
        <v/>
      </c>
      <c r="AN148" s="81"/>
      <c r="AO148" s="88"/>
      <c r="AP148" s="89" t="str">
        <f aca="false">IF(AO148="","",ROUND(AO148/(1+Справочники!$B$13),2))</f>
        <v/>
      </c>
      <c r="AQ148" s="90" t="str">
        <f aca="false" t="array" ref="AQ148:AQ148">IF(AP148="","",AP148*INDEX(Справочники!$B$4:$B$7,MATCH("RUB",Справочники!$A$4:$A$7,0)))</f>
        <v/>
      </c>
      <c r="AR148" s="90" t="str">
        <f aca="false">IF(AQ148="","",ROUND(AQ148*(1+Справочники!$B$12),0))</f>
        <v/>
      </c>
      <c r="AS148" s="90" t="str">
        <f aca="false">IF(AR148="","",ROUND(AR148*(1-Справочники!$B$11),0))</f>
        <v/>
      </c>
      <c r="AT148" s="88"/>
      <c r="AU148" s="90" t="str">
        <f aca="false">IF(AT148="","",ROUND(AT148/(1+Справочники!$B$12),0))</f>
        <v/>
      </c>
      <c r="AV148" s="90" t="str">
        <f aca="false">IF(AT148="","",ROUND(AT148*(1-Справочники!$B$15),0))</f>
        <v/>
      </c>
      <c r="AW148" s="90" t="str">
        <f aca="false">IF(AT148="","",ROUND(AT148*(1-Справочники!$B$16),0))</f>
        <v/>
      </c>
      <c r="AX148" s="90" t="str">
        <f aca="false">IF(AT148="","",ROUND(AT148*(1-Справочники!$B$17),0))</f>
        <v/>
      </c>
      <c r="AY148" s="90" t="str">
        <f aca="false">IF(AT148="","",ROUND(AT148*(1-Справочники!$B$18),0))</f>
        <v/>
      </c>
      <c r="AZ148" s="90" t="str">
        <f aca="false">IF(AT148="","",ROUND(AT148*(1-Справочники!$B$19),0))</f>
        <v/>
      </c>
      <c r="BA148" s="81"/>
      <c r="BB148" s="81"/>
      <c r="BC148" s="81"/>
      <c r="BD148" s="81"/>
      <c r="BE148" s="91"/>
      <c r="BF148" s="81" t="s">
        <v>103</v>
      </c>
      <c r="BG148" s="89" t="n">
        <f aca="false" t="array" ref="BG148:BG148">IF(BF148="","",IFERROR(INDEX(Справочники!$B$4:$B$7,MATCH(BF148,Справочники!$A$4:$A$7,0)),""))</f>
        <v>68.5</v>
      </c>
      <c r="BH148" s="90" t="str">
        <f aca="false">IF(N(BN148)&gt;0,ROUND(SUMIF(ЗАКАЗЫ!$F$3:$F$500,$A148,ЗАКАЗЫ!$Y$3:$Y$500)/BN148,0),IF(OR(BE148="",BG148=""),"",ROUND(BE148*BG148*(1+Справочники!$B$10),0)))</f>
        <v/>
      </c>
      <c r="BI148" s="92" t="str">
        <f aca="false">IF(OR(AU148="",BH148="",AU148=0),"",(AU148-BH148)/AU148)</f>
        <v/>
      </c>
      <c r="BJ148" s="81"/>
      <c r="BK148" s="83"/>
      <c r="BL148" s="43" t="str">
        <f aca="false">IFERROR(INDEX(ЗАКАЗЫ!$N$3:$N$500,MATCH($A148,ЗАКАЗЫ!$F$3:$F$500,0)),"")</f>
        <v/>
      </c>
      <c r="BM148" s="8" t="str">
        <f aca="false">IF(BL148="","",IFERROR(VLOOKUP(BL148,'ТН ВЭД'!$A$4:$C$40,3,0),""))</f>
        <v/>
      </c>
      <c r="BN148" s="7" t="str">
        <f aca="false">IF(COUNTIF(ЗАКАЗЫ!$F$3:$F$500,$A148)=0,"",SUMIF(ЗАКАЗЫ!$F$3:$F$500,$A148,ЗАКАЗЫ!$J$3:$J$500))</f>
        <v/>
      </c>
      <c r="BO148" s="7" t="str">
        <f aca="false">IF(BN148="","",SUMIF(ЗАКАЗЫ!$F$3:$F$500,$A148,ЗАКАЗЫ!$AL$3:$AL$500))</f>
        <v/>
      </c>
      <c r="BP148" s="7" t="str">
        <f aca="false">IF(BN148="","",BN148-BO148)</f>
        <v/>
      </c>
      <c r="BQ148" s="55" t="str">
        <f aca="false">IF(BN148="","",IF(BO148&gt;=BN148,"На складе",IF(BO148&gt;0,"Частично","Ждём")))</f>
        <v/>
      </c>
      <c r="BR148" s="43"/>
      <c r="BS148" s="47" t="str">
        <f aca="false">IF(BN148="","",IF(_xlfn.MAXIFS(ЗАКАЗЫ!$AK$3:$AK$500,ЗАКАЗЫ!$F$3:$F$500,$A148)=0,"",_xlfn.MAXIFS(ЗАКАЗЫ!$AK$3:$AK$500,ЗАКАЗЫ!$F$3:$F$500,$A148)))</f>
        <v/>
      </c>
    </row>
    <row r="149" customFormat="false" ht="15.75" hidden="false" customHeight="true" outlineLevel="0" collapsed="false">
      <c r="A149" s="80" t="s">
        <v>623</v>
      </c>
      <c r="B149" s="81"/>
      <c r="C149" s="81"/>
      <c r="D149" s="81"/>
      <c r="E149" s="83"/>
      <c r="F149" s="81"/>
      <c r="G149" s="83"/>
      <c r="H149" s="83"/>
      <c r="I149" s="84" t="str">
        <f aca="false">IF(E149="","",A149&amp;"_1.jpg")</f>
        <v/>
      </c>
      <c r="J149" s="84" t="str">
        <f aca="false">IF(E149="","",A149&amp;"_2.jpg; "&amp;A149&amp;"_3.jpg")</f>
        <v/>
      </c>
      <c r="K149" s="84" t="str">
        <f aca="false">IF(E149="","",A149&amp;"_schema.jpg")</f>
        <v/>
      </c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 t="s">
        <v>261</v>
      </c>
      <c r="W149" s="81"/>
      <c r="X149" s="81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6" t="str">
        <f aca="false">IF(SUM(Y149:AJ149)=0,"",SUM(Y149:AJ149))</f>
        <v/>
      </c>
      <c r="AL149" s="84" t="str">
        <f aca="false">MID(IF(N(Y149)&gt;0,", "&amp;Y$2,"")&amp;IF(N(Z149)&gt;0,", "&amp;Z$2,"")&amp;IF(N(AA149)&gt;0,", "&amp;AA$2,"")&amp;IF(N(AB149)&gt;0,", "&amp;AB$2,"")&amp;IF(N(AC149)&gt;0,", "&amp;AC$2,"")&amp;IF(N(AD149)&gt;0,", "&amp;AD$2,"")&amp;IF(N(AE149)&gt;0,", "&amp;AE$2,"")&amp;IF(N(AF149)&gt;0,", "&amp;AF$2,"")&amp;IF(N(AG149)&gt;0,", "&amp;AG$2,"")&amp;IF(N(AH149)&gt;0,", "&amp;AH$2,"")&amp;IF(N(AI149)&gt;0,", "&amp;AI$2,"")&amp;IF(N(AJ149)&gt;0,", "&amp;AJ$2,""),3,999)</f>
        <v/>
      </c>
      <c r="AM149" s="87" t="str">
        <f aca="false">IF(E149="","",MID(IF(N(Y149)&gt;0,", "&amp;A149&amp;"-"&amp;Y$2,"")&amp;IF(N(Z149)&gt;0,", "&amp;A149&amp;"-"&amp;Z$2,"")&amp;IF(N(AA149)&gt;0,", "&amp;A149&amp;"-"&amp;AA$2,"")&amp;IF(N(AB149)&gt;0,", "&amp;A149&amp;"-"&amp;AB$2,"")&amp;IF(N(AC149)&gt;0,", "&amp;A149&amp;"-"&amp;AC$2,"")&amp;IF(N(AD149)&gt;0,", "&amp;A149&amp;"-"&amp;AD$2,"")&amp;IF(N(AE149)&gt;0,", "&amp;A149&amp;"-"&amp;AE$2,"")&amp;IF(N(AF149)&gt;0,", "&amp;A149&amp;"-"&amp;AF$2,"")&amp;IF(N(AG149)&gt;0,", "&amp;A149&amp;"-"&amp;AG$2,"")&amp;IF(N(AH149)&gt;0,", "&amp;A149&amp;"-"&amp;AH$2,"")&amp;IF(N(AI149)&gt;0,", "&amp;A149&amp;"-"&amp;AI$2,"")&amp;IF(N(AJ149)&gt;0,", "&amp;A149&amp;"-"&amp;AJ$2,""),3,999))</f>
        <v/>
      </c>
      <c r="AN149" s="81"/>
      <c r="AO149" s="88"/>
      <c r="AP149" s="89" t="str">
        <f aca="false">IF(AO149="","",ROUND(AO149/(1+Справочники!$B$13),2))</f>
        <v/>
      </c>
      <c r="AQ149" s="90" t="str">
        <f aca="false" t="array" ref="AQ149:AQ149">IF(AP149="","",AP149*INDEX(Справочники!$B$4:$B$7,MATCH("RUB",Справочники!$A$4:$A$7,0)))</f>
        <v/>
      </c>
      <c r="AR149" s="90" t="str">
        <f aca="false">IF(AQ149="","",ROUND(AQ149*(1+Справочники!$B$12),0))</f>
        <v/>
      </c>
      <c r="AS149" s="90" t="str">
        <f aca="false">IF(AR149="","",ROUND(AR149*(1-Справочники!$B$11),0))</f>
        <v/>
      </c>
      <c r="AT149" s="88"/>
      <c r="AU149" s="90" t="str">
        <f aca="false">IF(AT149="","",ROUND(AT149/(1+Справочники!$B$12),0))</f>
        <v/>
      </c>
      <c r="AV149" s="90" t="str">
        <f aca="false">IF(AT149="","",ROUND(AT149*(1-Справочники!$B$15),0))</f>
        <v/>
      </c>
      <c r="AW149" s="90" t="str">
        <f aca="false">IF(AT149="","",ROUND(AT149*(1-Справочники!$B$16),0))</f>
        <v/>
      </c>
      <c r="AX149" s="90" t="str">
        <f aca="false">IF(AT149="","",ROUND(AT149*(1-Справочники!$B$17),0))</f>
        <v/>
      </c>
      <c r="AY149" s="90" t="str">
        <f aca="false">IF(AT149="","",ROUND(AT149*(1-Справочники!$B$18),0))</f>
        <v/>
      </c>
      <c r="AZ149" s="90" t="str">
        <f aca="false">IF(AT149="","",ROUND(AT149*(1-Справочники!$B$19),0))</f>
        <v/>
      </c>
      <c r="BA149" s="81"/>
      <c r="BB149" s="81"/>
      <c r="BC149" s="81"/>
      <c r="BD149" s="81"/>
      <c r="BE149" s="91"/>
      <c r="BF149" s="81" t="s">
        <v>103</v>
      </c>
      <c r="BG149" s="89" t="n">
        <f aca="false" t="array" ref="BG149:BG149">IF(BF149="","",IFERROR(INDEX(Справочники!$B$4:$B$7,MATCH(BF149,Справочники!$A$4:$A$7,0)),""))</f>
        <v>68.5</v>
      </c>
      <c r="BH149" s="90" t="str">
        <f aca="false">IF(N(BN149)&gt;0,ROUND(SUMIF(ЗАКАЗЫ!$F$3:$F$500,$A149,ЗАКАЗЫ!$Y$3:$Y$500)/BN149,0),IF(OR(BE149="",BG149=""),"",ROUND(BE149*BG149*(1+Справочники!$B$10),0)))</f>
        <v/>
      </c>
      <c r="BI149" s="92" t="str">
        <f aca="false">IF(OR(AU149="",BH149="",AU149=0),"",(AU149-BH149)/AU149)</f>
        <v/>
      </c>
      <c r="BJ149" s="81"/>
      <c r="BK149" s="83"/>
      <c r="BL149" s="43" t="str">
        <f aca="false">IFERROR(INDEX(ЗАКАЗЫ!$N$3:$N$500,MATCH($A149,ЗАКАЗЫ!$F$3:$F$500,0)),"")</f>
        <v/>
      </c>
      <c r="BM149" s="8" t="str">
        <f aca="false">IF(BL149="","",IFERROR(VLOOKUP(BL149,'ТН ВЭД'!$A$4:$C$40,3,0),""))</f>
        <v/>
      </c>
      <c r="BN149" s="7" t="str">
        <f aca="false">IF(COUNTIF(ЗАКАЗЫ!$F$3:$F$500,$A149)=0,"",SUMIF(ЗАКАЗЫ!$F$3:$F$500,$A149,ЗАКАЗЫ!$J$3:$J$500))</f>
        <v/>
      </c>
      <c r="BO149" s="7" t="str">
        <f aca="false">IF(BN149="","",SUMIF(ЗАКАЗЫ!$F$3:$F$500,$A149,ЗАКАЗЫ!$AL$3:$AL$500))</f>
        <v/>
      </c>
      <c r="BP149" s="7" t="str">
        <f aca="false">IF(BN149="","",BN149-BO149)</f>
        <v/>
      </c>
      <c r="BQ149" s="55" t="str">
        <f aca="false">IF(BN149="","",IF(BO149&gt;=BN149,"На складе",IF(BO149&gt;0,"Частично","Ждём")))</f>
        <v/>
      </c>
      <c r="BR149" s="43"/>
      <c r="BS149" s="47" t="str">
        <f aca="false">IF(BN149="","",IF(_xlfn.MAXIFS(ЗАКАЗЫ!$AK$3:$AK$500,ЗАКАЗЫ!$F$3:$F$500,$A149)=0,"",_xlfn.MAXIFS(ЗАКАЗЫ!$AK$3:$AK$500,ЗАКАЗЫ!$F$3:$F$500,$A149)))</f>
        <v/>
      </c>
    </row>
    <row r="150" customFormat="false" ht="15.75" hidden="false" customHeight="true" outlineLevel="0" collapsed="false">
      <c r="A150" s="80" t="s">
        <v>624</v>
      </c>
      <c r="B150" s="81"/>
      <c r="C150" s="81"/>
      <c r="D150" s="81"/>
      <c r="E150" s="83"/>
      <c r="F150" s="81"/>
      <c r="G150" s="83"/>
      <c r="H150" s="83"/>
      <c r="I150" s="84" t="str">
        <f aca="false">IF(E150="","",A150&amp;"_1.jpg")</f>
        <v/>
      </c>
      <c r="J150" s="84" t="str">
        <f aca="false">IF(E150="","",A150&amp;"_2.jpg; "&amp;A150&amp;"_3.jpg")</f>
        <v/>
      </c>
      <c r="K150" s="84" t="str">
        <f aca="false">IF(E150="","",A150&amp;"_schema.jpg")</f>
        <v/>
      </c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 t="s">
        <v>261</v>
      </c>
      <c r="W150" s="81"/>
      <c r="X150" s="81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6" t="str">
        <f aca="false">IF(SUM(Y150:AJ150)=0,"",SUM(Y150:AJ150))</f>
        <v/>
      </c>
      <c r="AL150" s="84" t="str">
        <f aca="false">MID(IF(N(Y150)&gt;0,", "&amp;Y$2,"")&amp;IF(N(Z150)&gt;0,", "&amp;Z$2,"")&amp;IF(N(AA150)&gt;0,", "&amp;AA$2,"")&amp;IF(N(AB150)&gt;0,", "&amp;AB$2,"")&amp;IF(N(AC150)&gt;0,", "&amp;AC$2,"")&amp;IF(N(AD150)&gt;0,", "&amp;AD$2,"")&amp;IF(N(AE150)&gt;0,", "&amp;AE$2,"")&amp;IF(N(AF150)&gt;0,", "&amp;AF$2,"")&amp;IF(N(AG150)&gt;0,", "&amp;AG$2,"")&amp;IF(N(AH150)&gt;0,", "&amp;AH$2,"")&amp;IF(N(AI150)&gt;0,", "&amp;AI$2,"")&amp;IF(N(AJ150)&gt;0,", "&amp;AJ$2,""),3,999)</f>
        <v/>
      </c>
      <c r="AM150" s="87" t="str">
        <f aca="false">IF(E150="","",MID(IF(N(Y150)&gt;0,", "&amp;A150&amp;"-"&amp;Y$2,"")&amp;IF(N(Z150)&gt;0,", "&amp;A150&amp;"-"&amp;Z$2,"")&amp;IF(N(AA150)&gt;0,", "&amp;A150&amp;"-"&amp;AA$2,"")&amp;IF(N(AB150)&gt;0,", "&amp;A150&amp;"-"&amp;AB$2,"")&amp;IF(N(AC150)&gt;0,", "&amp;A150&amp;"-"&amp;AC$2,"")&amp;IF(N(AD150)&gt;0,", "&amp;A150&amp;"-"&amp;AD$2,"")&amp;IF(N(AE150)&gt;0,", "&amp;A150&amp;"-"&amp;AE$2,"")&amp;IF(N(AF150)&gt;0,", "&amp;A150&amp;"-"&amp;AF$2,"")&amp;IF(N(AG150)&gt;0,", "&amp;A150&amp;"-"&amp;AG$2,"")&amp;IF(N(AH150)&gt;0,", "&amp;A150&amp;"-"&amp;AH$2,"")&amp;IF(N(AI150)&gt;0,", "&amp;A150&amp;"-"&amp;AI$2,"")&amp;IF(N(AJ150)&gt;0,", "&amp;A150&amp;"-"&amp;AJ$2,""),3,999))</f>
        <v/>
      </c>
      <c r="AN150" s="81"/>
      <c r="AO150" s="88"/>
      <c r="AP150" s="89" t="str">
        <f aca="false">IF(AO150="","",ROUND(AO150/(1+Справочники!$B$13),2))</f>
        <v/>
      </c>
      <c r="AQ150" s="90" t="str">
        <f aca="false" t="array" ref="AQ150:AQ150">IF(AP150="","",AP150*INDEX(Справочники!$B$4:$B$7,MATCH("RUB",Справочники!$A$4:$A$7,0)))</f>
        <v/>
      </c>
      <c r="AR150" s="90" t="str">
        <f aca="false">IF(AQ150="","",ROUND(AQ150*(1+Справочники!$B$12),0))</f>
        <v/>
      </c>
      <c r="AS150" s="90" t="str">
        <f aca="false">IF(AR150="","",ROUND(AR150*(1-Справочники!$B$11),0))</f>
        <v/>
      </c>
      <c r="AT150" s="88"/>
      <c r="AU150" s="90" t="str">
        <f aca="false">IF(AT150="","",ROUND(AT150/(1+Справочники!$B$12),0))</f>
        <v/>
      </c>
      <c r="AV150" s="90" t="str">
        <f aca="false">IF(AT150="","",ROUND(AT150*(1-Справочники!$B$15),0))</f>
        <v/>
      </c>
      <c r="AW150" s="90" t="str">
        <f aca="false">IF(AT150="","",ROUND(AT150*(1-Справочники!$B$16),0))</f>
        <v/>
      </c>
      <c r="AX150" s="90" t="str">
        <f aca="false">IF(AT150="","",ROUND(AT150*(1-Справочники!$B$17),0))</f>
        <v/>
      </c>
      <c r="AY150" s="90" t="str">
        <f aca="false">IF(AT150="","",ROUND(AT150*(1-Справочники!$B$18),0))</f>
        <v/>
      </c>
      <c r="AZ150" s="90" t="str">
        <f aca="false">IF(AT150="","",ROUND(AT150*(1-Справочники!$B$19),0))</f>
        <v/>
      </c>
      <c r="BA150" s="81"/>
      <c r="BB150" s="81"/>
      <c r="BC150" s="81"/>
      <c r="BD150" s="81"/>
      <c r="BE150" s="91"/>
      <c r="BF150" s="81" t="s">
        <v>103</v>
      </c>
      <c r="BG150" s="89" t="n">
        <f aca="false" t="array" ref="BG150:BG150">IF(BF150="","",IFERROR(INDEX(Справочники!$B$4:$B$7,MATCH(BF150,Справочники!$A$4:$A$7,0)),""))</f>
        <v>68.5</v>
      </c>
      <c r="BH150" s="90" t="str">
        <f aca="false">IF(N(BN150)&gt;0,ROUND(SUMIF(ЗАКАЗЫ!$F$3:$F$500,$A150,ЗАКАЗЫ!$Y$3:$Y$500)/BN150,0),IF(OR(BE150="",BG150=""),"",ROUND(BE150*BG150*(1+Справочники!$B$10),0)))</f>
        <v/>
      </c>
      <c r="BI150" s="92" t="str">
        <f aca="false">IF(OR(AU150="",BH150="",AU150=0),"",(AU150-BH150)/AU150)</f>
        <v/>
      </c>
      <c r="BJ150" s="81"/>
      <c r="BK150" s="83"/>
      <c r="BL150" s="43" t="str">
        <f aca="false">IFERROR(INDEX(ЗАКАЗЫ!$N$3:$N$500,MATCH($A150,ЗАКАЗЫ!$F$3:$F$500,0)),"")</f>
        <v/>
      </c>
      <c r="BM150" s="8" t="str">
        <f aca="false">IF(BL150="","",IFERROR(VLOOKUP(BL150,'ТН ВЭД'!$A$4:$C$40,3,0),""))</f>
        <v/>
      </c>
      <c r="BN150" s="7" t="str">
        <f aca="false">IF(COUNTIF(ЗАКАЗЫ!$F$3:$F$500,$A150)=0,"",SUMIF(ЗАКАЗЫ!$F$3:$F$500,$A150,ЗАКАЗЫ!$J$3:$J$500))</f>
        <v/>
      </c>
      <c r="BO150" s="7" t="str">
        <f aca="false">IF(BN150="","",SUMIF(ЗАКАЗЫ!$F$3:$F$500,$A150,ЗАКАЗЫ!$AL$3:$AL$500))</f>
        <v/>
      </c>
      <c r="BP150" s="7" t="str">
        <f aca="false">IF(BN150="","",BN150-BO150)</f>
        <v/>
      </c>
      <c r="BQ150" s="55" t="str">
        <f aca="false">IF(BN150="","",IF(BO150&gt;=BN150,"На складе",IF(BO150&gt;0,"Частично","Ждём")))</f>
        <v/>
      </c>
      <c r="BR150" s="43"/>
      <c r="BS150" s="47" t="str">
        <f aca="false">IF(BN150="","",IF(_xlfn.MAXIFS(ЗАКАЗЫ!$AK$3:$AK$500,ЗАКАЗЫ!$F$3:$F$500,$A150)=0,"",_xlfn.MAXIFS(ЗАКАЗЫ!$AK$3:$AK$500,ЗАКАЗЫ!$F$3:$F$500,$A150)))</f>
        <v/>
      </c>
    </row>
    <row r="151" customFormat="false" ht="15.75" hidden="false" customHeight="true" outlineLevel="0" collapsed="false">
      <c r="A151" s="80" t="s">
        <v>625</v>
      </c>
      <c r="B151" s="81"/>
      <c r="C151" s="81"/>
      <c r="D151" s="81"/>
      <c r="E151" s="83"/>
      <c r="F151" s="81"/>
      <c r="G151" s="83"/>
      <c r="H151" s="83"/>
      <c r="I151" s="84" t="str">
        <f aca="false">IF(E151="","",A151&amp;"_1.jpg")</f>
        <v/>
      </c>
      <c r="J151" s="84" t="str">
        <f aca="false">IF(E151="","",A151&amp;"_2.jpg; "&amp;A151&amp;"_3.jpg")</f>
        <v/>
      </c>
      <c r="K151" s="84" t="str">
        <f aca="false">IF(E151="","",A151&amp;"_schema.jpg")</f>
        <v/>
      </c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 t="s">
        <v>261</v>
      </c>
      <c r="W151" s="81"/>
      <c r="X151" s="81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6" t="str">
        <f aca="false">IF(SUM(Y151:AJ151)=0,"",SUM(Y151:AJ151))</f>
        <v/>
      </c>
      <c r="AL151" s="84" t="str">
        <f aca="false">MID(IF(N(Y151)&gt;0,", "&amp;Y$2,"")&amp;IF(N(Z151)&gt;0,", "&amp;Z$2,"")&amp;IF(N(AA151)&gt;0,", "&amp;AA$2,"")&amp;IF(N(AB151)&gt;0,", "&amp;AB$2,"")&amp;IF(N(AC151)&gt;0,", "&amp;AC$2,"")&amp;IF(N(AD151)&gt;0,", "&amp;AD$2,"")&amp;IF(N(AE151)&gt;0,", "&amp;AE$2,"")&amp;IF(N(AF151)&gt;0,", "&amp;AF$2,"")&amp;IF(N(AG151)&gt;0,", "&amp;AG$2,"")&amp;IF(N(AH151)&gt;0,", "&amp;AH$2,"")&amp;IF(N(AI151)&gt;0,", "&amp;AI$2,"")&amp;IF(N(AJ151)&gt;0,", "&amp;AJ$2,""),3,999)</f>
        <v/>
      </c>
      <c r="AM151" s="87" t="str">
        <f aca="false">IF(E151="","",MID(IF(N(Y151)&gt;0,", "&amp;A151&amp;"-"&amp;Y$2,"")&amp;IF(N(Z151)&gt;0,", "&amp;A151&amp;"-"&amp;Z$2,"")&amp;IF(N(AA151)&gt;0,", "&amp;A151&amp;"-"&amp;AA$2,"")&amp;IF(N(AB151)&gt;0,", "&amp;A151&amp;"-"&amp;AB$2,"")&amp;IF(N(AC151)&gt;0,", "&amp;A151&amp;"-"&amp;AC$2,"")&amp;IF(N(AD151)&gt;0,", "&amp;A151&amp;"-"&amp;AD$2,"")&amp;IF(N(AE151)&gt;0,", "&amp;A151&amp;"-"&amp;AE$2,"")&amp;IF(N(AF151)&gt;0,", "&amp;A151&amp;"-"&amp;AF$2,"")&amp;IF(N(AG151)&gt;0,", "&amp;A151&amp;"-"&amp;AG$2,"")&amp;IF(N(AH151)&gt;0,", "&amp;A151&amp;"-"&amp;AH$2,"")&amp;IF(N(AI151)&gt;0,", "&amp;A151&amp;"-"&amp;AI$2,"")&amp;IF(N(AJ151)&gt;0,", "&amp;A151&amp;"-"&amp;AJ$2,""),3,999))</f>
        <v/>
      </c>
      <c r="AN151" s="81"/>
      <c r="AO151" s="88"/>
      <c r="AP151" s="89" t="str">
        <f aca="false">IF(AO151="","",ROUND(AO151/(1+Справочники!$B$13),2))</f>
        <v/>
      </c>
      <c r="AQ151" s="90" t="str">
        <f aca="false" t="array" ref="AQ151:AQ151">IF(AP151="","",AP151*INDEX(Справочники!$B$4:$B$7,MATCH("RUB",Справочники!$A$4:$A$7,0)))</f>
        <v/>
      </c>
      <c r="AR151" s="90" t="str">
        <f aca="false">IF(AQ151="","",ROUND(AQ151*(1+Справочники!$B$12),0))</f>
        <v/>
      </c>
      <c r="AS151" s="90" t="str">
        <f aca="false">IF(AR151="","",ROUND(AR151*(1-Справочники!$B$11),0))</f>
        <v/>
      </c>
      <c r="AT151" s="88"/>
      <c r="AU151" s="90" t="str">
        <f aca="false">IF(AT151="","",ROUND(AT151/(1+Справочники!$B$12),0))</f>
        <v/>
      </c>
      <c r="AV151" s="90" t="str">
        <f aca="false">IF(AT151="","",ROUND(AT151*(1-Справочники!$B$15),0))</f>
        <v/>
      </c>
      <c r="AW151" s="90" t="str">
        <f aca="false">IF(AT151="","",ROUND(AT151*(1-Справочники!$B$16),0))</f>
        <v/>
      </c>
      <c r="AX151" s="90" t="str">
        <f aca="false">IF(AT151="","",ROUND(AT151*(1-Справочники!$B$17),0))</f>
        <v/>
      </c>
      <c r="AY151" s="90" t="str">
        <f aca="false">IF(AT151="","",ROUND(AT151*(1-Справочники!$B$18),0))</f>
        <v/>
      </c>
      <c r="AZ151" s="90" t="str">
        <f aca="false">IF(AT151="","",ROUND(AT151*(1-Справочники!$B$19),0))</f>
        <v/>
      </c>
      <c r="BA151" s="81"/>
      <c r="BB151" s="81"/>
      <c r="BC151" s="81"/>
      <c r="BD151" s="81"/>
      <c r="BE151" s="91"/>
      <c r="BF151" s="81" t="s">
        <v>103</v>
      </c>
      <c r="BG151" s="89" t="n">
        <f aca="false" t="array" ref="BG151:BG151">IF(BF151="","",IFERROR(INDEX(Справочники!$B$4:$B$7,MATCH(BF151,Справочники!$A$4:$A$7,0)),""))</f>
        <v>68.5</v>
      </c>
      <c r="BH151" s="90" t="str">
        <f aca="false">IF(N(BN151)&gt;0,ROUND(SUMIF(ЗАКАЗЫ!$F$3:$F$500,$A151,ЗАКАЗЫ!$Y$3:$Y$500)/BN151,0),IF(OR(BE151="",BG151=""),"",ROUND(BE151*BG151*(1+Справочники!$B$10),0)))</f>
        <v/>
      </c>
      <c r="BI151" s="92" t="str">
        <f aca="false">IF(OR(AU151="",BH151="",AU151=0),"",(AU151-BH151)/AU151)</f>
        <v/>
      </c>
      <c r="BJ151" s="81"/>
      <c r="BK151" s="83"/>
      <c r="BL151" s="43" t="str">
        <f aca="false">IFERROR(INDEX(ЗАКАЗЫ!$N$3:$N$500,MATCH($A151,ЗАКАЗЫ!$F$3:$F$500,0)),"")</f>
        <v/>
      </c>
      <c r="BM151" s="8" t="str">
        <f aca="false">IF(BL151="","",IFERROR(VLOOKUP(BL151,'ТН ВЭД'!$A$4:$C$40,3,0),""))</f>
        <v/>
      </c>
      <c r="BN151" s="7" t="str">
        <f aca="false">IF(COUNTIF(ЗАКАЗЫ!$F$3:$F$500,$A151)=0,"",SUMIF(ЗАКАЗЫ!$F$3:$F$500,$A151,ЗАКАЗЫ!$J$3:$J$500))</f>
        <v/>
      </c>
      <c r="BO151" s="7" t="str">
        <f aca="false">IF(BN151="","",SUMIF(ЗАКАЗЫ!$F$3:$F$500,$A151,ЗАКАЗЫ!$AL$3:$AL$500))</f>
        <v/>
      </c>
      <c r="BP151" s="7" t="str">
        <f aca="false">IF(BN151="","",BN151-BO151)</f>
        <v/>
      </c>
      <c r="BQ151" s="55" t="str">
        <f aca="false">IF(BN151="","",IF(BO151&gt;=BN151,"На складе",IF(BO151&gt;0,"Частично","Ждём")))</f>
        <v/>
      </c>
      <c r="BR151" s="43"/>
      <c r="BS151" s="47" t="str">
        <f aca="false">IF(BN151="","",IF(_xlfn.MAXIFS(ЗАКАЗЫ!$AK$3:$AK$500,ЗАКАЗЫ!$F$3:$F$500,$A151)=0,"",_xlfn.MAXIFS(ЗАКАЗЫ!$AK$3:$AK$500,ЗАКАЗЫ!$F$3:$F$500,$A151)))</f>
        <v/>
      </c>
    </row>
    <row r="152" customFormat="false" ht="15.75" hidden="false" customHeight="true" outlineLevel="0" collapsed="false">
      <c r="A152" s="80" t="s">
        <v>626</v>
      </c>
      <c r="B152" s="81"/>
      <c r="C152" s="81"/>
      <c r="D152" s="81"/>
      <c r="E152" s="83"/>
      <c r="F152" s="81"/>
      <c r="G152" s="83"/>
      <c r="H152" s="83"/>
      <c r="I152" s="84" t="str">
        <f aca="false">IF(E152="","",A152&amp;"_1.jpg")</f>
        <v/>
      </c>
      <c r="J152" s="84" t="str">
        <f aca="false">IF(E152="","",A152&amp;"_2.jpg; "&amp;A152&amp;"_3.jpg")</f>
        <v/>
      </c>
      <c r="K152" s="84" t="str">
        <f aca="false">IF(E152="","",A152&amp;"_schema.jpg")</f>
        <v/>
      </c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 t="s">
        <v>261</v>
      </c>
      <c r="W152" s="81"/>
      <c r="X152" s="81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6" t="str">
        <f aca="false">IF(SUM(Y152:AJ152)=0,"",SUM(Y152:AJ152))</f>
        <v/>
      </c>
      <c r="AL152" s="84" t="str">
        <f aca="false">MID(IF(N(Y152)&gt;0,", "&amp;Y$2,"")&amp;IF(N(Z152)&gt;0,", "&amp;Z$2,"")&amp;IF(N(AA152)&gt;0,", "&amp;AA$2,"")&amp;IF(N(AB152)&gt;0,", "&amp;AB$2,"")&amp;IF(N(AC152)&gt;0,", "&amp;AC$2,"")&amp;IF(N(AD152)&gt;0,", "&amp;AD$2,"")&amp;IF(N(AE152)&gt;0,", "&amp;AE$2,"")&amp;IF(N(AF152)&gt;0,", "&amp;AF$2,"")&amp;IF(N(AG152)&gt;0,", "&amp;AG$2,"")&amp;IF(N(AH152)&gt;0,", "&amp;AH$2,"")&amp;IF(N(AI152)&gt;0,", "&amp;AI$2,"")&amp;IF(N(AJ152)&gt;0,", "&amp;AJ$2,""),3,999)</f>
        <v/>
      </c>
      <c r="AM152" s="87" t="str">
        <f aca="false">IF(E152="","",MID(IF(N(Y152)&gt;0,", "&amp;A152&amp;"-"&amp;Y$2,"")&amp;IF(N(Z152)&gt;0,", "&amp;A152&amp;"-"&amp;Z$2,"")&amp;IF(N(AA152)&gt;0,", "&amp;A152&amp;"-"&amp;AA$2,"")&amp;IF(N(AB152)&gt;0,", "&amp;A152&amp;"-"&amp;AB$2,"")&amp;IF(N(AC152)&gt;0,", "&amp;A152&amp;"-"&amp;AC$2,"")&amp;IF(N(AD152)&gt;0,", "&amp;A152&amp;"-"&amp;AD$2,"")&amp;IF(N(AE152)&gt;0,", "&amp;A152&amp;"-"&amp;AE$2,"")&amp;IF(N(AF152)&gt;0,", "&amp;A152&amp;"-"&amp;AF$2,"")&amp;IF(N(AG152)&gt;0,", "&amp;A152&amp;"-"&amp;AG$2,"")&amp;IF(N(AH152)&gt;0,", "&amp;A152&amp;"-"&amp;AH$2,"")&amp;IF(N(AI152)&gt;0,", "&amp;A152&amp;"-"&amp;AI$2,"")&amp;IF(N(AJ152)&gt;0,", "&amp;A152&amp;"-"&amp;AJ$2,""),3,999))</f>
        <v/>
      </c>
      <c r="AN152" s="81"/>
      <c r="AO152" s="88"/>
      <c r="AP152" s="89" t="str">
        <f aca="false">IF(AO152="","",ROUND(AO152/(1+Справочники!$B$13),2))</f>
        <v/>
      </c>
      <c r="AQ152" s="90" t="str">
        <f aca="false" t="array" ref="AQ152:AQ152">IF(AP152="","",AP152*INDEX(Справочники!$B$4:$B$7,MATCH("RUB",Справочники!$A$4:$A$7,0)))</f>
        <v/>
      </c>
      <c r="AR152" s="90" t="str">
        <f aca="false">IF(AQ152="","",ROUND(AQ152*(1+Справочники!$B$12),0))</f>
        <v/>
      </c>
      <c r="AS152" s="90" t="str">
        <f aca="false">IF(AR152="","",ROUND(AR152*(1-Справочники!$B$11),0))</f>
        <v/>
      </c>
      <c r="AT152" s="88"/>
      <c r="AU152" s="90" t="str">
        <f aca="false">IF(AT152="","",ROUND(AT152/(1+Справочники!$B$12),0))</f>
        <v/>
      </c>
      <c r="AV152" s="90" t="str">
        <f aca="false">IF(AT152="","",ROUND(AT152*(1-Справочники!$B$15),0))</f>
        <v/>
      </c>
      <c r="AW152" s="90" t="str">
        <f aca="false">IF(AT152="","",ROUND(AT152*(1-Справочники!$B$16),0))</f>
        <v/>
      </c>
      <c r="AX152" s="90" t="str">
        <f aca="false">IF(AT152="","",ROUND(AT152*(1-Справочники!$B$17),0))</f>
        <v/>
      </c>
      <c r="AY152" s="90" t="str">
        <f aca="false">IF(AT152="","",ROUND(AT152*(1-Справочники!$B$18),0))</f>
        <v/>
      </c>
      <c r="AZ152" s="90" t="str">
        <f aca="false">IF(AT152="","",ROUND(AT152*(1-Справочники!$B$19),0))</f>
        <v/>
      </c>
      <c r="BA152" s="81"/>
      <c r="BB152" s="81"/>
      <c r="BC152" s="81"/>
      <c r="BD152" s="81"/>
      <c r="BE152" s="91"/>
      <c r="BF152" s="81" t="s">
        <v>103</v>
      </c>
      <c r="BG152" s="89" t="n">
        <f aca="false" t="array" ref="BG152:BG152">IF(BF152="","",IFERROR(INDEX(Справочники!$B$4:$B$7,MATCH(BF152,Справочники!$A$4:$A$7,0)),""))</f>
        <v>68.5</v>
      </c>
      <c r="BH152" s="90" t="str">
        <f aca="false">IF(N(BN152)&gt;0,ROUND(SUMIF(ЗАКАЗЫ!$F$3:$F$500,$A152,ЗАКАЗЫ!$Y$3:$Y$500)/BN152,0),IF(OR(BE152="",BG152=""),"",ROUND(BE152*BG152*(1+Справочники!$B$10),0)))</f>
        <v/>
      </c>
      <c r="BI152" s="92" t="str">
        <f aca="false">IF(OR(AU152="",BH152="",AU152=0),"",(AU152-BH152)/AU152)</f>
        <v/>
      </c>
      <c r="BJ152" s="81"/>
      <c r="BK152" s="83"/>
      <c r="BL152" s="43" t="str">
        <f aca="false">IFERROR(INDEX(ЗАКАЗЫ!$N$3:$N$500,MATCH($A152,ЗАКАЗЫ!$F$3:$F$500,0)),"")</f>
        <v/>
      </c>
      <c r="BM152" s="8" t="str">
        <f aca="false">IF(BL152="","",IFERROR(VLOOKUP(BL152,'ТН ВЭД'!$A$4:$C$40,3,0),""))</f>
        <v/>
      </c>
      <c r="BN152" s="7" t="str">
        <f aca="false">IF(COUNTIF(ЗАКАЗЫ!$F$3:$F$500,$A152)=0,"",SUMIF(ЗАКАЗЫ!$F$3:$F$500,$A152,ЗАКАЗЫ!$J$3:$J$500))</f>
        <v/>
      </c>
      <c r="BO152" s="7" t="str">
        <f aca="false">IF(BN152="","",SUMIF(ЗАКАЗЫ!$F$3:$F$500,$A152,ЗАКАЗЫ!$AL$3:$AL$500))</f>
        <v/>
      </c>
      <c r="BP152" s="7" t="str">
        <f aca="false">IF(BN152="","",BN152-BO152)</f>
        <v/>
      </c>
      <c r="BQ152" s="55" t="str">
        <f aca="false">IF(BN152="","",IF(BO152&gt;=BN152,"На складе",IF(BO152&gt;0,"Частично","Ждём")))</f>
        <v/>
      </c>
      <c r="BR152" s="43"/>
      <c r="BS152" s="47" t="str">
        <f aca="false">IF(BN152="","",IF(_xlfn.MAXIFS(ЗАКАЗЫ!$AK$3:$AK$500,ЗАКАЗЫ!$F$3:$F$500,$A152)=0,"",_xlfn.MAXIFS(ЗАКАЗЫ!$AK$3:$AK$500,ЗАКАЗЫ!$F$3:$F$500,$A152)))</f>
        <v/>
      </c>
    </row>
    <row r="153" customFormat="false" ht="15.75" hidden="false" customHeight="true" outlineLevel="0" collapsed="false">
      <c r="A153" s="80" t="s">
        <v>627</v>
      </c>
      <c r="B153" s="81"/>
      <c r="C153" s="81"/>
      <c r="D153" s="81"/>
      <c r="E153" s="83"/>
      <c r="F153" s="81"/>
      <c r="G153" s="83"/>
      <c r="H153" s="83"/>
      <c r="I153" s="84" t="str">
        <f aca="false">IF(E153="","",A153&amp;"_1.jpg")</f>
        <v/>
      </c>
      <c r="J153" s="84" t="str">
        <f aca="false">IF(E153="","",A153&amp;"_2.jpg; "&amp;A153&amp;"_3.jpg")</f>
        <v/>
      </c>
      <c r="K153" s="84" t="str">
        <f aca="false">IF(E153="","",A153&amp;"_schema.jpg")</f>
        <v/>
      </c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 t="s">
        <v>261</v>
      </c>
      <c r="W153" s="81"/>
      <c r="X153" s="81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6" t="str">
        <f aca="false">IF(SUM(Y153:AJ153)=0,"",SUM(Y153:AJ153))</f>
        <v/>
      </c>
      <c r="AL153" s="84" t="str">
        <f aca="false">MID(IF(N(Y153)&gt;0,", "&amp;Y$2,"")&amp;IF(N(Z153)&gt;0,", "&amp;Z$2,"")&amp;IF(N(AA153)&gt;0,", "&amp;AA$2,"")&amp;IF(N(AB153)&gt;0,", "&amp;AB$2,"")&amp;IF(N(AC153)&gt;0,", "&amp;AC$2,"")&amp;IF(N(AD153)&gt;0,", "&amp;AD$2,"")&amp;IF(N(AE153)&gt;0,", "&amp;AE$2,"")&amp;IF(N(AF153)&gt;0,", "&amp;AF$2,"")&amp;IF(N(AG153)&gt;0,", "&amp;AG$2,"")&amp;IF(N(AH153)&gt;0,", "&amp;AH$2,"")&amp;IF(N(AI153)&gt;0,", "&amp;AI$2,"")&amp;IF(N(AJ153)&gt;0,", "&amp;AJ$2,""),3,999)</f>
        <v/>
      </c>
      <c r="AM153" s="87" t="str">
        <f aca="false">IF(E153="","",MID(IF(N(Y153)&gt;0,", "&amp;A153&amp;"-"&amp;Y$2,"")&amp;IF(N(Z153)&gt;0,", "&amp;A153&amp;"-"&amp;Z$2,"")&amp;IF(N(AA153)&gt;0,", "&amp;A153&amp;"-"&amp;AA$2,"")&amp;IF(N(AB153)&gt;0,", "&amp;A153&amp;"-"&amp;AB$2,"")&amp;IF(N(AC153)&gt;0,", "&amp;A153&amp;"-"&amp;AC$2,"")&amp;IF(N(AD153)&gt;0,", "&amp;A153&amp;"-"&amp;AD$2,"")&amp;IF(N(AE153)&gt;0,", "&amp;A153&amp;"-"&amp;AE$2,"")&amp;IF(N(AF153)&gt;0,", "&amp;A153&amp;"-"&amp;AF$2,"")&amp;IF(N(AG153)&gt;0,", "&amp;A153&amp;"-"&amp;AG$2,"")&amp;IF(N(AH153)&gt;0,", "&amp;A153&amp;"-"&amp;AH$2,"")&amp;IF(N(AI153)&gt;0,", "&amp;A153&amp;"-"&amp;AI$2,"")&amp;IF(N(AJ153)&gt;0,", "&amp;A153&amp;"-"&amp;AJ$2,""),3,999))</f>
        <v/>
      </c>
      <c r="AN153" s="81"/>
      <c r="AO153" s="88"/>
      <c r="AP153" s="89" t="str">
        <f aca="false">IF(AO153="","",ROUND(AO153/(1+Справочники!$B$13),2))</f>
        <v/>
      </c>
      <c r="AQ153" s="90" t="str">
        <f aca="false" t="array" ref="AQ153:AQ153">IF(AP153="","",AP153*INDEX(Справочники!$B$4:$B$7,MATCH("RUB",Справочники!$A$4:$A$7,0)))</f>
        <v/>
      </c>
      <c r="AR153" s="90" t="str">
        <f aca="false">IF(AQ153="","",ROUND(AQ153*(1+Справочники!$B$12),0))</f>
        <v/>
      </c>
      <c r="AS153" s="90" t="str">
        <f aca="false">IF(AR153="","",ROUND(AR153*(1-Справочники!$B$11),0))</f>
        <v/>
      </c>
      <c r="AT153" s="88"/>
      <c r="AU153" s="90" t="str">
        <f aca="false">IF(AT153="","",ROUND(AT153/(1+Справочники!$B$12),0))</f>
        <v/>
      </c>
      <c r="AV153" s="90" t="str">
        <f aca="false">IF(AT153="","",ROUND(AT153*(1-Справочники!$B$15),0))</f>
        <v/>
      </c>
      <c r="AW153" s="90" t="str">
        <f aca="false">IF(AT153="","",ROUND(AT153*(1-Справочники!$B$16),0))</f>
        <v/>
      </c>
      <c r="AX153" s="90" t="str">
        <f aca="false">IF(AT153="","",ROUND(AT153*(1-Справочники!$B$17),0))</f>
        <v/>
      </c>
      <c r="AY153" s="90" t="str">
        <f aca="false">IF(AT153="","",ROUND(AT153*(1-Справочники!$B$18),0))</f>
        <v/>
      </c>
      <c r="AZ153" s="90" t="str">
        <f aca="false">IF(AT153="","",ROUND(AT153*(1-Справочники!$B$19),0))</f>
        <v/>
      </c>
      <c r="BA153" s="81"/>
      <c r="BB153" s="81"/>
      <c r="BC153" s="81"/>
      <c r="BD153" s="81"/>
      <c r="BE153" s="91"/>
      <c r="BF153" s="81" t="s">
        <v>103</v>
      </c>
      <c r="BG153" s="89" t="n">
        <f aca="false" t="array" ref="BG153:BG153">IF(BF153="","",IFERROR(INDEX(Справочники!$B$4:$B$7,MATCH(BF153,Справочники!$A$4:$A$7,0)),""))</f>
        <v>68.5</v>
      </c>
      <c r="BH153" s="90" t="str">
        <f aca="false">IF(N(BN153)&gt;0,ROUND(SUMIF(ЗАКАЗЫ!$F$3:$F$500,$A153,ЗАКАЗЫ!$Y$3:$Y$500)/BN153,0),IF(OR(BE153="",BG153=""),"",ROUND(BE153*BG153*(1+Справочники!$B$10),0)))</f>
        <v/>
      </c>
      <c r="BI153" s="92" t="str">
        <f aca="false">IF(OR(AU153="",BH153="",AU153=0),"",(AU153-BH153)/AU153)</f>
        <v/>
      </c>
      <c r="BJ153" s="81"/>
      <c r="BK153" s="83"/>
      <c r="BL153" s="43" t="str">
        <f aca="false">IFERROR(INDEX(ЗАКАЗЫ!$N$3:$N$500,MATCH($A153,ЗАКАЗЫ!$F$3:$F$500,0)),"")</f>
        <v/>
      </c>
      <c r="BM153" s="8" t="str">
        <f aca="false">IF(BL153="","",IFERROR(VLOOKUP(BL153,'ТН ВЭД'!$A$4:$C$40,3,0),""))</f>
        <v/>
      </c>
      <c r="BN153" s="7" t="str">
        <f aca="false">IF(COUNTIF(ЗАКАЗЫ!$F$3:$F$500,$A153)=0,"",SUMIF(ЗАКАЗЫ!$F$3:$F$500,$A153,ЗАКАЗЫ!$J$3:$J$500))</f>
        <v/>
      </c>
      <c r="BO153" s="7" t="str">
        <f aca="false">IF(BN153="","",SUMIF(ЗАКАЗЫ!$F$3:$F$500,$A153,ЗАКАЗЫ!$AL$3:$AL$500))</f>
        <v/>
      </c>
      <c r="BP153" s="7" t="str">
        <f aca="false">IF(BN153="","",BN153-BO153)</f>
        <v/>
      </c>
      <c r="BQ153" s="55" t="str">
        <f aca="false">IF(BN153="","",IF(BO153&gt;=BN153,"На складе",IF(BO153&gt;0,"Частично","Ждём")))</f>
        <v/>
      </c>
      <c r="BR153" s="43"/>
      <c r="BS153" s="47" t="str">
        <f aca="false">IF(BN153="","",IF(_xlfn.MAXIFS(ЗАКАЗЫ!$AK$3:$AK$500,ЗАКАЗЫ!$F$3:$F$500,$A153)=0,"",_xlfn.MAXIFS(ЗАКАЗЫ!$AK$3:$AK$500,ЗАКАЗЫ!$F$3:$F$500,$A153)))</f>
        <v/>
      </c>
    </row>
    <row r="154" customFormat="false" ht="15.75" hidden="false" customHeight="true" outlineLevel="0" collapsed="false">
      <c r="A154" s="80" t="s">
        <v>628</v>
      </c>
      <c r="B154" s="81"/>
      <c r="C154" s="81"/>
      <c r="D154" s="81"/>
      <c r="E154" s="83"/>
      <c r="F154" s="81"/>
      <c r="G154" s="83"/>
      <c r="H154" s="83"/>
      <c r="I154" s="84" t="str">
        <f aca="false">IF(E154="","",A154&amp;"_1.jpg")</f>
        <v/>
      </c>
      <c r="J154" s="84" t="str">
        <f aca="false">IF(E154="","",A154&amp;"_2.jpg; "&amp;A154&amp;"_3.jpg")</f>
        <v/>
      </c>
      <c r="K154" s="84" t="str">
        <f aca="false">IF(E154="","",A154&amp;"_schema.jpg")</f>
        <v/>
      </c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 t="s">
        <v>261</v>
      </c>
      <c r="W154" s="81"/>
      <c r="X154" s="81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6" t="str">
        <f aca="false">IF(SUM(Y154:AJ154)=0,"",SUM(Y154:AJ154))</f>
        <v/>
      </c>
      <c r="AL154" s="84" t="str">
        <f aca="false">MID(IF(N(Y154)&gt;0,", "&amp;Y$2,"")&amp;IF(N(Z154)&gt;0,", "&amp;Z$2,"")&amp;IF(N(AA154)&gt;0,", "&amp;AA$2,"")&amp;IF(N(AB154)&gt;0,", "&amp;AB$2,"")&amp;IF(N(AC154)&gt;0,", "&amp;AC$2,"")&amp;IF(N(AD154)&gt;0,", "&amp;AD$2,"")&amp;IF(N(AE154)&gt;0,", "&amp;AE$2,"")&amp;IF(N(AF154)&gt;0,", "&amp;AF$2,"")&amp;IF(N(AG154)&gt;0,", "&amp;AG$2,"")&amp;IF(N(AH154)&gt;0,", "&amp;AH$2,"")&amp;IF(N(AI154)&gt;0,", "&amp;AI$2,"")&amp;IF(N(AJ154)&gt;0,", "&amp;AJ$2,""),3,999)</f>
        <v/>
      </c>
      <c r="AM154" s="87" t="str">
        <f aca="false">IF(E154="","",MID(IF(N(Y154)&gt;0,", "&amp;A154&amp;"-"&amp;Y$2,"")&amp;IF(N(Z154)&gt;0,", "&amp;A154&amp;"-"&amp;Z$2,"")&amp;IF(N(AA154)&gt;0,", "&amp;A154&amp;"-"&amp;AA$2,"")&amp;IF(N(AB154)&gt;0,", "&amp;A154&amp;"-"&amp;AB$2,"")&amp;IF(N(AC154)&gt;0,", "&amp;A154&amp;"-"&amp;AC$2,"")&amp;IF(N(AD154)&gt;0,", "&amp;A154&amp;"-"&amp;AD$2,"")&amp;IF(N(AE154)&gt;0,", "&amp;A154&amp;"-"&amp;AE$2,"")&amp;IF(N(AF154)&gt;0,", "&amp;A154&amp;"-"&amp;AF$2,"")&amp;IF(N(AG154)&gt;0,", "&amp;A154&amp;"-"&amp;AG$2,"")&amp;IF(N(AH154)&gt;0,", "&amp;A154&amp;"-"&amp;AH$2,"")&amp;IF(N(AI154)&gt;0,", "&amp;A154&amp;"-"&amp;AI$2,"")&amp;IF(N(AJ154)&gt;0,", "&amp;A154&amp;"-"&amp;AJ$2,""),3,999))</f>
        <v/>
      </c>
      <c r="AN154" s="81"/>
      <c r="AO154" s="88"/>
      <c r="AP154" s="89" t="str">
        <f aca="false">IF(AO154="","",ROUND(AO154/(1+Справочники!$B$13),2))</f>
        <v/>
      </c>
      <c r="AQ154" s="90" t="str">
        <f aca="false" t="array" ref="AQ154:AQ154">IF(AP154="","",AP154*INDEX(Справочники!$B$4:$B$7,MATCH("RUB",Справочники!$A$4:$A$7,0)))</f>
        <v/>
      </c>
      <c r="AR154" s="90" t="str">
        <f aca="false">IF(AQ154="","",ROUND(AQ154*(1+Справочники!$B$12),0))</f>
        <v/>
      </c>
      <c r="AS154" s="90" t="str">
        <f aca="false">IF(AR154="","",ROUND(AR154*(1-Справочники!$B$11),0))</f>
        <v/>
      </c>
      <c r="AT154" s="88"/>
      <c r="AU154" s="90" t="str">
        <f aca="false">IF(AT154="","",ROUND(AT154/(1+Справочники!$B$12),0))</f>
        <v/>
      </c>
      <c r="AV154" s="90" t="str">
        <f aca="false">IF(AT154="","",ROUND(AT154*(1-Справочники!$B$15),0))</f>
        <v/>
      </c>
      <c r="AW154" s="90" t="str">
        <f aca="false">IF(AT154="","",ROUND(AT154*(1-Справочники!$B$16),0))</f>
        <v/>
      </c>
      <c r="AX154" s="90" t="str">
        <f aca="false">IF(AT154="","",ROUND(AT154*(1-Справочники!$B$17),0))</f>
        <v/>
      </c>
      <c r="AY154" s="90" t="str">
        <f aca="false">IF(AT154="","",ROUND(AT154*(1-Справочники!$B$18),0))</f>
        <v/>
      </c>
      <c r="AZ154" s="90" t="str">
        <f aca="false">IF(AT154="","",ROUND(AT154*(1-Справочники!$B$19),0))</f>
        <v/>
      </c>
      <c r="BA154" s="81"/>
      <c r="BB154" s="81"/>
      <c r="BC154" s="81"/>
      <c r="BD154" s="81"/>
      <c r="BE154" s="91"/>
      <c r="BF154" s="81" t="s">
        <v>103</v>
      </c>
      <c r="BG154" s="89" t="n">
        <f aca="false" t="array" ref="BG154:BG154">IF(BF154="","",IFERROR(INDEX(Справочники!$B$4:$B$7,MATCH(BF154,Справочники!$A$4:$A$7,0)),""))</f>
        <v>68.5</v>
      </c>
      <c r="BH154" s="90" t="str">
        <f aca="false">IF(N(BN154)&gt;0,ROUND(SUMIF(ЗАКАЗЫ!$F$3:$F$500,$A154,ЗАКАЗЫ!$Y$3:$Y$500)/BN154,0),IF(OR(BE154="",BG154=""),"",ROUND(BE154*BG154*(1+Справочники!$B$10),0)))</f>
        <v/>
      </c>
      <c r="BI154" s="92" t="str">
        <f aca="false">IF(OR(AU154="",BH154="",AU154=0),"",(AU154-BH154)/AU154)</f>
        <v/>
      </c>
      <c r="BJ154" s="81"/>
      <c r="BK154" s="83"/>
      <c r="BL154" s="43" t="str">
        <f aca="false">IFERROR(INDEX(ЗАКАЗЫ!$N$3:$N$500,MATCH($A154,ЗАКАЗЫ!$F$3:$F$500,0)),"")</f>
        <v/>
      </c>
      <c r="BM154" s="8" t="str">
        <f aca="false">IF(BL154="","",IFERROR(VLOOKUP(BL154,'ТН ВЭД'!$A$4:$C$40,3,0),""))</f>
        <v/>
      </c>
      <c r="BN154" s="7" t="str">
        <f aca="false">IF(COUNTIF(ЗАКАЗЫ!$F$3:$F$500,$A154)=0,"",SUMIF(ЗАКАЗЫ!$F$3:$F$500,$A154,ЗАКАЗЫ!$J$3:$J$500))</f>
        <v/>
      </c>
      <c r="BO154" s="7" t="str">
        <f aca="false">IF(BN154="","",SUMIF(ЗАКАЗЫ!$F$3:$F$500,$A154,ЗАКАЗЫ!$AL$3:$AL$500))</f>
        <v/>
      </c>
      <c r="BP154" s="7" t="str">
        <f aca="false">IF(BN154="","",BN154-BO154)</f>
        <v/>
      </c>
      <c r="BQ154" s="55" t="str">
        <f aca="false">IF(BN154="","",IF(BO154&gt;=BN154,"На складе",IF(BO154&gt;0,"Частично","Ждём")))</f>
        <v/>
      </c>
      <c r="BR154" s="43"/>
      <c r="BS154" s="47" t="str">
        <f aca="false">IF(BN154="","",IF(_xlfn.MAXIFS(ЗАКАЗЫ!$AK$3:$AK$500,ЗАКАЗЫ!$F$3:$F$500,$A154)=0,"",_xlfn.MAXIFS(ЗАКАЗЫ!$AK$3:$AK$500,ЗАКАЗЫ!$F$3:$F$500,$A154)))</f>
        <v/>
      </c>
    </row>
    <row r="155" customFormat="false" ht="15.75" hidden="false" customHeight="true" outlineLevel="0" collapsed="false">
      <c r="A155" s="80" t="s">
        <v>629</v>
      </c>
      <c r="B155" s="81"/>
      <c r="C155" s="81"/>
      <c r="D155" s="81"/>
      <c r="E155" s="83"/>
      <c r="F155" s="81"/>
      <c r="G155" s="83"/>
      <c r="H155" s="83"/>
      <c r="I155" s="84" t="str">
        <f aca="false">IF(E155="","",A155&amp;"_1.jpg")</f>
        <v/>
      </c>
      <c r="J155" s="84" t="str">
        <f aca="false">IF(E155="","",A155&amp;"_2.jpg; "&amp;A155&amp;"_3.jpg")</f>
        <v/>
      </c>
      <c r="K155" s="84" t="str">
        <f aca="false">IF(E155="","",A155&amp;"_schema.jpg")</f>
        <v/>
      </c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 t="s">
        <v>261</v>
      </c>
      <c r="W155" s="81"/>
      <c r="X155" s="81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6" t="str">
        <f aca="false">IF(SUM(Y155:AJ155)=0,"",SUM(Y155:AJ155))</f>
        <v/>
      </c>
      <c r="AL155" s="84" t="str">
        <f aca="false">MID(IF(N(Y155)&gt;0,", "&amp;Y$2,"")&amp;IF(N(Z155)&gt;0,", "&amp;Z$2,"")&amp;IF(N(AA155)&gt;0,", "&amp;AA$2,"")&amp;IF(N(AB155)&gt;0,", "&amp;AB$2,"")&amp;IF(N(AC155)&gt;0,", "&amp;AC$2,"")&amp;IF(N(AD155)&gt;0,", "&amp;AD$2,"")&amp;IF(N(AE155)&gt;0,", "&amp;AE$2,"")&amp;IF(N(AF155)&gt;0,", "&amp;AF$2,"")&amp;IF(N(AG155)&gt;0,", "&amp;AG$2,"")&amp;IF(N(AH155)&gt;0,", "&amp;AH$2,"")&amp;IF(N(AI155)&gt;0,", "&amp;AI$2,"")&amp;IF(N(AJ155)&gt;0,", "&amp;AJ$2,""),3,999)</f>
        <v/>
      </c>
      <c r="AM155" s="87" t="str">
        <f aca="false">IF(E155="","",MID(IF(N(Y155)&gt;0,", "&amp;A155&amp;"-"&amp;Y$2,"")&amp;IF(N(Z155)&gt;0,", "&amp;A155&amp;"-"&amp;Z$2,"")&amp;IF(N(AA155)&gt;0,", "&amp;A155&amp;"-"&amp;AA$2,"")&amp;IF(N(AB155)&gt;0,", "&amp;A155&amp;"-"&amp;AB$2,"")&amp;IF(N(AC155)&gt;0,", "&amp;A155&amp;"-"&amp;AC$2,"")&amp;IF(N(AD155)&gt;0,", "&amp;A155&amp;"-"&amp;AD$2,"")&amp;IF(N(AE155)&gt;0,", "&amp;A155&amp;"-"&amp;AE$2,"")&amp;IF(N(AF155)&gt;0,", "&amp;A155&amp;"-"&amp;AF$2,"")&amp;IF(N(AG155)&gt;0,", "&amp;A155&amp;"-"&amp;AG$2,"")&amp;IF(N(AH155)&gt;0,", "&amp;A155&amp;"-"&amp;AH$2,"")&amp;IF(N(AI155)&gt;0,", "&amp;A155&amp;"-"&amp;AI$2,"")&amp;IF(N(AJ155)&gt;0,", "&amp;A155&amp;"-"&amp;AJ$2,""),3,999))</f>
        <v/>
      </c>
      <c r="AN155" s="81"/>
      <c r="AO155" s="88"/>
      <c r="AP155" s="89" t="str">
        <f aca="false">IF(AO155="","",ROUND(AO155/(1+Справочники!$B$13),2))</f>
        <v/>
      </c>
      <c r="AQ155" s="90" t="str">
        <f aca="false" t="array" ref="AQ155:AQ155">IF(AP155="","",AP155*INDEX(Справочники!$B$4:$B$7,MATCH("RUB",Справочники!$A$4:$A$7,0)))</f>
        <v/>
      </c>
      <c r="AR155" s="90" t="str">
        <f aca="false">IF(AQ155="","",ROUND(AQ155*(1+Справочники!$B$12),0))</f>
        <v/>
      </c>
      <c r="AS155" s="90" t="str">
        <f aca="false">IF(AR155="","",ROUND(AR155*(1-Справочники!$B$11),0))</f>
        <v/>
      </c>
      <c r="AT155" s="88"/>
      <c r="AU155" s="90" t="str">
        <f aca="false">IF(AT155="","",ROUND(AT155/(1+Справочники!$B$12),0))</f>
        <v/>
      </c>
      <c r="AV155" s="90" t="str">
        <f aca="false">IF(AT155="","",ROUND(AT155*(1-Справочники!$B$15),0))</f>
        <v/>
      </c>
      <c r="AW155" s="90" t="str">
        <f aca="false">IF(AT155="","",ROUND(AT155*(1-Справочники!$B$16),0))</f>
        <v/>
      </c>
      <c r="AX155" s="90" t="str">
        <f aca="false">IF(AT155="","",ROUND(AT155*(1-Справочники!$B$17),0))</f>
        <v/>
      </c>
      <c r="AY155" s="90" t="str">
        <f aca="false">IF(AT155="","",ROUND(AT155*(1-Справочники!$B$18),0))</f>
        <v/>
      </c>
      <c r="AZ155" s="90" t="str">
        <f aca="false">IF(AT155="","",ROUND(AT155*(1-Справочники!$B$19),0))</f>
        <v/>
      </c>
      <c r="BA155" s="81"/>
      <c r="BB155" s="81"/>
      <c r="BC155" s="81"/>
      <c r="BD155" s="81"/>
      <c r="BE155" s="91"/>
      <c r="BF155" s="81" t="s">
        <v>103</v>
      </c>
      <c r="BG155" s="89" t="n">
        <f aca="false" t="array" ref="BG155:BG155">IF(BF155="","",IFERROR(INDEX(Справочники!$B$4:$B$7,MATCH(BF155,Справочники!$A$4:$A$7,0)),""))</f>
        <v>68.5</v>
      </c>
      <c r="BH155" s="90" t="str">
        <f aca="false">IF(N(BN155)&gt;0,ROUND(SUMIF(ЗАКАЗЫ!$F$3:$F$500,$A155,ЗАКАЗЫ!$Y$3:$Y$500)/BN155,0),IF(OR(BE155="",BG155=""),"",ROUND(BE155*BG155*(1+Справочники!$B$10),0)))</f>
        <v/>
      </c>
      <c r="BI155" s="92" t="str">
        <f aca="false">IF(OR(AU155="",BH155="",AU155=0),"",(AU155-BH155)/AU155)</f>
        <v/>
      </c>
      <c r="BJ155" s="81"/>
      <c r="BK155" s="83"/>
      <c r="BL155" s="43" t="str">
        <f aca="false">IFERROR(INDEX(ЗАКАЗЫ!$N$3:$N$500,MATCH($A155,ЗАКАЗЫ!$F$3:$F$500,0)),"")</f>
        <v/>
      </c>
      <c r="BM155" s="8" t="str">
        <f aca="false">IF(BL155="","",IFERROR(VLOOKUP(BL155,'ТН ВЭД'!$A$4:$C$40,3,0),""))</f>
        <v/>
      </c>
      <c r="BN155" s="7" t="str">
        <f aca="false">IF(COUNTIF(ЗАКАЗЫ!$F$3:$F$500,$A155)=0,"",SUMIF(ЗАКАЗЫ!$F$3:$F$500,$A155,ЗАКАЗЫ!$J$3:$J$500))</f>
        <v/>
      </c>
      <c r="BO155" s="7" t="str">
        <f aca="false">IF(BN155="","",SUMIF(ЗАКАЗЫ!$F$3:$F$500,$A155,ЗАКАЗЫ!$AL$3:$AL$500))</f>
        <v/>
      </c>
      <c r="BP155" s="7" t="str">
        <f aca="false">IF(BN155="","",BN155-BO155)</f>
        <v/>
      </c>
      <c r="BQ155" s="55" t="str">
        <f aca="false">IF(BN155="","",IF(BO155&gt;=BN155,"На складе",IF(BO155&gt;0,"Частично","Ждём")))</f>
        <v/>
      </c>
      <c r="BR155" s="43"/>
      <c r="BS155" s="47" t="str">
        <f aca="false">IF(BN155="","",IF(_xlfn.MAXIFS(ЗАКАЗЫ!$AK$3:$AK$500,ЗАКАЗЫ!$F$3:$F$500,$A155)=0,"",_xlfn.MAXIFS(ЗАКАЗЫ!$AK$3:$AK$500,ЗАКАЗЫ!$F$3:$F$500,$A155)))</f>
        <v/>
      </c>
    </row>
    <row r="156" customFormat="false" ht="15.75" hidden="false" customHeight="true" outlineLevel="0" collapsed="false">
      <c r="A156" s="80" t="s">
        <v>630</v>
      </c>
      <c r="B156" s="81"/>
      <c r="C156" s="81"/>
      <c r="D156" s="81"/>
      <c r="E156" s="83"/>
      <c r="F156" s="81"/>
      <c r="G156" s="83"/>
      <c r="H156" s="83"/>
      <c r="I156" s="84" t="str">
        <f aca="false">IF(E156="","",A156&amp;"_1.jpg")</f>
        <v/>
      </c>
      <c r="J156" s="84" t="str">
        <f aca="false">IF(E156="","",A156&amp;"_2.jpg; "&amp;A156&amp;"_3.jpg")</f>
        <v/>
      </c>
      <c r="K156" s="84" t="str">
        <f aca="false">IF(E156="","",A156&amp;"_schema.jpg")</f>
        <v/>
      </c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 t="s">
        <v>261</v>
      </c>
      <c r="W156" s="81"/>
      <c r="X156" s="81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6" t="str">
        <f aca="false">IF(SUM(Y156:AJ156)=0,"",SUM(Y156:AJ156))</f>
        <v/>
      </c>
      <c r="AL156" s="84" t="str">
        <f aca="false">MID(IF(N(Y156)&gt;0,", "&amp;Y$2,"")&amp;IF(N(Z156)&gt;0,", "&amp;Z$2,"")&amp;IF(N(AA156)&gt;0,", "&amp;AA$2,"")&amp;IF(N(AB156)&gt;0,", "&amp;AB$2,"")&amp;IF(N(AC156)&gt;0,", "&amp;AC$2,"")&amp;IF(N(AD156)&gt;0,", "&amp;AD$2,"")&amp;IF(N(AE156)&gt;0,", "&amp;AE$2,"")&amp;IF(N(AF156)&gt;0,", "&amp;AF$2,"")&amp;IF(N(AG156)&gt;0,", "&amp;AG$2,"")&amp;IF(N(AH156)&gt;0,", "&amp;AH$2,"")&amp;IF(N(AI156)&gt;0,", "&amp;AI$2,"")&amp;IF(N(AJ156)&gt;0,", "&amp;AJ$2,""),3,999)</f>
        <v/>
      </c>
      <c r="AM156" s="87" t="str">
        <f aca="false">IF(E156="","",MID(IF(N(Y156)&gt;0,", "&amp;A156&amp;"-"&amp;Y$2,"")&amp;IF(N(Z156)&gt;0,", "&amp;A156&amp;"-"&amp;Z$2,"")&amp;IF(N(AA156)&gt;0,", "&amp;A156&amp;"-"&amp;AA$2,"")&amp;IF(N(AB156)&gt;0,", "&amp;A156&amp;"-"&amp;AB$2,"")&amp;IF(N(AC156)&gt;0,", "&amp;A156&amp;"-"&amp;AC$2,"")&amp;IF(N(AD156)&gt;0,", "&amp;A156&amp;"-"&amp;AD$2,"")&amp;IF(N(AE156)&gt;0,", "&amp;A156&amp;"-"&amp;AE$2,"")&amp;IF(N(AF156)&gt;0,", "&amp;A156&amp;"-"&amp;AF$2,"")&amp;IF(N(AG156)&gt;0,", "&amp;A156&amp;"-"&amp;AG$2,"")&amp;IF(N(AH156)&gt;0,", "&amp;A156&amp;"-"&amp;AH$2,"")&amp;IF(N(AI156)&gt;0,", "&amp;A156&amp;"-"&amp;AI$2,"")&amp;IF(N(AJ156)&gt;0,", "&amp;A156&amp;"-"&amp;AJ$2,""),3,999))</f>
        <v/>
      </c>
      <c r="AN156" s="81"/>
      <c r="AO156" s="88"/>
      <c r="AP156" s="89" t="str">
        <f aca="false">IF(AO156="","",ROUND(AO156/(1+Справочники!$B$13),2))</f>
        <v/>
      </c>
      <c r="AQ156" s="90" t="str">
        <f aca="false" t="array" ref="AQ156:AQ156">IF(AP156="","",AP156*INDEX(Справочники!$B$4:$B$7,MATCH("RUB",Справочники!$A$4:$A$7,0)))</f>
        <v/>
      </c>
      <c r="AR156" s="90" t="str">
        <f aca="false">IF(AQ156="","",ROUND(AQ156*(1+Справочники!$B$12),0))</f>
        <v/>
      </c>
      <c r="AS156" s="90" t="str">
        <f aca="false">IF(AR156="","",ROUND(AR156*(1-Справочники!$B$11),0))</f>
        <v/>
      </c>
      <c r="AT156" s="88"/>
      <c r="AU156" s="90" t="str">
        <f aca="false">IF(AT156="","",ROUND(AT156/(1+Справочники!$B$12),0))</f>
        <v/>
      </c>
      <c r="AV156" s="90" t="str">
        <f aca="false">IF(AT156="","",ROUND(AT156*(1-Справочники!$B$15),0))</f>
        <v/>
      </c>
      <c r="AW156" s="90" t="str">
        <f aca="false">IF(AT156="","",ROUND(AT156*(1-Справочники!$B$16),0))</f>
        <v/>
      </c>
      <c r="AX156" s="90" t="str">
        <f aca="false">IF(AT156="","",ROUND(AT156*(1-Справочники!$B$17),0))</f>
        <v/>
      </c>
      <c r="AY156" s="90" t="str">
        <f aca="false">IF(AT156="","",ROUND(AT156*(1-Справочники!$B$18),0))</f>
        <v/>
      </c>
      <c r="AZ156" s="90" t="str">
        <f aca="false">IF(AT156="","",ROUND(AT156*(1-Справочники!$B$19),0))</f>
        <v/>
      </c>
      <c r="BA156" s="81"/>
      <c r="BB156" s="81"/>
      <c r="BC156" s="81"/>
      <c r="BD156" s="81"/>
      <c r="BE156" s="91"/>
      <c r="BF156" s="81" t="s">
        <v>103</v>
      </c>
      <c r="BG156" s="89" t="n">
        <f aca="false" t="array" ref="BG156:BG156">IF(BF156="","",IFERROR(INDEX(Справочники!$B$4:$B$7,MATCH(BF156,Справочники!$A$4:$A$7,0)),""))</f>
        <v>68.5</v>
      </c>
      <c r="BH156" s="90" t="str">
        <f aca="false">IF(N(BN156)&gt;0,ROUND(SUMIF(ЗАКАЗЫ!$F$3:$F$500,$A156,ЗАКАЗЫ!$Y$3:$Y$500)/BN156,0),IF(OR(BE156="",BG156=""),"",ROUND(BE156*BG156*(1+Справочники!$B$10),0)))</f>
        <v/>
      </c>
      <c r="BI156" s="92" t="str">
        <f aca="false">IF(OR(AU156="",BH156="",AU156=0),"",(AU156-BH156)/AU156)</f>
        <v/>
      </c>
      <c r="BJ156" s="81"/>
      <c r="BK156" s="83"/>
      <c r="BL156" s="43" t="str">
        <f aca="false">IFERROR(INDEX(ЗАКАЗЫ!$N$3:$N$500,MATCH($A156,ЗАКАЗЫ!$F$3:$F$500,0)),"")</f>
        <v/>
      </c>
      <c r="BM156" s="8" t="str">
        <f aca="false">IF(BL156="","",IFERROR(VLOOKUP(BL156,'ТН ВЭД'!$A$4:$C$40,3,0),""))</f>
        <v/>
      </c>
      <c r="BN156" s="7" t="str">
        <f aca="false">IF(COUNTIF(ЗАКАЗЫ!$F$3:$F$500,$A156)=0,"",SUMIF(ЗАКАЗЫ!$F$3:$F$500,$A156,ЗАКАЗЫ!$J$3:$J$500))</f>
        <v/>
      </c>
      <c r="BO156" s="7" t="str">
        <f aca="false">IF(BN156="","",SUMIF(ЗАКАЗЫ!$F$3:$F$500,$A156,ЗАКАЗЫ!$AL$3:$AL$500))</f>
        <v/>
      </c>
      <c r="BP156" s="7" t="str">
        <f aca="false">IF(BN156="","",BN156-BO156)</f>
        <v/>
      </c>
      <c r="BQ156" s="55" t="str">
        <f aca="false">IF(BN156="","",IF(BO156&gt;=BN156,"На складе",IF(BO156&gt;0,"Частично","Ждём")))</f>
        <v/>
      </c>
      <c r="BR156" s="43"/>
      <c r="BS156" s="47" t="str">
        <f aca="false">IF(BN156="","",IF(_xlfn.MAXIFS(ЗАКАЗЫ!$AK$3:$AK$500,ЗАКАЗЫ!$F$3:$F$500,$A156)=0,"",_xlfn.MAXIFS(ЗАКАЗЫ!$AK$3:$AK$500,ЗАКАЗЫ!$F$3:$F$500,$A156)))</f>
        <v/>
      </c>
    </row>
    <row r="157" customFormat="false" ht="15.75" hidden="false" customHeight="true" outlineLevel="0" collapsed="false">
      <c r="A157" s="80" t="s">
        <v>631</v>
      </c>
      <c r="B157" s="81"/>
      <c r="C157" s="81"/>
      <c r="D157" s="81"/>
      <c r="E157" s="83"/>
      <c r="F157" s="81"/>
      <c r="G157" s="83"/>
      <c r="H157" s="83"/>
      <c r="I157" s="84" t="str">
        <f aca="false">IF(E157="","",A157&amp;"_1.jpg")</f>
        <v/>
      </c>
      <c r="J157" s="84" t="str">
        <f aca="false">IF(E157="","",A157&amp;"_2.jpg; "&amp;A157&amp;"_3.jpg")</f>
        <v/>
      </c>
      <c r="K157" s="84" t="str">
        <f aca="false">IF(E157="","",A157&amp;"_schema.jpg")</f>
        <v/>
      </c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 t="s">
        <v>261</v>
      </c>
      <c r="W157" s="81"/>
      <c r="X157" s="81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6" t="str">
        <f aca="false">IF(SUM(Y157:AJ157)=0,"",SUM(Y157:AJ157))</f>
        <v/>
      </c>
      <c r="AL157" s="84" t="str">
        <f aca="false">MID(IF(N(Y157)&gt;0,", "&amp;Y$2,"")&amp;IF(N(Z157)&gt;0,", "&amp;Z$2,"")&amp;IF(N(AA157)&gt;0,", "&amp;AA$2,"")&amp;IF(N(AB157)&gt;0,", "&amp;AB$2,"")&amp;IF(N(AC157)&gt;0,", "&amp;AC$2,"")&amp;IF(N(AD157)&gt;0,", "&amp;AD$2,"")&amp;IF(N(AE157)&gt;0,", "&amp;AE$2,"")&amp;IF(N(AF157)&gt;0,", "&amp;AF$2,"")&amp;IF(N(AG157)&gt;0,", "&amp;AG$2,"")&amp;IF(N(AH157)&gt;0,", "&amp;AH$2,"")&amp;IF(N(AI157)&gt;0,", "&amp;AI$2,"")&amp;IF(N(AJ157)&gt;0,", "&amp;AJ$2,""),3,999)</f>
        <v/>
      </c>
      <c r="AM157" s="87" t="str">
        <f aca="false">IF(E157="","",MID(IF(N(Y157)&gt;0,", "&amp;A157&amp;"-"&amp;Y$2,"")&amp;IF(N(Z157)&gt;0,", "&amp;A157&amp;"-"&amp;Z$2,"")&amp;IF(N(AA157)&gt;0,", "&amp;A157&amp;"-"&amp;AA$2,"")&amp;IF(N(AB157)&gt;0,", "&amp;A157&amp;"-"&amp;AB$2,"")&amp;IF(N(AC157)&gt;0,", "&amp;A157&amp;"-"&amp;AC$2,"")&amp;IF(N(AD157)&gt;0,", "&amp;A157&amp;"-"&amp;AD$2,"")&amp;IF(N(AE157)&gt;0,", "&amp;A157&amp;"-"&amp;AE$2,"")&amp;IF(N(AF157)&gt;0,", "&amp;A157&amp;"-"&amp;AF$2,"")&amp;IF(N(AG157)&gt;0,", "&amp;A157&amp;"-"&amp;AG$2,"")&amp;IF(N(AH157)&gt;0,", "&amp;A157&amp;"-"&amp;AH$2,"")&amp;IF(N(AI157)&gt;0,", "&amp;A157&amp;"-"&amp;AI$2,"")&amp;IF(N(AJ157)&gt;0,", "&amp;A157&amp;"-"&amp;AJ$2,""),3,999))</f>
        <v/>
      </c>
      <c r="AN157" s="81"/>
      <c r="AO157" s="88"/>
      <c r="AP157" s="89" t="str">
        <f aca="false">IF(AO157="","",ROUND(AO157/(1+Справочники!$B$13),2))</f>
        <v/>
      </c>
      <c r="AQ157" s="90" t="str">
        <f aca="false" t="array" ref="AQ157:AQ157">IF(AP157="","",AP157*INDEX(Справочники!$B$4:$B$7,MATCH("RUB",Справочники!$A$4:$A$7,0)))</f>
        <v/>
      </c>
      <c r="AR157" s="90" t="str">
        <f aca="false">IF(AQ157="","",ROUND(AQ157*(1+Справочники!$B$12),0))</f>
        <v/>
      </c>
      <c r="AS157" s="90" t="str">
        <f aca="false">IF(AR157="","",ROUND(AR157*(1-Справочники!$B$11),0))</f>
        <v/>
      </c>
      <c r="AT157" s="88"/>
      <c r="AU157" s="90" t="str">
        <f aca="false">IF(AT157="","",ROUND(AT157/(1+Справочники!$B$12),0))</f>
        <v/>
      </c>
      <c r="AV157" s="90" t="str">
        <f aca="false">IF(AT157="","",ROUND(AT157*(1-Справочники!$B$15),0))</f>
        <v/>
      </c>
      <c r="AW157" s="90" t="str">
        <f aca="false">IF(AT157="","",ROUND(AT157*(1-Справочники!$B$16),0))</f>
        <v/>
      </c>
      <c r="AX157" s="90" t="str">
        <f aca="false">IF(AT157="","",ROUND(AT157*(1-Справочники!$B$17),0))</f>
        <v/>
      </c>
      <c r="AY157" s="90" t="str">
        <f aca="false">IF(AT157="","",ROUND(AT157*(1-Справочники!$B$18),0))</f>
        <v/>
      </c>
      <c r="AZ157" s="90" t="str">
        <f aca="false">IF(AT157="","",ROUND(AT157*(1-Справочники!$B$19),0))</f>
        <v/>
      </c>
      <c r="BA157" s="81"/>
      <c r="BB157" s="81"/>
      <c r="BC157" s="81"/>
      <c r="BD157" s="81"/>
      <c r="BE157" s="91"/>
      <c r="BF157" s="81" t="s">
        <v>103</v>
      </c>
      <c r="BG157" s="89" t="n">
        <f aca="false" t="array" ref="BG157:BG157">IF(BF157="","",IFERROR(INDEX(Справочники!$B$4:$B$7,MATCH(BF157,Справочники!$A$4:$A$7,0)),""))</f>
        <v>68.5</v>
      </c>
      <c r="BH157" s="90" t="str">
        <f aca="false">IF(N(BN157)&gt;0,ROUND(SUMIF(ЗАКАЗЫ!$F$3:$F$500,$A157,ЗАКАЗЫ!$Y$3:$Y$500)/BN157,0),IF(OR(BE157="",BG157=""),"",ROUND(BE157*BG157*(1+Справочники!$B$10),0)))</f>
        <v/>
      </c>
      <c r="BI157" s="92" t="str">
        <f aca="false">IF(OR(AU157="",BH157="",AU157=0),"",(AU157-BH157)/AU157)</f>
        <v/>
      </c>
      <c r="BJ157" s="81"/>
      <c r="BK157" s="83"/>
      <c r="BL157" s="43" t="str">
        <f aca="false">IFERROR(INDEX(ЗАКАЗЫ!$N$3:$N$500,MATCH($A157,ЗАКАЗЫ!$F$3:$F$500,0)),"")</f>
        <v/>
      </c>
      <c r="BM157" s="8" t="str">
        <f aca="false">IF(BL157="","",IFERROR(VLOOKUP(BL157,'ТН ВЭД'!$A$4:$C$40,3,0),""))</f>
        <v/>
      </c>
      <c r="BN157" s="7" t="str">
        <f aca="false">IF(COUNTIF(ЗАКАЗЫ!$F$3:$F$500,$A157)=0,"",SUMIF(ЗАКАЗЫ!$F$3:$F$500,$A157,ЗАКАЗЫ!$J$3:$J$500))</f>
        <v/>
      </c>
      <c r="BO157" s="7" t="str">
        <f aca="false">IF(BN157="","",SUMIF(ЗАКАЗЫ!$F$3:$F$500,$A157,ЗАКАЗЫ!$AL$3:$AL$500))</f>
        <v/>
      </c>
      <c r="BP157" s="7" t="str">
        <f aca="false">IF(BN157="","",BN157-BO157)</f>
        <v/>
      </c>
      <c r="BQ157" s="55" t="str">
        <f aca="false">IF(BN157="","",IF(BO157&gt;=BN157,"На складе",IF(BO157&gt;0,"Частично","Ждём")))</f>
        <v/>
      </c>
      <c r="BR157" s="43"/>
      <c r="BS157" s="47" t="str">
        <f aca="false">IF(BN157="","",IF(_xlfn.MAXIFS(ЗАКАЗЫ!$AK$3:$AK$500,ЗАКАЗЫ!$F$3:$F$500,$A157)=0,"",_xlfn.MAXIFS(ЗАКАЗЫ!$AK$3:$AK$500,ЗАКАЗЫ!$F$3:$F$500,$A157)))</f>
        <v/>
      </c>
    </row>
    <row r="158" customFormat="false" ht="15.75" hidden="false" customHeight="true" outlineLevel="0" collapsed="false">
      <c r="A158" s="80" t="s">
        <v>632</v>
      </c>
      <c r="B158" s="81"/>
      <c r="C158" s="81"/>
      <c r="D158" s="81"/>
      <c r="E158" s="83"/>
      <c r="F158" s="81"/>
      <c r="G158" s="83"/>
      <c r="H158" s="83"/>
      <c r="I158" s="84" t="str">
        <f aca="false">IF(E158="","",A158&amp;"_1.jpg")</f>
        <v/>
      </c>
      <c r="J158" s="84" t="str">
        <f aca="false">IF(E158="","",A158&amp;"_2.jpg; "&amp;A158&amp;"_3.jpg")</f>
        <v/>
      </c>
      <c r="K158" s="84" t="str">
        <f aca="false">IF(E158="","",A158&amp;"_schema.jpg")</f>
        <v/>
      </c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 t="s">
        <v>261</v>
      </c>
      <c r="W158" s="81"/>
      <c r="X158" s="81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6" t="str">
        <f aca="false">IF(SUM(Y158:AJ158)=0,"",SUM(Y158:AJ158))</f>
        <v/>
      </c>
      <c r="AL158" s="84" t="str">
        <f aca="false">MID(IF(N(Y158)&gt;0,", "&amp;Y$2,"")&amp;IF(N(Z158)&gt;0,", "&amp;Z$2,"")&amp;IF(N(AA158)&gt;0,", "&amp;AA$2,"")&amp;IF(N(AB158)&gt;0,", "&amp;AB$2,"")&amp;IF(N(AC158)&gt;0,", "&amp;AC$2,"")&amp;IF(N(AD158)&gt;0,", "&amp;AD$2,"")&amp;IF(N(AE158)&gt;0,", "&amp;AE$2,"")&amp;IF(N(AF158)&gt;0,", "&amp;AF$2,"")&amp;IF(N(AG158)&gt;0,", "&amp;AG$2,"")&amp;IF(N(AH158)&gt;0,", "&amp;AH$2,"")&amp;IF(N(AI158)&gt;0,", "&amp;AI$2,"")&amp;IF(N(AJ158)&gt;0,", "&amp;AJ$2,""),3,999)</f>
        <v/>
      </c>
      <c r="AM158" s="87" t="str">
        <f aca="false">IF(E158="","",MID(IF(N(Y158)&gt;0,", "&amp;A158&amp;"-"&amp;Y$2,"")&amp;IF(N(Z158)&gt;0,", "&amp;A158&amp;"-"&amp;Z$2,"")&amp;IF(N(AA158)&gt;0,", "&amp;A158&amp;"-"&amp;AA$2,"")&amp;IF(N(AB158)&gt;0,", "&amp;A158&amp;"-"&amp;AB$2,"")&amp;IF(N(AC158)&gt;0,", "&amp;A158&amp;"-"&amp;AC$2,"")&amp;IF(N(AD158)&gt;0,", "&amp;A158&amp;"-"&amp;AD$2,"")&amp;IF(N(AE158)&gt;0,", "&amp;A158&amp;"-"&amp;AE$2,"")&amp;IF(N(AF158)&gt;0,", "&amp;A158&amp;"-"&amp;AF$2,"")&amp;IF(N(AG158)&gt;0,", "&amp;A158&amp;"-"&amp;AG$2,"")&amp;IF(N(AH158)&gt;0,", "&amp;A158&amp;"-"&amp;AH$2,"")&amp;IF(N(AI158)&gt;0,", "&amp;A158&amp;"-"&amp;AI$2,"")&amp;IF(N(AJ158)&gt;0,", "&amp;A158&amp;"-"&amp;AJ$2,""),3,999))</f>
        <v/>
      </c>
      <c r="AN158" s="81"/>
      <c r="AO158" s="88"/>
      <c r="AP158" s="89" t="str">
        <f aca="false">IF(AO158="","",ROUND(AO158/(1+Справочники!$B$13),2))</f>
        <v/>
      </c>
      <c r="AQ158" s="90" t="str">
        <f aca="false" t="array" ref="AQ158:AQ158">IF(AP158="","",AP158*INDEX(Справочники!$B$4:$B$7,MATCH("RUB",Справочники!$A$4:$A$7,0)))</f>
        <v/>
      </c>
      <c r="AR158" s="90" t="str">
        <f aca="false">IF(AQ158="","",ROUND(AQ158*(1+Справочники!$B$12),0))</f>
        <v/>
      </c>
      <c r="AS158" s="90" t="str">
        <f aca="false">IF(AR158="","",ROUND(AR158*(1-Справочники!$B$11),0))</f>
        <v/>
      </c>
      <c r="AT158" s="88"/>
      <c r="AU158" s="90" t="str">
        <f aca="false">IF(AT158="","",ROUND(AT158/(1+Справочники!$B$12),0))</f>
        <v/>
      </c>
      <c r="AV158" s="90" t="str">
        <f aca="false">IF(AT158="","",ROUND(AT158*(1-Справочники!$B$15),0))</f>
        <v/>
      </c>
      <c r="AW158" s="90" t="str">
        <f aca="false">IF(AT158="","",ROUND(AT158*(1-Справочники!$B$16),0))</f>
        <v/>
      </c>
      <c r="AX158" s="90" t="str">
        <f aca="false">IF(AT158="","",ROUND(AT158*(1-Справочники!$B$17),0))</f>
        <v/>
      </c>
      <c r="AY158" s="90" t="str">
        <f aca="false">IF(AT158="","",ROUND(AT158*(1-Справочники!$B$18),0))</f>
        <v/>
      </c>
      <c r="AZ158" s="90" t="str">
        <f aca="false">IF(AT158="","",ROUND(AT158*(1-Справочники!$B$19),0))</f>
        <v/>
      </c>
      <c r="BA158" s="81"/>
      <c r="BB158" s="81"/>
      <c r="BC158" s="81"/>
      <c r="BD158" s="81"/>
      <c r="BE158" s="91"/>
      <c r="BF158" s="81" t="s">
        <v>103</v>
      </c>
      <c r="BG158" s="89" t="n">
        <f aca="false" t="array" ref="BG158:BG158">IF(BF158="","",IFERROR(INDEX(Справочники!$B$4:$B$7,MATCH(BF158,Справочники!$A$4:$A$7,0)),""))</f>
        <v>68.5</v>
      </c>
      <c r="BH158" s="90" t="str">
        <f aca="false">IF(N(BN158)&gt;0,ROUND(SUMIF(ЗАКАЗЫ!$F$3:$F$500,$A158,ЗАКАЗЫ!$Y$3:$Y$500)/BN158,0),IF(OR(BE158="",BG158=""),"",ROUND(BE158*BG158*(1+Справочники!$B$10),0)))</f>
        <v/>
      </c>
      <c r="BI158" s="92" t="str">
        <f aca="false">IF(OR(AU158="",BH158="",AU158=0),"",(AU158-BH158)/AU158)</f>
        <v/>
      </c>
      <c r="BJ158" s="81"/>
      <c r="BK158" s="83"/>
      <c r="BL158" s="43" t="str">
        <f aca="false">IFERROR(INDEX(ЗАКАЗЫ!$N$3:$N$500,MATCH($A158,ЗАКАЗЫ!$F$3:$F$500,0)),"")</f>
        <v/>
      </c>
      <c r="BM158" s="8" t="str">
        <f aca="false">IF(BL158="","",IFERROR(VLOOKUP(BL158,'ТН ВЭД'!$A$4:$C$40,3,0),""))</f>
        <v/>
      </c>
      <c r="BN158" s="7" t="str">
        <f aca="false">IF(COUNTIF(ЗАКАЗЫ!$F$3:$F$500,$A158)=0,"",SUMIF(ЗАКАЗЫ!$F$3:$F$500,$A158,ЗАКАЗЫ!$J$3:$J$500))</f>
        <v/>
      </c>
      <c r="BO158" s="7" t="str">
        <f aca="false">IF(BN158="","",SUMIF(ЗАКАЗЫ!$F$3:$F$500,$A158,ЗАКАЗЫ!$AL$3:$AL$500))</f>
        <v/>
      </c>
      <c r="BP158" s="7" t="str">
        <f aca="false">IF(BN158="","",BN158-BO158)</f>
        <v/>
      </c>
      <c r="BQ158" s="55" t="str">
        <f aca="false">IF(BN158="","",IF(BO158&gt;=BN158,"На складе",IF(BO158&gt;0,"Частично","Ждём")))</f>
        <v/>
      </c>
      <c r="BR158" s="43"/>
      <c r="BS158" s="47" t="str">
        <f aca="false">IF(BN158="","",IF(_xlfn.MAXIFS(ЗАКАЗЫ!$AK$3:$AK$500,ЗАКАЗЫ!$F$3:$F$500,$A158)=0,"",_xlfn.MAXIFS(ЗАКАЗЫ!$AK$3:$AK$500,ЗАКАЗЫ!$F$3:$F$500,$A158)))</f>
        <v/>
      </c>
    </row>
    <row r="159" customFormat="false" ht="15.75" hidden="false" customHeight="true" outlineLevel="0" collapsed="false">
      <c r="A159" s="80" t="s">
        <v>633</v>
      </c>
      <c r="B159" s="81"/>
      <c r="C159" s="81"/>
      <c r="D159" s="81"/>
      <c r="E159" s="83"/>
      <c r="F159" s="81"/>
      <c r="G159" s="83"/>
      <c r="H159" s="83"/>
      <c r="I159" s="84" t="str">
        <f aca="false">IF(E159="","",A159&amp;"_1.jpg")</f>
        <v/>
      </c>
      <c r="J159" s="84" t="str">
        <f aca="false">IF(E159="","",A159&amp;"_2.jpg; "&amp;A159&amp;"_3.jpg")</f>
        <v/>
      </c>
      <c r="K159" s="84" t="str">
        <f aca="false">IF(E159="","",A159&amp;"_schema.jpg")</f>
        <v/>
      </c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 t="s">
        <v>261</v>
      </c>
      <c r="W159" s="81"/>
      <c r="X159" s="81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6" t="str">
        <f aca="false">IF(SUM(Y159:AJ159)=0,"",SUM(Y159:AJ159))</f>
        <v/>
      </c>
      <c r="AL159" s="84" t="str">
        <f aca="false">MID(IF(N(Y159)&gt;0,", "&amp;Y$2,"")&amp;IF(N(Z159)&gt;0,", "&amp;Z$2,"")&amp;IF(N(AA159)&gt;0,", "&amp;AA$2,"")&amp;IF(N(AB159)&gt;0,", "&amp;AB$2,"")&amp;IF(N(AC159)&gt;0,", "&amp;AC$2,"")&amp;IF(N(AD159)&gt;0,", "&amp;AD$2,"")&amp;IF(N(AE159)&gt;0,", "&amp;AE$2,"")&amp;IF(N(AF159)&gt;0,", "&amp;AF$2,"")&amp;IF(N(AG159)&gt;0,", "&amp;AG$2,"")&amp;IF(N(AH159)&gt;0,", "&amp;AH$2,"")&amp;IF(N(AI159)&gt;0,", "&amp;AI$2,"")&amp;IF(N(AJ159)&gt;0,", "&amp;AJ$2,""),3,999)</f>
        <v/>
      </c>
      <c r="AM159" s="87" t="str">
        <f aca="false">IF(E159="","",MID(IF(N(Y159)&gt;0,", "&amp;A159&amp;"-"&amp;Y$2,"")&amp;IF(N(Z159)&gt;0,", "&amp;A159&amp;"-"&amp;Z$2,"")&amp;IF(N(AA159)&gt;0,", "&amp;A159&amp;"-"&amp;AA$2,"")&amp;IF(N(AB159)&gt;0,", "&amp;A159&amp;"-"&amp;AB$2,"")&amp;IF(N(AC159)&gt;0,", "&amp;A159&amp;"-"&amp;AC$2,"")&amp;IF(N(AD159)&gt;0,", "&amp;A159&amp;"-"&amp;AD$2,"")&amp;IF(N(AE159)&gt;0,", "&amp;A159&amp;"-"&amp;AE$2,"")&amp;IF(N(AF159)&gt;0,", "&amp;A159&amp;"-"&amp;AF$2,"")&amp;IF(N(AG159)&gt;0,", "&amp;A159&amp;"-"&amp;AG$2,"")&amp;IF(N(AH159)&gt;0,", "&amp;A159&amp;"-"&amp;AH$2,"")&amp;IF(N(AI159)&gt;0,", "&amp;A159&amp;"-"&amp;AI$2,"")&amp;IF(N(AJ159)&gt;0,", "&amp;A159&amp;"-"&amp;AJ$2,""),3,999))</f>
        <v/>
      </c>
      <c r="AN159" s="81"/>
      <c r="AO159" s="88"/>
      <c r="AP159" s="89" t="str">
        <f aca="false">IF(AO159="","",ROUND(AO159/(1+Справочники!$B$13),2))</f>
        <v/>
      </c>
      <c r="AQ159" s="90" t="str">
        <f aca="false" t="array" ref="AQ159:AQ159">IF(AP159="","",AP159*INDEX(Справочники!$B$4:$B$7,MATCH("RUB",Справочники!$A$4:$A$7,0)))</f>
        <v/>
      </c>
      <c r="AR159" s="90" t="str">
        <f aca="false">IF(AQ159="","",ROUND(AQ159*(1+Справочники!$B$12),0))</f>
        <v/>
      </c>
      <c r="AS159" s="90" t="str">
        <f aca="false">IF(AR159="","",ROUND(AR159*(1-Справочники!$B$11),0))</f>
        <v/>
      </c>
      <c r="AT159" s="88"/>
      <c r="AU159" s="90" t="str">
        <f aca="false">IF(AT159="","",ROUND(AT159/(1+Справочники!$B$12),0))</f>
        <v/>
      </c>
      <c r="AV159" s="90" t="str">
        <f aca="false">IF(AT159="","",ROUND(AT159*(1-Справочники!$B$15),0))</f>
        <v/>
      </c>
      <c r="AW159" s="90" t="str">
        <f aca="false">IF(AT159="","",ROUND(AT159*(1-Справочники!$B$16),0))</f>
        <v/>
      </c>
      <c r="AX159" s="90" t="str">
        <f aca="false">IF(AT159="","",ROUND(AT159*(1-Справочники!$B$17),0))</f>
        <v/>
      </c>
      <c r="AY159" s="90" t="str">
        <f aca="false">IF(AT159="","",ROUND(AT159*(1-Справочники!$B$18),0))</f>
        <v/>
      </c>
      <c r="AZ159" s="90" t="str">
        <f aca="false">IF(AT159="","",ROUND(AT159*(1-Справочники!$B$19),0))</f>
        <v/>
      </c>
      <c r="BA159" s="81"/>
      <c r="BB159" s="81"/>
      <c r="BC159" s="81"/>
      <c r="BD159" s="81"/>
      <c r="BE159" s="91"/>
      <c r="BF159" s="81" t="s">
        <v>103</v>
      </c>
      <c r="BG159" s="89" t="n">
        <f aca="false" t="array" ref="BG159:BG159">IF(BF159="","",IFERROR(INDEX(Справочники!$B$4:$B$7,MATCH(BF159,Справочники!$A$4:$A$7,0)),""))</f>
        <v>68.5</v>
      </c>
      <c r="BH159" s="90" t="str">
        <f aca="false">IF(N(BN159)&gt;0,ROUND(SUMIF(ЗАКАЗЫ!$F$3:$F$500,$A159,ЗАКАЗЫ!$Y$3:$Y$500)/BN159,0),IF(OR(BE159="",BG159=""),"",ROUND(BE159*BG159*(1+Справочники!$B$10),0)))</f>
        <v/>
      </c>
      <c r="BI159" s="92" t="str">
        <f aca="false">IF(OR(AU159="",BH159="",AU159=0),"",(AU159-BH159)/AU159)</f>
        <v/>
      </c>
      <c r="BJ159" s="81"/>
      <c r="BK159" s="83"/>
      <c r="BL159" s="43" t="str">
        <f aca="false">IFERROR(INDEX(ЗАКАЗЫ!$N$3:$N$500,MATCH($A159,ЗАКАЗЫ!$F$3:$F$500,0)),"")</f>
        <v/>
      </c>
      <c r="BM159" s="8" t="str">
        <f aca="false">IF(BL159="","",IFERROR(VLOOKUP(BL159,'ТН ВЭД'!$A$4:$C$40,3,0),""))</f>
        <v/>
      </c>
      <c r="BN159" s="7" t="str">
        <f aca="false">IF(COUNTIF(ЗАКАЗЫ!$F$3:$F$500,$A159)=0,"",SUMIF(ЗАКАЗЫ!$F$3:$F$500,$A159,ЗАКАЗЫ!$J$3:$J$500))</f>
        <v/>
      </c>
      <c r="BO159" s="7" t="str">
        <f aca="false">IF(BN159="","",SUMIF(ЗАКАЗЫ!$F$3:$F$500,$A159,ЗАКАЗЫ!$AL$3:$AL$500))</f>
        <v/>
      </c>
      <c r="BP159" s="7" t="str">
        <f aca="false">IF(BN159="","",BN159-BO159)</f>
        <v/>
      </c>
      <c r="BQ159" s="55" t="str">
        <f aca="false">IF(BN159="","",IF(BO159&gt;=BN159,"На складе",IF(BO159&gt;0,"Частично","Ждём")))</f>
        <v/>
      </c>
      <c r="BR159" s="43"/>
      <c r="BS159" s="47" t="str">
        <f aca="false">IF(BN159="","",IF(_xlfn.MAXIFS(ЗАКАЗЫ!$AK$3:$AK$500,ЗАКАЗЫ!$F$3:$F$500,$A159)=0,"",_xlfn.MAXIFS(ЗАКАЗЫ!$AK$3:$AK$500,ЗАКАЗЫ!$F$3:$F$500,$A159)))</f>
        <v/>
      </c>
    </row>
    <row r="160" customFormat="false" ht="15.75" hidden="false" customHeight="true" outlineLevel="0" collapsed="false">
      <c r="A160" s="80" t="s">
        <v>634</v>
      </c>
      <c r="B160" s="81"/>
      <c r="C160" s="81"/>
      <c r="D160" s="81"/>
      <c r="E160" s="83"/>
      <c r="F160" s="81"/>
      <c r="G160" s="83"/>
      <c r="H160" s="83"/>
      <c r="I160" s="84" t="str">
        <f aca="false">IF(E160="","",A160&amp;"_1.jpg")</f>
        <v/>
      </c>
      <c r="J160" s="84" t="str">
        <f aca="false">IF(E160="","",A160&amp;"_2.jpg; "&amp;A160&amp;"_3.jpg")</f>
        <v/>
      </c>
      <c r="K160" s="84" t="str">
        <f aca="false">IF(E160="","",A160&amp;"_schema.jpg")</f>
        <v/>
      </c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 t="s">
        <v>261</v>
      </c>
      <c r="W160" s="81"/>
      <c r="X160" s="81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6" t="str">
        <f aca="false">IF(SUM(Y160:AJ160)=0,"",SUM(Y160:AJ160))</f>
        <v/>
      </c>
      <c r="AL160" s="84" t="str">
        <f aca="false">MID(IF(N(Y160)&gt;0,", "&amp;Y$2,"")&amp;IF(N(Z160)&gt;0,", "&amp;Z$2,"")&amp;IF(N(AA160)&gt;0,", "&amp;AA$2,"")&amp;IF(N(AB160)&gt;0,", "&amp;AB$2,"")&amp;IF(N(AC160)&gt;0,", "&amp;AC$2,"")&amp;IF(N(AD160)&gt;0,", "&amp;AD$2,"")&amp;IF(N(AE160)&gt;0,", "&amp;AE$2,"")&amp;IF(N(AF160)&gt;0,", "&amp;AF$2,"")&amp;IF(N(AG160)&gt;0,", "&amp;AG$2,"")&amp;IF(N(AH160)&gt;0,", "&amp;AH$2,"")&amp;IF(N(AI160)&gt;0,", "&amp;AI$2,"")&amp;IF(N(AJ160)&gt;0,", "&amp;AJ$2,""),3,999)</f>
        <v/>
      </c>
      <c r="AM160" s="87" t="str">
        <f aca="false">IF(E160="","",MID(IF(N(Y160)&gt;0,", "&amp;A160&amp;"-"&amp;Y$2,"")&amp;IF(N(Z160)&gt;0,", "&amp;A160&amp;"-"&amp;Z$2,"")&amp;IF(N(AA160)&gt;0,", "&amp;A160&amp;"-"&amp;AA$2,"")&amp;IF(N(AB160)&gt;0,", "&amp;A160&amp;"-"&amp;AB$2,"")&amp;IF(N(AC160)&gt;0,", "&amp;A160&amp;"-"&amp;AC$2,"")&amp;IF(N(AD160)&gt;0,", "&amp;A160&amp;"-"&amp;AD$2,"")&amp;IF(N(AE160)&gt;0,", "&amp;A160&amp;"-"&amp;AE$2,"")&amp;IF(N(AF160)&gt;0,", "&amp;A160&amp;"-"&amp;AF$2,"")&amp;IF(N(AG160)&gt;0,", "&amp;A160&amp;"-"&amp;AG$2,"")&amp;IF(N(AH160)&gt;0,", "&amp;A160&amp;"-"&amp;AH$2,"")&amp;IF(N(AI160)&gt;0,", "&amp;A160&amp;"-"&amp;AI$2,"")&amp;IF(N(AJ160)&gt;0,", "&amp;A160&amp;"-"&amp;AJ$2,""),3,999))</f>
        <v/>
      </c>
      <c r="AN160" s="81"/>
      <c r="AO160" s="88"/>
      <c r="AP160" s="89" t="str">
        <f aca="false">IF(AO160="","",ROUND(AO160/(1+Справочники!$B$13),2))</f>
        <v/>
      </c>
      <c r="AQ160" s="90" t="str">
        <f aca="false" t="array" ref="AQ160:AQ160">IF(AP160="","",AP160*INDEX(Справочники!$B$4:$B$7,MATCH("RUB",Справочники!$A$4:$A$7,0)))</f>
        <v/>
      </c>
      <c r="AR160" s="90" t="str">
        <f aca="false">IF(AQ160="","",ROUND(AQ160*(1+Справочники!$B$12),0))</f>
        <v/>
      </c>
      <c r="AS160" s="90" t="str">
        <f aca="false">IF(AR160="","",ROUND(AR160*(1-Справочники!$B$11),0))</f>
        <v/>
      </c>
      <c r="AT160" s="88"/>
      <c r="AU160" s="90" t="str">
        <f aca="false">IF(AT160="","",ROUND(AT160/(1+Справочники!$B$12),0))</f>
        <v/>
      </c>
      <c r="AV160" s="90" t="str">
        <f aca="false">IF(AT160="","",ROUND(AT160*(1-Справочники!$B$15),0))</f>
        <v/>
      </c>
      <c r="AW160" s="90" t="str">
        <f aca="false">IF(AT160="","",ROUND(AT160*(1-Справочники!$B$16),0))</f>
        <v/>
      </c>
      <c r="AX160" s="90" t="str">
        <f aca="false">IF(AT160="","",ROUND(AT160*(1-Справочники!$B$17),0))</f>
        <v/>
      </c>
      <c r="AY160" s="90" t="str">
        <f aca="false">IF(AT160="","",ROUND(AT160*(1-Справочники!$B$18),0))</f>
        <v/>
      </c>
      <c r="AZ160" s="90" t="str">
        <f aca="false">IF(AT160="","",ROUND(AT160*(1-Справочники!$B$19),0))</f>
        <v/>
      </c>
      <c r="BA160" s="81"/>
      <c r="BB160" s="81"/>
      <c r="BC160" s="81"/>
      <c r="BD160" s="81"/>
      <c r="BE160" s="91"/>
      <c r="BF160" s="81" t="s">
        <v>103</v>
      </c>
      <c r="BG160" s="89" t="n">
        <f aca="false" t="array" ref="BG160:BG160">IF(BF160="","",IFERROR(INDEX(Справочники!$B$4:$B$7,MATCH(BF160,Справочники!$A$4:$A$7,0)),""))</f>
        <v>68.5</v>
      </c>
      <c r="BH160" s="90" t="str">
        <f aca="false">IF(N(BN160)&gt;0,ROUND(SUMIF(ЗАКАЗЫ!$F$3:$F$500,$A160,ЗАКАЗЫ!$Y$3:$Y$500)/BN160,0),IF(OR(BE160="",BG160=""),"",ROUND(BE160*BG160*(1+Справочники!$B$10),0)))</f>
        <v/>
      </c>
      <c r="BI160" s="92" t="str">
        <f aca="false">IF(OR(AU160="",BH160="",AU160=0),"",(AU160-BH160)/AU160)</f>
        <v/>
      </c>
      <c r="BJ160" s="81"/>
      <c r="BK160" s="83"/>
      <c r="BL160" s="43" t="str">
        <f aca="false">IFERROR(INDEX(ЗАКАЗЫ!$N$3:$N$500,MATCH($A160,ЗАКАЗЫ!$F$3:$F$500,0)),"")</f>
        <v/>
      </c>
      <c r="BM160" s="8" t="str">
        <f aca="false">IF(BL160="","",IFERROR(VLOOKUP(BL160,'ТН ВЭД'!$A$4:$C$40,3,0),""))</f>
        <v/>
      </c>
      <c r="BN160" s="7" t="str">
        <f aca="false">IF(COUNTIF(ЗАКАЗЫ!$F$3:$F$500,$A160)=0,"",SUMIF(ЗАКАЗЫ!$F$3:$F$500,$A160,ЗАКАЗЫ!$J$3:$J$500))</f>
        <v/>
      </c>
      <c r="BO160" s="7" t="str">
        <f aca="false">IF(BN160="","",SUMIF(ЗАКАЗЫ!$F$3:$F$500,$A160,ЗАКАЗЫ!$AL$3:$AL$500))</f>
        <v/>
      </c>
      <c r="BP160" s="7" t="str">
        <f aca="false">IF(BN160="","",BN160-BO160)</f>
        <v/>
      </c>
      <c r="BQ160" s="55" t="str">
        <f aca="false">IF(BN160="","",IF(BO160&gt;=BN160,"На складе",IF(BO160&gt;0,"Частично","Ждём")))</f>
        <v/>
      </c>
      <c r="BR160" s="43"/>
      <c r="BS160" s="47" t="str">
        <f aca="false">IF(BN160="","",IF(_xlfn.MAXIFS(ЗАКАЗЫ!$AK$3:$AK$500,ЗАКАЗЫ!$F$3:$F$500,$A160)=0,"",_xlfn.MAXIFS(ЗАКАЗЫ!$AK$3:$AK$500,ЗАКАЗЫ!$F$3:$F$500,$A160)))</f>
        <v/>
      </c>
    </row>
    <row r="161" customFormat="false" ht="15.75" hidden="false" customHeight="true" outlineLevel="0" collapsed="false">
      <c r="A161" s="80" t="s">
        <v>635</v>
      </c>
      <c r="B161" s="81"/>
      <c r="C161" s="81"/>
      <c r="D161" s="81"/>
      <c r="E161" s="83"/>
      <c r="F161" s="81"/>
      <c r="G161" s="83"/>
      <c r="H161" s="83"/>
      <c r="I161" s="84" t="str">
        <f aca="false">IF(E161="","",A161&amp;"_1.jpg")</f>
        <v/>
      </c>
      <c r="J161" s="84" t="str">
        <f aca="false">IF(E161="","",A161&amp;"_2.jpg; "&amp;A161&amp;"_3.jpg")</f>
        <v/>
      </c>
      <c r="K161" s="84" t="str">
        <f aca="false">IF(E161="","",A161&amp;"_schema.jpg")</f>
        <v/>
      </c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 t="s">
        <v>261</v>
      </c>
      <c r="W161" s="81"/>
      <c r="X161" s="81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6" t="str">
        <f aca="false">IF(SUM(Y161:AJ161)=0,"",SUM(Y161:AJ161))</f>
        <v/>
      </c>
      <c r="AL161" s="84" t="str">
        <f aca="false">MID(IF(N(Y161)&gt;0,", "&amp;Y$2,"")&amp;IF(N(Z161)&gt;0,", "&amp;Z$2,"")&amp;IF(N(AA161)&gt;0,", "&amp;AA$2,"")&amp;IF(N(AB161)&gt;0,", "&amp;AB$2,"")&amp;IF(N(AC161)&gt;0,", "&amp;AC$2,"")&amp;IF(N(AD161)&gt;0,", "&amp;AD$2,"")&amp;IF(N(AE161)&gt;0,", "&amp;AE$2,"")&amp;IF(N(AF161)&gt;0,", "&amp;AF$2,"")&amp;IF(N(AG161)&gt;0,", "&amp;AG$2,"")&amp;IF(N(AH161)&gt;0,", "&amp;AH$2,"")&amp;IF(N(AI161)&gt;0,", "&amp;AI$2,"")&amp;IF(N(AJ161)&gt;0,", "&amp;AJ$2,""),3,999)</f>
        <v/>
      </c>
      <c r="AM161" s="87" t="str">
        <f aca="false">IF(E161="","",MID(IF(N(Y161)&gt;0,", "&amp;A161&amp;"-"&amp;Y$2,"")&amp;IF(N(Z161)&gt;0,", "&amp;A161&amp;"-"&amp;Z$2,"")&amp;IF(N(AA161)&gt;0,", "&amp;A161&amp;"-"&amp;AA$2,"")&amp;IF(N(AB161)&gt;0,", "&amp;A161&amp;"-"&amp;AB$2,"")&amp;IF(N(AC161)&gt;0,", "&amp;A161&amp;"-"&amp;AC$2,"")&amp;IF(N(AD161)&gt;0,", "&amp;A161&amp;"-"&amp;AD$2,"")&amp;IF(N(AE161)&gt;0,", "&amp;A161&amp;"-"&amp;AE$2,"")&amp;IF(N(AF161)&gt;0,", "&amp;A161&amp;"-"&amp;AF$2,"")&amp;IF(N(AG161)&gt;0,", "&amp;A161&amp;"-"&amp;AG$2,"")&amp;IF(N(AH161)&gt;0,", "&amp;A161&amp;"-"&amp;AH$2,"")&amp;IF(N(AI161)&gt;0,", "&amp;A161&amp;"-"&amp;AI$2,"")&amp;IF(N(AJ161)&gt;0,", "&amp;A161&amp;"-"&amp;AJ$2,""),3,999))</f>
        <v/>
      </c>
      <c r="AN161" s="81"/>
      <c r="AO161" s="88"/>
      <c r="AP161" s="89" t="str">
        <f aca="false">IF(AO161="","",ROUND(AO161/(1+Справочники!$B$13),2))</f>
        <v/>
      </c>
      <c r="AQ161" s="90" t="str">
        <f aca="false" t="array" ref="AQ161:AQ161">IF(AP161="","",AP161*INDEX(Справочники!$B$4:$B$7,MATCH("RUB",Справочники!$A$4:$A$7,0)))</f>
        <v/>
      </c>
      <c r="AR161" s="90" t="str">
        <f aca="false">IF(AQ161="","",ROUND(AQ161*(1+Справочники!$B$12),0))</f>
        <v/>
      </c>
      <c r="AS161" s="90" t="str">
        <f aca="false">IF(AR161="","",ROUND(AR161*(1-Справочники!$B$11),0))</f>
        <v/>
      </c>
      <c r="AT161" s="88"/>
      <c r="AU161" s="90" t="str">
        <f aca="false">IF(AT161="","",ROUND(AT161/(1+Справочники!$B$12),0))</f>
        <v/>
      </c>
      <c r="AV161" s="90" t="str">
        <f aca="false">IF(AT161="","",ROUND(AT161*(1-Справочники!$B$15),0))</f>
        <v/>
      </c>
      <c r="AW161" s="90" t="str">
        <f aca="false">IF(AT161="","",ROUND(AT161*(1-Справочники!$B$16),0))</f>
        <v/>
      </c>
      <c r="AX161" s="90" t="str">
        <f aca="false">IF(AT161="","",ROUND(AT161*(1-Справочники!$B$17),0))</f>
        <v/>
      </c>
      <c r="AY161" s="90" t="str">
        <f aca="false">IF(AT161="","",ROUND(AT161*(1-Справочники!$B$18),0))</f>
        <v/>
      </c>
      <c r="AZ161" s="90" t="str">
        <f aca="false">IF(AT161="","",ROUND(AT161*(1-Справочники!$B$19),0))</f>
        <v/>
      </c>
      <c r="BA161" s="81"/>
      <c r="BB161" s="81"/>
      <c r="BC161" s="81"/>
      <c r="BD161" s="81"/>
      <c r="BE161" s="91"/>
      <c r="BF161" s="81" t="s">
        <v>103</v>
      </c>
      <c r="BG161" s="89" t="n">
        <f aca="false" t="array" ref="BG161:BG161">IF(BF161="","",IFERROR(INDEX(Справочники!$B$4:$B$7,MATCH(BF161,Справочники!$A$4:$A$7,0)),""))</f>
        <v>68.5</v>
      </c>
      <c r="BH161" s="90" t="str">
        <f aca="false">IF(N(BN161)&gt;0,ROUND(SUMIF(ЗАКАЗЫ!$F$3:$F$500,$A161,ЗАКАЗЫ!$Y$3:$Y$500)/BN161,0),IF(OR(BE161="",BG161=""),"",ROUND(BE161*BG161*(1+Справочники!$B$10),0)))</f>
        <v/>
      </c>
      <c r="BI161" s="92" t="str">
        <f aca="false">IF(OR(AU161="",BH161="",AU161=0),"",(AU161-BH161)/AU161)</f>
        <v/>
      </c>
      <c r="BJ161" s="81"/>
      <c r="BK161" s="83"/>
      <c r="BL161" s="43" t="str">
        <f aca="false">IFERROR(INDEX(ЗАКАЗЫ!$N$3:$N$500,MATCH($A161,ЗАКАЗЫ!$F$3:$F$500,0)),"")</f>
        <v/>
      </c>
      <c r="BM161" s="8" t="str">
        <f aca="false">IF(BL161="","",IFERROR(VLOOKUP(BL161,'ТН ВЭД'!$A$4:$C$40,3,0),""))</f>
        <v/>
      </c>
      <c r="BN161" s="7" t="str">
        <f aca="false">IF(COUNTIF(ЗАКАЗЫ!$F$3:$F$500,$A161)=0,"",SUMIF(ЗАКАЗЫ!$F$3:$F$500,$A161,ЗАКАЗЫ!$J$3:$J$500))</f>
        <v/>
      </c>
      <c r="BO161" s="7" t="str">
        <f aca="false">IF(BN161="","",SUMIF(ЗАКАЗЫ!$F$3:$F$500,$A161,ЗАКАЗЫ!$AL$3:$AL$500))</f>
        <v/>
      </c>
      <c r="BP161" s="7" t="str">
        <f aca="false">IF(BN161="","",BN161-BO161)</f>
        <v/>
      </c>
      <c r="BQ161" s="55" t="str">
        <f aca="false">IF(BN161="","",IF(BO161&gt;=BN161,"На складе",IF(BO161&gt;0,"Частично","Ждём")))</f>
        <v/>
      </c>
      <c r="BR161" s="43"/>
      <c r="BS161" s="47" t="str">
        <f aca="false">IF(BN161="","",IF(_xlfn.MAXIFS(ЗАКАЗЫ!$AK$3:$AK$500,ЗАКАЗЫ!$F$3:$F$500,$A161)=0,"",_xlfn.MAXIFS(ЗАКАЗЫ!$AK$3:$AK$500,ЗАКАЗЫ!$F$3:$F$500,$A161)))</f>
        <v/>
      </c>
    </row>
    <row r="162" customFormat="false" ht="15.75" hidden="false" customHeight="true" outlineLevel="0" collapsed="false">
      <c r="A162" s="80" t="s">
        <v>636</v>
      </c>
      <c r="B162" s="81"/>
      <c r="C162" s="81"/>
      <c r="D162" s="81"/>
      <c r="E162" s="83"/>
      <c r="F162" s="81"/>
      <c r="G162" s="83"/>
      <c r="H162" s="83"/>
      <c r="I162" s="84" t="str">
        <f aca="false">IF(E162="","",A162&amp;"_1.jpg")</f>
        <v/>
      </c>
      <c r="J162" s="84" t="str">
        <f aca="false">IF(E162="","",A162&amp;"_2.jpg; "&amp;A162&amp;"_3.jpg")</f>
        <v/>
      </c>
      <c r="K162" s="84" t="str">
        <f aca="false">IF(E162="","",A162&amp;"_schema.jpg")</f>
        <v/>
      </c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 t="s">
        <v>261</v>
      </c>
      <c r="W162" s="81"/>
      <c r="X162" s="81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6" t="str">
        <f aca="false">IF(SUM(Y162:AJ162)=0,"",SUM(Y162:AJ162))</f>
        <v/>
      </c>
      <c r="AL162" s="84" t="str">
        <f aca="false">MID(IF(N(Y162)&gt;0,", "&amp;Y$2,"")&amp;IF(N(Z162)&gt;0,", "&amp;Z$2,"")&amp;IF(N(AA162)&gt;0,", "&amp;AA$2,"")&amp;IF(N(AB162)&gt;0,", "&amp;AB$2,"")&amp;IF(N(AC162)&gt;0,", "&amp;AC$2,"")&amp;IF(N(AD162)&gt;0,", "&amp;AD$2,"")&amp;IF(N(AE162)&gt;0,", "&amp;AE$2,"")&amp;IF(N(AF162)&gt;0,", "&amp;AF$2,"")&amp;IF(N(AG162)&gt;0,", "&amp;AG$2,"")&amp;IF(N(AH162)&gt;0,", "&amp;AH$2,"")&amp;IF(N(AI162)&gt;0,", "&amp;AI$2,"")&amp;IF(N(AJ162)&gt;0,", "&amp;AJ$2,""),3,999)</f>
        <v/>
      </c>
      <c r="AM162" s="87" t="str">
        <f aca="false">IF(E162="","",MID(IF(N(Y162)&gt;0,", "&amp;A162&amp;"-"&amp;Y$2,"")&amp;IF(N(Z162)&gt;0,", "&amp;A162&amp;"-"&amp;Z$2,"")&amp;IF(N(AA162)&gt;0,", "&amp;A162&amp;"-"&amp;AA$2,"")&amp;IF(N(AB162)&gt;0,", "&amp;A162&amp;"-"&amp;AB$2,"")&amp;IF(N(AC162)&gt;0,", "&amp;A162&amp;"-"&amp;AC$2,"")&amp;IF(N(AD162)&gt;0,", "&amp;A162&amp;"-"&amp;AD$2,"")&amp;IF(N(AE162)&gt;0,", "&amp;A162&amp;"-"&amp;AE$2,"")&amp;IF(N(AF162)&gt;0,", "&amp;A162&amp;"-"&amp;AF$2,"")&amp;IF(N(AG162)&gt;0,", "&amp;A162&amp;"-"&amp;AG$2,"")&amp;IF(N(AH162)&gt;0,", "&amp;A162&amp;"-"&amp;AH$2,"")&amp;IF(N(AI162)&gt;0,", "&amp;A162&amp;"-"&amp;AI$2,"")&amp;IF(N(AJ162)&gt;0,", "&amp;A162&amp;"-"&amp;AJ$2,""),3,999))</f>
        <v/>
      </c>
      <c r="AN162" s="81"/>
      <c r="AO162" s="88"/>
      <c r="AP162" s="89" t="str">
        <f aca="false">IF(AO162="","",ROUND(AO162/(1+Справочники!$B$13),2))</f>
        <v/>
      </c>
      <c r="AQ162" s="90" t="str">
        <f aca="false" t="array" ref="AQ162:AQ162">IF(AP162="","",AP162*INDEX(Справочники!$B$4:$B$7,MATCH("RUB",Справочники!$A$4:$A$7,0)))</f>
        <v/>
      </c>
      <c r="AR162" s="90" t="str">
        <f aca="false">IF(AQ162="","",ROUND(AQ162*(1+Справочники!$B$12),0))</f>
        <v/>
      </c>
      <c r="AS162" s="90" t="str">
        <f aca="false">IF(AR162="","",ROUND(AR162*(1-Справочники!$B$11),0))</f>
        <v/>
      </c>
      <c r="AT162" s="88"/>
      <c r="AU162" s="90" t="str">
        <f aca="false">IF(AT162="","",ROUND(AT162/(1+Справочники!$B$12),0))</f>
        <v/>
      </c>
      <c r="AV162" s="90" t="str">
        <f aca="false">IF(AT162="","",ROUND(AT162*(1-Справочники!$B$15),0))</f>
        <v/>
      </c>
      <c r="AW162" s="90" t="str">
        <f aca="false">IF(AT162="","",ROUND(AT162*(1-Справочники!$B$16),0))</f>
        <v/>
      </c>
      <c r="AX162" s="90" t="str">
        <f aca="false">IF(AT162="","",ROUND(AT162*(1-Справочники!$B$17),0))</f>
        <v/>
      </c>
      <c r="AY162" s="90" t="str">
        <f aca="false">IF(AT162="","",ROUND(AT162*(1-Справочники!$B$18),0))</f>
        <v/>
      </c>
      <c r="AZ162" s="90" t="str">
        <f aca="false">IF(AT162="","",ROUND(AT162*(1-Справочники!$B$19),0))</f>
        <v/>
      </c>
      <c r="BA162" s="81"/>
      <c r="BB162" s="81"/>
      <c r="BC162" s="81"/>
      <c r="BD162" s="81"/>
      <c r="BE162" s="91"/>
      <c r="BF162" s="81" t="s">
        <v>103</v>
      </c>
      <c r="BG162" s="89" t="n">
        <f aca="false" t="array" ref="BG162:BG162">IF(BF162="","",IFERROR(INDEX(Справочники!$B$4:$B$7,MATCH(BF162,Справочники!$A$4:$A$7,0)),""))</f>
        <v>68.5</v>
      </c>
      <c r="BH162" s="90" t="str">
        <f aca="false">IF(N(BN162)&gt;0,ROUND(SUMIF(ЗАКАЗЫ!$F$3:$F$500,$A162,ЗАКАЗЫ!$Y$3:$Y$500)/BN162,0),IF(OR(BE162="",BG162=""),"",ROUND(BE162*BG162*(1+Справочники!$B$10),0)))</f>
        <v/>
      </c>
      <c r="BI162" s="92" t="str">
        <f aca="false">IF(OR(AU162="",BH162="",AU162=0),"",(AU162-BH162)/AU162)</f>
        <v/>
      </c>
      <c r="BJ162" s="81"/>
      <c r="BK162" s="83"/>
      <c r="BL162" s="43" t="str">
        <f aca="false">IFERROR(INDEX(ЗАКАЗЫ!$N$3:$N$500,MATCH($A162,ЗАКАЗЫ!$F$3:$F$500,0)),"")</f>
        <v/>
      </c>
      <c r="BM162" s="8" t="str">
        <f aca="false">IF(BL162="","",IFERROR(VLOOKUP(BL162,'ТН ВЭД'!$A$4:$C$40,3,0),""))</f>
        <v/>
      </c>
      <c r="BN162" s="7" t="str">
        <f aca="false">IF(COUNTIF(ЗАКАЗЫ!$F$3:$F$500,$A162)=0,"",SUMIF(ЗАКАЗЫ!$F$3:$F$500,$A162,ЗАКАЗЫ!$J$3:$J$500))</f>
        <v/>
      </c>
      <c r="BO162" s="7" t="str">
        <f aca="false">IF(BN162="","",SUMIF(ЗАКАЗЫ!$F$3:$F$500,$A162,ЗАКАЗЫ!$AL$3:$AL$500))</f>
        <v/>
      </c>
      <c r="BP162" s="7" t="str">
        <f aca="false">IF(BN162="","",BN162-BO162)</f>
        <v/>
      </c>
      <c r="BQ162" s="55" t="str">
        <f aca="false">IF(BN162="","",IF(BO162&gt;=BN162,"На складе",IF(BO162&gt;0,"Частично","Ждём")))</f>
        <v/>
      </c>
      <c r="BR162" s="43"/>
      <c r="BS162" s="47" t="str">
        <f aca="false">IF(BN162="","",IF(_xlfn.MAXIFS(ЗАКАЗЫ!$AK$3:$AK$500,ЗАКАЗЫ!$F$3:$F$500,$A162)=0,"",_xlfn.MAXIFS(ЗАКАЗЫ!$AK$3:$AK$500,ЗАКАЗЫ!$F$3:$F$500,$A162)))</f>
        <v/>
      </c>
    </row>
    <row r="163" customFormat="false" ht="15.75" hidden="false" customHeight="true" outlineLevel="0" collapsed="false">
      <c r="A163" s="80" t="s">
        <v>637</v>
      </c>
      <c r="B163" s="81"/>
      <c r="C163" s="81"/>
      <c r="D163" s="81"/>
      <c r="E163" s="83"/>
      <c r="F163" s="81"/>
      <c r="G163" s="83"/>
      <c r="H163" s="83"/>
      <c r="I163" s="84" t="str">
        <f aca="false">IF(E163="","",A163&amp;"_1.jpg")</f>
        <v/>
      </c>
      <c r="J163" s="84" t="str">
        <f aca="false">IF(E163="","",A163&amp;"_2.jpg; "&amp;A163&amp;"_3.jpg")</f>
        <v/>
      </c>
      <c r="K163" s="84" t="str">
        <f aca="false">IF(E163="","",A163&amp;"_schema.jpg")</f>
        <v/>
      </c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 t="s">
        <v>261</v>
      </c>
      <c r="W163" s="81"/>
      <c r="X163" s="81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6" t="str">
        <f aca="false">IF(SUM(Y163:AJ163)=0,"",SUM(Y163:AJ163))</f>
        <v/>
      </c>
      <c r="AL163" s="84" t="str">
        <f aca="false">MID(IF(N(Y163)&gt;0,", "&amp;Y$2,"")&amp;IF(N(Z163)&gt;0,", "&amp;Z$2,"")&amp;IF(N(AA163)&gt;0,", "&amp;AA$2,"")&amp;IF(N(AB163)&gt;0,", "&amp;AB$2,"")&amp;IF(N(AC163)&gt;0,", "&amp;AC$2,"")&amp;IF(N(AD163)&gt;0,", "&amp;AD$2,"")&amp;IF(N(AE163)&gt;0,", "&amp;AE$2,"")&amp;IF(N(AF163)&gt;0,", "&amp;AF$2,"")&amp;IF(N(AG163)&gt;0,", "&amp;AG$2,"")&amp;IF(N(AH163)&gt;0,", "&amp;AH$2,"")&amp;IF(N(AI163)&gt;0,", "&amp;AI$2,"")&amp;IF(N(AJ163)&gt;0,", "&amp;AJ$2,""),3,999)</f>
        <v/>
      </c>
      <c r="AM163" s="87" t="str">
        <f aca="false">IF(E163="","",MID(IF(N(Y163)&gt;0,", "&amp;A163&amp;"-"&amp;Y$2,"")&amp;IF(N(Z163)&gt;0,", "&amp;A163&amp;"-"&amp;Z$2,"")&amp;IF(N(AA163)&gt;0,", "&amp;A163&amp;"-"&amp;AA$2,"")&amp;IF(N(AB163)&gt;0,", "&amp;A163&amp;"-"&amp;AB$2,"")&amp;IF(N(AC163)&gt;0,", "&amp;A163&amp;"-"&amp;AC$2,"")&amp;IF(N(AD163)&gt;0,", "&amp;A163&amp;"-"&amp;AD$2,"")&amp;IF(N(AE163)&gt;0,", "&amp;A163&amp;"-"&amp;AE$2,"")&amp;IF(N(AF163)&gt;0,", "&amp;A163&amp;"-"&amp;AF$2,"")&amp;IF(N(AG163)&gt;0,", "&amp;A163&amp;"-"&amp;AG$2,"")&amp;IF(N(AH163)&gt;0,", "&amp;A163&amp;"-"&amp;AH$2,"")&amp;IF(N(AI163)&gt;0,", "&amp;A163&amp;"-"&amp;AI$2,"")&amp;IF(N(AJ163)&gt;0,", "&amp;A163&amp;"-"&amp;AJ$2,""),3,999))</f>
        <v/>
      </c>
      <c r="AN163" s="81"/>
      <c r="AO163" s="88"/>
      <c r="AP163" s="89" t="str">
        <f aca="false">IF(AO163="","",ROUND(AO163/(1+Справочники!$B$13),2))</f>
        <v/>
      </c>
      <c r="AQ163" s="90" t="str">
        <f aca="false" t="array" ref="AQ163:AQ163">IF(AP163="","",AP163*INDEX(Справочники!$B$4:$B$7,MATCH("RUB",Справочники!$A$4:$A$7,0)))</f>
        <v/>
      </c>
      <c r="AR163" s="90" t="str">
        <f aca="false">IF(AQ163="","",ROUND(AQ163*(1+Справочники!$B$12),0))</f>
        <v/>
      </c>
      <c r="AS163" s="90" t="str">
        <f aca="false">IF(AR163="","",ROUND(AR163*(1-Справочники!$B$11),0))</f>
        <v/>
      </c>
      <c r="AT163" s="88"/>
      <c r="AU163" s="90" t="str">
        <f aca="false">IF(AT163="","",ROUND(AT163/(1+Справочники!$B$12),0))</f>
        <v/>
      </c>
      <c r="AV163" s="90" t="str">
        <f aca="false">IF(AT163="","",ROUND(AT163*(1-Справочники!$B$15),0))</f>
        <v/>
      </c>
      <c r="AW163" s="90" t="str">
        <f aca="false">IF(AT163="","",ROUND(AT163*(1-Справочники!$B$16),0))</f>
        <v/>
      </c>
      <c r="AX163" s="90" t="str">
        <f aca="false">IF(AT163="","",ROUND(AT163*(1-Справочники!$B$17),0))</f>
        <v/>
      </c>
      <c r="AY163" s="90" t="str">
        <f aca="false">IF(AT163="","",ROUND(AT163*(1-Справочники!$B$18),0))</f>
        <v/>
      </c>
      <c r="AZ163" s="90" t="str">
        <f aca="false">IF(AT163="","",ROUND(AT163*(1-Справочники!$B$19),0))</f>
        <v/>
      </c>
      <c r="BA163" s="81"/>
      <c r="BB163" s="81"/>
      <c r="BC163" s="81"/>
      <c r="BD163" s="81"/>
      <c r="BE163" s="91"/>
      <c r="BF163" s="81" t="s">
        <v>103</v>
      </c>
      <c r="BG163" s="89" t="n">
        <f aca="false" t="array" ref="BG163:BG163">IF(BF163="","",IFERROR(INDEX(Справочники!$B$4:$B$7,MATCH(BF163,Справочники!$A$4:$A$7,0)),""))</f>
        <v>68.5</v>
      </c>
      <c r="BH163" s="90" t="str">
        <f aca="false">IF(N(BN163)&gt;0,ROUND(SUMIF(ЗАКАЗЫ!$F$3:$F$500,$A163,ЗАКАЗЫ!$Y$3:$Y$500)/BN163,0),IF(OR(BE163="",BG163=""),"",ROUND(BE163*BG163*(1+Справочники!$B$10),0)))</f>
        <v/>
      </c>
      <c r="BI163" s="92" t="str">
        <f aca="false">IF(OR(AU163="",BH163="",AU163=0),"",(AU163-BH163)/AU163)</f>
        <v/>
      </c>
      <c r="BJ163" s="81"/>
      <c r="BK163" s="83"/>
      <c r="BL163" s="43" t="str">
        <f aca="false">IFERROR(INDEX(ЗАКАЗЫ!$N$3:$N$500,MATCH($A163,ЗАКАЗЫ!$F$3:$F$500,0)),"")</f>
        <v/>
      </c>
      <c r="BM163" s="8" t="str">
        <f aca="false">IF(BL163="","",IFERROR(VLOOKUP(BL163,'ТН ВЭД'!$A$4:$C$40,3,0),""))</f>
        <v/>
      </c>
      <c r="BN163" s="7" t="str">
        <f aca="false">IF(COUNTIF(ЗАКАЗЫ!$F$3:$F$500,$A163)=0,"",SUMIF(ЗАКАЗЫ!$F$3:$F$500,$A163,ЗАКАЗЫ!$J$3:$J$500))</f>
        <v/>
      </c>
      <c r="BO163" s="7" t="str">
        <f aca="false">IF(BN163="","",SUMIF(ЗАКАЗЫ!$F$3:$F$500,$A163,ЗАКАЗЫ!$AL$3:$AL$500))</f>
        <v/>
      </c>
      <c r="BP163" s="7" t="str">
        <f aca="false">IF(BN163="","",BN163-BO163)</f>
        <v/>
      </c>
      <c r="BQ163" s="55" t="str">
        <f aca="false">IF(BN163="","",IF(BO163&gt;=BN163,"На складе",IF(BO163&gt;0,"Частично","Ждём")))</f>
        <v/>
      </c>
      <c r="BR163" s="43"/>
      <c r="BS163" s="47" t="str">
        <f aca="false">IF(BN163="","",IF(_xlfn.MAXIFS(ЗАКАЗЫ!$AK$3:$AK$500,ЗАКАЗЫ!$F$3:$F$500,$A163)=0,"",_xlfn.MAXIFS(ЗАКАЗЫ!$AK$3:$AK$500,ЗАКАЗЫ!$F$3:$F$500,$A163)))</f>
        <v/>
      </c>
    </row>
    <row r="164" customFormat="false" ht="15.75" hidden="false" customHeight="true" outlineLevel="0" collapsed="false">
      <c r="A164" s="80" t="s">
        <v>638</v>
      </c>
      <c r="B164" s="81"/>
      <c r="C164" s="81"/>
      <c r="D164" s="81"/>
      <c r="E164" s="83"/>
      <c r="F164" s="81"/>
      <c r="G164" s="83"/>
      <c r="H164" s="83"/>
      <c r="I164" s="84" t="str">
        <f aca="false">IF(E164="","",A164&amp;"_1.jpg")</f>
        <v/>
      </c>
      <c r="J164" s="84" t="str">
        <f aca="false">IF(E164="","",A164&amp;"_2.jpg; "&amp;A164&amp;"_3.jpg")</f>
        <v/>
      </c>
      <c r="K164" s="84" t="str">
        <f aca="false">IF(E164="","",A164&amp;"_schema.jpg")</f>
        <v/>
      </c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 t="s">
        <v>261</v>
      </c>
      <c r="W164" s="81"/>
      <c r="X164" s="81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6" t="str">
        <f aca="false">IF(SUM(Y164:AJ164)=0,"",SUM(Y164:AJ164))</f>
        <v/>
      </c>
      <c r="AL164" s="84" t="str">
        <f aca="false">MID(IF(N(Y164)&gt;0,", "&amp;Y$2,"")&amp;IF(N(Z164)&gt;0,", "&amp;Z$2,"")&amp;IF(N(AA164)&gt;0,", "&amp;AA$2,"")&amp;IF(N(AB164)&gt;0,", "&amp;AB$2,"")&amp;IF(N(AC164)&gt;0,", "&amp;AC$2,"")&amp;IF(N(AD164)&gt;0,", "&amp;AD$2,"")&amp;IF(N(AE164)&gt;0,", "&amp;AE$2,"")&amp;IF(N(AF164)&gt;0,", "&amp;AF$2,"")&amp;IF(N(AG164)&gt;0,", "&amp;AG$2,"")&amp;IF(N(AH164)&gt;0,", "&amp;AH$2,"")&amp;IF(N(AI164)&gt;0,", "&amp;AI$2,"")&amp;IF(N(AJ164)&gt;0,", "&amp;AJ$2,""),3,999)</f>
        <v/>
      </c>
      <c r="AM164" s="87" t="str">
        <f aca="false">IF(E164="","",MID(IF(N(Y164)&gt;0,", "&amp;A164&amp;"-"&amp;Y$2,"")&amp;IF(N(Z164)&gt;0,", "&amp;A164&amp;"-"&amp;Z$2,"")&amp;IF(N(AA164)&gt;0,", "&amp;A164&amp;"-"&amp;AA$2,"")&amp;IF(N(AB164)&gt;0,", "&amp;A164&amp;"-"&amp;AB$2,"")&amp;IF(N(AC164)&gt;0,", "&amp;A164&amp;"-"&amp;AC$2,"")&amp;IF(N(AD164)&gt;0,", "&amp;A164&amp;"-"&amp;AD$2,"")&amp;IF(N(AE164)&gt;0,", "&amp;A164&amp;"-"&amp;AE$2,"")&amp;IF(N(AF164)&gt;0,", "&amp;A164&amp;"-"&amp;AF$2,"")&amp;IF(N(AG164)&gt;0,", "&amp;A164&amp;"-"&amp;AG$2,"")&amp;IF(N(AH164)&gt;0,", "&amp;A164&amp;"-"&amp;AH$2,"")&amp;IF(N(AI164)&gt;0,", "&amp;A164&amp;"-"&amp;AI$2,"")&amp;IF(N(AJ164)&gt;0,", "&amp;A164&amp;"-"&amp;AJ$2,""),3,999))</f>
        <v/>
      </c>
      <c r="AN164" s="81"/>
      <c r="AO164" s="88"/>
      <c r="AP164" s="89" t="str">
        <f aca="false">IF(AO164="","",ROUND(AO164/(1+Справочники!$B$13),2))</f>
        <v/>
      </c>
      <c r="AQ164" s="90" t="str">
        <f aca="false" t="array" ref="AQ164:AQ164">IF(AP164="","",AP164*INDEX(Справочники!$B$4:$B$7,MATCH("RUB",Справочники!$A$4:$A$7,0)))</f>
        <v/>
      </c>
      <c r="AR164" s="90" t="str">
        <f aca="false">IF(AQ164="","",ROUND(AQ164*(1+Справочники!$B$12),0))</f>
        <v/>
      </c>
      <c r="AS164" s="90" t="str">
        <f aca="false">IF(AR164="","",ROUND(AR164*(1-Справочники!$B$11),0))</f>
        <v/>
      </c>
      <c r="AT164" s="88"/>
      <c r="AU164" s="90" t="str">
        <f aca="false">IF(AT164="","",ROUND(AT164/(1+Справочники!$B$12),0))</f>
        <v/>
      </c>
      <c r="AV164" s="90" t="str">
        <f aca="false">IF(AT164="","",ROUND(AT164*(1-Справочники!$B$15),0))</f>
        <v/>
      </c>
      <c r="AW164" s="90" t="str">
        <f aca="false">IF(AT164="","",ROUND(AT164*(1-Справочники!$B$16),0))</f>
        <v/>
      </c>
      <c r="AX164" s="90" t="str">
        <f aca="false">IF(AT164="","",ROUND(AT164*(1-Справочники!$B$17),0))</f>
        <v/>
      </c>
      <c r="AY164" s="90" t="str">
        <f aca="false">IF(AT164="","",ROUND(AT164*(1-Справочники!$B$18),0))</f>
        <v/>
      </c>
      <c r="AZ164" s="90" t="str">
        <f aca="false">IF(AT164="","",ROUND(AT164*(1-Справочники!$B$19),0))</f>
        <v/>
      </c>
      <c r="BA164" s="81"/>
      <c r="BB164" s="81"/>
      <c r="BC164" s="81"/>
      <c r="BD164" s="81"/>
      <c r="BE164" s="91"/>
      <c r="BF164" s="81" t="s">
        <v>103</v>
      </c>
      <c r="BG164" s="89" t="n">
        <f aca="false" t="array" ref="BG164:BG164">IF(BF164="","",IFERROR(INDEX(Справочники!$B$4:$B$7,MATCH(BF164,Справочники!$A$4:$A$7,0)),""))</f>
        <v>68.5</v>
      </c>
      <c r="BH164" s="90" t="str">
        <f aca="false">IF(N(BN164)&gt;0,ROUND(SUMIF(ЗАКАЗЫ!$F$3:$F$500,$A164,ЗАКАЗЫ!$Y$3:$Y$500)/BN164,0),IF(OR(BE164="",BG164=""),"",ROUND(BE164*BG164*(1+Справочники!$B$10),0)))</f>
        <v/>
      </c>
      <c r="BI164" s="92" t="str">
        <f aca="false">IF(OR(AU164="",BH164="",AU164=0),"",(AU164-BH164)/AU164)</f>
        <v/>
      </c>
      <c r="BJ164" s="81"/>
      <c r="BK164" s="83"/>
      <c r="BL164" s="43" t="str">
        <f aca="false">IFERROR(INDEX(ЗАКАЗЫ!$N$3:$N$500,MATCH($A164,ЗАКАЗЫ!$F$3:$F$500,0)),"")</f>
        <v/>
      </c>
      <c r="BM164" s="8" t="str">
        <f aca="false">IF(BL164="","",IFERROR(VLOOKUP(BL164,'ТН ВЭД'!$A$4:$C$40,3,0),""))</f>
        <v/>
      </c>
      <c r="BN164" s="7" t="str">
        <f aca="false">IF(COUNTIF(ЗАКАЗЫ!$F$3:$F$500,$A164)=0,"",SUMIF(ЗАКАЗЫ!$F$3:$F$500,$A164,ЗАКАЗЫ!$J$3:$J$500))</f>
        <v/>
      </c>
      <c r="BO164" s="7" t="str">
        <f aca="false">IF(BN164="","",SUMIF(ЗАКАЗЫ!$F$3:$F$500,$A164,ЗАКАЗЫ!$AL$3:$AL$500))</f>
        <v/>
      </c>
      <c r="BP164" s="7" t="str">
        <f aca="false">IF(BN164="","",BN164-BO164)</f>
        <v/>
      </c>
      <c r="BQ164" s="55" t="str">
        <f aca="false">IF(BN164="","",IF(BO164&gt;=BN164,"На складе",IF(BO164&gt;0,"Частично","Ждём")))</f>
        <v/>
      </c>
      <c r="BR164" s="43"/>
      <c r="BS164" s="47" t="str">
        <f aca="false">IF(BN164="","",IF(_xlfn.MAXIFS(ЗАКАЗЫ!$AK$3:$AK$500,ЗАКАЗЫ!$F$3:$F$500,$A164)=0,"",_xlfn.MAXIFS(ЗАКАЗЫ!$AK$3:$AK$500,ЗАКАЗЫ!$F$3:$F$500,$A164)))</f>
        <v/>
      </c>
    </row>
    <row r="165" customFormat="false" ht="15.75" hidden="false" customHeight="true" outlineLevel="0" collapsed="false">
      <c r="A165" s="80" t="s">
        <v>639</v>
      </c>
      <c r="B165" s="81"/>
      <c r="C165" s="81"/>
      <c r="D165" s="81"/>
      <c r="E165" s="83"/>
      <c r="F165" s="81"/>
      <c r="G165" s="83"/>
      <c r="H165" s="83"/>
      <c r="I165" s="84" t="str">
        <f aca="false">IF(E165="","",A165&amp;"_1.jpg")</f>
        <v/>
      </c>
      <c r="J165" s="84" t="str">
        <f aca="false">IF(E165="","",A165&amp;"_2.jpg; "&amp;A165&amp;"_3.jpg")</f>
        <v/>
      </c>
      <c r="K165" s="84" t="str">
        <f aca="false">IF(E165="","",A165&amp;"_schema.jpg")</f>
        <v/>
      </c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 t="s">
        <v>261</v>
      </c>
      <c r="W165" s="81"/>
      <c r="X165" s="81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6" t="str">
        <f aca="false">IF(SUM(Y165:AJ165)=0,"",SUM(Y165:AJ165))</f>
        <v/>
      </c>
      <c r="AL165" s="84" t="str">
        <f aca="false">MID(IF(N(Y165)&gt;0,", "&amp;Y$2,"")&amp;IF(N(Z165)&gt;0,", "&amp;Z$2,"")&amp;IF(N(AA165)&gt;0,", "&amp;AA$2,"")&amp;IF(N(AB165)&gt;0,", "&amp;AB$2,"")&amp;IF(N(AC165)&gt;0,", "&amp;AC$2,"")&amp;IF(N(AD165)&gt;0,", "&amp;AD$2,"")&amp;IF(N(AE165)&gt;0,", "&amp;AE$2,"")&amp;IF(N(AF165)&gt;0,", "&amp;AF$2,"")&amp;IF(N(AG165)&gt;0,", "&amp;AG$2,"")&amp;IF(N(AH165)&gt;0,", "&amp;AH$2,"")&amp;IF(N(AI165)&gt;0,", "&amp;AI$2,"")&amp;IF(N(AJ165)&gt;0,", "&amp;AJ$2,""),3,999)</f>
        <v/>
      </c>
      <c r="AM165" s="87" t="str">
        <f aca="false">IF(E165="","",MID(IF(N(Y165)&gt;0,", "&amp;A165&amp;"-"&amp;Y$2,"")&amp;IF(N(Z165)&gt;0,", "&amp;A165&amp;"-"&amp;Z$2,"")&amp;IF(N(AA165)&gt;0,", "&amp;A165&amp;"-"&amp;AA$2,"")&amp;IF(N(AB165)&gt;0,", "&amp;A165&amp;"-"&amp;AB$2,"")&amp;IF(N(AC165)&gt;0,", "&amp;A165&amp;"-"&amp;AC$2,"")&amp;IF(N(AD165)&gt;0,", "&amp;A165&amp;"-"&amp;AD$2,"")&amp;IF(N(AE165)&gt;0,", "&amp;A165&amp;"-"&amp;AE$2,"")&amp;IF(N(AF165)&gt;0,", "&amp;A165&amp;"-"&amp;AF$2,"")&amp;IF(N(AG165)&gt;0,", "&amp;A165&amp;"-"&amp;AG$2,"")&amp;IF(N(AH165)&gt;0,", "&amp;A165&amp;"-"&amp;AH$2,"")&amp;IF(N(AI165)&gt;0,", "&amp;A165&amp;"-"&amp;AI$2,"")&amp;IF(N(AJ165)&gt;0,", "&amp;A165&amp;"-"&amp;AJ$2,""),3,999))</f>
        <v/>
      </c>
      <c r="AN165" s="81"/>
      <c r="AO165" s="88"/>
      <c r="AP165" s="89" t="str">
        <f aca="false">IF(AO165="","",ROUND(AO165/(1+Справочники!$B$13),2))</f>
        <v/>
      </c>
      <c r="AQ165" s="90" t="str">
        <f aca="false" t="array" ref="AQ165:AQ165">IF(AP165="","",AP165*INDEX(Справочники!$B$4:$B$7,MATCH("RUB",Справочники!$A$4:$A$7,0)))</f>
        <v/>
      </c>
      <c r="AR165" s="90" t="str">
        <f aca="false">IF(AQ165="","",ROUND(AQ165*(1+Справочники!$B$12),0))</f>
        <v/>
      </c>
      <c r="AS165" s="90" t="str">
        <f aca="false">IF(AR165="","",ROUND(AR165*(1-Справочники!$B$11),0))</f>
        <v/>
      </c>
      <c r="AT165" s="88"/>
      <c r="AU165" s="90" t="str">
        <f aca="false">IF(AT165="","",ROUND(AT165/(1+Справочники!$B$12),0))</f>
        <v/>
      </c>
      <c r="AV165" s="90" t="str">
        <f aca="false">IF(AT165="","",ROUND(AT165*(1-Справочники!$B$15),0))</f>
        <v/>
      </c>
      <c r="AW165" s="90" t="str">
        <f aca="false">IF(AT165="","",ROUND(AT165*(1-Справочники!$B$16),0))</f>
        <v/>
      </c>
      <c r="AX165" s="90" t="str">
        <f aca="false">IF(AT165="","",ROUND(AT165*(1-Справочники!$B$17),0))</f>
        <v/>
      </c>
      <c r="AY165" s="90" t="str">
        <f aca="false">IF(AT165="","",ROUND(AT165*(1-Справочники!$B$18),0))</f>
        <v/>
      </c>
      <c r="AZ165" s="90" t="str">
        <f aca="false">IF(AT165="","",ROUND(AT165*(1-Справочники!$B$19),0))</f>
        <v/>
      </c>
      <c r="BA165" s="81"/>
      <c r="BB165" s="81"/>
      <c r="BC165" s="81"/>
      <c r="BD165" s="81"/>
      <c r="BE165" s="91"/>
      <c r="BF165" s="81" t="s">
        <v>103</v>
      </c>
      <c r="BG165" s="89" t="n">
        <f aca="false" t="array" ref="BG165:BG165">IF(BF165="","",IFERROR(INDEX(Справочники!$B$4:$B$7,MATCH(BF165,Справочники!$A$4:$A$7,0)),""))</f>
        <v>68.5</v>
      </c>
      <c r="BH165" s="90" t="str">
        <f aca="false">IF(N(BN165)&gt;0,ROUND(SUMIF(ЗАКАЗЫ!$F$3:$F$500,$A165,ЗАКАЗЫ!$Y$3:$Y$500)/BN165,0),IF(OR(BE165="",BG165=""),"",ROUND(BE165*BG165*(1+Справочники!$B$10),0)))</f>
        <v/>
      </c>
      <c r="BI165" s="92" t="str">
        <f aca="false">IF(OR(AU165="",BH165="",AU165=0),"",(AU165-BH165)/AU165)</f>
        <v/>
      </c>
      <c r="BJ165" s="81"/>
      <c r="BK165" s="83"/>
      <c r="BL165" s="43" t="str">
        <f aca="false">IFERROR(INDEX(ЗАКАЗЫ!$N$3:$N$500,MATCH($A165,ЗАКАЗЫ!$F$3:$F$500,0)),"")</f>
        <v/>
      </c>
      <c r="BM165" s="8" t="str">
        <f aca="false">IF(BL165="","",IFERROR(VLOOKUP(BL165,'ТН ВЭД'!$A$4:$C$40,3,0),""))</f>
        <v/>
      </c>
      <c r="BN165" s="7" t="str">
        <f aca="false">IF(COUNTIF(ЗАКАЗЫ!$F$3:$F$500,$A165)=0,"",SUMIF(ЗАКАЗЫ!$F$3:$F$500,$A165,ЗАКАЗЫ!$J$3:$J$500))</f>
        <v/>
      </c>
      <c r="BO165" s="7" t="str">
        <f aca="false">IF(BN165="","",SUMIF(ЗАКАЗЫ!$F$3:$F$500,$A165,ЗАКАЗЫ!$AL$3:$AL$500))</f>
        <v/>
      </c>
      <c r="BP165" s="7" t="str">
        <f aca="false">IF(BN165="","",BN165-BO165)</f>
        <v/>
      </c>
      <c r="BQ165" s="55" t="str">
        <f aca="false">IF(BN165="","",IF(BO165&gt;=BN165,"На складе",IF(BO165&gt;0,"Частично","Ждём")))</f>
        <v/>
      </c>
      <c r="BR165" s="43"/>
      <c r="BS165" s="47" t="str">
        <f aca="false">IF(BN165="","",IF(_xlfn.MAXIFS(ЗАКАЗЫ!$AK$3:$AK$500,ЗАКАЗЫ!$F$3:$F$500,$A165)=0,"",_xlfn.MAXIFS(ЗАКАЗЫ!$AK$3:$AK$500,ЗАКАЗЫ!$F$3:$F$500,$A165)))</f>
        <v/>
      </c>
    </row>
    <row r="166" customFormat="false" ht="15.75" hidden="false" customHeight="true" outlineLevel="0" collapsed="false">
      <c r="A166" s="80" t="s">
        <v>640</v>
      </c>
      <c r="B166" s="81"/>
      <c r="C166" s="81"/>
      <c r="D166" s="81"/>
      <c r="E166" s="83"/>
      <c r="F166" s="81"/>
      <c r="G166" s="83"/>
      <c r="H166" s="83"/>
      <c r="I166" s="84" t="str">
        <f aca="false">IF(E166="","",A166&amp;"_1.jpg")</f>
        <v/>
      </c>
      <c r="J166" s="84" t="str">
        <f aca="false">IF(E166="","",A166&amp;"_2.jpg; "&amp;A166&amp;"_3.jpg")</f>
        <v/>
      </c>
      <c r="K166" s="84" t="str">
        <f aca="false">IF(E166="","",A166&amp;"_schema.jpg")</f>
        <v/>
      </c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 t="s">
        <v>261</v>
      </c>
      <c r="W166" s="81"/>
      <c r="X166" s="81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6" t="str">
        <f aca="false">IF(SUM(Y166:AJ166)=0,"",SUM(Y166:AJ166))</f>
        <v/>
      </c>
      <c r="AL166" s="84" t="str">
        <f aca="false">MID(IF(N(Y166)&gt;0,", "&amp;Y$2,"")&amp;IF(N(Z166)&gt;0,", "&amp;Z$2,"")&amp;IF(N(AA166)&gt;0,", "&amp;AA$2,"")&amp;IF(N(AB166)&gt;0,", "&amp;AB$2,"")&amp;IF(N(AC166)&gt;0,", "&amp;AC$2,"")&amp;IF(N(AD166)&gt;0,", "&amp;AD$2,"")&amp;IF(N(AE166)&gt;0,", "&amp;AE$2,"")&amp;IF(N(AF166)&gt;0,", "&amp;AF$2,"")&amp;IF(N(AG166)&gt;0,", "&amp;AG$2,"")&amp;IF(N(AH166)&gt;0,", "&amp;AH$2,"")&amp;IF(N(AI166)&gt;0,", "&amp;AI$2,"")&amp;IF(N(AJ166)&gt;0,", "&amp;AJ$2,""),3,999)</f>
        <v/>
      </c>
      <c r="AM166" s="87" t="str">
        <f aca="false">IF(E166="","",MID(IF(N(Y166)&gt;0,", "&amp;A166&amp;"-"&amp;Y$2,"")&amp;IF(N(Z166)&gt;0,", "&amp;A166&amp;"-"&amp;Z$2,"")&amp;IF(N(AA166)&gt;0,", "&amp;A166&amp;"-"&amp;AA$2,"")&amp;IF(N(AB166)&gt;0,", "&amp;A166&amp;"-"&amp;AB$2,"")&amp;IF(N(AC166)&gt;0,", "&amp;A166&amp;"-"&amp;AC$2,"")&amp;IF(N(AD166)&gt;0,", "&amp;A166&amp;"-"&amp;AD$2,"")&amp;IF(N(AE166)&gt;0,", "&amp;A166&amp;"-"&amp;AE$2,"")&amp;IF(N(AF166)&gt;0,", "&amp;A166&amp;"-"&amp;AF$2,"")&amp;IF(N(AG166)&gt;0,", "&amp;A166&amp;"-"&amp;AG$2,"")&amp;IF(N(AH166)&gt;0,", "&amp;A166&amp;"-"&amp;AH$2,"")&amp;IF(N(AI166)&gt;0,", "&amp;A166&amp;"-"&amp;AI$2,"")&amp;IF(N(AJ166)&gt;0,", "&amp;A166&amp;"-"&amp;AJ$2,""),3,999))</f>
        <v/>
      </c>
      <c r="AN166" s="81"/>
      <c r="AO166" s="88"/>
      <c r="AP166" s="89" t="str">
        <f aca="false">IF(AO166="","",ROUND(AO166/(1+Справочники!$B$13),2))</f>
        <v/>
      </c>
      <c r="AQ166" s="90" t="str">
        <f aca="false" t="array" ref="AQ166:AQ166">IF(AP166="","",AP166*INDEX(Справочники!$B$4:$B$7,MATCH("RUB",Справочники!$A$4:$A$7,0)))</f>
        <v/>
      </c>
      <c r="AR166" s="90" t="str">
        <f aca="false">IF(AQ166="","",ROUND(AQ166*(1+Справочники!$B$12),0))</f>
        <v/>
      </c>
      <c r="AS166" s="90" t="str">
        <f aca="false">IF(AR166="","",ROUND(AR166*(1-Справочники!$B$11),0))</f>
        <v/>
      </c>
      <c r="AT166" s="88"/>
      <c r="AU166" s="90" t="str">
        <f aca="false">IF(AT166="","",ROUND(AT166/(1+Справочники!$B$12),0))</f>
        <v/>
      </c>
      <c r="AV166" s="90" t="str">
        <f aca="false">IF(AT166="","",ROUND(AT166*(1-Справочники!$B$15),0))</f>
        <v/>
      </c>
      <c r="AW166" s="90" t="str">
        <f aca="false">IF(AT166="","",ROUND(AT166*(1-Справочники!$B$16),0))</f>
        <v/>
      </c>
      <c r="AX166" s="90" t="str">
        <f aca="false">IF(AT166="","",ROUND(AT166*(1-Справочники!$B$17),0))</f>
        <v/>
      </c>
      <c r="AY166" s="90" t="str">
        <f aca="false">IF(AT166="","",ROUND(AT166*(1-Справочники!$B$18),0))</f>
        <v/>
      </c>
      <c r="AZ166" s="90" t="str">
        <f aca="false">IF(AT166="","",ROUND(AT166*(1-Справочники!$B$19),0))</f>
        <v/>
      </c>
      <c r="BA166" s="81"/>
      <c r="BB166" s="81"/>
      <c r="BC166" s="81"/>
      <c r="BD166" s="81"/>
      <c r="BE166" s="91"/>
      <c r="BF166" s="81" t="s">
        <v>103</v>
      </c>
      <c r="BG166" s="89" t="n">
        <f aca="false" t="array" ref="BG166:BG166">IF(BF166="","",IFERROR(INDEX(Справочники!$B$4:$B$7,MATCH(BF166,Справочники!$A$4:$A$7,0)),""))</f>
        <v>68.5</v>
      </c>
      <c r="BH166" s="90" t="str">
        <f aca="false">IF(N(BN166)&gt;0,ROUND(SUMIF(ЗАКАЗЫ!$F$3:$F$500,$A166,ЗАКАЗЫ!$Y$3:$Y$500)/BN166,0),IF(OR(BE166="",BG166=""),"",ROUND(BE166*BG166*(1+Справочники!$B$10),0)))</f>
        <v/>
      </c>
      <c r="BI166" s="92" t="str">
        <f aca="false">IF(OR(AU166="",BH166="",AU166=0),"",(AU166-BH166)/AU166)</f>
        <v/>
      </c>
      <c r="BJ166" s="81"/>
      <c r="BK166" s="83"/>
      <c r="BL166" s="43" t="str">
        <f aca="false">IFERROR(INDEX(ЗАКАЗЫ!$N$3:$N$500,MATCH($A166,ЗАКАЗЫ!$F$3:$F$500,0)),"")</f>
        <v/>
      </c>
      <c r="BM166" s="8" t="str">
        <f aca="false">IF(BL166="","",IFERROR(VLOOKUP(BL166,'ТН ВЭД'!$A$4:$C$40,3,0),""))</f>
        <v/>
      </c>
      <c r="BN166" s="7" t="str">
        <f aca="false">IF(COUNTIF(ЗАКАЗЫ!$F$3:$F$500,$A166)=0,"",SUMIF(ЗАКАЗЫ!$F$3:$F$500,$A166,ЗАКАЗЫ!$J$3:$J$500))</f>
        <v/>
      </c>
      <c r="BO166" s="7" t="str">
        <f aca="false">IF(BN166="","",SUMIF(ЗАКАЗЫ!$F$3:$F$500,$A166,ЗАКАЗЫ!$AL$3:$AL$500))</f>
        <v/>
      </c>
      <c r="BP166" s="7" t="str">
        <f aca="false">IF(BN166="","",BN166-BO166)</f>
        <v/>
      </c>
      <c r="BQ166" s="55" t="str">
        <f aca="false">IF(BN166="","",IF(BO166&gt;=BN166,"На складе",IF(BO166&gt;0,"Частично","Ждём")))</f>
        <v/>
      </c>
      <c r="BR166" s="43"/>
      <c r="BS166" s="47" t="str">
        <f aca="false">IF(BN166="","",IF(_xlfn.MAXIFS(ЗАКАЗЫ!$AK$3:$AK$500,ЗАКАЗЫ!$F$3:$F$500,$A166)=0,"",_xlfn.MAXIFS(ЗАКАЗЫ!$AK$3:$AK$500,ЗАКАЗЫ!$F$3:$F$500,$A166)))</f>
        <v/>
      </c>
    </row>
    <row r="167" customFormat="false" ht="15.75" hidden="false" customHeight="true" outlineLevel="0" collapsed="false">
      <c r="A167" s="80" t="s">
        <v>641</v>
      </c>
      <c r="B167" s="81"/>
      <c r="C167" s="81"/>
      <c r="D167" s="81"/>
      <c r="E167" s="83"/>
      <c r="F167" s="81"/>
      <c r="G167" s="83"/>
      <c r="H167" s="83"/>
      <c r="I167" s="84" t="str">
        <f aca="false">IF(E167="","",A167&amp;"_1.jpg")</f>
        <v/>
      </c>
      <c r="J167" s="84" t="str">
        <f aca="false">IF(E167="","",A167&amp;"_2.jpg; "&amp;A167&amp;"_3.jpg")</f>
        <v/>
      </c>
      <c r="K167" s="84" t="str">
        <f aca="false">IF(E167="","",A167&amp;"_schema.jpg")</f>
        <v/>
      </c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 t="s">
        <v>261</v>
      </c>
      <c r="W167" s="81"/>
      <c r="X167" s="81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6" t="str">
        <f aca="false">IF(SUM(Y167:AJ167)=0,"",SUM(Y167:AJ167))</f>
        <v/>
      </c>
      <c r="AL167" s="84" t="str">
        <f aca="false">MID(IF(N(Y167)&gt;0,", "&amp;Y$2,"")&amp;IF(N(Z167)&gt;0,", "&amp;Z$2,"")&amp;IF(N(AA167)&gt;0,", "&amp;AA$2,"")&amp;IF(N(AB167)&gt;0,", "&amp;AB$2,"")&amp;IF(N(AC167)&gt;0,", "&amp;AC$2,"")&amp;IF(N(AD167)&gt;0,", "&amp;AD$2,"")&amp;IF(N(AE167)&gt;0,", "&amp;AE$2,"")&amp;IF(N(AF167)&gt;0,", "&amp;AF$2,"")&amp;IF(N(AG167)&gt;0,", "&amp;AG$2,"")&amp;IF(N(AH167)&gt;0,", "&amp;AH$2,"")&amp;IF(N(AI167)&gt;0,", "&amp;AI$2,"")&amp;IF(N(AJ167)&gt;0,", "&amp;AJ$2,""),3,999)</f>
        <v/>
      </c>
      <c r="AM167" s="87" t="str">
        <f aca="false">IF(E167="","",MID(IF(N(Y167)&gt;0,", "&amp;A167&amp;"-"&amp;Y$2,"")&amp;IF(N(Z167)&gt;0,", "&amp;A167&amp;"-"&amp;Z$2,"")&amp;IF(N(AA167)&gt;0,", "&amp;A167&amp;"-"&amp;AA$2,"")&amp;IF(N(AB167)&gt;0,", "&amp;A167&amp;"-"&amp;AB$2,"")&amp;IF(N(AC167)&gt;0,", "&amp;A167&amp;"-"&amp;AC$2,"")&amp;IF(N(AD167)&gt;0,", "&amp;A167&amp;"-"&amp;AD$2,"")&amp;IF(N(AE167)&gt;0,", "&amp;A167&amp;"-"&amp;AE$2,"")&amp;IF(N(AF167)&gt;0,", "&amp;A167&amp;"-"&amp;AF$2,"")&amp;IF(N(AG167)&gt;0,", "&amp;A167&amp;"-"&amp;AG$2,"")&amp;IF(N(AH167)&gt;0,", "&amp;A167&amp;"-"&amp;AH$2,"")&amp;IF(N(AI167)&gt;0,", "&amp;A167&amp;"-"&amp;AI$2,"")&amp;IF(N(AJ167)&gt;0,", "&amp;A167&amp;"-"&amp;AJ$2,""),3,999))</f>
        <v/>
      </c>
      <c r="AN167" s="81"/>
      <c r="AO167" s="88"/>
      <c r="AP167" s="89" t="str">
        <f aca="false">IF(AO167="","",ROUND(AO167/(1+Справочники!$B$13),2))</f>
        <v/>
      </c>
      <c r="AQ167" s="90" t="str">
        <f aca="false" t="array" ref="AQ167:AQ167">IF(AP167="","",AP167*INDEX(Справочники!$B$4:$B$7,MATCH("RUB",Справочники!$A$4:$A$7,0)))</f>
        <v/>
      </c>
      <c r="AR167" s="90" t="str">
        <f aca="false">IF(AQ167="","",ROUND(AQ167*(1+Справочники!$B$12),0))</f>
        <v/>
      </c>
      <c r="AS167" s="90" t="str">
        <f aca="false">IF(AR167="","",ROUND(AR167*(1-Справочники!$B$11),0))</f>
        <v/>
      </c>
      <c r="AT167" s="88"/>
      <c r="AU167" s="90" t="str">
        <f aca="false">IF(AT167="","",ROUND(AT167/(1+Справочники!$B$12),0))</f>
        <v/>
      </c>
      <c r="AV167" s="90" t="str">
        <f aca="false">IF(AT167="","",ROUND(AT167*(1-Справочники!$B$15),0))</f>
        <v/>
      </c>
      <c r="AW167" s="90" t="str">
        <f aca="false">IF(AT167="","",ROUND(AT167*(1-Справочники!$B$16),0))</f>
        <v/>
      </c>
      <c r="AX167" s="90" t="str">
        <f aca="false">IF(AT167="","",ROUND(AT167*(1-Справочники!$B$17),0))</f>
        <v/>
      </c>
      <c r="AY167" s="90" t="str">
        <f aca="false">IF(AT167="","",ROUND(AT167*(1-Справочники!$B$18),0))</f>
        <v/>
      </c>
      <c r="AZ167" s="90" t="str">
        <f aca="false">IF(AT167="","",ROUND(AT167*(1-Справочники!$B$19),0))</f>
        <v/>
      </c>
      <c r="BA167" s="81"/>
      <c r="BB167" s="81"/>
      <c r="BC167" s="81"/>
      <c r="BD167" s="81"/>
      <c r="BE167" s="91"/>
      <c r="BF167" s="81" t="s">
        <v>103</v>
      </c>
      <c r="BG167" s="89" t="n">
        <f aca="false" t="array" ref="BG167:BG167">IF(BF167="","",IFERROR(INDEX(Справочники!$B$4:$B$7,MATCH(BF167,Справочники!$A$4:$A$7,0)),""))</f>
        <v>68.5</v>
      </c>
      <c r="BH167" s="90" t="str">
        <f aca="false">IF(N(BN167)&gt;0,ROUND(SUMIF(ЗАКАЗЫ!$F$3:$F$500,$A167,ЗАКАЗЫ!$Y$3:$Y$500)/BN167,0),IF(OR(BE167="",BG167=""),"",ROUND(BE167*BG167*(1+Справочники!$B$10),0)))</f>
        <v/>
      </c>
      <c r="BI167" s="92" t="str">
        <f aca="false">IF(OR(AU167="",BH167="",AU167=0),"",(AU167-BH167)/AU167)</f>
        <v/>
      </c>
      <c r="BJ167" s="81"/>
      <c r="BK167" s="83"/>
      <c r="BL167" s="43" t="str">
        <f aca="false">IFERROR(INDEX(ЗАКАЗЫ!$N$3:$N$500,MATCH($A167,ЗАКАЗЫ!$F$3:$F$500,0)),"")</f>
        <v/>
      </c>
      <c r="BM167" s="8" t="str">
        <f aca="false">IF(BL167="","",IFERROR(VLOOKUP(BL167,'ТН ВЭД'!$A$4:$C$40,3,0),""))</f>
        <v/>
      </c>
      <c r="BN167" s="7" t="str">
        <f aca="false">IF(COUNTIF(ЗАКАЗЫ!$F$3:$F$500,$A167)=0,"",SUMIF(ЗАКАЗЫ!$F$3:$F$500,$A167,ЗАКАЗЫ!$J$3:$J$500))</f>
        <v/>
      </c>
      <c r="BO167" s="7" t="str">
        <f aca="false">IF(BN167="","",SUMIF(ЗАКАЗЫ!$F$3:$F$500,$A167,ЗАКАЗЫ!$AL$3:$AL$500))</f>
        <v/>
      </c>
      <c r="BP167" s="7" t="str">
        <f aca="false">IF(BN167="","",BN167-BO167)</f>
        <v/>
      </c>
      <c r="BQ167" s="55" t="str">
        <f aca="false">IF(BN167="","",IF(BO167&gt;=BN167,"На складе",IF(BO167&gt;0,"Частично","Ждём")))</f>
        <v/>
      </c>
      <c r="BR167" s="43"/>
      <c r="BS167" s="47" t="str">
        <f aca="false">IF(BN167="","",IF(_xlfn.MAXIFS(ЗАКАЗЫ!$AK$3:$AK$500,ЗАКАЗЫ!$F$3:$F$500,$A167)=0,"",_xlfn.MAXIFS(ЗАКАЗЫ!$AK$3:$AK$500,ЗАКАЗЫ!$F$3:$F$500,$A167)))</f>
        <v/>
      </c>
    </row>
    <row r="168" customFormat="false" ht="15.75" hidden="false" customHeight="true" outlineLevel="0" collapsed="false">
      <c r="A168" s="80" t="s">
        <v>642</v>
      </c>
      <c r="B168" s="81"/>
      <c r="C168" s="81"/>
      <c r="D168" s="81"/>
      <c r="E168" s="83"/>
      <c r="F168" s="81"/>
      <c r="G168" s="83"/>
      <c r="H168" s="83"/>
      <c r="I168" s="84" t="str">
        <f aca="false">IF(E168="","",A168&amp;"_1.jpg")</f>
        <v/>
      </c>
      <c r="J168" s="84" t="str">
        <f aca="false">IF(E168="","",A168&amp;"_2.jpg; "&amp;A168&amp;"_3.jpg")</f>
        <v/>
      </c>
      <c r="K168" s="84" t="str">
        <f aca="false">IF(E168="","",A168&amp;"_schema.jpg")</f>
        <v/>
      </c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 t="s">
        <v>261</v>
      </c>
      <c r="W168" s="81"/>
      <c r="X168" s="81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6" t="str">
        <f aca="false">IF(SUM(Y168:AJ168)=0,"",SUM(Y168:AJ168))</f>
        <v/>
      </c>
      <c r="AL168" s="84" t="str">
        <f aca="false">MID(IF(N(Y168)&gt;0,", "&amp;Y$2,"")&amp;IF(N(Z168)&gt;0,", "&amp;Z$2,"")&amp;IF(N(AA168)&gt;0,", "&amp;AA$2,"")&amp;IF(N(AB168)&gt;0,", "&amp;AB$2,"")&amp;IF(N(AC168)&gt;0,", "&amp;AC$2,"")&amp;IF(N(AD168)&gt;0,", "&amp;AD$2,"")&amp;IF(N(AE168)&gt;0,", "&amp;AE$2,"")&amp;IF(N(AF168)&gt;0,", "&amp;AF$2,"")&amp;IF(N(AG168)&gt;0,", "&amp;AG$2,"")&amp;IF(N(AH168)&gt;0,", "&amp;AH$2,"")&amp;IF(N(AI168)&gt;0,", "&amp;AI$2,"")&amp;IF(N(AJ168)&gt;0,", "&amp;AJ$2,""),3,999)</f>
        <v/>
      </c>
      <c r="AM168" s="87" t="str">
        <f aca="false">IF(E168="","",MID(IF(N(Y168)&gt;0,", "&amp;A168&amp;"-"&amp;Y$2,"")&amp;IF(N(Z168)&gt;0,", "&amp;A168&amp;"-"&amp;Z$2,"")&amp;IF(N(AA168)&gt;0,", "&amp;A168&amp;"-"&amp;AA$2,"")&amp;IF(N(AB168)&gt;0,", "&amp;A168&amp;"-"&amp;AB$2,"")&amp;IF(N(AC168)&gt;0,", "&amp;A168&amp;"-"&amp;AC$2,"")&amp;IF(N(AD168)&gt;0,", "&amp;A168&amp;"-"&amp;AD$2,"")&amp;IF(N(AE168)&gt;0,", "&amp;A168&amp;"-"&amp;AE$2,"")&amp;IF(N(AF168)&gt;0,", "&amp;A168&amp;"-"&amp;AF$2,"")&amp;IF(N(AG168)&gt;0,", "&amp;A168&amp;"-"&amp;AG$2,"")&amp;IF(N(AH168)&gt;0,", "&amp;A168&amp;"-"&amp;AH$2,"")&amp;IF(N(AI168)&gt;0,", "&amp;A168&amp;"-"&amp;AI$2,"")&amp;IF(N(AJ168)&gt;0,", "&amp;A168&amp;"-"&amp;AJ$2,""),3,999))</f>
        <v/>
      </c>
      <c r="AN168" s="81"/>
      <c r="AO168" s="88"/>
      <c r="AP168" s="89" t="str">
        <f aca="false">IF(AO168="","",ROUND(AO168/(1+Справочники!$B$13),2))</f>
        <v/>
      </c>
      <c r="AQ168" s="90" t="str">
        <f aca="false" t="array" ref="AQ168:AQ168">IF(AP168="","",AP168*INDEX(Справочники!$B$4:$B$7,MATCH("RUB",Справочники!$A$4:$A$7,0)))</f>
        <v/>
      </c>
      <c r="AR168" s="90" t="str">
        <f aca="false">IF(AQ168="","",ROUND(AQ168*(1+Справочники!$B$12),0))</f>
        <v/>
      </c>
      <c r="AS168" s="90" t="str">
        <f aca="false">IF(AR168="","",ROUND(AR168*(1-Справочники!$B$11),0))</f>
        <v/>
      </c>
      <c r="AT168" s="88"/>
      <c r="AU168" s="90" t="str">
        <f aca="false">IF(AT168="","",ROUND(AT168/(1+Справочники!$B$12),0))</f>
        <v/>
      </c>
      <c r="AV168" s="90" t="str">
        <f aca="false">IF(AT168="","",ROUND(AT168*(1-Справочники!$B$15),0))</f>
        <v/>
      </c>
      <c r="AW168" s="90" t="str">
        <f aca="false">IF(AT168="","",ROUND(AT168*(1-Справочники!$B$16),0))</f>
        <v/>
      </c>
      <c r="AX168" s="90" t="str">
        <f aca="false">IF(AT168="","",ROUND(AT168*(1-Справочники!$B$17),0))</f>
        <v/>
      </c>
      <c r="AY168" s="90" t="str">
        <f aca="false">IF(AT168="","",ROUND(AT168*(1-Справочники!$B$18),0))</f>
        <v/>
      </c>
      <c r="AZ168" s="90" t="str">
        <f aca="false">IF(AT168="","",ROUND(AT168*(1-Справочники!$B$19),0))</f>
        <v/>
      </c>
      <c r="BA168" s="81"/>
      <c r="BB168" s="81"/>
      <c r="BC168" s="81"/>
      <c r="BD168" s="81"/>
      <c r="BE168" s="91"/>
      <c r="BF168" s="81" t="s">
        <v>103</v>
      </c>
      <c r="BG168" s="89" t="n">
        <f aca="false" t="array" ref="BG168:BG168">IF(BF168="","",IFERROR(INDEX(Справочники!$B$4:$B$7,MATCH(BF168,Справочники!$A$4:$A$7,0)),""))</f>
        <v>68.5</v>
      </c>
      <c r="BH168" s="90" t="str">
        <f aca="false">IF(N(BN168)&gt;0,ROUND(SUMIF(ЗАКАЗЫ!$F$3:$F$500,$A168,ЗАКАЗЫ!$Y$3:$Y$500)/BN168,0),IF(OR(BE168="",BG168=""),"",ROUND(BE168*BG168*(1+Справочники!$B$10),0)))</f>
        <v/>
      </c>
      <c r="BI168" s="92" t="str">
        <f aca="false">IF(OR(AU168="",BH168="",AU168=0),"",(AU168-BH168)/AU168)</f>
        <v/>
      </c>
      <c r="BJ168" s="81"/>
      <c r="BK168" s="83"/>
      <c r="BL168" s="43" t="str">
        <f aca="false">IFERROR(INDEX(ЗАКАЗЫ!$N$3:$N$500,MATCH($A168,ЗАКАЗЫ!$F$3:$F$500,0)),"")</f>
        <v/>
      </c>
      <c r="BM168" s="8" t="str">
        <f aca="false">IF(BL168="","",IFERROR(VLOOKUP(BL168,'ТН ВЭД'!$A$4:$C$40,3,0),""))</f>
        <v/>
      </c>
      <c r="BN168" s="7" t="str">
        <f aca="false">IF(COUNTIF(ЗАКАЗЫ!$F$3:$F$500,$A168)=0,"",SUMIF(ЗАКАЗЫ!$F$3:$F$500,$A168,ЗАКАЗЫ!$J$3:$J$500))</f>
        <v/>
      </c>
      <c r="BO168" s="7" t="str">
        <f aca="false">IF(BN168="","",SUMIF(ЗАКАЗЫ!$F$3:$F$500,$A168,ЗАКАЗЫ!$AL$3:$AL$500))</f>
        <v/>
      </c>
      <c r="BP168" s="7" t="str">
        <f aca="false">IF(BN168="","",BN168-BO168)</f>
        <v/>
      </c>
      <c r="BQ168" s="55" t="str">
        <f aca="false">IF(BN168="","",IF(BO168&gt;=BN168,"На складе",IF(BO168&gt;0,"Частично","Ждём")))</f>
        <v/>
      </c>
      <c r="BR168" s="43"/>
      <c r="BS168" s="47" t="str">
        <f aca="false">IF(BN168="","",IF(_xlfn.MAXIFS(ЗАКАЗЫ!$AK$3:$AK$500,ЗАКАЗЫ!$F$3:$F$500,$A168)=0,"",_xlfn.MAXIFS(ЗАКАЗЫ!$AK$3:$AK$500,ЗАКАЗЫ!$F$3:$F$500,$A168)))</f>
        <v/>
      </c>
    </row>
    <row r="169" customFormat="false" ht="15.75" hidden="false" customHeight="true" outlineLevel="0" collapsed="false">
      <c r="A169" s="80" t="s">
        <v>643</v>
      </c>
      <c r="B169" s="81"/>
      <c r="C169" s="81"/>
      <c r="D169" s="81"/>
      <c r="E169" s="83"/>
      <c r="F169" s="81"/>
      <c r="G169" s="83"/>
      <c r="H169" s="83"/>
      <c r="I169" s="84" t="str">
        <f aca="false">IF(E169="","",A169&amp;"_1.jpg")</f>
        <v/>
      </c>
      <c r="J169" s="84" t="str">
        <f aca="false">IF(E169="","",A169&amp;"_2.jpg; "&amp;A169&amp;"_3.jpg")</f>
        <v/>
      </c>
      <c r="K169" s="84" t="str">
        <f aca="false">IF(E169="","",A169&amp;"_schema.jpg")</f>
        <v/>
      </c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 t="s">
        <v>261</v>
      </c>
      <c r="W169" s="81"/>
      <c r="X169" s="81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6" t="str">
        <f aca="false">IF(SUM(Y169:AJ169)=0,"",SUM(Y169:AJ169))</f>
        <v/>
      </c>
      <c r="AL169" s="84" t="str">
        <f aca="false">MID(IF(N(Y169)&gt;0,", "&amp;Y$2,"")&amp;IF(N(Z169)&gt;0,", "&amp;Z$2,"")&amp;IF(N(AA169)&gt;0,", "&amp;AA$2,"")&amp;IF(N(AB169)&gt;0,", "&amp;AB$2,"")&amp;IF(N(AC169)&gt;0,", "&amp;AC$2,"")&amp;IF(N(AD169)&gt;0,", "&amp;AD$2,"")&amp;IF(N(AE169)&gt;0,", "&amp;AE$2,"")&amp;IF(N(AF169)&gt;0,", "&amp;AF$2,"")&amp;IF(N(AG169)&gt;0,", "&amp;AG$2,"")&amp;IF(N(AH169)&gt;0,", "&amp;AH$2,"")&amp;IF(N(AI169)&gt;0,", "&amp;AI$2,"")&amp;IF(N(AJ169)&gt;0,", "&amp;AJ$2,""),3,999)</f>
        <v/>
      </c>
      <c r="AM169" s="87" t="str">
        <f aca="false">IF(E169="","",MID(IF(N(Y169)&gt;0,", "&amp;A169&amp;"-"&amp;Y$2,"")&amp;IF(N(Z169)&gt;0,", "&amp;A169&amp;"-"&amp;Z$2,"")&amp;IF(N(AA169)&gt;0,", "&amp;A169&amp;"-"&amp;AA$2,"")&amp;IF(N(AB169)&gt;0,", "&amp;A169&amp;"-"&amp;AB$2,"")&amp;IF(N(AC169)&gt;0,", "&amp;A169&amp;"-"&amp;AC$2,"")&amp;IF(N(AD169)&gt;0,", "&amp;A169&amp;"-"&amp;AD$2,"")&amp;IF(N(AE169)&gt;0,", "&amp;A169&amp;"-"&amp;AE$2,"")&amp;IF(N(AF169)&gt;0,", "&amp;A169&amp;"-"&amp;AF$2,"")&amp;IF(N(AG169)&gt;0,", "&amp;A169&amp;"-"&amp;AG$2,"")&amp;IF(N(AH169)&gt;0,", "&amp;A169&amp;"-"&amp;AH$2,"")&amp;IF(N(AI169)&gt;0,", "&amp;A169&amp;"-"&amp;AI$2,"")&amp;IF(N(AJ169)&gt;0,", "&amp;A169&amp;"-"&amp;AJ$2,""),3,999))</f>
        <v/>
      </c>
      <c r="AN169" s="81"/>
      <c r="AO169" s="88"/>
      <c r="AP169" s="89" t="str">
        <f aca="false">IF(AO169="","",ROUND(AO169/(1+Справочники!$B$13),2))</f>
        <v/>
      </c>
      <c r="AQ169" s="90" t="str">
        <f aca="false" t="array" ref="AQ169:AQ169">IF(AP169="","",AP169*INDEX(Справочники!$B$4:$B$7,MATCH("RUB",Справочники!$A$4:$A$7,0)))</f>
        <v/>
      </c>
      <c r="AR169" s="90" t="str">
        <f aca="false">IF(AQ169="","",ROUND(AQ169*(1+Справочники!$B$12),0))</f>
        <v/>
      </c>
      <c r="AS169" s="90" t="str">
        <f aca="false">IF(AR169="","",ROUND(AR169*(1-Справочники!$B$11),0))</f>
        <v/>
      </c>
      <c r="AT169" s="88"/>
      <c r="AU169" s="90" t="str">
        <f aca="false">IF(AT169="","",ROUND(AT169/(1+Справочники!$B$12),0))</f>
        <v/>
      </c>
      <c r="AV169" s="90" t="str">
        <f aca="false">IF(AT169="","",ROUND(AT169*(1-Справочники!$B$15),0))</f>
        <v/>
      </c>
      <c r="AW169" s="90" t="str">
        <f aca="false">IF(AT169="","",ROUND(AT169*(1-Справочники!$B$16),0))</f>
        <v/>
      </c>
      <c r="AX169" s="90" t="str">
        <f aca="false">IF(AT169="","",ROUND(AT169*(1-Справочники!$B$17),0))</f>
        <v/>
      </c>
      <c r="AY169" s="90" t="str">
        <f aca="false">IF(AT169="","",ROUND(AT169*(1-Справочники!$B$18),0))</f>
        <v/>
      </c>
      <c r="AZ169" s="90" t="str">
        <f aca="false">IF(AT169="","",ROUND(AT169*(1-Справочники!$B$19),0))</f>
        <v/>
      </c>
      <c r="BA169" s="81"/>
      <c r="BB169" s="81"/>
      <c r="BC169" s="81"/>
      <c r="BD169" s="81"/>
      <c r="BE169" s="91"/>
      <c r="BF169" s="81" t="s">
        <v>103</v>
      </c>
      <c r="BG169" s="89" t="n">
        <f aca="false" t="array" ref="BG169:BG169">IF(BF169="","",IFERROR(INDEX(Справочники!$B$4:$B$7,MATCH(BF169,Справочники!$A$4:$A$7,0)),""))</f>
        <v>68.5</v>
      </c>
      <c r="BH169" s="90" t="str">
        <f aca="false">IF(N(BN169)&gt;0,ROUND(SUMIF(ЗАКАЗЫ!$F$3:$F$500,$A169,ЗАКАЗЫ!$Y$3:$Y$500)/BN169,0),IF(OR(BE169="",BG169=""),"",ROUND(BE169*BG169*(1+Справочники!$B$10),0)))</f>
        <v/>
      </c>
      <c r="BI169" s="92" t="str">
        <f aca="false">IF(OR(AU169="",BH169="",AU169=0),"",(AU169-BH169)/AU169)</f>
        <v/>
      </c>
      <c r="BJ169" s="81"/>
      <c r="BK169" s="83"/>
      <c r="BL169" s="43" t="str">
        <f aca="false">IFERROR(INDEX(ЗАКАЗЫ!$N$3:$N$500,MATCH($A169,ЗАКАЗЫ!$F$3:$F$500,0)),"")</f>
        <v/>
      </c>
      <c r="BM169" s="8" t="str">
        <f aca="false">IF(BL169="","",IFERROR(VLOOKUP(BL169,'ТН ВЭД'!$A$4:$C$40,3,0),""))</f>
        <v/>
      </c>
      <c r="BN169" s="7" t="str">
        <f aca="false">IF(COUNTIF(ЗАКАЗЫ!$F$3:$F$500,$A169)=0,"",SUMIF(ЗАКАЗЫ!$F$3:$F$500,$A169,ЗАКАЗЫ!$J$3:$J$500))</f>
        <v/>
      </c>
      <c r="BO169" s="7" t="str">
        <f aca="false">IF(BN169="","",SUMIF(ЗАКАЗЫ!$F$3:$F$500,$A169,ЗАКАЗЫ!$AL$3:$AL$500))</f>
        <v/>
      </c>
      <c r="BP169" s="7" t="str">
        <f aca="false">IF(BN169="","",BN169-BO169)</f>
        <v/>
      </c>
      <c r="BQ169" s="55" t="str">
        <f aca="false">IF(BN169="","",IF(BO169&gt;=BN169,"На складе",IF(BO169&gt;0,"Частично","Ждём")))</f>
        <v/>
      </c>
      <c r="BR169" s="43"/>
      <c r="BS169" s="47" t="str">
        <f aca="false">IF(BN169="","",IF(_xlfn.MAXIFS(ЗАКАЗЫ!$AK$3:$AK$500,ЗАКАЗЫ!$F$3:$F$500,$A169)=0,"",_xlfn.MAXIFS(ЗАКАЗЫ!$AK$3:$AK$500,ЗАКАЗЫ!$F$3:$F$500,$A169)))</f>
        <v/>
      </c>
    </row>
    <row r="170" customFormat="false" ht="15.75" hidden="false" customHeight="true" outlineLevel="0" collapsed="false">
      <c r="A170" s="80" t="s">
        <v>644</v>
      </c>
      <c r="B170" s="81"/>
      <c r="C170" s="81"/>
      <c r="D170" s="81"/>
      <c r="E170" s="83"/>
      <c r="F170" s="81"/>
      <c r="G170" s="83"/>
      <c r="H170" s="83"/>
      <c r="I170" s="84" t="str">
        <f aca="false">IF(E170="","",A170&amp;"_1.jpg")</f>
        <v/>
      </c>
      <c r="J170" s="84" t="str">
        <f aca="false">IF(E170="","",A170&amp;"_2.jpg; "&amp;A170&amp;"_3.jpg")</f>
        <v/>
      </c>
      <c r="K170" s="84" t="str">
        <f aca="false">IF(E170="","",A170&amp;"_schema.jpg")</f>
        <v/>
      </c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 t="s">
        <v>261</v>
      </c>
      <c r="W170" s="81"/>
      <c r="X170" s="81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6" t="str">
        <f aca="false">IF(SUM(Y170:AJ170)=0,"",SUM(Y170:AJ170))</f>
        <v/>
      </c>
      <c r="AL170" s="84" t="str">
        <f aca="false">MID(IF(N(Y170)&gt;0,", "&amp;Y$2,"")&amp;IF(N(Z170)&gt;0,", "&amp;Z$2,"")&amp;IF(N(AA170)&gt;0,", "&amp;AA$2,"")&amp;IF(N(AB170)&gt;0,", "&amp;AB$2,"")&amp;IF(N(AC170)&gt;0,", "&amp;AC$2,"")&amp;IF(N(AD170)&gt;0,", "&amp;AD$2,"")&amp;IF(N(AE170)&gt;0,", "&amp;AE$2,"")&amp;IF(N(AF170)&gt;0,", "&amp;AF$2,"")&amp;IF(N(AG170)&gt;0,", "&amp;AG$2,"")&amp;IF(N(AH170)&gt;0,", "&amp;AH$2,"")&amp;IF(N(AI170)&gt;0,", "&amp;AI$2,"")&amp;IF(N(AJ170)&gt;0,", "&amp;AJ$2,""),3,999)</f>
        <v/>
      </c>
      <c r="AM170" s="87" t="str">
        <f aca="false">IF(E170="","",MID(IF(N(Y170)&gt;0,", "&amp;A170&amp;"-"&amp;Y$2,"")&amp;IF(N(Z170)&gt;0,", "&amp;A170&amp;"-"&amp;Z$2,"")&amp;IF(N(AA170)&gt;0,", "&amp;A170&amp;"-"&amp;AA$2,"")&amp;IF(N(AB170)&gt;0,", "&amp;A170&amp;"-"&amp;AB$2,"")&amp;IF(N(AC170)&gt;0,", "&amp;A170&amp;"-"&amp;AC$2,"")&amp;IF(N(AD170)&gt;0,", "&amp;A170&amp;"-"&amp;AD$2,"")&amp;IF(N(AE170)&gt;0,", "&amp;A170&amp;"-"&amp;AE$2,"")&amp;IF(N(AF170)&gt;0,", "&amp;A170&amp;"-"&amp;AF$2,"")&amp;IF(N(AG170)&gt;0,", "&amp;A170&amp;"-"&amp;AG$2,"")&amp;IF(N(AH170)&gt;0,", "&amp;A170&amp;"-"&amp;AH$2,"")&amp;IF(N(AI170)&gt;0,", "&amp;A170&amp;"-"&amp;AI$2,"")&amp;IF(N(AJ170)&gt;0,", "&amp;A170&amp;"-"&amp;AJ$2,""),3,999))</f>
        <v/>
      </c>
      <c r="AN170" s="81"/>
      <c r="AO170" s="88"/>
      <c r="AP170" s="89" t="str">
        <f aca="false">IF(AO170="","",ROUND(AO170/(1+Справочники!$B$13),2))</f>
        <v/>
      </c>
      <c r="AQ170" s="90" t="str">
        <f aca="false" t="array" ref="AQ170:AQ170">IF(AP170="","",AP170*INDEX(Справочники!$B$4:$B$7,MATCH("RUB",Справочники!$A$4:$A$7,0)))</f>
        <v/>
      </c>
      <c r="AR170" s="90" t="str">
        <f aca="false">IF(AQ170="","",ROUND(AQ170*(1+Справочники!$B$12),0))</f>
        <v/>
      </c>
      <c r="AS170" s="90" t="str">
        <f aca="false">IF(AR170="","",ROUND(AR170*(1-Справочники!$B$11),0))</f>
        <v/>
      </c>
      <c r="AT170" s="88"/>
      <c r="AU170" s="90" t="str">
        <f aca="false">IF(AT170="","",ROUND(AT170/(1+Справочники!$B$12),0))</f>
        <v/>
      </c>
      <c r="AV170" s="90" t="str">
        <f aca="false">IF(AT170="","",ROUND(AT170*(1-Справочники!$B$15),0))</f>
        <v/>
      </c>
      <c r="AW170" s="90" t="str">
        <f aca="false">IF(AT170="","",ROUND(AT170*(1-Справочники!$B$16),0))</f>
        <v/>
      </c>
      <c r="AX170" s="90" t="str">
        <f aca="false">IF(AT170="","",ROUND(AT170*(1-Справочники!$B$17),0))</f>
        <v/>
      </c>
      <c r="AY170" s="90" t="str">
        <f aca="false">IF(AT170="","",ROUND(AT170*(1-Справочники!$B$18),0))</f>
        <v/>
      </c>
      <c r="AZ170" s="90" t="str">
        <f aca="false">IF(AT170="","",ROUND(AT170*(1-Справочники!$B$19),0))</f>
        <v/>
      </c>
      <c r="BA170" s="81"/>
      <c r="BB170" s="81"/>
      <c r="BC170" s="81"/>
      <c r="BD170" s="81"/>
      <c r="BE170" s="91"/>
      <c r="BF170" s="81" t="s">
        <v>103</v>
      </c>
      <c r="BG170" s="89" t="n">
        <f aca="false" t="array" ref="BG170:BG170">IF(BF170="","",IFERROR(INDEX(Справочники!$B$4:$B$7,MATCH(BF170,Справочники!$A$4:$A$7,0)),""))</f>
        <v>68.5</v>
      </c>
      <c r="BH170" s="90" t="str">
        <f aca="false">IF(N(BN170)&gt;0,ROUND(SUMIF(ЗАКАЗЫ!$F$3:$F$500,$A170,ЗАКАЗЫ!$Y$3:$Y$500)/BN170,0),IF(OR(BE170="",BG170=""),"",ROUND(BE170*BG170*(1+Справочники!$B$10),0)))</f>
        <v/>
      </c>
      <c r="BI170" s="92" t="str">
        <f aca="false">IF(OR(AU170="",BH170="",AU170=0),"",(AU170-BH170)/AU170)</f>
        <v/>
      </c>
      <c r="BJ170" s="81"/>
      <c r="BK170" s="83"/>
      <c r="BL170" s="43" t="str">
        <f aca="false">IFERROR(INDEX(ЗАКАЗЫ!$N$3:$N$500,MATCH($A170,ЗАКАЗЫ!$F$3:$F$500,0)),"")</f>
        <v/>
      </c>
      <c r="BM170" s="8" t="str">
        <f aca="false">IF(BL170="","",IFERROR(VLOOKUP(BL170,'ТН ВЭД'!$A$4:$C$40,3,0),""))</f>
        <v/>
      </c>
      <c r="BN170" s="7" t="str">
        <f aca="false">IF(COUNTIF(ЗАКАЗЫ!$F$3:$F$500,$A170)=0,"",SUMIF(ЗАКАЗЫ!$F$3:$F$500,$A170,ЗАКАЗЫ!$J$3:$J$500))</f>
        <v/>
      </c>
      <c r="BO170" s="7" t="str">
        <f aca="false">IF(BN170="","",SUMIF(ЗАКАЗЫ!$F$3:$F$500,$A170,ЗАКАЗЫ!$AL$3:$AL$500))</f>
        <v/>
      </c>
      <c r="BP170" s="7" t="str">
        <f aca="false">IF(BN170="","",BN170-BO170)</f>
        <v/>
      </c>
      <c r="BQ170" s="55" t="str">
        <f aca="false">IF(BN170="","",IF(BO170&gt;=BN170,"На складе",IF(BO170&gt;0,"Частично","Ждём")))</f>
        <v/>
      </c>
      <c r="BR170" s="43"/>
      <c r="BS170" s="47" t="str">
        <f aca="false">IF(BN170="","",IF(_xlfn.MAXIFS(ЗАКАЗЫ!$AK$3:$AK$500,ЗАКАЗЫ!$F$3:$F$500,$A170)=0,"",_xlfn.MAXIFS(ЗАКАЗЫ!$AK$3:$AK$500,ЗАКАЗЫ!$F$3:$F$500,$A170)))</f>
        <v/>
      </c>
    </row>
    <row r="171" customFormat="false" ht="15.75" hidden="false" customHeight="true" outlineLevel="0" collapsed="false">
      <c r="A171" s="80" t="s">
        <v>645</v>
      </c>
      <c r="B171" s="81"/>
      <c r="C171" s="81"/>
      <c r="D171" s="81"/>
      <c r="E171" s="83"/>
      <c r="F171" s="81"/>
      <c r="G171" s="83"/>
      <c r="H171" s="83"/>
      <c r="I171" s="84" t="str">
        <f aca="false">IF(E171="","",A171&amp;"_1.jpg")</f>
        <v/>
      </c>
      <c r="J171" s="84" t="str">
        <f aca="false">IF(E171="","",A171&amp;"_2.jpg; "&amp;A171&amp;"_3.jpg")</f>
        <v/>
      </c>
      <c r="K171" s="84" t="str">
        <f aca="false">IF(E171="","",A171&amp;"_schema.jpg")</f>
        <v/>
      </c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 t="s">
        <v>261</v>
      </c>
      <c r="W171" s="81"/>
      <c r="X171" s="81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6" t="str">
        <f aca="false">IF(SUM(Y171:AJ171)=0,"",SUM(Y171:AJ171))</f>
        <v/>
      </c>
      <c r="AL171" s="84" t="str">
        <f aca="false">MID(IF(N(Y171)&gt;0,", "&amp;Y$2,"")&amp;IF(N(Z171)&gt;0,", "&amp;Z$2,"")&amp;IF(N(AA171)&gt;0,", "&amp;AA$2,"")&amp;IF(N(AB171)&gt;0,", "&amp;AB$2,"")&amp;IF(N(AC171)&gt;0,", "&amp;AC$2,"")&amp;IF(N(AD171)&gt;0,", "&amp;AD$2,"")&amp;IF(N(AE171)&gt;0,", "&amp;AE$2,"")&amp;IF(N(AF171)&gt;0,", "&amp;AF$2,"")&amp;IF(N(AG171)&gt;0,", "&amp;AG$2,"")&amp;IF(N(AH171)&gt;0,", "&amp;AH$2,"")&amp;IF(N(AI171)&gt;0,", "&amp;AI$2,"")&amp;IF(N(AJ171)&gt;0,", "&amp;AJ$2,""),3,999)</f>
        <v/>
      </c>
      <c r="AM171" s="87" t="str">
        <f aca="false">IF(E171="","",MID(IF(N(Y171)&gt;0,", "&amp;A171&amp;"-"&amp;Y$2,"")&amp;IF(N(Z171)&gt;0,", "&amp;A171&amp;"-"&amp;Z$2,"")&amp;IF(N(AA171)&gt;0,", "&amp;A171&amp;"-"&amp;AA$2,"")&amp;IF(N(AB171)&gt;0,", "&amp;A171&amp;"-"&amp;AB$2,"")&amp;IF(N(AC171)&gt;0,", "&amp;A171&amp;"-"&amp;AC$2,"")&amp;IF(N(AD171)&gt;0,", "&amp;A171&amp;"-"&amp;AD$2,"")&amp;IF(N(AE171)&gt;0,", "&amp;A171&amp;"-"&amp;AE$2,"")&amp;IF(N(AF171)&gt;0,", "&amp;A171&amp;"-"&amp;AF$2,"")&amp;IF(N(AG171)&gt;0,", "&amp;A171&amp;"-"&amp;AG$2,"")&amp;IF(N(AH171)&gt;0,", "&amp;A171&amp;"-"&amp;AH$2,"")&amp;IF(N(AI171)&gt;0,", "&amp;A171&amp;"-"&amp;AI$2,"")&amp;IF(N(AJ171)&gt;0,", "&amp;A171&amp;"-"&amp;AJ$2,""),3,999))</f>
        <v/>
      </c>
      <c r="AN171" s="81"/>
      <c r="AO171" s="88"/>
      <c r="AP171" s="89" t="str">
        <f aca="false">IF(AO171="","",ROUND(AO171/(1+Справочники!$B$13),2))</f>
        <v/>
      </c>
      <c r="AQ171" s="90" t="str">
        <f aca="false" t="array" ref="AQ171:AQ171">IF(AP171="","",AP171*INDEX(Справочники!$B$4:$B$7,MATCH("RUB",Справочники!$A$4:$A$7,0)))</f>
        <v/>
      </c>
      <c r="AR171" s="90" t="str">
        <f aca="false">IF(AQ171="","",ROUND(AQ171*(1+Справочники!$B$12),0))</f>
        <v/>
      </c>
      <c r="AS171" s="90" t="str">
        <f aca="false">IF(AR171="","",ROUND(AR171*(1-Справочники!$B$11),0))</f>
        <v/>
      </c>
      <c r="AT171" s="88"/>
      <c r="AU171" s="90" t="str">
        <f aca="false">IF(AT171="","",ROUND(AT171/(1+Справочники!$B$12),0))</f>
        <v/>
      </c>
      <c r="AV171" s="90" t="str">
        <f aca="false">IF(AT171="","",ROUND(AT171*(1-Справочники!$B$15),0))</f>
        <v/>
      </c>
      <c r="AW171" s="90" t="str">
        <f aca="false">IF(AT171="","",ROUND(AT171*(1-Справочники!$B$16),0))</f>
        <v/>
      </c>
      <c r="AX171" s="90" t="str">
        <f aca="false">IF(AT171="","",ROUND(AT171*(1-Справочники!$B$17),0))</f>
        <v/>
      </c>
      <c r="AY171" s="90" t="str">
        <f aca="false">IF(AT171="","",ROUND(AT171*(1-Справочники!$B$18),0))</f>
        <v/>
      </c>
      <c r="AZ171" s="90" t="str">
        <f aca="false">IF(AT171="","",ROUND(AT171*(1-Справочники!$B$19),0))</f>
        <v/>
      </c>
      <c r="BA171" s="81"/>
      <c r="BB171" s="81"/>
      <c r="BC171" s="81"/>
      <c r="BD171" s="81"/>
      <c r="BE171" s="91"/>
      <c r="BF171" s="81" t="s">
        <v>103</v>
      </c>
      <c r="BG171" s="89" t="n">
        <f aca="false" t="array" ref="BG171:BG171">IF(BF171="","",IFERROR(INDEX(Справочники!$B$4:$B$7,MATCH(BF171,Справочники!$A$4:$A$7,0)),""))</f>
        <v>68.5</v>
      </c>
      <c r="BH171" s="90" t="str">
        <f aca="false">IF(N(BN171)&gt;0,ROUND(SUMIF(ЗАКАЗЫ!$F$3:$F$500,$A171,ЗАКАЗЫ!$Y$3:$Y$500)/BN171,0),IF(OR(BE171="",BG171=""),"",ROUND(BE171*BG171*(1+Справочники!$B$10),0)))</f>
        <v/>
      </c>
      <c r="BI171" s="92" t="str">
        <f aca="false">IF(OR(AU171="",BH171="",AU171=0),"",(AU171-BH171)/AU171)</f>
        <v/>
      </c>
      <c r="BJ171" s="81"/>
      <c r="BK171" s="83"/>
      <c r="BL171" s="43" t="str">
        <f aca="false">IFERROR(INDEX(ЗАКАЗЫ!$N$3:$N$500,MATCH($A171,ЗАКАЗЫ!$F$3:$F$500,0)),"")</f>
        <v/>
      </c>
      <c r="BM171" s="8" t="str">
        <f aca="false">IF(BL171="","",IFERROR(VLOOKUP(BL171,'ТН ВЭД'!$A$4:$C$40,3,0),""))</f>
        <v/>
      </c>
      <c r="BN171" s="7" t="str">
        <f aca="false">IF(COUNTIF(ЗАКАЗЫ!$F$3:$F$500,$A171)=0,"",SUMIF(ЗАКАЗЫ!$F$3:$F$500,$A171,ЗАКАЗЫ!$J$3:$J$500))</f>
        <v/>
      </c>
      <c r="BO171" s="7" t="str">
        <f aca="false">IF(BN171="","",SUMIF(ЗАКАЗЫ!$F$3:$F$500,$A171,ЗАКАЗЫ!$AL$3:$AL$500))</f>
        <v/>
      </c>
      <c r="BP171" s="7" t="str">
        <f aca="false">IF(BN171="","",BN171-BO171)</f>
        <v/>
      </c>
      <c r="BQ171" s="55" t="str">
        <f aca="false">IF(BN171="","",IF(BO171&gt;=BN171,"На складе",IF(BO171&gt;0,"Частично","Ждём")))</f>
        <v/>
      </c>
      <c r="BR171" s="43"/>
      <c r="BS171" s="47" t="str">
        <f aca="false">IF(BN171="","",IF(_xlfn.MAXIFS(ЗАКАЗЫ!$AK$3:$AK$500,ЗАКАЗЫ!$F$3:$F$500,$A171)=0,"",_xlfn.MAXIFS(ЗАКАЗЫ!$AK$3:$AK$500,ЗАКАЗЫ!$F$3:$F$500,$A171)))</f>
        <v/>
      </c>
    </row>
    <row r="172" customFormat="false" ht="15.75" hidden="false" customHeight="true" outlineLevel="0" collapsed="false">
      <c r="A172" s="80" t="s">
        <v>646</v>
      </c>
      <c r="B172" s="81"/>
      <c r="C172" s="81"/>
      <c r="D172" s="81"/>
      <c r="E172" s="83"/>
      <c r="F172" s="81"/>
      <c r="G172" s="83"/>
      <c r="H172" s="83"/>
      <c r="I172" s="84" t="str">
        <f aca="false">IF(E172="","",A172&amp;"_1.jpg")</f>
        <v/>
      </c>
      <c r="J172" s="84" t="str">
        <f aca="false">IF(E172="","",A172&amp;"_2.jpg; "&amp;A172&amp;"_3.jpg")</f>
        <v/>
      </c>
      <c r="K172" s="84" t="str">
        <f aca="false">IF(E172="","",A172&amp;"_schema.jpg")</f>
        <v/>
      </c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 t="s">
        <v>261</v>
      </c>
      <c r="W172" s="81"/>
      <c r="X172" s="81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6" t="str">
        <f aca="false">IF(SUM(Y172:AJ172)=0,"",SUM(Y172:AJ172))</f>
        <v/>
      </c>
      <c r="AL172" s="84" t="str">
        <f aca="false">MID(IF(N(Y172)&gt;0,", "&amp;Y$2,"")&amp;IF(N(Z172)&gt;0,", "&amp;Z$2,"")&amp;IF(N(AA172)&gt;0,", "&amp;AA$2,"")&amp;IF(N(AB172)&gt;0,", "&amp;AB$2,"")&amp;IF(N(AC172)&gt;0,", "&amp;AC$2,"")&amp;IF(N(AD172)&gt;0,", "&amp;AD$2,"")&amp;IF(N(AE172)&gt;0,", "&amp;AE$2,"")&amp;IF(N(AF172)&gt;0,", "&amp;AF$2,"")&amp;IF(N(AG172)&gt;0,", "&amp;AG$2,"")&amp;IF(N(AH172)&gt;0,", "&amp;AH$2,"")&amp;IF(N(AI172)&gt;0,", "&amp;AI$2,"")&amp;IF(N(AJ172)&gt;0,", "&amp;AJ$2,""),3,999)</f>
        <v/>
      </c>
      <c r="AM172" s="87" t="str">
        <f aca="false">IF(E172="","",MID(IF(N(Y172)&gt;0,", "&amp;A172&amp;"-"&amp;Y$2,"")&amp;IF(N(Z172)&gt;0,", "&amp;A172&amp;"-"&amp;Z$2,"")&amp;IF(N(AA172)&gt;0,", "&amp;A172&amp;"-"&amp;AA$2,"")&amp;IF(N(AB172)&gt;0,", "&amp;A172&amp;"-"&amp;AB$2,"")&amp;IF(N(AC172)&gt;0,", "&amp;A172&amp;"-"&amp;AC$2,"")&amp;IF(N(AD172)&gt;0,", "&amp;A172&amp;"-"&amp;AD$2,"")&amp;IF(N(AE172)&gt;0,", "&amp;A172&amp;"-"&amp;AE$2,"")&amp;IF(N(AF172)&gt;0,", "&amp;A172&amp;"-"&amp;AF$2,"")&amp;IF(N(AG172)&gt;0,", "&amp;A172&amp;"-"&amp;AG$2,"")&amp;IF(N(AH172)&gt;0,", "&amp;A172&amp;"-"&amp;AH$2,"")&amp;IF(N(AI172)&gt;0,", "&amp;A172&amp;"-"&amp;AI$2,"")&amp;IF(N(AJ172)&gt;0,", "&amp;A172&amp;"-"&amp;AJ$2,""),3,999))</f>
        <v/>
      </c>
      <c r="AN172" s="81"/>
      <c r="AO172" s="88"/>
      <c r="AP172" s="89" t="str">
        <f aca="false">IF(AO172="","",ROUND(AO172/(1+Справочники!$B$13),2))</f>
        <v/>
      </c>
      <c r="AQ172" s="90" t="str">
        <f aca="false" t="array" ref="AQ172:AQ172">IF(AP172="","",AP172*INDEX(Справочники!$B$4:$B$7,MATCH("RUB",Справочники!$A$4:$A$7,0)))</f>
        <v/>
      </c>
      <c r="AR172" s="90" t="str">
        <f aca="false">IF(AQ172="","",ROUND(AQ172*(1+Справочники!$B$12),0))</f>
        <v/>
      </c>
      <c r="AS172" s="90" t="str">
        <f aca="false">IF(AR172="","",ROUND(AR172*(1-Справочники!$B$11),0))</f>
        <v/>
      </c>
      <c r="AT172" s="88"/>
      <c r="AU172" s="90" t="str">
        <f aca="false">IF(AT172="","",ROUND(AT172/(1+Справочники!$B$12),0))</f>
        <v/>
      </c>
      <c r="AV172" s="90" t="str">
        <f aca="false">IF(AT172="","",ROUND(AT172*(1-Справочники!$B$15),0))</f>
        <v/>
      </c>
      <c r="AW172" s="90" t="str">
        <f aca="false">IF(AT172="","",ROUND(AT172*(1-Справочники!$B$16),0))</f>
        <v/>
      </c>
      <c r="AX172" s="90" t="str">
        <f aca="false">IF(AT172="","",ROUND(AT172*(1-Справочники!$B$17),0))</f>
        <v/>
      </c>
      <c r="AY172" s="90" t="str">
        <f aca="false">IF(AT172="","",ROUND(AT172*(1-Справочники!$B$18),0))</f>
        <v/>
      </c>
      <c r="AZ172" s="90" t="str">
        <f aca="false">IF(AT172="","",ROUND(AT172*(1-Справочники!$B$19),0))</f>
        <v/>
      </c>
      <c r="BA172" s="81"/>
      <c r="BB172" s="81"/>
      <c r="BC172" s="81"/>
      <c r="BD172" s="81"/>
      <c r="BE172" s="91"/>
      <c r="BF172" s="81" t="s">
        <v>103</v>
      </c>
      <c r="BG172" s="89" t="n">
        <f aca="false" t="array" ref="BG172:BG172">IF(BF172="","",IFERROR(INDEX(Справочники!$B$4:$B$7,MATCH(BF172,Справочники!$A$4:$A$7,0)),""))</f>
        <v>68.5</v>
      </c>
      <c r="BH172" s="90" t="str">
        <f aca="false">IF(N(BN172)&gt;0,ROUND(SUMIF(ЗАКАЗЫ!$F$3:$F$500,$A172,ЗАКАЗЫ!$Y$3:$Y$500)/BN172,0),IF(OR(BE172="",BG172=""),"",ROUND(BE172*BG172*(1+Справочники!$B$10),0)))</f>
        <v/>
      </c>
      <c r="BI172" s="92" t="str">
        <f aca="false">IF(OR(AU172="",BH172="",AU172=0),"",(AU172-BH172)/AU172)</f>
        <v/>
      </c>
      <c r="BJ172" s="81"/>
      <c r="BK172" s="83"/>
      <c r="BL172" s="43" t="str">
        <f aca="false">IFERROR(INDEX(ЗАКАЗЫ!$N$3:$N$500,MATCH($A172,ЗАКАЗЫ!$F$3:$F$500,0)),"")</f>
        <v/>
      </c>
      <c r="BM172" s="8" t="str">
        <f aca="false">IF(BL172="","",IFERROR(VLOOKUP(BL172,'ТН ВЭД'!$A$4:$C$40,3,0),""))</f>
        <v/>
      </c>
      <c r="BN172" s="7" t="str">
        <f aca="false">IF(COUNTIF(ЗАКАЗЫ!$F$3:$F$500,$A172)=0,"",SUMIF(ЗАКАЗЫ!$F$3:$F$500,$A172,ЗАКАЗЫ!$J$3:$J$500))</f>
        <v/>
      </c>
      <c r="BO172" s="7" t="str">
        <f aca="false">IF(BN172="","",SUMIF(ЗАКАЗЫ!$F$3:$F$500,$A172,ЗАКАЗЫ!$AL$3:$AL$500))</f>
        <v/>
      </c>
      <c r="BP172" s="7" t="str">
        <f aca="false">IF(BN172="","",BN172-BO172)</f>
        <v/>
      </c>
      <c r="BQ172" s="55" t="str">
        <f aca="false">IF(BN172="","",IF(BO172&gt;=BN172,"На складе",IF(BO172&gt;0,"Частично","Ждём")))</f>
        <v/>
      </c>
      <c r="BR172" s="43"/>
      <c r="BS172" s="47" t="str">
        <f aca="false">IF(BN172="","",IF(_xlfn.MAXIFS(ЗАКАЗЫ!$AK$3:$AK$500,ЗАКАЗЫ!$F$3:$F$500,$A172)=0,"",_xlfn.MAXIFS(ЗАКАЗЫ!$AK$3:$AK$500,ЗАКАЗЫ!$F$3:$F$500,$A172)))</f>
        <v/>
      </c>
    </row>
    <row r="173" customFormat="false" ht="15.75" hidden="false" customHeight="true" outlineLevel="0" collapsed="false">
      <c r="A173" s="80" t="s">
        <v>647</v>
      </c>
      <c r="B173" s="81"/>
      <c r="C173" s="81"/>
      <c r="D173" s="81"/>
      <c r="E173" s="83"/>
      <c r="F173" s="81"/>
      <c r="G173" s="83"/>
      <c r="H173" s="83"/>
      <c r="I173" s="84" t="str">
        <f aca="false">IF(E173="","",A173&amp;"_1.jpg")</f>
        <v/>
      </c>
      <c r="J173" s="84" t="str">
        <f aca="false">IF(E173="","",A173&amp;"_2.jpg; "&amp;A173&amp;"_3.jpg")</f>
        <v/>
      </c>
      <c r="K173" s="84" t="str">
        <f aca="false">IF(E173="","",A173&amp;"_schema.jpg")</f>
        <v/>
      </c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 t="s">
        <v>261</v>
      </c>
      <c r="W173" s="81"/>
      <c r="X173" s="81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6" t="str">
        <f aca="false">IF(SUM(Y173:AJ173)=0,"",SUM(Y173:AJ173))</f>
        <v/>
      </c>
      <c r="AL173" s="84" t="str">
        <f aca="false">MID(IF(N(Y173)&gt;0,", "&amp;Y$2,"")&amp;IF(N(Z173)&gt;0,", "&amp;Z$2,"")&amp;IF(N(AA173)&gt;0,", "&amp;AA$2,"")&amp;IF(N(AB173)&gt;0,", "&amp;AB$2,"")&amp;IF(N(AC173)&gt;0,", "&amp;AC$2,"")&amp;IF(N(AD173)&gt;0,", "&amp;AD$2,"")&amp;IF(N(AE173)&gt;0,", "&amp;AE$2,"")&amp;IF(N(AF173)&gt;0,", "&amp;AF$2,"")&amp;IF(N(AG173)&gt;0,", "&amp;AG$2,"")&amp;IF(N(AH173)&gt;0,", "&amp;AH$2,"")&amp;IF(N(AI173)&gt;0,", "&amp;AI$2,"")&amp;IF(N(AJ173)&gt;0,", "&amp;AJ$2,""),3,999)</f>
        <v/>
      </c>
      <c r="AM173" s="87" t="str">
        <f aca="false">IF(E173="","",MID(IF(N(Y173)&gt;0,", "&amp;A173&amp;"-"&amp;Y$2,"")&amp;IF(N(Z173)&gt;0,", "&amp;A173&amp;"-"&amp;Z$2,"")&amp;IF(N(AA173)&gt;0,", "&amp;A173&amp;"-"&amp;AA$2,"")&amp;IF(N(AB173)&gt;0,", "&amp;A173&amp;"-"&amp;AB$2,"")&amp;IF(N(AC173)&gt;0,", "&amp;A173&amp;"-"&amp;AC$2,"")&amp;IF(N(AD173)&gt;0,", "&amp;A173&amp;"-"&amp;AD$2,"")&amp;IF(N(AE173)&gt;0,", "&amp;A173&amp;"-"&amp;AE$2,"")&amp;IF(N(AF173)&gt;0,", "&amp;A173&amp;"-"&amp;AF$2,"")&amp;IF(N(AG173)&gt;0,", "&amp;A173&amp;"-"&amp;AG$2,"")&amp;IF(N(AH173)&gt;0,", "&amp;A173&amp;"-"&amp;AH$2,"")&amp;IF(N(AI173)&gt;0,", "&amp;A173&amp;"-"&amp;AI$2,"")&amp;IF(N(AJ173)&gt;0,", "&amp;A173&amp;"-"&amp;AJ$2,""),3,999))</f>
        <v/>
      </c>
      <c r="AN173" s="81"/>
      <c r="AO173" s="88"/>
      <c r="AP173" s="89" t="str">
        <f aca="false">IF(AO173="","",ROUND(AO173/(1+Справочники!$B$13),2))</f>
        <v/>
      </c>
      <c r="AQ173" s="90" t="str">
        <f aca="false" t="array" ref="AQ173:AQ173">IF(AP173="","",AP173*INDEX(Справочники!$B$4:$B$7,MATCH("RUB",Справочники!$A$4:$A$7,0)))</f>
        <v/>
      </c>
      <c r="AR173" s="90" t="str">
        <f aca="false">IF(AQ173="","",ROUND(AQ173*(1+Справочники!$B$12),0))</f>
        <v/>
      </c>
      <c r="AS173" s="90" t="str">
        <f aca="false">IF(AR173="","",ROUND(AR173*(1-Справочники!$B$11),0))</f>
        <v/>
      </c>
      <c r="AT173" s="88"/>
      <c r="AU173" s="90" t="str">
        <f aca="false">IF(AT173="","",ROUND(AT173/(1+Справочники!$B$12),0))</f>
        <v/>
      </c>
      <c r="AV173" s="90" t="str">
        <f aca="false">IF(AT173="","",ROUND(AT173*(1-Справочники!$B$15),0))</f>
        <v/>
      </c>
      <c r="AW173" s="90" t="str">
        <f aca="false">IF(AT173="","",ROUND(AT173*(1-Справочники!$B$16),0))</f>
        <v/>
      </c>
      <c r="AX173" s="90" t="str">
        <f aca="false">IF(AT173="","",ROUND(AT173*(1-Справочники!$B$17),0))</f>
        <v/>
      </c>
      <c r="AY173" s="90" t="str">
        <f aca="false">IF(AT173="","",ROUND(AT173*(1-Справочники!$B$18),0))</f>
        <v/>
      </c>
      <c r="AZ173" s="90" t="str">
        <f aca="false">IF(AT173="","",ROUND(AT173*(1-Справочники!$B$19),0))</f>
        <v/>
      </c>
      <c r="BA173" s="81"/>
      <c r="BB173" s="81"/>
      <c r="BC173" s="81"/>
      <c r="BD173" s="81"/>
      <c r="BE173" s="91"/>
      <c r="BF173" s="81" t="s">
        <v>103</v>
      </c>
      <c r="BG173" s="89" t="n">
        <f aca="false" t="array" ref="BG173:BG173">IF(BF173="","",IFERROR(INDEX(Справочники!$B$4:$B$7,MATCH(BF173,Справочники!$A$4:$A$7,0)),""))</f>
        <v>68.5</v>
      </c>
      <c r="BH173" s="90" t="str">
        <f aca="false">IF(N(BN173)&gt;0,ROUND(SUMIF(ЗАКАЗЫ!$F$3:$F$500,$A173,ЗАКАЗЫ!$Y$3:$Y$500)/BN173,0),IF(OR(BE173="",BG173=""),"",ROUND(BE173*BG173*(1+Справочники!$B$10),0)))</f>
        <v/>
      </c>
      <c r="BI173" s="92" t="str">
        <f aca="false">IF(OR(AU173="",BH173="",AU173=0),"",(AU173-BH173)/AU173)</f>
        <v/>
      </c>
      <c r="BJ173" s="81"/>
      <c r="BK173" s="83"/>
      <c r="BL173" s="43" t="str">
        <f aca="false">IFERROR(INDEX(ЗАКАЗЫ!$N$3:$N$500,MATCH($A173,ЗАКАЗЫ!$F$3:$F$500,0)),"")</f>
        <v/>
      </c>
      <c r="BM173" s="8" t="str">
        <f aca="false">IF(BL173="","",IFERROR(VLOOKUP(BL173,'ТН ВЭД'!$A$4:$C$40,3,0),""))</f>
        <v/>
      </c>
      <c r="BN173" s="7" t="str">
        <f aca="false">IF(COUNTIF(ЗАКАЗЫ!$F$3:$F$500,$A173)=0,"",SUMIF(ЗАКАЗЫ!$F$3:$F$500,$A173,ЗАКАЗЫ!$J$3:$J$500))</f>
        <v/>
      </c>
      <c r="BO173" s="7" t="str">
        <f aca="false">IF(BN173="","",SUMIF(ЗАКАЗЫ!$F$3:$F$500,$A173,ЗАКАЗЫ!$AL$3:$AL$500))</f>
        <v/>
      </c>
      <c r="BP173" s="7" t="str">
        <f aca="false">IF(BN173="","",BN173-BO173)</f>
        <v/>
      </c>
      <c r="BQ173" s="55" t="str">
        <f aca="false">IF(BN173="","",IF(BO173&gt;=BN173,"На складе",IF(BO173&gt;0,"Частично","Ждём")))</f>
        <v/>
      </c>
      <c r="BR173" s="43"/>
      <c r="BS173" s="47" t="str">
        <f aca="false">IF(BN173="","",IF(_xlfn.MAXIFS(ЗАКАЗЫ!$AK$3:$AK$500,ЗАКАЗЫ!$F$3:$F$500,$A173)=0,"",_xlfn.MAXIFS(ЗАКАЗЫ!$AK$3:$AK$500,ЗАКАЗЫ!$F$3:$F$500,$A173)))</f>
        <v/>
      </c>
    </row>
    <row r="174" customFormat="false" ht="15.75" hidden="false" customHeight="true" outlineLevel="0" collapsed="false">
      <c r="A174" s="80" t="s">
        <v>648</v>
      </c>
      <c r="B174" s="81"/>
      <c r="C174" s="81"/>
      <c r="D174" s="81"/>
      <c r="E174" s="83"/>
      <c r="F174" s="81"/>
      <c r="G174" s="83"/>
      <c r="H174" s="83"/>
      <c r="I174" s="84" t="str">
        <f aca="false">IF(E174="","",A174&amp;"_1.jpg")</f>
        <v/>
      </c>
      <c r="J174" s="84" t="str">
        <f aca="false">IF(E174="","",A174&amp;"_2.jpg; "&amp;A174&amp;"_3.jpg")</f>
        <v/>
      </c>
      <c r="K174" s="84" t="str">
        <f aca="false">IF(E174="","",A174&amp;"_schema.jpg")</f>
        <v/>
      </c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 t="s">
        <v>261</v>
      </c>
      <c r="W174" s="81"/>
      <c r="X174" s="81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6" t="str">
        <f aca="false">IF(SUM(Y174:AJ174)=0,"",SUM(Y174:AJ174))</f>
        <v/>
      </c>
      <c r="AL174" s="84" t="str">
        <f aca="false">MID(IF(N(Y174)&gt;0,", "&amp;Y$2,"")&amp;IF(N(Z174)&gt;0,", "&amp;Z$2,"")&amp;IF(N(AA174)&gt;0,", "&amp;AA$2,"")&amp;IF(N(AB174)&gt;0,", "&amp;AB$2,"")&amp;IF(N(AC174)&gt;0,", "&amp;AC$2,"")&amp;IF(N(AD174)&gt;0,", "&amp;AD$2,"")&amp;IF(N(AE174)&gt;0,", "&amp;AE$2,"")&amp;IF(N(AF174)&gt;0,", "&amp;AF$2,"")&amp;IF(N(AG174)&gt;0,", "&amp;AG$2,"")&amp;IF(N(AH174)&gt;0,", "&amp;AH$2,"")&amp;IF(N(AI174)&gt;0,", "&amp;AI$2,"")&amp;IF(N(AJ174)&gt;0,", "&amp;AJ$2,""),3,999)</f>
        <v/>
      </c>
      <c r="AM174" s="87" t="str">
        <f aca="false">IF(E174="","",MID(IF(N(Y174)&gt;0,", "&amp;A174&amp;"-"&amp;Y$2,"")&amp;IF(N(Z174)&gt;0,", "&amp;A174&amp;"-"&amp;Z$2,"")&amp;IF(N(AA174)&gt;0,", "&amp;A174&amp;"-"&amp;AA$2,"")&amp;IF(N(AB174)&gt;0,", "&amp;A174&amp;"-"&amp;AB$2,"")&amp;IF(N(AC174)&gt;0,", "&amp;A174&amp;"-"&amp;AC$2,"")&amp;IF(N(AD174)&gt;0,", "&amp;A174&amp;"-"&amp;AD$2,"")&amp;IF(N(AE174)&gt;0,", "&amp;A174&amp;"-"&amp;AE$2,"")&amp;IF(N(AF174)&gt;0,", "&amp;A174&amp;"-"&amp;AF$2,"")&amp;IF(N(AG174)&gt;0,", "&amp;A174&amp;"-"&amp;AG$2,"")&amp;IF(N(AH174)&gt;0,", "&amp;A174&amp;"-"&amp;AH$2,"")&amp;IF(N(AI174)&gt;0,", "&amp;A174&amp;"-"&amp;AI$2,"")&amp;IF(N(AJ174)&gt;0,", "&amp;A174&amp;"-"&amp;AJ$2,""),3,999))</f>
        <v/>
      </c>
      <c r="AN174" s="81"/>
      <c r="AO174" s="88"/>
      <c r="AP174" s="89" t="str">
        <f aca="false">IF(AO174="","",ROUND(AO174/(1+Справочники!$B$13),2))</f>
        <v/>
      </c>
      <c r="AQ174" s="90" t="str">
        <f aca="false" t="array" ref="AQ174:AQ174">IF(AP174="","",AP174*INDEX(Справочники!$B$4:$B$7,MATCH("RUB",Справочники!$A$4:$A$7,0)))</f>
        <v/>
      </c>
      <c r="AR174" s="90" t="str">
        <f aca="false">IF(AQ174="","",ROUND(AQ174*(1+Справочники!$B$12),0))</f>
        <v/>
      </c>
      <c r="AS174" s="90" t="str">
        <f aca="false">IF(AR174="","",ROUND(AR174*(1-Справочники!$B$11),0))</f>
        <v/>
      </c>
      <c r="AT174" s="88"/>
      <c r="AU174" s="90" t="str">
        <f aca="false">IF(AT174="","",ROUND(AT174/(1+Справочники!$B$12),0))</f>
        <v/>
      </c>
      <c r="AV174" s="90" t="str">
        <f aca="false">IF(AT174="","",ROUND(AT174*(1-Справочники!$B$15),0))</f>
        <v/>
      </c>
      <c r="AW174" s="90" t="str">
        <f aca="false">IF(AT174="","",ROUND(AT174*(1-Справочники!$B$16),0))</f>
        <v/>
      </c>
      <c r="AX174" s="90" t="str">
        <f aca="false">IF(AT174="","",ROUND(AT174*(1-Справочники!$B$17),0))</f>
        <v/>
      </c>
      <c r="AY174" s="90" t="str">
        <f aca="false">IF(AT174="","",ROUND(AT174*(1-Справочники!$B$18),0))</f>
        <v/>
      </c>
      <c r="AZ174" s="90" t="str">
        <f aca="false">IF(AT174="","",ROUND(AT174*(1-Справочники!$B$19),0))</f>
        <v/>
      </c>
      <c r="BA174" s="81"/>
      <c r="BB174" s="81"/>
      <c r="BC174" s="81"/>
      <c r="BD174" s="81"/>
      <c r="BE174" s="91"/>
      <c r="BF174" s="81" t="s">
        <v>103</v>
      </c>
      <c r="BG174" s="89" t="n">
        <f aca="false" t="array" ref="BG174:BG174">IF(BF174="","",IFERROR(INDEX(Справочники!$B$4:$B$7,MATCH(BF174,Справочники!$A$4:$A$7,0)),""))</f>
        <v>68.5</v>
      </c>
      <c r="BH174" s="90" t="str">
        <f aca="false">IF(N(BN174)&gt;0,ROUND(SUMIF(ЗАКАЗЫ!$F$3:$F$500,$A174,ЗАКАЗЫ!$Y$3:$Y$500)/BN174,0),IF(OR(BE174="",BG174=""),"",ROUND(BE174*BG174*(1+Справочники!$B$10),0)))</f>
        <v/>
      </c>
      <c r="BI174" s="92" t="str">
        <f aca="false">IF(OR(AU174="",BH174="",AU174=0),"",(AU174-BH174)/AU174)</f>
        <v/>
      </c>
      <c r="BJ174" s="81"/>
      <c r="BK174" s="83"/>
      <c r="BL174" s="43" t="str">
        <f aca="false">IFERROR(INDEX(ЗАКАЗЫ!$N$3:$N$500,MATCH($A174,ЗАКАЗЫ!$F$3:$F$500,0)),"")</f>
        <v/>
      </c>
      <c r="BM174" s="8" t="str">
        <f aca="false">IF(BL174="","",IFERROR(VLOOKUP(BL174,'ТН ВЭД'!$A$4:$C$40,3,0),""))</f>
        <v/>
      </c>
      <c r="BN174" s="7" t="str">
        <f aca="false">IF(COUNTIF(ЗАКАЗЫ!$F$3:$F$500,$A174)=0,"",SUMIF(ЗАКАЗЫ!$F$3:$F$500,$A174,ЗАКАЗЫ!$J$3:$J$500))</f>
        <v/>
      </c>
      <c r="BO174" s="7" t="str">
        <f aca="false">IF(BN174="","",SUMIF(ЗАКАЗЫ!$F$3:$F$500,$A174,ЗАКАЗЫ!$AL$3:$AL$500))</f>
        <v/>
      </c>
      <c r="BP174" s="7" t="str">
        <f aca="false">IF(BN174="","",BN174-BO174)</f>
        <v/>
      </c>
      <c r="BQ174" s="55" t="str">
        <f aca="false">IF(BN174="","",IF(BO174&gt;=BN174,"На складе",IF(BO174&gt;0,"Частично","Ждём")))</f>
        <v/>
      </c>
      <c r="BR174" s="43"/>
      <c r="BS174" s="47" t="str">
        <f aca="false">IF(BN174="","",IF(_xlfn.MAXIFS(ЗАКАЗЫ!$AK$3:$AK$500,ЗАКАЗЫ!$F$3:$F$500,$A174)=0,"",_xlfn.MAXIFS(ЗАКАЗЫ!$AK$3:$AK$500,ЗАКАЗЫ!$F$3:$F$500,$A174)))</f>
        <v/>
      </c>
    </row>
    <row r="175" customFormat="false" ht="15.75" hidden="false" customHeight="true" outlineLevel="0" collapsed="false">
      <c r="A175" s="80" t="s">
        <v>649</v>
      </c>
      <c r="B175" s="81"/>
      <c r="C175" s="81"/>
      <c r="D175" s="81"/>
      <c r="E175" s="83"/>
      <c r="F175" s="81"/>
      <c r="G175" s="83"/>
      <c r="H175" s="83"/>
      <c r="I175" s="84" t="str">
        <f aca="false">IF(E175="","",A175&amp;"_1.jpg")</f>
        <v/>
      </c>
      <c r="J175" s="84" t="str">
        <f aca="false">IF(E175="","",A175&amp;"_2.jpg; "&amp;A175&amp;"_3.jpg")</f>
        <v/>
      </c>
      <c r="K175" s="84" t="str">
        <f aca="false">IF(E175="","",A175&amp;"_schema.jpg")</f>
        <v/>
      </c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 t="s">
        <v>261</v>
      </c>
      <c r="W175" s="81"/>
      <c r="X175" s="81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6" t="str">
        <f aca="false">IF(SUM(Y175:AJ175)=0,"",SUM(Y175:AJ175))</f>
        <v/>
      </c>
      <c r="AL175" s="84" t="str">
        <f aca="false">MID(IF(N(Y175)&gt;0,", "&amp;Y$2,"")&amp;IF(N(Z175)&gt;0,", "&amp;Z$2,"")&amp;IF(N(AA175)&gt;0,", "&amp;AA$2,"")&amp;IF(N(AB175)&gt;0,", "&amp;AB$2,"")&amp;IF(N(AC175)&gt;0,", "&amp;AC$2,"")&amp;IF(N(AD175)&gt;0,", "&amp;AD$2,"")&amp;IF(N(AE175)&gt;0,", "&amp;AE$2,"")&amp;IF(N(AF175)&gt;0,", "&amp;AF$2,"")&amp;IF(N(AG175)&gt;0,", "&amp;AG$2,"")&amp;IF(N(AH175)&gt;0,", "&amp;AH$2,"")&amp;IF(N(AI175)&gt;0,", "&amp;AI$2,"")&amp;IF(N(AJ175)&gt;0,", "&amp;AJ$2,""),3,999)</f>
        <v/>
      </c>
      <c r="AM175" s="87" t="str">
        <f aca="false">IF(E175="","",MID(IF(N(Y175)&gt;0,", "&amp;A175&amp;"-"&amp;Y$2,"")&amp;IF(N(Z175)&gt;0,", "&amp;A175&amp;"-"&amp;Z$2,"")&amp;IF(N(AA175)&gt;0,", "&amp;A175&amp;"-"&amp;AA$2,"")&amp;IF(N(AB175)&gt;0,", "&amp;A175&amp;"-"&amp;AB$2,"")&amp;IF(N(AC175)&gt;0,", "&amp;A175&amp;"-"&amp;AC$2,"")&amp;IF(N(AD175)&gt;0,", "&amp;A175&amp;"-"&amp;AD$2,"")&amp;IF(N(AE175)&gt;0,", "&amp;A175&amp;"-"&amp;AE$2,"")&amp;IF(N(AF175)&gt;0,", "&amp;A175&amp;"-"&amp;AF$2,"")&amp;IF(N(AG175)&gt;0,", "&amp;A175&amp;"-"&amp;AG$2,"")&amp;IF(N(AH175)&gt;0,", "&amp;A175&amp;"-"&amp;AH$2,"")&amp;IF(N(AI175)&gt;0,", "&amp;A175&amp;"-"&amp;AI$2,"")&amp;IF(N(AJ175)&gt;0,", "&amp;A175&amp;"-"&amp;AJ$2,""),3,999))</f>
        <v/>
      </c>
      <c r="AN175" s="81"/>
      <c r="AO175" s="88"/>
      <c r="AP175" s="89" t="str">
        <f aca="false">IF(AO175="","",ROUND(AO175/(1+Справочники!$B$13),2))</f>
        <v/>
      </c>
      <c r="AQ175" s="90" t="str">
        <f aca="false" t="array" ref="AQ175:AQ175">IF(AP175="","",AP175*INDEX(Справочники!$B$4:$B$7,MATCH("RUB",Справочники!$A$4:$A$7,0)))</f>
        <v/>
      </c>
      <c r="AR175" s="90" t="str">
        <f aca="false">IF(AQ175="","",ROUND(AQ175*(1+Справочники!$B$12),0))</f>
        <v/>
      </c>
      <c r="AS175" s="90" t="str">
        <f aca="false">IF(AR175="","",ROUND(AR175*(1-Справочники!$B$11),0))</f>
        <v/>
      </c>
      <c r="AT175" s="88"/>
      <c r="AU175" s="90" t="str">
        <f aca="false">IF(AT175="","",ROUND(AT175/(1+Справочники!$B$12),0))</f>
        <v/>
      </c>
      <c r="AV175" s="90" t="str">
        <f aca="false">IF(AT175="","",ROUND(AT175*(1-Справочники!$B$15),0))</f>
        <v/>
      </c>
      <c r="AW175" s="90" t="str">
        <f aca="false">IF(AT175="","",ROUND(AT175*(1-Справочники!$B$16),0))</f>
        <v/>
      </c>
      <c r="AX175" s="90" t="str">
        <f aca="false">IF(AT175="","",ROUND(AT175*(1-Справочники!$B$17),0))</f>
        <v/>
      </c>
      <c r="AY175" s="90" t="str">
        <f aca="false">IF(AT175="","",ROUND(AT175*(1-Справочники!$B$18),0))</f>
        <v/>
      </c>
      <c r="AZ175" s="90" t="str">
        <f aca="false">IF(AT175="","",ROUND(AT175*(1-Справочники!$B$19),0))</f>
        <v/>
      </c>
      <c r="BA175" s="81"/>
      <c r="BB175" s="81"/>
      <c r="BC175" s="81"/>
      <c r="BD175" s="81"/>
      <c r="BE175" s="91"/>
      <c r="BF175" s="81" t="s">
        <v>103</v>
      </c>
      <c r="BG175" s="89" t="n">
        <f aca="false" t="array" ref="BG175:BG175">IF(BF175="","",IFERROR(INDEX(Справочники!$B$4:$B$7,MATCH(BF175,Справочники!$A$4:$A$7,0)),""))</f>
        <v>68.5</v>
      </c>
      <c r="BH175" s="90" t="str">
        <f aca="false">IF(N(BN175)&gt;0,ROUND(SUMIF(ЗАКАЗЫ!$F$3:$F$500,$A175,ЗАКАЗЫ!$Y$3:$Y$500)/BN175,0),IF(OR(BE175="",BG175=""),"",ROUND(BE175*BG175*(1+Справочники!$B$10),0)))</f>
        <v/>
      </c>
      <c r="BI175" s="92" t="str">
        <f aca="false">IF(OR(AU175="",BH175="",AU175=0),"",(AU175-BH175)/AU175)</f>
        <v/>
      </c>
      <c r="BJ175" s="81"/>
      <c r="BK175" s="83"/>
      <c r="BL175" s="43" t="str">
        <f aca="false">IFERROR(INDEX(ЗАКАЗЫ!$N$3:$N$500,MATCH($A175,ЗАКАЗЫ!$F$3:$F$500,0)),"")</f>
        <v/>
      </c>
      <c r="BM175" s="8" t="str">
        <f aca="false">IF(BL175="","",IFERROR(VLOOKUP(BL175,'ТН ВЭД'!$A$4:$C$40,3,0),""))</f>
        <v/>
      </c>
      <c r="BN175" s="7" t="str">
        <f aca="false">IF(COUNTIF(ЗАКАЗЫ!$F$3:$F$500,$A175)=0,"",SUMIF(ЗАКАЗЫ!$F$3:$F$500,$A175,ЗАКАЗЫ!$J$3:$J$500))</f>
        <v/>
      </c>
      <c r="BO175" s="7" t="str">
        <f aca="false">IF(BN175="","",SUMIF(ЗАКАЗЫ!$F$3:$F$500,$A175,ЗАКАЗЫ!$AL$3:$AL$500))</f>
        <v/>
      </c>
      <c r="BP175" s="7" t="str">
        <f aca="false">IF(BN175="","",BN175-BO175)</f>
        <v/>
      </c>
      <c r="BQ175" s="55" t="str">
        <f aca="false">IF(BN175="","",IF(BO175&gt;=BN175,"На складе",IF(BO175&gt;0,"Частично","Ждём")))</f>
        <v/>
      </c>
      <c r="BR175" s="43"/>
      <c r="BS175" s="47" t="str">
        <f aca="false">IF(BN175="","",IF(_xlfn.MAXIFS(ЗАКАЗЫ!$AK$3:$AK$500,ЗАКАЗЫ!$F$3:$F$500,$A175)=0,"",_xlfn.MAXIFS(ЗАКАЗЫ!$AK$3:$AK$500,ЗАКАЗЫ!$F$3:$F$500,$A175)))</f>
        <v/>
      </c>
    </row>
    <row r="176" customFormat="false" ht="15.75" hidden="false" customHeight="true" outlineLevel="0" collapsed="false">
      <c r="A176" s="80" t="s">
        <v>650</v>
      </c>
      <c r="B176" s="81"/>
      <c r="C176" s="81"/>
      <c r="D176" s="81"/>
      <c r="E176" s="83"/>
      <c r="F176" s="81"/>
      <c r="G176" s="83"/>
      <c r="H176" s="83"/>
      <c r="I176" s="84" t="str">
        <f aca="false">IF(E176="","",A176&amp;"_1.jpg")</f>
        <v/>
      </c>
      <c r="J176" s="84" t="str">
        <f aca="false">IF(E176="","",A176&amp;"_2.jpg; "&amp;A176&amp;"_3.jpg")</f>
        <v/>
      </c>
      <c r="K176" s="84" t="str">
        <f aca="false">IF(E176="","",A176&amp;"_schema.jpg")</f>
        <v/>
      </c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 t="s">
        <v>261</v>
      </c>
      <c r="W176" s="81"/>
      <c r="X176" s="81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6" t="str">
        <f aca="false">IF(SUM(Y176:AJ176)=0,"",SUM(Y176:AJ176))</f>
        <v/>
      </c>
      <c r="AL176" s="84" t="str">
        <f aca="false">MID(IF(N(Y176)&gt;0,", "&amp;Y$2,"")&amp;IF(N(Z176)&gt;0,", "&amp;Z$2,"")&amp;IF(N(AA176)&gt;0,", "&amp;AA$2,"")&amp;IF(N(AB176)&gt;0,", "&amp;AB$2,"")&amp;IF(N(AC176)&gt;0,", "&amp;AC$2,"")&amp;IF(N(AD176)&gt;0,", "&amp;AD$2,"")&amp;IF(N(AE176)&gt;0,", "&amp;AE$2,"")&amp;IF(N(AF176)&gt;0,", "&amp;AF$2,"")&amp;IF(N(AG176)&gt;0,", "&amp;AG$2,"")&amp;IF(N(AH176)&gt;0,", "&amp;AH$2,"")&amp;IF(N(AI176)&gt;0,", "&amp;AI$2,"")&amp;IF(N(AJ176)&gt;0,", "&amp;AJ$2,""),3,999)</f>
        <v/>
      </c>
      <c r="AM176" s="87" t="str">
        <f aca="false">IF(E176="","",MID(IF(N(Y176)&gt;0,", "&amp;A176&amp;"-"&amp;Y$2,"")&amp;IF(N(Z176)&gt;0,", "&amp;A176&amp;"-"&amp;Z$2,"")&amp;IF(N(AA176)&gt;0,", "&amp;A176&amp;"-"&amp;AA$2,"")&amp;IF(N(AB176)&gt;0,", "&amp;A176&amp;"-"&amp;AB$2,"")&amp;IF(N(AC176)&gt;0,", "&amp;A176&amp;"-"&amp;AC$2,"")&amp;IF(N(AD176)&gt;0,", "&amp;A176&amp;"-"&amp;AD$2,"")&amp;IF(N(AE176)&gt;0,", "&amp;A176&amp;"-"&amp;AE$2,"")&amp;IF(N(AF176)&gt;0,", "&amp;A176&amp;"-"&amp;AF$2,"")&amp;IF(N(AG176)&gt;0,", "&amp;A176&amp;"-"&amp;AG$2,"")&amp;IF(N(AH176)&gt;0,", "&amp;A176&amp;"-"&amp;AH$2,"")&amp;IF(N(AI176)&gt;0,", "&amp;A176&amp;"-"&amp;AI$2,"")&amp;IF(N(AJ176)&gt;0,", "&amp;A176&amp;"-"&amp;AJ$2,""),3,999))</f>
        <v/>
      </c>
      <c r="AN176" s="81"/>
      <c r="AO176" s="88"/>
      <c r="AP176" s="89" t="str">
        <f aca="false">IF(AO176="","",ROUND(AO176/(1+Справочники!$B$13),2))</f>
        <v/>
      </c>
      <c r="AQ176" s="90" t="str">
        <f aca="false" t="array" ref="AQ176:AQ176">IF(AP176="","",AP176*INDEX(Справочники!$B$4:$B$7,MATCH("RUB",Справочники!$A$4:$A$7,0)))</f>
        <v/>
      </c>
      <c r="AR176" s="90" t="str">
        <f aca="false">IF(AQ176="","",ROUND(AQ176*(1+Справочники!$B$12),0))</f>
        <v/>
      </c>
      <c r="AS176" s="90" t="str">
        <f aca="false">IF(AR176="","",ROUND(AR176*(1-Справочники!$B$11),0))</f>
        <v/>
      </c>
      <c r="AT176" s="88"/>
      <c r="AU176" s="90" t="str">
        <f aca="false">IF(AT176="","",ROUND(AT176/(1+Справочники!$B$12),0))</f>
        <v/>
      </c>
      <c r="AV176" s="90" t="str">
        <f aca="false">IF(AT176="","",ROUND(AT176*(1-Справочники!$B$15),0))</f>
        <v/>
      </c>
      <c r="AW176" s="90" t="str">
        <f aca="false">IF(AT176="","",ROUND(AT176*(1-Справочники!$B$16),0))</f>
        <v/>
      </c>
      <c r="AX176" s="90" t="str">
        <f aca="false">IF(AT176="","",ROUND(AT176*(1-Справочники!$B$17),0))</f>
        <v/>
      </c>
      <c r="AY176" s="90" t="str">
        <f aca="false">IF(AT176="","",ROUND(AT176*(1-Справочники!$B$18),0))</f>
        <v/>
      </c>
      <c r="AZ176" s="90" t="str">
        <f aca="false">IF(AT176="","",ROUND(AT176*(1-Справочники!$B$19),0))</f>
        <v/>
      </c>
      <c r="BA176" s="81"/>
      <c r="BB176" s="81"/>
      <c r="BC176" s="81"/>
      <c r="BD176" s="81"/>
      <c r="BE176" s="91"/>
      <c r="BF176" s="81" t="s">
        <v>103</v>
      </c>
      <c r="BG176" s="89" t="n">
        <f aca="false" t="array" ref="BG176:BG176">IF(BF176="","",IFERROR(INDEX(Справочники!$B$4:$B$7,MATCH(BF176,Справочники!$A$4:$A$7,0)),""))</f>
        <v>68.5</v>
      </c>
      <c r="BH176" s="90" t="str">
        <f aca="false">IF(N(BN176)&gt;0,ROUND(SUMIF(ЗАКАЗЫ!$F$3:$F$500,$A176,ЗАКАЗЫ!$Y$3:$Y$500)/BN176,0),IF(OR(BE176="",BG176=""),"",ROUND(BE176*BG176*(1+Справочники!$B$10),0)))</f>
        <v/>
      </c>
      <c r="BI176" s="92" t="str">
        <f aca="false">IF(OR(AU176="",BH176="",AU176=0),"",(AU176-BH176)/AU176)</f>
        <v/>
      </c>
      <c r="BJ176" s="81"/>
      <c r="BK176" s="83"/>
      <c r="BL176" s="43" t="str">
        <f aca="false">IFERROR(INDEX(ЗАКАЗЫ!$N$3:$N$500,MATCH($A176,ЗАКАЗЫ!$F$3:$F$500,0)),"")</f>
        <v/>
      </c>
      <c r="BM176" s="8" t="str">
        <f aca="false">IF(BL176="","",IFERROR(VLOOKUP(BL176,'ТН ВЭД'!$A$4:$C$40,3,0),""))</f>
        <v/>
      </c>
      <c r="BN176" s="7" t="str">
        <f aca="false">IF(COUNTIF(ЗАКАЗЫ!$F$3:$F$500,$A176)=0,"",SUMIF(ЗАКАЗЫ!$F$3:$F$500,$A176,ЗАКАЗЫ!$J$3:$J$500))</f>
        <v/>
      </c>
      <c r="BO176" s="7" t="str">
        <f aca="false">IF(BN176="","",SUMIF(ЗАКАЗЫ!$F$3:$F$500,$A176,ЗАКАЗЫ!$AL$3:$AL$500))</f>
        <v/>
      </c>
      <c r="BP176" s="7" t="str">
        <f aca="false">IF(BN176="","",BN176-BO176)</f>
        <v/>
      </c>
      <c r="BQ176" s="55" t="str">
        <f aca="false">IF(BN176="","",IF(BO176&gt;=BN176,"На складе",IF(BO176&gt;0,"Частично","Ждём")))</f>
        <v/>
      </c>
      <c r="BR176" s="43"/>
      <c r="BS176" s="47" t="str">
        <f aca="false">IF(BN176="","",IF(_xlfn.MAXIFS(ЗАКАЗЫ!$AK$3:$AK$500,ЗАКАЗЫ!$F$3:$F$500,$A176)=0,"",_xlfn.MAXIFS(ЗАКАЗЫ!$AK$3:$AK$500,ЗАКАЗЫ!$F$3:$F$500,$A176)))</f>
        <v/>
      </c>
    </row>
    <row r="177" customFormat="false" ht="15.75" hidden="false" customHeight="true" outlineLevel="0" collapsed="false">
      <c r="A177" s="80" t="s">
        <v>651</v>
      </c>
      <c r="B177" s="81"/>
      <c r="C177" s="81"/>
      <c r="D177" s="81"/>
      <c r="E177" s="83"/>
      <c r="F177" s="81"/>
      <c r="G177" s="83"/>
      <c r="H177" s="83"/>
      <c r="I177" s="84" t="str">
        <f aca="false">IF(E177="","",A177&amp;"_1.jpg")</f>
        <v/>
      </c>
      <c r="J177" s="84" t="str">
        <f aca="false">IF(E177="","",A177&amp;"_2.jpg; "&amp;A177&amp;"_3.jpg")</f>
        <v/>
      </c>
      <c r="K177" s="84" t="str">
        <f aca="false">IF(E177="","",A177&amp;"_schema.jpg")</f>
        <v/>
      </c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 t="s">
        <v>261</v>
      </c>
      <c r="W177" s="81"/>
      <c r="X177" s="81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6" t="str">
        <f aca="false">IF(SUM(Y177:AJ177)=0,"",SUM(Y177:AJ177))</f>
        <v/>
      </c>
      <c r="AL177" s="84" t="str">
        <f aca="false">MID(IF(N(Y177)&gt;0,", "&amp;Y$2,"")&amp;IF(N(Z177)&gt;0,", "&amp;Z$2,"")&amp;IF(N(AA177)&gt;0,", "&amp;AA$2,"")&amp;IF(N(AB177)&gt;0,", "&amp;AB$2,"")&amp;IF(N(AC177)&gt;0,", "&amp;AC$2,"")&amp;IF(N(AD177)&gt;0,", "&amp;AD$2,"")&amp;IF(N(AE177)&gt;0,", "&amp;AE$2,"")&amp;IF(N(AF177)&gt;0,", "&amp;AF$2,"")&amp;IF(N(AG177)&gt;0,", "&amp;AG$2,"")&amp;IF(N(AH177)&gt;0,", "&amp;AH$2,"")&amp;IF(N(AI177)&gt;0,", "&amp;AI$2,"")&amp;IF(N(AJ177)&gt;0,", "&amp;AJ$2,""),3,999)</f>
        <v/>
      </c>
      <c r="AM177" s="87" t="str">
        <f aca="false">IF(E177="","",MID(IF(N(Y177)&gt;0,", "&amp;A177&amp;"-"&amp;Y$2,"")&amp;IF(N(Z177)&gt;0,", "&amp;A177&amp;"-"&amp;Z$2,"")&amp;IF(N(AA177)&gt;0,", "&amp;A177&amp;"-"&amp;AA$2,"")&amp;IF(N(AB177)&gt;0,", "&amp;A177&amp;"-"&amp;AB$2,"")&amp;IF(N(AC177)&gt;0,", "&amp;A177&amp;"-"&amp;AC$2,"")&amp;IF(N(AD177)&gt;0,", "&amp;A177&amp;"-"&amp;AD$2,"")&amp;IF(N(AE177)&gt;0,", "&amp;A177&amp;"-"&amp;AE$2,"")&amp;IF(N(AF177)&gt;0,", "&amp;A177&amp;"-"&amp;AF$2,"")&amp;IF(N(AG177)&gt;0,", "&amp;A177&amp;"-"&amp;AG$2,"")&amp;IF(N(AH177)&gt;0,", "&amp;A177&amp;"-"&amp;AH$2,"")&amp;IF(N(AI177)&gt;0,", "&amp;A177&amp;"-"&amp;AI$2,"")&amp;IF(N(AJ177)&gt;0,", "&amp;A177&amp;"-"&amp;AJ$2,""),3,999))</f>
        <v/>
      </c>
      <c r="AN177" s="81"/>
      <c r="AO177" s="88"/>
      <c r="AP177" s="89" t="str">
        <f aca="false">IF(AO177="","",ROUND(AO177/(1+Справочники!$B$13),2))</f>
        <v/>
      </c>
      <c r="AQ177" s="90" t="str">
        <f aca="false" t="array" ref="AQ177:AQ177">IF(AP177="","",AP177*INDEX(Справочники!$B$4:$B$7,MATCH("RUB",Справочники!$A$4:$A$7,0)))</f>
        <v/>
      </c>
      <c r="AR177" s="90" t="str">
        <f aca="false">IF(AQ177="","",ROUND(AQ177*(1+Справочники!$B$12),0))</f>
        <v/>
      </c>
      <c r="AS177" s="90" t="str">
        <f aca="false">IF(AR177="","",ROUND(AR177*(1-Справочники!$B$11),0))</f>
        <v/>
      </c>
      <c r="AT177" s="88"/>
      <c r="AU177" s="90" t="str">
        <f aca="false">IF(AT177="","",ROUND(AT177/(1+Справочники!$B$12),0))</f>
        <v/>
      </c>
      <c r="AV177" s="90" t="str">
        <f aca="false">IF(AT177="","",ROUND(AT177*(1-Справочники!$B$15),0))</f>
        <v/>
      </c>
      <c r="AW177" s="90" t="str">
        <f aca="false">IF(AT177="","",ROUND(AT177*(1-Справочники!$B$16),0))</f>
        <v/>
      </c>
      <c r="AX177" s="90" t="str">
        <f aca="false">IF(AT177="","",ROUND(AT177*(1-Справочники!$B$17),0))</f>
        <v/>
      </c>
      <c r="AY177" s="90" t="str">
        <f aca="false">IF(AT177="","",ROUND(AT177*(1-Справочники!$B$18),0))</f>
        <v/>
      </c>
      <c r="AZ177" s="90" t="str">
        <f aca="false">IF(AT177="","",ROUND(AT177*(1-Справочники!$B$19),0))</f>
        <v/>
      </c>
      <c r="BA177" s="81"/>
      <c r="BB177" s="81"/>
      <c r="BC177" s="81"/>
      <c r="BD177" s="81"/>
      <c r="BE177" s="91"/>
      <c r="BF177" s="81" t="s">
        <v>103</v>
      </c>
      <c r="BG177" s="89" t="n">
        <f aca="false" t="array" ref="BG177:BG177">IF(BF177="","",IFERROR(INDEX(Справочники!$B$4:$B$7,MATCH(BF177,Справочники!$A$4:$A$7,0)),""))</f>
        <v>68.5</v>
      </c>
      <c r="BH177" s="90" t="str">
        <f aca="false">IF(N(BN177)&gt;0,ROUND(SUMIF(ЗАКАЗЫ!$F$3:$F$500,$A177,ЗАКАЗЫ!$Y$3:$Y$500)/BN177,0),IF(OR(BE177="",BG177=""),"",ROUND(BE177*BG177*(1+Справочники!$B$10),0)))</f>
        <v/>
      </c>
      <c r="BI177" s="92" t="str">
        <f aca="false">IF(OR(AU177="",BH177="",AU177=0),"",(AU177-BH177)/AU177)</f>
        <v/>
      </c>
      <c r="BJ177" s="81"/>
      <c r="BK177" s="83"/>
      <c r="BL177" s="43" t="str">
        <f aca="false">IFERROR(INDEX(ЗАКАЗЫ!$N$3:$N$500,MATCH($A177,ЗАКАЗЫ!$F$3:$F$500,0)),"")</f>
        <v/>
      </c>
      <c r="BM177" s="8" t="str">
        <f aca="false">IF(BL177="","",IFERROR(VLOOKUP(BL177,'ТН ВЭД'!$A$4:$C$40,3,0),""))</f>
        <v/>
      </c>
      <c r="BN177" s="7" t="str">
        <f aca="false">IF(COUNTIF(ЗАКАЗЫ!$F$3:$F$500,$A177)=0,"",SUMIF(ЗАКАЗЫ!$F$3:$F$500,$A177,ЗАКАЗЫ!$J$3:$J$500))</f>
        <v/>
      </c>
      <c r="BO177" s="7" t="str">
        <f aca="false">IF(BN177="","",SUMIF(ЗАКАЗЫ!$F$3:$F$500,$A177,ЗАКАЗЫ!$AL$3:$AL$500))</f>
        <v/>
      </c>
      <c r="BP177" s="7" t="str">
        <f aca="false">IF(BN177="","",BN177-BO177)</f>
        <v/>
      </c>
      <c r="BQ177" s="55" t="str">
        <f aca="false">IF(BN177="","",IF(BO177&gt;=BN177,"На складе",IF(BO177&gt;0,"Частично","Ждём")))</f>
        <v/>
      </c>
      <c r="BR177" s="43"/>
      <c r="BS177" s="47" t="str">
        <f aca="false">IF(BN177="","",IF(_xlfn.MAXIFS(ЗАКАЗЫ!$AK$3:$AK$500,ЗАКАЗЫ!$F$3:$F$500,$A177)=0,"",_xlfn.MAXIFS(ЗАКАЗЫ!$AK$3:$AK$500,ЗАКАЗЫ!$F$3:$F$500,$A177)))</f>
        <v/>
      </c>
    </row>
    <row r="178" customFormat="false" ht="15.75" hidden="false" customHeight="true" outlineLevel="0" collapsed="false">
      <c r="A178" s="80" t="s">
        <v>652</v>
      </c>
      <c r="B178" s="81"/>
      <c r="C178" s="81"/>
      <c r="D178" s="81"/>
      <c r="E178" s="83"/>
      <c r="F178" s="81"/>
      <c r="G178" s="83"/>
      <c r="H178" s="83"/>
      <c r="I178" s="84" t="str">
        <f aca="false">IF(E178="","",A178&amp;"_1.jpg")</f>
        <v/>
      </c>
      <c r="J178" s="84" t="str">
        <f aca="false">IF(E178="","",A178&amp;"_2.jpg; "&amp;A178&amp;"_3.jpg")</f>
        <v/>
      </c>
      <c r="K178" s="84" t="str">
        <f aca="false">IF(E178="","",A178&amp;"_schema.jpg")</f>
        <v/>
      </c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 t="s">
        <v>261</v>
      </c>
      <c r="W178" s="81"/>
      <c r="X178" s="81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6" t="str">
        <f aca="false">IF(SUM(Y178:AJ178)=0,"",SUM(Y178:AJ178))</f>
        <v/>
      </c>
      <c r="AL178" s="84" t="str">
        <f aca="false">MID(IF(N(Y178)&gt;0,", "&amp;Y$2,"")&amp;IF(N(Z178)&gt;0,", "&amp;Z$2,"")&amp;IF(N(AA178)&gt;0,", "&amp;AA$2,"")&amp;IF(N(AB178)&gt;0,", "&amp;AB$2,"")&amp;IF(N(AC178)&gt;0,", "&amp;AC$2,"")&amp;IF(N(AD178)&gt;0,", "&amp;AD$2,"")&amp;IF(N(AE178)&gt;0,", "&amp;AE$2,"")&amp;IF(N(AF178)&gt;0,", "&amp;AF$2,"")&amp;IF(N(AG178)&gt;0,", "&amp;AG$2,"")&amp;IF(N(AH178)&gt;0,", "&amp;AH$2,"")&amp;IF(N(AI178)&gt;0,", "&amp;AI$2,"")&amp;IF(N(AJ178)&gt;0,", "&amp;AJ$2,""),3,999)</f>
        <v/>
      </c>
      <c r="AM178" s="87" t="str">
        <f aca="false">IF(E178="","",MID(IF(N(Y178)&gt;0,", "&amp;A178&amp;"-"&amp;Y$2,"")&amp;IF(N(Z178)&gt;0,", "&amp;A178&amp;"-"&amp;Z$2,"")&amp;IF(N(AA178)&gt;0,", "&amp;A178&amp;"-"&amp;AA$2,"")&amp;IF(N(AB178)&gt;0,", "&amp;A178&amp;"-"&amp;AB$2,"")&amp;IF(N(AC178)&gt;0,", "&amp;A178&amp;"-"&amp;AC$2,"")&amp;IF(N(AD178)&gt;0,", "&amp;A178&amp;"-"&amp;AD$2,"")&amp;IF(N(AE178)&gt;0,", "&amp;A178&amp;"-"&amp;AE$2,"")&amp;IF(N(AF178)&gt;0,", "&amp;A178&amp;"-"&amp;AF$2,"")&amp;IF(N(AG178)&gt;0,", "&amp;A178&amp;"-"&amp;AG$2,"")&amp;IF(N(AH178)&gt;0,", "&amp;A178&amp;"-"&amp;AH$2,"")&amp;IF(N(AI178)&gt;0,", "&amp;A178&amp;"-"&amp;AI$2,"")&amp;IF(N(AJ178)&gt;0,", "&amp;A178&amp;"-"&amp;AJ$2,""),3,999))</f>
        <v/>
      </c>
      <c r="AN178" s="81"/>
      <c r="AO178" s="88"/>
      <c r="AP178" s="89" t="str">
        <f aca="false">IF(AO178="","",ROUND(AO178/(1+Справочники!$B$13),2))</f>
        <v/>
      </c>
      <c r="AQ178" s="90" t="str">
        <f aca="false" t="array" ref="AQ178:AQ178">IF(AP178="","",AP178*INDEX(Справочники!$B$4:$B$7,MATCH("RUB",Справочники!$A$4:$A$7,0)))</f>
        <v/>
      </c>
      <c r="AR178" s="90" t="str">
        <f aca="false">IF(AQ178="","",ROUND(AQ178*(1+Справочники!$B$12),0))</f>
        <v/>
      </c>
      <c r="AS178" s="90" t="str">
        <f aca="false">IF(AR178="","",ROUND(AR178*(1-Справочники!$B$11),0))</f>
        <v/>
      </c>
      <c r="AT178" s="88"/>
      <c r="AU178" s="90" t="str">
        <f aca="false">IF(AT178="","",ROUND(AT178/(1+Справочники!$B$12),0))</f>
        <v/>
      </c>
      <c r="AV178" s="90" t="str">
        <f aca="false">IF(AT178="","",ROUND(AT178*(1-Справочники!$B$15),0))</f>
        <v/>
      </c>
      <c r="AW178" s="90" t="str">
        <f aca="false">IF(AT178="","",ROUND(AT178*(1-Справочники!$B$16),0))</f>
        <v/>
      </c>
      <c r="AX178" s="90" t="str">
        <f aca="false">IF(AT178="","",ROUND(AT178*(1-Справочники!$B$17),0))</f>
        <v/>
      </c>
      <c r="AY178" s="90" t="str">
        <f aca="false">IF(AT178="","",ROUND(AT178*(1-Справочники!$B$18),0))</f>
        <v/>
      </c>
      <c r="AZ178" s="90" t="str">
        <f aca="false">IF(AT178="","",ROUND(AT178*(1-Справочники!$B$19),0))</f>
        <v/>
      </c>
      <c r="BA178" s="81"/>
      <c r="BB178" s="81"/>
      <c r="BC178" s="81"/>
      <c r="BD178" s="81"/>
      <c r="BE178" s="91"/>
      <c r="BF178" s="81" t="s">
        <v>103</v>
      </c>
      <c r="BG178" s="89" t="n">
        <f aca="false" t="array" ref="BG178:BG178">IF(BF178="","",IFERROR(INDEX(Справочники!$B$4:$B$7,MATCH(BF178,Справочники!$A$4:$A$7,0)),""))</f>
        <v>68.5</v>
      </c>
      <c r="BH178" s="90" t="str">
        <f aca="false">IF(N(BN178)&gt;0,ROUND(SUMIF(ЗАКАЗЫ!$F$3:$F$500,$A178,ЗАКАЗЫ!$Y$3:$Y$500)/BN178,0),IF(OR(BE178="",BG178=""),"",ROUND(BE178*BG178*(1+Справочники!$B$10),0)))</f>
        <v/>
      </c>
      <c r="BI178" s="92" t="str">
        <f aca="false">IF(OR(AU178="",BH178="",AU178=0),"",(AU178-BH178)/AU178)</f>
        <v/>
      </c>
      <c r="BJ178" s="81"/>
      <c r="BK178" s="83"/>
      <c r="BL178" s="43" t="str">
        <f aca="false">IFERROR(INDEX(ЗАКАЗЫ!$N$3:$N$500,MATCH($A178,ЗАКАЗЫ!$F$3:$F$500,0)),"")</f>
        <v/>
      </c>
      <c r="BM178" s="8" t="str">
        <f aca="false">IF(BL178="","",IFERROR(VLOOKUP(BL178,'ТН ВЭД'!$A$4:$C$40,3,0),""))</f>
        <v/>
      </c>
      <c r="BN178" s="7" t="str">
        <f aca="false">IF(COUNTIF(ЗАКАЗЫ!$F$3:$F$500,$A178)=0,"",SUMIF(ЗАКАЗЫ!$F$3:$F$500,$A178,ЗАКАЗЫ!$J$3:$J$500))</f>
        <v/>
      </c>
      <c r="BO178" s="7" t="str">
        <f aca="false">IF(BN178="","",SUMIF(ЗАКАЗЫ!$F$3:$F$500,$A178,ЗАКАЗЫ!$AL$3:$AL$500))</f>
        <v/>
      </c>
      <c r="BP178" s="7" t="str">
        <f aca="false">IF(BN178="","",BN178-BO178)</f>
        <v/>
      </c>
      <c r="BQ178" s="55" t="str">
        <f aca="false">IF(BN178="","",IF(BO178&gt;=BN178,"На складе",IF(BO178&gt;0,"Частично","Ждём")))</f>
        <v/>
      </c>
      <c r="BR178" s="43"/>
      <c r="BS178" s="47" t="str">
        <f aca="false">IF(BN178="","",IF(_xlfn.MAXIFS(ЗАКАЗЫ!$AK$3:$AK$500,ЗАКАЗЫ!$F$3:$F$500,$A178)=0,"",_xlfn.MAXIFS(ЗАКАЗЫ!$AK$3:$AK$500,ЗАКАЗЫ!$F$3:$F$500,$A178)))</f>
        <v/>
      </c>
    </row>
    <row r="179" customFormat="false" ht="15.75" hidden="false" customHeight="true" outlineLevel="0" collapsed="false">
      <c r="A179" s="80" t="s">
        <v>653</v>
      </c>
      <c r="B179" s="81"/>
      <c r="C179" s="81"/>
      <c r="D179" s="81"/>
      <c r="E179" s="83"/>
      <c r="F179" s="81"/>
      <c r="G179" s="83"/>
      <c r="H179" s="83"/>
      <c r="I179" s="84" t="str">
        <f aca="false">IF(E179="","",A179&amp;"_1.jpg")</f>
        <v/>
      </c>
      <c r="J179" s="84" t="str">
        <f aca="false">IF(E179="","",A179&amp;"_2.jpg; "&amp;A179&amp;"_3.jpg")</f>
        <v/>
      </c>
      <c r="K179" s="84" t="str">
        <f aca="false">IF(E179="","",A179&amp;"_schema.jpg")</f>
        <v/>
      </c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 t="s">
        <v>261</v>
      </c>
      <c r="W179" s="81"/>
      <c r="X179" s="81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6" t="str">
        <f aca="false">IF(SUM(Y179:AJ179)=0,"",SUM(Y179:AJ179))</f>
        <v/>
      </c>
      <c r="AL179" s="84" t="str">
        <f aca="false">MID(IF(N(Y179)&gt;0,", "&amp;Y$2,"")&amp;IF(N(Z179)&gt;0,", "&amp;Z$2,"")&amp;IF(N(AA179)&gt;0,", "&amp;AA$2,"")&amp;IF(N(AB179)&gt;0,", "&amp;AB$2,"")&amp;IF(N(AC179)&gt;0,", "&amp;AC$2,"")&amp;IF(N(AD179)&gt;0,", "&amp;AD$2,"")&amp;IF(N(AE179)&gt;0,", "&amp;AE$2,"")&amp;IF(N(AF179)&gt;0,", "&amp;AF$2,"")&amp;IF(N(AG179)&gt;0,", "&amp;AG$2,"")&amp;IF(N(AH179)&gt;0,", "&amp;AH$2,"")&amp;IF(N(AI179)&gt;0,", "&amp;AI$2,"")&amp;IF(N(AJ179)&gt;0,", "&amp;AJ$2,""),3,999)</f>
        <v/>
      </c>
      <c r="AM179" s="87" t="str">
        <f aca="false">IF(E179="","",MID(IF(N(Y179)&gt;0,", "&amp;A179&amp;"-"&amp;Y$2,"")&amp;IF(N(Z179)&gt;0,", "&amp;A179&amp;"-"&amp;Z$2,"")&amp;IF(N(AA179)&gt;0,", "&amp;A179&amp;"-"&amp;AA$2,"")&amp;IF(N(AB179)&gt;0,", "&amp;A179&amp;"-"&amp;AB$2,"")&amp;IF(N(AC179)&gt;0,", "&amp;A179&amp;"-"&amp;AC$2,"")&amp;IF(N(AD179)&gt;0,", "&amp;A179&amp;"-"&amp;AD$2,"")&amp;IF(N(AE179)&gt;0,", "&amp;A179&amp;"-"&amp;AE$2,"")&amp;IF(N(AF179)&gt;0,", "&amp;A179&amp;"-"&amp;AF$2,"")&amp;IF(N(AG179)&gt;0,", "&amp;A179&amp;"-"&amp;AG$2,"")&amp;IF(N(AH179)&gt;0,", "&amp;A179&amp;"-"&amp;AH$2,"")&amp;IF(N(AI179)&gt;0,", "&amp;A179&amp;"-"&amp;AI$2,"")&amp;IF(N(AJ179)&gt;0,", "&amp;A179&amp;"-"&amp;AJ$2,""),3,999))</f>
        <v/>
      </c>
      <c r="AN179" s="81"/>
      <c r="AO179" s="88"/>
      <c r="AP179" s="89" t="str">
        <f aca="false">IF(AO179="","",ROUND(AO179/(1+Справочники!$B$13),2))</f>
        <v/>
      </c>
      <c r="AQ179" s="90" t="str">
        <f aca="false" t="array" ref="AQ179:AQ179">IF(AP179="","",AP179*INDEX(Справочники!$B$4:$B$7,MATCH("RUB",Справочники!$A$4:$A$7,0)))</f>
        <v/>
      </c>
      <c r="AR179" s="90" t="str">
        <f aca="false">IF(AQ179="","",ROUND(AQ179*(1+Справочники!$B$12),0))</f>
        <v/>
      </c>
      <c r="AS179" s="90" t="str">
        <f aca="false">IF(AR179="","",ROUND(AR179*(1-Справочники!$B$11),0))</f>
        <v/>
      </c>
      <c r="AT179" s="88"/>
      <c r="AU179" s="90" t="str">
        <f aca="false">IF(AT179="","",ROUND(AT179/(1+Справочники!$B$12),0))</f>
        <v/>
      </c>
      <c r="AV179" s="90" t="str">
        <f aca="false">IF(AT179="","",ROUND(AT179*(1-Справочники!$B$15),0))</f>
        <v/>
      </c>
      <c r="AW179" s="90" t="str">
        <f aca="false">IF(AT179="","",ROUND(AT179*(1-Справочники!$B$16),0))</f>
        <v/>
      </c>
      <c r="AX179" s="90" t="str">
        <f aca="false">IF(AT179="","",ROUND(AT179*(1-Справочники!$B$17),0))</f>
        <v/>
      </c>
      <c r="AY179" s="90" t="str">
        <f aca="false">IF(AT179="","",ROUND(AT179*(1-Справочники!$B$18),0))</f>
        <v/>
      </c>
      <c r="AZ179" s="90" t="str">
        <f aca="false">IF(AT179="","",ROUND(AT179*(1-Справочники!$B$19),0))</f>
        <v/>
      </c>
      <c r="BA179" s="81"/>
      <c r="BB179" s="81"/>
      <c r="BC179" s="81"/>
      <c r="BD179" s="81"/>
      <c r="BE179" s="91"/>
      <c r="BF179" s="81" t="s">
        <v>103</v>
      </c>
      <c r="BG179" s="89" t="n">
        <f aca="false" t="array" ref="BG179:BG179">IF(BF179="","",IFERROR(INDEX(Справочники!$B$4:$B$7,MATCH(BF179,Справочники!$A$4:$A$7,0)),""))</f>
        <v>68.5</v>
      </c>
      <c r="BH179" s="90" t="str">
        <f aca="false">IF(N(BN179)&gt;0,ROUND(SUMIF(ЗАКАЗЫ!$F$3:$F$500,$A179,ЗАКАЗЫ!$Y$3:$Y$500)/BN179,0),IF(OR(BE179="",BG179=""),"",ROUND(BE179*BG179*(1+Справочники!$B$10),0)))</f>
        <v/>
      </c>
      <c r="BI179" s="92" t="str">
        <f aca="false">IF(OR(AU179="",BH179="",AU179=0),"",(AU179-BH179)/AU179)</f>
        <v/>
      </c>
      <c r="BJ179" s="81"/>
      <c r="BK179" s="83"/>
      <c r="BL179" s="43" t="str">
        <f aca="false">IFERROR(INDEX(ЗАКАЗЫ!$N$3:$N$500,MATCH($A179,ЗАКАЗЫ!$F$3:$F$500,0)),"")</f>
        <v/>
      </c>
      <c r="BM179" s="8" t="str">
        <f aca="false">IF(BL179="","",IFERROR(VLOOKUP(BL179,'ТН ВЭД'!$A$4:$C$40,3,0),""))</f>
        <v/>
      </c>
      <c r="BN179" s="7" t="str">
        <f aca="false">IF(COUNTIF(ЗАКАЗЫ!$F$3:$F$500,$A179)=0,"",SUMIF(ЗАКАЗЫ!$F$3:$F$500,$A179,ЗАКАЗЫ!$J$3:$J$500))</f>
        <v/>
      </c>
      <c r="BO179" s="7" t="str">
        <f aca="false">IF(BN179="","",SUMIF(ЗАКАЗЫ!$F$3:$F$500,$A179,ЗАКАЗЫ!$AL$3:$AL$500))</f>
        <v/>
      </c>
      <c r="BP179" s="7" t="str">
        <f aca="false">IF(BN179="","",BN179-BO179)</f>
        <v/>
      </c>
      <c r="BQ179" s="55" t="str">
        <f aca="false">IF(BN179="","",IF(BO179&gt;=BN179,"На складе",IF(BO179&gt;0,"Частично","Ждём")))</f>
        <v/>
      </c>
      <c r="BR179" s="43"/>
      <c r="BS179" s="47" t="str">
        <f aca="false">IF(BN179="","",IF(_xlfn.MAXIFS(ЗАКАЗЫ!$AK$3:$AK$500,ЗАКАЗЫ!$F$3:$F$500,$A179)=0,"",_xlfn.MAXIFS(ЗАКАЗЫ!$AK$3:$AK$500,ЗАКАЗЫ!$F$3:$F$500,$A179)))</f>
        <v/>
      </c>
    </row>
    <row r="180" customFormat="false" ht="15.75" hidden="false" customHeight="true" outlineLevel="0" collapsed="false">
      <c r="A180" s="80" t="s">
        <v>654</v>
      </c>
      <c r="B180" s="81"/>
      <c r="C180" s="81"/>
      <c r="D180" s="81"/>
      <c r="E180" s="83"/>
      <c r="F180" s="81"/>
      <c r="G180" s="83"/>
      <c r="H180" s="83"/>
      <c r="I180" s="84" t="str">
        <f aca="false">IF(E180="","",A180&amp;"_1.jpg")</f>
        <v/>
      </c>
      <c r="J180" s="84" t="str">
        <f aca="false">IF(E180="","",A180&amp;"_2.jpg; "&amp;A180&amp;"_3.jpg")</f>
        <v/>
      </c>
      <c r="K180" s="84" t="str">
        <f aca="false">IF(E180="","",A180&amp;"_schema.jpg")</f>
        <v/>
      </c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 t="s">
        <v>261</v>
      </c>
      <c r="W180" s="81"/>
      <c r="X180" s="81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6" t="str">
        <f aca="false">IF(SUM(Y180:AJ180)=0,"",SUM(Y180:AJ180))</f>
        <v/>
      </c>
      <c r="AL180" s="84" t="str">
        <f aca="false">MID(IF(N(Y180)&gt;0,", "&amp;Y$2,"")&amp;IF(N(Z180)&gt;0,", "&amp;Z$2,"")&amp;IF(N(AA180)&gt;0,", "&amp;AA$2,"")&amp;IF(N(AB180)&gt;0,", "&amp;AB$2,"")&amp;IF(N(AC180)&gt;0,", "&amp;AC$2,"")&amp;IF(N(AD180)&gt;0,", "&amp;AD$2,"")&amp;IF(N(AE180)&gt;0,", "&amp;AE$2,"")&amp;IF(N(AF180)&gt;0,", "&amp;AF$2,"")&amp;IF(N(AG180)&gt;0,", "&amp;AG$2,"")&amp;IF(N(AH180)&gt;0,", "&amp;AH$2,"")&amp;IF(N(AI180)&gt;0,", "&amp;AI$2,"")&amp;IF(N(AJ180)&gt;0,", "&amp;AJ$2,""),3,999)</f>
        <v/>
      </c>
      <c r="AM180" s="87" t="str">
        <f aca="false">IF(E180="","",MID(IF(N(Y180)&gt;0,", "&amp;A180&amp;"-"&amp;Y$2,"")&amp;IF(N(Z180)&gt;0,", "&amp;A180&amp;"-"&amp;Z$2,"")&amp;IF(N(AA180)&gt;0,", "&amp;A180&amp;"-"&amp;AA$2,"")&amp;IF(N(AB180)&gt;0,", "&amp;A180&amp;"-"&amp;AB$2,"")&amp;IF(N(AC180)&gt;0,", "&amp;A180&amp;"-"&amp;AC$2,"")&amp;IF(N(AD180)&gt;0,", "&amp;A180&amp;"-"&amp;AD$2,"")&amp;IF(N(AE180)&gt;0,", "&amp;A180&amp;"-"&amp;AE$2,"")&amp;IF(N(AF180)&gt;0,", "&amp;A180&amp;"-"&amp;AF$2,"")&amp;IF(N(AG180)&gt;0,", "&amp;A180&amp;"-"&amp;AG$2,"")&amp;IF(N(AH180)&gt;0,", "&amp;A180&amp;"-"&amp;AH$2,"")&amp;IF(N(AI180)&gt;0,", "&amp;A180&amp;"-"&amp;AI$2,"")&amp;IF(N(AJ180)&gt;0,", "&amp;A180&amp;"-"&amp;AJ$2,""),3,999))</f>
        <v/>
      </c>
      <c r="AN180" s="81"/>
      <c r="AO180" s="88"/>
      <c r="AP180" s="89" t="str">
        <f aca="false">IF(AO180="","",ROUND(AO180/(1+Справочники!$B$13),2))</f>
        <v/>
      </c>
      <c r="AQ180" s="90" t="str">
        <f aca="false" t="array" ref="AQ180:AQ180">IF(AP180="","",AP180*INDEX(Справочники!$B$4:$B$7,MATCH("RUB",Справочники!$A$4:$A$7,0)))</f>
        <v/>
      </c>
      <c r="AR180" s="90" t="str">
        <f aca="false">IF(AQ180="","",ROUND(AQ180*(1+Справочники!$B$12),0))</f>
        <v/>
      </c>
      <c r="AS180" s="90" t="str">
        <f aca="false">IF(AR180="","",ROUND(AR180*(1-Справочники!$B$11),0))</f>
        <v/>
      </c>
      <c r="AT180" s="88"/>
      <c r="AU180" s="90" t="str">
        <f aca="false">IF(AT180="","",ROUND(AT180/(1+Справочники!$B$12),0))</f>
        <v/>
      </c>
      <c r="AV180" s="90" t="str">
        <f aca="false">IF(AT180="","",ROUND(AT180*(1-Справочники!$B$15),0))</f>
        <v/>
      </c>
      <c r="AW180" s="90" t="str">
        <f aca="false">IF(AT180="","",ROUND(AT180*(1-Справочники!$B$16),0))</f>
        <v/>
      </c>
      <c r="AX180" s="90" t="str">
        <f aca="false">IF(AT180="","",ROUND(AT180*(1-Справочники!$B$17),0))</f>
        <v/>
      </c>
      <c r="AY180" s="90" t="str">
        <f aca="false">IF(AT180="","",ROUND(AT180*(1-Справочники!$B$18),0))</f>
        <v/>
      </c>
      <c r="AZ180" s="90" t="str">
        <f aca="false">IF(AT180="","",ROUND(AT180*(1-Справочники!$B$19),0))</f>
        <v/>
      </c>
      <c r="BA180" s="81"/>
      <c r="BB180" s="81"/>
      <c r="BC180" s="81"/>
      <c r="BD180" s="81"/>
      <c r="BE180" s="91"/>
      <c r="BF180" s="81" t="s">
        <v>103</v>
      </c>
      <c r="BG180" s="89" t="n">
        <f aca="false" t="array" ref="BG180:BG180">IF(BF180="","",IFERROR(INDEX(Справочники!$B$4:$B$7,MATCH(BF180,Справочники!$A$4:$A$7,0)),""))</f>
        <v>68.5</v>
      </c>
      <c r="BH180" s="90" t="str">
        <f aca="false">IF(N(BN180)&gt;0,ROUND(SUMIF(ЗАКАЗЫ!$F$3:$F$500,$A180,ЗАКАЗЫ!$Y$3:$Y$500)/BN180,0),IF(OR(BE180="",BG180=""),"",ROUND(BE180*BG180*(1+Справочники!$B$10),0)))</f>
        <v/>
      </c>
      <c r="BI180" s="92" t="str">
        <f aca="false">IF(OR(AU180="",BH180="",AU180=0),"",(AU180-BH180)/AU180)</f>
        <v/>
      </c>
      <c r="BJ180" s="81"/>
      <c r="BK180" s="83"/>
      <c r="BL180" s="43" t="str">
        <f aca="false">IFERROR(INDEX(ЗАКАЗЫ!$N$3:$N$500,MATCH($A180,ЗАКАЗЫ!$F$3:$F$500,0)),"")</f>
        <v/>
      </c>
      <c r="BM180" s="8" t="str">
        <f aca="false">IF(BL180="","",IFERROR(VLOOKUP(BL180,'ТН ВЭД'!$A$4:$C$40,3,0),""))</f>
        <v/>
      </c>
      <c r="BN180" s="7" t="str">
        <f aca="false">IF(COUNTIF(ЗАКАЗЫ!$F$3:$F$500,$A180)=0,"",SUMIF(ЗАКАЗЫ!$F$3:$F$500,$A180,ЗАКАЗЫ!$J$3:$J$500))</f>
        <v/>
      </c>
      <c r="BO180" s="7" t="str">
        <f aca="false">IF(BN180="","",SUMIF(ЗАКАЗЫ!$F$3:$F$500,$A180,ЗАКАЗЫ!$AL$3:$AL$500))</f>
        <v/>
      </c>
      <c r="BP180" s="7" t="str">
        <f aca="false">IF(BN180="","",BN180-BO180)</f>
        <v/>
      </c>
      <c r="BQ180" s="55" t="str">
        <f aca="false">IF(BN180="","",IF(BO180&gt;=BN180,"На складе",IF(BO180&gt;0,"Частично","Ждём")))</f>
        <v/>
      </c>
      <c r="BR180" s="43"/>
      <c r="BS180" s="47" t="str">
        <f aca="false">IF(BN180="","",IF(_xlfn.MAXIFS(ЗАКАЗЫ!$AK$3:$AK$500,ЗАКАЗЫ!$F$3:$F$500,$A180)=0,"",_xlfn.MAXIFS(ЗАКАЗЫ!$AK$3:$AK$500,ЗАКАЗЫ!$F$3:$F$500,$A180)))</f>
        <v/>
      </c>
    </row>
    <row r="181" customFormat="false" ht="15.75" hidden="false" customHeight="true" outlineLevel="0" collapsed="false">
      <c r="A181" s="80" t="s">
        <v>655</v>
      </c>
      <c r="B181" s="81"/>
      <c r="C181" s="81"/>
      <c r="D181" s="81"/>
      <c r="E181" s="83"/>
      <c r="F181" s="81"/>
      <c r="G181" s="83"/>
      <c r="H181" s="83"/>
      <c r="I181" s="84" t="str">
        <f aca="false">IF(E181="","",A181&amp;"_1.jpg")</f>
        <v/>
      </c>
      <c r="J181" s="84" t="str">
        <f aca="false">IF(E181="","",A181&amp;"_2.jpg; "&amp;A181&amp;"_3.jpg")</f>
        <v/>
      </c>
      <c r="K181" s="84" t="str">
        <f aca="false">IF(E181="","",A181&amp;"_schema.jpg")</f>
        <v/>
      </c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 t="s">
        <v>261</v>
      </c>
      <c r="W181" s="81"/>
      <c r="X181" s="81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6" t="str">
        <f aca="false">IF(SUM(Y181:AJ181)=0,"",SUM(Y181:AJ181))</f>
        <v/>
      </c>
      <c r="AL181" s="84" t="str">
        <f aca="false">MID(IF(N(Y181)&gt;0,", "&amp;Y$2,"")&amp;IF(N(Z181)&gt;0,", "&amp;Z$2,"")&amp;IF(N(AA181)&gt;0,", "&amp;AA$2,"")&amp;IF(N(AB181)&gt;0,", "&amp;AB$2,"")&amp;IF(N(AC181)&gt;0,", "&amp;AC$2,"")&amp;IF(N(AD181)&gt;0,", "&amp;AD$2,"")&amp;IF(N(AE181)&gt;0,", "&amp;AE$2,"")&amp;IF(N(AF181)&gt;0,", "&amp;AF$2,"")&amp;IF(N(AG181)&gt;0,", "&amp;AG$2,"")&amp;IF(N(AH181)&gt;0,", "&amp;AH$2,"")&amp;IF(N(AI181)&gt;0,", "&amp;AI$2,"")&amp;IF(N(AJ181)&gt;0,", "&amp;AJ$2,""),3,999)</f>
        <v/>
      </c>
      <c r="AM181" s="87" t="str">
        <f aca="false">IF(E181="","",MID(IF(N(Y181)&gt;0,", "&amp;A181&amp;"-"&amp;Y$2,"")&amp;IF(N(Z181)&gt;0,", "&amp;A181&amp;"-"&amp;Z$2,"")&amp;IF(N(AA181)&gt;0,", "&amp;A181&amp;"-"&amp;AA$2,"")&amp;IF(N(AB181)&gt;0,", "&amp;A181&amp;"-"&amp;AB$2,"")&amp;IF(N(AC181)&gt;0,", "&amp;A181&amp;"-"&amp;AC$2,"")&amp;IF(N(AD181)&gt;0,", "&amp;A181&amp;"-"&amp;AD$2,"")&amp;IF(N(AE181)&gt;0,", "&amp;A181&amp;"-"&amp;AE$2,"")&amp;IF(N(AF181)&gt;0,", "&amp;A181&amp;"-"&amp;AF$2,"")&amp;IF(N(AG181)&gt;0,", "&amp;A181&amp;"-"&amp;AG$2,"")&amp;IF(N(AH181)&gt;0,", "&amp;A181&amp;"-"&amp;AH$2,"")&amp;IF(N(AI181)&gt;0,", "&amp;A181&amp;"-"&amp;AI$2,"")&amp;IF(N(AJ181)&gt;0,", "&amp;A181&amp;"-"&amp;AJ$2,""),3,999))</f>
        <v/>
      </c>
      <c r="AN181" s="81"/>
      <c r="AO181" s="88"/>
      <c r="AP181" s="89" t="str">
        <f aca="false">IF(AO181="","",ROUND(AO181/(1+Справочники!$B$13),2))</f>
        <v/>
      </c>
      <c r="AQ181" s="90" t="str">
        <f aca="false" t="array" ref="AQ181:AQ181">IF(AP181="","",AP181*INDEX(Справочники!$B$4:$B$7,MATCH("RUB",Справочники!$A$4:$A$7,0)))</f>
        <v/>
      </c>
      <c r="AR181" s="90" t="str">
        <f aca="false">IF(AQ181="","",ROUND(AQ181*(1+Справочники!$B$12),0))</f>
        <v/>
      </c>
      <c r="AS181" s="90" t="str">
        <f aca="false">IF(AR181="","",ROUND(AR181*(1-Справочники!$B$11),0))</f>
        <v/>
      </c>
      <c r="AT181" s="88"/>
      <c r="AU181" s="90" t="str">
        <f aca="false">IF(AT181="","",ROUND(AT181/(1+Справочники!$B$12),0))</f>
        <v/>
      </c>
      <c r="AV181" s="90" t="str">
        <f aca="false">IF(AT181="","",ROUND(AT181*(1-Справочники!$B$15),0))</f>
        <v/>
      </c>
      <c r="AW181" s="90" t="str">
        <f aca="false">IF(AT181="","",ROUND(AT181*(1-Справочники!$B$16),0))</f>
        <v/>
      </c>
      <c r="AX181" s="90" t="str">
        <f aca="false">IF(AT181="","",ROUND(AT181*(1-Справочники!$B$17),0))</f>
        <v/>
      </c>
      <c r="AY181" s="90" t="str">
        <f aca="false">IF(AT181="","",ROUND(AT181*(1-Справочники!$B$18),0))</f>
        <v/>
      </c>
      <c r="AZ181" s="90" t="str">
        <f aca="false">IF(AT181="","",ROUND(AT181*(1-Справочники!$B$19),0))</f>
        <v/>
      </c>
      <c r="BA181" s="81"/>
      <c r="BB181" s="81"/>
      <c r="BC181" s="81"/>
      <c r="BD181" s="81"/>
      <c r="BE181" s="91"/>
      <c r="BF181" s="81" t="s">
        <v>103</v>
      </c>
      <c r="BG181" s="89" t="n">
        <f aca="false" t="array" ref="BG181:BG181">IF(BF181="","",IFERROR(INDEX(Справочники!$B$4:$B$7,MATCH(BF181,Справочники!$A$4:$A$7,0)),""))</f>
        <v>68.5</v>
      </c>
      <c r="BH181" s="90" t="str">
        <f aca="false">IF(N(BN181)&gt;0,ROUND(SUMIF(ЗАКАЗЫ!$F$3:$F$500,$A181,ЗАКАЗЫ!$Y$3:$Y$500)/BN181,0),IF(OR(BE181="",BG181=""),"",ROUND(BE181*BG181*(1+Справочники!$B$10),0)))</f>
        <v/>
      </c>
      <c r="BI181" s="92" t="str">
        <f aca="false">IF(OR(AU181="",BH181="",AU181=0),"",(AU181-BH181)/AU181)</f>
        <v/>
      </c>
      <c r="BJ181" s="81"/>
      <c r="BK181" s="83"/>
      <c r="BL181" s="43" t="str">
        <f aca="false">IFERROR(INDEX(ЗАКАЗЫ!$N$3:$N$500,MATCH($A181,ЗАКАЗЫ!$F$3:$F$500,0)),"")</f>
        <v/>
      </c>
      <c r="BM181" s="8" t="str">
        <f aca="false">IF(BL181="","",IFERROR(VLOOKUP(BL181,'ТН ВЭД'!$A$4:$C$40,3,0),""))</f>
        <v/>
      </c>
      <c r="BN181" s="7" t="str">
        <f aca="false">IF(COUNTIF(ЗАКАЗЫ!$F$3:$F$500,$A181)=0,"",SUMIF(ЗАКАЗЫ!$F$3:$F$500,$A181,ЗАКАЗЫ!$J$3:$J$500))</f>
        <v/>
      </c>
      <c r="BO181" s="7" t="str">
        <f aca="false">IF(BN181="","",SUMIF(ЗАКАЗЫ!$F$3:$F$500,$A181,ЗАКАЗЫ!$AL$3:$AL$500))</f>
        <v/>
      </c>
      <c r="BP181" s="7" t="str">
        <f aca="false">IF(BN181="","",BN181-BO181)</f>
        <v/>
      </c>
      <c r="BQ181" s="55" t="str">
        <f aca="false">IF(BN181="","",IF(BO181&gt;=BN181,"На складе",IF(BO181&gt;0,"Частично","Ждём")))</f>
        <v/>
      </c>
      <c r="BR181" s="43"/>
      <c r="BS181" s="47" t="str">
        <f aca="false">IF(BN181="","",IF(_xlfn.MAXIFS(ЗАКАЗЫ!$AK$3:$AK$500,ЗАКАЗЫ!$F$3:$F$500,$A181)=0,"",_xlfn.MAXIFS(ЗАКАЗЫ!$AK$3:$AK$500,ЗАКАЗЫ!$F$3:$F$500,$A181)))</f>
        <v/>
      </c>
    </row>
    <row r="182" customFormat="false" ht="15.75" hidden="false" customHeight="true" outlineLevel="0" collapsed="false">
      <c r="A182" s="80" t="s">
        <v>656</v>
      </c>
      <c r="B182" s="81"/>
      <c r="C182" s="81"/>
      <c r="D182" s="81"/>
      <c r="E182" s="83"/>
      <c r="F182" s="81"/>
      <c r="G182" s="83"/>
      <c r="H182" s="83"/>
      <c r="I182" s="84" t="str">
        <f aca="false">IF(E182="","",A182&amp;"_1.jpg")</f>
        <v/>
      </c>
      <c r="J182" s="84" t="str">
        <f aca="false">IF(E182="","",A182&amp;"_2.jpg; "&amp;A182&amp;"_3.jpg")</f>
        <v/>
      </c>
      <c r="K182" s="84" t="str">
        <f aca="false">IF(E182="","",A182&amp;"_schema.jpg")</f>
        <v/>
      </c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 t="s">
        <v>261</v>
      </c>
      <c r="W182" s="81"/>
      <c r="X182" s="81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6" t="str">
        <f aca="false">IF(SUM(Y182:AJ182)=0,"",SUM(Y182:AJ182))</f>
        <v/>
      </c>
      <c r="AL182" s="84" t="str">
        <f aca="false">MID(IF(N(Y182)&gt;0,", "&amp;Y$2,"")&amp;IF(N(Z182)&gt;0,", "&amp;Z$2,"")&amp;IF(N(AA182)&gt;0,", "&amp;AA$2,"")&amp;IF(N(AB182)&gt;0,", "&amp;AB$2,"")&amp;IF(N(AC182)&gt;0,", "&amp;AC$2,"")&amp;IF(N(AD182)&gt;0,", "&amp;AD$2,"")&amp;IF(N(AE182)&gt;0,", "&amp;AE$2,"")&amp;IF(N(AF182)&gt;0,", "&amp;AF$2,"")&amp;IF(N(AG182)&gt;0,", "&amp;AG$2,"")&amp;IF(N(AH182)&gt;0,", "&amp;AH$2,"")&amp;IF(N(AI182)&gt;0,", "&amp;AI$2,"")&amp;IF(N(AJ182)&gt;0,", "&amp;AJ$2,""),3,999)</f>
        <v/>
      </c>
      <c r="AM182" s="87" t="str">
        <f aca="false">IF(E182="","",MID(IF(N(Y182)&gt;0,", "&amp;A182&amp;"-"&amp;Y$2,"")&amp;IF(N(Z182)&gt;0,", "&amp;A182&amp;"-"&amp;Z$2,"")&amp;IF(N(AA182)&gt;0,", "&amp;A182&amp;"-"&amp;AA$2,"")&amp;IF(N(AB182)&gt;0,", "&amp;A182&amp;"-"&amp;AB$2,"")&amp;IF(N(AC182)&gt;0,", "&amp;A182&amp;"-"&amp;AC$2,"")&amp;IF(N(AD182)&gt;0,", "&amp;A182&amp;"-"&amp;AD$2,"")&amp;IF(N(AE182)&gt;0,", "&amp;A182&amp;"-"&amp;AE$2,"")&amp;IF(N(AF182)&gt;0,", "&amp;A182&amp;"-"&amp;AF$2,"")&amp;IF(N(AG182)&gt;0,", "&amp;A182&amp;"-"&amp;AG$2,"")&amp;IF(N(AH182)&gt;0,", "&amp;A182&amp;"-"&amp;AH$2,"")&amp;IF(N(AI182)&gt;0,", "&amp;A182&amp;"-"&amp;AI$2,"")&amp;IF(N(AJ182)&gt;0,", "&amp;A182&amp;"-"&amp;AJ$2,""),3,999))</f>
        <v/>
      </c>
      <c r="AN182" s="81"/>
      <c r="AO182" s="88"/>
      <c r="AP182" s="89" t="str">
        <f aca="false">IF(AO182="","",ROUND(AO182/(1+Справочники!$B$13),2))</f>
        <v/>
      </c>
      <c r="AQ182" s="90" t="str">
        <f aca="false" t="array" ref="AQ182:AQ182">IF(AP182="","",AP182*INDEX(Справочники!$B$4:$B$7,MATCH("RUB",Справочники!$A$4:$A$7,0)))</f>
        <v/>
      </c>
      <c r="AR182" s="90" t="str">
        <f aca="false">IF(AQ182="","",ROUND(AQ182*(1+Справочники!$B$12),0))</f>
        <v/>
      </c>
      <c r="AS182" s="90" t="str">
        <f aca="false">IF(AR182="","",ROUND(AR182*(1-Справочники!$B$11),0))</f>
        <v/>
      </c>
      <c r="AT182" s="88"/>
      <c r="AU182" s="90" t="str">
        <f aca="false">IF(AT182="","",ROUND(AT182/(1+Справочники!$B$12),0))</f>
        <v/>
      </c>
      <c r="AV182" s="90" t="str">
        <f aca="false">IF(AT182="","",ROUND(AT182*(1-Справочники!$B$15),0))</f>
        <v/>
      </c>
      <c r="AW182" s="90" t="str">
        <f aca="false">IF(AT182="","",ROUND(AT182*(1-Справочники!$B$16),0))</f>
        <v/>
      </c>
      <c r="AX182" s="90" t="str">
        <f aca="false">IF(AT182="","",ROUND(AT182*(1-Справочники!$B$17),0))</f>
        <v/>
      </c>
      <c r="AY182" s="90" t="str">
        <f aca="false">IF(AT182="","",ROUND(AT182*(1-Справочники!$B$18),0))</f>
        <v/>
      </c>
      <c r="AZ182" s="90" t="str">
        <f aca="false">IF(AT182="","",ROUND(AT182*(1-Справочники!$B$19),0))</f>
        <v/>
      </c>
      <c r="BA182" s="81"/>
      <c r="BB182" s="81"/>
      <c r="BC182" s="81"/>
      <c r="BD182" s="81"/>
      <c r="BE182" s="91"/>
      <c r="BF182" s="81" t="s">
        <v>103</v>
      </c>
      <c r="BG182" s="89" t="n">
        <f aca="false" t="array" ref="BG182:BG182">IF(BF182="","",IFERROR(INDEX(Справочники!$B$4:$B$7,MATCH(BF182,Справочники!$A$4:$A$7,0)),""))</f>
        <v>68.5</v>
      </c>
      <c r="BH182" s="90" t="str">
        <f aca="false">IF(N(BN182)&gt;0,ROUND(SUMIF(ЗАКАЗЫ!$F$3:$F$500,$A182,ЗАКАЗЫ!$Y$3:$Y$500)/BN182,0),IF(OR(BE182="",BG182=""),"",ROUND(BE182*BG182*(1+Справочники!$B$10),0)))</f>
        <v/>
      </c>
      <c r="BI182" s="92" t="str">
        <f aca="false">IF(OR(AU182="",BH182="",AU182=0),"",(AU182-BH182)/AU182)</f>
        <v/>
      </c>
      <c r="BJ182" s="81"/>
      <c r="BK182" s="83"/>
      <c r="BL182" s="43" t="str">
        <f aca="false">IFERROR(INDEX(ЗАКАЗЫ!$N$3:$N$500,MATCH($A182,ЗАКАЗЫ!$F$3:$F$500,0)),"")</f>
        <v/>
      </c>
      <c r="BM182" s="8" t="str">
        <f aca="false">IF(BL182="","",IFERROR(VLOOKUP(BL182,'ТН ВЭД'!$A$4:$C$40,3,0),""))</f>
        <v/>
      </c>
      <c r="BN182" s="7" t="str">
        <f aca="false">IF(COUNTIF(ЗАКАЗЫ!$F$3:$F$500,$A182)=0,"",SUMIF(ЗАКАЗЫ!$F$3:$F$500,$A182,ЗАКАЗЫ!$J$3:$J$500))</f>
        <v/>
      </c>
      <c r="BO182" s="7" t="str">
        <f aca="false">IF(BN182="","",SUMIF(ЗАКАЗЫ!$F$3:$F$500,$A182,ЗАКАЗЫ!$AL$3:$AL$500))</f>
        <v/>
      </c>
      <c r="BP182" s="7" t="str">
        <f aca="false">IF(BN182="","",BN182-BO182)</f>
        <v/>
      </c>
      <c r="BQ182" s="55" t="str">
        <f aca="false">IF(BN182="","",IF(BO182&gt;=BN182,"На складе",IF(BO182&gt;0,"Частично","Ждём")))</f>
        <v/>
      </c>
      <c r="BR182" s="43"/>
      <c r="BS182" s="47" t="str">
        <f aca="false">IF(BN182="","",IF(_xlfn.MAXIFS(ЗАКАЗЫ!$AK$3:$AK$500,ЗАКАЗЫ!$F$3:$F$500,$A182)=0,"",_xlfn.MAXIFS(ЗАКАЗЫ!$AK$3:$AK$500,ЗАКАЗЫ!$F$3:$F$500,$A182)))</f>
        <v/>
      </c>
    </row>
    <row r="183" customFormat="false" ht="15.75" hidden="false" customHeight="true" outlineLevel="0" collapsed="false">
      <c r="A183" s="80" t="s">
        <v>657</v>
      </c>
      <c r="B183" s="81"/>
      <c r="C183" s="81"/>
      <c r="D183" s="81"/>
      <c r="E183" s="83"/>
      <c r="F183" s="81"/>
      <c r="G183" s="83"/>
      <c r="H183" s="83"/>
      <c r="I183" s="84" t="str">
        <f aca="false">IF(E183="","",A183&amp;"_1.jpg")</f>
        <v/>
      </c>
      <c r="J183" s="84" t="str">
        <f aca="false">IF(E183="","",A183&amp;"_2.jpg; "&amp;A183&amp;"_3.jpg")</f>
        <v/>
      </c>
      <c r="K183" s="84" t="str">
        <f aca="false">IF(E183="","",A183&amp;"_schema.jpg")</f>
        <v/>
      </c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 t="s">
        <v>261</v>
      </c>
      <c r="W183" s="81"/>
      <c r="X183" s="81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6" t="str">
        <f aca="false">IF(SUM(Y183:AJ183)=0,"",SUM(Y183:AJ183))</f>
        <v/>
      </c>
      <c r="AL183" s="84" t="str">
        <f aca="false">MID(IF(N(Y183)&gt;0,", "&amp;Y$2,"")&amp;IF(N(Z183)&gt;0,", "&amp;Z$2,"")&amp;IF(N(AA183)&gt;0,", "&amp;AA$2,"")&amp;IF(N(AB183)&gt;0,", "&amp;AB$2,"")&amp;IF(N(AC183)&gt;0,", "&amp;AC$2,"")&amp;IF(N(AD183)&gt;0,", "&amp;AD$2,"")&amp;IF(N(AE183)&gt;0,", "&amp;AE$2,"")&amp;IF(N(AF183)&gt;0,", "&amp;AF$2,"")&amp;IF(N(AG183)&gt;0,", "&amp;AG$2,"")&amp;IF(N(AH183)&gt;0,", "&amp;AH$2,"")&amp;IF(N(AI183)&gt;0,", "&amp;AI$2,"")&amp;IF(N(AJ183)&gt;0,", "&amp;AJ$2,""),3,999)</f>
        <v/>
      </c>
      <c r="AM183" s="87" t="str">
        <f aca="false">IF(E183="","",MID(IF(N(Y183)&gt;0,", "&amp;A183&amp;"-"&amp;Y$2,"")&amp;IF(N(Z183)&gt;0,", "&amp;A183&amp;"-"&amp;Z$2,"")&amp;IF(N(AA183)&gt;0,", "&amp;A183&amp;"-"&amp;AA$2,"")&amp;IF(N(AB183)&gt;0,", "&amp;A183&amp;"-"&amp;AB$2,"")&amp;IF(N(AC183)&gt;0,", "&amp;A183&amp;"-"&amp;AC$2,"")&amp;IF(N(AD183)&gt;0,", "&amp;A183&amp;"-"&amp;AD$2,"")&amp;IF(N(AE183)&gt;0,", "&amp;A183&amp;"-"&amp;AE$2,"")&amp;IF(N(AF183)&gt;0,", "&amp;A183&amp;"-"&amp;AF$2,"")&amp;IF(N(AG183)&gt;0,", "&amp;A183&amp;"-"&amp;AG$2,"")&amp;IF(N(AH183)&gt;0,", "&amp;A183&amp;"-"&amp;AH$2,"")&amp;IF(N(AI183)&gt;0,", "&amp;A183&amp;"-"&amp;AI$2,"")&amp;IF(N(AJ183)&gt;0,", "&amp;A183&amp;"-"&amp;AJ$2,""),3,999))</f>
        <v/>
      </c>
      <c r="AN183" s="81"/>
      <c r="AO183" s="88"/>
      <c r="AP183" s="89" t="str">
        <f aca="false">IF(AO183="","",ROUND(AO183/(1+Справочники!$B$13),2))</f>
        <v/>
      </c>
      <c r="AQ183" s="90" t="str">
        <f aca="false" t="array" ref="AQ183:AQ183">IF(AP183="","",AP183*INDEX(Справочники!$B$4:$B$7,MATCH("RUB",Справочники!$A$4:$A$7,0)))</f>
        <v/>
      </c>
      <c r="AR183" s="90" t="str">
        <f aca="false">IF(AQ183="","",ROUND(AQ183*(1+Справочники!$B$12),0))</f>
        <v/>
      </c>
      <c r="AS183" s="90" t="str">
        <f aca="false">IF(AR183="","",ROUND(AR183*(1-Справочники!$B$11),0))</f>
        <v/>
      </c>
      <c r="AT183" s="88"/>
      <c r="AU183" s="90" t="str">
        <f aca="false">IF(AT183="","",ROUND(AT183/(1+Справочники!$B$12),0))</f>
        <v/>
      </c>
      <c r="AV183" s="90" t="str">
        <f aca="false">IF(AT183="","",ROUND(AT183*(1-Справочники!$B$15),0))</f>
        <v/>
      </c>
      <c r="AW183" s="90" t="str">
        <f aca="false">IF(AT183="","",ROUND(AT183*(1-Справочники!$B$16),0))</f>
        <v/>
      </c>
      <c r="AX183" s="90" t="str">
        <f aca="false">IF(AT183="","",ROUND(AT183*(1-Справочники!$B$17),0))</f>
        <v/>
      </c>
      <c r="AY183" s="90" t="str">
        <f aca="false">IF(AT183="","",ROUND(AT183*(1-Справочники!$B$18),0))</f>
        <v/>
      </c>
      <c r="AZ183" s="90" t="str">
        <f aca="false">IF(AT183="","",ROUND(AT183*(1-Справочники!$B$19),0))</f>
        <v/>
      </c>
      <c r="BA183" s="81"/>
      <c r="BB183" s="81"/>
      <c r="BC183" s="81"/>
      <c r="BD183" s="81"/>
      <c r="BE183" s="91"/>
      <c r="BF183" s="81" t="s">
        <v>103</v>
      </c>
      <c r="BG183" s="89" t="n">
        <f aca="false" t="array" ref="BG183:BG183">IF(BF183="","",IFERROR(INDEX(Справочники!$B$4:$B$7,MATCH(BF183,Справочники!$A$4:$A$7,0)),""))</f>
        <v>68.5</v>
      </c>
      <c r="BH183" s="90" t="str">
        <f aca="false">IF(N(BN183)&gt;0,ROUND(SUMIF(ЗАКАЗЫ!$F$3:$F$500,$A183,ЗАКАЗЫ!$Y$3:$Y$500)/BN183,0),IF(OR(BE183="",BG183=""),"",ROUND(BE183*BG183*(1+Справочники!$B$10),0)))</f>
        <v/>
      </c>
      <c r="BI183" s="92" t="str">
        <f aca="false">IF(OR(AU183="",BH183="",AU183=0),"",(AU183-BH183)/AU183)</f>
        <v/>
      </c>
      <c r="BJ183" s="81"/>
      <c r="BK183" s="83"/>
      <c r="BL183" s="43" t="str">
        <f aca="false">IFERROR(INDEX(ЗАКАЗЫ!$N$3:$N$500,MATCH($A183,ЗАКАЗЫ!$F$3:$F$500,0)),"")</f>
        <v/>
      </c>
      <c r="BM183" s="8" t="str">
        <f aca="false">IF(BL183="","",IFERROR(VLOOKUP(BL183,'ТН ВЭД'!$A$4:$C$40,3,0),""))</f>
        <v/>
      </c>
      <c r="BN183" s="7" t="str">
        <f aca="false">IF(COUNTIF(ЗАКАЗЫ!$F$3:$F$500,$A183)=0,"",SUMIF(ЗАКАЗЫ!$F$3:$F$500,$A183,ЗАКАЗЫ!$J$3:$J$500))</f>
        <v/>
      </c>
      <c r="BO183" s="7" t="str">
        <f aca="false">IF(BN183="","",SUMIF(ЗАКАЗЫ!$F$3:$F$500,$A183,ЗАКАЗЫ!$AL$3:$AL$500))</f>
        <v/>
      </c>
      <c r="BP183" s="7" t="str">
        <f aca="false">IF(BN183="","",BN183-BO183)</f>
        <v/>
      </c>
      <c r="BQ183" s="55" t="str">
        <f aca="false">IF(BN183="","",IF(BO183&gt;=BN183,"На складе",IF(BO183&gt;0,"Частично","Ждём")))</f>
        <v/>
      </c>
      <c r="BR183" s="43"/>
      <c r="BS183" s="47" t="str">
        <f aca="false">IF(BN183="","",IF(_xlfn.MAXIFS(ЗАКАЗЫ!$AK$3:$AK$500,ЗАКАЗЫ!$F$3:$F$500,$A183)=0,"",_xlfn.MAXIFS(ЗАКАЗЫ!$AK$3:$AK$500,ЗАКАЗЫ!$F$3:$F$500,$A183)))</f>
        <v/>
      </c>
    </row>
    <row r="184" customFormat="false" ht="15.75" hidden="false" customHeight="true" outlineLevel="0" collapsed="false">
      <c r="A184" s="80" t="s">
        <v>658</v>
      </c>
      <c r="B184" s="81"/>
      <c r="C184" s="81"/>
      <c r="D184" s="81"/>
      <c r="E184" s="83"/>
      <c r="F184" s="81"/>
      <c r="G184" s="83"/>
      <c r="H184" s="83"/>
      <c r="I184" s="84" t="str">
        <f aca="false">IF(E184="","",A184&amp;"_1.jpg")</f>
        <v/>
      </c>
      <c r="J184" s="84" t="str">
        <f aca="false">IF(E184="","",A184&amp;"_2.jpg; "&amp;A184&amp;"_3.jpg")</f>
        <v/>
      </c>
      <c r="K184" s="84" t="str">
        <f aca="false">IF(E184="","",A184&amp;"_schema.jpg")</f>
        <v/>
      </c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 t="s">
        <v>261</v>
      </c>
      <c r="W184" s="81"/>
      <c r="X184" s="81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6" t="str">
        <f aca="false">IF(SUM(Y184:AJ184)=0,"",SUM(Y184:AJ184))</f>
        <v/>
      </c>
      <c r="AL184" s="84" t="str">
        <f aca="false">MID(IF(N(Y184)&gt;0,", "&amp;Y$2,"")&amp;IF(N(Z184)&gt;0,", "&amp;Z$2,"")&amp;IF(N(AA184)&gt;0,", "&amp;AA$2,"")&amp;IF(N(AB184)&gt;0,", "&amp;AB$2,"")&amp;IF(N(AC184)&gt;0,", "&amp;AC$2,"")&amp;IF(N(AD184)&gt;0,", "&amp;AD$2,"")&amp;IF(N(AE184)&gt;0,", "&amp;AE$2,"")&amp;IF(N(AF184)&gt;0,", "&amp;AF$2,"")&amp;IF(N(AG184)&gt;0,", "&amp;AG$2,"")&amp;IF(N(AH184)&gt;0,", "&amp;AH$2,"")&amp;IF(N(AI184)&gt;0,", "&amp;AI$2,"")&amp;IF(N(AJ184)&gt;0,", "&amp;AJ$2,""),3,999)</f>
        <v/>
      </c>
      <c r="AM184" s="87" t="str">
        <f aca="false">IF(E184="","",MID(IF(N(Y184)&gt;0,", "&amp;A184&amp;"-"&amp;Y$2,"")&amp;IF(N(Z184)&gt;0,", "&amp;A184&amp;"-"&amp;Z$2,"")&amp;IF(N(AA184)&gt;0,", "&amp;A184&amp;"-"&amp;AA$2,"")&amp;IF(N(AB184)&gt;0,", "&amp;A184&amp;"-"&amp;AB$2,"")&amp;IF(N(AC184)&gt;0,", "&amp;A184&amp;"-"&amp;AC$2,"")&amp;IF(N(AD184)&gt;0,", "&amp;A184&amp;"-"&amp;AD$2,"")&amp;IF(N(AE184)&gt;0,", "&amp;A184&amp;"-"&amp;AE$2,"")&amp;IF(N(AF184)&gt;0,", "&amp;A184&amp;"-"&amp;AF$2,"")&amp;IF(N(AG184)&gt;0,", "&amp;A184&amp;"-"&amp;AG$2,"")&amp;IF(N(AH184)&gt;0,", "&amp;A184&amp;"-"&amp;AH$2,"")&amp;IF(N(AI184)&gt;0,", "&amp;A184&amp;"-"&amp;AI$2,"")&amp;IF(N(AJ184)&gt;0,", "&amp;A184&amp;"-"&amp;AJ$2,""),3,999))</f>
        <v/>
      </c>
      <c r="AN184" s="81"/>
      <c r="AO184" s="88"/>
      <c r="AP184" s="89" t="str">
        <f aca="false">IF(AO184="","",ROUND(AO184/(1+Справочники!$B$13),2))</f>
        <v/>
      </c>
      <c r="AQ184" s="90" t="str">
        <f aca="false" t="array" ref="AQ184:AQ184">IF(AP184="","",AP184*INDEX(Справочники!$B$4:$B$7,MATCH("RUB",Справочники!$A$4:$A$7,0)))</f>
        <v/>
      </c>
      <c r="AR184" s="90" t="str">
        <f aca="false">IF(AQ184="","",ROUND(AQ184*(1+Справочники!$B$12),0))</f>
        <v/>
      </c>
      <c r="AS184" s="90" t="str">
        <f aca="false">IF(AR184="","",ROUND(AR184*(1-Справочники!$B$11),0))</f>
        <v/>
      </c>
      <c r="AT184" s="88"/>
      <c r="AU184" s="90" t="str">
        <f aca="false">IF(AT184="","",ROUND(AT184/(1+Справочники!$B$12),0))</f>
        <v/>
      </c>
      <c r="AV184" s="90" t="str">
        <f aca="false">IF(AT184="","",ROUND(AT184*(1-Справочники!$B$15),0))</f>
        <v/>
      </c>
      <c r="AW184" s="90" t="str">
        <f aca="false">IF(AT184="","",ROUND(AT184*(1-Справочники!$B$16),0))</f>
        <v/>
      </c>
      <c r="AX184" s="90" t="str">
        <f aca="false">IF(AT184="","",ROUND(AT184*(1-Справочники!$B$17),0))</f>
        <v/>
      </c>
      <c r="AY184" s="90" t="str">
        <f aca="false">IF(AT184="","",ROUND(AT184*(1-Справочники!$B$18),0))</f>
        <v/>
      </c>
      <c r="AZ184" s="90" t="str">
        <f aca="false">IF(AT184="","",ROUND(AT184*(1-Справочники!$B$19),0))</f>
        <v/>
      </c>
      <c r="BA184" s="81"/>
      <c r="BB184" s="81"/>
      <c r="BC184" s="81"/>
      <c r="BD184" s="81"/>
      <c r="BE184" s="91"/>
      <c r="BF184" s="81" t="s">
        <v>103</v>
      </c>
      <c r="BG184" s="89" t="n">
        <f aca="false" t="array" ref="BG184:BG184">IF(BF184="","",IFERROR(INDEX(Справочники!$B$4:$B$7,MATCH(BF184,Справочники!$A$4:$A$7,0)),""))</f>
        <v>68.5</v>
      </c>
      <c r="BH184" s="90" t="str">
        <f aca="false">IF(N(BN184)&gt;0,ROUND(SUMIF(ЗАКАЗЫ!$F$3:$F$500,$A184,ЗАКАЗЫ!$Y$3:$Y$500)/BN184,0),IF(OR(BE184="",BG184=""),"",ROUND(BE184*BG184*(1+Справочники!$B$10),0)))</f>
        <v/>
      </c>
      <c r="BI184" s="92" t="str">
        <f aca="false">IF(OR(AU184="",BH184="",AU184=0),"",(AU184-BH184)/AU184)</f>
        <v/>
      </c>
      <c r="BJ184" s="81"/>
      <c r="BK184" s="83"/>
      <c r="BL184" s="43" t="str">
        <f aca="false">IFERROR(INDEX(ЗАКАЗЫ!$N$3:$N$500,MATCH($A184,ЗАКАЗЫ!$F$3:$F$500,0)),"")</f>
        <v/>
      </c>
      <c r="BM184" s="8" t="str">
        <f aca="false">IF(BL184="","",IFERROR(VLOOKUP(BL184,'ТН ВЭД'!$A$4:$C$40,3,0),""))</f>
        <v/>
      </c>
      <c r="BN184" s="7" t="str">
        <f aca="false">IF(COUNTIF(ЗАКАЗЫ!$F$3:$F$500,$A184)=0,"",SUMIF(ЗАКАЗЫ!$F$3:$F$500,$A184,ЗАКАЗЫ!$J$3:$J$500))</f>
        <v/>
      </c>
      <c r="BO184" s="7" t="str">
        <f aca="false">IF(BN184="","",SUMIF(ЗАКАЗЫ!$F$3:$F$500,$A184,ЗАКАЗЫ!$AL$3:$AL$500))</f>
        <v/>
      </c>
      <c r="BP184" s="7" t="str">
        <f aca="false">IF(BN184="","",BN184-BO184)</f>
        <v/>
      </c>
      <c r="BQ184" s="55" t="str">
        <f aca="false">IF(BN184="","",IF(BO184&gt;=BN184,"На складе",IF(BO184&gt;0,"Частично","Ждём")))</f>
        <v/>
      </c>
      <c r="BR184" s="43"/>
      <c r="BS184" s="47" t="str">
        <f aca="false">IF(BN184="","",IF(_xlfn.MAXIFS(ЗАКАЗЫ!$AK$3:$AK$500,ЗАКАЗЫ!$F$3:$F$500,$A184)=0,"",_xlfn.MAXIFS(ЗАКАЗЫ!$AK$3:$AK$500,ЗАКАЗЫ!$F$3:$F$500,$A184)))</f>
        <v/>
      </c>
    </row>
    <row r="185" customFormat="false" ht="15.75" hidden="false" customHeight="true" outlineLevel="0" collapsed="false">
      <c r="A185" s="80" t="s">
        <v>659</v>
      </c>
      <c r="B185" s="81"/>
      <c r="C185" s="81"/>
      <c r="D185" s="81"/>
      <c r="E185" s="83"/>
      <c r="F185" s="81"/>
      <c r="G185" s="83"/>
      <c r="H185" s="83"/>
      <c r="I185" s="84" t="str">
        <f aca="false">IF(E185="","",A185&amp;"_1.jpg")</f>
        <v/>
      </c>
      <c r="J185" s="84" t="str">
        <f aca="false">IF(E185="","",A185&amp;"_2.jpg; "&amp;A185&amp;"_3.jpg")</f>
        <v/>
      </c>
      <c r="K185" s="84" t="str">
        <f aca="false">IF(E185="","",A185&amp;"_schema.jpg")</f>
        <v/>
      </c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 t="s">
        <v>261</v>
      </c>
      <c r="W185" s="81"/>
      <c r="X185" s="81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6" t="str">
        <f aca="false">IF(SUM(Y185:AJ185)=0,"",SUM(Y185:AJ185))</f>
        <v/>
      </c>
      <c r="AL185" s="84" t="str">
        <f aca="false">MID(IF(N(Y185)&gt;0,", "&amp;Y$2,"")&amp;IF(N(Z185)&gt;0,", "&amp;Z$2,"")&amp;IF(N(AA185)&gt;0,", "&amp;AA$2,"")&amp;IF(N(AB185)&gt;0,", "&amp;AB$2,"")&amp;IF(N(AC185)&gt;0,", "&amp;AC$2,"")&amp;IF(N(AD185)&gt;0,", "&amp;AD$2,"")&amp;IF(N(AE185)&gt;0,", "&amp;AE$2,"")&amp;IF(N(AF185)&gt;0,", "&amp;AF$2,"")&amp;IF(N(AG185)&gt;0,", "&amp;AG$2,"")&amp;IF(N(AH185)&gt;0,", "&amp;AH$2,"")&amp;IF(N(AI185)&gt;0,", "&amp;AI$2,"")&amp;IF(N(AJ185)&gt;0,", "&amp;AJ$2,""),3,999)</f>
        <v/>
      </c>
      <c r="AM185" s="87" t="str">
        <f aca="false">IF(E185="","",MID(IF(N(Y185)&gt;0,", "&amp;A185&amp;"-"&amp;Y$2,"")&amp;IF(N(Z185)&gt;0,", "&amp;A185&amp;"-"&amp;Z$2,"")&amp;IF(N(AA185)&gt;0,", "&amp;A185&amp;"-"&amp;AA$2,"")&amp;IF(N(AB185)&gt;0,", "&amp;A185&amp;"-"&amp;AB$2,"")&amp;IF(N(AC185)&gt;0,", "&amp;A185&amp;"-"&amp;AC$2,"")&amp;IF(N(AD185)&gt;0,", "&amp;A185&amp;"-"&amp;AD$2,"")&amp;IF(N(AE185)&gt;0,", "&amp;A185&amp;"-"&amp;AE$2,"")&amp;IF(N(AF185)&gt;0,", "&amp;A185&amp;"-"&amp;AF$2,"")&amp;IF(N(AG185)&gt;0,", "&amp;A185&amp;"-"&amp;AG$2,"")&amp;IF(N(AH185)&gt;0,", "&amp;A185&amp;"-"&amp;AH$2,"")&amp;IF(N(AI185)&gt;0,", "&amp;A185&amp;"-"&amp;AI$2,"")&amp;IF(N(AJ185)&gt;0,", "&amp;A185&amp;"-"&amp;AJ$2,""),3,999))</f>
        <v/>
      </c>
      <c r="AN185" s="81"/>
      <c r="AO185" s="88"/>
      <c r="AP185" s="89" t="str">
        <f aca="false">IF(AO185="","",ROUND(AO185/(1+Справочники!$B$13),2))</f>
        <v/>
      </c>
      <c r="AQ185" s="90" t="str">
        <f aca="false" t="array" ref="AQ185:AQ185">IF(AP185="","",AP185*INDEX(Справочники!$B$4:$B$7,MATCH("RUB",Справочники!$A$4:$A$7,0)))</f>
        <v/>
      </c>
      <c r="AR185" s="90" t="str">
        <f aca="false">IF(AQ185="","",ROUND(AQ185*(1+Справочники!$B$12),0))</f>
        <v/>
      </c>
      <c r="AS185" s="90" t="str">
        <f aca="false">IF(AR185="","",ROUND(AR185*(1-Справочники!$B$11),0))</f>
        <v/>
      </c>
      <c r="AT185" s="88"/>
      <c r="AU185" s="90" t="str">
        <f aca="false">IF(AT185="","",ROUND(AT185/(1+Справочники!$B$12),0))</f>
        <v/>
      </c>
      <c r="AV185" s="90" t="str">
        <f aca="false">IF(AT185="","",ROUND(AT185*(1-Справочники!$B$15),0))</f>
        <v/>
      </c>
      <c r="AW185" s="90" t="str">
        <f aca="false">IF(AT185="","",ROUND(AT185*(1-Справочники!$B$16),0))</f>
        <v/>
      </c>
      <c r="AX185" s="90" t="str">
        <f aca="false">IF(AT185="","",ROUND(AT185*(1-Справочники!$B$17),0))</f>
        <v/>
      </c>
      <c r="AY185" s="90" t="str">
        <f aca="false">IF(AT185="","",ROUND(AT185*(1-Справочники!$B$18),0))</f>
        <v/>
      </c>
      <c r="AZ185" s="90" t="str">
        <f aca="false">IF(AT185="","",ROUND(AT185*(1-Справочники!$B$19),0))</f>
        <v/>
      </c>
      <c r="BA185" s="81"/>
      <c r="BB185" s="81"/>
      <c r="BC185" s="81"/>
      <c r="BD185" s="81"/>
      <c r="BE185" s="91"/>
      <c r="BF185" s="81" t="s">
        <v>103</v>
      </c>
      <c r="BG185" s="89" t="n">
        <f aca="false" t="array" ref="BG185:BG185">IF(BF185="","",IFERROR(INDEX(Справочники!$B$4:$B$7,MATCH(BF185,Справочники!$A$4:$A$7,0)),""))</f>
        <v>68.5</v>
      </c>
      <c r="BH185" s="90" t="str">
        <f aca="false">IF(N(BN185)&gt;0,ROUND(SUMIF(ЗАКАЗЫ!$F$3:$F$500,$A185,ЗАКАЗЫ!$Y$3:$Y$500)/BN185,0),IF(OR(BE185="",BG185=""),"",ROUND(BE185*BG185*(1+Справочники!$B$10),0)))</f>
        <v/>
      </c>
      <c r="BI185" s="92" t="str">
        <f aca="false">IF(OR(AU185="",BH185="",AU185=0),"",(AU185-BH185)/AU185)</f>
        <v/>
      </c>
      <c r="BJ185" s="81"/>
      <c r="BK185" s="83"/>
      <c r="BL185" s="43" t="str">
        <f aca="false">IFERROR(INDEX(ЗАКАЗЫ!$N$3:$N$500,MATCH($A185,ЗАКАЗЫ!$F$3:$F$500,0)),"")</f>
        <v/>
      </c>
      <c r="BM185" s="8" t="str">
        <f aca="false">IF(BL185="","",IFERROR(VLOOKUP(BL185,'ТН ВЭД'!$A$4:$C$40,3,0),""))</f>
        <v/>
      </c>
      <c r="BN185" s="7" t="str">
        <f aca="false">IF(COUNTIF(ЗАКАЗЫ!$F$3:$F$500,$A185)=0,"",SUMIF(ЗАКАЗЫ!$F$3:$F$500,$A185,ЗАКАЗЫ!$J$3:$J$500))</f>
        <v/>
      </c>
      <c r="BO185" s="7" t="str">
        <f aca="false">IF(BN185="","",SUMIF(ЗАКАЗЫ!$F$3:$F$500,$A185,ЗАКАЗЫ!$AL$3:$AL$500))</f>
        <v/>
      </c>
      <c r="BP185" s="7" t="str">
        <f aca="false">IF(BN185="","",BN185-BO185)</f>
        <v/>
      </c>
      <c r="BQ185" s="55" t="str">
        <f aca="false">IF(BN185="","",IF(BO185&gt;=BN185,"На складе",IF(BO185&gt;0,"Частично","Ждём")))</f>
        <v/>
      </c>
      <c r="BR185" s="43"/>
      <c r="BS185" s="47" t="str">
        <f aca="false">IF(BN185="","",IF(_xlfn.MAXIFS(ЗАКАЗЫ!$AK$3:$AK$500,ЗАКАЗЫ!$F$3:$F$500,$A185)=0,"",_xlfn.MAXIFS(ЗАКАЗЫ!$AK$3:$AK$500,ЗАКАЗЫ!$F$3:$F$500,$A185)))</f>
        <v/>
      </c>
    </row>
    <row r="186" customFormat="false" ht="15.75" hidden="false" customHeight="true" outlineLevel="0" collapsed="false">
      <c r="A186" s="80" t="s">
        <v>660</v>
      </c>
      <c r="B186" s="81"/>
      <c r="C186" s="81"/>
      <c r="D186" s="81"/>
      <c r="E186" s="83"/>
      <c r="F186" s="81"/>
      <c r="G186" s="83"/>
      <c r="H186" s="83"/>
      <c r="I186" s="84" t="str">
        <f aca="false">IF(E186="","",A186&amp;"_1.jpg")</f>
        <v/>
      </c>
      <c r="J186" s="84" t="str">
        <f aca="false">IF(E186="","",A186&amp;"_2.jpg; "&amp;A186&amp;"_3.jpg")</f>
        <v/>
      </c>
      <c r="K186" s="84" t="str">
        <f aca="false">IF(E186="","",A186&amp;"_schema.jpg")</f>
        <v/>
      </c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 t="s">
        <v>261</v>
      </c>
      <c r="W186" s="81"/>
      <c r="X186" s="81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6" t="str">
        <f aca="false">IF(SUM(Y186:AJ186)=0,"",SUM(Y186:AJ186))</f>
        <v/>
      </c>
      <c r="AL186" s="84" t="str">
        <f aca="false">MID(IF(N(Y186)&gt;0,", "&amp;Y$2,"")&amp;IF(N(Z186)&gt;0,", "&amp;Z$2,"")&amp;IF(N(AA186)&gt;0,", "&amp;AA$2,"")&amp;IF(N(AB186)&gt;0,", "&amp;AB$2,"")&amp;IF(N(AC186)&gt;0,", "&amp;AC$2,"")&amp;IF(N(AD186)&gt;0,", "&amp;AD$2,"")&amp;IF(N(AE186)&gt;0,", "&amp;AE$2,"")&amp;IF(N(AF186)&gt;0,", "&amp;AF$2,"")&amp;IF(N(AG186)&gt;0,", "&amp;AG$2,"")&amp;IF(N(AH186)&gt;0,", "&amp;AH$2,"")&amp;IF(N(AI186)&gt;0,", "&amp;AI$2,"")&amp;IF(N(AJ186)&gt;0,", "&amp;AJ$2,""),3,999)</f>
        <v/>
      </c>
      <c r="AM186" s="87" t="str">
        <f aca="false">IF(E186="","",MID(IF(N(Y186)&gt;0,", "&amp;A186&amp;"-"&amp;Y$2,"")&amp;IF(N(Z186)&gt;0,", "&amp;A186&amp;"-"&amp;Z$2,"")&amp;IF(N(AA186)&gt;0,", "&amp;A186&amp;"-"&amp;AA$2,"")&amp;IF(N(AB186)&gt;0,", "&amp;A186&amp;"-"&amp;AB$2,"")&amp;IF(N(AC186)&gt;0,", "&amp;A186&amp;"-"&amp;AC$2,"")&amp;IF(N(AD186)&gt;0,", "&amp;A186&amp;"-"&amp;AD$2,"")&amp;IF(N(AE186)&gt;0,", "&amp;A186&amp;"-"&amp;AE$2,"")&amp;IF(N(AF186)&gt;0,", "&amp;A186&amp;"-"&amp;AF$2,"")&amp;IF(N(AG186)&gt;0,", "&amp;A186&amp;"-"&amp;AG$2,"")&amp;IF(N(AH186)&gt;0,", "&amp;A186&amp;"-"&amp;AH$2,"")&amp;IF(N(AI186)&gt;0,", "&amp;A186&amp;"-"&amp;AI$2,"")&amp;IF(N(AJ186)&gt;0,", "&amp;A186&amp;"-"&amp;AJ$2,""),3,999))</f>
        <v/>
      </c>
      <c r="AN186" s="81"/>
      <c r="AO186" s="88"/>
      <c r="AP186" s="89" t="str">
        <f aca="false">IF(AO186="","",ROUND(AO186/(1+Справочники!$B$13),2))</f>
        <v/>
      </c>
      <c r="AQ186" s="90" t="str">
        <f aca="false" t="array" ref="AQ186:AQ186">IF(AP186="","",AP186*INDEX(Справочники!$B$4:$B$7,MATCH("RUB",Справочники!$A$4:$A$7,0)))</f>
        <v/>
      </c>
      <c r="AR186" s="90" t="str">
        <f aca="false">IF(AQ186="","",ROUND(AQ186*(1+Справочники!$B$12),0))</f>
        <v/>
      </c>
      <c r="AS186" s="90" t="str">
        <f aca="false">IF(AR186="","",ROUND(AR186*(1-Справочники!$B$11),0))</f>
        <v/>
      </c>
      <c r="AT186" s="88"/>
      <c r="AU186" s="90" t="str">
        <f aca="false">IF(AT186="","",ROUND(AT186/(1+Справочники!$B$12),0))</f>
        <v/>
      </c>
      <c r="AV186" s="90" t="str">
        <f aca="false">IF(AT186="","",ROUND(AT186*(1-Справочники!$B$15),0))</f>
        <v/>
      </c>
      <c r="AW186" s="90" t="str">
        <f aca="false">IF(AT186="","",ROUND(AT186*(1-Справочники!$B$16),0))</f>
        <v/>
      </c>
      <c r="AX186" s="90" t="str">
        <f aca="false">IF(AT186="","",ROUND(AT186*(1-Справочники!$B$17),0))</f>
        <v/>
      </c>
      <c r="AY186" s="90" t="str">
        <f aca="false">IF(AT186="","",ROUND(AT186*(1-Справочники!$B$18),0))</f>
        <v/>
      </c>
      <c r="AZ186" s="90" t="str">
        <f aca="false">IF(AT186="","",ROUND(AT186*(1-Справочники!$B$19),0))</f>
        <v/>
      </c>
      <c r="BA186" s="81"/>
      <c r="BB186" s="81"/>
      <c r="BC186" s="81"/>
      <c r="BD186" s="81"/>
      <c r="BE186" s="91"/>
      <c r="BF186" s="81" t="s">
        <v>103</v>
      </c>
      <c r="BG186" s="89" t="n">
        <f aca="false" t="array" ref="BG186:BG186">IF(BF186="","",IFERROR(INDEX(Справочники!$B$4:$B$7,MATCH(BF186,Справочники!$A$4:$A$7,0)),""))</f>
        <v>68.5</v>
      </c>
      <c r="BH186" s="90" t="str">
        <f aca="false">IF(N(BN186)&gt;0,ROUND(SUMIF(ЗАКАЗЫ!$F$3:$F$500,$A186,ЗАКАЗЫ!$Y$3:$Y$500)/BN186,0),IF(OR(BE186="",BG186=""),"",ROUND(BE186*BG186*(1+Справочники!$B$10),0)))</f>
        <v/>
      </c>
      <c r="BI186" s="92" t="str">
        <f aca="false">IF(OR(AU186="",BH186="",AU186=0),"",(AU186-BH186)/AU186)</f>
        <v/>
      </c>
      <c r="BJ186" s="81"/>
      <c r="BK186" s="83"/>
      <c r="BL186" s="43" t="str">
        <f aca="false">IFERROR(INDEX(ЗАКАЗЫ!$N$3:$N$500,MATCH($A186,ЗАКАЗЫ!$F$3:$F$500,0)),"")</f>
        <v/>
      </c>
      <c r="BM186" s="8" t="str">
        <f aca="false">IF(BL186="","",IFERROR(VLOOKUP(BL186,'ТН ВЭД'!$A$4:$C$40,3,0),""))</f>
        <v/>
      </c>
      <c r="BN186" s="7" t="str">
        <f aca="false">IF(COUNTIF(ЗАКАЗЫ!$F$3:$F$500,$A186)=0,"",SUMIF(ЗАКАЗЫ!$F$3:$F$500,$A186,ЗАКАЗЫ!$J$3:$J$500))</f>
        <v/>
      </c>
      <c r="BO186" s="7" t="str">
        <f aca="false">IF(BN186="","",SUMIF(ЗАКАЗЫ!$F$3:$F$500,$A186,ЗАКАЗЫ!$AL$3:$AL$500))</f>
        <v/>
      </c>
      <c r="BP186" s="7" t="str">
        <f aca="false">IF(BN186="","",BN186-BO186)</f>
        <v/>
      </c>
      <c r="BQ186" s="55" t="str">
        <f aca="false">IF(BN186="","",IF(BO186&gt;=BN186,"На складе",IF(BO186&gt;0,"Частично","Ждём")))</f>
        <v/>
      </c>
      <c r="BR186" s="43"/>
      <c r="BS186" s="47" t="str">
        <f aca="false">IF(BN186="","",IF(_xlfn.MAXIFS(ЗАКАЗЫ!$AK$3:$AK$500,ЗАКАЗЫ!$F$3:$F$500,$A186)=0,"",_xlfn.MAXIFS(ЗАКАЗЫ!$AK$3:$AK$500,ЗАКАЗЫ!$F$3:$F$500,$A186)))</f>
        <v/>
      </c>
    </row>
    <row r="187" customFormat="false" ht="15.75" hidden="false" customHeight="true" outlineLevel="0" collapsed="false">
      <c r="A187" s="80" t="s">
        <v>661</v>
      </c>
      <c r="B187" s="81"/>
      <c r="C187" s="81"/>
      <c r="D187" s="81"/>
      <c r="E187" s="83"/>
      <c r="F187" s="81"/>
      <c r="G187" s="83"/>
      <c r="H187" s="83"/>
      <c r="I187" s="84" t="str">
        <f aca="false">IF(E187="","",A187&amp;"_1.jpg")</f>
        <v/>
      </c>
      <c r="J187" s="84" t="str">
        <f aca="false">IF(E187="","",A187&amp;"_2.jpg; "&amp;A187&amp;"_3.jpg")</f>
        <v/>
      </c>
      <c r="K187" s="84" t="str">
        <f aca="false">IF(E187="","",A187&amp;"_schema.jpg")</f>
        <v/>
      </c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 t="s">
        <v>261</v>
      </c>
      <c r="W187" s="81"/>
      <c r="X187" s="81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6" t="str">
        <f aca="false">IF(SUM(Y187:AJ187)=0,"",SUM(Y187:AJ187))</f>
        <v/>
      </c>
      <c r="AL187" s="84" t="str">
        <f aca="false">MID(IF(N(Y187)&gt;0,", "&amp;Y$2,"")&amp;IF(N(Z187)&gt;0,", "&amp;Z$2,"")&amp;IF(N(AA187)&gt;0,", "&amp;AA$2,"")&amp;IF(N(AB187)&gt;0,", "&amp;AB$2,"")&amp;IF(N(AC187)&gt;0,", "&amp;AC$2,"")&amp;IF(N(AD187)&gt;0,", "&amp;AD$2,"")&amp;IF(N(AE187)&gt;0,", "&amp;AE$2,"")&amp;IF(N(AF187)&gt;0,", "&amp;AF$2,"")&amp;IF(N(AG187)&gt;0,", "&amp;AG$2,"")&amp;IF(N(AH187)&gt;0,", "&amp;AH$2,"")&amp;IF(N(AI187)&gt;0,", "&amp;AI$2,"")&amp;IF(N(AJ187)&gt;0,", "&amp;AJ$2,""),3,999)</f>
        <v/>
      </c>
      <c r="AM187" s="87" t="str">
        <f aca="false">IF(E187="","",MID(IF(N(Y187)&gt;0,", "&amp;A187&amp;"-"&amp;Y$2,"")&amp;IF(N(Z187)&gt;0,", "&amp;A187&amp;"-"&amp;Z$2,"")&amp;IF(N(AA187)&gt;0,", "&amp;A187&amp;"-"&amp;AA$2,"")&amp;IF(N(AB187)&gt;0,", "&amp;A187&amp;"-"&amp;AB$2,"")&amp;IF(N(AC187)&gt;0,", "&amp;A187&amp;"-"&amp;AC$2,"")&amp;IF(N(AD187)&gt;0,", "&amp;A187&amp;"-"&amp;AD$2,"")&amp;IF(N(AE187)&gt;0,", "&amp;A187&amp;"-"&amp;AE$2,"")&amp;IF(N(AF187)&gt;0,", "&amp;A187&amp;"-"&amp;AF$2,"")&amp;IF(N(AG187)&gt;0,", "&amp;A187&amp;"-"&amp;AG$2,"")&amp;IF(N(AH187)&gt;0,", "&amp;A187&amp;"-"&amp;AH$2,"")&amp;IF(N(AI187)&gt;0,", "&amp;A187&amp;"-"&amp;AI$2,"")&amp;IF(N(AJ187)&gt;0,", "&amp;A187&amp;"-"&amp;AJ$2,""),3,999))</f>
        <v/>
      </c>
      <c r="AN187" s="81"/>
      <c r="AO187" s="88"/>
      <c r="AP187" s="89" t="str">
        <f aca="false">IF(AO187="","",ROUND(AO187/(1+Справочники!$B$13),2))</f>
        <v/>
      </c>
      <c r="AQ187" s="90" t="str">
        <f aca="false" t="array" ref="AQ187:AQ187">IF(AP187="","",AP187*INDEX(Справочники!$B$4:$B$7,MATCH("RUB",Справочники!$A$4:$A$7,0)))</f>
        <v/>
      </c>
      <c r="AR187" s="90" t="str">
        <f aca="false">IF(AQ187="","",ROUND(AQ187*(1+Справочники!$B$12),0))</f>
        <v/>
      </c>
      <c r="AS187" s="90" t="str">
        <f aca="false">IF(AR187="","",ROUND(AR187*(1-Справочники!$B$11),0))</f>
        <v/>
      </c>
      <c r="AT187" s="88"/>
      <c r="AU187" s="90" t="str">
        <f aca="false">IF(AT187="","",ROUND(AT187/(1+Справочники!$B$12),0))</f>
        <v/>
      </c>
      <c r="AV187" s="90" t="str">
        <f aca="false">IF(AT187="","",ROUND(AT187*(1-Справочники!$B$15),0))</f>
        <v/>
      </c>
      <c r="AW187" s="90" t="str">
        <f aca="false">IF(AT187="","",ROUND(AT187*(1-Справочники!$B$16),0))</f>
        <v/>
      </c>
      <c r="AX187" s="90" t="str">
        <f aca="false">IF(AT187="","",ROUND(AT187*(1-Справочники!$B$17),0))</f>
        <v/>
      </c>
      <c r="AY187" s="90" t="str">
        <f aca="false">IF(AT187="","",ROUND(AT187*(1-Справочники!$B$18),0))</f>
        <v/>
      </c>
      <c r="AZ187" s="90" t="str">
        <f aca="false">IF(AT187="","",ROUND(AT187*(1-Справочники!$B$19),0))</f>
        <v/>
      </c>
      <c r="BA187" s="81"/>
      <c r="BB187" s="81"/>
      <c r="BC187" s="81"/>
      <c r="BD187" s="81"/>
      <c r="BE187" s="91"/>
      <c r="BF187" s="81" t="s">
        <v>103</v>
      </c>
      <c r="BG187" s="89" t="n">
        <f aca="false" t="array" ref="BG187:BG187">IF(BF187="","",IFERROR(INDEX(Справочники!$B$4:$B$7,MATCH(BF187,Справочники!$A$4:$A$7,0)),""))</f>
        <v>68.5</v>
      </c>
      <c r="BH187" s="90" t="str">
        <f aca="false">IF(N(BN187)&gt;0,ROUND(SUMIF(ЗАКАЗЫ!$F$3:$F$500,$A187,ЗАКАЗЫ!$Y$3:$Y$500)/BN187,0),IF(OR(BE187="",BG187=""),"",ROUND(BE187*BG187*(1+Справочники!$B$10),0)))</f>
        <v/>
      </c>
      <c r="BI187" s="92" t="str">
        <f aca="false">IF(OR(AU187="",BH187="",AU187=0),"",(AU187-BH187)/AU187)</f>
        <v/>
      </c>
      <c r="BJ187" s="81"/>
      <c r="BK187" s="83"/>
      <c r="BL187" s="43" t="str">
        <f aca="false">IFERROR(INDEX(ЗАКАЗЫ!$N$3:$N$500,MATCH($A187,ЗАКАЗЫ!$F$3:$F$500,0)),"")</f>
        <v/>
      </c>
      <c r="BM187" s="8" t="str">
        <f aca="false">IF(BL187="","",IFERROR(VLOOKUP(BL187,'ТН ВЭД'!$A$4:$C$40,3,0),""))</f>
        <v/>
      </c>
      <c r="BN187" s="7" t="str">
        <f aca="false">IF(COUNTIF(ЗАКАЗЫ!$F$3:$F$500,$A187)=0,"",SUMIF(ЗАКАЗЫ!$F$3:$F$500,$A187,ЗАКАЗЫ!$J$3:$J$500))</f>
        <v/>
      </c>
      <c r="BO187" s="7" t="str">
        <f aca="false">IF(BN187="","",SUMIF(ЗАКАЗЫ!$F$3:$F$500,$A187,ЗАКАЗЫ!$AL$3:$AL$500))</f>
        <v/>
      </c>
      <c r="BP187" s="7" t="str">
        <f aca="false">IF(BN187="","",BN187-BO187)</f>
        <v/>
      </c>
      <c r="BQ187" s="55" t="str">
        <f aca="false">IF(BN187="","",IF(BO187&gt;=BN187,"На складе",IF(BO187&gt;0,"Частично","Ждём")))</f>
        <v/>
      </c>
      <c r="BR187" s="43"/>
      <c r="BS187" s="47" t="str">
        <f aca="false">IF(BN187="","",IF(_xlfn.MAXIFS(ЗАКАЗЫ!$AK$3:$AK$500,ЗАКАЗЫ!$F$3:$F$500,$A187)=0,"",_xlfn.MAXIFS(ЗАКАЗЫ!$AK$3:$AK$500,ЗАКАЗЫ!$F$3:$F$500,$A187)))</f>
        <v/>
      </c>
    </row>
    <row r="188" customFormat="false" ht="15.75" hidden="false" customHeight="true" outlineLevel="0" collapsed="false">
      <c r="A188" s="80" t="s">
        <v>662</v>
      </c>
      <c r="B188" s="81"/>
      <c r="C188" s="81"/>
      <c r="D188" s="81"/>
      <c r="E188" s="83"/>
      <c r="F188" s="81"/>
      <c r="G188" s="83"/>
      <c r="H188" s="83"/>
      <c r="I188" s="84" t="str">
        <f aca="false">IF(E188="","",A188&amp;"_1.jpg")</f>
        <v/>
      </c>
      <c r="J188" s="84" t="str">
        <f aca="false">IF(E188="","",A188&amp;"_2.jpg; "&amp;A188&amp;"_3.jpg")</f>
        <v/>
      </c>
      <c r="K188" s="84" t="str">
        <f aca="false">IF(E188="","",A188&amp;"_schema.jpg")</f>
        <v/>
      </c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 t="s">
        <v>261</v>
      </c>
      <c r="W188" s="81"/>
      <c r="X188" s="81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6" t="str">
        <f aca="false">IF(SUM(Y188:AJ188)=0,"",SUM(Y188:AJ188))</f>
        <v/>
      </c>
      <c r="AL188" s="84" t="str">
        <f aca="false">MID(IF(N(Y188)&gt;0,", "&amp;Y$2,"")&amp;IF(N(Z188)&gt;0,", "&amp;Z$2,"")&amp;IF(N(AA188)&gt;0,", "&amp;AA$2,"")&amp;IF(N(AB188)&gt;0,", "&amp;AB$2,"")&amp;IF(N(AC188)&gt;0,", "&amp;AC$2,"")&amp;IF(N(AD188)&gt;0,", "&amp;AD$2,"")&amp;IF(N(AE188)&gt;0,", "&amp;AE$2,"")&amp;IF(N(AF188)&gt;0,", "&amp;AF$2,"")&amp;IF(N(AG188)&gt;0,", "&amp;AG$2,"")&amp;IF(N(AH188)&gt;0,", "&amp;AH$2,"")&amp;IF(N(AI188)&gt;0,", "&amp;AI$2,"")&amp;IF(N(AJ188)&gt;0,", "&amp;AJ$2,""),3,999)</f>
        <v/>
      </c>
      <c r="AM188" s="87" t="str">
        <f aca="false">IF(E188="","",MID(IF(N(Y188)&gt;0,", "&amp;A188&amp;"-"&amp;Y$2,"")&amp;IF(N(Z188)&gt;0,", "&amp;A188&amp;"-"&amp;Z$2,"")&amp;IF(N(AA188)&gt;0,", "&amp;A188&amp;"-"&amp;AA$2,"")&amp;IF(N(AB188)&gt;0,", "&amp;A188&amp;"-"&amp;AB$2,"")&amp;IF(N(AC188)&gt;0,", "&amp;A188&amp;"-"&amp;AC$2,"")&amp;IF(N(AD188)&gt;0,", "&amp;A188&amp;"-"&amp;AD$2,"")&amp;IF(N(AE188)&gt;0,", "&amp;A188&amp;"-"&amp;AE$2,"")&amp;IF(N(AF188)&gt;0,", "&amp;A188&amp;"-"&amp;AF$2,"")&amp;IF(N(AG188)&gt;0,", "&amp;A188&amp;"-"&amp;AG$2,"")&amp;IF(N(AH188)&gt;0,", "&amp;A188&amp;"-"&amp;AH$2,"")&amp;IF(N(AI188)&gt;0,", "&amp;A188&amp;"-"&amp;AI$2,"")&amp;IF(N(AJ188)&gt;0,", "&amp;A188&amp;"-"&amp;AJ$2,""),3,999))</f>
        <v/>
      </c>
      <c r="AN188" s="81"/>
      <c r="AO188" s="88"/>
      <c r="AP188" s="89" t="str">
        <f aca="false">IF(AO188="","",ROUND(AO188/(1+Справочники!$B$13),2))</f>
        <v/>
      </c>
      <c r="AQ188" s="90" t="str">
        <f aca="false" t="array" ref="AQ188:AQ188">IF(AP188="","",AP188*INDEX(Справочники!$B$4:$B$7,MATCH("RUB",Справочники!$A$4:$A$7,0)))</f>
        <v/>
      </c>
      <c r="AR188" s="90" t="str">
        <f aca="false">IF(AQ188="","",ROUND(AQ188*(1+Справочники!$B$12),0))</f>
        <v/>
      </c>
      <c r="AS188" s="90" t="str">
        <f aca="false">IF(AR188="","",ROUND(AR188*(1-Справочники!$B$11),0))</f>
        <v/>
      </c>
      <c r="AT188" s="88"/>
      <c r="AU188" s="90" t="str">
        <f aca="false">IF(AT188="","",ROUND(AT188/(1+Справочники!$B$12),0))</f>
        <v/>
      </c>
      <c r="AV188" s="90" t="str">
        <f aca="false">IF(AT188="","",ROUND(AT188*(1-Справочники!$B$15),0))</f>
        <v/>
      </c>
      <c r="AW188" s="90" t="str">
        <f aca="false">IF(AT188="","",ROUND(AT188*(1-Справочники!$B$16),0))</f>
        <v/>
      </c>
      <c r="AX188" s="90" t="str">
        <f aca="false">IF(AT188="","",ROUND(AT188*(1-Справочники!$B$17),0))</f>
        <v/>
      </c>
      <c r="AY188" s="90" t="str">
        <f aca="false">IF(AT188="","",ROUND(AT188*(1-Справочники!$B$18),0))</f>
        <v/>
      </c>
      <c r="AZ188" s="90" t="str">
        <f aca="false">IF(AT188="","",ROUND(AT188*(1-Справочники!$B$19),0))</f>
        <v/>
      </c>
      <c r="BA188" s="81"/>
      <c r="BB188" s="81"/>
      <c r="BC188" s="81"/>
      <c r="BD188" s="81"/>
      <c r="BE188" s="91"/>
      <c r="BF188" s="81" t="s">
        <v>103</v>
      </c>
      <c r="BG188" s="89" t="n">
        <f aca="false" t="array" ref="BG188:BG188">IF(BF188="","",IFERROR(INDEX(Справочники!$B$4:$B$7,MATCH(BF188,Справочники!$A$4:$A$7,0)),""))</f>
        <v>68.5</v>
      </c>
      <c r="BH188" s="90" t="str">
        <f aca="false">IF(N(BN188)&gt;0,ROUND(SUMIF(ЗАКАЗЫ!$F$3:$F$500,$A188,ЗАКАЗЫ!$Y$3:$Y$500)/BN188,0),IF(OR(BE188="",BG188=""),"",ROUND(BE188*BG188*(1+Справочники!$B$10),0)))</f>
        <v/>
      </c>
      <c r="BI188" s="92" t="str">
        <f aca="false">IF(OR(AU188="",BH188="",AU188=0),"",(AU188-BH188)/AU188)</f>
        <v/>
      </c>
      <c r="BJ188" s="81"/>
      <c r="BK188" s="83"/>
      <c r="BL188" s="43" t="str">
        <f aca="false">IFERROR(INDEX(ЗАКАЗЫ!$N$3:$N$500,MATCH($A188,ЗАКАЗЫ!$F$3:$F$500,0)),"")</f>
        <v/>
      </c>
      <c r="BM188" s="8" t="str">
        <f aca="false">IF(BL188="","",IFERROR(VLOOKUP(BL188,'ТН ВЭД'!$A$4:$C$40,3,0),""))</f>
        <v/>
      </c>
      <c r="BN188" s="7" t="str">
        <f aca="false">IF(COUNTIF(ЗАКАЗЫ!$F$3:$F$500,$A188)=0,"",SUMIF(ЗАКАЗЫ!$F$3:$F$500,$A188,ЗАКАЗЫ!$J$3:$J$500))</f>
        <v/>
      </c>
      <c r="BO188" s="7" t="str">
        <f aca="false">IF(BN188="","",SUMIF(ЗАКАЗЫ!$F$3:$F$500,$A188,ЗАКАЗЫ!$AL$3:$AL$500))</f>
        <v/>
      </c>
      <c r="BP188" s="7" t="str">
        <f aca="false">IF(BN188="","",BN188-BO188)</f>
        <v/>
      </c>
      <c r="BQ188" s="55" t="str">
        <f aca="false">IF(BN188="","",IF(BO188&gt;=BN188,"На складе",IF(BO188&gt;0,"Частично","Ждём")))</f>
        <v/>
      </c>
      <c r="BR188" s="43"/>
      <c r="BS188" s="47" t="str">
        <f aca="false">IF(BN188="","",IF(_xlfn.MAXIFS(ЗАКАЗЫ!$AK$3:$AK$500,ЗАКАЗЫ!$F$3:$F$500,$A188)=0,"",_xlfn.MAXIFS(ЗАКАЗЫ!$AK$3:$AK$500,ЗАКАЗЫ!$F$3:$F$500,$A188)))</f>
        <v/>
      </c>
    </row>
    <row r="189" customFormat="false" ht="15.75" hidden="false" customHeight="true" outlineLevel="0" collapsed="false">
      <c r="A189" s="80" t="s">
        <v>663</v>
      </c>
      <c r="B189" s="81"/>
      <c r="C189" s="81"/>
      <c r="D189" s="81"/>
      <c r="E189" s="83"/>
      <c r="F189" s="81"/>
      <c r="G189" s="83"/>
      <c r="H189" s="83"/>
      <c r="I189" s="84" t="str">
        <f aca="false">IF(E189="","",A189&amp;"_1.jpg")</f>
        <v/>
      </c>
      <c r="J189" s="84" t="str">
        <f aca="false">IF(E189="","",A189&amp;"_2.jpg; "&amp;A189&amp;"_3.jpg")</f>
        <v/>
      </c>
      <c r="K189" s="84" t="str">
        <f aca="false">IF(E189="","",A189&amp;"_schema.jpg")</f>
        <v/>
      </c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 t="s">
        <v>261</v>
      </c>
      <c r="W189" s="81"/>
      <c r="X189" s="81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6" t="str">
        <f aca="false">IF(SUM(Y189:AJ189)=0,"",SUM(Y189:AJ189))</f>
        <v/>
      </c>
      <c r="AL189" s="84" t="str">
        <f aca="false">MID(IF(N(Y189)&gt;0,", "&amp;Y$2,"")&amp;IF(N(Z189)&gt;0,", "&amp;Z$2,"")&amp;IF(N(AA189)&gt;0,", "&amp;AA$2,"")&amp;IF(N(AB189)&gt;0,", "&amp;AB$2,"")&amp;IF(N(AC189)&gt;0,", "&amp;AC$2,"")&amp;IF(N(AD189)&gt;0,", "&amp;AD$2,"")&amp;IF(N(AE189)&gt;0,", "&amp;AE$2,"")&amp;IF(N(AF189)&gt;0,", "&amp;AF$2,"")&amp;IF(N(AG189)&gt;0,", "&amp;AG$2,"")&amp;IF(N(AH189)&gt;0,", "&amp;AH$2,"")&amp;IF(N(AI189)&gt;0,", "&amp;AI$2,"")&amp;IF(N(AJ189)&gt;0,", "&amp;AJ$2,""),3,999)</f>
        <v/>
      </c>
      <c r="AM189" s="87" t="str">
        <f aca="false">IF(E189="","",MID(IF(N(Y189)&gt;0,", "&amp;A189&amp;"-"&amp;Y$2,"")&amp;IF(N(Z189)&gt;0,", "&amp;A189&amp;"-"&amp;Z$2,"")&amp;IF(N(AA189)&gt;0,", "&amp;A189&amp;"-"&amp;AA$2,"")&amp;IF(N(AB189)&gt;0,", "&amp;A189&amp;"-"&amp;AB$2,"")&amp;IF(N(AC189)&gt;0,", "&amp;A189&amp;"-"&amp;AC$2,"")&amp;IF(N(AD189)&gt;0,", "&amp;A189&amp;"-"&amp;AD$2,"")&amp;IF(N(AE189)&gt;0,", "&amp;A189&amp;"-"&amp;AE$2,"")&amp;IF(N(AF189)&gt;0,", "&amp;A189&amp;"-"&amp;AF$2,"")&amp;IF(N(AG189)&gt;0,", "&amp;A189&amp;"-"&amp;AG$2,"")&amp;IF(N(AH189)&gt;0,", "&amp;A189&amp;"-"&amp;AH$2,"")&amp;IF(N(AI189)&gt;0,", "&amp;A189&amp;"-"&amp;AI$2,"")&amp;IF(N(AJ189)&gt;0,", "&amp;A189&amp;"-"&amp;AJ$2,""),3,999))</f>
        <v/>
      </c>
      <c r="AN189" s="81"/>
      <c r="AO189" s="88"/>
      <c r="AP189" s="89" t="str">
        <f aca="false">IF(AO189="","",ROUND(AO189/(1+Справочники!$B$13),2))</f>
        <v/>
      </c>
      <c r="AQ189" s="90" t="str">
        <f aca="false" t="array" ref="AQ189:AQ189">IF(AP189="","",AP189*INDEX(Справочники!$B$4:$B$7,MATCH("RUB",Справочники!$A$4:$A$7,0)))</f>
        <v/>
      </c>
      <c r="AR189" s="90" t="str">
        <f aca="false">IF(AQ189="","",ROUND(AQ189*(1+Справочники!$B$12),0))</f>
        <v/>
      </c>
      <c r="AS189" s="90" t="str">
        <f aca="false">IF(AR189="","",ROUND(AR189*(1-Справочники!$B$11),0))</f>
        <v/>
      </c>
      <c r="AT189" s="88"/>
      <c r="AU189" s="90" t="str">
        <f aca="false">IF(AT189="","",ROUND(AT189/(1+Справочники!$B$12),0))</f>
        <v/>
      </c>
      <c r="AV189" s="90" t="str">
        <f aca="false">IF(AT189="","",ROUND(AT189*(1-Справочники!$B$15),0))</f>
        <v/>
      </c>
      <c r="AW189" s="90" t="str">
        <f aca="false">IF(AT189="","",ROUND(AT189*(1-Справочники!$B$16),0))</f>
        <v/>
      </c>
      <c r="AX189" s="90" t="str">
        <f aca="false">IF(AT189="","",ROUND(AT189*(1-Справочники!$B$17),0))</f>
        <v/>
      </c>
      <c r="AY189" s="90" t="str">
        <f aca="false">IF(AT189="","",ROUND(AT189*(1-Справочники!$B$18),0))</f>
        <v/>
      </c>
      <c r="AZ189" s="90" t="str">
        <f aca="false">IF(AT189="","",ROUND(AT189*(1-Справочники!$B$19),0))</f>
        <v/>
      </c>
      <c r="BA189" s="81"/>
      <c r="BB189" s="81"/>
      <c r="BC189" s="81"/>
      <c r="BD189" s="81"/>
      <c r="BE189" s="91"/>
      <c r="BF189" s="81" t="s">
        <v>103</v>
      </c>
      <c r="BG189" s="89" t="n">
        <f aca="false" t="array" ref="BG189:BG189">IF(BF189="","",IFERROR(INDEX(Справочники!$B$4:$B$7,MATCH(BF189,Справочники!$A$4:$A$7,0)),""))</f>
        <v>68.5</v>
      </c>
      <c r="BH189" s="90" t="str">
        <f aca="false">IF(N(BN189)&gt;0,ROUND(SUMIF(ЗАКАЗЫ!$F$3:$F$500,$A189,ЗАКАЗЫ!$Y$3:$Y$500)/BN189,0),IF(OR(BE189="",BG189=""),"",ROUND(BE189*BG189*(1+Справочники!$B$10),0)))</f>
        <v/>
      </c>
      <c r="BI189" s="92" t="str">
        <f aca="false">IF(OR(AU189="",BH189="",AU189=0),"",(AU189-BH189)/AU189)</f>
        <v/>
      </c>
      <c r="BJ189" s="81"/>
      <c r="BK189" s="83"/>
      <c r="BL189" s="43" t="str">
        <f aca="false">IFERROR(INDEX(ЗАКАЗЫ!$N$3:$N$500,MATCH($A189,ЗАКАЗЫ!$F$3:$F$500,0)),"")</f>
        <v/>
      </c>
      <c r="BM189" s="8" t="str">
        <f aca="false">IF(BL189="","",IFERROR(VLOOKUP(BL189,'ТН ВЭД'!$A$4:$C$40,3,0),""))</f>
        <v/>
      </c>
      <c r="BN189" s="7" t="str">
        <f aca="false">IF(COUNTIF(ЗАКАЗЫ!$F$3:$F$500,$A189)=0,"",SUMIF(ЗАКАЗЫ!$F$3:$F$500,$A189,ЗАКАЗЫ!$J$3:$J$500))</f>
        <v/>
      </c>
      <c r="BO189" s="7" t="str">
        <f aca="false">IF(BN189="","",SUMIF(ЗАКАЗЫ!$F$3:$F$500,$A189,ЗАКАЗЫ!$AL$3:$AL$500))</f>
        <v/>
      </c>
      <c r="BP189" s="7" t="str">
        <f aca="false">IF(BN189="","",BN189-BO189)</f>
        <v/>
      </c>
      <c r="BQ189" s="55" t="str">
        <f aca="false">IF(BN189="","",IF(BO189&gt;=BN189,"На складе",IF(BO189&gt;0,"Частично","Ждём")))</f>
        <v/>
      </c>
      <c r="BR189" s="43"/>
      <c r="BS189" s="47" t="str">
        <f aca="false">IF(BN189="","",IF(_xlfn.MAXIFS(ЗАКАЗЫ!$AK$3:$AK$500,ЗАКАЗЫ!$F$3:$F$500,$A189)=0,"",_xlfn.MAXIFS(ЗАКАЗЫ!$AK$3:$AK$500,ЗАКАЗЫ!$F$3:$F$500,$A189)))</f>
        <v/>
      </c>
    </row>
    <row r="190" customFormat="false" ht="15.75" hidden="false" customHeight="true" outlineLevel="0" collapsed="false">
      <c r="A190" s="80" t="s">
        <v>664</v>
      </c>
      <c r="B190" s="81"/>
      <c r="C190" s="81"/>
      <c r="D190" s="81"/>
      <c r="E190" s="83"/>
      <c r="F190" s="81"/>
      <c r="G190" s="83"/>
      <c r="H190" s="83"/>
      <c r="I190" s="84" t="str">
        <f aca="false">IF(E190="","",A190&amp;"_1.jpg")</f>
        <v/>
      </c>
      <c r="J190" s="84" t="str">
        <f aca="false">IF(E190="","",A190&amp;"_2.jpg; "&amp;A190&amp;"_3.jpg")</f>
        <v/>
      </c>
      <c r="K190" s="84" t="str">
        <f aca="false">IF(E190="","",A190&amp;"_schema.jpg")</f>
        <v/>
      </c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 t="s">
        <v>261</v>
      </c>
      <c r="W190" s="81"/>
      <c r="X190" s="81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6" t="str">
        <f aca="false">IF(SUM(Y190:AJ190)=0,"",SUM(Y190:AJ190))</f>
        <v/>
      </c>
      <c r="AL190" s="84" t="str">
        <f aca="false">MID(IF(N(Y190)&gt;0,", "&amp;Y$2,"")&amp;IF(N(Z190)&gt;0,", "&amp;Z$2,"")&amp;IF(N(AA190)&gt;0,", "&amp;AA$2,"")&amp;IF(N(AB190)&gt;0,", "&amp;AB$2,"")&amp;IF(N(AC190)&gt;0,", "&amp;AC$2,"")&amp;IF(N(AD190)&gt;0,", "&amp;AD$2,"")&amp;IF(N(AE190)&gt;0,", "&amp;AE$2,"")&amp;IF(N(AF190)&gt;0,", "&amp;AF$2,"")&amp;IF(N(AG190)&gt;0,", "&amp;AG$2,"")&amp;IF(N(AH190)&gt;0,", "&amp;AH$2,"")&amp;IF(N(AI190)&gt;0,", "&amp;AI$2,"")&amp;IF(N(AJ190)&gt;0,", "&amp;AJ$2,""),3,999)</f>
        <v/>
      </c>
      <c r="AM190" s="87" t="str">
        <f aca="false">IF(E190="","",MID(IF(N(Y190)&gt;0,", "&amp;A190&amp;"-"&amp;Y$2,"")&amp;IF(N(Z190)&gt;0,", "&amp;A190&amp;"-"&amp;Z$2,"")&amp;IF(N(AA190)&gt;0,", "&amp;A190&amp;"-"&amp;AA$2,"")&amp;IF(N(AB190)&gt;0,", "&amp;A190&amp;"-"&amp;AB$2,"")&amp;IF(N(AC190)&gt;0,", "&amp;A190&amp;"-"&amp;AC$2,"")&amp;IF(N(AD190)&gt;0,", "&amp;A190&amp;"-"&amp;AD$2,"")&amp;IF(N(AE190)&gt;0,", "&amp;A190&amp;"-"&amp;AE$2,"")&amp;IF(N(AF190)&gt;0,", "&amp;A190&amp;"-"&amp;AF$2,"")&amp;IF(N(AG190)&gt;0,", "&amp;A190&amp;"-"&amp;AG$2,"")&amp;IF(N(AH190)&gt;0,", "&amp;A190&amp;"-"&amp;AH$2,"")&amp;IF(N(AI190)&gt;0,", "&amp;A190&amp;"-"&amp;AI$2,"")&amp;IF(N(AJ190)&gt;0,", "&amp;A190&amp;"-"&amp;AJ$2,""),3,999))</f>
        <v/>
      </c>
      <c r="AN190" s="81"/>
      <c r="AO190" s="88"/>
      <c r="AP190" s="89" t="str">
        <f aca="false">IF(AO190="","",ROUND(AO190/(1+Справочники!$B$13),2))</f>
        <v/>
      </c>
      <c r="AQ190" s="90" t="str">
        <f aca="false" t="array" ref="AQ190:AQ190">IF(AP190="","",AP190*INDEX(Справочники!$B$4:$B$7,MATCH("RUB",Справочники!$A$4:$A$7,0)))</f>
        <v/>
      </c>
      <c r="AR190" s="90" t="str">
        <f aca="false">IF(AQ190="","",ROUND(AQ190*(1+Справочники!$B$12),0))</f>
        <v/>
      </c>
      <c r="AS190" s="90" t="str">
        <f aca="false">IF(AR190="","",ROUND(AR190*(1-Справочники!$B$11),0))</f>
        <v/>
      </c>
      <c r="AT190" s="88"/>
      <c r="AU190" s="90" t="str">
        <f aca="false">IF(AT190="","",ROUND(AT190/(1+Справочники!$B$12),0))</f>
        <v/>
      </c>
      <c r="AV190" s="90" t="str">
        <f aca="false">IF(AT190="","",ROUND(AT190*(1-Справочники!$B$15),0))</f>
        <v/>
      </c>
      <c r="AW190" s="90" t="str">
        <f aca="false">IF(AT190="","",ROUND(AT190*(1-Справочники!$B$16),0))</f>
        <v/>
      </c>
      <c r="AX190" s="90" t="str">
        <f aca="false">IF(AT190="","",ROUND(AT190*(1-Справочники!$B$17),0))</f>
        <v/>
      </c>
      <c r="AY190" s="90" t="str">
        <f aca="false">IF(AT190="","",ROUND(AT190*(1-Справочники!$B$18),0))</f>
        <v/>
      </c>
      <c r="AZ190" s="90" t="str">
        <f aca="false">IF(AT190="","",ROUND(AT190*(1-Справочники!$B$19),0))</f>
        <v/>
      </c>
      <c r="BA190" s="81"/>
      <c r="BB190" s="81"/>
      <c r="BC190" s="81"/>
      <c r="BD190" s="81"/>
      <c r="BE190" s="91"/>
      <c r="BF190" s="81" t="s">
        <v>103</v>
      </c>
      <c r="BG190" s="89" t="n">
        <f aca="false" t="array" ref="BG190:BG190">IF(BF190="","",IFERROR(INDEX(Справочники!$B$4:$B$7,MATCH(BF190,Справочники!$A$4:$A$7,0)),""))</f>
        <v>68.5</v>
      </c>
      <c r="BH190" s="90" t="str">
        <f aca="false">IF(N(BN190)&gt;0,ROUND(SUMIF(ЗАКАЗЫ!$F$3:$F$500,$A190,ЗАКАЗЫ!$Y$3:$Y$500)/BN190,0),IF(OR(BE190="",BG190=""),"",ROUND(BE190*BG190*(1+Справочники!$B$10),0)))</f>
        <v/>
      </c>
      <c r="BI190" s="92" t="str">
        <f aca="false">IF(OR(AU190="",BH190="",AU190=0),"",(AU190-BH190)/AU190)</f>
        <v/>
      </c>
      <c r="BJ190" s="81"/>
      <c r="BK190" s="83"/>
      <c r="BL190" s="43" t="str">
        <f aca="false">IFERROR(INDEX(ЗАКАЗЫ!$N$3:$N$500,MATCH($A190,ЗАКАЗЫ!$F$3:$F$500,0)),"")</f>
        <v/>
      </c>
      <c r="BM190" s="8" t="str">
        <f aca="false">IF(BL190="","",IFERROR(VLOOKUP(BL190,'ТН ВЭД'!$A$4:$C$40,3,0),""))</f>
        <v/>
      </c>
      <c r="BN190" s="7" t="str">
        <f aca="false">IF(COUNTIF(ЗАКАЗЫ!$F$3:$F$500,$A190)=0,"",SUMIF(ЗАКАЗЫ!$F$3:$F$500,$A190,ЗАКАЗЫ!$J$3:$J$500))</f>
        <v/>
      </c>
      <c r="BO190" s="7" t="str">
        <f aca="false">IF(BN190="","",SUMIF(ЗАКАЗЫ!$F$3:$F$500,$A190,ЗАКАЗЫ!$AL$3:$AL$500))</f>
        <v/>
      </c>
      <c r="BP190" s="7" t="str">
        <f aca="false">IF(BN190="","",BN190-BO190)</f>
        <v/>
      </c>
      <c r="BQ190" s="55" t="str">
        <f aca="false">IF(BN190="","",IF(BO190&gt;=BN190,"На складе",IF(BO190&gt;0,"Частично","Ждём")))</f>
        <v/>
      </c>
      <c r="BR190" s="43"/>
      <c r="BS190" s="47" t="str">
        <f aca="false">IF(BN190="","",IF(_xlfn.MAXIFS(ЗАКАЗЫ!$AK$3:$AK$500,ЗАКАЗЫ!$F$3:$F$500,$A190)=0,"",_xlfn.MAXIFS(ЗАКАЗЫ!$AK$3:$AK$500,ЗАКАЗЫ!$F$3:$F$500,$A190)))</f>
        <v/>
      </c>
    </row>
    <row r="191" customFormat="false" ht="15.75" hidden="false" customHeight="true" outlineLevel="0" collapsed="false">
      <c r="A191" s="80" t="s">
        <v>665</v>
      </c>
      <c r="B191" s="81"/>
      <c r="C191" s="81"/>
      <c r="D191" s="81"/>
      <c r="E191" s="83"/>
      <c r="F191" s="81"/>
      <c r="G191" s="83"/>
      <c r="H191" s="83"/>
      <c r="I191" s="84" t="str">
        <f aca="false">IF(E191="","",A191&amp;"_1.jpg")</f>
        <v/>
      </c>
      <c r="J191" s="84" t="str">
        <f aca="false">IF(E191="","",A191&amp;"_2.jpg; "&amp;A191&amp;"_3.jpg")</f>
        <v/>
      </c>
      <c r="K191" s="84" t="str">
        <f aca="false">IF(E191="","",A191&amp;"_schema.jpg")</f>
        <v/>
      </c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 t="s">
        <v>261</v>
      </c>
      <c r="W191" s="81"/>
      <c r="X191" s="81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6" t="str">
        <f aca="false">IF(SUM(Y191:AJ191)=0,"",SUM(Y191:AJ191))</f>
        <v/>
      </c>
      <c r="AL191" s="84" t="str">
        <f aca="false">MID(IF(N(Y191)&gt;0,", "&amp;Y$2,"")&amp;IF(N(Z191)&gt;0,", "&amp;Z$2,"")&amp;IF(N(AA191)&gt;0,", "&amp;AA$2,"")&amp;IF(N(AB191)&gt;0,", "&amp;AB$2,"")&amp;IF(N(AC191)&gt;0,", "&amp;AC$2,"")&amp;IF(N(AD191)&gt;0,", "&amp;AD$2,"")&amp;IF(N(AE191)&gt;0,", "&amp;AE$2,"")&amp;IF(N(AF191)&gt;0,", "&amp;AF$2,"")&amp;IF(N(AG191)&gt;0,", "&amp;AG$2,"")&amp;IF(N(AH191)&gt;0,", "&amp;AH$2,"")&amp;IF(N(AI191)&gt;0,", "&amp;AI$2,"")&amp;IF(N(AJ191)&gt;0,", "&amp;AJ$2,""),3,999)</f>
        <v/>
      </c>
      <c r="AM191" s="87" t="str">
        <f aca="false">IF(E191="","",MID(IF(N(Y191)&gt;0,", "&amp;A191&amp;"-"&amp;Y$2,"")&amp;IF(N(Z191)&gt;0,", "&amp;A191&amp;"-"&amp;Z$2,"")&amp;IF(N(AA191)&gt;0,", "&amp;A191&amp;"-"&amp;AA$2,"")&amp;IF(N(AB191)&gt;0,", "&amp;A191&amp;"-"&amp;AB$2,"")&amp;IF(N(AC191)&gt;0,", "&amp;A191&amp;"-"&amp;AC$2,"")&amp;IF(N(AD191)&gt;0,", "&amp;A191&amp;"-"&amp;AD$2,"")&amp;IF(N(AE191)&gt;0,", "&amp;A191&amp;"-"&amp;AE$2,"")&amp;IF(N(AF191)&gt;0,", "&amp;A191&amp;"-"&amp;AF$2,"")&amp;IF(N(AG191)&gt;0,", "&amp;A191&amp;"-"&amp;AG$2,"")&amp;IF(N(AH191)&gt;0,", "&amp;A191&amp;"-"&amp;AH$2,"")&amp;IF(N(AI191)&gt;0,", "&amp;A191&amp;"-"&amp;AI$2,"")&amp;IF(N(AJ191)&gt;0,", "&amp;A191&amp;"-"&amp;AJ$2,""),3,999))</f>
        <v/>
      </c>
      <c r="AN191" s="81"/>
      <c r="AO191" s="88"/>
      <c r="AP191" s="89" t="str">
        <f aca="false">IF(AO191="","",ROUND(AO191/(1+Справочники!$B$13),2))</f>
        <v/>
      </c>
      <c r="AQ191" s="90" t="str">
        <f aca="false" t="array" ref="AQ191:AQ191">IF(AP191="","",AP191*INDEX(Справочники!$B$4:$B$7,MATCH("RUB",Справочники!$A$4:$A$7,0)))</f>
        <v/>
      </c>
      <c r="AR191" s="90" t="str">
        <f aca="false">IF(AQ191="","",ROUND(AQ191*(1+Справочники!$B$12),0))</f>
        <v/>
      </c>
      <c r="AS191" s="90" t="str">
        <f aca="false">IF(AR191="","",ROUND(AR191*(1-Справочники!$B$11),0))</f>
        <v/>
      </c>
      <c r="AT191" s="88"/>
      <c r="AU191" s="90" t="str">
        <f aca="false">IF(AT191="","",ROUND(AT191/(1+Справочники!$B$12),0))</f>
        <v/>
      </c>
      <c r="AV191" s="90" t="str">
        <f aca="false">IF(AT191="","",ROUND(AT191*(1-Справочники!$B$15),0))</f>
        <v/>
      </c>
      <c r="AW191" s="90" t="str">
        <f aca="false">IF(AT191="","",ROUND(AT191*(1-Справочники!$B$16),0))</f>
        <v/>
      </c>
      <c r="AX191" s="90" t="str">
        <f aca="false">IF(AT191="","",ROUND(AT191*(1-Справочники!$B$17),0))</f>
        <v/>
      </c>
      <c r="AY191" s="90" t="str">
        <f aca="false">IF(AT191="","",ROUND(AT191*(1-Справочники!$B$18),0))</f>
        <v/>
      </c>
      <c r="AZ191" s="90" t="str">
        <f aca="false">IF(AT191="","",ROUND(AT191*(1-Справочники!$B$19),0))</f>
        <v/>
      </c>
      <c r="BA191" s="81"/>
      <c r="BB191" s="81"/>
      <c r="BC191" s="81"/>
      <c r="BD191" s="81"/>
      <c r="BE191" s="91"/>
      <c r="BF191" s="81" t="s">
        <v>103</v>
      </c>
      <c r="BG191" s="89" t="n">
        <f aca="false" t="array" ref="BG191:BG191">IF(BF191="","",IFERROR(INDEX(Справочники!$B$4:$B$7,MATCH(BF191,Справочники!$A$4:$A$7,0)),""))</f>
        <v>68.5</v>
      </c>
      <c r="BH191" s="90" t="str">
        <f aca="false">IF(N(BN191)&gt;0,ROUND(SUMIF(ЗАКАЗЫ!$F$3:$F$500,$A191,ЗАКАЗЫ!$Y$3:$Y$500)/BN191,0),IF(OR(BE191="",BG191=""),"",ROUND(BE191*BG191*(1+Справочники!$B$10),0)))</f>
        <v/>
      </c>
      <c r="BI191" s="92" t="str">
        <f aca="false">IF(OR(AU191="",BH191="",AU191=0),"",(AU191-BH191)/AU191)</f>
        <v/>
      </c>
      <c r="BJ191" s="81"/>
      <c r="BK191" s="83"/>
      <c r="BL191" s="43" t="str">
        <f aca="false">IFERROR(INDEX(ЗАКАЗЫ!$N$3:$N$500,MATCH($A191,ЗАКАЗЫ!$F$3:$F$500,0)),"")</f>
        <v/>
      </c>
      <c r="BM191" s="8" t="str">
        <f aca="false">IF(BL191="","",IFERROR(VLOOKUP(BL191,'ТН ВЭД'!$A$4:$C$40,3,0),""))</f>
        <v/>
      </c>
      <c r="BN191" s="7" t="str">
        <f aca="false">IF(COUNTIF(ЗАКАЗЫ!$F$3:$F$500,$A191)=0,"",SUMIF(ЗАКАЗЫ!$F$3:$F$500,$A191,ЗАКАЗЫ!$J$3:$J$500))</f>
        <v/>
      </c>
      <c r="BO191" s="7" t="str">
        <f aca="false">IF(BN191="","",SUMIF(ЗАКАЗЫ!$F$3:$F$500,$A191,ЗАКАЗЫ!$AL$3:$AL$500))</f>
        <v/>
      </c>
      <c r="BP191" s="7" t="str">
        <f aca="false">IF(BN191="","",BN191-BO191)</f>
        <v/>
      </c>
      <c r="BQ191" s="55" t="str">
        <f aca="false">IF(BN191="","",IF(BO191&gt;=BN191,"На складе",IF(BO191&gt;0,"Частично","Ждём")))</f>
        <v/>
      </c>
      <c r="BR191" s="43"/>
      <c r="BS191" s="47" t="str">
        <f aca="false">IF(BN191="","",IF(_xlfn.MAXIFS(ЗАКАЗЫ!$AK$3:$AK$500,ЗАКАЗЫ!$F$3:$F$500,$A191)=0,"",_xlfn.MAXIFS(ЗАКАЗЫ!$AK$3:$AK$500,ЗАКАЗЫ!$F$3:$F$500,$A191)))</f>
        <v/>
      </c>
    </row>
    <row r="192" customFormat="false" ht="15.75" hidden="false" customHeight="true" outlineLevel="0" collapsed="false">
      <c r="A192" s="80" t="s">
        <v>666</v>
      </c>
      <c r="B192" s="81"/>
      <c r="C192" s="81"/>
      <c r="D192" s="81"/>
      <c r="E192" s="83"/>
      <c r="F192" s="81"/>
      <c r="G192" s="83"/>
      <c r="H192" s="83"/>
      <c r="I192" s="84" t="str">
        <f aca="false">IF(E192="","",A192&amp;"_1.jpg")</f>
        <v/>
      </c>
      <c r="J192" s="84" t="str">
        <f aca="false">IF(E192="","",A192&amp;"_2.jpg; "&amp;A192&amp;"_3.jpg")</f>
        <v/>
      </c>
      <c r="K192" s="84" t="str">
        <f aca="false">IF(E192="","",A192&amp;"_schema.jpg")</f>
        <v/>
      </c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 t="s">
        <v>261</v>
      </c>
      <c r="W192" s="81"/>
      <c r="X192" s="81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6" t="str">
        <f aca="false">IF(SUM(Y192:AJ192)=0,"",SUM(Y192:AJ192))</f>
        <v/>
      </c>
      <c r="AL192" s="84" t="str">
        <f aca="false">MID(IF(N(Y192)&gt;0,", "&amp;Y$2,"")&amp;IF(N(Z192)&gt;0,", "&amp;Z$2,"")&amp;IF(N(AA192)&gt;0,", "&amp;AA$2,"")&amp;IF(N(AB192)&gt;0,", "&amp;AB$2,"")&amp;IF(N(AC192)&gt;0,", "&amp;AC$2,"")&amp;IF(N(AD192)&gt;0,", "&amp;AD$2,"")&amp;IF(N(AE192)&gt;0,", "&amp;AE$2,"")&amp;IF(N(AF192)&gt;0,", "&amp;AF$2,"")&amp;IF(N(AG192)&gt;0,", "&amp;AG$2,"")&amp;IF(N(AH192)&gt;0,", "&amp;AH$2,"")&amp;IF(N(AI192)&gt;0,", "&amp;AI$2,"")&amp;IF(N(AJ192)&gt;0,", "&amp;AJ$2,""),3,999)</f>
        <v/>
      </c>
      <c r="AM192" s="87" t="str">
        <f aca="false">IF(E192="","",MID(IF(N(Y192)&gt;0,", "&amp;A192&amp;"-"&amp;Y$2,"")&amp;IF(N(Z192)&gt;0,", "&amp;A192&amp;"-"&amp;Z$2,"")&amp;IF(N(AA192)&gt;0,", "&amp;A192&amp;"-"&amp;AA$2,"")&amp;IF(N(AB192)&gt;0,", "&amp;A192&amp;"-"&amp;AB$2,"")&amp;IF(N(AC192)&gt;0,", "&amp;A192&amp;"-"&amp;AC$2,"")&amp;IF(N(AD192)&gt;0,", "&amp;A192&amp;"-"&amp;AD$2,"")&amp;IF(N(AE192)&gt;0,", "&amp;A192&amp;"-"&amp;AE$2,"")&amp;IF(N(AF192)&gt;0,", "&amp;A192&amp;"-"&amp;AF$2,"")&amp;IF(N(AG192)&gt;0,", "&amp;A192&amp;"-"&amp;AG$2,"")&amp;IF(N(AH192)&gt;0,", "&amp;A192&amp;"-"&amp;AH$2,"")&amp;IF(N(AI192)&gt;0,", "&amp;A192&amp;"-"&amp;AI$2,"")&amp;IF(N(AJ192)&gt;0,", "&amp;A192&amp;"-"&amp;AJ$2,""),3,999))</f>
        <v/>
      </c>
      <c r="AN192" s="81"/>
      <c r="AO192" s="88"/>
      <c r="AP192" s="89" t="str">
        <f aca="false">IF(AO192="","",ROUND(AO192/(1+Справочники!$B$13),2))</f>
        <v/>
      </c>
      <c r="AQ192" s="90" t="str">
        <f aca="false" t="array" ref="AQ192:AQ192">IF(AP192="","",AP192*INDEX(Справочники!$B$4:$B$7,MATCH("RUB",Справочники!$A$4:$A$7,0)))</f>
        <v/>
      </c>
      <c r="AR192" s="90" t="str">
        <f aca="false">IF(AQ192="","",ROUND(AQ192*(1+Справочники!$B$12),0))</f>
        <v/>
      </c>
      <c r="AS192" s="90" t="str">
        <f aca="false">IF(AR192="","",ROUND(AR192*(1-Справочники!$B$11),0))</f>
        <v/>
      </c>
      <c r="AT192" s="88"/>
      <c r="AU192" s="90" t="str">
        <f aca="false">IF(AT192="","",ROUND(AT192/(1+Справочники!$B$12),0))</f>
        <v/>
      </c>
      <c r="AV192" s="90" t="str">
        <f aca="false">IF(AT192="","",ROUND(AT192*(1-Справочники!$B$15),0))</f>
        <v/>
      </c>
      <c r="AW192" s="90" t="str">
        <f aca="false">IF(AT192="","",ROUND(AT192*(1-Справочники!$B$16),0))</f>
        <v/>
      </c>
      <c r="AX192" s="90" t="str">
        <f aca="false">IF(AT192="","",ROUND(AT192*(1-Справочники!$B$17),0))</f>
        <v/>
      </c>
      <c r="AY192" s="90" t="str">
        <f aca="false">IF(AT192="","",ROUND(AT192*(1-Справочники!$B$18),0))</f>
        <v/>
      </c>
      <c r="AZ192" s="90" t="str">
        <f aca="false">IF(AT192="","",ROUND(AT192*(1-Справочники!$B$19),0))</f>
        <v/>
      </c>
      <c r="BA192" s="81"/>
      <c r="BB192" s="81"/>
      <c r="BC192" s="81"/>
      <c r="BD192" s="81"/>
      <c r="BE192" s="91"/>
      <c r="BF192" s="81" t="s">
        <v>103</v>
      </c>
      <c r="BG192" s="89" t="n">
        <f aca="false" t="array" ref="BG192:BG192">IF(BF192="","",IFERROR(INDEX(Справочники!$B$4:$B$7,MATCH(BF192,Справочники!$A$4:$A$7,0)),""))</f>
        <v>68.5</v>
      </c>
      <c r="BH192" s="90" t="str">
        <f aca="false">IF(N(BN192)&gt;0,ROUND(SUMIF(ЗАКАЗЫ!$F$3:$F$500,$A192,ЗАКАЗЫ!$Y$3:$Y$500)/BN192,0),IF(OR(BE192="",BG192=""),"",ROUND(BE192*BG192*(1+Справочники!$B$10),0)))</f>
        <v/>
      </c>
      <c r="BI192" s="92" t="str">
        <f aca="false">IF(OR(AU192="",BH192="",AU192=0),"",(AU192-BH192)/AU192)</f>
        <v/>
      </c>
      <c r="BJ192" s="81"/>
      <c r="BK192" s="83"/>
      <c r="BL192" s="43" t="str">
        <f aca="false">IFERROR(INDEX(ЗАКАЗЫ!$N$3:$N$500,MATCH($A192,ЗАКАЗЫ!$F$3:$F$500,0)),"")</f>
        <v/>
      </c>
      <c r="BM192" s="8" t="str">
        <f aca="false">IF(BL192="","",IFERROR(VLOOKUP(BL192,'ТН ВЭД'!$A$4:$C$40,3,0),""))</f>
        <v/>
      </c>
      <c r="BN192" s="7" t="str">
        <f aca="false">IF(COUNTIF(ЗАКАЗЫ!$F$3:$F$500,$A192)=0,"",SUMIF(ЗАКАЗЫ!$F$3:$F$500,$A192,ЗАКАЗЫ!$J$3:$J$500))</f>
        <v/>
      </c>
      <c r="BO192" s="7" t="str">
        <f aca="false">IF(BN192="","",SUMIF(ЗАКАЗЫ!$F$3:$F$500,$A192,ЗАКАЗЫ!$AL$3:$AL$500))</f>
        <v/>
      </c>
      <c r="BP192" s="7" t="str">
        <f aca="false">IF(BN192="","",BN192-BO192)</f>
        <v/>
      </c>
      <c r="BQ192" s="55" t="str">
        <f aca="false">IF(BN192="","",IF(BO192&gt;=BN192,"На складе",IF(BO192&gt;0,"Частично","Ждём")))</f>
        <v/>
      </c>
      <c r="BR192" s="43"/>
      <c r="BS192" s="47" t="str">
        <f aca="false">IF(BN192="","",IF(_xlfn.MAXIFS(ЗАКАЗЫ!$AK$3:$AK$500,ЗАКАЗЫ!$F$3:$F$500,$A192)=0,"",_xlfn.MAXIFS(ЗАКАЗЫ!$AK$3:$AK$500,ЗАКАЗЫ!$F$3:$F$500,$A192)))</f>
        <v/>
      </c>
    </row>
    <row r="193" customFormat="false" ht="15.75" hidden="false" customHeight="true" outlineLevel="0" collapsed="false">
      <c r="A193" s="80" t="s">
        <v>667</v>
      </c>
      <c r="B193" s="81"/>
      <c r="C193" s="81"/>
      <c r="D193" s="81"/>
      <c r="E193" s="83"/>
      <c r="F193" s="81"/>
      <c r="G193" s="83"/>
      <c r="H193" s="83"/>
      <c r="I193" s="84" t="str">
        <f aca="false">IF(E193="","",A193&amp;"_1.jpg")</f>
        <v/>
      </c>
      <c r="J193" s="84" t="str">
        <f aca="false">IF(E193="","",A193&amp;"_2.jpg; "&amp;A193&amp;"_3.jpg")</f>
        <v/>
      </c>
      <c r="K193" s="84" t="str">
        <f aca="false">IF(E193="","",A193&amp;"_schema.jpg")</f>
        <v/>
      </c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 t="s">
        <v>261</v>
      </c>
      <c r="W193" s="81"/>
      <c r="X193" s="81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6" t="str">
        <f aca="false">IF(SUM(Y193:AJ193)=0,"",SUM(Y193:AJ193))</f>
        <v/>
      </c>
      <c r="AL193" s="84" t="str">
        <f aca="false">MID(IF(N(Y193)&gt;0,", "&amp;Y$2,"")&amp;IF(N(Z193)&gt;0,", "&amp;Z$2,"")&amp;IF(N(AA193)&gt;0,", "&amp;AA$2,"")&amp;IF(N(AB193)&gt;0,", "&amp;AB$2,"")&amp;IF(N(AC193)&gt;0,", "&amp;AC$2,"")&amp;IF(N(AD193)&gt;0,", "&amp;AD$2,"")&amp;IF(N(AE193)&gt;0,", "&amp;AE$2,"")&amp;IF(N(AF193)&gt;0,", "&amp;AF$2,"")&amp;IF(N(AG193)&gt;0,", "&amp;AG$2,"")&amp;IF(N(AH193)&gt;0,", "&amp;AH$2,"")&amp;IF(N(AI193)&gt;0,", "&amp;AI$2,"")&amp;IF(N(AJ193)&gt;0,", "&amp;AJ$2,""),3,999)</f>
        <v/>
      </c>
      <c r="AM193" s="87" t="str">
        <f aca="false">IF(E193="","",MID(IF(N(Y193)&gt;0,", "&amp;A193&amp;"-"&amp;Y$2,"")&amp;IF(N(Z193)&gt;0,", "&amp;A193&amp;"-"&amp;Z$2,"")&amp;IF(N(AA193)&gt;0,", "&amp;A193&amp;"-"&amp;AA$2,"")&amp;IF(N(AB193)&gt;0,", "&amp;A193&amp;"-"&amp;AB$2,"")&amp;IF(N(AC193)&gt;0,", "&amp;A193&amp;"-"&amp;AC$2,"")&amp;IF(N(AD193)&gt;0,", "&amp;A193&amp;"-"&amp;AD$2,"")&amp;IF(N(AE193)&gt;0,", "&amp;A193&amp;"-"&amp;AE$2,"")&amp;IF(N(AF193)&gt;0,", "&amp;A193&amp;"-"&amp;AF$2,"")&amp;IF(N(AG193)&gt;0,", "&amp;A193&amp;"-"&amp;AG$2,"")&amp;IF(N(AH193)&gt;0,", "&amp;A193&amp;"-"&amp;AH$2,"")&amp;IF(N(AI193)&gt;0,", "&amp;A193&amp;"-"&amp;AI$2,"")&amp;IF(N(AJ193)&gt;0,", "&amp;A193&amp;"-"&amp;AJ$2,""),3,999))</f>
        <v/>
      </c>
      <c r="AN193" s="81"/>
      <c r="AO193" s="88"/>
      <c r="AP193" s="89" t="str">
        <f aca="false">IF(AO193="","",ROUND(AO193/(1+Справочники!$B$13),2))</f>
        <v/>
      </c>
      <c r="AQ193" s="90" t="str">
        <f aca="false" t="array" ref="AQ193:AQ193">IF(AP193="","",AP193*INDEX(Справочники!$B$4:$B$7,MATCH("RUB",Справочники!$A$4:$A$7,0)))</f>
        <v/>
      </c>
      <c r="AR193" s="90" t="str">
        <f aca="false">IF(AQ193="","",ROUND(AQ193*(1+Справочники!$B$12),0))</f>
        <v/>
      </c>
      <c r="AS193" s="90" t="str">
        <f aca="false">IF(AR193="","",ROUND(AR193*(1-Справочники!$B$11),0))</f>
        <v/>
      </c>
      <c r="AT193" s="88"/>
      <c r="AU193" s="90" t="str">
        <f aca="false">IF(AT193="","",ROUND(AT193/(1+Справочники!$B$12),0))</f>
        <v/>
      </c>
      <c r="AV193" s="90" t="str">
        <f aca="false">IF(AT193="","",ROUND(AT193*(1-Справочники!$B$15),0))</f>
        <v/>
      </c>
      <c r="AW193" s="90" t="str">
        <f aca="false">IF(AT193="","",ROUND(AT193*(1-Справочники!$B$16),0))</f>
        <v/>
      </c>
      <c r="AX193" s="90" t="str">
        <f aca="false">IF(AT193="","",ROUND(AT193*(1-Справочники!$B$17),0))</f>
        <v/>
      </c>
      <c r="AY193" s="90" t="str">
        <f aca="false">IF(AT193="","",ROUND(AT193*(1-Справочники!$B$18),0))</f>
        <v/>
      </c>
      <c r="AZ193" s="90" t="str">
        <f aca="false">IF(AT193="","",ROUND(AT193*(1-Справочники!$B$19),0))</f>
        <v/>
      </c>
      <c r="BA193" s="81"/>
      <c r="BB193" s="81"/>
      <c r="BC193" s="81"/>
      <c r="BD193" s="81"/>
      <c r="BE193" s="91"/>
      <c r="BF193" s="81" t="s">
        <v>103</v>
      </c>
      <c r="BG193" s="89" t="n">
        <f aca="false" t="array" ref="BG193:BG193">IF(BF193="","",IFERROR(INDEX(Справочники!$B$4:$B$7,MATCH(BF193,Справочники!$A$4:$A$7,0)),""))</f>
        <v>68.5</v>
      </c>
      <c r="BH193" s="90" t="str">
        <f aca="false">IF(N(BN193)&gt;0,ROUND(SUMIF(ЗАКАЗЫ!$F$3:$F$500,$A193,ЗАКАЗЫ!$Y$3:$Y$500)/BN193,0),IF(OR(BE193="",BG193=""),"",ROUND(BE193*BG193*(1+Справочники!$B$10),0)))</f>
        <v/>
      </c>
      <c r="BI193" s="92" t="str">
        <f aca="false">IF(OR(AU193="",BH193="",AU193=0),"",(AU193-BH193)/AU193)</f>
        <v/>
      </c>
      <c r="BJ193" s="81"/>
      <c r="BK193" s="83"/>
      <c r="BL193" s="43" t="str">
        <f aca="false">IFERROR(INDEX(ЗАКАЗЫ!$N$3:$N$500,MATCH($A193,ЗАКАЗЫ!$F$3:$F$500,0)),"")</f>
        <v/>
      </c>
      <c r="BM193" s="8" t="str">
        <f aca="false">IF(BL193="","",IFERROR(VLOOKUP(BL193,'ТН ВЭД'!$A$4:$C$40,3,0),""))</f>
        <v/>
      </c>
      <c r="BN193" s="7" t="str">
        <f aca="false">IF(COUNTIF(ЗАКАЗЫ!$F$3:$F$500,$A193)=0,"",SUMIF(ЗАКАЗЫ!$F$3:$F$500,$A193,ЗАКАЗЫ!$J$3:$J$500))</f>
        <v/>
      </c>
      <c r="BO193" s="7" t="str">
        <f aca="false">IF(BN193="","",SUMIF(ЗАКАЗЫ!$F$3:$F$500,$A193,ЗАКАЗЫ!$AL$3:$AL$500))</f>
        <v/>
      </c>
      <c r="BP193" s="7" t="str">
        <f aca="false">IF(BN193="","",BN193-BO193)</f>
        <v/>
      </c>
      <c r="BQ193" s="55" t="str">
        <f aca="false">IF(BN193="","",IF(BO193&gt;=BN193,"На складе",IF(BO193&gt;0,"Частично","Ждём")))</f>
        <v/>
      </c>
      <c r="BR193" s="43"/>
      <c r="BS193" s="47" t="str">
        <f aca="false">IF(BN193="","",IF(_xlfn.MAXIFS(ЗАКАЗЫ!$AK$3:$AK$500,ЗАКАЗЫ!$F$3:$F$500,$A193)=0,"",_xlfn.MAXIFS(ЗАКАЗЫ!$AK$3:$AK$500,ЗАКАЗЫ!$F$3:$F$500,$A193)))</f>
        <v/>
      </c>
    </row>
    <row r="194" customFormat="false" ht="15.75" hidden="false" customHeight="true" outlineLevel="0" collapsed="false">
      <c r="A194" s="80" t="s">
        <v>668</v>
      </c>
      <c r="B194" s="81"/>
      <c r="C194" s="81"/>
      <c r="D194" s="81"/>
      <c r="E194" s="83"/>
      <c r="F194" s="81"/>
      <c r="G194" s="83"/>
      <c r="H194" s="83"/>
      <c r="I194" s="84" t="str">
        <f aca="false">IF(E194="","",A194&amp;"_1.jpg")</f>
        <v/>
      </c>
      <c r="J194" s="84" t="str">
        <f aca="false">IF(E194="","",A194&amp;"_2.jpg; "&amp;A194&amp;"_3.jpg")</f>
        <v/>
      </c>
      <c r="K194" s="84" t="str">
        <f aca="false">IF(E194="","",A194&amp;"_schema.jpg")</f>
        <v/>
      </c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 t="s">
        <v>261</v>
      </c>
      <c r="W194" s="81"/>
      <c r="X194" s="81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6" t="str">
        <f aca="false">IF(SUM(Y194:AJ194)=0,"",SUM(Y194:AJ194))</f>
        <v/>
      </c>
      <c r="AL194" s="84" t="str">
        <f aca="false">MID(IF(N(Y194)&gt;0,", "&amp;Y$2,"")&amp;IF(N(Z194)&gt;0,", "&amp;Z$2,"")&amp;IF(N(AA194)&gt;0,", "&amp;AA$2,"")&amp;IF(N(AB194)&gt;0,", "&amp;AB$2,"")&amp;IF(N(AC194)&gt;0,", "&amp;AC$2,"")&amp;IF(N(AD194)&gt;0,", "&amp;AD$2,"")&amp;IF(N(AE194)&gt;0,", "&amp;AE$2,"")&amp;IF(N(AF194)&gt;0,", "&amp;AF$2,"")&amp;IF(N(AG194)&gt;0,", "&amp;AG$2,"")&amp;IF(N(AH194)&gt;0,", "&amp;AH$2,"")&amp;IF(N(AI194)&gt;0,", "&amp;AI$2,"")&amp;IF(N(AJ194)&gt;0,", "&amp;AJ$2,""),3,999)</f>
        <v/>
      </c>
      <c r="AM194" s="87" t="str">
        <f aca="false">IF(E194="","",MID(IF(N(Y194)&gt;0,", "&amp;A194&amp;"-"&amp;Y$2,"")&amp;IF(N(Z194)&gt;0,", "&amp;A194&amp;"-"&amp;Z$2,"")&amp;IF(N(AA194)&gt;0,", "&amp;A194&amp;"-"&amp;AA$2,"")&amp;IF(N(AB194)&gt;0,", "&amp;A194&amp;"-"&amp;AB$2,"")&amp;IF(N(AC194)&gt;0,", "&amp;A194&amp;"-"&amp;AC$2,"")&amp;IF(N(AD194)&gt;0,", "&amp;A194&amp;"-"&amp;AD$2,"")&amp;IF(N(AE194)&gt;0,", "&amp;A194&amp;"-"&amp;AE$2,"")&amp;IF(N(AF194)&gt;0,", "&amp;A194&amp;"-"&amp;AF$2,"")&amp;IF(N(AG194)&gt;0,", "&amp;A194&amp;"-"&amp;AG$2,"")&amp;IF(N(AH194)&gt;0,", "&amp;A194&amp;"-"&amp;AH$2,"")&amp;IF(N(AI194)&gt;0,", "&amp;A194&amp;"-"&amp;AI$2,"")&amp;IF(N(AJ194)&gt;0,", "&amp;A194&amp;"-"&amp;AJ$2,""),3,999))</f>
        <v/>
      </c>
      <c r="AN194" s="81"/>
      <c r="AO194" s="88"/>
      <c r="AP194" s="89" t="str">
        <f aca="false">IF(AO194="","",ROUND(AO194/(1+Справочники!$B$13),2))</f>
        <v/>
      </c>
      <c r="AQ194" s="90" t="str">
        <f aca="false" t="array" ref="AQ194:AQ194">IF(AP194="","",AP194*INDEX(Справочники!$B$4:$B$7,MATCH("RUB",Справочники!$A$4:$A$7,0)))</f>
        <v/>
      </c>
      <c r="AR194" s="90" t="str">
        <f aca="false">IF(AQ194="","",ROUND(AQ194*(1+Справочники!$B$12),0))</f>
        <v/>
      </c>
      <c r="AS194" s="90" t="str">
        <f aca="false">IF(AR194="","",ROUND(AR194*(1-Справочники!$B$11),0))</f>
        <v/>
      </c>
      <c r="AT194" s="88"/>
      <c r="AU194" s="90" t="str">
        <f aca="false">IF(AT194="","",ROUND(AT194/(1+Справочники!$B$12),0))</f>
        <v/>
      </c>
      <c r="AV194" s="90" t="str">
        <f aca="false">IF(AT194="","",ROUND(AT194*(1-Справочники!$B$15),0))</f>
        <v/>
      </c>
      <c r="AW194" s="90" t="str">
        <f aca="false">IF(AT194="","",ROUND(AT194*(1-Справочники!$B$16),0))</f>
        <v/>
      </c>
      <c r="AX194" s="90" t="str">
        <f aca="false">IF(AT194="","",ROUND(AT194*(1-Справочники!$B$17),0))</f>
        <v/>
      </c>
      <c r="AY194" s="90" t="str">
        <f aca="false">IF(AT194="","",ROUND(AT194*(1-Справочники!$B$18),0))</f>
        <v/>
      </c>
      <c r="AZ194" s="90" t="str">
        <f aca="false">IF(AT194="","",ROUND(AT194*(1-Справочники!$B$19),0))</f>
        <v/>
      </c>
      <c r="BA194" s="81"/>
      <c r="BB194" s="81"/>
      <c r="BC194" s="81"/>
      <c r="BD194" s="81"/>
      <c r="BE194" s="91"/>
      <c r="BF194" s="81" t="s">
        <v>103</v>
      </c>
      <c r="BG194" s="89" t="n">
        <f aca="false" t="array" ref="BG194:BG194">IF(BF194="","",IFERROR(INDEX(Справочники!$B$4:$B$7,MATCH(BF194,Справочники!$A$4:$A$7,0)),""))</f>
        <v>68.5</v>
      </c>
      <c r="BH194" s="90" t="str">
        <f aca="false">IF(N(BN194)&gt;0,ROUND(SUMIF(ЗАКАЗЫ!$F$3:$F$500,$A194,ЗАКАЗЫ!$Y$3:$Y$500)/BN194,0),IF(OR(BE194="",BG194=""),"",ROUND(BE194*BG194*(1+Справочники!$B$10),0)))</f>
        <v/>
      </c>
      <c r="BI194" s="92" t="str">
        <f aca="false">IF(OR(AU194="",BH194="",AU194=0),"",(AU194-BH194)/AU194)</f>
        <v/>
      </c>
      <c r="BJ194" s="81"/>
      <c r="BK194" s="83"/>
      <c r="BL194" s="43" t="str">
        <f aca="false">IFERROR(INDEX(ЗАКАЗЫ!$N$3:$N$500,MATCH($A194,ЗАКАЗЫ!$F$3:$F$500,0)),"")</f>
        <v/>
      </c>
      <c r="BM194" s="8" t="str">
        <f aca="false">IF(BL194="","",IFERROR(VLOOKUP(BL194,'ТН ВЭД'!$A$4:$C$40,3,0),""))</f>
        <v/>
      </c>
      <c r="BN194" s="7" t="str">
        <f aca="false">IF(COUNTIF(ЗАКАЗЫ!$F$3:$F$500,$A194)=0,"",SUMIF(ЗАКАЗЫ!$F$3:$F$500,$A194,ЗАКАЗЫ!$J$3:$J$500))</f>
        <v/>
      </c>
      <c r="BO194" s="7" t="str">
        <f aca="false">IF(BN194="","",SUMIF(ЗАКАЗЫ!$F$3:$F$500,$A194,ЗАКАЗЫ!$AL$3:$AL$500))</f>
        <v/>
      </c>
      <c r="BP194" s="7" t="str">
        <f aca="false">IF(BN194="","",BN194-BO194)</f>
        <v/>
      </c>
      <c r="BQ194" s="55" t="str">
        <f aca="false">IF(BN194="","",IF(BO194&gt;=BN194,"На складе",IF(BO194&gt;0,"Частично","Ждём")))</f>
        <v/>
      </c>
      <c r="BR194" s="43"/>
      <c r="BS194" s="47" t="str">
        <f aca="false">IF(BN194="","",IF(_xlfn.MAXIFS(ЗАКАЗЫ!$AK$3:$AK$500,ЗАКАЗЫ!$F$3:$F$500,$A194)=0,"",_xlfn.MAXIFS(ЗАКАЗЫ!$AK$3:$AK$500,ЗАКАЗЫ!$F$3:$F$500,$A194)))</f>
        <v/>
      </c>
    </row>
    <row r="195" customFormat="false" ht="15.75" hidden="false" customHeight="true" outlineLevel="0" collapsed="false">
      <c r="A195" s="80" t="s">
        <v>669</v>
      </c>
      <c r="B195" s="81"/>
      <c r="C195" s="81"/>
      <c r="D195" s="81"/>
      <c r="E195" s="83"/>
      <c r="F195" s="81"/>
      <c r="G195" s="83"/>
      <c r="H195" s="83"/>
      <c r="I195" s="84" t="str">
        <f aca="false">IF(E195="","",A195&amp;"_1.jpg")</f>
        <v/>
      </c>
      <c r="J195" s="84" t="str">
        <f aca="false">IF(E195="","",A195&amp;"_2.jpg; "&amp;A195&amp;"_3.jpg")</f>
        <v/>
      </c>
      <c r="K195" s="84" t="str">
        <f aca="false">IF(E195="","",A195&amp;"_schema.jpg")</f>
        <v/>
      </c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 t="s">
        <v>261</v>
      </c>
      <c r="W195" s="81"/>
      <c r="X195" s="81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6" t="str">
        <f aca="false">IF(SUM(Y195:AJ195)=0,"",SUM(Y195:AJ195))</f>
        <v/>
      </c>
      <c r="AL195" s="84" t="str">
        <f aca="false">MID(IF(N(Y195)&gt;0,", "&amp;Y$2,"")&amp;IF(N(Z195)&gt;0,", "&amp;Z$2,"")&amp;IF(N(AA195)&gt;0,", "&amp;AA$2,"")&amp;IF(N(AB195)&gt;0,", "&amp;AB$2,"")&amp;IF(N(AC195)&gt;0,", "&amp;AC$2,"")&amp;IF(N(AD195)&gt;0,", "&amp;AD$2,"")&amp;IF(N(AE195)&gt;0,", "&amp;AE$2,"")&amp;IF(N(AF195)&gt;0,", "&amp;AF$2,"")&amp;IF(N(AG195)&gt;0,", "&amp;AG$2,"")&amp;IF(N(AH195)&gt;0,", "&amp;AH$2,"")&amp;IF(N(AI195)&gt;0,", "&amp;AI$2,"")&amp;IF(N(AJ195)&gt;0,", "&amp;AJ$2,""),3,999)</f>
        <v/>
      </c>
      <c r="AM195" s="87" t="str">
        <f aca="false">IF(E195="","",MID(IF(N(Y195)&gt;0,", "&amp;A195&amp;"-"&amp;Y$2,"")&amp;IF(N(Z195)&gt;0,", "&amp;A195&amp;"-"&amp;Z$2,"")&amp;IF(N(AA195)&gt;0,", "&amp;A195&amp;"-"&amp;AA$2,"")&amp;IF(N(AB195)&gt;0,", "&amp;A195&amp;"-"&amp;AB$2,"")&amp;IF(N(AC195)&gt;0,", "&amp;A195&amp;"-"&amp;AC$2,"")&amp;IF(N(AD195)&gt;0,", "&amp;A195&amp;"-"&amp;AD$2,"")&amp;IF(N(AE195)&gt;0,", "&amp;A195&amp;"-"&amp;AE$2,"")&amp;IF(N(AF195)&gt;0,", "&amp;A195&amp;"-"&amp;AF$2,"")&amp;IF(N(AG195)&gt;0,", "&amp;A195&amp;"-"&amp;AG$2,"")&amp;IF(N(AH195)&gt;0,", "&amp;A195&amp;"-"&amp;AH$2,"")&amp;IF(N(AI195)&gt;0,", "&amp;A195&amp;"-"&amp;AI$2,"")&amp;IF(N(AJ195)&gt;0,", "&amp;A195&amp;"-"&amp;AJ$2,""),3,999))</f>
        <v/>
      </c>
      <c r="AN195" s="81"/>
      <c r="AO195" s="88"/>
      <c r="AP195" s="89" t="str">
        <f aca="false">IF(AO195="","",ROUND(AO195/(1+Справочники!$B$13),2))</f>
        <v/>
      </c>
      <c r="AQ195" s="90" t="str">
        <f aca="false" t="array" ref="AQ195:AQ195">IF(AP195="","",AP195*INDEX(Справочники!$B$4:$B$7,MATCH("RUB",Справочники!$A$4:$A$7,0)))</f>
        <v/>
      </c>
      <c r="AR195" s="90" t="str">
        <f aca="false">IF(AQ195="","",ROUND(AQ195*(1+Справочники!$B$12),0))</f>
        <v/>
      </c>
      <c r="AS195" s="90" t="str">
        <f aca="false">IF(AR195="","",ROUND(AR195*(1-Справочники!$B$11),0))</f>
        <v/>
      </c>
      <c r="AT195" s="88"/>
      <c r="AU195" s="90" t="str">
        <f aca="false">IF(AT195="","",ROUND(AT195/(1+Справочники!$B$12),0))</f>
        <v/>
      </c>
      <c r="AV195" s="90" t="str">
        <f aca="false">IF(AT195="","",ROUND(AT195*(1-Справочники!$B$15),0))</f>
        <v/>
      </c>
      <c r="AW195" s="90" t="str">
        <f aca="false">IF(AT195="","",ROUND(AT195*(1-Справочники!$B$16),0))</f>
        <v/>
      </c>
      <c r="AX195" s="90" t="str">
        <f aca="false">IF(AT195="","",ROUND(AT195*(1-Справочники!$B$17),0))</f>
        <v/>
      </c>
      <c r="AY195" s="90" t="str">
        <f aca="false">IF(AT195="","",ROUND(AT195*(1-Справочники!$B$18),0))</f>
        <v/>
      </c>
      <c r="AZ195" s="90" t="str">
        <f aca="false">IF(AT195="","",ROUND(AT195*(1-Справочники!$B$19),0))</f>
        <v/>
      </c>
      <c r="BA195" s="81"/>
      <c r="BB195" s="81"/>
      <c r="BC195" s="81"/>
      <c r="BD195" s="81"/>
      <c r="BE195" s="91"/>
      <c r="BF195" s="81" t="s">
        <v>103</v>
      </c>
      <c r="BG195" s="89" t="n">
        <f aca="false" t="array" ref="BG195:BG195">IF(BF195="","",IFERROR(INDEX(Справочники!$B$4:$B$7,MATCH(BF195,Справочники!$A$4:$A$7,0)),""))</f>
        <v>68.5</v>
      </c>
      <c r="BH195" s="90" t="str">
        <f aca="false">IF(N(BN195)&gt;0,ROUND(SUMIF(ЗАКАЗЫ!$F$3:$F$500,$A195,ЗАКАЗЫ!$Y$3:$Y$500)/BN195,0),IF(OR(BE195="",BG195=""),"",ROUND(BE195*BG195*(1+Справочники!$B$10),0)))</f>
        <v/>
      </c>
      <c r="BI195" s="92" t="str">
        <f aca="false">IF(OR(AU195="",BH195="",AU195=0),"",(AU195-BH195)/AU195)</f>
        <v/>
      </c>
      <c r="BJ195" s="81"/>
      <c r="BK195" s="83"/>
      <c r="BL195" s="43" t="str">
        <f aca="false">IFERROR(INDEX(ЗАКАЗЫ!$N$3:$N$500,MATCH($A195,ЗАКАЗЫ!$F$3:$F$500,0)),"")</f>
        <v/>
      </c>
      <c r="BM195" s="8" t="str">
        <f aca="false">IF(BL195="","",IFERROR(VLOOKUP(BL195,'ТН ВЭД'!$A$4:$C$40,3,0),""))</f>
        <v/>
      </c>
      <c r="BN195" s="7" t="str">
        <f aca="false">IF(COUNTIF(ЗАКАЗЫ!$F$3:$F$500,$A195)=0,"",SUMIF(ЗАКАЗЫ!$F$3:$F$500,$A195,ЗАКАЗЫ!$J$3:$J$500))</f>
        <v/>
      </c>
      <c r="BO195" s="7" t="str">
        <f aca="false">IF(BN195="","",SUMIF(ЗАКАЗЫ!$F$3:$F$500,$A195,ЗАКАЗЫ!$AL$3:$AL$500))</f>
        <v/>
      </c>
      <c r="BP195" s="7" t="str">
        <f aca="false">IF(BN195="","",BN195-BO195)</f>
        <v/>
      </c>
      <c r="BQ195" s="55" t="str">
        <f aca="false">IF(BN195="","",IF(BO195&gt;=BN195,"На складе",IF(BO195&gt;0,"Частично","Ждём")))</f>
        <v/>
      </c>
      <c r="BR195" s="43"/>
      <c r="BS195" s="47" t="str">
        <f aca="false">IF(BN195="","",IF(_xlfn.MAXIFS(ЗАКАЗЫ!$AK$3:$AK$500,ЗАКАЗЫ!$F$3:$F$500,$A195)=0,"",_xlfn.MAXIFS(ЗАКАЗЫ!$AK$3:$AK$500,ЗАКАЗЫ!$F$3:$F$500,$A195)))</f>
        <v/>
      </c>
    </row>
    <row r="196" customFormat="false" ht="15.75" hidden="false" customHeight="true" outlineLevel="0" collapsed="false">
      <c r="A196" s="80" t="s">
        <v>670</v>
      </c>
      <c r="B196" s="81"/>
      <c r="C196" s="81"/>
      <c r="D196" s="81"/>
      <c r="E196" s="83"/>
      <c r="F196" s="81"/>
      <c r="G196" s="83"/>
      <c r="H196" s="83"/>
      <c r="I196" s="84" t="str">
        <f aca="false">IF(E196="","",A196&amp;"_1.jpg")</f>
        <v/>
      </c>
      <c r="J196" s="84" t="str">
        <f aca="false">IF(E196="","",A196&amp;"_2.jpg; "&amp;A196&amp;"_3.jpg")</f>
        <v/>
      </c>
      <c r="K196" s="84" t="str">
        <f aca="false">IF(E196="","",A196&amp;"_schema.jpg")</f>
        <v/>
      </c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 t="s">
        <v>261</v>
      </c>
      <c r="W196" s="81"/>
      <c r="X196" s="81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6" t="str">
        <f aca="false">IF(SUM(Y196:AJ196)=0,"",SUM(Y196:AJ196))</f>
        <v/>
      </c>
      <c r="AL196" s="84" t="str">
        <f aca="false">MID(IF(N(Y196)&gt;0,", "&amp;Y$2,"")&amp;IF(N(Z196)&gt;0,", "&amp;Z$2,"")&amp;IF(N(AA196)&gt;0,", "&amp;AA$2,"")&amp;IF(N(AB196)&gt;0,", "&amp;AB$2,"")&amp;IF(N(AC196)&gt;0,", "&amp;AC$2,"")&amp;IF(N(AD196)&gt;0,", "&amp;AD$2,"")&amp;IF(N(AE196)&gt;0,", "&amp;AE$2,"")&amp;IF(N(AF196)&gt;0,", "&amp;AF$2,"")&amp;IF(N(AG196)&gt;0,", "&amp;AG$2,"")&amp;IF(N(AH196)&gt;0,", "&amp;AH$2,"")&amp;IF(N(AI196)&gt;0,", "&amp;AI$2,"")&amp;IF(N(AJ196)&gt;0,", "&amp;AJ$2,""),3,999)</f>
        <v/>
      </c>
      <c r="AM196" s="87" t="str">
        <f aca="false">IF(E196="","",MID(IF(N(Y196)&gt;0,", "&amp;A196&amp;"-"&amp;Y$2,"")&amp;IF(N(Z196)&gt;0,", "&amp;A196&amp;"-"&amp;Z$2,"")&amp;IF(N(AA196)&gt;0,", "&amp;A196&amp;"-"&amp;AA$2,"")&amp;IF(N(AB196)&gt;0,", "&amp;A196&amp;"-"&amp;AB$2,"")&amp;IF(N(AC196)&gt;0,", "&amp;A196&amp;"-"&amp;AC$2,"")&amp;IF(N(AD196)&gt;0,", "&amp;A196&amp;"-"&amp;AD$2,"")&amp;IF(N(AE196)&gt;0,", "&amp;A196&amp;"-"&amp;AE$2,"")&amp;IF(N(AF196)&gt;0,", "&amp;A196&amp;"-"&amp;AF$2,"")&amp;IF(N(AG196)&gt;0,", "&amp;A196&amp;"-"&amp;AG$2,"")&amp;IF(N(AH196)&gt;0,", "&amp;A196&amp;"-"&amp;AH$2,"")&amp;IF(N(AI196)&gt;0,", "&amp;A196&amp;"-"&amp;AI$2,"")&amp;IF(N(AJ196)&gt;0,", "&amp;A196&amp;"-"&amp;AJ$2,""),3,999))</f>
        <v/>
      </c>
      <c r="AN196" s="81"/>
      <c r="AO196" s="88"/>
      <c r="AP196" s="89" t="str">
        <f aca="false">IF(AO196="","",ROUND(AO196/(1+Справочники!$B$13),2))</f>
        <v/>
      </c>
      <c r="AQ196" s="90" t="str">
        <f aca="false" t="array" ref="AQ196:AQ196">IF(AP196="","",AP196*INDEX(Справочники!$B$4:$B$7,MATCH("RUB",Справочники!$A$4:$A$7,0)))</f>
        <v/>
      </c>
      <c r="AR196" s="90" t="str">
        <f aca="false">IF(AQ196="","",ROUND(AQ196*(1+Справочники!$B$12),0))</f>
        <v/>
      </c>
      <c r="AS196" s="90" t="str">
        <f aca="false">IF(AR196="","",ROUND(AR196*(1-Справочники!$B$11),0))</f>
        <v/>
      </c>
      <c r="AT196" s="88"/>
      <c r="AU196" s="90" t="str">
        <f aca="false">IF(AT196="","",ROUND(AT196/(1+Справочники!$B$12),0))</f>
        <v/>
      </c>
      <c r="AV196" s="90" t="str">
        <f aca="false">IF(AT196="","",ROUND(AT196*(1-Справочники!$B$15),0))</f>
        <v/>
      </c>
      <c r="AW196" s="90" t="str">
        <f aca="false">IF(AT196="","",ROUND(AT196*(1-Справочники!$B$16),0))</f>
        <v/>
      </c>
      <c r="AX196" s="90" t="str">
        <f aca="false">IF(AT196="","",ROUND(AT196*(1-Справочники!$B$17),0))</f>
        <v/>
      </c>
      <c r="AY196" s="90" t="str">
        <f aca="false">IF(AT196="","",ROUND(AT196*(1-Справочники!$B$18),0))</f>
        <v/>
      </c>
      <c r="AZ196" s="90" t="str">
        <f aca="false">IF(AT196="","",ROUND(AT196*(1-Справочники!$B$19),0))</f>
        <v/>
      </c>
      <c r="BA196" s="81"/>
      <c r="BB196" s="81"/>
      <c r="BC196" s="81"/>
      <c r="BD196" s="81"/>
      <c r="BE196" s="91"/>
      <c r="BF196" s="81" t="s">
        <v>103</v>
      </c>
      <c r="BG196" s="89" t="n">
        <f aca="false" t="array" ref="BG196:BG196">IF(BF196="","",IFERROR(INDEX(Справочники!$B$4:$B$7,MATCH(BF196,Справочники!$A$4:$A$7,0)),""))</f>
        <v>68.5</v>
      </c>
      <c r="BH196" s="90" t="str">
        <f aca="false">IF(N(BN196)&gt;0,ROUND(SUMIF(ЗАКАЗЫ!$F$3:$F$500,$A196,ЗАКАЗЫ!$Y$3:$Y$500)/BN196,0),IF(OR(BE196="",BG196=""),"",ROUND(BE196*BG196*(1+Справочники!$B$10),0)))</f>
        <v/>
      </c>
      <c r="BI196" s="92" t="str">
        <f aca="false">IF(OR(AU196="",BH196="",AU196=0),"",(AU196-BH196)/AU196)</f>
        <v/>
      </c>
      <c r="BJ196" s="81"/>
      <c r="BK196" s="83"/>
      <c r="BL196" s="43" t="str">
        <f aca="false">IFERROR(INDEX(ЗАКАЗЫ!$N$3:$N$500,MATCH($A196,ЗАКАЗЫ!$F$3:$F$500,0)),"")</f>
        <v/>
      </c>
      <c r="BM196" s="8" t="str">
        <f aca="false">IF(BL196="","",IFERROR(VLOOKUP(BL196,'ТН ВЭД'!$A$4:$C$40,3,0),""))</f>
        <v/>
      </c>
      <c r="BN196" s="7" t="str">
        <f aca="false">IF(COUNTIF(ЗАКАЗЫ!$F$3:$F$500,$A196)=0,"",SUMIF(ЗАКАЗЫ!$F$3:$F$500,$A196,ЗАКАЗЫ!$J$3:$J$500))</f>
        <v/>
      </c>
      <c r="BO196" s="7" t="str">
        <f aca="false">IF(BN196="","",SUMIF(ЗАКАЗЫ!$F$3:$F$500,$A196,ЗАКАЗЫ!$AL$3:$AL$500))</f>
        <v/>
      </c>
      <c r="BP196" s="7" t="str">
        <f aca="false">IF(BN196="","",BN196-BO196)</f>
        <v/>
      </c>
      <c r="BQ196" s="55" t="str">
        <f aca="false">IF(BN196="","",IF(BO196&gt;=BN196,"На складе",IF(BO196&gt;0,"Частично","Ждём")))</f>
        <v/>
      </c>
      <c r="BR196" s="43"/>
      <c r="BS196" s="47" t="str">
        <f aca="false">IF(BN196="","",IF(_xlfn.MAXIFS(ЗАКАЗЫ!$AK$3:$AK$500,ЗАКАЗЫ!$F$3:$F$500,$A196)=0,"",_xlfn.MAXIFS(ЗАКАЗЫ!$AK$3:$AK$500,ЗАКАЗЫ!$F$3:$F$500,$A196)))</f>
        <v/>
      </c>
    </row>
    <row r="197" customFormat="false" ht="15.75" hidden="false" customHeight="true" outlineLevel="0" collapsed="false">
      <c r="A197" s="80" t="s">
        <v>671</v>
      </c>
      <c r="B197" s="81"/>
      <c r="C197" s="81"/>
      <c r="D197" s="81"/>
      <c r="E197" s="83"/>
      <c r="F197" s="81"/>
      <c r="G197" s="83"/>
      <c r="H197" s="83"/>
      <c r="I197" s="84" t="str">
        <f aca="false">IF(E197="","",A197&amp;"_1.jpg")</f>
        <v/>
      </c>
      <c r="J197" s="84" t="str">
        <f aca="false">IF(E197="","",A197&amp;"_2.jpg; "&amp;A197&amp;"_3.jpg")</f>
        <v/>
      </c>
      <c r="K197" s="84" t="str">
        <f aca="false">IF(E197="","",A197&amp;"_schema.jpg")</f>
        <v/>
      </c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 t="s">
        <v>261</v>
      </c>
      <c r="W197" s="81"/>
      <c r="X197" s="81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6" t="str">
        <f aca="false">IF(SUM(Y197:AJ197)=0,"",SUM(Y197:AJ197))</f>
        <v/>
      </c>
      <c r="AL197" s="84" t="str">
        <f aca="false">MID(IF(N(Y197)&gt;0,", "&amp;Y$2,"")&amp;IF(N(Z197)&gt;0,", "&amp;Z$2,"")&amp;IF(N(AA197)&gt;0,", "&amp;AA$2,"")&amp;IF(N(AB197)&gt;0,", "&amp;AB$2,"")&amp;IF(N(AC197)&gt;0,", "&amp;AC$2,"")&amp;IF(N(AD197)&gt;0,", "&amp;AD$2,"")&amp;IF(N(AE197)&gt;0,", "&amp;AE$2,"")&amp;IF(N(AF197)&gt;0,", "&amp;AF$2,"")&amp;IF(N(AG197)&gt;0,", "&amp;AG$2,"")&amp;IF(N(AH197)&gt;0,", "&amp;AH$2,"")&amp;IF(N(AI197)&gt;0,", "&amp;AI$2,"")&amp;IF(N(AJ197)&gt;0,", "&amp;AJ$2,""),3,999)</f>
        <v/>
      </c>
      <c r="AM197" s="87" t="str">
        <f aca="false">IF(E197="","",MID(IF(N(Y197)&gt;0,", "&amp;A197&amp;"-"&amp;Y$2,"")&amp;IF(N(Z197)&gt;0,", "&amp;A197&amp;"-"&amp;Z$2,"")&amp;IF(N(AA197)&gt;0,", "&amp;A197&amp;"-"&amp;AA$2,"")&amp;IF(N(AB197)&gt;0,", "&amp;A197&amp;"-"&amp;AB$2,"")&amp;IF(N(AC197)&gt;0,", "&amp;A197&amp;"-"&amp;AC$2,"")&amp;IF(N(AD197)&gt;0,", "&amp;A197&amp;"-"&amp;AD$2,"")&amp;IF(N(AE197)&gt;0,", "&amp;A197&amp;"-"&amp;AE$2,"")&amp;IF(N(AF197)&gt;0,", "&amp;A197&amp;"-"&amp;AF$2,"")&amp;IF(N(AG197)&gt;0,", "&amp;A197&amp;"-"&amp;AG$2,"")&amp;IF(N(AH197)&gt;0,", "&amp;A197&amp;"-"&amp;AH$2,"")&amp;IF(N(AI197)&gt;0,", "&amp;A197&amp;"-"&amp;AI$2,"")&amp;IF(N(AJ197)&gt;0,", "&amp;A197&amp;"-"&amp;AJ$2,""),3,999))</f>
        <v/>
      </c>
      <c r="AN197" s="81"/>
      <c r="AO197" s="88"/>
      <c r="AP197" s="89" t="str">
        <f aca="false">IF(AO197="","",ROUND(AO197/(1+Справочники!$B$13),2))</f>
        <v/>
      </c>
      <c r="AQ197" s="90" t="str">
        <f aca="false" t="array" ref="AQ197:AQ197">IF(AP197="","",AP197*INDEX(Справочники!$B$4:$B$7,MATCH("RUB",Справочники!$A$4:$A$7,0)))</f>
        <v/>
      </c>
      <c r="AR197" s="90" t="str">
        <f aca="false">IF(AQ197="","",ROUND(AQ197*(1+Справочники!$B$12),0))</f>
        <v/>
      </c>
      <c r="AS197" s="90" t="str">
        <f aca="false">IF(AR197="","",ROUND(AR197*(1-Справочники!$B$11),0))</f>
        <v/>
      </c>
      <c r="AT197" s="88"/>
      <c r="AU197" s="90" t="str">
        <f aca="false">IF(AT197="","",ROUND(AT197/(1+Справочники!$B$12),0))</f>
        <v/>
      </c>
      <c r="AV197" s="90" t="str">
        <f aca="false">IF(AT197="","",ROUND(AT197*(1-Справочники!$B$15),0))</f>
        <v/>
      </c>
      <c r="AW197" s="90" t="str">
        <f aca="false">IF(AT197="","",ROUND(AT197*(1-Справочники!$B$16),0))</f>
        <v/>
      </c>
      <c r="AX197" s="90" t="str">
        <f aca="false">IF(AT197="","",ROUND(AT197*(1-Справочники!$B$17),0))</f>
        <v/>
      </c>
      <c r="AY197" s="90" t="str">
        <f aca="false">IF(AT197="","",ROUND(AT197*(1-Справочники!$B$18),0))</f>
        <v/>
      </c>
      <c r="AZ197" s="90" t="str">
        <f aca="false">IF(AT197="","",ROUND(AT197*(1-Справочники!$B$19),0))</f>
        <v/>
      </c>
      <c r="BA197" s="81"/>
      <c r="BB197" s="81"/>
      <c r="BC197" s="81"/>
      <c r="BD197" s="81"/>
      <c r="BE197" s="91"/>
      <c r="BF197" s="81" t="s">
        <v>103</v>
      </c>
      <c r="BG197" s="89" t="n">
        <f aca="false" t="array" ref="BG197:BG197">IF(BF197="","",IFERROR(INDEX(Справочники!$B$4:$B$7,MATCH(BF197,Справочники!$A$4:$A$7,0)),""))</f>
        <v>68.5</v>
      </c>
      <c r="BH197" s="90" t="str">
        <f aca="false">IF(N(BN197)&gt;0,ROUND(SUMIF(ЗАКАЗЫ!$F$3:$F$500,$A197,ЗАКАЗЫ!$Y$3:$Y$500)/BN197,0),IF(OR(BE197="",BG197=""),"",ROUND(BE197*BG197*(1+Справочники!$B$10),0)))</f>
        <v/>
      </c>
      <c r="BI197" s="92" t="str">
        <f aca="false">IF(OR(AU197="",BH197="",AU197=0),"",(AU197-BH197)/AU197)</f>
        <v/>
      </c>
      <c r="BJ197" s="81"/>
      <c r="BK197" s="83"/>
      <c r="BL197" s="43" t="str">
        <f aca="false">IFERROR(INDEX(ЗАКАЗЫ!$N$3:$N$500,MATCH($A197,ЗАКАЗЫ!$F$3:$F$500,0)),"")</f>
        <v/>
      </c>
      <c r="BM197" s="8" t="str">
        <f aca="false">IF(BL197="","",IFERROR(VLOOKUP(BL197,'ТН ВЭД'!$A$4:$C$40,3,0),""))</f>
        <v/>
      </c>
      <c r="BN197" s="7" t="str">
        <f aca="false">IF(COUNTIF(ЗАКАЗЫ!$F$3:$F$500,$A197)=0,"",SUMIF(ЗАКАЗЫ!$F$3:$F$500,$A197,ЗАКАЗЫ!$J$3:$J$500))</f>
        <v/>
      </c>
      <c r="BO197" s="7" t="str">
        <f aca="false">IF(BN197="","",SUMIF(ЗАКАЗЫ!$F$3:$F$500,$A197,ЗАКАЗЫ!$AL$3:$AL$500))</f>
        <v/>
      </c>
      <c r="BP197" s="7" t="str">
        <f aca="false">IF(BN197="","",BN197-BO197)</f>
        <v/>
      </c>
      <c r="BQ197" s="55" t="str">
        <f aca="false">IF(BN197="","",IF(BO197&gt;=BN197,"На складе",IF(BO197&gt;0,"Частично","Ждём")))</f>
        <v/>
      </c>
      <c r="BR197" s="43"/>
      <c r="BS197" s="47" t="str">
        <f aca="false">IF(BN197="","",IF(_xlfn.MAXIFS(ЗАКАЗЫ!$AK$3:$AK$500,ЗАКАЗЫ!$F$3:$F$500,$A197)=0,"",_xlfn.MAXIFS(ЗАКАЗЫ!$AK$3:$AK$500,ЗАКАЗЫ!$F$3:$F$500,$A197)))</f>
        <v/>
      </c>
    </row>
    <row r="198" customFormat="false" ht="15.75" hidden="false" customHeight="true" outlineLevel="0" collapsed="false">
      <c r="A198" s="80" t="s">
        <v>672</v>
      </c>
      <c r="B198" s="81"/>
      <c r="C198" s="81"/>
      <c r="D198" s="81"/>
      <c r="E198" s="83"/>
      <c r="F198" s="81"/>
      <c r="G198" s="83"/>
      <c r="H198" s="83"/>
      <c r="I198" s="84" t="str">
        <f aca="false">IF(E198="","",A198&amp;"_1.jpg")</f>
        <v/>
      </c>
      <c r="J198" s="84" t="str">
        <f aca="false">IF(E198="","",A198&amp;"_2.jpg; "&amp;A198&amp;"_3.jpg")</f>
        <v/>
      </c>
      <c r="K198" s="84" t="str">
        <f aca="false">IF(E198="","",A198&amp;"_schema.jpg")</f>
        <v/>
      </c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 t="s">
        <v>261</v>
      </c>
      <c r="W198" s="81"/>
      <c r="X198" s="81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6" t="str">
        <f aca="false">IF(SUM(Y198:AJ198)=0,"",SUM(Y198:AJ198))</f>
        <v/>
      </c>
      <c r="AL198" s="84" t="str">
        <f aca="false">MID(IF(N(Y198)&gt;0,", "&amp;Y$2,"")&amp;IF(N(Z198)&gt;0,", "&amp;Z$2,"")&amp;IF(N(AA198)&gt;0,", "&amp;AA$2,"")&amp;IF(N(AB198)&gt;0,", "&amp;AB$2,"")&amp;IF(N(AC198)&gt;0,", "&amp;AC$2,"")&amp;IF(N(AD198)&gt;0,", "&amp;AD$2,"")&amp;IF(N(AE198)&gt;0,", "&amp;AE$2,"")&amp;IF(N(AF198)&gt;0,", "&amp;AF$2,"")&amp;IF(N(AG198)&gt;0,", "&amp;AG$2,"")&amp;IF(N(AH198)&gt;0,", "&amp;AH$2,"")&amp;IF(N(AI198)&gt;0,", "&amp;AI$2,"")&amp;IF(N(AJ198)&gt;0,", "&amp;AJ$2,""),3,999)</f>
        <v/>
      </c>
      <c r="AM198" s="87" t="str">
        <f aca="false">IF(E198="","",MID(IF(N(Y198)&gt;0,", "&amp;A198&amp;"-"&amp;Y$2,"")&amp;IF(N(Z198)&gt;0,", "&amp;A198&amp;"-"&amp;Z$2,"")&amp;IF(N(AA198)&gt;0,", "&amp;A198&amp;"-"&amp;AA$2,"")&amp;IF(N(AB198)&gt;0,", "&amp;A198&amp;"-"&amp;AB$2,"")&amp;IF(N(AC198)&gt;0,", "&amp;A198&amp;"-"&amp;AC$2,"")&amp;IF(N(AD198)&gt;0,", "&amp;A198&amp;"-"&amp;AD$2,"")&amp;IF(N(AE198)&gt;0,", "&amp;A198&amp;"-"&amp;AE$2,"")&amp;IF(N(AF198)&gt;0,", "&amp;A198&amp;"-"&amp;AF$2,"")&amp;IF(N(AG198)&gt;0,", "&amp;A198&amp;"-"&amp;AG$2,"")&amp;IF(N(AH198)&gt;0,", "&amp;A198&amp;"-"&amp;AH$2,"")&amp;IF(N(AI198)&gt;0,", "&amp;A198&amp;"-"&amp;AI$2,"")&amp;IF(N(AJ198)&gt;0,", "&amp;A198&amp;"-"&amp;AJ$2,""),3,999))</f>
        <v/>
      </c>
      <c r="AN198" s="81"/>
      <c r="AO198" s="88"/>
      <c r="AP198" s="89" t="str">
        <f aca="false">IF(AO198="","",ROUND(AO198/(1+Справочники!$B$13),2))</f>
        <v/>
      </c>
      <c r="AQ198" s="90" t="str">
        <f aca="false" t="array" ref="AQ198:AQ198">IF(AP198="","",AP198*INDEX(Справочники!$B$4:$B$7,MATCH("RUB",Справочники!$A$4:$A$7,0)))</f>
        <v/>
      </c>
      <c r="AR198" s="90" t="str">
        <f aca="false">IF(AQ198="","",ROUND(AQ198*(1+Справочники!$B$12),0))</f>
        <v/>
      </c>
      <c r="AS198" s="90" t="str">
        <f aca="false">IF(AR198="","",ROUND(AR198*(1-Справочники!$B$11),0))</f>
        <v/>
      </c>
      <c r="AT198" s="88"/>
      <c r="AU198" s="90" t="str">
        <f aca="false">IF(AT198="","",ROUND(AT198/(1+Справочники!$B$12),0))</f>
        <v/>
      </c>
      <c r="AV198" s="90" t="str">
        <f aca="false">IF(AT198="","",ROUND(AT198*(1-Справочники!$B$15),0))</f>
        <v/>
      </c>
      <c r="AW198" s="90" t="str">
        <f aca="false">IF(AT198="","",ROUND(AT198*(1-Справочники!$B$16),0))</f>
        <v/>
      </c>
      <c r="AX198" s="90" t="str">
        <f aca="false">IF(AT198="","",ROUND(AT198*(1-Справочники!$B$17),0))</f>
        <v/>
      </c>
      <c r="AY198" s="90" t="str">
        <f aca="false">IF(AT198="","",ROUND(AT198*(1-Справочники!$B$18),0))</f>
        <v/>
      </c>
      <c r="AZ198" s="90" t="str">
        <f aca="false">IF(AT198="","",ROUND(AT198*(1-Справочники!$B$19),0))</f>
        <v/>
      </c>
      <c r="BA198" s="81"/>
      <c r="BB198" s="81"/>
      <c r="BC198" s="81"/>
      <c r="BD198" s="81"/>
      <c r="BE198" s="91"/>
      <c r="BF198" s="81" t="s">
        <v>103</v>
      </c>
      <c r="BG198" s="89" t="n">
        <f aca="false" t="array" ref="BG198:BG198">IF(BF198="","",IFERROR(INDEX(Справочники!$B$4:$B$7,MATCH(BF198,Справочники!$A$4:$A$7,0)),""))</f>
        <v>68.5</v>
      </c>
      <c r="BH198" s="90" t="str">
        <f aca="false">IF(N(BN198)&gt;0,ROUND(SUMIF(ЗАКАЗЫ!$F$3:$F$500,$A198,ЗАКАЗЫ!$Y$3:$Y$500)/BN198,0),IF(OR(BE198="",BG198=""),"",ROUND(BE198*BG198*(1+Справочники!$B$10),0)))</f>
        <v/>
      </c>
      <c r="BI198" s="92" t="str">
        <f aca="false">IF(OR(AU198="",BH198="",AU198=0),"",(AU198-BH198)/AU198)</f>
        <v/>
      </c>
      <c r="BJ198" s="81"/>
      <c r="BK198" s="83"/>
      <c r="BL198" s="43" t="str">
        <f aca="false">IFERROR(INDEX(ЗАКАЗЫ!$N$3:$N$500,MATCH($A198,ЗАКАЗЫ!$F$3:$F$500,0)),"")</f>
        <v/>
      </c>
      <c r="BM198" s="8" t="str">
        <f aca="false">IF(BL198="","",IFERROR(VLOOKUP(BL198,'ТН ВЭД'!$A$4:$C$40,3,0),""))</f>
        <v/>
      </c>
      <c r="BN198" s="7" t="str">
        <f aca="false">IF(COUNTIF(ЗАКАЗЫ!$F$3:$F$500,$A198)=0,"",SUMIF(ЗАКАЗЫ!$F$3:$F$500,$A198,ЗАКАЗЫ!$J$3:$J$500))</f>
        <v/>
      </c>
      <c r="BO198" s="7" t="str">
        <f aca="false">IF(BN198="","",SUMIF(ЗАКАЗЫ!$F$3:$F$500,$A198,ЗАКАЗЫ!$AL$3:$AL$500))</f>
        <v/>
      </c>
      <c r="BP198" s="7" t="str">
        <f aca="false">IF(BN198="","",BN198-BO198)</f>
        <v/>
      </c>
      <c r="BQ198" s="55" t="str">
        <f aca="false">IF(BN198="","",IF(BO198&gt;=BN198,"На складе",IF(BO198&gt;0,"Частично","Ждём")))</f>
        <v/>
      </c>
      <c r="BR198" s="43"/>
      <c r="BS198" s="47" t="str">
        <f aca="false">IF(BN198="","",IF(_xlfn.MAXIFS(ЗАКАЗЫ!$AK$3:$AK$500,ЗАКАЗЫ!$F$3:$F$500,$A198)=0,"",_xlfn.MAXIFS(ЗАКАЗЫ!$AK$3:$AK$500,ЗАКАЗЫ!$F$3:$F$500,$A198)))</f>
        <v/>
      </c>
    </row>
    <row r="199" customFormat="false" ht="15.75" hidden="false" customHeight="true" outlineLevel="0" collapsed="false">
      <c r="A199" s="80" t="s">
        <v>673</v>
      </c>
      <c r="B199" s="81"/>
      <c r="C199" s="81"/>
      <c r="D199" s="81"/>
      <c r="E199" s="83"/>
      <c r="F199" s="81"/>
      <c r="G199" s="83"/>
      <c r="H199" s="83"/>
      <c r="I199" s="84" t="str">
        <f aca="false">IF(E199="","",A199&amp;"_1.jpg")</f>
        <v/>
      </c>
      <c r="J199" s="84" t="str">
        <f aca="false">IF(E199="","",A199&amp;"_2.jpg; "&amp;A199&amp;"_3.jpg")</f>
        <v/>
      </c>
      <c r="K199" s="84" t="str">
        <f aca="false">IF(E199="","",A199&amp;"_schema.jpg")</f>
        <v/>
      </c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 t="s">
        <v>261</v>
      </c>
      <c r="W199" s="81"/>
      <c r="X199" s="81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6" t="str">
        <f aca="false">IF(SUM(Y199:AJ199)=0,"",SUM(Y199:AJ199))</f>
        <v/>
      </c>
      <c r="AL199" s="84" t="str">
        <f aca="false">MID(IF(N(Y199)&gt;0,", "&amp;Y$2,"")&amp;IF(N(Z199)&gt;0,", "&amp;Z$2,"")&amp;IF(N(AA199)&gt;0,", "&amp;AA$2,"")&amp;IF(N(AB199)&gt;0,", "&amp;AB$2,"")&amp;IF(N(AC199)&gt;0,", "&amp;AC$2,"")&amp;IF(N(AD199)&gt;0,", "&amp;AD$2,"")&amp;IF(N(AE199)&gt;0,", "&amp;AE$2,"")&amp;IF(N(AF199)&gt;0,", "&amp;AF$2,"")&amp;IF(N(AG199)&gt;0,", "&amp;AG$2,"")&amp;IF(N(AH199)&gt;0,", "&amp;AH$2,"")&amp;IF(N(AI199)&gt;0,", "&amp;AI$2,"")&amp;IF(N(AJ199)&gt;0,", "&amp;AJ$2,""),3,999)</f>
        <v/>
      </c>
      <c r="AM199" s="87" t="str">
        <f aca="false">IF(E199="","",MID(IF(N(Y199)&gt;0,", "&amp;A199&amp;"-"&amp;Y$2,"")&amp;IF(N(Z199)&gt;0,", "&amp;A199&amp;"-"&amp;Z$2,"")&amp;IF(N(AA199)&gt;0,", "&amp;A199&amp;"-"&amp;AA$2,"")&amp;IF(N(AB199)&gt;0,", "&amp;A199&amp;"-"&amp;AB$2,"")&amp;IF(N(AC199)&gt;0,", "&amp;A199&amp;"-"&amp;AC$2,"")&amp;IF(N(AD199)&gt;0,", "&amp;A199&amp;"-"&amp;AD$2,"")&amp;IF(N(AE199)&gt;0,", "&amp;A199&amp;"-"&amp;AE$2,"")&amp;IF(N(AF199)&gt;0,", "&amp;A199&amp;"-"&amp;AF$2,"")&amp;IF(N(AG199)&gt;0,", "&amp;A199&amp;"-"&amp;AG$2,"")&amp;IF(N(AH199)&gt;0,", "&amp;A199&amp;"-"&amp;AH$2,"")&amp;IF(N(AI199)&gt;0,", "&amp;A199&amp;"-"&amp;AI$2,"")&amp;IF(N(AJ199)&gt;0,", "&amp;A199&amp;"-"&amp;AJ$2,""),3,999))</f>
        <v/>
      </c>
      <c r="AN199" s="81"/>
      <c r="AO199" s="88"/>
      <c r="AP199" s="89" t="str">
        <f aca="false">IF(AO199="","",ROUND(AO199/(1+Справочники!$B$13),2))</f>
        <v/>
      </c>
      <c r="AQ199" s="90" t="str">
        <f aca="false" t="array" ref="AQ199:AQ199">IF(AP199="","",AP199*INDEX(Справочники!$B$4:$B$7,MATCH("RUB",Справочники!$A$4:$A$7,0)))</f>
        <v/>
      </c>
      <c r="AR199" s="90" t="str">
        <f aca="false">IF(AQ199="","",ROUND(AQ199*(1+Справочники!$B$12),0))</f>
        <v/>
      </c>
      <c r="AS199" s="90" t="str">
        <f aca="false">IF(AR199="","",ROUND(AR199*(1-Справочники!$B$11),0))</f>
        <v/>
      </c>
      <c r="AT199" s="88"/>
      <c r="AU199" s="90" t="str">
        <f aca="false">IF(AT199="","",ROUND(AT199/(1+Справочники!$B$12),0))</f>
        <v/>
      </c>
      <c r="AV199" s="90" t="str">
        <f aca="false">IF(AT199="","",ROUND(AT199*(1-Справочники!$B$15),0))</f>
        <v/>
      </c>
      <c r="AW199" s="90" t="str">
        <f aca="false">IF(AT199="","",ROUND(AT199*(1-Справочники!$B$16),0))</f>
        <v/>
      </c>
      <c r="AX199" s="90" t="str">
        <f aca="false">IF(AT199="","",ROUND(AT199*(1-Справочники!$B$17),0))</f>
        <v/>
      </c>
      <c r="AY199" s="90" t="str">
        <f aca="false">IF(AT199="","",ROUND(AT199*(1-Справочники!$B$18),0))</f>
        <v/>
      </c>
      <c r="AZ199" s="90" t="str">
        <f aca="false">IF(AT199="","",ROUND(AT199*(1-Справочники!$B$19),0))</f>
        <v/>
      </c>
      <c r="BA199" s="81"/>
      <c r="BB199" s="81"/>
      <c r="BC199" s="81"/>
      <c r="BD199" s="81"/>
      <c r="BE199" s="91"/>
      <c r="BF199" s="81" t="s">
        <v>103</v>
      </c>
      <c r="BG199" s="89" t="n">
        <f aca="false" t="array" ref="BG199:BG199">IF(BF199="","",IFERROR(INDEX(Справочники!$B$4:$B$7,MATCH(BF199,Справочники!$A$4:$A$7,0)),""))</f>
        <v>68.5</v>
      </c>
      <c r="BH199" s="90" t="str">
        <f aca="false">IF(N(BN199)&gt;0,ROUND(SUMIF(ЗАКАЗЫ!$F$3:$F$500,$A199,ЗАКАЗЫ!$Y$3:$Y$500)/BN199,0),IF(OR(BE199="",BG199=""),"",ROUND(BE199*BG199*(1+Справочники!$B$10),0)))</f>
        <v/>
      </c>
      <c r="BI199" s="92" t="str">
        <f aca="false">IF(OR(AU199="",BH199="",AU199=0),"",(AU199-BH199)/AU199)</f>
        <v/>
      </c>
      <c r="BJ199" s="81"/>
      <c r="BK199" s="83"/>
      <c r="BL199" s="43" t="str">
        <f aca="false">IFERROR(INDEX(ЗАКАЗЫ!$N$3:$N$500,MATCH($A199,ЗАКАЗЫ!$F$3:$F$500,0)),"")</f>
        <v/>
      </c>
      <c r="BM199" s="8" t="str">
        <f aca="false">IF(BL199="","",IFERROR(VLOOKUP(BL199,'ТН ВЭД'!$A$4:$C$40,3,0),""))</f>
        <v/>
      </c>
      <c r="BN199" s="7" t="str">
        <f aca="false">IF(COUNTIF(ЗАКАЗЫ!$F$3:$F$500,$A199)=0,"",SUMIF(ЗАКАЗЫ!$F$3:$F$500,$A199,ЗАКАЗЫ!$J$3:$J$500))</f>
        <v/>
      </c>
      <c r="BO199" s="7" t="str">
        <f aca="false">IF(BN199="","",SUMIF(ЗАКАЗЫ!$F$3:$F$500,$A199,ЗАКАЗЫ!$AL$3:$AL$500))</f>
        <v/>
      </c>
      <c r="BP199" s="7" t="str">
        <f aca="false">IF(BN199="","",BN199-BO199)</f>
        <v/>
      </c>
      <c r="BQ199" s="55" t="str">
        <f aca="false">IF(BN199="","",IF(BO199&gt;=BN199,"На складе",IF(BO199&gt;0,"Частично","Ждём")))</f>
        <v/>
      </c>
      <c r="BR199" s="43"/>
      <c r="BS199" s="47" t="str">
        <f aca="false">IF(BN199="","",IF(_xlfn.MAXIFS(ЗАКАЗЫ!$AK$3:$AK$500,ЗАКАЗЫ!$F$3:$F$500,$A199)=0,"",_xlfn.MAXIFS(ЗАКАЗЫ!$AK$3:$AK$500,ЗАКАЗЫ!$F$3:$F$500,$A199)))</f>
        <v/>
      </c>
    </row>
    <row r="200" customFormat="false" ht="15.75" hidden="false" customHeight="true" outlineLevel="0" collapsed="false">
      <c r="A200" s="80" t="s">
        <v>674</v>
      </c>
      <c r="B200" s="81"/>
      <c r="C200" s="81"/>
      <c r="D200" s="81"/>
      <c r="E200" s="83"/>
      <c r="F200" s="81"/>
      <c r="G200" s="83"/>
      <c r="H200" s="83"/>
      <c r="I200" s="84" t="str">
        <f aca="false">IF(E200="","",A200&amp;"_1.jpg")</f>
        <v/>
      </c>
      <c r="J200" s="84" t="str">
        <f aca="false">IF(E200="","",A200&amp;"_2.jpg; "&amp;A200&amp;"_3.jpg")</f>
        <v/>
      </c>
      <c r="K200" s="84" t="str">
        <f aca="false">IF(E200="","",A200&amp;"_schema.jpg")</f>
        <v/>
      </c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 t="s">
        <v>261</v>
      </c>
      <c r="W200" s="81"/>
      <c r="X200" s="81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6" t="str">
        <f aca="false">IF(SUM(Y200:AJ200)=0,"",SUM(Y200:AJ200))</f>
        <v/>
      </c>
      <c r="AL200" s="84" t="str">
        <f aca="false">MID(IF(N(Y200)&gt;0,", "&amp;Y$2,"")&amp;IF(N(Z200)&gt;0,", "&amp;Z$2,"")&amp;IF(N(AA200)&gt;0,", "&amp;AA$2,"")&amp;IF(N(AB200)&gt;0,", "&amp;AB$2,"")&amp;IF(N(AC200)&gt;0,", "&amp;AC$2,"")&amp;IF(N(AD200)&gt;0,", "&amp;AD$2,"")&amp;IF(N(AE200)&gt;0,", "&amp;AE$2,"")&amp;IF(N(AF200)&gt;0,", "&amp;AF$2,"")&amp;IF(N(AG200)&gt;0,", "&amp;AG$2,"")&amp;IF(N(AH200)&gt;0,", "&amp;AH$2,"")&amp;IF(N(AI200)&gt;0,", "&amp;AI$2,"")&amp;IF(N(AJ200)&gt;0,", "&amp;AJ$2,""),3,999)</f>
        <v/>
      </c>
      <c r="AM200" s="87" t="str">
        <f aca="false">IF(E200="","",MID(IF(N(Y200)&gt;0,", "&amp;A200&amp;"-"&amp;Y$2,"")&amp;IF(N(Z200)&gt;0,", "&amp;A200&amp;"-"&amp;Z$2,"")&amp;IF(N(AA200)&gt;0,", "&amp;A200&amp;"-"&amp;AA$2,"")&amp;IF(N(AB200)&gt;0,", "&amp;A200&amp;"-"&amp;AB$2,"")&amp;IF(N(AC200)&gt;0,", "&amp;A200&amp;"-"&amp;AC$2,"")&amp;IF(N(AD200)&gt;0,", "&amp;A200&amp;"-"&amp;AD$2,"")&amp;IF(N(AE200)&gt;0,", "&amp;A200&amp;"-"&amp;AE$2,"")&amp;IF(N(AF200)&gt;0,", "&amp;A200&amp;"-"&amp;AF$2,"")&amp;IF(N(AG200)&gt;0,", "&amp;A200&amp;"-"&amp;AG$2,"")&amp;IF(N(AH200)&gt;0,", "&amp;A200&amp;"-"&amp;AH$2,"")&amp;IF(N(AI200)&gt;0,", "&amp;A200&amp;"-"&amp;AI$2,"")&amp;IF(N(AJ200)&gt;0,", "&amp;A200&amp;"-"&amp;AJ$2,""),3,999))</f>
        <v/>
      </c>
      <c r="AN200" s="81"/>
      <c r="AO200" s="88"/>
      <c r="AP200" s="89" t="str">
        <f aca="false">IF(AO200="","",ROUND(AO200/(1+Справочники!$B$13),2))</f>
        <v/>
      </c>
      <c r="AQ200" s="90" t="str">
        <f aca="false" t="array" ref="AQ200:AQ200">IF(AP200="","",AP200*INDEX(Справочники!$B$4:$B$7,MATCH("RUB",Справочники!$A$4:$A$7,0)))</f>
        <v/>
      </c>
      <c r="AR200" s="90" t="str">
        <f aca="false">IF(AQ200="","",ROUND(AQ200*(1+Справочники!$B$12),0))</f>
        <v/>
      </c>
      <c r="AS200" s="90" t="str">
        <f aca="false">IF(AR200="","",ROUND(AR200*(1-Справочники!$B$11),0))</f>
        <v/>
      </c>
      <c r="AT200" s="88"/>
      <c r="AU200" s="90" t="str">
        <f aca="false">IF(AT200="","",ROUND(AT200/(1+Справочники!$B$12),0))</f>
        <v/>
      </c>
      <c r="AV200" s="90" t="str">
        <f aca="false">IF(AT200="","",ROUND(AT200*(1-Справочники!$B$15),0))</f>
        <v/>
      </c>
      <c r="AW200" s="90" t="str">
        <f aca="false">IF(AT200="","",ROUND(AT200*(1-Справочники!$B$16),0))</f>
        <v/>
      </c>
      <c r="AX200" s="90" t="str">
        <f aca="false">IF(AT200="","",ROUND(AT200*(1-Справочники!$B$17),0))</f>
        <v/>
      </c>
      <c r="AY200" s="90" t="str">
        <f aca="false">IF(AT200="","",ROUND(AT200*(1-Справочники!$B$18),0))</f>
        <v/>
      </c>
      <c r="AZ200" s="90" t="str">
        <f aca="false">IF(AT200="","",ROUND(AT200*(1-Справочники!$B$19),0))</f>
        <v/>
      </c>
      <c r="BA200" s="81"/>
      <c r="BB200" s="81"/>
      <c r="BC200" s="81"/>
      <c r="BD200" s="81"/>
      <c r="BE200" s="91"/>
      <c r="BF200" s="81" t="s">
        <v>103</v>
      </c>
      <c r="BG200" s="89" t="n">
        <f aca="false" t="array" ref="BG200:BG200">IF(BF200="","",IFERROR(INDEX(Справочники!$B$4:$B$7,MATCH(BF200,Справочники!$A$4:$A$7,0)),""))</f>
        <v>68.5</v>
      </c>
      <c r="BH200" s="90" t="str">
        <f aca="false">IF(N(BN200)&gt;0,ROUND(SUMIF(ЗАКАЗЫ!$F$3:$F$500,$A200,ЗАКАЗЫ!$Y$3:$Y$500)/BN200,0),IF(OR(BE200="",BG200=""),"",ROUND(BE200*BG200*(1+Справочники!$B$10),0)))</f>
        <v/>
      </c>
      <c r="BI200" s="92" t="str">
        <f aca="false">IF(OR(AU200="",BH200="",AU200=0),"",(AU200-BH200)/AU200)</f>
        <v/>
      </c>
      <c r="BJ200" s="81"/>
      <c r="BK200" s="83"/>
      <c r="BL200" s="43" t="str">
        <f aca="false">IFERROR(INDEX(ЗАКАЗЫ!$N$3:$N$500,MATCH($A200,ЗАКАЗЫ!$F$3:$F$500,0)),"")</f>
        <v/>
      </c>
      <c r="BM200" s="8" t="str">
        <f aca="false">IF(BL200="","",IFERROR(VLOOKUP(BL200,'ТН ВЭД'!$A$4:$C$40,3,0),""))</f>
        <v/>
      </c>
      <c r="BN200" s="7" t="str">
        <f aca="false">IF(COUNTIF(ЗАКАЗЫ!$F$3:$F$500,$A200)=0,"",SUMIF(ЗАКАЗЫ!$F$3:$F$500,$A200,ЗАКАЗЫ!$J$3:$J$500))</f>
        <v/>
      </c>
      <c r="BO200" s="7" t="str">
        <f aca="false">IF(BN200="","",SUMIF(ЗАКАЗЫ!$F$3:$F$500,$A200,ЗАКАЗЫ!$AL$3:$AL$500))</f>
        <v/>
      </c>
      <c r="BP200" s="7" t="str">
        <f aca="false">IF(BN200="","",BN200-BO200)</f>
        <v/>
      </c>
      <c r="BQ200" s="55" t="str">
        <f aca="false">IF(BN200="","",IF(BO200&gt;=BN200,"На складе",IF(BO200&gt;0,"Частично","Ждём")))</f>
        <v/>
      </c>
      <c r="BR200" s="43"/>
      <c r="BS200" s="47" t="str">
        <f aca="false">IF(BN200="","",IF(_xlfn.MAXIFS(ЗАКАЗЫ!$AK$3:$AK$500,ЗАКАЗЫ!$F$3:$F$500,$A200)=0,"",_xlfn.MAXIFS(ЗАКАЗЫ!$AK$3:$AK$500,ЗАКАЗЫ!$F$3:$F$500,$A200)))</f>
        <v/>
      </c>
    </row>
    <row r="201" customFormat="false" ht="15.75" hidden="false" customHeight="true" outlineLevel="0" collapsed="false">
      <c r="A201" s="80" t="s">
        <v>675</v>
      </c>
      <c r="B201" s="81"/>
      <c r="C201" s="81"/>
      <c r="D201" s="81"/>
      <c r="E201" s="83"/>
      <c r="F201" s="81"/>
      <c r="G201" s="83"/>
      <c r="H201" s="83"/>
      <c r="I201" s="84" t="str">
        <f aca="false">IF(E201="","",A201&amp;"_1.jpg")</f>
        <v/>
      </c>
      <c r="J201" s="84" t="str">
        <f aca="false">IF(E201="","",A201&amp;"_2.jpg; "&amp;A201&amp;"_3.jpg")</f>
        <v/>
      </c>
      <c r="K201" s="84" t="str">
        <f aca="false">IF(E201="","",A201&amp;"_schema.jpg")</f>
        <v/>
      </c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 t="s">
        <v>261</v>
      </c>
      <c r="W201" s="81"/>
      <c r="X201" s="81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6" t="str">
        <f aca="false">IF(SUM(Y201:AJ201)=0,"",SUM(Y201:AJ201))</f>
        <v/>
      </c>
      <c r="AL201" s="84" t="str">
        <f aca="false">MID(IF(N(Y201)&gt;0,", "&amp;Y$2,"")&amp;IF(N(Z201)&gt;0,", "&amp;Z$2,"")&amp;IF(N(AA201)&gt;0,", "&amp;AA$2,"")&amp;IF(N(AB201)&gt;0,", "&amp;AB$2,"")&amp;IF(N(AC201)&gt;0,", "&amp;AC$2,"")&amp;IF(N(AD201)&gt;0,", "&amp;AD$2,"")&amp;IF(N(AE201)&gt;0,", "&amp;AE$2,"")&amp;IF(N(AF201)&gt;0,", "&amp;AF$2,"")&amp;IF(N(AG201)&gt;0,", "&amp;AG$2,"")&amp;IF(N(AH201)&gt;0,", "&amp;AH$2,"")&amp;IF(N(AI201)&gt;0,", "&amp;AI$2,"")&amp;IF(N(AJ201)&gt;0,", "&amp;AJ$2,""),3,999)</f>
        <v/>
      </c>
      <c r="AM201" s="87" t="str">
        <f aca="false">IF(E201="","",MID(IF(N(Y201)&gt;0,", "&amp;A201&amp;"-"&amp;Y$2,"")&amp;IF(N(Z201)&gt;0,", "&amp;A201&amp;"-"&amp;Z$2,"")&amp;IF(N(AA201)&gt;0,", "&amp;A201&amp;"-"&amp;AA$2,"")&amp;IF(N(AB201)&gt;0,", "&amp;A201&amp;"-"&amp;AB$2,"")&amp;IF(N(AC201)&gt;0,", "&amp;A201&amp;"-"&amp;AC$2,"")&amp;IF(N(AD201)&gt;0,", "&amp;A201&amp;"-"&amp;AD$2,"")&amp;IF(N(AE201)&gt;0,", "&amp;A201&amp;"-"&amp;AE$2,"")&amp;IF(N(AF201)&gt;0,", "&amp;A201&amp;"-"&amp;AF$2,"")&amp;IF(N(AG201)&gt;0,", "&amp;A201&amp;"-"&amp;AG$2,"")&amp;IF(N(AH201)&gt;0,", "&amp;A201&amp;"-"&amp;AH$2,"")&amp;IF(N(AI201)&gt;0,", "&amp;A201&amp;"-"&amp;AI$2,"")&amp;IF(N(AJ201)&gt;0,", "&amp;A201&amp;"-"&amp;AJ$2,""),3,999))</f>
        <v/>
      </c>
      <c r="AN201" s="81"/>
      <c r="AO201" s="88"/>
      <c r="AP201" s="89" t="str">
        <f aca="false">IF(AO201="","",ROUND(AO201/(1+Справочники!$B$13),2))</f>
        <v/>
      </c>
      <c r="AQ201" s="90" t="str">
        <f aca="false" t="array" ref="AQ201:AQ201">IF(AP201="","",AP201*INDEX(Справочники!$B$4:$B$7,MATCH("RUB",Справочники!$A$4:$A$7,0)))</f>
        <v/>
      </c>
      <c r="AR201" s="90" t="str">
        <f aca="false">IF(AQ201="","",ROUND(AQ201*(1+Справочники!$B$12),0))</f>
        <v/>
      </c>
      <c r="AS201" s="90" t="str">
        <f aca="false">IF(AR201="","",ROUND(AR201*(1-Справочники!$B$11),0))</f>
        <v/>
      </c>
      <c r="AT201" s="88"/>
      <c r="AU201" s="90" t="str">
        <f aca="false">IF(AT201="","",ROUND(AT201/(1+Справочники!$B$12),0))</f>
        <v/>
      </c>
      <c r="AV201" s="90" t="str">
        <f aca="false">IF(AT201="","",ROUND(AT201*(1-Справочники!$B$15),0))</f>
        <v/>
      </c>
      <c r="AW201" s="90" t="str">
        <f aca="false">IF(AT201="","",ROUND(AT201*(1-Справочники!$B$16),0))</f>
        <v/>
      </c>
      <c r="AX201" s="90" t="str">
        <f aca="false">IF(AT201="","",ROUND(AT201*(1-Справочники!$B$17),0))</f>
        <v/>
      </c>
      <c r="AY201" s="90" t="str">
        <f aca="false">IF(AT201="","",ROUND(AT201*(1-Справочники!$B$18),0))</f>
        <v/>
      </c>
      <c r="AZ201" s="90" t="str">
        <f aca="false">IF(AT201="","",ROUND(AT201*(1-Справочники!$B$19),0))</f>
        <v/>
      </c>
      <c r="BA201" s="81"/>
      <c r="BB201" s="81"/>
      <c r="BC201" s="81"/>
      <c r="BD201" s="81"/>
      <c r="BE201" s="91"/>
      <c r="BF201" s="81" t="s">
        <v>103</v>
      </c>
      <c r="BG201" s="89" t="n">
        <f aca="false" t="array" ref="BG201:BG201">IF(BF201="","",IFERROR(INDEX(Справочники!$B$4:$B$7,MATCH(BF201,Справочники!$A$4:$A$7,0)),""))</f>
        <v>68.5</v>
      </c>
      <c r="BH201" s="90" t="str">
        <f aca="false">IF(N(BN201)&gt;0,ROUND(SUMIF(ЗАКАЗЫ!$F$3:$F$500,$A201,ЗАКАЗЫ!$Y$3:$Y$500)/BN201,0),IF(OR(BE201="",BG201=""),"",ROUND(BE201*BG201*(1+Справочники!$B$10),0)))</f>
        <v/>
      </c>
      <c r="BI201" s="92" t="str">
        <f aca="false">IF(OR(AU201="",BH201="",AU201=0),"",(AU201-BH201)/AU201)</f>
        <v/>
      </c>
      <c r="BJ201" s="81"/>
      <c r="BK201" s="83"/>
      <c r="BL201" s="43" t="str">
        <f aca="false">IFERROR(INDEX(ЗАКАЗЫ!$N$3:$N$500,MATCH($A201,ЗАКАЗЫ!$F$3:$F$500,0)),"")</f>
        <v/>
      </c>
      <c r="BM201" s="8" t="str">
        <f aca="false">IF(BL201="","",IFERROR(VLOOKUP(BL201,'ТН ВЭД'!$A$4:$C$40,3,0),""))</f>
        <v/>
      </c>
      <c r="BN201" s="7" t="str">
        <f aca="false">IF(COUNTIF(ЗАКАЗЫ!$F$3:$F$500,$A201)=0,"",SUMIF(ЗАКАЗЫ!$F$3:$F$500,$A201,ЗАКАЗЫ!$J$3:$J$500))</f>
        <v/>
      </c>
      <c r="BO201" s="7" t="str">
        <f aca="false">IF(BN201="","",SUMIF(ЗАКАЗЫ!$F$3:$F$500,$A201,ЗАКАЗЫ!$AL$3:$AL$500))</f>
        <v/>
      </c>
      <c r="BP201" s="7" t="str">
        <f aca="false">IF(BN201="","",BN201-BO201)</f>
        <v/>
      </c>
      <c r="BQ201" s="55" t="str">
        <f aca="false">IF(BN201="","",IF(BO201&gt;=BN201,"На складе",IF(BO201&gt;0,"Частично","Ждём")))</f>
        <v/>
      </c>
      <c r="BR201" s="43"/>
      <c r="BS201" s="47" t="str">
        <f aca="false">IF(BN201="","",IF(_xlfn.MAXIFS(ЗАКАЗЫ!$AK$3:$AK$500,ЗАКАЗЫ!$F$3:$F$500,$A201)=0,"",_xlfn.MAXIFS(ЗАКАЗЫ!$AK$3:$AK$500,ЗАКАЗЫ!$F$3:$F$500,$A201)))</f>
        <v/>
      </c>
    </row>
    <row r="202" customFormat="false" ht="15.75" hidden="false" customHeight="true" outlineLevel="0" collapsed="false">
      <c r="A202" s="80" t="s">
        <v>676</v>
      </c>
      <c r="B202" s="81"/>
      <c r="C202" s="81"/>
      <c r="D202" s="81"/>
      <c r="E202" s="83"/>
      <c r="F202" s="81"/>
      <c r="G202" s="83"/>
      <c r="H202" s="83"/>
      <c r="I202" s="84" t="str">
        <f aca="false">IF(E202="","",A202&amp;"_1.jpg")</f>
        <v/>
      </c>
      <c r="J202" s="84" t="str">
        <f aca="false">IF(E202="","",A202&amp;"_2.jpg; "&amp;A202&amp;"_3.jpg")</f>
        <v/>
      </c>
      <c r="K202" s="84" t="str">
        <f aca="false">IF(E202="","",A202&amp;"_schema.jpg")</f>
        <v/>
      </c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 t="s">
        <v>261</v>
      </c>
      <c r="W202" s="81"/>
      <c r="X202" s="81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6" t="str">
        <f aca="false">IF(SUM(Y202:AJ202)=0,"",SUM(Y202:AJ202))</f>
        <v/>
      </c>
      <c r="AL202" s="84" t="str">
        <f aca="false">MID(IF(N(Y202)&gt;0,", "&amp;Y$2,"")&amp;IF(N(Z202)&gt;0,", "&amp;Z$2,"")&amp;IF(N(AA202)&gt;0,", "&amp;AA$2,"")&amp;IF(N(AB202)&gt;0,", "&amp;AB$2,"")&amp;IF(N(AC202)&gt;0,", "&amp;AC$2,"")&amp;IF(N(AD202)&gt;0,", "&amp;AD$2,"")&amp;IF(N(AE202)&gt;0,", "&amp;AE$2,"")&amp;IF(N(AF202)&gt;0,", "&amp;AF$2,"")&amp;IF(N(AG202)&gt;0,", "&amp;AG$2,"")&amp;IF(N(AH202)&gt;0,", "&amp;AH$2,"")&amp;IF(N(AI202)&gt;0,", "&amp;AI$2,"")&amp;IF(N(AJ202)&gt;0,", "&amp;AJ$2,""),3,999)</f>
        <v/>
      </c>
      <c r="AM202" s="87" t="str">
        <f aca="false">IF(E202="","",MID(IF(N(Y202)&gt;0,", "&amp;A202&amp;"-"&amp;Y$2,"")&amp;IF(N(Z202)&gt;0,", "&amp;A202&amp;"-"&amp;Z$2,"")&amp;IF(N(AA202)&gt;0,", "&amp;A202&amp;"-"&amp;AA$2,"")&amp;IF(N(AB202)&gt;0,", "&amp;A202&amp;"-"&amp;AB$2,"")&amp;IF(N(AC202)&gt;0,", "&amp;A202&amp;"-"&amp;AC$2,"")&amp;IF(N(AD202)&gt;0,", "&amp;A202&amp;"-"&amp;AD$2,"")&amp;IF(N(AE202)&gt;0,", "&amp;A202&amp;"-"&amp;AE$2,"")&amp;IF(N(AF202)&gt;0,", "&amp;A202&amp;"-"&amp;AF$2,"")&amp;IF(N(AG202)&gt;0,", "&amp;A202&amp;"-"&amp;AG$2,"")&amp;IF(N(AH202)&gt;0,", "&amp;A202&amp;"-"&amp;AH$2,"")&amp;IF(N(AI202)&gt;0,", "&amp;A202&amp;"-"&amp;AI$2,"")&amp;IF(N(AJ202)&gt;0,", "&amp;A202&amp;"-"&amp;AJ$2,""),3,999))</f>
        <v/>
      </c>
      <c r="AN202" s="81"/>
      <c r="AO202" s="88"/>
      <c r="AP202" s="89" t="str">
        <f aca="false">IF(AO202="","",ROUND(AO202/(1+Справочники!$B$13),2))</f>
        <v/>
      </c>
      <c r="AQ202" s="90" t="str">
        <f aca="false" t="array" ref="AQ202:AQ202">IF(AP202="","",AP202*INDEX(Справочники!$B$4:$B$7,MATCH("RUB",Справочники!$A$4:$A$7,0)))</f>
        <v/>
      </c>
      <c r="AR202" s="90" t="str">
        <f aca="false">IF(AQ202="","",ROUND(AQ202*(1+Справочники!$B$12),0))</f>
        <v/>
      </c>
      <c r="AS202" s="90" t="str">
        <f aca="false">IF(AR202="","",ROUND(AR202*(1-Справочники!$B$11),0))</f>
        <v/>
      </c>
      <c r="AT202" s="88"/>
      <c r="AU202" s="90" t="str">
        <f aca="false">IF(AT202="","",ROUND(AT202/(1+Справочники!$B$12),0))</f>
        <v/>
      </c>
      <c r="AV202" s="90" t="str">
        <f aca="false">IF(AT202="","",ROUND(AT202*(1-Справочники!$B$15),0))</f>
        <v/>
      </c>
      <c r="AW202" s="90" t="str">
        <f aca="false">IF(AT202="","",ROUND(AT202*(1-Справочники!$B$16),0))</f>
        <v/>
      </c>
      <c r="AX202" s="90" t="str">
        <f aca="false">IF(AT202="","",ROUND(AT202*(1-Справочники!$B$17),0))</f>
        <v/>
      </c>
      <c r="AY202" s="90" t="str">
        <f aca="false">IF(AT202="","",ROUND(AT202*(1-Справочники!$B$18),0))</f>
        <v/>
      </c>
      <c r="AZ202" s="90" t="str">
        <f aca="false">IF(AT202="","",ROUND(AT202*(1-Справочники!$B$19),0))</f>
        <v/>
      </c>
      <c r="BA202" s="81"/>
      <c r="BB202" s="81"/>
      <c r="BC202" s="81"/>
      <c r="BD202" s="81"/>
      <c r="BE202" s="91"/>
      <c r="BF202" s="81" t="s">
        <v>103</v>
      </c>
      <c r="BG202" s="89" t="n">
        <f aca="false" t="array" ref="BG202:BG202">IF(BF202="","",IFERROR(INDEX(Справочники!$B$4:$B$7,MATCH(BF202,Справочники!$A$4:$A$7,0)),""))</f>
        <v>68.5</v>
      </c>
      <c r="BH202" s="90" t="str">
        <f aca="false">IF(N(BN202)&gt;0,ROUND(SUMIF(ЗАКАЗЫ!$F$3:$F$500,$A202,ЗАКАЗЫ!$Y$3:$Y$500)/BN202,0),IF(OR(BE202="",BG202=""),"",ROUND(BE202*BG202*(1+Справочники!$B$10),0)))</f>
        <v/>
      </c>
      <c r="BI202" s="92" t="str">
        <f aca="false">IF(OR(AU202="",BH202="",AU202=0),"",(AU202-BH202)/AU202)</f>
        <v/>
      </c>
      <c r="BJ202" s="81"/>
      <c r="BK202" s="83"/>
      <c r="BL202" s="43" t="str">
        <f aca="false">IFERROR(INDEX(ЗАКАЗЫ!$N$3:$N$500,MATCH($A202,ЗАКАЗЫ!$F$3:$F$500,0)),"")</f>
        <v/>
      </c>
      <c r="BM202" s="8" t="str">
        <f aca="false">IF(BL202="","",IFERROR(VLOOKUP(BL202,'ТН ВЭД'!$A$4:$C$40,3,0),""))</f>
        <v/>
      </c>
      <c r="BN202" s="7" t="str">
        <f aca="false">IF(COUNTIF(ЗАКАЗЫ!$F$3:$F$500,$A202)=0,"",SUMIF(ЗАКАЗЫ!$F$3:$F$500,$A202,ЗАКАЗЫ!$J$3:$J$500))</f>
        <v/>
      </c>
      <c r="BO202" s="7" t="str">
        <f aca="false">IF(BN202="","",SUMIF(ЗАКАЗЫ!$F$3:$F$500,$A202,ЗАКАЗЫ!$AL$3:$AL$500))</f>
        <v/>
      </c>
      <c r="BP202" s="7" t="str">
        <f aca="false">IF(BN202="","",BN202-BO202)</f>
        <v/>
      </c>
      <c r="BQ202" s="55" t="str">
        <f aca="false">IF(BN202="","",IF(BO202&gt;=BN202,"На складе",IF(BO202&gt;0,"Частично","Ждём")))</f>
        <v/>
      </c>
      <c r="BR202" s="43"/>
      <c r="BS202" s="47" t="str">
        <f aca="false">IF(BN202="","",IF(_xlfn.MAXIFS(ЗАКАЗЫ!$AK$3:$AK$500,ЗАКАЗЫ!$F$3:$F$500,$A202)=0,"",_xlfn.MAXIFS(ЗАКАЗЫ!$AK$3:$AK$500,ЗАКАЗЫ!$F$3:$F$500,$A202)))</f>
        <v/>
      </c>
    </row>
    <row r="203" customFormat="false" ht="15.75" hidden="false" customHeight="true" outlineLevel="0" collapsed="false">
      <c r="A203" s="80" t="s">
        <v>677</v>
      </c>
      <c r="B203" s="81"/>
      <c r="C203" s="81"/>
      <c r="D203" s="81"/>
      <c r="E203" s="83"/>
      <c r="F203" s="81"/>
      <c r="G203" s="83"/>
      <c r="H203" s="83"/>
      <c r="I203" s="84" t="str">
        <f aca="false">IF(E203="","",A203&amp;"_1.jpg")</f>
        <v/>
      </c>
      <c r="J203" s="84" t="str">
        <f aca="false">IF(E203="","",A203&amp;"_2.jpg; "&amp;A203&amp;"_3.jpg")</f>
        <v/>
      </c>
      <c r="K203" s="84" t="str">
        <f aca="false">IF(E203="","",A203&amp;"_schema.jpg")</f>
        <v/>
      </c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 t="s">
        <v>261</v>
      </c>
      <c r="W203" s="81"/>
      <c r="X203" s="81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6" t="str">
        <f aca="false">IF(SUM(Y203:AJ203)=0,"",SUM(Y203:AJ203))</f>
        <v/>
      </c>
      <c r="AL203" s="84" t="str">
        <f aca="false">MID(IF(N(Y203)&gt;0,", "&amp;Y$2,"")&amp;IF(N(Z203)&gt;0,", "&amp;Z$2,"")&amp;IF(N(AA203)&gt;0,", "&amp;AA$2,"")&amp;IF(N(AB203)&gt;0,", "&amp;AB$2,"")&amp;IF(N(AC203)&gt;0,", "&amp;AC$2,"")&amp;IF(N(AD203)&gt;0,", "&amp;AD$2,"")&amp;IF(N(AE203)&gt;0,", "&amp;AE$2,"")&amp;IF(N(AF203)&gt;0,", "&amp;AF$2,"")&amp;IF(N(AG203)&gt;0,", "&amp;AG$2,"")&amp;IF(N(AH203)&gt;0,", "&amp;AH$2,"")&amp;IF(N(AI203)&gt;0,", "&amp;AI$2,"")&amp;IF(N(AJ203)&gt;0,", "&amp;AJ$2,""),3,999)</f>
        <v/>
      </c>
      <c r="AM203" s="87" t="str">
        <f aca="false">IF(E203="","",MID(IF(N(Y203)&gt;0,", "&amp;A203&amp;"-"&amp;Y$2,"")&amp;IF(N(Z203)&gt;0,", "&amp;A203&amp;"-"&amp;Z$2,"")&amp;IF(N(AA203)&gt;0,", "&amp;A203&amp;"-"&amp;AA$2,"")&amp;IF(N(AB203)&gt;0,", "&amp;A203&amp;"-"&amp;AB$2,"")&amp;IF(N(AC203)&gt;0,", "&amp;A203&amp;"-"&amp;AC$2,"")&amp;IF(N(AD203)&gt;0,", "&amp;A203&amp;"-"&amp;AD$2,"")&amp;IF(N(AE203)&gt;0,", "&amp;A203&amp;"-"&amp;AE$2,"")&amp;IF(N(AF203)&gt;0,", "&amp;A203&amp;"-"&amp;AF$2,"")&amp;IF(N(AG203)&gt;0,", "&amp;A203&amp;"-"&amp;AG$2,"")&amp;IF(N(AH203)&gt;0,", "&amp;A203&amp;"-"&amp;AH$2,"")&amp;IF(N(AI203)&gt;0,", "&amp;A203&amp;"-"&amp;AI$2,"")&amp;IF(N(AJ203)&gt;0,", "&amp;A203&amp;"-"&amp;AJ$2,""),3,999))</f>
        <v/>
      </c>
      <c r="AN203" s="81"/>
      <c r="AO203" s="88"/>
      <c r="AP203" s="89" t="str">
        <f aca="false">IF(AO203="","",ROUND(AO203/(1+Справочники!$B$13),2))</f>
        <v/>
      </c>
      <c r="AQ203" s="90" t="str">
        <f aca="false" t="array" ref="AQ203:AQ203">IF(AP203="","",AP203*INDEX(Справочники!$B$4:$B$7,MATCH("RUB",Справочники!$A$4:$A$7,0)))</f>
        <v/>
      </c>
      <c r="AR203" s="90" t="str">
        <f aca="false">IF(AQ203="","",ROUND(AQ203*(1+Справочники!$B$12),0))</f>
        <v/>
      </c>
      <c r="AS203" s="90" t="str">
        <f aca="false">IF(AR203="","",ROUND(AR203*(1-Справочники!$B$11),0))</f>
        <v/>
      </c>
      <c r="AT203" s="88"/>
      <c r="AU203" s="90" t="str">
        <f aca="false">IF(AT203="","",ROUND(AT203/(1+Справочники!$B$12),0))</f>
        <v/>
      </c>
      <c r="AV203" s="90" t="str">
        <f aca="false">IF(AT203="","",ROUND(AT203*(1-Справочники!$B$15),0))</f>
        <v/>
      </c>
      <c r="AW203" s="90" t="str">
        <f aca="false">IF(AT203="","",ROUND(AT203*(1-Справочники!$B$16),0))</f>
        <v/>
      </c>
      <c r="AX203" s="90" t="str">
        <f aca="false">IF(AT203="","",ROUND(AT203*(1-Справочники!$B$17),0))</f>
        <v/>
      </c>
      <c r="AY203" s="90" t="str">
        <f aca="false">IF(AT203="","",ROUND(AT203*(1-Справочники!$B$18),0))</f>
        <v/>
      </c>
      <c r="AZ203" s="90" t="str">
        <f aca="false">IF(AT203="","",ROUND(AT203*(1-Справочники!$B$19),0))</f>
        <v/>
      </c>
      <c r="BA203" s="81"/>
      <c r="BB203" s="81"/>
      <c r="BC203" s="81"/>
      <c r="BD203" s="81"/>
      <c r="BE203" s="91"/>
      <c r="BF203" s="81" t="s">
        <v>103</v>
      </c>
      <c r="BG203" s="89" t="n">
        <f aca="false" t="array" ref="BG203:BG203">IF(BF203="","",IFERROR(INDEX(Справочники!$B$4:$B$7,MATCH(BF203,Справочники!$A$4:$A$7,0)),""))</f>
        <v>68.5</v>
      </c>
      <c r="BH203" s="90" t="str">
        <f aca="false">IF(N(BN203)&gt;0,ROUND(SUMIF(ЗАКАЗЫ!$F$3:$F$500,$A203,ЗАКАЗЫ!$Y$3:$Y$500)/BN203,0),IF(OR(BE203="",BG203=""),"",ROUND(BE203*BG203*(1+Справочники!$B$10),0)))</f>
        <v/>
      </c>
      <c r="BI203" s="92" t="str">
        <f aca="false">IF(OR(AU203="",BH203="",AU203=0),"",(AU203-BH203)/AU203)</f>
        <v/>
      </c>
      <c r="BJ203" s="81"/>
      <c r="BK203" s="83"/>
      <c r="BL203" s="43" t="str">
        <f aca="false">IFERROR(INDEX(ЗАКАЗЫ!$N$3:$N$500,MATCH($A203,ЗАКАЗЫ!$F$3:$F$500,0)),"")</f>
        <v/>
      </c>
      <c r="BM203" s="8" t="str">
        <f aca="false">IF(BL203="","",IFERROR(VLOOKUP(BL203,'ТН ВЭД'!$A$4:$C$40,3,0),""))</f>
        <v/>
      </c>
      <c r="BN203" s="7" t="str">
        <f aca="false">IF(COUNTIF(ЗАКАЗЫ!$F$3:$F$500,$A203)=0,"",SUMIF(ЗАКАЗЫ!$F$3:$F$500,$A203,ЗАКАЗЫ!$J$3:$J$500))</f>
        <v/>
      </c>
      <c r="BO203" s="7" t="str">
        <f aca="false">IF(BN203="","",SUMIF(ЗАКАЗЫ!$F$3:$F$500,$A203,ЗАКАЗЫ!$AL$3:$AL$500))</f>
        <v/>
      </c>
      <c r="BP203" s="7" t="str">
        <f aca="false">IF(BN203="","",BN203-BO203)</f>
        <v/>
      </c>
      <c r="BQ203" s="55" t="str">
        <f aca="false">IF(BN203="","",IF(BO203&gt;=BN203,"На складе",IF(BO203&gt;0,"Частично","Ждём")))</f>
        <v/>
      </c>
      <c r="BR203" s="43"/>
      <c r="BS203" s="47" t="str">
        <f aca="false">IF(BN203="","",IF(_xlfn.MAXIFS(ЗАКАЗЫ!$AK$3:$AK$500,ЗАКАЗЫ!$F$3:$F$500,$A203)=0,"",_xlfn.MAXIFS(ЗАКАЗЫ!$AK$3:$AK$500,ЗАКАЗЫ!$F$3:$F$500,$A203)))</f>
        <v/>
      </c>
    </row>
    <row r="204" customFormat="false" ht="15.75" hidden="false" customHeight="true" outlineLevel="0" collapsed="false">
      <c r="A204" s="80" t="s">
        <v>678</v>
      </c>
      <c r="B204" s="81"/>
      <c r="C204" s="81"/>
      <c r="D204" s="81"/>
      <c r="E204" s="83"/>
      <c r="F204" s="81"/>
      <c r="G204" s="83"/>
      <c r="H204" s="83"/>
      <c r="I204" s="84" t="str">
        <f aca="false">IF(E204="","",A204&amp;"_1.jpg")</f>
        <v/>
      </c>
      <c r="J204" s="84" t="str">
        <f aca="false">IF(E204="","",A204&amp;"_2.jpg; "&amp;A204&amp;"_3.jpg")</f>
        <v/>
      </c>
      <c r="K204" s="84" t="str">
        <f aca="false">IF(E204="","",A204&amp;"_schema.jpg")</f>
        <v/>
      </c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 t="s">
        <v>261</v>
      </c>
      <c r="W204" s="81"/>
      <c r="X204" s="81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6" t="str">
        <f aca="false">IF(SUM(Y204:AJ204)=0,"",SUM(Y204:AJ204))</f>
        <v/>
      </c>
      <c r="AL204" s="84" t="str">
        <f aca="false">MID(IF(N(Y204)&gt;0,", "&amp;Y$2,"")&amp;IF(N(Z204)&gt;0,", "&amp;Z$2,"")&amp;IF(N(AA204)&gt;0,", "&amp;AA$2,"")&amp;IF(N(AB204)&gt;0,", "&amp;AB$2,"")&amp;IF(N(AC204)&gt;0,", "&amp;AC$2,"")&amp;IF(N(AD204)&gt;0,", "&amp;AD$2,"")&amp;IF(N(AE204)&gt;0,", "&amp;AE$2,"")&amp;IF(N(AF204)&gt;0,", "&amp;AF$2,"")&amp;IF(N(AG204)&gt;0,", "&amp;AG$2,"")&amp;IF(N(AH204)&gt;0,", "&amp;AH$2,"")&amp;IF(N(AI204)&gt;0,", "&amp;AI$2,"")&amp;IF(N(AJ204)&gt;0,", "&amp;AJ$2,""),3,999)</f>
        <v/>
      </c>
      <c r="AM204" s="87" t="str">
        <f aca="false">IF(E204="","",MID(IF(N(Y204)&gt;0,", "&amp;A204&amp;"-"&amp;Y$2,"")&amp;IF(N(Z204)&gt;0,", "&amp;A204&amp;"-"&amp;Z$2,"")&amp;IF(N(AA204)&gt;0,", "&amp;A204&amp;"-"&amp;AA$2,"")&amp;IF(N(AB204)&gt;0,", "&amp;A204&amp;"-"&amp;AB$2,"")&amp;IF(N(AC204)&gt;0,", "&amp;A204&amp;"-"&amp;AC$2,"")&amp;IF(N(AD204)&gt;0,", "&amp;A204&amp;"-"&amp;AD$2,"")&amp;IF(N(AE204)&gt;0,", "&amp;A204&amp;"-"&amp;AE$2,"")&amp;IF(N(AF204)&gt;0,", "&amp;A204&amp;"-"&amp;AF$2,"")&amp;IF(N(AG204)&gt;0,", "&amp;A204&amp;"-"&amp;AG$2,"")&amp;IF(N(AH204)&gt;0,", "&amp;A204&amp;"-"&amp;AH$2,"")&amp;IF(N(AI204)&gt;0,", "&amp;A204&amp;"-"&amp;AI$2,"")&amp;IF(N(AJ204)&gt;0,", "&amp;A204&amp;"-"&amp;AJ$2,""),3,999))</f>
        <v/>
      </c>
      <c r="AN204" s="81"/>
      <c r="AO204" s="88"/>
      <c r="AP204" s="89" t="str">
        <f aca="false">IF(AO204="","",ROUND(AO204/(1+Справочники!$B$13),2))</f>
        <v/>
      </c>
      <c r="AQ204" s="90" t="str">
        <f aca="false" t="array" ref="AQ204:AQ204">IF(AP204="","",AP204*INDEX(Справочники!$B$4:$B$7,MATCH("RUB",Справочники!$A$4:$A$7,0)))</f>
        <v/>
      </c>
      <c r="AR204" s="90" t="str">
        <f aca="false">IF(AQ204="","",ROUND(AQ204*(1+Справочники!$B$12),0))</f>
        <v/>
      </c>
      <c r="AS204" s="90" t="str">
        <f aca="false">IF(AR204="","",ROUND(AR204*(1-Справочники!$B$11),0))</f>
        <v/>
      </c>
      <c r="AT204" s="88"/>
      <c r="AU204" s="90" t="str">
        <f aca="false">IF(AT204="","",ROUND(AT204/(1+Справочники!$B$12),0))</f>
        <v/>
      </c>
      <c r="AV204" s="90" t="str">
        <f aca="false">IF(AT204="","",ROUND(AT204*(1-Справочники!$B$15),0))</f>
        <v/>
      </c>
      <c r="AW204" s="90" t="str">
        <f aca="false">IF(AT204="","",ROUND(AT204*(1-Справочники!$B$16),0))</f>
        <v/>
      </c>
      <c r="AX204" s="90" t="str">
        <f aca="false">IF(AT204="","",ROUND(AT204*(1-Справочники!$B$17),0))</f>
        <v/>
      </c>
      <c r="AY204" s="90" t="str">
        <f aca="false">IF(AT204="","",ROUND(AT204*(1-Справочники!$B$18),0))</f>
        <v/>
      </c>
      <c r="AZ204" s="90" t="str">
        <f aca="false">IF(AT204="","",ROUND(AT204*(1-Справочники!$B$19),0))</f>
        <v/>
      </c>
      <c r="BA204" s="81"/>
      <c r="BB204" s="81"/>
      <c r="BC204" s="81"/>
      <c r="BD204" s="81"/>
      <c r="BE204" s="91"/>
      <c r="BF204" s="81" t="s">
        <v>103</v>
      </c>
      <c r="BG204" s="89" t="n">
        <f aca="false" t="array" ref="BG204:BG204">IF(BF204="","",IFERROR(INDEX(Справочники!$B$4:$B$7,MATCH(BF204,Справочники!$A$4:$A$7,0)),""))</f>
        <v>68.5</v>
      </c>
      <c r="BH204" s="90" t="str">
        <f aca="false">IF(N(BN204)&gt;0,ROUND(SUMIF(ЗАКАЗЫ!$F$3:$F$500,$A204,ЗАКАЗЫ!$Y$3:$Y$500)/BN204,0),IF(OR(BE204="",BG204=""),"",ROUND(BE204*BG204*(1+Справочники!$B$10),0)))</f>
        <v/>
      </c>
      <c r="BI204" s="92" t="str">
        <f aca="false">IF(OR(AU204="",BH204="",AU204=0),"",(AU204-BH204)/AU204)</f>
        <v/>
      </c>
      <c r="BJ204" s="81"/>
      <c r="BK204" s="83"/>
      <c r="BL204" s="43" t="str">
        <f aca="false">IFERROR(INDEX(ЗАКАЗЫ!$N$3:$N$500,MATCH($A204,ЗАКАЗЫ!$F$3:$F$500,0)),"")</f>
        <v/>
      </c>
      <c r="BM204" s="8" t="str">
        <f aca="false">IF(BL204="","",IFERROR(VLOOKUP(BL204,'ТН ВЭД'!$A$4:$C$40,3,0),""))</f>
        <v/>
      </c>
      <c r="BN204" s="7" t="str">
        <f aca="false">IF(COUNTIF(ЗАКАЗЫ!$F$3:$F$500,$A204)=0,"",SUMIF(ЗАКАЗЫ!$F$3:$F$500,$A204,ЗАКАЗЫ!$J$3:$J$500))</f>
        <v/>
      </c>
      <c r="BO204" s="7" t="str">
        <f aca="false">IF(BN204="","",SUMIF(ЗАКАЗЫ!$F$3:$F$500,$A204,ЗАКАЗЫ!$AL$3:$AL$500))</f>
        <v/>
      </c>
      <c r="BP204" s="7" t="str">
        <f aca="false">IF(BN204="","",BN204-BO204)</f>
        <v/>
      </c>
      <c r="BQ204" s="55" t="str">
        <f aca="false">IF(BN204="","",IF(BO204&gt;=BN204,"На складе",IF(BO204&gt;0,"Частично","Ждём")))</f>
        <v/>
      </c>
      <c r="BR204" s="43"/>
      <c r="BS204" s="47" t="str">
        <f aca="false">IF(BN204="","",IF(_xlfn.MAXIFS(ЗАКАЗЫ!$AK$3:$AK$500,ЗАКАЗЫ!$F$3:$F$500,$A204)=0,"",_xlfn.MAXIFS(ЗАКАЗЫ!$AK$3:$AK$500,ЗАКАЗЫ!$F$3:$F$500,$A204)))</f>
        <v/>
      </c>
    </row>
    <row r="205" customFormat="false" ht="15.75" hidden="false" customHeight="true" outlineLevel="0" collapsed="false">
      <c r="A205" s="80" t="s">
        <v>679</v>
      </c>
      <c r="B205" s="81"/>
      <c r="C205" s="81"/>
      <c r="D205" s="81"/>
      <c r="E205" s="83"/>
      <c r="F205" s="81"/>
      <c r="G205" s="83"/>
      <c r="H205" s="83"/>
      <c r="I205" s="84" t="str">
        <f aca="false">IF(E205="","",A205&amp;"_1.jpg")</f>
        <v/>
      </c>
      <c r="J205" s="84" t="str">
        <f aca="false">IF(E205="","",A205&amp;"_2.jpg; "&amp;A205&amp;"_3.jpg")</f>
        <v/>
      </c>
      <c r="K205" s="84" t="str">
        <f aca="false">IF(E205="","",A205&amp;"_schema.jpg")</f>
        <v/>
      </c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 t="s">
        <v>261</v>
      </c>
      <c r="W205" s="81"/>
      <c r="X205" s="81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6" t="str">
        <f aca="false">IF(SUM(Y205:AJ205)=0,"",SUM(Y205:AJ205))</f>
        <v/>
      </c>
      <c r="AL205" s="84" t="str">
        <f aca="false">MID(IF(N(Y205)&gt;0,", "&amp;Y$2,"")&amp;IF(N(Z205)&gt;0,", "&amp;Z$2,"")&amp;IF(N(AA205)&gt;0,", "&amp;AA$2,"")&amp;IF(N(AB205)&gt;0,", "&amp;AB$2,"")&amp;IF(N(AC205)&gt;0,", "&amp;AC$2,"")&amp;IF(N(AD205)&gt;0,", "&amp;AD$2,"")&amp;IF(N(AE205)&gt;0,", "&amp;AE$2,"")&amp;IF(N(AF205)&gt;0,", "&amp;AF$2,"")&amp;IF(N(AG205)&gt;0,", "&amp;AG$2,"")&amp;IF(N(AH205)&gt;0,", "&amp;AH$2,"")&amp;IF(N(AI205)&gt;0,", "&amp;AI$2,"")&amp;IF(N(AJ205)&gt;0,", "&amp;AJ$2,""),3,999)</f>
        <v/>
      </c>
      <c r="AM205" s="87" t="str">
        <f aca="false">IF(E205="","",MID(IF(N(Y205)&gt;0,", "&amp;A205&amp;"-"&amp;Y$2,"")&amp;IF(N(Z205)&gt;0,", "&amp;A205&amp;"-"&amp;Z$2,"")&amp;IF(N(AA205)&gt;0,", "&amp;A205&amp;"-"&amp;AA$2,"")&amp;IF(N(AB205)&gt;0,", "&amp;A205&amp;"-"&amp;AB$2,"")&amp;IF(N(AC205)&gt;0,", "&amp;A205&amp;"-"&amp;AC$2,"")&amp;IF(N(AD205)&gt;0,", "&amp;A205&amp;"-"&amp;AD$2,"")&amp;IF(N(AE205)&gt;0,", "&amp;A205&amp;"-"&amp;AE$2,"")&amp;IF(N(AF205)&gt;0,", "&amp;A205&amp;"-"&amp;AF$2,"")&amp;IF(N(AG205)&gt;0,", "&amp;A205&amp;"-"&amp;AG$2,"")&amp;IF(N(AH205)&gt;0,", "&amp;A205&amp;"-"&amp;AH$2,"")&amp;IF(N(AI205)&gt;0,", "&amp;A205&amp;"-"&amp;AI$2,"")&amp;IF(N(AJ205)&gt;0,", "&amp;A205&amp;"-"&amp;AJ$2,""),3,999))</f>
        <v/>
      </c>
      <c r="AN205" s="81"/>
      <c r="AO205" s="88"/>
      <c r="AP205" s="89" t="str">
        <f aca="false">IF(AO205="","",ROUND(AO205/(1+Справочники!$B$13),2))</f>
        <v/>
      </c>
      <c r="AQ205" s="90" t="str">
        <f aca="false" t="array" ref="AQ205:AQ205">IF(AP205="","",AP205*INDEX(Справочники!$B$4:$B$7,MATCH("RUB",Справочники!$A$4:$A$7,0)))</f>
        <v/>
      </c>
      <c r="AR205" s="90" t="str">
        <f aca="false">IF(AQ205="","",ROUND(AQ205*(1+Справочники!$B$12),0))</f>
        <v/>
      </c>
      <c r="AS205" s="90" t="str">
        <f aca="false">IF(AR205="","",ROUND(AR205*(1-Справочники!$B$11),0))</f>
        <v/>
      </c>
      <c r="AT205" s="88"/>
      <c r="AU205" s="90" t="str">
        <f aca="false">IF(AT205="","",ROUND(AT205/(1+Справочники!$B$12),0))</f>
        <v/>
      </c>
      <c r="AV205" s="90" t="str">
        <f aca="false">IF(AT205="","",ROUND(AT205*(1-Справочники!$B$15),0))</f>
        <v/>
      </c>
      <c r="AW205" s="90" t="str">
        <f aca="false">IF(AT205="","",ROUND(AT205*(1-Справочники!$B$16),0))</f>
        <v/>
      </c>
      <c r="AX205" s="90" t="str">
        <f aca="false">IF(AT205="","",ROUND(AT205*(1-Справочники!$B$17),0))</f>
        <v/>
      </c>
      <c r="AY205" s="90" t="str">
        <f aca="false">IF(AT205="","",ROUND(AT205*(1-Справочники!$B$18),0))</f>
        <v/>
      </c>
      <c r="AZ205" s="90" t="str">
        <f aca="false">IF(AT205="","",ROUND(AT205*(1-Справочники!$B$19),0))</f>
        <v/>
      </c>
      <c r="BA205" s="81"/>
      <c r="BB205" s="81"/>
      <c r="BC205" s="81"/>
      <c r="BD205" s="81"/>
      <c r="BE205" s="91"/>
      <c r="BF205" s="81" t="s">
        <v>103</v>
      </c>
      <c r="BG205" s="89" t="n">
        <f aca="false" t="array" ref="BG205:BG205">IF(BF205="","",IFERROR(INDEX(Справочники!$B$4:$B$7,MATCH(BF205,Справочники!$A$4:$A$7,0)),""))</f>
        <v>68.5</v>
      </c>
      <c r="BH205" s="90" t="str">
        <f aca="false">IF(N(BN205)&gt;0,ROUND(SUMIF(ЗАКАЗЫ!$F$3:$F$500,$A205,ЗАКАЗЫ!$Y$3:$Y$500)/BN205,0),IF(OR(BE205="",BG205=""),"",ROUND(BE205*BG205*(1+Справочники!$B$10),0)))</f>
        <v/>
      </c>
      <c r="BI205" s="92" t="str">
        <f aca="false">IF(OR(AU205="",BH205="",AU205=0),"",(AU205-BH205)/AU205)</f>
        <v/>
      </c>
      <c r="BJ205" s="81"/>
      <c r="BK205" s="83"/>
      <c r="BL205" s="43" t="str">
        <f aca="false">IFERROR(INDEX(ЗАКАЗЫ!$N$3:$N$500,MATCH($A205,ЗАКАЗЫ!$F$3:$F$500,0)),"")</f>
        <v/>
      </c>
      <c r="BM205" s="8" t="str">
        <f aca="false">IF(BL205="","",IFERROR(VLOOKUP(BL205,'ТН ВЭД'!$A$4:$C$40,3,0),""))</f>
        <v/>
      </c>
      <c r="BN205" s="7" t="str">
        <f aca="false">IF(COUNTIF(ЗАКАЗЫ!$F$3:$F$500,$A205)=0,"",SUMIF(ЗАКАЗЫ!$F$3:$F$500,$A205,ЗАКАЗЫ!$J$3:$J$500))</f>
        <v/>
      </c>
      <c r="BO205" s="7" t="str">
        <f aca="false">IF(BN205="","",SUMIF(ЗАКАЗЫ!$F$3:$F$500,$A205,ЗАКАЗЫ!$AL$3:$AL$500))</f>
        <v/>
      </c>
      <c r="BP205" s="7" t="str">
        <f aca="false">IF(BN205="","",BN205-BO205)</f>
        <v/>
      </c>
      <c r="BQ205" s="55" t="str">
        <f aca="false">IF(BN205="","",IF(BO205&gt;=BN205,"На складе",IF(BO205&gt;0,"Частично","Ждём")))</f>
        <v/>
      </c>
      <c r="BR205" s="43"/>
      <c r="BS205" s="47" t="str">
        <f aca="false">IF(BN205="","",IF(_xlfn.MAXIFS(ЗАКАЗЫ!$AK$3:$AK$500,ЗАКАЗЫ!$F$3:$F$500,$A205)=0,"",_xlfn.MAXIFS(ЗАКАЗЫ!$AK$3:$AK$500,ЗАКАЗЫ!$F$3:$F$500,$A205)))</f>
        <v/>
      </c>
    </row>
    <row r="206" customFormat="false" ht="15.75" hidden="false" customHeight="true" outlineLevel="0" collapsed="false">
      <c r="A206" s="80" t="s">
        <v>680</v>
      </c>
      <c r="B206" s="81"/>
      <c r="C206" s="81"/>
      <c r="D206" s="81"/>
      <c r="E206" s="83"/>
      <c r="F206" s="81"/>
      <c r="G206" s="83"/>
      <c r="H206" s="83"/>
      <c r="I206" s="84" t="str">
        <f aca="false">IF(E206="","",A206&amp;"_1.jpg")</f>
        <v/>
      </c>
      <c r="J206" s="84" t="str">
        <f aca="false">IF(E206="","",A206&amp;"_2.jpg; "&amp;A206&amp;"_3.jpg")</f>
        <v/>
      </c>
      <c r="K206" s="84" t="str">
        <f aca="false">IF(E206="","",A206&amp;"_schema.jpg")</f>
        <v/>
      </c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 t="s">
        <v>261</v>
      </c>
      <c r="W206" s="81"/>
      <c r="X206" s="81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6" t="str">
        <f aca="false">IF(SUM(Y206:AJ206)=0,"",SUM(Y206:AJ206))</f>
        <v/>
      </c>
      <c r="AL206" s="84" t="str">
        <f aca="false">MID(IF(N(Y206)&gt;0,", "&amp;Y$2,"")&amp;IF(N(Z206)&gt;0,", "&amp;Z$2,"")&amp;IF(N(AA206)&gt;0,", "&amp;AA$2,"")&amp;IF(N(AB206)&gt;0,", "&amp;AB$2,"")&amp;IF(N(AC206)&gt;0,", "&amp;AC$2,"")&amp;IF(N(AD206)&gt;0,", "&amp;AD$2,"")&amp;IF(N(AE206)&gt;0,", "&amp;AE$2,"")&amp;IF(N(AF206)&gt;0,", "&amp;AF$2,"")&amp;IF(N(AG206)&gt;0,", "&amp;AG$2,"")&amp;IF(N(AH206)&gt;0,", "&amp;AH$2,"")&amp;IF(N(AI206)&gt;0,", "&amp;AI$2,"")&amp;IF(N(AJ206)&gt;0,", "&amp;AJ$2,""),3,999)</f>
        <v/>
      </c>
      <c r="AM206" s="87" t="str">
        <f aca="false">IF(E206="","",MID(IF(N(Y206)&gt;0,", "&amp;A206&amp;"-"&amp;Y$2,"")&amp;IF(N(Z206)&gt;0,", "&amp;A206&amp;"-"&amp;Z$2,"")&amp;IF(N(AA206)&gt;0,", "&amp;A206&amp;"-"&amp;AA$2,"")&amp;IF(N(AB206)&gt;0,", "&amp;A206&amp;"-"&amp;AB$2,"")&amp;IF(N(AC206)&gt;0,", "&amp;A206&amp;"-"&amp;AC$2,"")&amp;IF(N(AD206)&gt;0,", "&amp;A206&amp;"-"&amp;AD$2,"")&amp;IF(N(AE206)&gt;0,", "&amp;A206&amp;"-"&amp;AE$2,"")&amp;IF(N(AF206)&gt;0,", "&amp;A206&amp;"-"&amp;AF$2,"")&amp;IF(N(AG206)&gt;0,", "&amp;A206&amp;"-"&amp;AG$2,"")&amp;IF(N(AH206)&gt;0,", "&amp;A206&amp;"-"&amp;AH$2,"")&amp;IF(N(AI206)&gt;0,", "&amp;A206&amp;"-"&amp;AI$2,"")&amp;IF(N(AJ206)&gt;0,", "&amp;A206&amp;"-"&amp;AJ$2,""),3,999))</f>
        <v/>
      </c>
      <c r="AN206" s="81"/>
      <c r="AO206" s="88"/>
      <c r="AP206" s="89" t="str">
        <f aca="false">IF(AO206="","",ROUND(AO206/(1+Справочники!$B$13),2))</f>
        <v/>
      </c>
      <c r="AQ206" s="90" t="str">
        <f aca="false" t="array" ref="AQ206:AQ206">IF(AP206="","",AP206*INDEX(Справочники!$B$4:$B$7,MATCH("RUB",Справочники!$A$4:$A$7,0)))</f>
        <v/>
      </c>
      <c r="AR206" s="90" t="str">
        <f aca="false">IF(AQ206="","",ROUND(AQ206*(1+Справочники!$B$12),0))</f>
        <v/>
      </c>
      <c r="AS206" s="90" t="str">
        <f aca="false">IF(AR206="","",ROUND(AR206*(1-Справочники!$B$11),0))</f>
        <v/>
      </c>
      <c r="AT206" s="88"/>
      <c r="AU206" s="90" t="str">
        <f aca="false">IF(AT206="","",ROUND(AT206/(1+Справочники!$B$12),0))</f>
        <v/>
      </c>
      <c r="AV206" s="90" t="str">
        <f aca="false">IF(AT206="","",ROUND(AT206*(1-Справочники!$B$15),0))</f>
        <v/>
      </c>
      <c r="AW206" s="90" t="str">
        <f aca="false">IF(AT206="","",ROUND(AT206*(1-Справочники!$B$16),0))</f>
        <v/>
      </c>
      <c r="AX206" s="90" t="str">
        <f aca="false">IF(AT206="","",ROUND(AT206*(1-Справочники!$B$17),0))</f>
        <v/>
      </c>
      <c r="AY206" s="90" t="str">
        <f aca="false">IF(AT206="","",ROUND(AT206*(1-Справочники!$B$18),0))</f>
        <v/>
      </c>
      <c r="AZ206" s="90" t="str">
        <f aca="false">IF(AT206="","",ROUND(AT206*(1-Справочники!$B$19),0))</f>
        <v/>
      </c>
      <c r="BA206" s="81"/>
      <c r="BB206" s="81"/>
      <c r="BC206" s="81"/>
      <c r="BD206" s="81"/>
      <c r="BE206" s="91"/>
      <c r="BF206" s="81" t="s">
        <v>103</v>
      </c>
      <c r="BG206" s="89" t="n">
        <f aca="false" t="array" ref="BG206:BG206">IF(BF206="","",IFERROR(INDEX(Справочники!$B$4:$B$7,MATCH(BF206,Справочники!$A$4:$A$7,0)),""))</f>
        <v>68.5</v>
      </c>
      <c r="BH206" s="90" t="str">
        <f aca="false">IF(N(BN206)&gt;0,ROUND(SUMIF(ЗАКАЗЫ!$F$3:$F$500,$A206,ЗАКАЗЫ!$Y$3:$Y$500)/BN206,0),IF(OR(BE206="",BG206=""),"",ROUND(BE206*BG206*(1+Справочники!$B$10),0)))</f>
        <v/>
      </c>
      <c r="BI206" s="92" t="str">
        <f aca="false">IF(OR(AU206="",BH206="",AU206=0),"",(AU206-BH206)/AU206)</f>
        <v/>
      </c>
      <c r="BJ206" s="81"/>
      <c r="BK206" s="83"/>
      <c r="BL206" s="43" t="str">
        <f aca="false">IFERROR(INDEX(ЗАКАЗЫ!$N$3:$N$500,MATCH($A206,ЗАКАЗЫ!$F$3:$F$500,0)),"")</f>
        <v/>
      </c>
      <c r="BM206" s="8" t="str">
        <f aca="false">IF(BL206="","",IFERROR(VLOOKUP(BL206,'ТН ВЭД'!$A$4:$C$40,3,0),""))</f>
        <v/>
      </c>
      <c r="BN206" s="7" t="str">
        <f aca="false">IF(COUNTIF(ЗАКАЗЫ!$F$3:$F$500,$A206)=0,"",SUMIF(ЗАКАЗЫ!$F$3:$F$500,$A206,ЗАКАЗЫ!$J$3:$J$500))</f>
        <v/>
      </c>
      <c r="BO206" s="7" t="str">
        <f aca="false">IF(BN206="","",SUMIF(ЗАКАЗЫ!$F$3:$F$500,$A206,ЗАКАЗЫ!$AL$3:$AL$500))</f>
        <v/>
      </c>
      <c r="BP206" s="7" t="str">
        <f aca="false">IF(BN206="","",BN206-BO206)</f>
        <v/>
      </c>
      <c r="BQ206" s="55" t="str">
        <f aca="false">IF(BN206="","",IF(BO206&gt;=BN206,"На складе",IF(BO206&gt;0,"Частично","Ждём")))</f>
        <v/>
      </c>
      <c r="BR206" s="43"/>
      <c r="BS206" s="47" t="str">
        <f aca="false">IF(BN206="","",IF(_xlfn.MAXIFS(ЗАКАЗЫ!$AK$3:$AK$500,ЗАКАЗЫ!$F$3:$F$500,$A206)=0,"",_xlfn.MAXIFS(ЗАКАЗЫ!$AK$3:$AK$500,ЗАКАЗЫ!$F$3:$F$500,$A206)))</f>
        <v/>
      </c>
    </row>
    <row r="207" customFormat="false" ht="15.75" hidden="false" customHeight="true" outlineLevel="0" collapsed="false">
      <c r="A207" s="80" t="s">
        <v>681</v>
      </c>
      <c r="B207" s="81"/>
      <c r="C207" s="81"/>
      <c r="D207" s="81"/>
      <c r="E207" s="83"/>
      <c r="F207" s="81"/>
      <c r="G207" s="83"/>
      <c r="H207" s="83"/>
      <c r="I207" s="84" t="str">
        <f aca="false">IF(E207="","",A207&amp;"_1.jpg")</f>
        <v/>
      </c>
      <c r="J207" s="84" t="str">
        <f aca="false">IF(E207="","",A207&amp;"_2.jpg; "&amp;A207&amp;"_3.jpg")</f>
        <v/>
      </c>
      <c r="K207" s="84" t="str">
        <f aca="false">IF(E207="","",A207&amp;"_schema.jpg")</f>
        <v/>
      </c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 t="s">
        <v>261</v>
      </c>
      <c r="W207" s="81"/>
      <c r="X207" s="81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6" t="str">
        <f aca="false">IF(SUM(Y207:AJ207)=0,"",SUM(Y207:AJ207))</f>
        <v/>
      </c>
      <c r="AL207" s="84" t="str">
        <f aca="false">MID(IF(N(Y207)&gt;0,", "&amp;Y$2,"")&amp;IF(N(Z207)&gt;0,", "&amp;Z$2,"")&amp;IF(N(AA207)&gt;0,", "&amp;AA$2,"")&amp;IF(N(AB207)&gt;0,", "&amp;AB$2,"")&amp;IF(N(AC207)&gt;0,", "&amp;AC$2,"")&amp;IF(N(AD207)&gt;0,", "&amp;AD$2,"")&amp;IF(N(AE207)&gt;0,", "&amp;AE$2,"")&amp;IF(N(AF207)&gt;0,", "&amp;AF$2,"")&amp;IF(N(AG207)&gt;0,", "&amp;AG$2,"")&amp;IF(N(AH207)&gt;0,", "&amp;AH$2,"")&amp;IF(N(AI207)&gt;0,", "&amp;AI$2,"")&amp;IF(N(AJ207)&gt;0,", "&amp;AJ$2,""),3,999)</f>
        <v/>
      </c>
      <c r="AM207" s="87" t="str">
        <f aca="false">IF(E207="","",MID(IF(N(Y207)&gt;0,", "&amp;A207&amp;"-"&amp;Y$2,"")&amp;IF(N(Z207)&gt;0,", "&amp;A207&amp;"-"&amp;Z$2,"")&amp;IF(N(AA207)&gt;0,", "&amp;A207&amp;"-"&amp;AA$2,"")&amp;IF(N(AB207)&gt;0,", "&amp;A207&amp;"-"&amp;AB$2,"")&amp;IF(N(AC207)&gt;0,", "&amp;A207&amp;"-"&amp;AC$2,"")&amp;IF(N(AD207)&gt;0,", "&amp;A207&amp;"-"&amp;AD$2,"")&amp;IF(N(AE207)&gt;0,", "&amp;A207&amp;"-"&amp;AE$2,"")&amp;IF(N(AF207)&gt;0,", "&amp;A207&amp;"-"&amp;AF$2,"")&amp;IF(N(AG207)&gt;0,", "&amp;A207&amp;"-"&amp;AG$2,"")&amp;IF(N(AH207)&gt;0,", "&amp;A207&amp;"-"&amp;AH$2,"")&amp;IF(N(AI207)&gt;0,", "&amp;A207&amp;"-"&amp;AI$2,"")&amp;IF(N(AJ207)&gt;0,", "&amp;A207&amp;"-"&amp;AJ$2,""),3,999))</f>
        <v/>
      </c>
      <c r="AN207" s="81"/>
      <c r="AO207" s="88"/>
      <c r="AP207" s="89" t="str">
        <f aca="false">IF(AO207="","",ROUND(AO207/(1+Справочники!$B$13),2))</f>
        <v/>
      </c>
      <c r="AQ207" s="90" t="str">
        <f aca="false" t="array" ref="AQ207:AQ207">IF(AP207="","",AP207*INDEX(Справочники!$B$4:$B$7,MATCH("RUB",Справочники!$A$4:$A$7,0)))</f>
        <v/>
      </c>
      <c r="AR207" s="90" t="str">
        <f aca="false">IF(AQ207="","",ROUND(AQ207*(1+Справочники!$B$12),0))</f>
        <v/>
      </c>
      <c r="AS207" s="90" t="str">
        <f aca="false">IF(AR207="","",ROUND(AR207*(1-Справочники!$B$11),0))</f>
        <v/>
      </c>
      <c r="AT207" s="88"/>
      <c r="AU207" s="90" t="str">
        <f aca="false">IF(AT207="","",ROUND(AT207/(1+Справочники!$B$12),0))</f>
        <v/>
      </c>
      <c r="AV207" s="90" t="str">
        <f aca="false">IF(AT207="","",ROUND(AT207*(1-Справочники!$B$15),0))</f>
        <v/>
      </c>
      <c r="AW207" s="90" t="str">
        <f aca="false">IF(AT207="","",ROUND(AT207*(1-Справочники!$B$16),0))</f>
        <v/>
      </c>
      <c r="AX207" s="90" t="str">
        <f aca="false">IF(AT207="","",ROUND(AT207*(1-Справочники!$B$17),0))</f>
        <v/>
      </c>
      <c r="AY207" s="90" t="str">
        <f aca="false">IF(AT207="","",ROUND(AT207*(1-Справочники!$B$18),0))</f>
        <v/>
      </c>
      <c r="AZ207" s="90" t="str">
        <f aca="false">IF(AT207="","",ROUND(AT207*(1-Справочники!$B$19),0))</f>
        <v/>
      </c>
      <c r="BA207" s="81"/>
      <c r="BB207" s="81"/>
      <c r="BC207" s="81"/>
      <c r="BD207" s="81"/>
      <c r="BE207" s="91"/>
      <c r="BF207" s="81" t="s">
        <v>103</v>
      </c>
      <c r="BG207" s="89" t="n">
        <f aca="false" t="array" ref="BG207:BG207">IF(BF207="","",IFERROR(INDEX(Справочники!$B$4:$B$7,MATCH(BF207,Справочники!$A$4:$A$7,0)),""))</f>
        <v>68.5</v>
      </c>
      <c r="BH207" s="90" t="str">
        <f aca="false">IF(N(BN207)&gt;0,ROUND(SUMIF(ЗАКАЗЫ!$F$3:$F$500,$A207,ЗАКАЗЫ!$Y$3:$Y$500)/BN207,0),IF(OR(BE207="",BG207=""),"",ROUND(BE207*BG207*(1+Справочники!$B$10),0)))</f>
        <v/>
      </c>
      <c r="BI207" s="92" t="str">
        <f aca="false">IF(OR(AU207="",BH207="",AU207=0),"",(AU207-BH207)/AU207)</f>
        <v/>
      </c>
      <c r="BJ207" s="81"/>
      <c r="BK207" s="83"/>
      <c r="BL207" s="43" t="str">
        <f aca="false">IFERROR(INDEX(ЗАКАЗЫ!$N$3:$N$500,MATCH($A207,ЗАКАЗЫ!$F$3:$F$500,0)),"")</f>
        <v/>
      </c>
      <c r="BM207" s="8" t="str">
        <f aca="false">IF(BL207="","",IFERROR(VLOOKUP(BL207,'ТН ВЭД'!$A$4:$C$40,3,0),""))</f>
        <v/>
      </c>
      <c r="BN207" s="7" t="str">
        <f aca="false">IF(COUNTIF(ЗАКАЗЫ!$F$3:$F$500,$A207)=0,"",SUMIF(ЗАКАЗЫ!$F$3:$F$500,$A207,ЗАКАЗЫ!$J$3:$J$500))</f>
        <v/>
      </c>
      <c r="BO207" s="7" t="str">
        <f aca="false">IF(BN207="","",SUMIF(ЗАКАЗЫ!$F$3:$F$500,$A207,ЗАКАЗЫ!$AL$3:$AL$500))</f>
        <v/>
      </c>
      <c r="BP207" s="7" t="str">
        <f aca="false">IF(BN207="","",BN207-BO207)</f>
        <v/>
      </c>
      <c r="BQ207" s="55" t="str">
        <f aca="false">IF(BN207="","",IF(BO207&gt;=BN207,"На складе",IF(BO207&gt;0,"Частично","Ждём")))</f>
        <v/>
      </c>
      <c r="BR207" s="43"/>
      <c r="BS207" s="47" t="str">
        <f aca="false">IF(BN207="","",IF(_xlfn.MAXIFS(ЗАКАЗЫ!$AK$3:$AK$500,ЗАКАЗЫ!$F$3:$F$500,$A207)=0,"",_xlfn.MAXIFS(ЗАКАЗЫ!$AK$3:$AK$500,ЗАКАЗЫ!$F$3:$F$500,$A207)))</f>
        <v/>
      </c>
    </row>
    <row r="208" customFormat="false" ht="15.75" hidden="false" customHeight="true" outlineLevel="0" collapsed="false">
      <c r="A208" s="80" t="s">
        <v>682</v>
      </c>
      <c r="B208" s="81"/>
      <c r="C208" s="81"/>
      <c r="D208" s="81"/>
      <c r="E208" s="83"/>
      <c r="F208" s="81"/>
      <c r="G208" s="83"/>
      <c r="H208" s="83"/>
      <c r="I208" s="84" t="str">
        <f aca="false">IF(E208="","",A208&amp;"_1.jpg")</f>
        <v/>
      </c>
      <c r="J208" s="84" t="str">
        <f aca="false">IF(E208="","",A208&amp;"_2.jpg; "&amp;A208&amp;"_3.jpg")</f>
        <v/>
      </c>
      <c r="K208" s="84" t="str">
        <f aca="false">IF(E208="","",A208&amp;"_schema.jpg")</f>
        <v/>
      </c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 t="s">
        <v>261</v>
      </c>
      <c r="W208" s="81"/>
      <c r="X208" s="81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6" t="str">
        <f aca="false">IF(SUM(Y208:AJ208)=0,"",SUM(Y208:AJ208))</f>
        <v/>
      </c>
      <c r="AL208" s="84" t="str">
        <f aca="false">MID(IF(N(Y208)&gt;0,", "&amp;Y$2,"")&amp;IF(N(Z208)&gt;0,", "&amp;Z$2,"")&amp;IF(N(AA208)&gt;0,", "&amp;AA$2,"")&amp;IF(N(AB208)&gt;0,", "&amp;AB$2,"")&amp;IF(N(AC208)&gt;0,", "&amp;AC$2,"")&amp;IF(N(AD208)&gt;0,", "&amp;AD$2,"")&amp;IF(N(AE208)&gt;0,", "&amp;AE$2,"")&amp;IF(N(AF208)&gt;0,", "&amp;AF$2,"")&amp;IF(N(AG208)&gt;0,", "&amp;AG$2,"")&amp;IF(N(AH208)&gt;0,", "&amp;AH$2,"")&amp;IF(N(AI208)&gt;0,", "&amp;AI$2,"")&amp;IF(N(AJ208)&gt;0,", "&amp;AJ$2,""),3,999)</f>
        <v/>
      </c>
      <c r="AM208" s="87" t="str">
        <f aca="false">IF(E208="","",MID(IF(N(Y208)&gt;0,", "&amp;A208&amp;"-"&amp;Y$2,"")&amp;IF(N(Z208)&gt;0,", "&amp;A208&amp;"-"&amp;Z$2,"")&amp;IF(N(AA208)&gt;0,", "&amp;A208&amp;"-"&amp;AA$2,"")&amp;IF(N(AB208)&gt;0,", "&amp;A208&amp;"-"&amp;AB$2,"")&amp;IF(N(AC208)&gt;0,", "&amp;A208&amp;"-"&amp;AC$2,"")&amp;IF(N(AD208)&gt;0,", "&amp;A208&amp;"-"&amp;AD$2,"")&amp;IF(N(AE208)&gt;0,", "&amp;A208&amp;"-"&amp;AE$2,"")&amp;IF(N(AF208)&gt;0,", "&amp;A208&amp;"-"&amp;AF$2,"")&amp;IF(N(AG208)&gt;0,", "&amp;A208&amp;"-"&amp;AG$2,"")&amp;IF(N(AH208)&gt;0,", "&amp;A208&amp;"-"&amp;AH$2,"")&amp;IF(N(AI208)&gt;0,", "&amp;A208&amp;"-"&amp;AI$2,"")&amp;IF(N(AJ208)&gt;0,", "&amp;A208&amp;"-"&amp;AJ$2,""),3,999))</f>
        <v/>
      </c>
      <c r="AN208" s="81"/>
      <c r="AO208" s="88"/>
      <c r="AP208" s="89" t="str">
        <f aca="false">IF(AO208="","",ROUND(AO208/(1+Справочники!$B$13),2))</f>
        <v/>
      </c>
      <c r="AQ208" s="90" t="str">
        <f aca="false" t="array" ref="AQ208:AQ208">IF(AP208="","",AP208*INDEX(Справочники!$B$4:$B$7,MATCH("RUB",Справочники!$A$4:$A$7,0)))</f>
        <v/>
      </c>
      <c r="AR208" s="90" t="str">
        <f aca="false">IF(AQ208="","",ROUND(AQ208*(1+Справочники!$B$12),0))</f>
        <v/>
      </c>
      <c r="AS208" s="90" t="str">
        <f aca="false">IF(AR208="","",ROUND(AR208*(1-Справочники!$B$11),0))</f>
        <v/>
      </c>
      <c r="AT208" s="88"/>
      <c r="AU208" s="90" t="str">
        <f aca="false">IF(AT208="","",ROUND(AT208/(1+Справочники!$B$12),0))</f>
        <v/>
      </c>
      <c r="AV208" s="90" t="str">
        <f aca="false">IF(AT208="","",ROUND(AT208*(1-Справочники!$B$15),0))</f>
        <v/>
      </c>
      <c r="AW208" s="90" t="str">
        <f aca="false">IF(AT208="","",ROUND(AT208*(1-Справочники!$B$16),0))</f>
        <v/>
      </c>
      <c r="AX208" s="90" t="str">
        <f aca="false">IF(AT208="","",ROUND(AT208*(1-Справочники!$B$17),0))</f>
        <v/>
      </c>
      <c r="AY208" s="90" t="str">
        <f aca="false">IF(AT208="","",ROUND(AT208*(1-Справочники!$B$18),0))</f>
        <v/>
      </c>
      <c r="AZ208" s="90" t="str">
        <f aca="false">IF(AT208="","",ROUND(AT208*(1-Справочники!$B$19),0))</f>
        <v/>
      </c>
      <c r="BA208" s="81"/>
      <c r="BB208" s="81"/>
      <c r="BC208" s="81"/>
      <c r="BD208" s="81"/>
      <c r="BE208" s="91"/>
      <c r="BF208" s="81" t="s">
        <v>103</v>
      </c>
      <c r="BG208" s="89" t="n">
        <f aca="false" t="array" ref="BG208:BG208">IF(BF208="","",IFERROR(INDEX(Справочники!$B$4:$B$7,MATCH(BF208,Справочники!$A$4:$A$7,0)),""))</f>
        <v>68.5</v>
      </c>
      <c r="BH208" s="90" t="str">
        <f aca="false">IF(N(BN208)&gt;0,ROUND(SUMIF(ЗАКАЗЫ!$F$3:$F$500,$A208,ЗАКАЗЫ!$Y$3:$Y$500)/BN208,0),IF(OR(BE208="",BG208=""),"",ROUND(BE208*BG208*(1+Справочники!$B$10),0)))</f>
        <v/>
      </c>
      <c r="BI208" s="92" t="str">
        <f aca="false">IF(OR(AU208="",BH208="",AU208=0),"",(AU208-BH208)/AU208)</f>
        <v/>
      </c>
      <c r="BJ208" s="81"/>
      <c r="BK208" s="83"/>
      <c r="BL208" s="43" t="str">
        <f aca="false">IFERROR(INDEX(ЗАКАЗЫ!$N$3:$N$500,MATCH($A208,ЗАКАЗЫ!$F$3:$F$500,0)),"")</f>
        <v/>
      </c>
      <c r="BM208" s="8" t="str">
        <f aca="false">IF(BL208="","",IFERROR(VLOOKUP(BL208,'ТН ВЭД'!$A$4:$C$40,3,0),""))</f>
        <v/>
      </c>
      <c r="BN208" s="7" t="str">
        <f aca="false">IF(COUNTIF(ЗАКАЗЫ!$F$3:$F$500,$A208)=0,"",SUMIF(ЗАКАЗЫ!$F$3:$F$500,$A208,ЗАКАЗЫ!$J$3:$J$500))</f>
        <v/>
      </c>
      <c r="BO208" s="7" t="str">
        <f aca="false">IF(BN208="","",SUMIF(ЗАКАЗЫ!$F$3:$F$500,$A208,ЗАКАЗЫ!$AL$3:$AL$500))</f>
        <v/>
      </c>
      <c r="BP208" s="7" t="str">
        <f aca="false">IF(BN208="","",BN208-BO208)</f>
        <v/>
      </c>
      <c r="BQ208" s="55" t="str">
        <f aca="false">IF(BN208="","",IF(BO208&gt;=BN208,"На складе",IF(BO208&gt;0,"Частично","Ждём")))</f>
        <v/>
      </c>
      <c r="BR208" s="43"/>
      <c r="BS208" s="47" t="str">
        <f aca="false">IF(BN208="","",IF(_xlfn.MAXIFS(ЗАКАЗЫ!$AK$3:$AK$500,ЗАКАЗЫ!$F$3:$F$500,$A208)=0,"",_xlfn.MAXIFS(ЗАКАЗЫ!$AK$3:$AK$500,ЗАКАЗЫ!$F$3:$F$500,$A208)))</f>
        <v/>
      </c>
    </row>
    <row r="209" customFormat="false" ht="15.75" hidden="false" customHeight="true" outlineLevel="0" collapsed="false">
      <c r="A209" s="80" t="s">
        <v>683</v>
      </c>
      <c r="B209" s="81"/>
      <c r="C209" s="81"/>
      <c r="D209" s="81"/>
      <c r="E209" s="83"/>
      <c r="F209" s="81"/>
      <c r="G209" s="83"/>
      <c r="H209" s="83"/>
      <c r="I209" s="84" t="str">
        <f aca="false">IF(E209="","",A209&amp;"_1.jpg")</f>
        <v/>
      </c>
      <c r="J209" s="84" t="str">
        <f aca="false">IF(E209="","",A209&amp;"_2.jpg; "&amp;A209&amp;"_3.jpg")</f>
        <v/>
      </c>
      <c r="K209" s="84" t="str">
        <f aca="false">IF(E209="","",A209&amp;"_schema.jpg")</f>
        <v/>
      </c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 t="s">
        <v>261</v>
      </c>
      <c r="W209" s="81"/>
      <c r="X209" s="81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6" t="str">
        <f aca="false">IF(SUM(Y209:AJ209)=0,"",SUM(Y209:AJ209))</f>
        <v/>
      </c>
      <c r="AL209" s="84" t="str">
        <f aca="false">MID(IF(N(Y209)&gt;0,", "&amp;Y$2,"")&amp;IF(N(Z209)&gt;0,", "&amp;Z$2,"")&amp;IF(N(AA209)&gt;0,", "&amp;AA$2,"")&amp;IF(N(AB209)&gt;0,", "&amp;AB$2,"")&amp;IF(N(AC209)&gt;0,", "&amp;AC$2,"")&amp;IF(N(AD209)&gt;0,", "&amp;AD$2,"")&amp;IF(N(AE209)&gt;0,", "&amp;AE$2,"")&amp;IF(N(AF209)&gt;0,", "&amp;AF$2,"")&amp;IF(N(AG209)&gt;0,", "&amp;AG$2,"")&amp;IF(N(AH209)&gt;0,", "&amp;AH$2,"")&amp;IF(N(AI209)&gt;0,", "&amp;AI$2,"")&amp;IF(N(AJ209)&gt;0,", "&amp;AJ$2,""),3,999)</f>
        <v/>
      </c>
      <c r="AM209" s="87" t="str">
        <f aca="false">IF(E209="","",MID(IF(N(Y209)&gt;0,", "&amp;A209&amp;"-"&amp;Y$2,"")&amp;IF(N(Z209)&gt;0,", "&amp;A209&amp;"-"&amp;Z$2,"")&amp;IF(N(AA209)&gt;0,", "&amp;A209&amp;"-"&amp;AA$2,"")&amp;IF(N(AB209)&gt;0,", "&amp;A209&amp;"-"&amp;AB$2,"")&amp;IF(N(AC209)&gt;0,", "&amp;A209&amp;"-"&amp;AC$2,"")&amp;IF(N(AD209)&gt;0,", "&amp;A209&amp;"-"&amp;AD$2,"")&amp;IF(N(AE209)&gt;0,", "&amp;A209&amp;"-"&amp;AE$2,"")&amp;IF(N(AF209)&gt;0,", "&amp;A209&amp;"-"&amp;AF$2,"")&amp;IF(N(AG209)&gt;0,", "&amp;A209&amp;"-"&amp;AG$2,"")&amp;IF(N(AH209)&gt;0,", "&amp;A209&amp;"-"&amp;AH$2,"")&amp;IF(N(AI209)&gt;0,", "&amp;A209&amp;"-"&amp;AI$2,"")&amp;IF(N(AJ209)&gt;0,", "&amp;A209&amp;"-"&amp;AJ$2,""),3,999))</f>
        <v/>
      </c>
      <c r="AN209" s="81"/>
      <c r="AO209" s="88"/>
      <c r="AP209" s="89" t="str">
        <f aca="false">IF(AO209="","",ROUND(AO209/(1+Справочники!$B$13),2))</f>
        <v/>
      </c>
      <c r="AQ209" s="90" t="str">
        <f aca="false" t="array" ref="AQ209:AQ209">IF(AP209="","",AP209*INDEX(Справочники!$B$4:$B$7,MATCH("RUB",Справочники!$A$4:$A$7,0)))</f>
        <v/>
      </c>
      <c r="AR209" s="90" t="str">
        <f aca="false">IF(AQ209="","",ROUND(AQ209*(1+Справочники!$B$12),0))</f>
        <v/>
      </c>
      <c r="AS209" s="90" t="str">
        <f aca="false">IF(AR209="","",ROUND(AR209*(1-Справочники!$B$11),0))</f>
        <v/>
      </c>
      <c r="AT209" s="88"/>
      <c r="AU209" s="90" t="str">
        <f aca="false">IF(AT209="","",ROUND(AT209/(1+Справочники!$B$12),0))</f>
        <v/>
      </c>
      <c r="AV209" s="90" t="str">
        <f aca="false">IF(AT209="","",ROUND(AT209*(1-Справочники!$B$15),0))</f>
        <v/>
      </c>
      <c r="AW209" s="90" t="str">
        <f aca="false">IF(AT209="","",ROUND(AT209*(1-Справочники!$B$16),0))</f>
        <v/>
      </c>
      <c r="AX209" s="90" t="str">
        <f aca="false">IF(AT209="","",ROUND(AT209*(1-Справочники!$B$17),0))</f>
        <v/>
      </c>
      <c r="AY209" s="90" t="str">
        <f aca="false">IF(AT209="","",ROUND(AT209*(1-Справочники!$B$18),0))</f>
        <v/>
      </c>
      <c r="AZ209" s="90" t="str">
        <f aca="false">IF(AT209="","",ROUND(AT209*(1-Справочники!$B$19),0))</f>
        <v/>
      </c>
      <c r="BA209" s="81"/>
      <c r="BB209" s="81"/>
      <c r="BC209" s="81"/>
      <c r="BD209" s="81"/>
      <c r="BE209" s="91"/>
      <c r="BF209" s="81" t="s">
        <v>103</v>
      </c>
      <c r="BG209" s="89" t="n">
        <f aca="false" t="array" ref="BG209:BG209">IF(BF209="","",IFERROR(INDEX(Справочники!$B$4:$B$7,MATCH(BF209,Справочники!$A$4:$A$7,0)),""))</f>
        <v>68.5</v>
      </c>
      <c r="BH209" s="90" t="str">
        <f aca="false">IF(N(BN209)&gt;0,ROUND(SUMIF(ЗАКАЗЫ!$F$3:$F$500,$A209,ЗАКАЗЫ!$Y$3:$Y$500)/BN209,0),IF(OR(BE209="",BG209=""),"",ROUND(BE209*BG209*(1+Справочники!$B$10),0)))</f>
        <v/>
      </c>
      <c r="BI209" s="92" t="str">
        <f aca="false">IF(OR(AU209="",BH209="",AU209=0),"",(AU209-BH209)/AU209)</f>
        <v/>
      </c>
      <c r="BJ209" s="81"/>
      <c r="BK209" s="83"/>
      <c r="BL209" s="43" t="str">
        <f aca="false">IFERROR(INDEX(ЗАКАЗЫ!$N$3:$N$500,MATCH($A209,ЗАКАЗЫ!$F$3:$F$500,0)),"")</f>
        <v/>
      </c>
      <c r="BM209" s="8" t="str">
        <f aca="false">IF(BL209="","",IFERROR(VLOOKUP(BL209,'ТН ВЭД'!$A$4:$C$40,3,0),""))</f>
        <v/>
      </c>
      <c r="BN209" s="7" t="str">
        <f aca="false">IF(COUNTIF(ЗАКАЗЫ!$F$3:$F$500,$A209)=0,"",SUMIF(ЗАКАЗЫ!$F$3:$F$500,$A209,ЗАКАЗЫ!$J$3:$J$500))</f>
        <v/>
      </c>
      <c r="BO209" s="7" t="str">
        <f aca="false">IF(BN209="","",SUMIF(ЗАКАЗЫ!$F$3:$F$500,$A209,ЗАКАЗЫ!$AL$3:$AL$500))</f>
        <v/>
      </c>
      <c r="BP209" s="7" t="str">
        <f aca="false">IF(BN209="","",BN209-BO209)</f>
        <v/>
      </c>
      <c r="BQ209" s="55" t="str">
        <f aca="false">IF(BN209="","",IF(BO209&gt;=BN209,"На складе",IF(BO209&gt;0,"Частично","Ждём")))</f>
        <v/>
      </c>
      <c r="BR209" s="43"/>
      <c r="BS209" s="47" t="str">
        <f aca="false">IF(BN209="","",IF(_xlfn.MAXIFS(ЗАКАЗЫ!$AK$3:$AK$500,ЗАКАЗЫ!$F$3:$F$500,$A209)=0,"",_xlfn.MAXIFS(ЗАКАЗЫ!$AK$3:$AK$500,ЗАКАЗЫ!$F$3:$F$500,$A209)))</f>
        <v/>
      </c>
    </row>
    <row r="210" customFormat="false" ht="15.75" hidden="false" customHeight="true" outlineLevel="0" collapsed="false">
      <c r="A210" s="80" t="s">
        <v>684</v>
      </c>
      <c r="B210" s="81"/>
      <c r="C210" s="81"/>
      <c r="D210" s="81"/>
      <c r="E210" s="83"/>
      <c r="F210" s="81"/>
      <c r="G210" s="83"/>
      <c r="H210" s="83"/>
      <c r="I210" s="84" t="str">
        <f aca="false">IF(E210="","",A210&amp;"_1.jpg")</f>
        <v/>
      </c>
      <c r="J210" s="84" t="str">
        <f aca="false">IF(E210="","",A210&amp;"_2.jpg; "&amp;A210&amp;"_3.jpg")</f>
        <v/>
      </c>
      <c r="K210" s="84" t="str">
        <f aca="false">IF(E210="","",A210&amp;"_schema.jpg")</f>
        <v/>
      </c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 t="s">
        <v>261</v>
      </c>
      <c r="W210" s="81"/>
      <c r="X210" s="81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6" t="str">
        <f aca="false">IF(SUM(Y210:AJ210)=0,"",SUM(Y210:AJ210))</f>
        <v/>
      </c>
      <c r="AL210" s="84" t="str">
        <f aca="false">MID(IF(N(Y210)&gt;0,", "&amp;Y$2,"")&amp;IF(N(Z210)&gt;0,", "&amp;Z$2,"")&amp;IF(N(AA210)&gt;0,", "&amp;AA$2,"")&amp;IF(N(AB210)&gt;0,", "&amp;AB$2,"")&amp;IF(N(AC210)&gt;0,", "&amp;AC$2,"")&amp;IF(N(AD210)&gt;0,", "&amp;AD$2,"")&amp;IF(N(AE210)&gt;0,", "&amp;AE$2,"")&amp;IF(N(AF210)&gt;0,", "&amp;AF$2,"")&amp;IF(N(AG210)&gt;0,", "&amp;AG$2,"")&amp;IF(N(AH210)&gt;0,", "&amp;AH$2,"")&amp;IF(N(AI210)&gt;0,", "&amp;AI$2,"")&amp;IF(N(AJ210)&gt;0,", "&amp;AJ$2,""),3,999)</f>
        <v/>
      </c>
      <c r="AM210" s="87" t="str">
        <f aca="false">IF(E210="","",MID(IF(N(Y210)&gt;0,", "&amp;A210&amp;"-"&amp;Y$2,"")&amp;IF(N(Z210)&gt;0,", "&amp;A210&amp;"-"&amp;Z$2,"")&amp;IF(N(AA210)&gt;0,", "&amp;A210&amp;"-"&amp;AA$2,"")&amp;IF(N(AB210)&gt;0,", "&amp;A210&amp;"-"&amp;AB$2,"")&amp;IF(N(AC210)&gt;0,", "&amp;A210&amp;"-"&amp;AC$2,"")&amp;IF(N(AD210)&gt;0,", "&amp;A210&amp;"-"&amp;AD$2,"")&amp;IF(N(AE210)&gt;0,", "&amp;A210&amp;"-"&amp;AE$2,"")&amp;IF(N(AF210)&gt;0,", "&amp;A210&amp;"-"&amp;AF$2,"")&amp;IF(N(AG210)&gt;0,", "&amp;A210&amp;"-"&amp;AG$2,"")&amp;IF(N(AH210)&gt;0,", "&amp;A210&amp;"-"&amp;AH$2,"")&amp;IF(N(AI210)&gt;0,", "&amp;A210&amp;"-"&amp;AI$2,"")&amp;IF(N(AJ210)&gt;0,", "&amp;A210&amp;"-"&amp;AJ$2,""),3,999))</f>
        <v/>
      </c>
      <c r="AN210" s="81"/>
      <c r="AO210" s="88"/>
      <c r="AP210" s="89" t="str">
        <f aca="false">IF(AO210="","",ROUND(AO210/(1+Справочники!$B$13),2))</f>
        <v/>
      </c>
      <c r="AQ210" s="90" t="str">
        <f aca="false" t="array" ref="AQ210:AQ210">IF(AP210="","",AP210*INDEX(Справочники!$B$4:$B$7,MATCH("RUB",Справочники!$A$4:$A$7,0)))</f>
        <v/>
      </c>
      <c r="AR210" s="90" t="str">
        <f aca="false">IF(AQ210="","",ROUND(AQ210*(1+Справочники!$B$12),0))</f>
        <v/>
      </c>
      <c r="AS210" s="90" t="str">
        <f aca="false">IF(AR210="","",ROUND(AR210*(1-Справочники!$B$11),0))</f>
        <v/>
      </c>
      <c r="AT210" s="88"/>
      <c r="AU210" s="90" t="str">
        <f aca="false">IF(AT210="","",ROUND(AT210/(1+Справочники!$B$12),0))</f>
        <v/>
      </c>
      <c r="AV210" s="90" t="str">
        <f aca="false">IF(AT210="","",ROUND(AT210*(1-Справочники!$B$15),0))</f>
        <v/>
      </c>
      <c r="AW210" s="90" t="str">
        <f aca="false">IF(AT210="","",ROUND(AT210*(1-Справочники!$B$16),0))</f>
        <v/>
      </c>
      <c r="AX210" s="90" t="str">
        <f aca="false">IF(AT210="","",ROUND(AT210*(1-Справочники!$B$17),0))</f>
        <v/>
      </c>
      <c r="AY210" s="90" t="str">
        <f aca="false">IF(AT210="","",ROUND(AT210*(1-Справочники!$B$18),0))</f>
        <v/>
      </c>
      <c r="AZ210" s="90" t="str">
        <f aca="false">IF(AT210="","",ROUND(AT210*(1-Справочники!$B$19),0))</f>
        <v/>
      </c>
      <c r="BA210" s="81"/>
      <c r="BB210" s="81"/>
      <c r="BC210" s="81"/>
      <c r="BD210" s="81"/>
      <c r="BE210" s="91"/>
      <c r="BF210" s="81" t="s">
        <v>103</v>
      </c>
      <c r="BG210" s="89" t="n">
        <f aca="false" t="array" ref="BG210:BG210">IF(BF210="","",IFERROR(INDEX(Справочники!$B$4:$B$7,MATCH(BF210,Справочники!$A$4:$A$7,0)),""))</f>
        <v>68.5</v>
      </c>
      <c r="BH210" s="90" t="str">
        <f aca="false">IF(N(BN210)&gt;0,ROUND(SUMIF(ЗАКАЗЫ!$F$3:$F$500,$A210,ЗАКАЗЫ!$Y$3:$Y$500)/BN210,0),IF(OR(BE210="",BG210=""),"",ROUND(BE210*BG210*(1+Справочники!$B$10),0)))</f>
        <v/>
      </c>
      <c r="BI210" s="92" t="str">
        <f aca="false">IF(OR(AU210="",BH210="",AU210=0),"",(AU210-BH210)/AU210)</f>
        <v/>
      </c>
      <c r="BJ210" s="81"/>
      <c r="BK210" s="83"/>
      <c r="BL210" s="43" t="str">
        <f aca="false">IFERROR(INDEX(ЗАКАЗЫ!$N$3:$N$500,MATCH($A210,ЗАКАЗЫ!$F$3:$F$500,0)),"")</f>
        <v/>
      </c>
      <c r="BM210" s="8" t="str">
        <f aca="false">IF(BL210="","",IFERROR(VLOOKUP(BL210,'ТН ВЭД'!$A$4:$C$40,3,0),""))</f>
        <v/>
      </c>
      <c r="BN210" s="7" t="str">
        <f aca="false">IF(COUNTIF(ЗАКАЗЫ!$F$3:$F$500,$A210)=0,"",SUMIF(ЗАКАЗЫ!$F$3:$F$500,$A210,ЗАКАЗЫ!$J$3:$J$500))</f>
        <v/>
      </c>
      <c r="BO210" s="7" t="str">
        <f aca="false">IF(BN210="","",SUMIF(ЗАКАЗЫ!$F$3:$F$500,$A210,ЗАКАЗЫ!$AL$3:$AL$500))</f>
        <v/>
      </c>
      <c r="BP210" s="7" t="str">
        <f aca="false">IF(BN210="","",BN210-BO210)</f>
        <v/>
      </c>
      <c r="BQ210" s="55" t="str">
        <f aca="false">IF(BN210="","",IF(BO210&gt;=BN210,"На складе",IF(BO210&gt;0,"Частично","Ждём")))</f>
        <v/>
      </c>
      <c r="BR210" s="43"/>
      <c r="BS210" s="47" t="str">
        <f aca="false">IF(BN210="","",IF(_xlfn.MAXIFS(ЗАКАЗЫ!$AK$3:$AK$500,ЗАКАЗЫ!$F$3:$F$500,$A210)=0,"",_xlfn.MAXIFS(ЗАКАЗЫ!$AK$3:$AK$500,ЗАКАЗЫ!$F$3:$F$500,$A210)))</f>
        <v/>
      </c>
    </row>
    <row r="211" customFormat="false" ht="15.75" hidden="false" customHeight="true" outlineLevel="0" collapsed="false">
      <c r="A211" s="80" t="s">
        <v>685</v>
      </c>
      <c r="B211" s="81"/>
      <c r="C211" s="81"/>
      <c r="D211" s="81"/>
      <c r="E211" s="83"/>
      <c r="F211" s="81"/>
      <c r="G211" s="83"/>
      <c r="H211" s="83"/>
      <c r="I211" s="84" t="str">
        <f aca="false">IF(E211="","",A211&amp;"_1.jpg")</f>
        <v/>
      </c>
      <c r="J211" s="84" t="str">
        <f aca="false">IF(E211="","",A211&amp;"_2.jpg; "&amp;A211&amp;"_3.jpg")</f>
        <v/>
      </c>
      <c r="K211" s="84" t="str">
        <f aca="false">IF(E211="","",A211&amp;"_schema.jpg")</f>
        <v/>
      </c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 t="s">
        <v>261</v>
      </c>
      <c r="W211" s="81"/>
      <c r="X211" s="81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6" t="str">
        <f aca="false">IF(SUM(Y211:AJ211)=0,"",SUM(Y211:AJ211))</f>
        <v/>
      </c>
      <c r="AL211" s="84" t="str">
        <f aca="false">MID(IF(N(Y211)&gt;0,", "&amp;Y$2,"")&amp;IF(N(Z211)&gt;0,", "&amp;Z$2,"")&amp;IF(N(AA211)&gt;0,", "&amp;AA$2,"")&amp;IF(N(AB211)&gt;0,", "&amp;AB$2,"")&amp;IF(N(AC211)&gt;0,", "&amp;AC$2,"")&amp;IF(N(AD211)&gt;0,", "&amp;AD$2,"")&amp;IF(N(AE211)&gt;0,", "&amp;AE$2,"")&amp;IF(N(AF211)&gt;0,", "&amp;AF$2,"")&amp;IF(N(AG211)&gt;0,", "&amp;AG$2,"")&amp;IF(N(AH211)&gt;0,", "&amp;AH$2,"")&amp;IF(N(AI211)&gt;0,", "&amp;AI$2,"")&amp;IF(N(AJ211)&gt;0,", "&amp;AJ$2,""),3,999)</f>
        <v/>
      </c>
      <c r="AM211" s="87" t="str">
        <f aca="false">IF(E211="","",MID(IF(N(Y211)&gt;0,", "&amp;A211&amp;"-"&amp;Y$2,"")&amp;IF(N(Z211)&gt;0,", "&amp;A211&amp;"-"&amp;Z$2,"")&amp;IF(N(AA211)&gt;0,", "&amp;A211&amp;"-"&amp;AA$2,"")&amp;IF(N(AB211)&gt;0,", "&amp;A211&amp;"-"&amp;AB$2,"")&amp;IF(N(AC211)&gt;0,", "&amp;A211&amp;"-"&amp;AC$2,"")&amp;IF(N(AD211)&gt;0,", "&amp;A211&amp;"-"&amp;AD$2,"")&amp;IF(N(AE211)&gt;0,", "&amp;A211&amp;"-"&amp;AE$2,"")&amp;IF(N(AF211)&gt;0,", "&amp;A211&amp;"-"&amp;AF$2,"")&amp;IF(N(AG211)&gt;0,", "&amp;A211&amp;"-"&amp;AG$2,"")&amp;IF(N(AH211)&gt;0,", "&amp;A211&amp;"-"&amp;AH$2,"")&amp;IF(N(AI211)&gt;0,", "&amp;A211&amp;"-"&amp;AI$2,"")&amp;IF(N(AJ211)&gt;0,", "&amp;A211&amp;"-"&amp;AJ$2,""),3,999))</f>
        <v/>
      </c>
      <c r="AN211" s="81"/>
      <c r="AO211" s="88"/>
      <c r="AP211" s="89" t="str">
        <f aca="false">IF(AO211="","",ROUND(AO211/(1+Справочники!$B$13),2))</f>
        <v/>
      </c>
      <c r="AQ211" s="90" t="str">
        <f aca="false" t="array" ref="AQ211:AQ211">IF(AP211="","",AP211*INDEX(Справочники!$B$4:$B$7,MATCH("RUB",Справочники!$A$4:$A$7,0)))</f>
        <v/>
      </c>
      <c r="AR211" s="90" t="str">
        <f aca="false">IF(AQ211="","",ROUND(AQ211*(1+Справочники!$B$12),0))</f>
        <v/>
      </c>
      <c r="AS211" s="90" t="str">
        <f aca="false">IF(AR211="","",ROUND(AR211*(1-Справочники!$B$11),0))</f>
        <v/>
      </c>
      <c r="AT211" s="88"/>
      <c r="AU211" s="90" t="str">
        <f aca="false">IF(AT211="","",ROUND(AT211/(1+Справочники!$B$12),0))</f>
        <v/>
      </c>
      <c r="AV211" s="90" t="str">
        <f aca="false">IF(AT211="","",ROUND(AT211*(1-Справочники!$B$15),0))</f>
        <v/>
      </c>
      <c r="AW211" s="90" t="str">
        <f aca="false">IF(AT211="","",ROUND(AT211*(1-Справочники!$B$16),0))</f>
        <v/>
      </c>
      <c r="AX211" s="90" t="str">
        <f aca="false">IF(AT211="","",ROUND(AT211*(1-Справочники!$B$17),0))</f>
        <v/>
      </c>
      <c r="AY211" s="90" t="str">
        <f aca="false">IF(AT211="","",ROUND(AT211*(1-Справочники!$B$18),0))</f>
        <v/>
      </c>
      <c r="AZ211" s="90" t="str">
        <f aca="false">IF(AT211="","",ROUND(AT211*(1-Справочники!$B$19),0))</f>
        <v/>
      </c>
      <c r="BA211" s="81"/>
      <c r="BB211" s="81"/>
      <c r="BC211" s="81"/>
      <c r="BD211" s="81"/>
      <c r="BE211" s="91"/>
      <c r="BF211" s="81" t="s">
        <v>103</v>
      </c>
      <c r="BG211" s="89" t="n">
        <f aca="false" t="array" ref="BG211:BG211">IF(BF211="","",IFERROR(INDEX(Справочники!$B$4:$B$7,MATCH(BF211,Справочники!$A$4:$A$7,0)),""))</f>
        <v>68.5</v>
      </c>
      <c r="BH211" s="90" t="str">
        <f aca="false">IF(N(BN211)&gt;0,ROUND(SUMIF(ЗАКАЗЫ!$F$3:$F$500,$A211,ЗАКАЗЫ!$Y$3:$Y$500)/BN211,0),IF(OR(BE211="",BG211=""),"",ROUND(BE211*BG211*(1+Справочники!$B$10),0)))</f>
        <v/>
      </c>
      <c r="BI211" s="92" t="str">
        <f aca="false">IF(OR(AU211="",BH211="",AU211=0),"",(AU211-BH211)/AU211)</f>
        <v/>
      </c>
      <c r="BJ211" s="81"/>
      <c r="BK211" s="83"/>
      <c r="BL211" s="43" t="str">
        <f aca="false">IFERROR(INDEX(ЗАКАЗЫ!$N$3:$N$500,MATCH($A211,ЗАКАЗЫ!$F$3:$F$500,0)),"")</f>
        <v/>
      </c>
      <c r="BM211" s="8" t="str">
        <f aca="false">IF(BL211="","",IFERROR(VLOOKUP(BL211,'ТН ВЭД'!$A$4:$C$40,3,0),""))</f>
        <v/>
      </c>
      <c r="BN211" s="7" t="str">
        <f aca="false">IF(COUNTIF(ЗАКАЗЫ!$F$3:$F$500,$A211)=0,"",SUMIF(ЗАКАЗЫ!$F$3:$F$500,$A211,ЗАКАЗЫ!$J$3:$J$500))</f>
        <v/>
      </c>
      <c r="BO211" s="7" t="str">
        <f aca="false">IF(BN211="","",SUMIF(ЗАКАЗЫ!$F$3:$F$500,$A211,ЗАКАЗЫ!$AL$3:$AL$500))</f>
        <v/>
      </c>
      <c r="BP211" s="7" t="str">
        <f aca="false">IF(BN211="","",BN211-BO211)</f>
        <v/>
      </c>
      <c r="BQ211" s="55" t="str">
        <f aca="false">IF(BN211="","",IF(BO211&gt;=BN211,"На складе",IF(BO211&gt;0,"Частично","Ждём")))</f>
        <v/>
      </c>
      <c r="BR211" s="43"/>
      <c r="BS211" s="47" t="str">
        <f aca="false">IF(BN211="","",IF(_xlfn.MAXIFS(ЗАКАЗЫ!$AK$3:$AK$500,ЗАКАЗЫ!$F$3:$F$500,$A211)=0,"",_xlfn.MAXIFS(ЗАКАЗЫ!$AK$3:$AK$500,ЗАКАЗЫ!$F$3:$F$500,$A211)))</f>
        <v/>
      </c>
    </row>
    <row r="212" customFormat="false" ht="15.75" hidden="false" customHeight="true" outlineLevel="0" collapsed="false">
      <c r="A212" s="80" t="s">
        <v>686</v>
      </c>
      <c r="B212" s="81"/>
      <c r="C212" s="81"/>
      <c r="D212" s="81"/>
      <c r="E212" s="83"/>
      <c r="F212" s="81"/>
      <c r="G212" s="83"/>
      <c r="H212" s="83"/>
      <c r="I212" s="84" t="str">
        <f aca="false">IF(E212="","",A212&amp;"_1.jpg")</f>
        <v/>
      </c>
      <c r="J212" s="84" t="str">
        <f aca="false">IF(E212="","",A212&amp;"_2.jpg; "&amp;A212&amp;"_3.jpg")</f>
        <v/>
      </c>
      <c r="K212" s="84" t="str">
        <f aca="false">IF(E212="","",A212&amp;"_schema.jpg")</f>
        <v/>
      </c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 t="s">
        <v>261</v>
      </c>
      <c r="W212" s="81"/>
      <c r="X212" s="81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6" t="str">
        <f aca="false">IF(SUM(Y212:AJ212)=0,"",SUM(Y212:AJ212))</f>
        <v/>
      </c>
      <c r="AL212" s="84" t="str">
        <f aca="false">MID(IF(N(Y212)&gt;0,", "&amp;Y$2,"")&amp;IF(N(Z212)&gt;0,", "&amp;Z$2,"")&amp;IF(N(AA212)&gt;0,", "&amp;AA$2,"")&amp;IF(N(AB212)&gt;0,", "&amp;AB$2,"")&amp;IF(N(AC212)&gt;0,", "&amp;AC$2,"")&amp;IF(N(AD212)&gt;0,", "&amp;AD$2,"")&amp;IF(N(AE212)&gt;0,", "&amp;AE$2,"")&amp;IF(N(AF212)&gt;0,", "&amp;AF$2,"")&amp;IF(N(AG212)&gt;0,", "&amp;AG$2,"")&amp;IF(N(AH212)&gt;0,", "&amp;AH$2,"")&amp;IF(N(AI212)&gt;0,", "&amp;AI$2,"")&amp;IF(N(AJ212)&gt;0,", "&amp;AJ$2,""),3,999)</f>
        <v/>
      </c>
      <c r="AM212" s="87" t="str">
        <f aca="false">IF(E212="","",MID(IF(N(Y212)&gt;0,", "&amp;A212&amp;"-"&amp;Y$2,"")&amp;IF(N(Z212)&gt;0,", "&amp;A212&amp;"-"&amp;Z$2,"")&amp;IF(N(AA212)&gt;0,", "&amp;A212&amp;"-"&amp;AA$2,"")&amp;IF(N(AB212)&gt;0,", "&amp;A212&amp;"-"&amp;AB$2,"")&amp;IF(N(AC212)&gt;0,", "&amp;A212&amp;"-"&amp;AC$2,"")&amp;IF(N(AD212)&gt;0,", "&amp;A212&amp;"-"&amp;AD$2,"")&amp;IF(N(AE212)&gt;0,", "&amp;A212&amp;"-"&amp;AE$2,"")&amp;IF(N(AF212)&gt;0,", "&amp;A212&amp;"-"&amp;AF$2,"")&amp;IF(N(AG212)&gt;0,", "&amp;A212&amp;"-"&amp;AG$2,"")&amp;IF(N(AH212)&gt;0,", "&amp;A212&amp;"-"&amp;AH$2,"")&amp;IF(N(AI212)&gt;0,", "&amp;A212&amp;"-"&amp;AI$2,"")&amp;IF(N(AJ212)&gt;0,", "&amp;A212&amp;"-"&amp;AJ$2,""),3,999))</f>
        <v/>
      </c>
      <c r="AN212" s="81"/>
      <c r="AO212" s="88"/>
      <c r="AP212" s="89" t="str">
        <f aca="false">IF(AO212="","",ROUND(AO212/(1+Справочники!$B$13),2))</f>
        <v/>
      </c>
      <c r="AQ212" s="90" t="str">
        <f aca="false" t="array" ref="AQ212:AQ212">IF(AP212="","",AP212*INDEX(Справочники!$B$4:$B$7,MATCH("RUB",Справочники!$A$4:$A$7,0)))</f>
        <v/>
      </c>
      <c r="AR212" s="90" t="str">
        <f aca="false">IF(AQ212="","",ROUND(AQ212*(1+Справочники!$B$12),0))</f>
        <v/>
      </c>
      <c r="AS212" s="90" t="str">
        <f aca="false">IF(AR212="","",ROUND(AR212*(1-Справочники!$B$11),0))</f>
        <v/>
      </c>
      <c r="AT212" s="88"/>
      <c r="AU212" s="90" t="str">
        <f aca="false">IF(AT212="","",ROUND(AT212/(1+Справочники!$B$12),0))</f>
        <v/>
      </c>
      <c r="AV212" s="90" t="str">
        <f aca="false">IF(AT212="","",ROUND(AT212*(1-Справочники!$B$15),0))</f>
        <v/>
      </c>
      <c r="AW212" s="90" t="str">
        <f aca="false">IF(AT212="","",ROUND(AT212*(1-Справочники!$B$16),0))</f>
        <v/>
      </c>
      <c r="AX212" s="90" t="str">
        <f aca="false">IF(AT212="","",ROUND(AT212*(1-Справочники!$B$17),0))</f>
        <v/>
      </c>
      <c r="AY212" s="90" t="str">
        <f aca="false">IF(AT212="","",ROUND(AT212*(1-Справочники!$B$18),0))</f>
        <v/>
      </c>
      <c r="AZ212" s="90" t="str">
        <f aca="false">IF(AT212="","",ROUND(AT212*(1-Справочники!$B$19),0))</f>
        <v/>
      </c>
      <c r="BA212" s="81"/>
      <c r="BB212" s="81"/>
      <c r="BC212" s="81"/>
      <c r="BD212" s="81"/>
      <c r="BE212" s="91"/>
      <c r="BF212" s="81" t="s">
        <v>103</v>
      </c>
      <c r="BG212" s="89" t="n">
        <f aca="false" t="array" ref="BG212:BG212">IF(BF212="","",IFERROR(INDEX(Справочники!$B$4:$B$7,MATCH(BF212,Справочники!$A$4:$A$7,0)),""))</f>
        <v>68.5</v>
      </c>
      <c r="BH212" s="90" t="str">
        <f aca="false">IF(N(BN212)&gt;0,ROUND(SUMIF(ЗАКАЗЫ!$F$3:$F$500,$A212,ЗАКАЗЫ!$Y$3:$Y$500)/BN212,0),IF(OR(BE212="",BG212=""),"",ROUND(BE212*BG212*(1+Справочники!$B$10),0)))</f>
        <v/>
      </c>
      <c r="BI212" s="92" t="str">
        <f aca="false">IF(OR(AU212="",BH212="",AU212=0),"",(AU212-BH212)/AU212)</f>
        <v/>
      </c>
      <c r="BJ212" s="81"/>
      <c r="BK212" s="83"/>
      <c r="BL212" s="43" t="str">
        <f aca="false">IFERROR(INDEX(ЗАКАЗЫ!$N$3:$N$500,MATCH($A212,ЗАКАЗЫ!$F$3:$F$500,0)),"")</f>
        <v/>
      </c>
      <c r="BM212" s="8" t="str">
        <f aca="false">IF(BL212="","",IFERROR(VLOOKUP(BL212,'ТН ВЭД'!$A$4:$C$40,3,0),""))</f>
        <v/>
      </c>
      <c r="BN212" s="7" t="str">
        <f aca="false">IF(COUNTIF(ЗАКАЗЫ!$F$3:$F$500,$A212)=0,"",SUMIF(ЗАКАЗЫ!$F$3:$F$500,$A212,ЗАКАЗЫ!$J$3:$J$500))</f>
        <v/>
      </c>
      <c r="BO212" s="7" t="str">
        <f aca="false">IF(BN212="","",SUMIF(ЗАКАЗЫ!$F$3:$F$500,$A212,ЗАКАЗЫ!$AL$3:$AL$500))</f>
        <v/>
      </c>
      <c r="BP212" s="7" t="str">
        <f aca="false">IF(BN212="","",BN212-BO212)</f>
        <v/>
      </c>
      <c r="BQ212" s="55" t="str">
        <f aca="false">IF(BN212="","",IF(BO212&gt;=BN212,"На складе",IF(BO212&gt;0,"Частично","Ждём")))</f>
        <v/>
      </c>
      <c r="BR212" s="43"/>
      <c r="BS212" s="47" t="str">
        <f aca="false">IF(BN212="","",IF(_xlfn.MAXIFS(ЗАКАЗЫ!$AK$3:$AK$500,ЗАКАЗЫ!$F$3:$F$500,$A212)=0,"",_xlfn.MAXIFS(ЗАКАЗЫ!$AK$3:$AK$500,ЗАКАЗЫ!$F$3:$F$500,$A212)))</f>
        <v/>
      </c>
    </row>
    <row r="213" customFormat="false" ht="15.75" hidden="false" customHeight="true" outlineLevel="0" collapsed="false">
      <c r="A213" s="80" t="s">
        <v>687</v>
      </c>
      <c r="B213" s="81"/>
      <c r="C213" s="81"/>
      <c r="D213" s="81"/>
      <c r="E213" s="83"/>
      <c r="F213" s="81"/>
      <c r="G213" s="83"/>
      <c r="H213" s="83"/>
      <c r="I213" s="84" t="str">
        <f aca="false">IF(E213="","",A213&amp;"_1.jpg")</f>
        <v/>
      </c>
      <c r="J213" s="84" t="str">
        <f aca="false">IF(E213="","",A213&amp;"_2.jpg; "&amp;A213&amp;"_3.jpg")</f>
        <v/>
      </c>
      <c r="K213" s="84" t="str">
        <f aca="false">IF(E213="","",A213&amp;"_schema.jpg")</f>
        <v/>
      </c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 t="s">
        <v>261</v>
      </c>
      <c r="W213" s="81"/>
      <c r="X213" s="81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6" t="str">
        <f aca="false">IF(SUM(Y213:AJ213)=0,"",SUM(Y213:AJ213))</f>
        <v/>
      </c>
      <c r="AL213" s="84" t="str">
        <f aca="false">MID(IF(N(Y213)&gt;0,", "&amp;Y$2,"")&amp;IF(N(Z213)&gt;0,", "&amp;Z$2,"")&amp;IF(N(AA213)&gt;0,", "&amp;AA$2,"")&amp;IF(N(AB213)&gt;0,", "&amp;AB$2,"")&amp;IF(N(AC213)&gt;0,", "&amp;AC$2,"")&amp;IF(N(AD213)&gt;0,", "&amp;AD$2,"")&amp;IF(N(AE213)&gt;0,", "&amp;AE$2,"")&amp;IF(N(AF213)&gt;0,", "&amp;AF$2,"")&amp;IF(N(AG213)&gt;0,", "&amp;AG$2,"")&amp;IF(N(AH213)&gt;0,", "&amp;AH$2,"")&amp;IF(N(AI213)&gt;0,", "&amp;AI$2,"")&amp;IF(N(AJ213)&gt;0,", "&amp;AJ$2,""),3,999)</f>
        <v/>
      </c>
      <c r="AM213" s="87" t="str">
        <f aca="false">IF(E213="","",MID(IF(N(Y213)&gt;0,", "&amp;A213&amp;"-"&amp;Y$2,"")&amp;IF(N(Z213)&gt;0,", "&amp;A213&amp;"-"&amp;Z$2,"")&amp;IF(N(AA213)&gt;0,", "&amp;A213&amp;"-"&amp;AA$2,"")&amp;IF(N(AB213)&gt;0,", "&amp;A213&amp;"-"&amp;AB$2,"")&amp;IF(N(AC213)&gt;0,", "&amp;A213&amp;"-"&amp;AC$2,"")&amp;IF(N(AD213)&gt;0,", "&amp;A213&amp;"-"&amp;AD$2,"")&amp;IF(N(AE213)&gt;0,", "&amp;A213&amp;"-"&amp;AE$2,"")&amp;IF(N(AF213)&gt;0,", "&amp;A213&amp;"-"&amp;AF$2,"")&amp;IF(N(AG213)&gt;0,", "&amp;A213&amp;"-"&amp;AG$2,"")&amp;IF(N(AH213)&gt;0,", "&amp;A213&amp;"-"&amp;AH$2,"")&amp;IF(N(AI213)&gt;0,", "&amp;A213&amp;"-"&amp;AI$2,"")&amp;IF(N(AJ213)&gt;0,", "&amp;A213&amp;"-"&amp;AJ$2,""),3,999))</f>
        <v/>
      </c>
      <c r="AN213" s="81"/>
      <c r="AO213" s="88"/>
      <c r="AP213" s="89" t="str">
        <f aca="false">IF(AO213="","",ROUND(AO213/(1+Справочники!$B$13),2))</f>
        <v/>
      </c>
      <c r="AQ213" s="90" t="str">
        <f aca="false" t="array" ref="AQ213:AQ213">IF(AP213="","",AP213*INDEX(Справочники!$B$4:$B$7,MATCH("RUB",Справочники!$A$4:$A$7,0)))</f>
        <v/>
      </c>
      <c r="AR213" s="90" t="str">
        <f aca="false">IF(AQ213="","",ROUND(AQ213*(1+Справочники!$B$12),0))</f>
        <v/>
      </c>
      <c r="AS213" s="90" t="str">
        <f aca="false">IF(AR213="","",ROUND(AR213*(1-Справочники!$B$11),0))</f>
        <v/>
      </c>
      <c r="AT213" s="88"/>
      <c r="AU213" s="90" t="str">
        <f aca="false">IF(AT213="","",ROUND(AT213/(1+Справочники!$B$12),0))</f>
        <v/>
      </c>
      <c r="AV213" s="90" t="str">
        <f aca="false">IF(AT213="","",ROUND(AT213*(1-Справочники!$B$15),0))</f>
        <v/>
      </c>
      <c r="AW213" s="90" t="str">
        <f aca="false">IF(AT213="","",ROUND(AT213*(1-Справочники!$B$16),0))</f>
        <v/>
      </c>
      <c r="AX213" s="90" t="str">
        <f aca="false">IF(AT213="","",ROUND(AT213*(1-Справочники!$B$17),0))</f>
        <v/>
      </c>
      <c r="AY213" s="90" t="str">
        <f aca="false">IF(AT213="","",ROUND(AT213*(1-Справочники!$B$18),0))</f>
        <v/>
      </c>
      <c r="AZ213" s="90" t="str">
        <f aca="false">IF(AT213="","",ROUND(AT213*(1-Справочники!$B$19),0))</f>
        <v/>
      </c>
      <c r="BA213" s="81"/>
      <c r="BB213" s="81"/>
      <c r="BC213" s="81"/>
      <c r="BD213" s="81"/>
      <c r="BE213" s="91"/>
      <c r="BF213" s="81" t="s">
        <v>103</v>
      </c>
      <c r="BG213" s="89" t="n">
        <f aca="false" t="array" ref="BG213:BG213">IF(BF213="","",IFERROR(INDEX(Справочники!$B$4:$B$7,MATCH(BF213,Справочники!$A$4:$A$7,0)),""))</f>
        <v>68.5</v>
      </c>
      <c r="BH213" s="90" t="str">
        <f aca="false">IF(N(BN213)&gt;0,ROUND(SUMIF(ЗАКАЗЫ!$F$3:$F$500,$A213,ЗАКАЗЫ!$Y$3:$Y$500)/BN213,0),IF(OR(BE213="",BG213=""),"",ROUND(BE213*BG213*(1+Справочники!$B$10),0)))</f>
        <v/>
      </c>
      <c r="BI213" s="92" t="str">
        <f aca="false">IF(OR(AU213="",BH213="",AU213=0),"",(AU213-BH213)/AU213)</f>
        <v/>
      </c>
      <c r="BJ213" s="81"/>
      <c r="BK213" s="83"/>
      <c r="BL213" s="43" t="str">
        <f aca="false">IFERROR(INDEX(ЗАКАЗЫ!$N$3:$N$500,MATCH($A213,ЗАКАЗЫ!$F$3:$F$500,0)),"")</f>
        <v/>
      </c>
      <c r="BM213" s="8" t="str">
        <f aca="false">IF(BL213="","",IFERROR(VLOOKUP(BL213,'ТН ВЭД'!$A$4:$C$40,3,0),""))</f>
        <v/>
      </c>
      <c r="BN213" s="7" t="str">
        <f aca="false">IF(COUNTIF(ЗАКАЗЫ!$F$3:$F$500,$A213)=0,"",SUMIF(ЗАКАЗЫ!$F$3:$F$500,$A213,ЗАКАЗЫ!$J$3:$J$500))</f>
        <v/>
      </c>
      <c r="BO213" s="7" t="str">
        <f aca="false">IF(BN213="","",SUMIF(ЗАКАЗЫ!$F$3:$F$500,$A213,ЗАКАЗЫ!$AL$3:$AL$500))</f>
        <v/>
      </c>
      <c r="BP213" s="7" t="str">
        <f aca="false">IF(BN213="","",BN213-BO213)</f>
        <v/>
      </c>
      <c r="BQ213" s="55" t="str">
        <f aca="false">IF(BN213="","",IF(BO213&gt;=BN213,"На складе",IF(BO213&gt;0,"Частично","Ждём")))</f>
        <v/>
      </c>
      <c r="BR213" s="43"/>
      <c r="BS213" s="47" t="str">
        <f aca="false">IF(BN213="","",IF(_xlfn.MAXIFS(ЗАКАЗЫ!$AK$3:$AK$500,ЗАКАЗЫ!$F$3:$F$500,$A213)=0,"",_xlfn.MAXIFS(ЗАКАЗЫ!$AK$3:$AK$500,ЗАКАЗЫ!$F$3:$F$500,$A213)))</f>
        <v/>
      </c>
    </row>
    <row r="214" customFormat="false" ht="15.75" hidden="false" customHeight="true" outlineLevel="0" collapsed="false">
      <c r="A214" s="80" t="s">
        <v>688</v>
      </c>
      <c r="B214" s="81"/>
      <c r="C214" s="81"/>
      <c r="D214" s="81"/>
      <c r="E214" s="83"/>
      <c r="F214" s="81"/>
      <c r="G214" s="83"/>
      <c r="H214" s="83"/>
      <c r="I214" s="84" t="str">
        <f aca="false">IF(E214="","",A214&amp;"_1.jpg")</f>
        <v/>
      </c>
      <c r="J214" s="84" t="str">
        <f aca="false">IF(E214="","",A214&amp;"_2.jpg; "&amp;A214&amp;"_3.jpg")</f>
        <v/>
      </c>
      <c r="K214" s="84" t="str">
        <f aca="false">IF(E214="","",A214&amp;"_schema.jpg")</f>
        <v/>
      </c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 t="s">
        <v>261</v>
      </c>
      <c r="W214" s="81"/>
      <c r="X214" s="81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6" t="str">
        <f aca="false">IF(SUM(Y214:AJ214)=0,"",SUM(Y214:AJ214))</f>
        <v/>
      </c>
      <c r="AL214" s="84" t="str">
        <f aca="false">MID(IF(N(Y214)&gt;0,", "&amp;Y$2,"")&amp;IF(N(Z214)&gt;0,", "&amp;Z$2,"")&amp;IF(N(AA214)&gt;0,", "&amp;AA$2,"")&amp;IF(N(AB214)&gt;0,", "&amp;AB$2,"")&amp;IF(N(AC214)&gt;0,", "&amp;AC$2,"")&amp;IF(N(AD214)&gt;0,", "&amp;AD$2,"")&amp;IF(N(AE214)&gt;0,", "&amp;AE$2,"")&amp;IF(N(AF214)&gt;0,", "&amp;AF$2,"")&amp;IF(N(AG214)&gt;0,", "&amp;AG$2,"")&amp;IF(N(AH214)&gt;0,", "&amp;AH$2,"")&amp;IF(N(AI214)&gt;0,", "&amp;AI$2,"")&amp;IF(N(AJ214)&gt;0,", "&amp;AJ$2,""),3,999)</f>
        <v/>
      </c>
      <c r="AM214" s="87" t="str">
        <f aca="false">IF(E214="","",MID(IF(N(Y214)&gt;0,", "&amp;A214&amp;"-"&amp;Y$2,"")&amp;IF(N(Z214)&gt;0,", "&amp;A214&amp;"-"&amp;Z$2,"")&amp;IF(N(AA214)&gt;0,", "&amp;A214&amp;"-"&amp;AA$2,"")&amp;IF(N(AB214)&gt;0,", "&amp;A214&amp;"-"&amp;AB$2,"")&amp;IF(N(AC214)&gt;0,", "&amp;A214&amp;"-"&amp;AC$2,"")&amp;IF(N(AD214)&gt;0,", "&amp;A214&amp;"-"&amp;AD$2,"")&amp;IF(N(AE214)&gt;0,", "&amp;A214&amp;"-"&amp;AE$2,"")&amp;IF(N(AF214)&gt;0,", "&amp;A214&amp;"-"&amp;AF$2,"")&amp;IF(N(AG214)&gt;0,", "&amp;A214&amp;"-"&amp;AG$2,"")&amp;IF(N(AH214)&gt;0,", "&amp;A214&amp;"-"&amp;AH$2,"")&amp;IF(N(AI214)&gt;0,", "&amp;A214&amp;"-"&amp;AI$2,"")&amp;IF(N(AJ214)&gt;0,", "&amp;A214&amp;"-"&amp;AJ$2,""),3,999))</f>
        <v/>
      </c>
      <c r="AN214" s="81"/>
      <c r="AO214" s="88"/>
      <c r="AP214" s="89" t="str">
        <f aca="false">IF(AO214="","",ROUND(AO214/(1+Справочники!$B$13),2))</f>
        <v/>
      </c>
      <c r="AQ214" s="90" t="str">
        <f aca="false" t="array" ref="AQ214:AQ214">IF(AP214="","",AP214*INDEX(Справочники!$B$4:$B$7,MATCH("RUB",Справочники!$A$4:$A$7,0)))</f>
        <v/>
      </c>
      <c r="AR214" s="90" t="str">
        <f aca="false">IF(AQ214="","",ROUND(AQ214*(1+Справочники!$B$12),0))</f>
        <v/>
      </c>
      <c r="AS214" s="90" t="str">
        <f aca="false">IF(AR214="","",ROUND(AR214*(1-Справочники!$B$11),0))</f>
        <v/>
      </c>
      <c r="AT214" s="88"/>
      <c r="AU214" s="90" t="str">
        <f aca="false">IF(AT214="","",ROUND(AT214/(1+Справочники!$B$12),0))</f>
        <v/>
      </c>
      <c r="AV214" s="90" t="str">
        <f aca="false">IF(AT214="","",ROUND(AT214*(1-Справочники!$B$15),0))</f>
        <v/>
      </c>
      <c r="AW214" s="90" t="str">
        <f aca="false">IF(AT214="","",ROUND(AT214*(1-Справочники!$B$16),0))</f>
        <v/>
      </c>
      <c r="AX214" s="90" t="str">
        <f aca="false">IF(AT214="","",ROUND(AT214*(1-Справочники!$B$17),0))</f>
        <v/>
      </c>
      <c r="AY214" s="90" t="str">
        <f aca="false">IF(AT214="","",ROUND(AT214*(1-Справочники!$B$18),0))</f>
        <v/>
      </c>
      <c r="AZ214" s="90" t="str">
        <f aca="false">IF(AT214="","",ROUND(AT214*(1-Справочники!$B$19),0))</f>
        <v/>
      </c>
      <c r="BA214" s="81"/>
      <c r="BB214" s="81"/>
      <c r="BC214" s="81"/>
      <c r="BD214" s="81"/>
      <c r="BE214" s="91"/>
      <c r="BF214" s="81" t="s">
        <v>103</v>
      </c>
      <c r="BG214" s="89" t="n">
        <f aca="false" t="array" ref="BG214:BG214">IF(BF214="","",IFERROR(INDEX(Справочники!$B$4:$B$7,MATCH(BF214,Справочники!$A$4:$A$7,0)),""))</f>
        <v>68.5</v>
      </c>
      <c r="BH214" s="90" t="str">
        <f aca="false">IF(N(BN214)&gt;0,ROUND(SUMIF(ЗАКАЗЫ!$F$3:$F$500,$A214,ЗАКАЗЫ!$Y$3:$Y$500)/BN214,0),IF(OR(BE214="",BG214=""),"",ROUND(BE214*BG214*(1+Справочники!$B$10),0)))</f>
        <v/>
      </c>
      <c r="BI214" s="92" t="str">
        <f aca="false">IF(OR(AU214="",BH214="",AU214=0),"",(AU214-BH214)/AU214)</f>
        <v/>
      </c>
      <c r="BJ214" s="81"/>
      <c r="BK214" s="83"/>
      <c r="BL214" s="43" t="str">
        <f aca="false">IFERROR(INDEX(ЗАКАЗЫ!$N$3:$N$500,MATCH($A214,ЗАКАЗЫ!$F$3:$F$500,0)),"")</f>
        <v/>
      </c>
      <c r="BM214" s="8" t="str">
        <f aca="false">IF(BL214="","",IFERROR(VLOOKUP(BL214,'ТН ВЭД'!$A$4:$C$40,3,0),""))</f>
        <v/>
      </c>
      <c r="BN214" s="7" t="str">
        <f aca="false">IF(COUNTIF(ЗАКАЗЫ!$F$3:$F$500,$A214)=0,"",SUMIF(ЗАКАЗЫ!$F$3:$F$500,$A214,ЗАКАЗЫ!$J$3:$J$500))</f>
        <v/>
      </c>
      <c r="BO214" s="7" t="str">
        <f aca="false">IF(BN214="","",SUMIF(ЗАКАЗЫ!$F$3:$F$500,$A214,ЗАКАЗЫ!$AL$3:$AL$500))</f>
        <v/>
      </c>
      <c r="BP214" s="7" t="str">
        <f aca="false">IF(BN214="","",BN214-BO214)</f>
        <v/>
      </c>
      <c r="BQ214" s="55" t="str">
        <f aca="false">IF(BN214="","",IF(BO214&gt;=BN214,"На складе",IF(BO214&gt;0,"Частично","Ждём")))</f>
        <v/>
      </c>
      <c r="BR214" s="43"/>
      <c r="BS214" s="47" t="str">
        <f aca="false">IF(BN214="","",IF(_xlfn.MAXIFS(ЗАКАЗЫ!$AK$3:$AK$500,ЗАКАЗЫ!$F$3:$F$500,$A214)=0,"",_xlfn.MAXIFS(ЗАКАЗЫ!$AK$3:$AK$500,ЗАКАЗЫ!$F$3:$F$500,$A214)))</f>
        <v/>
      </c>
    </row>
    <row r="215" customFormat="false" ht="15.75" hidden="false" customHeight="true" outlineLevel="0" collapsed="false">
      <c r="A215" s="80" t="s">
        <v>689</v>
      </c>
      <c r="B215" s="81"/>
      <c r="C215" s="81"/>
      <c r="D215" s="81"/>
      <c r="E215" s="83"/>
      <c r="F215" s="81"/>
      <c r="G215" s="83"/>
      <c r="H215" s="83"/>
      <c r="I215" s="84" t="str">
        <f aca="false">IF(E215="","",A215&amp;"_1.jpg")</f>
        <v/>
      </c>
      <c r="J215" s="84" t="str">
        <f aca="false">IF(E215="","",A215&amp;"_2.jpg; "&amp;A215&amp;"_3.jpg")</f>
        <v/>
      </c>
      <c r="K215" s="84" t="str">
        <f aca="false">IF(E215="","",A215&amp;"_schema.jpg")</f>
        <v/>
      </c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 t="s">
        <v>261</v>
      </c>
      <c r="W215" s="81"/>
      <c r="X215" s="81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6" t="str">
        <f aca="false">IF(SUM(Y215:AJ215)=0,"",SUM(Y215:AJ215))</f>
        <v/>
      </c>
      <c r="AL215" s="84" t="str">
        <f aca="false">MID(IF(N(Y215)&gt;0,", "&amp;Y$2,"")&amp;IF(N(Z215)&gt;0,", "&amp;Z$2,"")&amp;IF(N(AA215)&gt;0,", "&amp;AA$2,"")&amp;IF(N(AB215)&gt;0,", "&amp;AB$2,"")&amp;IF(N(AC215)&gt;0,", "&amp;AC$2,"")&amp;IF(N(AD215)&gt;0,", "&amp;AD$2,"")&amp;IF(N(AE215)&gt;0,", "&amp;AE$2,"")&amp;IF(N(AF215)&gt;0,", "&amp;AF$2,"")&amp;IF(N(AG215)&gt;0,", "&amp;AG$2,"")&amp;IF(N(AH215)&gt;0,", "&amp;AH$2,"")&amp;IF(N(AI215)&gt;0,", "&amp;AI$2,"")&amp;IF(N(AJ215)&gt;0,", "&amp;AJ$2,""),3,999)</f>
        <v/>
      </c>
      <c r="AM215" s="87" t="str">
        <f aca="false">IF(E215="","",MID(IF(N(Y215)&gt;0,", "&amp;A215&amp;"-"&amp;Y$2,"")&amp;IF(N(Z215)&gt;0,", "&amp;A215&amp;"-"&amp;Z$2,"")&amp;IF(N(AA215)&gt;0,", "&amp;A215&amp;"-"&amp;AA$2,"")&amp;IF(N(AB215)&gt;0,", "&amp;A215&amp;"-"&amp;AB$2,"")&amp;IF(N(AC215)&gt;0,", "&amp;A215&amp;"-"&amp;AC$2,"")&amp;IF(N(AD215)&gt;0,", "&amp;A215&amp;"-"&amp;AD$2,"")&amp;IF(N(AE215)&gt;0,", "&amp;A215&amp;"-"&amp;AE$2,"")&amp;IF(N(AF215)&gt;0,", "&amp;A215&amp;"-"&amp;AF$2,"")&amp;IF(N(AG215)&gt;0,", "&amp;A215&amp;"-"&amp;AG$2,"")&amp;IF(N(AH215)&gt;0,", "&amp;A215&amp;"-"&amp;AH$2,"")&amp;IF(N(AI215)&gt;0,", "&amp;A215&amp;"-"&amp;AI$2,"")&amp;IF(N(AJ215)&gt;0,", "&amp;A215&amp;"-"&amp;AJ$2,""),3,999))</f>
        <v/>
      </c>
      <c r="AN215" s="81"/>
      <c r="AO215" s="88"/>
      <c r="AP215" s="89" t="str">
        <f aca="false">IF(AO215="","",ROUND(AO215/(1+Справочники!$B$13),2))</f>
        <v/>
      </c>
      <c r="AQ215" s="90" t="str">
        <f aca="false" t="array" ref="AQ215:AQ215">IF(AP215="","",AP215*INDEX(Справочники!$B$4:$B$7,MATCH("RUB",Справочники!$A$4:$A$7,0)))</f>
        <v/>
      </c>
      <c r="AR215" s="90" t="str">
        <f aca="false">IF(AQ215="","",ROUND(AQ215*(1+Справочники!$B$12),0))</f>
        <v/>
      </c>
      <c r="AS215" s="90" t="str">
        <f aca="false">IF(AR215="","",ROUND(AR215*(1-Справочники!$B$11),0))</f>
        <v/>
      </c>
      <c r="AT215" s="88"/>
      <c r="AU215" s="90" t="str">
        <f aca="false">IF(AT215="","",ROUND(AT215/(1+Справочники!$B$12),0))</f>
        <v/>
      </c>
      <c r="AV215" s="90" t="str">
        <f aca="false">IF(AT215="","",ROUND(AT215*(1-Справочники!$B$15),0))</f>
        <v/>
      </c>
      <c r="AW215" s="90" t="str">
        <f aca="false">IF(AT215="","",ROUND(AT215*(1-Справочники!$B$16),0))</f>
        <v/>
      </c>
      <c r="AX215" s="90" t="str">
        <f aca="false">IF(AT215="","",ROUND(AT215*(1-Справочники!$B$17),0))</f>
        <v/>
      </c>
      <c r="AY215" s="90" t="str">
        <f aca="false">IF(AT215="","",ROUND(AT215*(1-Справочники!$B$18),0))</f>
        <v/>
      </c>
      <c r="AZ215" s="90" t="str">
        <f aca="false">IF(AT215="","",ROUND(AT215*(1-Справочники!$B$19),0))</f>
        <v/>
      </c>
      <c r="BA215" s="81"/>
      <c r="BB215" s="81"/>
      <c r="BC215" s="81"/>
      <c r="BD215" s="81"/>
      <c r="BE215" s="91"/>
      <c r="BF215" s="81" t="s">
        <v>103</v>
      </c>
      <c r="BG215" s="89" t="n">
        <f aca="false" t="array" ref="BG215:BG215">IF(BF215="","",IFERROR(INDEX(Справочники!$B$4:$B$7,MATCH(BF215,Справочники!$A$4:$A$7,0)),""))</f>
        <v>68.5</v>
      </c>
      <c r="BH215" s="90" t="str">
        <f aca="false">IF(N(BN215)&gt;0,ROUND(SUMIF(ЗАКАЗЫ!$F$3:$F$500,$A215,ЗАКАЗЫ!$Y$3:$Y$500)/BN215,0),IF(OR(BE215="",BG215=""),"",ROUND(BE215*BG215*(1+Справочники!$B$10),0)))</f>
        <v/>
      </c>
      <c r="BI215" s="92" t="str">
        <f aca="false">IF(OR(AU215="",BH215="",AU215=0),"",(AU215-BH215)/AU215)</f>
        <v/>
      </c>
      <c r="BJ215" s="81"/>
      <c r="BK215" s="83"/>
      <c r="BL215" s="43" t="str">
        <f aca="false">IFERROR(INDEX(ЗАКАЗЫ!$N$3:$N$500,MATCH($A215,ЗАКАЗЫ!$F$3:$F$500,0)),"")</f>
        <v/>
      </c>
      <c r="BM215" s="8" t="str">
        <f aca="false">IF(BL215="","",IFERROR(VLOOKUP(BL215,'ТН ВЭД'!$A$4:$C$40,3,0),""))</f>
        <v/>
      </c>
      <c r="BN215" s="7" t="str">
        <f aca="false">IF(COUNTIF(ЗАКАЗЫ!$F$3:$F$500,$A215)=0,"",SUMIF(ЗАКАЗЫ!$F$3:$F$500,$A215,ЗАКАЗЫ!$J$3:$J$500))</f>
        <v/>
      </c>
      <c r="BO215" s="7" t="str">
        <f aca="false">IF(BN215="","",SUMIF(ЗАКАЗЫ!$F$3:$F$500,$A215,ЗАКАЗЫ!$AL$3:$AL$500))</f>
        <v/>
      </c>
      <c r="BP215" s="7" t="str">
        <f aca="false">IF(BN215="","",BN215-BO215)</f>
        <v/>
      </c>
      <c r="BQ215" s="55" t="str">
        <f aca="false">IF(BN215="","",IF(BO215&gt;=BN215,"На складе",IF(BO215&gt;0,"Частично","Ждём")))</f>
        <v/>
      </c>
      <c r="BR215" s="43"/>
      <c r="BS215" s="47" t="str">
        <f aca="false">IF(BN215="","",IF(_xlfn.MAXIFS(ЗАКАЗЫ!$AK$3:$AK$500,ЗАКАЗЫ!$F$3:$F$500,$A215)=0,"",_xlfn.MAXIFS(ЗАКАЗЫ!$AK$3:$AK$500,ЗАКАЗЫ!$F$3:$F$500,$A215)))</f>
        <v/>
      </c>
    </row>
    <row r="216" customFormat="false" ht="15.75" hidden="false" customHeight="true" outlineLevel="0" collapsed="false">
      <c r="A216" s="80" t="s">
        <v>690</v>
      </c>
      <c r="B216" s="81"/>
      <c r="C216" s="81"/>
      <c r="D216" s="81"/>
      <c r="E216" s="83"/>
      <c r="F216" s="81"/>
      <c r="G216" s="83"/>
      <c r="H216" s="83"/>
      <c r="I216" s="84" t="str">
        <f aca="false">IF(E216="","",A216&amp;"_1.jpg")</f>
        <v/>
      </c>
      <c r="J216" s="84" t="str">
        <f aca="false">IF(E216="","",A216&amp;"_2.jpg; "&amp;A216&amp;"_3.jpg")</f>
        <v/>
      </c>
      <c r="K216" s="84" t="str">
        <f aca="false">IF(E216="","",A216&amp;"_schema.jpg")</f>
        <v/>
      </c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 t="s">
        <v>261</v>
      </c>
      <c r="W216" s="81"/>
      <c r="X216" s="81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6" t="str">
        <f aca="false">IF(SUM(Y216:AJ216)=0,"",SUM(Y216:AJ216))</f>
        <v/>
      </c>
      <c r="AL216" s="84" t="str">
        <f aca="false">MID(IF(N(Y216)&gt;0,", "&amp;Y$2,"")&amp;IF(N(Z216)&gt;0,", "&amp;Z$2,"")&amp;IF(N(AA216)&gt;0,", "&amp;AA$2,"")&amp;IF(N(AB216)&gt;0,", "&amp;AB$2,"")&amp;IF(N(AC216)&gt;0,", "&amp;AC$2,"")&amp;IF(N(AD216)&gt;0,", "&amp;AD$2,"")&amp;IF(N(AE216)&gt;0,", "&amp;AE$2,"")&amp;IF(N(AF216)&gt;0,", "&amp;AF$2,"")&amp;IF(N(AG216)&gt;0,", "&amp;AG$2,"")&amp;IF(N(AH216)&gt;0,", "&amp;AH$2,"")&amp;IF(N(AI216)&gt;0,", "&amp;AI$2,"")&amp;IF(N(AJ216)&gt;0,", "&amp;AJ$2,""),3,999)</f>
        <v/>
      </c>
      <c r="AM216" s="87" t="str">
        <f aca="false">IF(E216="","",MID(IF(N(Y216)&gt;0,", "&amp;A216&amp;"-"&amp;Y$2,"")&amp;IF(N(Z216)&gt;0,", "&amp;A216&amp;"-"&amp;Z$2,"")&amp;IF(N(AA216)&gt;0,", "&amp;A216&amp;"-"&amp;AA$2,"")&amp;IF(N(AB216)&gt;0,", "&amp;A216&amp;"-"&amp;AB$2,"")&amp;IF(N(AC216)&gt;0,", "&amp;A216&amp;"-"&amp;AC$2,"")&amp;IF(N(AD216)&gt;0,", "&amp;A216&amp;"-"&amp;AD$2,"")&amp;IF(N(AE216)&gt;0,", "&amp;A216&amp;"-"&amp;AE$2,"")&amp;IF(N(AF216)&gt;0,", "&amp;A216&amp;"-"&amp;AF$2,"")&amp;IF(N(AG216)&gt;0,", "&amp;A216&amp;"-"&amp;AG$2,"")&amp;IF(N(AH216)&gt;0,", "&amp;A216&amp;"-"&amp;AH$2,"")&amp;IF(N(AI216)&gt;0,", "&amp;A216&amp;"-"&amp;AI$2,"")&amp;IF(N(AJ216)&gt;0,", "&amp;A216&amp;"-"&amp;AJ$2,""),3,999))</f>
        <v/>
      </c>
      <c r="AN216" s="81"/>
      <c r="AO216" s="88"/>
      <c r="AP216" s="89" t="str">
        <f aca="false">IF(AO216="","",ROUND(AO216/(1+Справочники!$B$13),2))</f>
        <v/>
      </c>
      <c r="AQ216" s="90" t="str">
        <f aca="false" t="array" ref="AQ216:AQ216">IF(AP216="","",AP216*INDEX(Справочники!$B$4:$B$7,MATCH("RUB",Справочники!$A$4:$A$7,0)))</f>
        <v/>
      </c>
      <c r="AR216" s="90" t="str">
        <f aca="false">IF(AQ216="","",ROUND(AQ216*(1+Справочники!$B$12),0))</f>
        <v/>
      </c>
      <c r="AS216" s="90" t="str">
        <f aca="false">IF(AR216="","",ROUND(AR216*(1-Справочники!$B$11),0))</f>
        <v/>
      </c>
      <c r="AT216" s="88"/>
      <c r="AU216" s="90" t="str">
        <f aca="false">IF(AT216="","",ROUND(AT216/(1+Справочники!$B$12),0))</f>
        <v/>
      </c>
      <c r="AV216" s="90" t="str">
        <f aca="false">IF(AT216="","",ROUND(AT216*(1-Справочники!$B$15),0))</f>
        <v/>
      </c>
      <c r="AW216" s="90" t="str">
        <f aca="false">IF(AT216="","",ROUND(AT216*(1-Справочники!$B$16),0))</f>
        <v/>
      </c>
      <c r="AX216" s="90" t="str">
        <f aca="false">IF(AT216="","",ROUND(AT216*(1-Справочники!$B$17),0))</f>
        <v/>
      </c>
      <c r="AY216" s="90" t="str">
        <f aca="false">IF(AT216="","",ROUND(AT216*(1-Справочники!$B$18),0))</f>
        <v/>
      </c>
      <c r="AZ216" s="90" t="str">
        <f aca="false">IF(AT216="","",ROUND(AT216*(1-Справочники!$B$19),0))</f>
        <v/>
      </c>
      <c r="BA216" s="81"/>
      <c r="BB216" s="81"/>
      <c r="BC216" s="81"/>
      <c r="BD216" s="81"/>
      <c r="BE216" s="91"/>
      <c r="BF216" s="81" t="s">
        <v>103</v>
      </c>
      <c r="BG216" s="89" t="n">
        <f aca="false" t="array" ref="BG216:BG216">IF(BF216="","",IFERROR(INDEX(Справочники!$B$4:$B$7,MATCH(BF216,Справочники!$A$4:$A$7,0)),""))</f>
        <v>68.5</v>
      </c>
      <c r="BH216" s="90" t="str">
        <f aca="false">IF(N(BN216)&gt;0,ROUND(SUMIF(ЗАКАЗЫ!$F$3:$F$500,$A216,ЗАКАЗЫ!$Y$3:$Y$500)/BN216,0),IF(OR(BE216="",BG216=""),"",ROUND(BE216*BG216*(1+Справочники!$B$10),0)))</f>
        <v/>
      </c>
      <c r="BI216" s="92" t="str">
        <f aca="false">IF(OR(AU216="",BH216="",AU216=0),"",(AU216-BH216)/AU216)</f>
        <v/>
      </c>
      <c r="BJ216" s="81"/>
      <c r="BK216" s="83"/>
      <c r="BL216" s="43" t="str">
        <f aca="false">IFERROR(INDEX(ЗАКАЗЫ!$N$3:$N$500,MATCH($A216,ЗАКАЗЫ!$F$3:$F$500,0)),"")</f>
        <v/>
      </c>
      <c r="BM216" s="8" t="str">
        <f aca="false">IF(BL216="","",IFERROR(VLOOKUP(BL216,'ТН ВЭД'!$A$4:$C$40,3,0),""))</f>
        <v/>
      </c>
      <c r="BN216" s="7" t="str">
        <f aca="false">IF(COUNTIF(ЗАКАЗЫ!$F$3:$F$500,$A216)=0,"",SUMIF(ЗАКАЗЫ!$F$3:$F$500,$A216,ЗАКАЗЫ!$J$3:$J$500))</f>
        <v/>
      </c>
      <c r="BO216" s="7" t="str">
        <f aca="false">IF(BN216="","",SUMIF(ЗАКАЗЫ!$F$3:$F$500,$A216,ЗАКАЗЫ!$AL$3:$AL$500))</f>
        <v/>
      </c>
      <c r="BP216" s="7" t="str">
        <f aca="false">IF(BN216="","",BN216-BO216)</f>
        <v/>
      </c>
      <c r="BQ216" s="55" t="str">
        <f aca="false">IF(BN216="","",IF(BO216&gt;=BN216,"На складе",IF(BO216&gt;0,"Частично","Ждём")))</f>
        <v/>
      </c>
      <c r="BR216" s="43"/>
      <c r="BS216" s="47" t="str">
        <f aca="false">IF(BN216="","",IF(_xlfn.MAXIFS(ЗАКАЗЫ!$AK$3:$AK$500,ЗАКАЗЫ!$F$3:$F$500,$A216)=0,"",_xlfn.MAXIFS(ЗАКАЗЫ!$AK$3:$AK$500,ЗАКАЗЫ!$F$3:$F$500,$A216)))</f>
        <v/>
      </c>
    </row>
    <row r="217" customFormat="false" ht="15.75" hidden="false" customHeight="true" outlineLevel="0" collapsed="false">
      <c r="A217" s="80" t="s">
        <v>691</v>
      </c>
      <c r="B217" s="81"/>
      <c r="C217" s="81"/>
      <c r="D217" s="81"/>
      <c r="E217" s="83"/>
      <c r="F217" s="81"/>
      <c r="G217" s="83"/>
      <c r="H217" s="83"/>
      <c r="I217" s="84" t="str">
        <f aca="false">IF(E217="","",A217&amp;"_1.jpg")</f>
        <v/>
      </c>
      <c r="J217" s="84" t="str">
        <f aca="false">IF(E217="","",A217&amp;"_2.jpg; "&amp;A217&amp;"_3.jpg")</f>
        <v/>
      </c>
      <c r="K217" s="84" t="str">
        <f aca="false">IF(E217="","",A217&amp;"_schema.jpg")</f>
        <v/>
      </c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 t="s">
        <v>261</v>
      </c>
      <c r="W217" s="81"/>
      <c r="X217" s="81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6" t="str">
        <f aca="false">IF(SUM(Y217:AJ217)=0,"",SUM(Y217:AJ217))</f>
        <v/>
      </c>
      <c r="AL217" s="84" t="str">
        <f aca="false">MID(IF(N(Y217)&gt;0,", "&amp;Y$2,"")&amp;IF(N(Z217)&gt;0,", "&amp;Z$2,"")&amp;IF(N(AA217)&gt;0,", "&amp;AA$2,"")&amp;IF(N(AB217)&gt;0,", "&amp;AB$2,"")&amp;IF(N(AC217)&gt;0,", "&amp;AC$2,"")&amp;IF(N(AD217)&gt;0,", "&amp;AD$2,"")&amp;IF(N(AE217)&gt;0,", "&amp;AE$2,"")&amp;IF(N(AF217)&gt;0,", "&amp;AF$2,"")&amp;IF(N(AG217)&gt;0,", "&amp;AG$2,"")&amp;IF(N(AH217)&gt;0,", "&amp;AH$2,"")&amp;IF(N(AI217)&gt;0,", "&amp;AI$2,"")&amp;IF(N(AJ217)&gt;0,", "&amp;AJ$2,""),3,999)</f>
        <v/>
      </c>
      <c r="AM217" s="87" t="str">
        <f aca="false">IF(E217="","",MID(IF(N(Y217)&gt;0,", "&amp;A217&amp;"-"&amp;Y$2,"")&amp;IF(N(Z217)&gt;0,", "&amp;A217&amp;"-"&amp;Z$2,"")&amp;IF(N(AA217)&gt;0,", "&amp;A217&amp;"-"&amp;AA$2,"")&amp;IF(N(AB217)&gt;0,", "&amp;A217&amp;"-"&amp;AB$2,"")&amp;IF(N(AC217)&gt;0,", "&amp;A217&amp;"-"&amp;AC$2,"")&amp;IF(N(AD217)&gt;0,", "&amp;A217&amp;"-"&amp;AD$2,"")&amp;IF(N(AE217)&gt;0,", "&amp;A217&amp;"-"&amp;AE$2,"")&amp;IF(N(AF217)&gt;0,", "&amp;A217&amp;"-"&amp;AF$2,"")&amp;IF(N(AG217)&gt;0,", "&amp;A217&amp;"-"&amp;AG$2,"")&amp;IF(N(AH217)&gt;0,", "&amp;A217&amp;"-"&amp;AH$2,"")&amp;IF(N(AI217)&gt;0,", "&amp;A217&amp;"-"&amp;AI$2,"")&amp;IF(N(AJ217)&gt;0,", "&amp;A217&amp;"-"&amp;AJ$2,""),3,999))</f>
        <v/>
      </c>
      <c r="AN217" s="81"/>
      <c r="AO217" s="88"/>
      <c r="AP217" s="89" t="str">
        <f aca="false">IF(AO217="","",ROUND(AO217/(1+Справочники!$B$13),2))</f>
        <v/>
      </c>
      <c r="AQ217" s="90" t="str">
        <f aca="false" t="array" ref="AQ217:AQ217">IF(AP217="","",AP217*INDEX(Справочники!$B$4:$B$7,MATCH("RUB",Справочники!$A$4:$A$7,0)))</f>
        <v/>
      </c>
      <c r="AR217" s="90" t="str">
        <f aca="false">IF(AQ217="","",ROUND(AQ217*(1+Справочники!$B$12),0))</f>
        <v/>
      </c>
      <c r="AS217" s="90" t="str">
        <f aca="false">IF(AR217="","",ROUND(AR217*(1-Справочники!$B$11),0))</f>
        <v/>
      </c>
      <c r="AT217" s="88"/>
      <c r="AU217" s="90" t="str">
        <f aca="false">IF(AT217="","",ROUND(AT217/(1+Справочники!$B$12),0))</f>
        <v/>
      </c>
      <c r="AV217" s="90" t="str">
        <f aca="false">IF(AT217="","",ROUND(AT217*(1-Справочники!$B$15),0))</f>
        <v/>
      </c>
      <c r="AW217" s="90" t="str">
        <f aca="false">IF(AT217="","",ROUND(AT217*(1-Справочники!$B$16),0))</f>
        <v/>
      </c>
      <c r="AX217" s="90" t="str">
        <f aca="false">IF(AT217="","",ROUND(AT217*(1-Справочники!$B$17),0))</f>
        <v/>
      </c>
      <c r="AY217" s="90" t="str">
        <f aca="false">IF(AT217="","",ROUND(AT217*(1-Справочники!$B$18),0))</f>
        <v/>
      </c>
      <c r="AZ217" s="90" t="str">
        <f aca="false">IF(AT217="","",ROUND(AT217*(1-Справочники!$B$19),0))</f>
        <v/>
      </c>
      <c r="BA217" s="81"/>
      <c r="BB217" s="81"/>
      <c r="BC217" s="81"/>
      <c r="BD217" s="81"/>
      <c r="BE217" s="91"/>
      <c r="BF217" s="81" t="s">
        <v>103</v>
      </c>
      <c r="BG217" s="89" t="n">
        <f aca="false" t="array" ref="BG217:BG217">IF(BF217="","",IFERROR(INDEX(Справочники!$B$4:$B$7,MATCH(BF217,Справочники!$A$4:$A$7,0)),""))</f>
        <v>68.5</v>
      </c>
      <c r="BH217" s="90" t="str">
        <f aca="false">IF(N(BN217)&gt;0,ROUND(SUMIF(ЗАКАЗЫ!$F$3:$F$500,$A217,ЗАКАЗЫ!$Y$3:$Y$500)/BN217,0),IF(OR(BE217="",BG217=""),"",ROUND(BE217*BG217*(1+Справочники!$B$10),0)))</f>
        <v/>
      </c>
      <c r="BI217" s="92" t="str">
        <f aca="false">IF(OR(AU217="",BH217="",AU217=0),"",(AU217-BH217)/AU217)</f>
        <v/>
      </c>
      <c r="BJ217" s="81"/>
      <c r="BK217" s="83"/>
      <c r="BL217" s="43" t="str">
        <f aca="false">IFERROR(INDEX(ЗАКАЗЫ!$N$3:$N$500,MATCH($A217,ЗАКАЗЫ!$F$3:$F$500,0)),"")</f>
        <v/>
      </c>
      <c r="BM217" s="8" t="str">
        <f aca="false">IF(BL217="","",IFERROR(VLOOKUP(BL217,'ТН ВЭД'!$A$4:$C$40,3,0),""))</f>
        <v/>
      </c>
      <c r="BN217" s="7" t="str">
        <f aca="false">IF(COUNTIF(ЗАКАЗЫ!$F$3:$F$500,$A217)=0,"",SUMIF(ЗАКАЗЫ!$F$3:$F$500,$A217,ЗАКАЗЫ!$J$3:$J$500))</f>
        <v/>
      </c>
      <c r="BO217" s="7" t="str">
        <f aca="false">IF(BN217="","",SUMIF(ЗАКАЗЫ!$F$3:$F$500,$A217,ЗАКАЗЫ!$AL$3:$AL$500))</f>
        <v/>
      </c>
      <c r="BP217" s="7" t="str">
        <f aca="false">IF(BN217="","",BN217-BO217)</f>
        <v/>
      </c>
      <c r="BQ217" s="55" t="str">
        <f aca="false">IF(BN217="","",IF(BO217&gt;=BN217,"На складе",IF(BO217&gt;0,"Частично","Ждём")))</f>
        <v/>
      </c>
      <c r="BR217" s="43"/>
      <c r="BS217" s="47" t="str">
        <f aca="false">IF(BN217="","",IF(_xlfn.MAXIFS(ЗАКАЗЫ!$AK$3:$AK$500,ЗАКАЗЫ!$F$3:$F$500,$A217)=0,"",_xlfn.MAXIFS(ЗАКАЗЫ!$AK$3:$AK$500,ЗАКАЗЫ!$F$3:$F$500,$A217)))</f>
        <v/>
      </c>
    </row>
    <row r="218" customFormat="false" ht="15.75" hidden="false" customHeight="true" outlineLevel="0" collapsed="false">
      <c r="A218" s="80" t="s">
        <v>692</v>
      </c>
      <c r="B218" s="81"/>
      <c r="C218" s="81"/>
      <c r="D218" s="81"/>
      <c r="E218" s="83"/>
      <c r="F218" s="81"/>
      <c r="G218" s="83"/>
      <c r="H218" s="83"/>
      <c r="I218" s="84" t="str">
        <f aca="false">IF(E218="","",A218&amp;"_1.jpg")</f>
        <v/>
      </c>
      <c r="J218" s="84" t="str">
        <f aca="false">IF(E218="","",A218&amp;"_2.jpg; "&amp;A218&amp;"_3.jpg")</f>
        <v/>
      </c>
      <c r="K218" s="84" t="str">
        <f aca="false">IF(E218="","",A218&amp;"_schema.jpg")</f>
        <v/>
      </c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 t="s">
        <v>261</v>
      </c>
      <c r="W218" s="81"/>
      <c r="X218" s="81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6" t="str">
        <f aca="false">IF(SUM(Y218:AJ218)=0,"",SUM(Y218:AJ218))</f>
        <v/>
      </c>
      <c r="AL218" s="84" t="str">
        <f aca="false">MID(IF(N(Y218)&gt;0,", "&amp;Y$2,"")&amp;IF(N(Z218)&gt;0,", "&amp;Z$2,"")&amp;IF(N(AA218)&gt;0,", "&amp;AA$2,"")&amp;IF(N(AB218)&gt;0,", "&amp;AB$2,"")&amp;IF(N(AC218)&gt;0,", "&amp;AC$2,"")&amp;IF(N(AD218)&gt;0,", "&amp;AD$2,"")&amp;IF(N(AE218)&gt;0,", "&amp;AE$2,"")&amp;IF(N(AF218)&gt;0,", "&amp;AF$2,"")&amp;IF(N(AG218)&gt;0,", "&amp;AG$2,"")&amp;IF(N(AH218)&gt;0,", "&amp;AH$2,"")&amp;IF(N(AI218)&gt;0,", "&amp;AI$2,"")&amp;IF(N(AJ218)&gt;0,", "&amp;AJ$2,""),3,999)</f>
        <v/>
      </c>
      <c r="AM218" s="87" t="str">
        <f aca="false">IF(E218="","",MID(IF(N(Y218)&gt;0,", "&amp;A218&amp;"-"&amp;Y$2,"")&amp;IF(N(Z218)&gt;0,", "&amp;A218&amp;"-"&amp;Z$2,"")&amp;IF(N(AA218)&gt;0,", "&amp;A218&amp;"-"&amp;AA$2,"")&amp;IF(N(AB218)&gt;0,", "&amp;A218&amp;"-"&amp;AB$2,"")&amp;IF(N(AC218)&gt;0,", "&amp;A218&amp;"-"&amp;AC$2,"")&amp;IF(N(AD218)&gt;0,", "&amp;A218&amp;"-"&amp;AD$2,"")&amp;IF(N(AE218)&gt;0,", "&amp;A218&amp;"-"&amp;AE$2,"")&amp;IF(N(AF218)&gt;0,", "&amp;A218&amp;"-"&amp;AF$2,"")&amp;IF(N(AG218)&gt;0,", "&amp;A218&amp;"-"&amp;AG$2,"")&amp;IF(N(AH218)&gt;0,", "&amp;A218&amp;"-"&amp;AH$2,"")&amp;IF(N(AI218)&gt;0,", "&amp;A218&amp;"-"&amp;AI$2,"")&amp;IF(N(AJ218)&gt;0,", "&amp;A218&amp;"-"&amp;AJ$2,""),3,999))</f>
        <v/>
      </c>
      <c r="AN218" s="81"/>
      <c r="AO218" s="88"/>
      <c r="AP218" s="89" t="str">
        <f aca="false">IF(AO218="","",ROUND(AO218/(1+Справочники!$B$13),2))</f>
        <v/>
      </c>
      <c r="AQ218" s="90" t="str">
        <f aca="false" t="array" ref="AQ218:AQ218">IF(AP218="","",AP218*INDEX(Справочники!$B$4:$B$7,MATCH("RUB",Справочники!$A$4:$A$7,0)))</f>
        <v/>
      </c>
      <c r="AR218" s="90" t="str">
        <f aca="false">IF(AQ218="","",ROUND(AQ218*(1+Справочники!$B$12),0))</f>
        <v/>
      </c>
      <c r="AS218" s="90" t="str">
        <f aca="false">IF(AR218="","",ROUND(AR218*(1-Справочники!$B$11),0))</f>
        <v/>
      </c>
      <c r="AT218" s="88"/>
      <c r="AU218" s="90" t="str">
        <f aca="false">IF(AT218="","",ROUND(AT218/(1+Справочники!$B$12),0))</f>
        <v/>
      </c>
      <c r="AV218" s="90" t="str">
        <f aca="false">IF(AT218="","",ROUND(AT218*(1-Справочники!$B$15),0))</f>
        <v/>
      </c>
      <c r="AW218" s="90" t="str">
        <f aca="false">IF(AT218="","",ROUND(AT218*(1-Справочники!$B$16),0))</f>
        <v/>
      </c>
      <c r="AX218" s="90" t="str">
        <f aca="false">IF(AT218="","",ROUND(AT218*(1-Справочники!$B$17),0))</f>
        <v/>
      </c>
      <c r="AY218" s="90" t="str">
        <f aca="false">IF(AT218="","",ROUND(AT218*(1-Справочники!$B$18),0))</f>
        <v/>
      </c>
      <c r="AZ218" s="90" t="str">
        <f aca="false">IF(AT218="","",ROUND(AT218*(1-Справочники!$B$19),0))</f>
        <v/>
      </c>
      <c r="BA218" s="81"/>
      <c r="BB218" s="81"/>
      <c r="BC218" s="81"/>
      <c r="BD218" s="81"/>
      <c r="BE218" s="91"/>
      <c r="BF218" s="81" t="s">
        <v>103</v>
      </c>
      <c r="BG218" s="89" t="n">
        <f aca="false" t="array" ref="BG218:BG218">IF(BF218="","",IFERROR(INDEX(Справочники!$B$4:$B$7,MATCH(BF218,Справочники!$A$4:$A$7,0)),""))</f>
        <v>68.5</v>
      </c>
      <c r="BH218" s="90" t="str">
        <f aca="false">IF(N(BN218)&gt;0,ROUND(SUMIF(ЗАКАЗЫ!$F$3:$F$500,$A218,ЗАКАЗЫ!$Y$3:$Y$500)/BN218,0),IF(OR(BE218="",BG218=""),"",ROUND(BE218*BG218*(1+Справочники!$B$10),0)))</f>
        <v/>
      </c>
      <c r="BI218" s="92" t="str">
        <f aca="false">IF(OR(AU218="",BH218="",AU218=0),"",(AU218-BH218)/AU218)</f>
        <v/>
      </c>
      <c r="BJ218" s="81"/>
      <c r="BK218" s="83"/>
      <c r="BL218" s="43" t="str">
        <f aca="false">IFERROR(INDEX(ЗАКАЗЫ!$N$3:$N$500,MATCH($A218,ЗАКАЗЫ!$F$3:$F$500,0)),"")</f>
        <v/>
      </c>
      <c r="BM218" s="8" t="str">
        <f aca="false">IF(BL218="","",IFERROR(VLOOKUP(BL218,'ТН ВЭД'!$A$4:$C$40,3,0),""))</f>
        <v/>
      </c>
      <c r="BN218" s="7" t="str">
        <f aca="false">IF(COUNTIF(ЗАКАЗЫ!$F$3:$F$500,$A218)=0,"",SUMIF(ЗАКАЗЫ!$F$3:$F$500,$A218,ЗАКАЗЫ!$J$3:$J$500))</f>
        <v/>
      </c>
      <c r="BO218" s="7" t="str">
        <f aca="false">IF(BN218="","",SUMIF(ЗАКАЗЫ!$F$3:$F$500,$A218,ЗАКАЗЫ!$AL$3:$AL$500))</f>
        <v/>
      </c>
      <c r="BP218" s="7" t="str">
        <f aca="false">IF(BN218="","",BN218-BO218)</f>
        <v/>
      </c>
      <c r="BQ218" s="55" t="str">
        <f aca="false">IF(BN218="","",IF(BO218&gt;=BN218,"На складе",IF(BO218&gt;0,"Частично","Ждём")))</f>
        <v/>
      </c>
      <c r="BR218" s="43"/>
      <c r="BS218" s="47" t="str">
        <f aca="false">IF(BN218="","",IF(_xlfn.MAXIFS(ЗАКАЗЫ!$AK$3:$AK$500,ЗАКАЗЫ!$F$3:$F$500,$A218)=0,"",_xlfn.MAXIFS(ЗАКАЗЫ!$AK$3:$AK$500,ЗАКАЗЫ!$F$3:$F$500,$A218)))</f>
        <v/>
      </c>
    </row>
    <row r="219" customFormat="false" ht="15.75" hidden="false" customHeight="true" outlineLevel="0" collapsed="false">
      <c r="A219" s="80" t="s">
        <v>693</v>
      </c>
      <c r="B219" s="81"/>
      <c r="C219" s="81"/>
      <c r="D219" s="81"/>
      <c r="E219" s="83"/>
      <c r="F219" s="81"/>
      <c r="G219" s="83"/>
      <c r="H219" s="83"/>
      <c r="I219" s="84" t="str">
        <f aca="false">IF(E219="","",A219&amp;"_1.jpg")</f>
        <v/>
      </c>
      <c r="J219" s="84" t="str">
        <f aca="false">IF(E219="","",A219&amp;"_2.jpg; "&amp;A219&amp;"_3.jpg")</f>
        <v/>
      </c>
      <c r="K219" s="84" t="str">
        <f aca="false">IF(E219="","",A219&amp;"_schema.jpg")</f>
        <v/>
      </c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 t="s">
        <v>261</v>
      </c>
      <c r="W219" s="81"/>
      <c r="X219" s="81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6" t="str">
        <f aca="false">IF(SUM(Y219:AJ219)=0,"",SUM(Y219:AJ219))</f>
        <v/>
      </c>
      <c r="AL219" s="84" t="str">
        <f aca="false">MID(IF(N(Y219)&gt;0,", "&amp;Y$2,"")&amp;IF(N(Z219)&gt;0,", "&amp;Z$2,"")&amp;IF(N(AA219)&gt;0,", "&amp;AA$2,"")&amp;IF(N(AB219)&gt;0,", "&amp;AB$2,"")&amp;IF(N(AC219)&gt;0,", "&amp;AC$2,"")&amp;IF(N(AD219)&gt;0,", "&amp;AD$2,"")&amp;IF(N(AE219)&gt;0,", "&amp;AE$2,"")&amp;IF(N(AF219)&gt;0,", "&amp;AF$2,"")&amp;IF(N(AG219)&gt;0,", "&amp;AG$2,"")&amp;IF(N(AH219)&gt;0,", "&amp;AH$2,"")&amp;IF(N(AI219)&gt;0,", "&amp;AI$2,"")&amp;IF(N(AJ219)&gt;0,", "&amp;AJ$2,""),3,999)</f>
        <v/>
      </c>
      <c r="AM219" s="87" t="str">
        <f aca="false">IF(E219="","",MID(IF(N(Y219)&gt;0,", "&amp;A219&amp;"-"&amp;Y$2,"")&amp;IF(N(Z219)&gt;0,", "&amp;A219&amp;"-"&amp;Z$2,"")&amp;IF(N(AA219)&gt;0,", "&amp;A219&amp;"-"&amp;AA$2,"")&amp;IF(N(AB219)&gt;0,", "&amp;A219&amp;"-"&amp;AB$2,"")&amp;IF(N(AC219)&gt;0,", "&amp;A219&amp;"-"&amp;AC$2,"")&amp;IF(N(AD219)&gt;0,", "&amp;A219&amp;"-"&amp;AD$2,"")&amp;IF(N(AE219)&gt;0,", "&amp;A219&amp;"-"&amp;AE$2,"")&amp;IF(N(AF219)&gt;0,", "&amp;A219&amp;"-"&amp;AF$2,"")&amp;IF(N(AG219)&gt;0,", "&amp;A219&amp;"-"&amp;AG$2,"")&amp;IF(N(AH219)&gt;0,", "&amp;A219&amp;"-"&amp;AH$2,"")&amp;IF(N(AI219)&gt;0,", "&amp;A219&amp;"-"&amp;AI$2,"")&amp;IF(N(AJ219)&gt;0,", "&amp;A219&amp;"-"&amp;AJ$2,""),3,999))</f>
        <v/>
      </c>
      <c r="AN219" s="81"/>
      <c r="AO219" s="88"/>
      <c r="AP219" s="89" t="str">
        <f aca="false">IF(AO219="","",ROUND(AO219/(1+Справочники!$B$13),2))</f>
        <v/>
      </c>
      <c r="AQ219" s="90" t="str">
        <f aca="false" t="array" ref="AQ219:AQ219">IF(AP219="","",AP219*INDEX(Справочники!$B$4:$B$7,MATCH("RUB",Справочники!$A$4:$A$7,0)))</f>
        <v/>
      </c>
      <c r="AR219" s="90" t="str">
        <f aca="false">IF(AQ219="","",ROUND(AQ219*(1+Справочники!$B$12),0))</f>
        <v/>
      </c>
      <c r="AS219" s="90" t="str">
        <f aca="false">IF(AR219="","",ROUND(AR219*(1-Справочники!$B$11),0))</f>
        <v/>
      </c>
      <c r="AT219" s="88"/>
      <c r="AU219" s="90" t="str">
        <f aca="false">IF(AT219="","",ROUND(AT219/(1+Справочники!$B$12),0))</f>
        <v/>
      </c>
      <c r="AV219" s="90" t="str">
        <f aca="false">IF(AT219="","",ROUND(AT219*(1-Справочники!$B$15),0))</f>
        <v/>
      </c>
      <c r="AW219" s="90" t="str">
        <f aca="false">IF(AT219="","",ROUND(AT219*(1-Справочники!$B$16),0))</f>
        <v/>
      </c>
      <c r="AX219" s="90" t="str">
        <f aca="false">IF(AT219="","",ROUND(AT219*(1-Справочники!$B$17),0))</f>
        <v/>
      </c>
      <c r="AY219" s="90" t="str">
        <f aca="false">IF(AT219="","",ROUND(AT219*(1-Справочники!$B$18),0))</f>
        <v/>
      </c>
      <c r="AZ219" s="90" t="str">
        <f aca="false">IF(AT219="","",ROUND(AT219*(1-Справочники!$B$19),0))</f>
        <v/>
      </c>
      <c r="BA219" s="81"/>
      <c r="BB219" s="81"/>
      <c r="BC219" s="81"/>
      <c r="BD219" s="81"/>
      <c r="BE219" s="91"/>
      <c r="BF219" s="81" t="s">
        <v>103</v>
      </c>
      <c r="BG219" s="89" t="n">
        <f aca="false" t="array" ref="BG219:BG219">IF(BF219="","",IFERROR(INDEX(Справочники!$B$4:$B$7,MATCH(BF219,Справочники!$A$4:$A$7,0)),""))</f>
        <v>68.5</v>
      </c>
      <c r="BH219" s="90" t="str">
        <f aca="false">IF(N(BN219)&gt;0,ROUND(SUMIF(ЗАКАЗЫ!$F$3:$F$500,$A219,ЗАКАЗЫ!$Y$3:$Y$500)/BN219,0),IF(OR(BE219="",BG219=""),"",ROUND(BE219*BG219*(1+Справочники!$B$10),0)))</f>
        <v/>
      </c>
      <c r="BI219" s="92" t="str">
        <f aca="false">IF(OR(AU219="",BH219="",AU219=0),"",(AU219-BH219)/AU219)</f>
        <v/>
      </c>
      <c r="BJ219" s="81"/>
      <c r="BK219" s="83"/>
      <c r="BL219" s="43" t="str">
        <f aca="false">IFERROR(INDEX(ЗАКАЗЫ!$N$3:$N$500,MATCH($A219,ЗАКАЗЫ!$F$3:$F$500,0)),"")</f>
        <v/>
      </c>
      <c r="BM219" s="8" t="str">
        <f aca="false">IF(BL219="","",IFERROR(VLOOKUP(BL219,'ТН ВЭД'!$A$4:$C$40,3,0),""))</f>
        <v/>
      </c>
      <c r="BN219" s="7" t="str">
        <f aca="false">IF(COUNTIF(ЗАКАЗЫ!$F$3:$F$500,$A219)=0,"",SUMIF(ЗАКАЗЫ!$F$3:$F$500,$A219,ЗАКАЗЫ!$J$3:$J$500))</f>
        <v/>
      </c>
      <c r="BO219" s="7" t="str">
        <f aca="false">IF(BN219="","",SUMIF(ЗАКАЗЫ!$F$3:$F$500,$A219,ЗАКАЗЫ!$AL$3:$AL$500))</f>
        <v/>
      </c>
      <c r="BP219" s="7" t="str">
        <f aca="false">IF(BN219="","",BN219-BO219)</f>
        <v/>
      </c>
      <c r="BQ219" s="55" t="str">
        <f aca="false">IF(BN219="","",IF(BO219&gt;=BN219,"На складе",IF(BO219&gt;0,"Частично","Ждём")))</f>
        <v/>
      </c>
      <c r="BR219" s="43"/>
      <c r="BS219" s="47" t="str">
        <f aca="false">IF(BN219="","",IF(_xlfn.MAXIFS(ЗАКАЗЫ!$AK$3:$AK$500,ЗАКАЗЫ!$F$3:$F$500,$A219)=0,"",_xlfn.MAXIFS(ЗАКАЗЫ!$AK$3:$AK$500,ЗАКАЗЫ!$F$3:$F$500,$A219)))</f>
        <v/>
      </c>
    </row>
    <row r="220" customFormat="false" ht="15.75" hidden="false" customHeight="true" outlineLevel="0" collapsed="false">
      <c r="A220" s="80" t="s">
        <v>694</v>
      </c>
      <c r="B220" s="81"/>
      <c r="C220" s="81"/>
      <c r="D220" s="81"/>
      <c r="E220" s="83"/>
      <c r="F220" s="81"/>
      <c r="G220" s="83"/>
      <c r="H220" s="83"/>
      <c r="I220" s="84" t="str">
        <f aca="false">IF(E220="","",A220&amp;"_1.jpg")</f>
        <v/>
      </c>
      <c r="J220" s="84" t="str">
        <f aca="false">IF(E220="","",A220&amp;"_2.jpg; "&amp;A220&amp;"_3.jpg")</f>
        <v/>
      </c>
      <c r="K220" s="84" t="str">
        <f aca="false">IF(E220="","",A220&amp;"_schema.jpg")</f>
        <v/>
      </c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 t="s">
        <v>261</v>
      </c>
      <c r="W220" s="81"/>
      <c r="X220" s="81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6" t="str">
        <f aca="false">IF(SUM(Y220:AJ220)=0,"",SUM(Y220:AJ220))</f>
        <v/>
      </c>
      <c r="AL220" s="84" t="str">
        <f aca="false">MID(IF(N(Y220)&gt;0,", "&amp;Y$2,"")&amp;IF(N(Z220)&gt;0,", "&amp;Z$2,"")&amp;IF(N(AA220)&gt;0,", "&amp;AA$2,"")&amp;IF(N(AB220)&gt;0,", "&amp;AB$2,"")&amp;IF(N(AC220)&gt;0,", "&amp;AC$2,"")&amp;IF(N(AD220)&gt;0,", "&amp;AD$2,"")&amp;IF(N(AE220)&gt;0,", "&amp;AE$2,"")&amp;IF(N(AF220)&gt;0,", "&amp;AF$2,"")&amp;IF(N(AG220)&gt;0,", "&amp;AG$2,"")&amp;IF(N(AH220)&gt;0,", "&amp;AH$2,"")&amp;IF(N(AI220)&gt;0,", "&amp;AI$2,"")&amp;IF(N(AJ220)&gt;0,", "&amp;AJ$2,""),3,999)</f>
        <v/>
      </c>
      <c r="AM220" s="87" t="str">
        <f aca="false">IF(E220="","",MID(IF(N(Y220)&gt;0,", "&amp;A220&amp;"-"&amp;Y$2,"")&amp;IF(N(Z220)&gt;0,", "&amp;A220&amp;"-"&amp;Z$2,"")&amp;IF(N(AA220)&gt;0,", "&amp;A220&amp;"-"&amp;AA$2,"")&amp;IF(N(AB220)&gt;0,", "&amp;A220&amp;"-"&amp;AB$2,"")&amp;IF(N(AC220)&gt;0,", "&amp;A220&amp;"-"&amp;AC$2,"")&amp;IF(N(AD220)&gt;0,", "&amp;A220&amp;"-"&amp;AD$2,"")&amp;IF(N(AE220)&gt;0,", "&amp;A220&amp;"-"&amp;AE$2,"")&amp;IF(N(AF220)&gt;0,", "&amp;A220&amp;"-"&amp;AF$2,"")&amp;IF(N(AG220)&gt;0,", "&amp;A220&amp;"-"&amp;AG$2,"")&amp;IF(N(AH220)&gt;0,", "&amp;A220&amp;"-"&amp;AH$2,"")&amp;IF(N(AI220)&gt;0,", "&amp;A220&amp;"-"&amp;AI$2,"")&amp;IF(N(AJ220)&gt;0,", "&amp;A220&amp;"-"&amp;AJ$2,""),3,999))</f>
        <v/>
      </c>
      <c r="AN220" s="81"/>
      <c r="AO220" s="88"/>
      <c r="AP220" s="89" t="str">
        <f aca="false">IF(AO220="","",ROUND(AO220/(1+Справочники!$B$13),2))</f>
        <v/>
      </c>
      <c r="AQ220" s="90" t="str">
        <f aca="false" t="array" ref="AQ220:AQ220">IF(AP220="","",AP220*INDEX(Справочники!$B$4:$B$7,MATCH("RUB",Справочники!$A$4:$A$7,0)))</f>
        <v/>
      </c>
      <c r="AR220" s="90" t="str">
        <f aca="false">IF(AQ220="","",ROUND(AQ220*(1+Справочники!$B$12),0))</f>
        <v/>
      </c>
      <c r="AS220" s="90" t="str">
        <f aca="false">IF(AR220="","",ROUND(AR220*(1-Справочники!$B$11),0))</f>
        <v/>
      </c>
      <c r="AT220" s="88"/>
      <c r="AU220" s="90" t="str">
        <f aca="false">IF(AT220="","",ROUND(AT220/(1+Справочники!$B$12),0))</f>
        <v/>
      </c>
      <c r="AV220" s="90" t="str">
        <f aca="false">IF(AT220="","",ROUND(AT220*(1-Справочники!$B$15),0))</f>
        <v/>
      </c>
      <c r="AW220" s="90" t="str">
        <f aca="false">IF(AT220="","",ROUND(AT220*(1-Справочники!$B$16),0))</f>
        <v/>
      </c>
      <c r="AX220" s="90" t="str">
        <f aca="false">IF(AT220="","",ROUND(AT220*(1-Справочники!$B$17),0))</f>
        <v/>
      </c>
      <c r="AY220" s="90" t="str">
        <f aca="false">IF(AT220="","",ROUND(AT220*(1-Справочники!$B$18),0))</f>
        <v/>
      </c>
      <c r="AZ220" s="90" t="str">
        <f aca="false">IF(AT220="","",ROUND(AT220*(1-Справочники!$B$19),0))</f>
        <v/>
      </c>
      <c r="BA220" s="81"/>
      <c r="BB220" s="81"/>
      <c r="BC220" s="81"/>
      <c r="BD220" s="81"/>
      <c r="BE220" s="91"/>
      <c r="BF220" s="81" t="s">
        <v>103</v>
      </c>
      <c r="BG220" s="89" t="n">
        <f aca="false" t="array" ref="BG220:BG220">IF(BF220="","",IFERROR(INDEX(Справочники!$B$4:$B$7,MATCH(BF220,Справочники!$A$4:$A$7,0)),""))</f>
        <v>68.5</v>
      </c>
      <c r="BH220" s="90" t="str">
        <f aca="false">IF(N(BN220)&gt;0,ROUND(SUMIF(ЗАКАЗЫ!$F$3:$F$500,$A220,ЗАКАЗЫ!$Y$3:$Y$500)/BN220,0),IF(OR(BE220="",BG220=""),"",ROUND(BE220*BG220*(1+Справочники!$B$10),0)))</f>
        <v/>
      </c>
      <c r="BI220" s="92" t="str">
        <f aca="false">IF(OR(AU220="",BH220="",AU220=0),"",(AU220-BH220)/AU220)</f>
        <v/>
      </c>
      <c r="BJ220" s="81"/>
      <c r="BK220" s="83"/>
      <c r="BL220" s="43" t="str">
        <f aca="false">IFERROR(INDEX(ЗАКАЗЫ!$N$3:$N$500,MATCH($A220,ЗАКАЗЫ!$F$3:$F$500,0)),"")</f>
        <v/>
      </c>
      <c r="BM220" s="8" t="str">
        <f aca="false">IF(BL220="","",IFERROR(VLOOKUP(BL220,'ТН ВЭД'!$A$4:$C$40,3,0),""))</f>
        <v/>
      </c>
      <c r="BN220" s="7" t="str">
        <f aca="false">IF(COUNTIF(ЗАКАЗЫ!$F$3:$F$500,$A220)=0,"",SUMIF(ЗАКАЗЫ!$F$3:$F$500,$A220,ЗАКАЗЫ!$J$3:$J$500))</f>
        <v/>
      </c>
      <c r="BO220" s="7" t="str">
        <f aca="false">IF(BN220="","",SUMIF(ЗАКАЗЫ!$F$3:$F$500,$A220,ЗАКАЗЫ!$AL$3:$AL$500))</f>
        <v/>
      </c>
      <c r="BP220" s="7" t="str">
        <f aca="false">IF(BN220="","",BN220-BO220)</f>
        <v/>
      </c>
      <c r="BQ220" s="55" t="str">
        <f aca="false">IF(BN220="","",IF(BO220&gt;=BN220,"На складе",IF(BO220&gt;0,"Частично","Ждём")))</f>
        <v/>
      </c>
      <c r="BR220" s="43"/>
      <c r="BS220" s="47" t="str">
        <f aca="false">IF(BN220="","",IF(_xlfn.MAXIFS(ЗАКАЗЫ!$AK$3:$AK$500,ЗАКАЗЫ!$F$3:$F$500,$A220)=0,"",_xlfn.MAXIFS(ЗАКАЗЫ!$AK$3:$AK$500,ЗАКАЗЫ!$F$3:$F$500,$A220)))</f>
        <v/>
      </c>
    </row>
    <row r="221" customFormat="false" ht="15.75" hidden="false" customHeight="true" outlineLevel="0" collapsed="false">
      <c r="A221" s="80" t="s">
        <v>695</v>
      </c>
      <c r="B221" s="81"/>
      <c r="C221" s="81"/>
      <c r="D221" s="81"/>
      <c r="E221" s="83"/>
      <c r="F221" s="81"/>
      <c r="G221" s="83"/>
      <c r="H221" s="83"/>
      <c r="I221" s="84" t="str">
        <f aca="false">IF(E221="","",A221&amp;"_1.jpg")</f>
        <v/>
      </c>
      <c r="J221" s="84" t="str">
        <f aca="false">IF(E221="","",A221&amp;"_2.jpg; "&amp;A221&amp;"_3.jpg")</f>
        <v/>
      </c>
      <c r="K221" s="84" t="str">
        <f aca="false">IF(E221="","",A221&amp;"_schema.jpg")</f>
        <v/>
      </c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 t="s">
        <v>261</v>
      </c>
      <c r="W221" s="81"/>
      <c r="X221" s="81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6" t="str">
        <f aca="false">IF(SUM(Y221:AJ221)=0,"",SUM(Y221:AJ221))</f>
        <v/>
      </c>
      <c r="AL221" s="84" t="str">
        <f aca="false">MID(IF(N(Y221)&gt;0,", "&amp;Y$2,"")&amp;IF(N(Z221)&gt;0,", "&amp;Z$2,"")&amp;IF(N(AA221)&gt;0,", "&amp;AA$2,"")&amp;IF(N(AB221)&gt;0,", "&amp;AB$2,"")&amp;IF(N(AC221)&gt;0,", "&amp;AC$2,"")&amp;IF(N(AD221)&gt;0,", "&amp;AD$2,"")&amp;IF(N(AE221)&gt;0,", "&amp;AE$2,"")&amp;IF(N(AF221)&gt;0,", "&amp;AF$2,"")&amp;IF(N(AG221)&gt;0,", "&amp;AG$2,"")&amp;IF(N(AH221)&gt;0,", "&amp;AH$2,"")&amp;IF(N(AI221)&gt;0,", "&amp;AI$2,"")&amp;IF(N(AJ221)&gt;0,", "&amp;AJ$2,""),3,999)</f>
        <v/>
      </c>
      <c r="AM221" s="87" t="str">
        <f aca="false">IF(E221="","",MID(IF(N(Y221)&gt;0,", "&amp;A221&amp;"-"&amp;Y$2,"")&amp;IF(N(Z221)&gt;0,", "&amp;A221&amp;"-"&amp;Z$2,"")&amp;IF(N(AA221)&gt;0,", "&amp;A221&amp;"-"&amp;AA$2,"")&amp;IF(N(AB221)&gt;0,", "&amp;A221&amp;"-"&amp;AB$2,"")&amp;IF(N(AC221)&gt;0,", "&amp;A221&amp;"-"&amp;AC$2,"")&amp;IF(N(AD221)&gt;0,", "&amp;A221&amp;"-"&amp;AD$2,"")&amp;IF(N(AE221)&gt;0,", "&amp;A221&amp;"-"&amp;AE$2,"")&amp;IF(N(AF221)&gt;0,", "&amp;A221&amp;"-"&amp;AF$2,"")&amp;IF(N(AG221)&gt;0,", "&amp;A221&amp;"-"&amp;AG$2,"")&amp;IF(N(AH221)&gt;0,", "&amp;A221&amp;"-"&amp;AH$2,"")&amp;IF(N(AI221)&gt;0,", "&amp;A221&amp;"-"&amp;AI$2,"")&amp;IF(N(AJ221)&gt;0,", "&amp;A221&amp;"-"&amp;AJ$2,""),3,999))</f>
        <v/>
      </c>
      <c r="AN221" s="81"/>
      <c r="AO221" s="88"/>
      <c r="AP221" s="89" t="str">
        <f aca="false">IF(AO221="","",ROUND(AO221/(1+Справочники!$B$13),2))</f>
        <v/>
      </c>
      <c r="AQ221" s="90" t="str">
        <f aca="false" t="array" ref="AQ221:AQ221">IF(AP221="","",AP221*INDEX(Справочники!$B$4:$B$7,MATCH("RUB",Справочники!$A$4:$A$7,0)))</f>
        <v/>
      </c>
      <c r="AR221" s="90" t="str">
        <f aca="false">IF(AQ221="","",ROUND(AQ221*(1+Справочники!$B$12),0))</f>
        <v/>
      </c>
      <c r="AS221" s="90" t="str">
        <f aca="false">IF(AR221="","",ROUND(AR221*(1-Справочники!$B$11),0))</f>
        <v/>
      </c>
      <c r="AT221" s="88"/>
      <c r="AU221" s="90" t="str">
        <f aca="false">IF(AT221="","",ROUND(AT221/(1+Справочники!$B$12),0))</f>
        <v/>
      </c>
      <c r="AV221" s="90" t="str">
        <f aca="false">IF(AT221="","",ROUND(AT221*(1-Справочники!$B$15),0))</f>
        <v/>
      </c>
      <c r="AW221" s="90" t="str">
        <f aca="false">IF(AT221="","",ROUND(AT221*(1-Справочники!$B$16),0))</f>
        <v/>
      </c>
      <c r="AX221" s="90" t="str">
        <f aca="false">IF(AT221="","",ROUND(AT221*(1-Справочники!$B$17),0))</f>
        <v/>
      </c>
      <c r="AY221" s="90" t="str">
        <f aca="false">IF(AT221="","",ROUND(AT221*(1-Справочники!$B$18),0))</f>
        <v/>
      </c>
      <c r="AZ221" s="90" t="str">
        <f aca="false">IF(AT221="","",ROUND(AT221*(1-Справочники!$B$19),0))</f>
        <v/>
      </c>
      <c r="BA221" s="81"/>
      <c r="BB221" s="81"/>
      <c r="BC221" s="81"/>
      <c r="BD221" s="81"/>
      <c r="BE221" s="91"/>
      <c r="BF221" s="81" t="s">
        <v>103</v>
      </c>
      <c r="BG221" s="89" t="n">
        <f aca="false" t="array" ref="BG221:BG221">IF(BF221="","",IFERROR(INDEX(Справочники!$B$4:$B$7,MATCH(BF221,Справочники!$A$4:$A$7,0)),""))</f>
        <v>68.5</v>
      </c>
      <c r="BH221" s="90" t="str">
        <f aca="false">IF(N(BN221)&gt;0,ROUND(SUMIF(ЗАКАЗЫ!$F$3:$F$500,$A221,ЗАКАЗЫ!$Y$3:$Y$500)/BN221,0),IF(OR(BE221="",BG221=""),"",ROUND(BE221*BG221*(1+Справочники!$B$10),0)))</f>
        <v/>
      </c>
      <c r="BI221" s="92" t="str">
        <f aca="false">IF(OR(AU221="",BH221="",AU221=0),"",(AU221-BH221)/AU221)</f>
        <v/>
      </c>
      <c r="BJ221" s="81"/>
      <c r="BK221" s="83"/>
      <c r="BL221" s="43" t="str">
        <f aca="false">IFERROR(INDEX(ЗАКАЗЫ!$N$3:$N$500,MATCH($A221,ЗАКАЗЫ!$F$3:$F$500,0)),"")</f>
        <v/>
      </c>
      <c r="BM221" s="8" t="str">
        <f aca="false">IF(BL221="","",IFERROR(VLOOKUP(BL221,'ТН ВЭД'!$A$4:$C$40,3,0),""))</f>
        <v/>
      </c>
      <c r="BN221" s="7" t="str">
        <f aca="false">IF(COUNTIF(ЗАКАЗЫ!$F$3:$F$500,$A221)=0,"",SUMIF(ЗАКАЗЫ!$F$3:$F$500,$A221,ЗАКАЗЫ!$J$3:$J$500))</f>
        <v/>
      </c>
      <c r="BO221" s="7" t="str">
        <f aca="false">IF(BN221="","",SUMIF(ЗАКАЗЫ!$F$3:$F$500,$A221,ЗАКАЗЫ!$AL$3:$AL$500))</f>
        <v/>
      </c>
      <c r="BP221" s="7" t="str">
        <f aca="false">IF(BN221="","",BN221-BO221)</f>
        <v/>
      </c>
      <c r="BQ221" s="55" t="str">
        <f aca="false">IF(BN221="","",IF(BO221&gt;=BN221,"На складе",IF(BO221&gt;0,"Частично","Ждём")))</f>
        <v/>
      </c>
      <c r="BR221" s="43"/>
      <c r="BS221" s="47" t="str">
        <f aca="false">IF(BN221="","",IF(_xlfn.MAXIFS(ЗАКАЗЫ!$AK$3:$AK$500,ЗАКАЗЫ!$F$3:$F$500,$A221)=0,"",_xlfn.MAXIFS(ЗАКАЗЫ!$AK$3:$AK$500,ЗАКАЗЫ!$F$3:$F$500,$A221)))</f>
        <v/>
      </c>
    </row>
    <row r="222" customFormat="false" ht="15.75" hidden="false" customHeight="true" outlineLevel="0" collapsed="false">
      <c r="A222" s="80" t="s">
        <v>696</v>
      </c>
      <c r="B222" s="81"/>
      <c r="C222" s="81"/>
      <c r="D222" s="81"/>
      <c r="E222" s="83"/>
      <c r="F222" s="81"/>
      <c r="G222" s="83"/>
      <c r="H222" s="83"/>
      <c r="I222" s="84" t="str">
        <f aca="false">IF(E222="","",A222&amp;"_1.jpg")</f>
        <v/>
      </c>
      <c r="J222" s="84" t="str">
        <f aca="false">IF(E222="","",A222&amp;"_2.jpg; "&amp;A222&amp;"_3.jpg")</f>
        <v/>
      </c>
      <c r="K222" s="84" t="str">
        <f aca="false">IF(E222="","",A222&amp;"_schema.jpg")</f>
        <v/>
      </c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 t="s">
        <v>261</v>
      </c>
      <c r="W222" s="81"/>
      <c r="X222" s="81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6" t="str">
        <f aca="false">IF(SUM(Y222:AJ222)=0,"",SUM(Y222:AJ222))</f>
        <v/>
      </c>
      <c r="AL222" s="84" t="str">
        <f aca="false">MID(IF(N(Y222)&gt;0,", "&amp;Y$2,"")&amp;IF(N(Z222)&gt;0,", "&amp;Z$2,"")&amp;IF(N(AA222)&gt;0,", "&amp;AA$2,"")&amp;IF(N(AB222)&gt;0,", "&amp;AB$2,"")&amp;IF(N(AC222)&gt;0,", "&amp;AC$2,"")&amp;IF(N(AD222)&gt;0,", "&amp;AD$2,"")&amp;IF(N(AE222)&gt;0,", "&amp;AE$2,"")&amp;IF(N(AF222)&gt;0,", "&amp;AF$2,"")&amp;IF(N(AG222)&gt;0,", "&amp;AG$2,"")&amp;IF(N(AH222)&gt;0,", "&amp;AH$2,"")&amp;IF(N(AI222)&gt;0,", "&amp;AI$2,"")&amp;IF(N(AJ222)&gt;0,", "&amp;AJ$2,""),3,999)</f>
        <v/>
      </c>
      <c r="AM222" s="87" t="str">
        <f aca="false">IF(E222="","",MID(IF(N(Y222)&gt;0,", "&amp;A222&amp;"-"&amp;Y$2,"")&amp;IF(N(Z222)&gt;0,", "&amp;A222&amp;"-"&amp;Z$2,"")&amp;IF(N(AA222)&gt;0,", "&amp;A222&amp;"-"&amp;AA$2,"")&amp;IF(N(AB222)&gt;0,", "&amp;A222&amp;"-"&amp;AB$2,"")&amp;IF(N(AC222)&gt;0,", "&amp;A222&amp;"-"&amp;AC$2,"")&amp;IF(N(AD222)&gt;0,", "&amp;A222&amp;"-"&amp;AD$2,"")&amp;IF(N(AE222)&gt;0,", "&amp;A222&amp;"-"&amp;AE$2,"")&amp;IF(N(AF222)&gt;0,", "&amp;A222&amp;"-"&amp;AF$2,"")&amp;IF(N(AG222)&gt;0,", "&amp;A222&amp;"-"&amp;AG$2,"")&amp;IF(N(AH222)&gt;0,", "&amp;A222&amp;"-"&amp;AH$2,"")&amp;IF(N(AI222)&gt;0,", "&amp;A222&amp;"-"&amp;AI$2,"")&amp;IF(N(AJ222)&gt;0,", "&amp;A222&amp;"-"&amp;AJ$2,""),3,999))</f>
        <v/>
      </c>
      <c r="AN222" s="81"/>
      <c r="AO222" s="88"/>
      <c r="AP222" s="89" t="str">
        <f aca="false">IF(AO222="","",ROUND(AO222/(1+Справочники!$B$13),2))</f>
        <v/>
      </c>
      <c r="AQ222" s="90" t="str">
        <f aca="false" t="array" ref="AQ222:AQ222">IF(AP222="","",AP222*INDEX(Справочники!$B$4:$B$7,MATCH("RUB",Справочники!$A$4:$A$7,0)))</f>
        <v/>
      </c>
      <c r="AR222" s="90" t="str">
        <f aca="false">IF(AQ222="","",ROUND(AQ222*(1+Справочники!$B$12),0))</f>
        <v/>
      </c>
      <c r="AS222" s="90" t="str">
        <f aca="false">IF(AR222="","",ROUND(AR222*(1-Справочники!$B$11),0))</f>
        <v/>
      </c>
      <c r="AT222" s="88"/>
      <c r="AU222" s="90" t="str">
        <f aca="false">IF(AT222="","",ROUND(AT222/(1+Справочники!$B$12),0))</f>
        <v/>
      </c>
      <c r="AV222" s="90" t="str">
        <f aca="false">IF(AT222="","",ROUND(AT222*(1-Справочники!$B$15),0))</f>
        <v/>
      </c>
      <c r="AW222" s="90" t="str">
        <f aca="false">IF(AT222="","",ROUND(AT222*(1-Справочники!$B$16),0))</f>
        <v/>
      </c>
      <c r="AX222" s="90" t="str">
        <f aca="false">IF(AT222="","",ROUND(AT222*(1-Справочники!$B$17),0))</f>
        <v/>
      </c>
      <c r="AY222" s="90" t="str">
        <f aca="false">IF(AT222="","",ROUND(AT222*(1-Справочники!$B$18),0))</f>
        <v/>
      </c>
      <c r="AZ222" s="90" t="str">
        <f aca="false">IF(AT222="","",ROUND(AT222*(1-Справочники!$B$19),0))</f>
        <v/>
      </c>
      <c r="BA222" s="81"/>
      <c r="BB222" s="81"/>
      <c r="BC222" s="81"/>
      <c r="BD222" s="81"/>
      <c r="BE222" s="91"/>
      <c r="BF222" s="81" t="s">
        <v>103</v>
      </c>
      <c r="BG222" s="89" t="n">
        <f aca="false" t="array" ref="BG222:BG222">IF(BF222="","",IFERROR(INDEX(Справочники!$B$4:$B$7,MATCH(BF222,Справочники!$A$4:$A$7,0)),""))</f>
        <v>68.5</v>
      </c>
      <c r="BH222" s="90" t="str">
        <f aca="false">IF(N(BN222)&gt;0,ROUND(SUMIF(ЗАКАЗЫ!$F$3:$F$500,$A222,ЗАКАЗЫ!$Y$3:$Y$500)/BN222,0),IF(OR(BE222="",BG222=""),"",ROUND(BE222*BG222*(1+Справочники!$B$10),0)))</f>
        <v/>
      </c>
      <c r="BI222" s="92" t="str">
        <f aca="false">IF(OR(AU222="",BH222="",AU222=0),"",(AU222-BH222)/AU222)</f>
        <v/>
      </c>
      <c r="BJ222" s="81"/>
      <c r="BK222" s="83"/>
      <c r="BL222" s="43" t="str">
        <f aca="false">IFERROR(INDEX(ЗАКАЗЫ!$N$3:$N$500,MATCH($A222,ЗАКАЗЫ!$F$3:$F$500,0)),"")</f>
        <v/>
      </c>
      <c r="BM222" s="8" t="str">
        <f aca="false">IF(BL222="","",IFERROR(VLOOKUP(BL222,'ТН ВЭД'!$A$4:$C$40,3,0),""))</f>
        <v/>
      </c>
      <c r="BN222" s="7" t="str">
        <f aca="false">IF(COUNTIF(ЗАКАЗЫ!$F$3:$F$500,$A222)=0,"",SUMIF(ЗАКАЗЫ!$F$3:$F$500,$A222,ЗАКАЗЫ!$J$3:$J$500))</f>
        <v/>
      </c>
      <c r="BO222" s="7" t="str">
        <f aca="false">IF(BN222="","",SUMIF(ЗАКАЗЫ!$F$3:$F$500,$A222,ЗАКАЗЫ!$AL$3:$AL$500))</f>
        <v/>
      </c>
      <c r="BP222" s="7" t="str">
        <f aca="false">IF(BN222="","",BN222-BO222)</f>
        <v/>
      </c>
      <c r="BQ222" s="55" t="str">
        <f aca="false">IF(BN222="","",IF(BO222&gt;=BN222,"На складе",IF(BO222&gt;0,"Частично","Ждём")))</f>
        <v/>
      </c>
      <c r="BR222" s="43"/>
      <c r="BS222" s="47" t="str">
        <f aca="false">IF(BN222="","",IF(_xlfn.MAXIFS(ЗАКАЗЫ!$AK$3:$AK$500,ЗАКАЗЫ!$F$3:$F$500,$A222)=0,"",_xlfn.MAXIFS(ЗАКАЗЫ!$AK$3:$AK$500,ЗАКАЗЫ!$F$3:$F$500,$A222)))</f>
        <v/>
      </c>
    </row>
    <row r="223" customFormat="false" ht="15.75" hidden="false" customHeight="true" outlineLevel="0" collapsed="false">
      <c r="A223" s="80" t="s">
        <v>697</v>
      </c>
      <c r="B223" s="81"/>
      <c r="C223" s="81"/>
      <c r="D223" s="81"/>
      <c r="E223" s="83"/>
      <c r="F223" s="81"/>
      <c r="G223" s="83"/>
      <c r="H223" s="83"/>
      <c r="I223" s="84" t="str">
        <f aca="false">IF(E223="","",A223&amp;"_1.jpg")</f>
        <v/>
      </c>
      <c r="J223" s="84" t="str">
        <f aca="false">IF(E223="","",A223&amp;"_2.jpg; "&amp;A223&amp;"_3.jpg")</f>
        <v/>
      </c>
      <c r="K223" s="84" t="str">
        <f aca="false">IF(E223="","",A223&amp;"_schema.jpg")</f>
        <v/>
      </c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 t="s">
        <v>261</v>
      </c>
      <c r="W223" s="81"/>
      <c r="X223" s="81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6" t="str">
        <f aca="false">IF(SUM(Y223:AJ223)=0,"",SUM(Y223:AJ223))</f>
        <v/>
      </c>
      <c r="AL223" s="84" t="str">
        <f aca="false">MID(IF(N(Y223)&gt;0,", "&amp;Y$2,"")&amp;IF(N(Z223)&gt;0,", "&amp;Z$2,"")&amp;IF(N(AA223)&gt;0,", "&amp;AA$2,"")&amp;IF(N(AB223)&gt;0,", "&amp;AB$2,"")&amp;IF(N(AC223)&gt;0,", "&amp;AC$2,"")&amp;IF(N(AD223)&gt;0,", "&amp;AD$2,"")&amp;IF(N(AE223)&gt;0,", "&amp;AE$2,"")&amp;IF(N(AF223)&gt;0,", "&amp;AF$2,"")&amp;IF(N(AG223)&gt;0,", "&amp;AG$2,"")&amp;IF(N(AH223)&gt;0,", "&amp;AH$2,"")&amp;IF(N(AI223)&gt;0,", "&amp;AI$2,"")&amp;IF(N(AJ223)&gt;0,", "&amp;AJ$2,""),3,999)</f>
        <v/>
      </c>
      <c r="AM223" s="87" t="str">
        <f aca="false">IF(E223="","",MID(IF(N(Y223)&gt;0,", "&amp;A223&amp;"-"&amp;Y$2,"")&amp;IF(N(Z223)&gt;0,", "&amp;A223&amp;"-"&amp;Z$2,"")&amp;IF(N(AA223)&gt;0,", "&amp;A223&amp;"-"&amp;AA$2,"")&amp;IF(N(AB223)&gt;0,", "&amp;A223&amp;"-"&amp;AB$2,"")&amp;IF(N(AC223)&gt;0,", "&amp;A223&amp;"-"&amp;AC$2,"")&amp;IF(N(AD223)&gt;0,", "&amp;A223&amp;"-"&amp;AD$2,"")&amp;IF(N(AE223)&gt;0,", "&amp;A223&amp;"-"&amp;AE$2,"")&amp;IF(N(AF223)&gt;0,", "&amp;A223&amp;"-"&amp;AF$2,"")&amp;IF(N(AG223)&gt;0,", "&amp;A223&amp;"-"&amp;AG$2,"")&amp;IF(N(AH223)&gt;0,", "&amp;A223&amp;"-"&amp;AH$2,"")&amp;IF(N(AI223)&gt;0,", "&amp;A223&amp;"-"&amp;AI$2,"")&amp;IF(N(AJ223)&gt;0,", "&amp;A223&amp;"-"&amp;AJ$2,""),3,999))</f>
        <v/>
      </c>
      <c r="AN223" s="81"/>
      <c r="AO223" s="88"/>
      <c r="AP223" s="89" t="str">
        <f aca="false">IF(AO223="","",ROUND(AO223/(1+Справочники!$B$13),2))</f>
        <v/>
      </c>
      <c r="AQ223" s="90" t="str">
        <f aca="false" t="array" ref="AQ223:AQ223">IF(AP223="","",AP223*INDEX(Справочники!$B$4:$B$7,MATCH("RUB",Справочники!$A$4:$A$7,0)))</f>
        <v/>
      </c>
      <c r="AR223" s="90" t="str">
        <f aca="false">IF(AQ223="","",ROUND(AQ223*(1+Справочники!$B$12),0))</f>
        <v/>
      </c>
      <c r="AS223" s="90" t="str">
        <f aca="false">IF(AR223="","",ROUND(AR223*(1-Справочники!$B$11),0))</f>
        <v/>
      </c>
      <c r="AT223" s="88"/>
      <c r="AU223" s="90" t="str">
        <f aca="false">IF(AT223="","",ROUND(AT223/(1+Справочники!$B$12),0))</f>
        <v/>
      </c>
      <c r="AV223" s="90" t="str">
        <f aca="false">IF(AT223="","",ROUND(AT223*(1-Справочники!$B$15),0))</f>
        <v/>
      </c>
      <c r="AW223" s="90" t="str">
        <f aca="false">IF(AT223="","",ROUND(AT223*(1-Справочники!$B$16),0))</f>
        <v/>
      </c>
      <c r="AX223" s="90" t="str">
        <f aca="false">IF(AT223="","",ROUND(AT223*(1-Справочники!$B$17),0))</f>
        <v/>
      </c>
      <c r="AY223" s="90" t="str">
        <f aca="false">IF(AT223="","",ROUND(AT223*(1-Справочники!$B$18),0))</f>
        <v/>
      </c>
      <c r="AZ223" s="90" t="str">
        <f aca="false">IF(AT223="","",ROUND(AT223*(1-Справочники!$B$19),0))</f>
        <v/>
      </c>
      <c r="BA223" s="81"/>
      <c r="BB223" s="81"/>
      <c r="BC223" s="81"/>
      <c r="BD223" s="81"/>
      <c r="BE223" s="91"/>
      <c r="BF223" s="81" t="s">
        <v>103</v>
      </c>
      <c r="BG223" s="89" t="n">
        <f aca="false" t="array" ref="BG223:BG223">IF(BF223="","",IFERROR(INDEX(Справочники!$B$4:$B$7,MATCH(BF223,Справочники!$A$4:$A$7,0)),""))</f>
        <v>68.5</v>
      </c>
      <c r="BH223" s="90" t="str">
        <f aca="false">IF(N(BN223)&gt;0,ROUND(SUMIF(ЗАКАЗЫ!$F$3:$F$500,$A223,ЗАКАЗЫ!$Y$3:$Y$500)/BN223,0),IF(OR(BE223="",BG223=""),"",ROUND(BE223*BG223*(1+Справочники!$B$10),0)))</f>
        <v/>
      </c>
      <c r="BI223" s="92" t="str">
        <f aca="false">IF(OR(AU223="",BH223="",AU223=0),"",(AU223-BH223)/AU223)</f>
        <v/>
      </c>
      <c r="BJ223" s="81"/>
      <c r="BK223" s="83"/>
      <c r="BL223" s="43" t="str">
        <f aca="false">IFERROR(INDEX(ЗАКАЗЫ!$N$3:$N$500,MATCH($A223,ЗАКАЗЫ!$F$3:$F$500,0)),"")</f>
        <v/>
      </c>
      <c r="BM223" s="8" t="str">
        <f aca="false">IF(BL223="","",IFERROR(VLOOKUP(BL223,'ТН ВЭД'!$A$4:$C$40,3,0),""))</f>
        <v/>
      </c>
      <c r="BN223" s="7" t="str">
        <f aca="false">IF(COUNTIF(ЗАКАЗЫ!$F$3:$F$500,$A223)=0,"",SUMIF(ЗАКАЗЫ!$F$3:$F$500,$A223,ЗАКАЗЫ!$J$3:$J$500))</f>
        <v/>
      </c>
      <c r="BO223" s="7" t="str">
        <f aca="false">IF(BN223="","",SUMIF(ЗАКАЗЫ!$F$3:$F$500,$A223,ЗАКАЗЫ!$AL$3:$AL$500))</f>
        <v/>
      </c>
      <c r="BP223" s="7" t="str">
        <f aca="false">IF(BN223="","",BN223-BO223)</f>
        <v/>
      </c>
      <c r="BQ223" s="55" t="str">
        <f aca="false">IF(BN223="","",IF(BO223&gt;=BN223,"На складе",IF(BO223&gt;0,"Частично","Ждём")))</f>
        <v/>
      </c>
      <c r="BR223" s="43"/>
      <c r="BS223" s="47" t="str">
        <f aca="false">IF(BN223="","",IF(_xlfn.MAXIFS(ЗАКАЗЫ!$AK$3:$AK$500,ЗАКАЗЫ!$F$3:$F$500,$A223)=0,"",_xlfn.MAXIFS(ЗАКАЗЫ!$AK$3:$AK$500,ЗАКАЗЫ!$F$3:$F$500,$A223)))</f>
        <v/>
      </c>
    </row>
    <row r="224" customFormat="false" ht="15.75" hidden="false" customHeight="true" outlineLevel="0" collapsed="false">
      <c r="A224" s="80" t="s">
        <v>698</v>
      </c>
      <c r="B224" s="81"/>
      <c r="C224" s="81"/>
      <c r="D224" s="81"/>
      <c r="E224" s="83"/>
      <c r="F224" s="81"/>
      <c r="G224" s="83"/>
      <c r="H224" s="83"/>
      <c r="I224" s="84" t="str">
        <f aca="false">IF(E224="","",A224&amp;"_1.jpg")</f>
        <v/>
      </c>
      <c r="J224" s="84" t="str">
        <f aca="false">IF(E224="","",A224&amp;"_2.jpg; "&amp;A224&amp;"_3.jpg")</f>
        <v/>
      </c>
      <c r="K224" s="84" t="str">
        <f aca="false">IF(E224="","",A224&amp;"_schema.jpg")</f>
        <v/>
      </c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 t="s">
        <v>261</v>
      </c>
      <c r="W224" s="81"/>
      <c r="X224" s="81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6" t="str">
        <f aca="false">IF(SUM(Y224:AJ224)=0,"",SUM(Y224:AJ224))</f>
        <v/>
      </c>
      <c r="AL224" s="84" t="str">
        <f aca="false">MID(IF(N(Y224)&gt;0,", "&amp;Y$2,"")&amp;IF(N(Z224)&gt;0,", "&amp;Z$2,"")&amp;IF(N(AA224)&gt;0,", "&amp;AA$2,"")&amp;IF(N(AB224)&gt;0,", "&amp;AB$2,"")&amp;IF(N(AC224)&gt;0,", "&amp;AC$2,"")&amp;IF(N(AD224)&gt;0,", "&amp;AD$2,"")&amp;IF(N(AE224)&gt;0,", "&amp;AE$2,"")&amp;IF(N(AF224)&gt;0,", "&amp;AF$2,"")&amp;IF(N(AG224)&gt;0,", "&amp;AG$2,"")&amp;IF(N(AH224)&gt;0,", "&amp;AH$2,"")&amp;IF(N(AI224)&gt;0,", "&amp;AI$2,"")&amp;IF(N(AJ224)&gt;0,", "&amp;AJ$2,""),3,999)</f>
        <v/>
      </c>
      <c r="AM224" s="87" t="str">
        <f aca="false">IF(E224="","",MID(IF(N(Y224)&gt;0,", "&amp;A224&amp;"-"&amp;Y$2,"")&amp;IF(N(Z224)&gt;0,", "&amp;A224&amp;"-"&amp;Z$2,"")&amp;IF(N(AA224)&gt;0,", "&amp;A224&amp;"-"&amp;AA$2,"")&amp;IF(N(AB224)&gt;0,", "&amp;A224&amp;"-"&amp;AB$2,"")&amp;IF(N(AC224)&gt;0,", "&amp;A224&amp;"-"&amp;AC$2,"")&amp;IF(N(AD224)&gt;0,", "&amp;A224&amp;"-"&amp;AD$2,"")&amp;IF(N(AE224)&gt;0,", "&amp;A224&amp;"-"&amp;AE$2,"")&amp;IF(N(AF224)&gt;0,", "&amp;A224&amp;"-"&amp;AF$2,"")&amp;IF(N(AG224)&gt;0,", "&amp;A224&amp;"-"&amp;AG$2,"")&amp;IF(N(AH224)&gt;0,", "&amp;A224&amp;"-"&amp;AH$2,"")&amp;IF(N(AI224)&gt;0,", "&amp;A224&amp;"-"&amp;AI$2,"")&amp;IF(N(AJ224)&gt;0,", "&amp;A224&amp;"-"&amp;AJ$2,""),3,999))</f>
        <v/>
      </c>
      <c r="AN224" s="81"/>
      <c r="AO224" s="88"/>
      <c r="AP224" s="89" t="str">
        <f aca="false">IF(AO224="","",ROUND(AO224/(1+Справочники!$B$13),2))</f>
        <v/>
      </c>
      <c r="AQ224" s="90" t="str">
        <f aca="false" t="array" ref="AQ224:AQ224">IF(AP224="","",AP224*INDEX(Справочники!$B$4:$B$7,MATCH("RUB",Справочники!$A$4:$A$7,0)))</f>
        <v/>
      </c>
      <c r="AR224" s="90" t="str">
        <f aca="false">IF(AQ224="","",ROUND(AQ224*(1+Справочники!$B$12),0))</f>
        <v/>
      </c>
      <c r="AS224" s="90" t="str">
        <f aca="false">IF(AR224="","",ROUND(AR224*(1-Справочники!$B$11),0))</f>
        <v/>
      </c>
      <c r="AT224" s="88"/>
      <c r="AU224" s="90" t="str">
        <f aca="false">IF(AT224="","",ROUND(AT224/(1+Справочники!$B$12),0))</f>
        <v/>
      </c>
      <c r="AV224" s="90" t="str">
        <f aca="false">IF(AT224="","",ROUND(AT224*(1-Справочники!$B$15),0))</f>
        <v/>
      </c>
      <c r="AW224" s="90" t="str">
        <f aca="false">IF(AT224="","",ROUND(AT224*(1-Справочники!$B$16),0))</f>
        <v/>
      </c>
      <c r="AX224" s="90" t="str">
        <f aca="false">IF(AT224="","",ROUND(AT224*(1-Справочники!$B$17),0))</f>
        <v/>
      </c>
      <c r="AY224" s="90" t="str">
        <f aca="false">IF(AT224="","",ROUND(AT224*(1-Справочники!$B$18),0))</f>
        <v/>
      </c>
      <c r="AZ224" s="90" t="str">
        <f aca="false">IF(AT224="","",ROUND(AT224*(1-Справочники!$B$19),0))</f>
        <v/>
      </c>
      <c r="BA224" s="81"/>
      <c r="BB224" s="81"/>
      <c r="BC224" s="81"/>
      <c r="BD224" s="81"/>
      <c r="BE224" s="91"/>
      <c r="BF224" s="81" t="s">
        <v>103</v>
      </c>
      <c r="BG224" s="89" t="n">
        <f aca="false" t="array" ref="BG224:BG224">IF(BF224="","",IFERROR(INDEX(Справочники!$B$4:$B$7,MATCH(BF224,Справочники!$A$4:$A$7,0)),""))</f>
        <v>68.5</v>
      </c>
      <c r="BH224" s="90" t="str">
        <f aca="false">IF(N(BN224)&gt;0,ROUND(SUMIF(ЗАКАЗЫ!$F$3:$F$500,$A224,ЗАКАЗЫ!$Y$3:$Y$500)/BN224,0),IF(OR(BE224="",BG224=""),"",ROUND(BE224*BG224*(1+Справочники!$B$10),0)))</f>
        <v/>
      </c>
      <c r="BI224" s="92" t="str">
        <f aca="false">IF(OR(AU224="",BH224="",AU224=0),"",(AU224-BH224)/AU224)</f>
        <v/>
      </c>
      <c r="BJ224" s="81"/>
      <c r="BK224" s="83"/>
      <c r="BL224" s="43" t="str">
        <f aca="false">IFERROR(INDEX(ЗАКАЗЫ!$N$3:$N$500,MATCH($A224,ЗАКАЗЫ!$F$3:$F$500,0)),"")</f>
        <v/>
      </c>
      <c r="BM224" s="8" t="str">
        <f aca="false">IF(BL224="","",IFERROR(VLOOKUP(BL224,'ТН ВЭД'!$A$4:$C$40,3,0),""))</f>
        <v/>
      </c>
      <c r="BN224" s="7" t="str">
        <f aca="false">IF(COUNTIF(ЗАКАЗЫ!$F$3:$F$500,$A224)=0,"",SUMIF(ЗАКАЗЫ!$F$3:$F$500,$A224,ЗАКАЗЫ!$J$3:$J$500))</f>
        <v/>
      </c>
      <c r="BO224" s="7" t="str">
        <f aca="false">IF(BN224="","",SUMIF(ЗАКАЗЫ!$F$3:$F$500,$A224,ЗАКАЗЫ!$AL$3:$AL$500))</f>
        <v/>
      </c>
      <c r="BP224" s="7" t="str">
        <f aca="false">IF(BN224="","",BN224-BO224)</f>
        <v/>
      </c>
      <c r="BQ224" s="55" t="str">
        <f aca="false">IF(BN224="","",IF(BO224&gt;=BN224,"На складе",IF(BO224&gt;0,"Частично","Ждём")))</f>
        <v/>
      </c>
      <c r="BR224" s="43"/>
      <c r="BS224" s="47" t="str">
        <f aca="false">IF(BN224="","",IF(_xlfn.MAXIFS(ЗАКАЗЫ!$AK$3:$AK$500,ЗАКАЗЫ!$F$3:$F$500,$A224)=0,"",_xlfn.MAXIFS(ЗАКАЗЫ!$AK$3:$AK$500,ЗАКАЗЫ!$F$3:$F$500,$A224)))</f>
        <v/>
      </c>
    </row>
    <row r="225" customFormat="false" ht="15.75" hidden="false" customHeight="true" outlineLevel="0" collapsed="false">
      <c r="A225" s="80" t="s">
        <v>699</v>
      </c>
      <c r="B225" s="81"/>
      <c r="C225" s="81"/>
      <c r="D225" s="81"/>
      <c r="E225" s="83"/>
      <c r="F225" s="81"/>
      <c r="G225" s="83"/>
      <c r="H225" s="83"/>
      <c r="I225" s="84" t="str">
        <f aca="false">IF(E225="","",A225&amp;"_1.jpg")</f>
        <v/>
      </c>
      <c r="J225" s="84" t="str">
        <f aca="false">IF(E225="","",A225&amp;"_2.jpg; "&amp;A225&amp;"_3.jpg")</f>
        <v/>
      </c>
      <c r="K225" s="84" t="str">
        <f aca="false">IF(E225="","",A225&amp;"_schema.jpg")</f>
        <v/>
      </c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 t="s">
        <v>261</v>
      </c>
      <c r="W225" s="81"/>
      <c r="X225" s="81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6" t="str">
        <f aca="false">IF(SUM(Y225:AJ225)=0,"",SUM(Y225:AJ225))</f>
        <v/>
      </c>
      <c r="AL225" s="84" t="str">
        <f aca="false">MID(IF(N(Y225)&gt;0,", "&amp;Y$2,"")&amp;IF(N(Z225)&gt;0,", "&amp;Z$2,"")&amp;IF(N(AA225)&gt;0,", "&amp;AA$2,"")&amp;IF(N(AB225)&gt;0,", "&amp;AB$2,"")&amp;IF(N(AC225)&gt;0,", "&amp;AC$2,"")&amp;IF(N(AD225)&gt;0,", "&amp;AD$2,"")&amp;IF(N(AE225)&gt;0,", "&amp;AE$2,"")&amp;IF(N(AF225)&gt;0,", "&amp;AF$2,"")&amp;IF(N(AG225)&gt;0,", "&amp;AG$2,"")&amp;IF(N(AH225)&gt;0,", "&amp;AH$2,"")&amp;IF(N(AI225)&gt;0,", "&amp;AI$2,"")&amp;IF(N(AJ225)&gt;0,", "&amp;AJ$2,""),3,999)</f>
        <v/>
      </c>
      <c r="AM225" s="87" t="str">
        <f aca="false">IF(E225="","",MID(IF(N(Y225)&gt;0,", "&amp;A225&amp;"-"&amp;Y$2,"")&amp;IF(N(Z225)&gt;0,", "&amp;A225&amp;"-"&amp;Z$2,"")&amp;IF(N(AA225)&gt;0,", "&amp;A225&amp;"-"&amp;AA$2,"")&amp;IF(N(AB225)&gt;0,", "&amp;A225&amp;"-"&amp;AB$2,"")&amp;IF(N(AC225)&gt;0,", "&amp;A225&amp;"-"&amp;AC$2,"")&amp;IF(N(AD225)&gt;0,", "&amp;A225&amp;"-"&amp;AD$2,"")&amp;IF(N(AE225)&gt;0,", "&amp;A225&amp;"-"&amp;AE$2,"")&amp;IF(N(AF225)&gt;0,", "&amp;A225&amp;"-"&amp;AF$2,"")&amp;IF(N(AG225)&gt;0,", "&amp;A225&amp;"-"&amp;AG$2,"")&amp;IF(N(AH225)&gt;0,", "&amp;A225&amp;"-"&amp;AH$2,"")&amp;IF(N(AI225)&gt;0,", "&amp;A225&amp;"-"&amp;AI$2,"")&amp;IF(N(AJ225)&gt;0,", "&amp;A225&amp;"-"&amp;AJ$2,""),3,999))</f>
        <v/>
      </c>
      <c r="AN225" s="81"/>
      <c r="AO225" s="88"/>
      <c r="AP225" s="89" t="str">
        <f aca="false">IF(AO225="","",ROUND(AO225/(1+Справочники!$B$13),2))</f>
        <v/>
      </c>
      <c r="AQ225" s="90" t="str">
        <f aca="false" t="array" ref="AQ225:AQ225">IF(AP225="","",AP225*INDEX(Справочники!$B$4:$B$7,MATCH("RUB",Справочники!$A$4:$A$7,0)))</f>
        <v/>
      </c>
      <c r="AR225" s="90" t="str">
        <f aca="false">IF(AQ225="","",ROUND(AQ225*(1+Справочники!$B$12),0))</f>
        <v/>
      </c>
      <c r="AS225" s="90" t="str">
        <f aca="false">IF(AR225="","",ROUND(AR225*(1-Справочники!$B$11),0))</f>
        <v/>
      </c>
      <c r="AT225" s="88"/>
      <c r="AU225" s="90" t="str">
        <f aca="false">IF(AT225="","",ROUND(AT225/(1+Справочники!$B$12),0))</f>
        <v/>
      </c>
      <c r="AV225" s="90" t="str">
        <f aca="false">IF(AT225="","",ROUND(AT225*(1-Справочники!$B$15),0))</f>
        <v/>
      </c>
      <c r="AW225" s="90" t="str">
        <f aca="false">IF(AT225="","",ROUND(AT225*(1-Справочники!$B$16),0))</f>
        <v/>
      </c>
      <c r="AX225" s="90" t="str">
        <f aca="false">IF(AT225="","",ROUND(AT225*(1-Справочники!$B$17),0))</f>
        <v/>
      </c>
      <c r="AY225" s="90" t="str">
        <f aca="false">IF(AT225="","",ROUND(AT225*(1-Справочники!$B$18),0))</f>
        <v/>
      </c>
      <c r="AZ225" s="90" t="str">
        <f aca="false">IF(AT225="","",ROUND(AT225*(1-Справочники!$B$19),0))</f>
        <v/>
      </c>
      <c r="BA225" s="81"/>
      <c r="BB225" s="81"/>
      <c r="BC225" s="81"/>
      <c r="BD225" s="81"/>
      <c r="BE225" s="91"/>
      <c r="BF225" s="81" t="s">
        <v>103</v>
      </c>
      <c r="BG225" s="89" t="n">
        <f aca="false" t="array" ref="BG225:BG225">IF(BF225="","",IFERROR(INDEX(Справочники!$B$4:$B$7,MATCH(BF225,Справочники!$A$4:$A$7,0)),""))</f>
        <v>68.5</v>
      </c>
      <c r="BH225" s="90" t="str">
        <f aca="false">IF(N(BN225)&gt;0,ROUND(SUMIF(ЗАКАЗЫ!$F$3:$F$500,$A225,ЗАКАЗЫ!$Y$3:$Y$500)/BN225,0),IF(OR(BE225="",BG225=""),"",ROUND(BE225*BG225*(1+Справочники!$B$10),0)))</f>
        <v/>
      </c>
      <c r="BI225" s="92" t="str">
        <f aca="false">IF(OR(AU225="",BH225="",AU225=0),"",(AU225-BH225)/AU225)</f>
        <v/>
      </c>
      <c r="BJ225" s="81"/>
      <c r="BK225" s="83"/>
      <c r="BL225" s="43" t="str">
        <f aca="false">IFERROR(INDEX(ЗАКАЗЫ!$N$3:$N$500,MATCH($A225,ЗАКАЗЫ!$F$3:$F$500,0)),"")</f>
        <v/>
      </c>
      <c r="BM225" s="8" t="str">
        <f aca="false">IF(BL225="","",IFERROR(VLOOKUP(BL225,'ТН ВЭД'!$A$4:$C$40,3,0),""))</f>
        <v/>
      </c>
      <c r="BN225" s="7" t="str">
        <f aca="false">IF(COUNTIF(ЗАКАЗЫ!$F$3:$F$500,$A225)=0,"",SUMIF(ЗАКАЗЫ!$F$3:$F$500,$A225,ЗАКАЗЫ!$J$3:$J$500))</f>
        <v/>
      </c>
      <c r="BO225" s="7" t="str">
        <f aca="false">IF(BN225="","",SUMIF(ЗАКАЗЫ!$F$3:$F$500,$A225,ЗАКАЗЫ!$AL$3:$AL$500))</f>
        <v/>
      </c>
      <c r="BP225" s="7" t="str">
        <f aca="false">IF(BN225="","",BN225-BO225)</f>
        <v/>
      </c>
      <c r="BQ225" s="55" t="str">
        <f aca="false">IF(BN225="","",IF(BO225&gt;=BN225,"На складе",IF(BO225&gt;0,"Частично","Ждём")))</f>
        <v/>
      </c>
      <c r="BR225" s="43"/>
      <c r="BS225" s="47" t="str">
        <f aca="false">IF(BN225="","",IF(_xlfn.MAXIFS(ЗАКАЗЫ!$AK$3:$AK$500,ЗАКАЗЫ!$F$3:$F$500,$A225)=0,"",_xlfn.MAXIFS(ЗАКАЗЫ!$AK$3:$AK$500,ЗАКАЗЫ!$F$3:$F$500,$A225)))</f>
        <v/>
      </c>
    </row>
    <row r="226" customFormat="false" ht="15.75" hidden="false" customHeight="true" outlineLevel="0" collapsed="false">
      <c r="A226" s="80" t="s">
        <v>700</v>
      </c>
      <c r="B226" s="81"/>
      <c r="C226" s="81"/>
      <c r="D226" s="81"/>
      <c r="E226" s="83"/>
      <c r="F226" s="81"/>
      <c r="G226" s="83"/>
      <c r="H226" s="83"/>
      <c r="I226" s="84" t="str">
        <f aca="false">IF(E226="","",A226&amp;"_1.jpg")</f>
        <v/>
      </c>
      <c r="J226" s="84" t="str">
        <f aca="false">IF(E226="","",A226&amp;"_2.jpg; "&amp;A226&amp;"_3.jpg")</f>
        <v/>
      </c>
      <c r="K226" s="84" t="str">
        <f aca="false">IF(E226="","",A226&amp;"_schema.jpg")</f>
        <v/>
      </c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 t="s">
        <v>261</v>
      </c>
      <c r="W226" s="81"/>
      <c r="X226" s="81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6" t="str">
        <f aca="false">IF(SUM(Y226:AJ226)=0,"",SUM(Y226:AJ226))</f>
        <v/>
      </c>
      <c r="AL226" s="84" t="str">
        <f aca="false">MID(IF(N(Y226)&gt;0,", "&amp;Y$2,"")&amp;IF(N(Z226)&gt;0,", "&amp;Z$2,"")&amp;IF(N(AA226)&gt;0,", "&amp;AA$2,"")&amp;IF(N(AB226)&gt;0,", "&amp;AB$2,"")&amp;IF(N(AC226)&gt;0,", "&amp;AC$2,"")&amp;IF(N(AD226)&gt;0,", "&amp;AD$2,"")&amp;IF(N(AE226)&gt;0,", "&amp;AE$2,"")&amp;IF(N(AF226)&gt;0,", "&amp;AF$2,"")&amp;IF(N(AG226)&gt;0,", "&amp;AG$2,"")&amp;IF(N(AH226)&gt;0,", "&amp;AH$2,"")&amp;IF(N(AI226)&gt;0,", "&amp;AI$2,"")&amp;IF(N(AJ226)&gt;0,", "&amp;AJ$2,""),3,999)</f>
        <v/>
      </c>
      <c r="AM226" s="87" t="str">
        <f aca="false">IF(E226="","",MID(IF(N(Y226)&gt;0,", "&amp;A226&amp;"-"&amp;Y$2,"")&amp;IF(N(Z226)&gt;0,", "&amp;A226&amp;"-"&amp;Z$2,"")&amp;IF(N(AA226)&gt;0,", "&amp;A226&amp;"-"&amp;AA$2,"")&amp;IF(N(AB226)&gt;0,", "&amp;A226&amp;"-"&amp;AB$2,"")&amp;IF(N(AC226)&gt;0,", "&amp;A226&amp;"-"&amp;AC$2,"")&amp;IF(N(AD226)&gt;0,", "&amp;A226&amp;"-"&amp;AD$2,"")&amp;IF(N(AE226)&gt;0,", "&amp;A226&amp;"-"&amp;AE$2,"")&amp;IF(N(AF226)&gt;0,", "&amp;A226&amp;"-"&amp;AF$2,"")&amp;IF(N(AG226)&gt;0,", "&amp;A226&amp;"-"&amp;AG$2,"")&amp;IF(N(AH226)&gt;0,", "&amp;A226&amp;"-"&amp;AH$2,"")&amp;IF(N(AI226)&gt;0,", "&amp;A226&amp;"-"&amp;AI$2,"")&amp;IF(N(AJ226)&gt;0,", "&amp;A226&amp;"-"&amp;AJ$2,""),3,999))</f>
        <v/>
      </c>
      <c r="AN226" s="81"/>
      <c r="AO226" s="88"/>
      <c r="AP226" s="89" t="str">
        <f aca="false">IF(AO226="","",ROUND(AO226/(1+Справочники!$B$13),2))</f>
        <v/>
      </c>
      <c r="AQ226" s="90" t="str">
        <f aca="false" t="array" ref="AQ226:AQ226">IF(AP226="","",AP226*INDEX(Справочники!$B$4:$B$7,MATCH("RUB",Справочники!$A$4:$A$7,0)))</f>
        <v/>
      </c>
      <c r="AR226" s="90" t="str">
        <f aca="false">IF(AQ226="","",ROUND(AQ226*(1+Справочники!$B$12),0))</f>
        <v/>
      </c>
      <c r="AS226" s="90" t="str">
        <f aca="false">IF(AR226="","",ROUND(AR226*(1-Справочники!$B$11),0))</f>
        <v/>
      </c>
      <c r="AT226" s="88"/>
      <c r="AU226" s="90" t="str">
        <f aca="false">IF(AT226="","",ROUND(AT226/(1+Справочники!$B$12),0))</f>
        <v/>
      </c>
      <c r="AV226" s="90" t="str">
        <f aca="false">IF(AT226="","",ROUND(AT226*(1-Справочники!$B$15),0))</f>
        <v/>
      </c>
      <c r="AW226" s="90" t="str">
        <f aca="false">IF(AT226="","",ROUND(AT226*(1-Справочники!$B$16),0))</f>
        <v/>
      </c>
      <c r="AX226" s="90" t="str">
        <f aca="false">IF(AT226="","",ROUND(AT226*(1-Справочники!$B$17),0))</f>
        <v/>
      </c>
      <c r="AY226" s="90" t="str">
        <f aca="false">IF(AT226="","",ROUND(AT226*(1-Справочники!$B$18),0))</f>
        <v/>
      </c>
      <c r="AZ226" s="90" t="str">
        <f aca="false">IF(AT226="","",ROUND(AT226*(1-Справочники!$B$19),0))</f>
        <v/>
      </c>
      <c r="BA226" s="81"/>
      <c r="BB226" s="81"/>
      <c r="BC226" s="81"/>
      <c r="BD226" s="81"/>
      <c r="BE226" s="91"/>
      <c r="BF226" s="81" t="s">
        <v>103</v>
      </c>
      <c r="BG226" s="89" t="n">
        <f aca="false" t="array" ref="BG226:BG226">IF(BF226="","",IFERROR(INDEX(Справочники!$B$4:$B$7,MATCH(BF226,Справочники!$A$4:$A$7,0)),""))</f>
        <v>68.5</v>
      </c>
      <c r="BH226" s="90" t="str">
        <f aca="false">IF(N(BN226)&gt;0,ROUND(SUMIF(ЗАКАЗЫ!$F$3:$F$500,$A226,ЗАКАЗЫ!$Y$3:$Y$500)/BN226,0),IF(OR(BE226="",BG226=""),"",ROUND(BE226*BG226*(1+Справочники!$B$10),0)))</f>
        <v/>
      </c>
      <c r="BI226" s="92" t="str">
        <f aca="false">IF(OR(AU226="",BH226="",AU226=0),"",(AU226-BH226)/AU226)</f>
        <v/>
      </c>
      <c r="BJ226" s="81"/>
      <c r="BK226" s="83"/>
      <c r="BL226" s="43" t="str">
        <f aca="false">IFERROR(INDEX(ЗАКАЗЫ!$N$3:$N$500,MATCH($A226,ЗАКАЗЫ!$F$3:$F$500,0)),"")</f>
        <v/>
      </c>
      <c r="BM226" s="8" t="str">
        <f aca="false">IF(BL226="","",IFERROR(VLOOKUP(BL226,'ТН ВЭД'!$A$4:$C$40,3,0),""))</f>
        <v/>
      </c>
      <c r="BN226" s="7" t="str">
        <f aca="false">IF(COUNTIF(ЗАКАЗЫ!$F$3:$F$500,$A226)=0,"",SUMIF(ЗАКАЗЫ!$F$3:$F$500,$A226,ЗАКАЗЫ!$J$3:$J$500))</f>
        <v/>
      </c>
      <c r="BO226" s="7" t="str">
        <f aca="false">IF(BN226="","",SUMIF(ЗАКАЗЫ!$F$3:$F$500,$A226,ЗАКАЗЫ!$AL$3:$AL$500))</f>
        <v/>
      </c>
      <c r="BP226" s="7" t="str">
        <f aca="false">IF(BN226="","",BN226-BO226)</f>
        <v/>
      </c>
      <c r="BQ226" s="55" t="str">
        <f aca="false">IF(BN226="","",IF(BO226&gt;=BN226,"На складе",IF(BO226&gt;0,"Частично","Ждём")))</f>
        <v/>
      </c>
      <c r="BR226" s="43"/>
      <c r="BS226" s="47" t="str">
        <f aca="false">IF(BN226="","",IF(_xlfn.MAXIFS(ЗАКАЗЫ!$AK$3:$AK$500,ЗАКАЗЫ!$F$3:$F$500,$A226)=0,"",_xlfn.MAXIFS(ЗАКАЗЫ!$AK$3:$AK$500,ЗАКАЗЫ!$F$3:$F$500,$A226)))</f>
        <v/>
      </c>
    </row>
    <row r="227" customFormat="false" ht="15.75" hidden="false" customHeight="true" outlineLevel="0" collapsed="false">
      <c r="A227" s="80" t="s">
        <v>701</v>
      </c>
      <c r="B227" s="81"/>
      <c r="C227" s="81"/>
      <c r="D227" s="81"/>
      <c r="E227" s="83"/>
      <c r="F227" s="81"/>
      <c r="G227" s="83"/>
      <c r="H227" s="83"/>
      <c r="I227" s="84" t="str">
        <f aca="false">IF(E227="","",A227&amp;"_1.jpg")</f>
        <v/>
      </c>
      <c r="J227" s="84" t="str">
        <f aca="false">IF(E227="","",A227&amp;"_2.jpg; "&amp;A227&amp;"_3.jpg")</f>
        <v/>
      </c>
      <c r="K227" s="84" t="str">
        <f aca="false">IF(E227="","",A227&amp;"_schema.jpg")</f>
        <v/>
      </c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 t="s">
        <v>261</v>
      </c>
      <c r="W227" s="81"/>
      <c r="X227" s="81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6" t="str">
        <f aca="false">IF(SUM(Y227:AJ227)=0,"",SUM(Y227:AJ227))</f>
        <v/>
      </c>
      <c r="AL227" s="84" t="str">
        <f aca="false">MID(IF(N(Y227)&gt;0,", "&amp;Y$2,"")&amp;IF(N(Z227)&gt;0,", "&amp;Z$2,"")&amp;IF(N(AA227)&gt;0,", "&amp;AA$2,"")&amp;IF(N(AB227)&gt;0,", "&amp;AB$2,"")&amp;IF(N(AC227)&gt;0,", "&amp;AC$2,"")&amp;IF(N(AD227)&gt;0,", "&amp;AD$2,"")&amp;IF(N(AE227)&gt;0,", "&amp;AE$2,"")&amp;IF(N(AF227)&gt;0,", "&amp;AF$2,"")&amp;IF(N(AG227)&gt;0,", "&amp;AG$2,"")&amp;IF(N(AH227)&gt;0,", "&amp;AH$2,"")&amp;IF(N(AI227)&gt;0,", "&amp;AI$2,"")&amp;IF(N(AJ227)&gt;0,", "&amp;AJ$2,""),3,999)</f>
        <v/>
      </c>
      <c r="AM227" s="87" t="str">
        <f aca="false">IF(E227="","",MID(IF(N(Y227)&gt;0,", "&amp;A227&amp;"-"&amp;Y$2,"")&amp;IF(N(Z227)&gt;0,", "&amp;A227&amp;"-"&amp;Z$2,"")&amp;IF(N(AA227)&gt;0,", "&amp;A227&amp;"-"&amp;AA$2,"")&amp;IF(N(AB227)&gt;0,", "&amp;A227&amp;"-"&amp;AB$2,"")&amp;IF(N(AC227)&gt;0,", "&amp;A227&amp;"-"&amp;AC$2,"")&amp;IF(N(AD227)&gt;0,", "&amp;A227&amp;"-"&amp;AD$2,"")&amp;IF(N(AE227)&gt;0,", "&amp;A227&amp;"-"&amp;AE$2,"")&amp;IF(N(AF227)&gt;0,", "&amp;A227&amp;"-"&amp;AF$2,"")&amp;IF(N(AG227)&gt;0,", "&amp;A227&amp;"-"&amp;AG$2,"")&amp;IF(N(AH227)&gt;0,", "&amp;A227&amp;"-"&amp;AH$2,"")&amp;IF(N(AI227)&gt;0,", "&amp;A227&amp;"-"&amp;AI$2,"")&amp;IF(N(AJ227)&gt;0,", "&amp;A227&amp;"-"&amp;AJ$2,""),3,999))</f>
        <v/>
      </c>
      <c r="AN227" s="81"/>
      <c r="AO227" s="88"/>
      <c r="AP227" s="89" t="str">
        <f aca="false">IF(AO227="","",ROUND(AO227/(1+Справочники!$B$13),2))</f>
        <v/>
      </c>
      <c r="AQ227" s="90" t="str">
        <f aca="false" t="array" ref="AQ227:AQ227">IF(AP227="","",AP227*INDEX(Справочники!$B$4:$B$7,MATCH("RUB",Справочники!$A$4:$A$7,0)))</f>
        <v/>
      </c>
      <c r="AR227" s="90" t="str">
        <f aca="false">IF(AQ227="","",ROUND(AQ227*(1+Справочники!$B$12),0))</f>
        <v/>
      </c>
      <c r="AS227" s="90" t="str">
        <f aca="false">IF(AR227="","",ROUND(AR227*(1-Справочники!$B$11),0))</f>
        <v/>
      </c>
      <c r="AT227" s="88"/>
      <c r="AU227" s="90" t="str">
        <f aca="false">IF(AT227="","",ROUND(AT227/(1+Справочники!$B$12),0))</f>
        <v/>
      </c>
      <c r="AV227" s="90" t="str">
        <f aca="false">IF(AT227="","",ROUND(AT227*(1-Справочники!$B$15),0))</f>
        <v/>
      </c>
      <c r="AW227" s="90" t="str">
        <f aca="false">IF(AT227="","",ROUND(AT227*(1-Справочники!$B$16),0))</f>
        <v/>
      </c>
      <c r="AX227" s="90" t="str">
        <f aca="false">IF(AT227="","",ROUND(AT227*(1-Справочники!$B$17),0))</f>
        <v/>
      </c>
      <c r="AY227" s="90" t="str">
        <f aca="false">IF(AT227="","",ROUND(AT227*(1-Справочники!$B$18),0))</f>
        <v/>
      </c>
      <c r="AZ227" s="90" t="str">
        <f aca="false">IF(AT227="","",ROUND(AT227*(1-Справочники!$B$19),0))</f>
        <v/>
      </c>
      <c r="BA227" s="81"/>
      <c r="BB227" s="81"/>
      <c r="BC227" s="81"/>
      <c r="BD227" s="81"/>
      <c r="BE227" s="91"/>
      <c r="BF227" s="81" t="s">
        <v>103</v>
      </c>
      <c r="BG227" s="89" t="n">
        <f aca="false" t="array" ref="BG227:BG227">IF(BF227="","",IFERROR(INDEX(Справочники!$B$4:$B$7,MATCH(BF227,Справочники!$A$4:$A$7,0)),""))</f>
        <v>68.5</v>
      </c>
      <c r="BH227" s="90" t="str">
        <f aca="false">IF(N(BN227)&gt;0,ROUND(SUMIF(ЗАКАЗЫ!$F$3:$F$500,$A227,ЗАКАЗЫ!$Y$3:$Y$500)/BN227,0),IF(OR(BE227="",BG227=""),"",ROUND(BE227*BG227*(1+Справочники!$B$10),0)))</f>
        <v/>
      </c>
      <c r="BI227" s="92" t="str">
        <f aca="false">IF(OR(AU227="",BH227="",AU227=0),"",(AU227-BH227)/AU227)</f>
        <v/>
      </c>
      <c r="BJ227" s="81"/>
      <c r="BK227" s="83"/>
      <c r="BL227" s="43" t="str">
        <f aca="false">IFERROR(INDEX(ЗАКАЗЫ!$N$3:$N$500,MATCH($A227,ЗАКАЗЫ!$F$3:$F$500,0)),"")</f>
        <v/>
      </c>
      <c r="BM227" s="8" t="str">
        <f aca="false">IF(BL227="","",IFERROR(VLOOKUP(BL227,'ТН ВЭД'!$A$4:$C$40,3,0),""))</f>
        <v/>
      </c>
      <c r="BN227" s="7" t="str">
        <f aca="false">IF(COUNTIF(ЗАКАЗЫ!$F$3:$F$500,$A227)=0,"",SUMIF(ЗАКАЗЫ!$F$3:$F$500,$A227,ЗАКАЗЫ!$J$3:$J$500))</f>
        <v/>
      </c>
      <c r="BO227" s="7" t="str">
        <f aca="false">IF(BN227="","",SUMIF(ЗАКАЗЫ!$F$3:$F$500,$A227,ЗАКАЗЫ!$AL$3:$AL$500))</f>
        <v/>
      </c>
      <c r="BP227" s="7" t="str">
        <f aca="false">IF(BN227="","",BN227-BO227)</f>
        <v/>
      </c>
      <c r="BQ227" s="55" t="str">
        <f aca="false">IF(BN227="","",IF(BO227&gt;=BN227,"На складе",IF(BO227&gt;0,"Частично","Ждём")))</f>
        <v/>
      </c>
      <c r="BR227" s="43"/>
      <c r="BS227" s="47" t="str">
        <f aca="false">IF(BN227="","",IF(_xlfn.MAXIFS(ЗАКАЗЫ!$AK$3:$AK$500,ЗАКАЗЫ!$F$3:$F$500,$A227)=0,"",_xlfn.MAXIFS(ЗАКАЗЫ!$AK$3:$AK$500,ЗАКАЗЫ!$F$3:$F$500,$A227)))</f>
        <v/>
      </c>
    </row>
    <row r="228" customFormat="false" ht="15.75" hidden="false" customHeight="true" outlineLevel="0" collapsed="false">
      <c r="A228" s="80" t="s">
        <v>702</v>
      </c>
      <c r="B228" s="81"/>
      <c r="C228" s="81"/>
      <c r="D228" s="81"/>
      <c r="E228" s="83"/>
      <c r="F228" s="81"/>
      <c r="G228" s="83"/>
      <c r="H228" s="83"/>
      <c r="I228" s="84" t="str">
        <f aca="false">IF(E228="","",A228&amp;"_1.jpg")</f>
        <v/>
      </c>
      <c r="J228" s="84" t="str">
        <f aca="false">IF(E228="","",A228&amp;"_2.jpg; "&amp;A228&amp;"_3.jpg")</f>
        <v/>
      </c>
      <c r="K228" s="84" t="str">
        <f aca="false">IF(E228="","",A228&amp;"_schema.jpg")</f>
        <v/>
      </c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 t="s">
        <v>261</v>
      </c>
      <c r="W228" s="81"/>
      <c r="X228" s="81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6" t="str">
        <f aca="false">IF(SUM(Y228:AJ228)=0,"",SUM(Y228:AJ228))</f>
        <v/>
      </c>
      <c r="AL228" s="84" t="str">
        <f aca="false">MID(IF(N(Y228)&gt;0,", "&amp;Y$2,"")&amp;IF(N(Z228)&gt;0,", "&amp;Z$2,"")&amp;IF(N(AA228)&gt;0,", "&amp;AA$2,"")&amp;IF(N(AB228)&gt;0,", "&amp;AB$2,"")&amp;IF(N(AC228)&gt;0,", "&amp;AC$2,"")&amp;IF(N(AD228)&gt;0,", "&amp;AD$2,"")&amp;IF(N(AE228)&gt;0,", "&amp;AE$2,"")&amp;IF(N(AF228)&gt;0,", "&amp;AF$2,"")&amp;IF(N(AG228)&gt;0,", "&amp;AG$2,"")&amp;IF(N(AH228)&gt;0,", "&amp;AH$2,"")&amp;IF(N(AI228)&gt;0,", "&amp;AI$2,"")&amp;IF(N(AJ228)&gt;0,", "&amp;AJ$2,""),3,999)</f>
        <v/>
      </c>
      <c r="AM228" s="87" t="str">
        <f aca="false">IF(E228="","",MID(IF(N(Y228)&gt;0,", "&amp;A228&amp;"-"&amp;Y$2,"")&amp;IF(N(Z228)&gt;0,", "&amp;A228&amp;"-"&amp;Z$2,"")&amp;IF(N(AA228)&gt;0,", "&amp;A228&amp;"-"&amp;AA$2,"")&amp;IF(N(AB228)&gt;0,", "&amp;A228&amp;"-"&amp;AB$2,"")&amp;IF(N(AC228)&gt;0,", "&amp;A228&amp;"-"&amp;AC$2,"")&amp;IF(N(AD228)&gt;0,", "&amp;A228&amp;"-"&amp;AD$2,"")&amp;IF(N(AE228)&gt;0,", "&amp;A228&amp;"-"&amp;AE$2,"")&amp;IF(N(AF228)&gt;0,", "&amp;A228&amp;"-"&amp;AF$2,"")&amp;IF(N(AG228)&gt;0,", "&amp;A228&amp;"-"&amp;AG$2,"")&amp;IF(N(AH228)&gt;0,", "&amp;A228&amp;"-"&amp;AH$2,"")&amp;IF(N(AI228)&gt;0,", "&amp;A228&amp;"-"&amp;AI$2,"")&amp;IF(N(AJ228)&gt;0,", "&amp;A228&amp;"-"&amp;AJ$2,""),3,999))</f>
        <v/>
      </c>
      <c r="AN228" s="81"/>
      <c r="AO228" s="88"/>
      <c r="AP228" s="89" t="str">
        <f aca="false">IF(AO228="","",ROUND(AO228/(1+Справочники!$B$13),2))</f>
        <v/>
      </c>
      <c r="AQ228" s="90" t="str">
        <f aca="false" t="array" ref="AQ228:AQ228">IF(AP228="","",AP228*INDEX(Справочники!$B$4:$B$7,MATCH("RUB",Справочники!$A$4:$A$7,0)))</f>
        <v/>
      </c>
      <c r="AR228" s="90" t="str">
        <f aca="false">IF(AQ228="","",ROUND(AQ228*(1+Справочники!$B$12),0))</f>
        <v/>
      </c>
      <c r="AS228" s="90" t="str">
        <f aca="false">IF(AR228="","",ROUND(AR228*(1-Справочники!$B$11),0))</f>
        <v/>
      </c>
      <c r="AT228" s="88"/>
      <c r="AU228" s="90" t="str">
        <f aca="false">IF(AT228="","",ROUND(AT228/(1+Справочники!$B$12),0))</f>
        <v/>
      </c>
      <c r="AV228" s="90" t="str">
        <f aca="false">IF(AT228="","",ROUND(AT228*(1-Справочники!$B$15),0))</f>
        <v/>
      </c>
      <c r="AW228" s="90" t="str">
        <f aca="false">IF(AT228="","",ROUND(AT228*(1-Справочники!$B$16),0))</f>
        <v/>
      </c>
      <c r="AX228" s="90" t="str">
        <f aca="false">IF(AT228="","",ROUND(AT228*(1-Справочники!$B$17),0))</f>
        <v/>
      </c>
      <c r="AY228" s="90" t="str">
        <f aca="false">IF(AT228="","",ROUND(AT228*(1-Справочники!$B$18),0))</f>
        <v/>
      </c>
      <c r="AZ228" s="90" t="str">
        <f aca="false">IF(AT228="","",ROUND(AT228*(1-Справочники!$B$19),0))</f>
        <v/>
      </c>
      <c r="BA228" s="81"/>
      <c r="BB228" s="81"/>
      <c r="BC228" s="81"/>
      <c r="BD228" s="81"/>
      <c r="BE228" s="91"/>
      <c r="BF228" s="81" t="s">
        <v>103</v>
      </c>
      <c r="BG228" s="89" t="n">
        <f aca="false" t="array" ref="BG228:BG228">IF(BF228="","",IFERROR(INDEX(Справочники!$B$4:$B$7,MATCH(BF228,Справочники!$A$4:$A$7,0)),""))</f>
        <v>68.5</v>
      </c>
      <c r="BH228" s="90" t="str">
        <f aca="false">IF(N(BN228)&gt;0,ROUND(SUMIF(ЗАКАЗЫ!$F$3:$F$500,$A228,ЗАКАЗЫ!$Y$3:$Y$500)/BN228,0),IF(OR(BE228="",BG228=""),"",ROUND(BE228*BG228*(1+Справочники!$B$10),0)))</f>
        <v/>
      </c>
      <c r="BI228" s="92" t="str">
        <f aca="false">IF(OR(AU228="",BH228="",AU228=0),"",(AU228-BH228)/AU228)</f>
        <v/>
      </c>
      <c r="BJ228" s="81"/>
      <c r="BK228" s="83"/>
      <c r="BL228" s="43" t="str">
        <f aca="false">IFERROR(INDEX(ЗАКАЗЫ!$N$3:$N$500,MATCH($A228,ЗАКАЗЫ!$F$3:$F$500,0)),"")</f>
        <v/>
      </c>
      <c r="BM228" s="8" t="str">
        <f aca="false">IF(BL228="","",IFERROR(VLOOKUP(BL228,'ТН ВЭД'!$A$4:$C$40,3,0),""))</f>
        <v/>
      </c>
      <c r="BN228" s="7" t="str">
        <f aca="false">IF(COUNTIF(ЗАКАЗЫ!$F$3:$F$500,$A228)=0,"",SUMIF(ЗАКАЗЫ!$F$3:$F$500,$A228,ЗАКАЗЫ!$J$3:$J$500))</f>
        <v/>
      </c>
      <c r="BO228" s="7" t="str">
        <f aca="false">IF(BN228="","",SUMIF(ЗАКАЗЫ!$F$3:$F$500,$A228,ЗАКАЗЫ!$AL$3:$AL$500))</f>
        <v/>
      </c>
      <c r="BP228" s="7" t="str">
        <f aca="false">IF(BN228="","",BN228-BO228)</f>
        <v/>
      </c>
      <c r="BQ228" s="55" t="str">
        <f aca="false">IF(BN228="","",IF(BO228&gt;=BN228,"На складе",IF(BO228&gt;0,"Частично","Ждём")))</f>
        <v/>
      </c>
      <c r="BR228" s="43"/>
      <c r="BS228" s="47" t="str">
        <f aca="false">IF(BN228="","",IF(_xlfn.MAXIFS(ЗАКАЗЫ!$AK$3:$AK$500,ЗАКАЗЫ!$F$3:$F$500,$A228)=0,"",_xlfn.MAXIFS(ЗАКАЗЫ!$AK$3:$AK$500,ЗАКАЗЫ!$F$3:$F$500,$A228)))</f>
        <v/>
      </c>
    </row>
    <row r="229" customFormat="false" ht="15.75" hidden="false" customHeight="true" outlineLevel="0" collapsed="false">
      <c r="A229" s="80" t="s">
        <v>703</v>
      </c>
      <c r="B229" s="81"/>
      <c r="C229" s="81"/>
      <c r="D229" s="81"/>
      <c r="E229" s="83"/>
      <c r="F229" s="81"/>
      <c r="G229" s="83"/>
      <c r="H229" s="83"/>
      <c r="I229" s="84" t="str">
        <f aca="false">IF(E229="","",A229&amp;"_1.jpg")</f>
        <v/>
      </c>
      <c r="J229" s="84" t="str">
        <f aca="false">IF(E229="","",A229&amp;"_2.jpg; "&amp;A229&amp;"_3.jpg")</f>
        <v/>
      </c>
      <c r="K229" s="84" t="str">
        <f aca="false">IF(E229="","",A229&amp;"_schema.jpg")</f>
        <v/>
      </c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 t="s">
        <v>261</v>
      </c>
      <c r="W229" s="81"/>
      <c r="X229" s="81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6" t="str">
        <f aca="false">IF(SUM(Y229:AJ229)=0,"",SUM(Y229:AJ229))</f>
        <v/>
      </c>
      <c r="AL229" s="84" t="str">
        <f aca="false">MID(IF(N(Y229)&gt;0,", "&amp;Y$2,"")&amp;IF(N(Z229)&gt;0,", "&amp;Z$2,"")&amp;IF(N(AA229)&gt;0,", "&amp;AA$2,"")&amp;IF(N(AB229)&gt;0,", "&amp;AB$2,"")&amp;IF(N(AC229)&gt;0,", "&amp;AC$2,"")&amp;IF(N(AD229)&gt;0,", "&amp;AD$2,"")&amp;IF(N(AE229)&gt;0,", "&amp;AE$2,"")&amp;IF(N(AF229)&gt;0,", "&amp;AF$2,"")&amp;IF(N(AG229)&gt;0,", "&amp;AG$2,"")&amp;IF(N(AH229)&gt;0,", "&amp;AH$2,"")&amp;IF(N(AI229)&gt;0,", "&amp;AI$2,"")&amp;IF(N(AJ229)&gt;0,", "&amp;AJ$2,""),3,999)</f>
        <v/>
      </c>
      <c r="AM229" s="87" t="str">
        <f aca="false">IF(E229="","",MID(IF(N(Y229)&gt;0,", "&amp;A229&amp;"-"&amp;Y$2,"")&amp;IF(N(Z229)&gt;0,", "&amp;A229&amp;"-"&amp;Z$2,"")&amp;IF(N(AA229)&gt;0,", "&amp;A229&amp;"-"&amp;AA$2,"")&amp;IF(N(AB229)&gt;0,", "&amp;A229&amp;"-"&amp;AB$2,"")&amp;IF(N(AC229)&gt;0,", "&amp;A229&amp;"-"&amp;AC$2,"")&amp;IF(N(AD229)&gt;0,", "&amp;A229&amp;"-"&amp;AD$2,"")&amp;IF(N(AE229)&gt;0,", "&amp;A229&amp;"-"&amp;AE$2,"")&amp;IF(N(AF229)&gt;0,", "&amp;A229&amp;"-"&amp;AF$2,"")&amp;IF(N(AG229)&gt;0,", "&amp;A229&amp;"-"&amp;AG$2,"")&amp;IF(N(AH229)&gt;0,", "&amp;A229&amp;"-"&amp;AH$2,"")&amp;IF(N(AI229)&gt;0,", "&amp;A229&amp;"-"&amp;AI$2,"")&amp;IF(N(AJ229)&gt;0,", "&amp;A229&amp;"-"&amp;AJ$2,""),3,999))</f>
        <v/>
      </c>
      <c r="AN229" s="81"/>
      <c r="AO229" s="88"/>
      <c r="AP229" s="89" t="str">
        <f aca="false">IF(AO229="","",ROUND(AO229/(1+Справочники!$B$13),2))</f>
        <v/>
      </c>
      <c r="AQ229" s="90" t="str">
        <f aca="false" t="array" ref="AQ229:AQ229">IF(AP229="","",AP229*INDEX(Справочники!$B$4:$B$7,MATCH("RUB",Справочники!$A$4:$A$7,0)))</f>
        <v/>
      </c>
      <c r="AR229" s="90" t="str">
        <f aca="false">IF(AQ229="","",ROUND(AQ229*(1+Справочники!$B$12),0))</f>
        <v/>
      </c>
      <c r="AS229" s="90" t="str">
        <f aca="false">IF(AR229="","",ROUND(AR229*(1-Справочники!$B$11),0))</f>
        <v/>
      </c>
      <c r="AT229" s="88"/>
      <c r="AU229" s="90" t="str">
        <f aca="false">IF(AT229="","",ROUND(AT229/(1+Справочники!$B$12),0))</f>
        <v/>
      </c>
      <c r="AV229" s="90" t="str">
        <f aca="false">IF(AT229="","",ROUND(AT229*(1-Справочники!$B$15),0))</f>
        <v/>
      </c>
      <c r="AW229" s="90" t="str">
        <f aca="false">IF(AT229="","",ROUND(AT229*(1-Справочники!$B$16),0))</f>
        <v/>
      </c>
      <c r="AX229" s="90" t="str">
        <f aca="false">IF(AT229="","",ROUND(AT229*(1-Справочники!$B$17),0))</f>
        <v/>
      </c>
      <c r="AY229" s="90" t="str">
        <f aca="false">IF(AT229="","",ROUND(AT229*(1-Справочники!$B$18),0))</f>
        <v/>
      </c>
      <c r="AZ229" s="90" t="str">
        <f aca="false">IF(AT229="","",ROUND(AT229*(1-Справочники!$B$19),0))</f>
        <v/>
      </c>
      <c r="BA229" s="81"/>
      <c r="BB229" s="81"/>
      <c r="BC229" s="81"/>
      <c r="BD229" s="81"/>
      <c r="BE229" s="91"/>
      <c r="BF229" s="81" t="s">
        <v>103</v>
      </c>
      <c r="BG229" s="89" t="n">
        <f aca="false" t="array" ref="BG229:BG229">IF(BF229="","",IFERROR(INDEX(Справочники!$B$4:$B$7,MATCH(BF229,Справочники!$A$4:$A$7,0)),""))</f>
        <v>68.5</v>
      </c>
      <c r="BH229" s="90" t="str">
        <f aca="false">IF(N(BN229)&gt;0,ROUND(SUMIF(ЗАКАЗЫ!$F$3:$F$500,$A229,ЗАКАЗЫ!$Y$3:$Y$500)/BN229,0),IF(OR(BE229="",BG229=""),"",ROUND(BE229*BG229*(1+Справочники!$B$10),0)))</f>
        <v/>
      </c>
      <c r="BI229" s="92" t="str">
        <f aca="false">IF(OR(AU229="",BH229="",AU229=0),"",(AU229-BH229)/AU229)</f>
        <v/>
      </c>
      <c r="BJ229" s="81"/>
      <c r="BK229" s="83"/>
      <c r="BL229" s="43" t="str">
        <f aca="false">IFERROR(INDEX(ЗАКАЗЫ!$N$3:$N$500,MATCH($A229,ЗАКАЗЫ!$F$3:$F$500,0)),"")</f>
        <v/>
      </c>
      <c r="BM229" s="8" t="str">
        <f aca="false">IF(BL229="","",IFERROR(VLOOKUP(BL229,'ТН ВЭД'!$A$4:$C$40,3,0),""))</f>
        <v/>
      </c>
      <c r="BN229" s="7" t="str">
        <f aca="false">IF(COUNTIF(ЗАКАЗЫ!$F$3:$F$500,$A229)=0,"",SUMIF(ЗАКАЗЫ!$F$3:$F$500,$A229,ЗАКАЗЫ!$J$3:$J$500))</f>
        <v/>
      </c>
      <c r="BO229" s="7" t="str">
        <f aca="false">IF(BN229="","",SUMIF(ЗАКАЗЫ!$F$3:$F$500,$A229,ЗАКАЗЫ!$AL$3:$AL$500))</f>
        <v/>
      </c>
      <c r="BP229" s="7" t="str">
        <f aca="false">IF(BN229="","",BN229-BO229)</f>
        <v/>
      </c>
      <c r="BQ229" s="55" t="str">
        <f aca="false">IF(BN229="","",IF(BO229&gt;=BN229,"На складе",IF(BO229&gt;0,"Частично","Ждём")))</f>
        <v/>
      </c>
      <c r="BR229" s="43"/>
      <c r="BS229" s="47" t="str">
        <f aca="false">IF(BN229="","",IF(_xlfn.MAXIFS(ЗАКАЗЫ!$AK$3:$AK$500,ЗАКАЗЫ!$F$3:$F$500,$A229)=0,"",_xlfn.MAXIFS(ЗАКАЗЫ!$AK$3:$AK$500,ЗАКАЗЫ!$F$3:$F$500,$A229)))</f>
        <v/>
      </c>
    </row>
    <row r="230" customFormat="false" ht="15.75" hidden="false" customHeight="true" outlineLevel="0" collapsed="false">
      <c r="A230" s="80" t="s">
        <v>704</v>
      </c>
      <c r="B230" s="81"/>
      <c r="C230" s="81"/>
      <c r="D230" s="81"/>
      <c r="E230" s="83"/>
      <c r="F230" s="81"/>
      <c r="G230" s="83"/>
      <c r="H230" s="83"/>
      <c r="I230" s="84" t="str">
        <f aca="false">IF(E230="","",A230&amp;"_1.jpg")</f>
        <v/>
      </c>
      <c r="J230" s="84" t="str">
        <f aca="false">IF(E230="","",A230&amp;"_2.jpg; "&amp;A230&amp;"_3.jpg")</f>
        <v/>
      </c>
      <c r="K230" s="84" t="str">
        <f aca="false">IF(E230="","",A230&amp;"_schema.jpg")</f>
        <v/>
      </c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 t="s">
        <v>261</v>
      </c>
      <c r="W230" s="81"/>
      <c r="X230" s="81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6" t="str">
        <f aca="false">IF(SUM(Y230:AJ230)=0,"",SUM(Y230:AJ230))</f>
        <v/>
      </c>
      <c r="AL230" s="84" t="str">
        <f aca="false">MID(IF(N(Y230)&gt;0,", "&amp;Y$2,"")&amp;IF(N(Z230)&gt;0,", "&amp;Z$2,"")&amp;IF(N(AA230)&gt;0,", "&amp;AA$2,"")&amp;IF(N(AB230)&gt;0,", "&amp;AB$2,"")&amp;IF(N(AC230)&gt;0,", "&amp;AC$2,"")&amp;IF(N(AD230)&gt;0,", "&amp;AD$2,"")&amp;IF(N(AE230)&gt;0,", "&amp;AE$2,"")&amp;IF(N(AF230)&gt;0,", "&amp;AF$2,"")&amp;IF(N(AG230)&gt;0,", "&amp;AG$2,"")&amp;IF(N(AH230)&gt;0,", "&amp;AH$2,"")&amp;IF(N(AI230)&gt;0,", "&amp;AI$2,"")&amp;IF(N(AJ230)&gt;0,", "&amp;AJ$2,""),3,999)</f>
        <v/>
      </c>
      <c r="AM230" s="87" t="str">
        <f aca="false">IF(E230="","",MID(IF(N(Y230)&gt;0,", "&amp;A230&amp;"-"&amp;Y$2,"")&amp;IF(N(Z230)&gt;0,", "&amp;A230&amp;"-"&amp;Z$2,"")&amp;IF(N(AA230)&gt;0,", "&amp;A230&amp;"-"&amp;AA$2,"")&amp;IF(N(AB230)&gt;0,", "&amp;A230&amp;"-"&amp;AB$2,"")&amp;IF(N(AC230)&gt;0,", "&amp;A230&amp;"-"&amp;AC$2,"")&amp;IF(N(AD230)&gt;0,", "&amp;A230&amp;"-"&amp;AD$2,"")&amp;IF(N(AE230)&gt;0,", "&amp;A230&amp;"-"&amp;AE$2,"")&amp;IF(N(AF230)&gt;0,", "&amp;A230&amp;"-"&amp;AF$2,"")&amp;IF(N(AG230)&gt;0,", "&amp;A230&amp;"-"&amp;AG$2,"")&amp;IF(N(AH230)&gt;0,", "&amp;A230&amp;"-"&amp;AH$2,"")&amp;IF(N(AI230)&gt;0,", "&amp;A230&amp;"-"&amp;AI$2,"")&amp;IF(N(AJ230)&gt;0,", "&amp;A230&amp;"-"&amp;AJ$2,""),3,999))</f>
        <v/>
      </c>
      <c r="AN230" s="81"/>
      <c r="AO230" s="88"/>
      <c r="AP230" s="89" t="str">
        <f aca="false">IF(AO230="","",ROUND(AO230/(1+Справочники!$B$13),2))</f>
        <v/>
      </c>
      <c r="AQ230" s="90" t="str">
        <f aca="false" t="array" ref="AQ230:AQ230">IF(AP230="","",AP230*INDEX(Справочники!$B$4:$B$7,MATCH("RUB",Справочники!$A$4:$A$7,0)))</f>
        <v/>
      </c>
      <c r="AR230" s="90" t="str">
        <f aca="false">IF(AQ230="","",ROUND(AQ230*(1+Справочники!$B$12),0))</f>
        <v/>
      </c>
      <c r="AS230" s="90" t="str">
        <f aca="false">IF(AR230="","",ROUND(AR230*(1-Справочники!$B$11),0))</f>
        <v/>
      </c>
      <c r="AT230" s="88"/>
      <c r="AU230" s="90" t="str">
        <f aca="false">IF(AT230="","",ROUND(AT230/(1+Справочники!$B$12),0))</f>
        <v/>
      </c>
      <c r="AV230" s="90" t="str">
        <f aca="false">IF(AT230="","",ROUND(AT230*(1-Справочники!$B$15),0))</f>
        <v/>
      </c>
      <c r="AW230" s="90" t="str">
        <f aca="false">IF(AT230="","",ROUND(AT230*(1-Справочники!$B$16),0))</f>
        <v/>
      </c>
      <c r="AX230" s="90" t="str">
        <f aca="false">IF(AT230="","",ROUND(AT230*(1-Справочники!$B$17),0))</f>
        <v/>
      </c>
      <c r="AY230" s="90" t="str">
        <f aca="false">IF(AT230="","",ROUND(AT230*(1-Справочники!$B$18),0))</f>
        <v/>
      </c>
      <c r="AZ230" s="90" t="str">
        <f aca="false">IF(AT230="","",ROUND(AT230*(1-Справочники!$B$19),0))</f>
        <v/>
      </c>
      <c r="BA230" s="81"/>
      <c r="BB230" s="81"/>
      <c r="BC230" s="81"/>
      <c r="BD230" s="81"/>
      <c r="BE230" s="91"/>
      <c r="BF230" s="81" t="s">
        <v>103</v>
      </c>
      <c r="BG230" s="89" t="n">
        <f aca="false" t="array" ref="BG230:BG230">IF(BF230="","",IFERROR(INDEX(Справочники!$B$4:$B$7,MATCH(BF230,Справочники!$A$4:$A$7,0)),""))</f>
        <v>68.5</v>
      </c>
      <c r="BH230" s="90" t="str">
        <f aca="false">IF(N(BN230)&gt;0,ROUND(SUMIF(ЗАКАЗЫ!$F$3:$F$500,$A230,ЗАКАЗЫ!$Y$3:$Y$500)/BN230,0),IF(OR(BE230="",BG230=""),"",ROUND(BE230*BG230*(1+Справочники!$B$10),0)))</f>
        <v/>
      </c>
      <c r="BI230" s="92" t="str">
        <f aca="false">IF(OR(AU230="",BH230="",AU230=0),"",(AU230-BH230)/AU230)</f>
        <v/>
      </c>
      <c r="BJ230" s="81"/>
      <c r="BK230" s="83"/>
      <c r="BL230" s="43" t="str">
        <f aca="false">IFERROR(INDEX(ЗАКАЗЫ!$N$3:$N$500,MATCH($A230,ЗАКАЗЫ!$F$3:$F$500,0)),"")</f>
        <v/>
      </c>
      <c r="BM230" s="8" t="str">
        <f aca="false">IF(BL230="","",IFERROR(VLOOKUP(BL230,'ТН ВЭД'!$A$4:$C$40,3,0),""))</f>
        <v/>
      </c>
      <c r="BN230" s="7" t="str">
        <f aca="false">IF(COUNTIF(ЗАКАЗЫ!$F$3:$F$500,$A230)=0,"",SUMIF(ЗАКАЗЫ!$F$3:$F$500,$A230,ЗАКАЗЫ!$J$3:$J$500))</f>
        <v/>
      </c>
      <c r="BO230" s="7" t="str">
        <f aca="false">IF(BN230="","",SUMIF(ЗАКАЗЫ!$F$3:$F$500,$A230,ЗАКАЗЫ!$AL$3:$AL$500))</f>
        <v/>
      </c>
      <c r="BP230" s="7" t="str">
        <f aca="false">IF(BN230="","",BN230-BO230)</f>
        <v/>
      </c>
      <c r="BQ230" s="55" t="str">
        <f aca="false">IF(BN230="","",IF(BO230&gt;=BN230,"На складе",IF(BO230&gt;0,"Частично","Ждём")))</f>
        <v/>
      </c>
      <c r="BR230" s="43"/>
      <c r="BS230" s="47" t="str">
        <f aca="false">IF(BN230="","",IF(_xlfn.MAXIFS(ЗАКАЗЫ!$AK$3:$AK$500,ЗАКАЗЫ!$F$3:$F$500,$A230)=0,"",_xlfn.MAXIFS(ЗАКАЗЫ!$AK$3:$AK$500,ЗАКАЗЫ!$F$3:$F$500,$A230)))</f>
        <v/>
      </c>
    </row>
    <row r="231" customFormat="false" ht="15.75" hidden="false" customHeight="true" outlineLevel="0" collapsed="false">
      <c r="A231" s="80" t="s">
        <v>705</v>
      </c>
      <c r="B231" s="81"/>
      <c r="C231" s="81"/>
      <c r="D231" s="81"/>
      <c r="E231" s="83"/>
      <c r="F231" s="81"/>
      <c r="G231" s="83"/>
      <c r="H231" s="83"/>
      <c r="I231" s="84" t="str">
        <f aca="false">IF(E231="","",A231&amp;"_1.jpg")</f>
        <v/>
      </c>
      <c r="J231" s="84" t="str">
        <f aca="false">IF(E231="","",A231&amp;"_2.jpg; "&amp;A231&amp;"_3.jpg")</f>
        <v/>
      </c>
      <c r="K231" s="84" t="str">
        <f aca="false">IF(E231="","",A231&amp;"_schema.jpg")</f>
        <v/>
      </c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 t="s">
        <v>261</v>
      </c>
      <c r="W231" s="81"/>
      <c r="X231" s="81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6" t="str">
        <f aca="false">IF(SUM(Y231:AJ231)=0,"",SUM(Y231:AJ231))</f>
        <v/>
      </c>
      <c r="AL231" s="84" t="str">
        <f aca="false">MID(IF(N(Y231)&gt;0,", "&amp;Y$2,"")&amp;IF(N(Z231)&gt;0,", "&amp;Z$2,"")&amp;IF(N(AA231)&gt;0,", "&amp;AA$2,"")&amp;IF(N(AB231)&gt;0,", "&amp;AB$2,"")&amp;IF(N(AC231)&gt;0,", "&amp;AC$2,"")&amp;IF(N(AD231)&gt;0,", "&amp;AD$2,"")&amp;IF(N(AE231)&gt;0,", "&amp;AE$2,"")&amp;IF(N(AF231)&gt;0,", "&amp;AF$2,"")&amp;IF(N(AG231)&gt;0,", "&amp;AG$2,"")&amp;IF(N(AH231)&gt;0,", "&amp;AH$2,"")&amp;IF(N(AI231)&gt;0,", "&amp;AI$2,"")&amp;IF(N(AJ231)&gt;0,", "&amp;AJ$2,""),3,999)</f>
        <v/>
      </c>
      <c r="AM231" s="87" t="str">
        <f aca="false">IF(E231="","",MID(IF(N(Y231)&gt;0,", "&amp;A231&amp;"-"&amp;Y$2,"")&amp;IF(N(Z231)&gt;0,", "&amp;A231&amp;"-"&amp;Z$2,"")&amp;IF(N(AA231)&gt;0,", "&amp;A231&amp;"-"&amp;AA$2,"")&amp;IF(N(AB231)&gt;0,", "&amp;A231&amp;"-"&amp;AB$2,"")&amp;IF(N(AC231)&gt;0,", "&amp;A231&amp;"-"&amp;AC$2,"")&amp;IF(N(AD231)&gt;0,", "&amp;A231&amp;"-"&amp;AD$2,"")&amp;IF(N(AE231)&gt;0,", "&amp;A231&amp;"-"&amp;AE$2,"")&amp;IF(N(AF231)&gt;0,", "&amp;A231&amp;"-"&amp;AF$2,"")&amp;IF(N(AG231)&gt;0,", "&amp;A231&amp;"-"&amp;AG$2,"")&amp;IF(N(AH231)&gt;0,", "&amp;A231&amp;"-"&amp;AH$2,"")&amp;IF(N(AI231)&gt;0,", "&amp;A231&amp;"-"&amp;AI$2,"")&amp;IF(N(AJ231)&gt;0,", "&amp;A231&amp;"-"&amp;AJ$2,""),3,999))</f>
        <v/>
      </c>
      <c r="AN231" s="81"/>
      <c r="AO231" s="88"/>
      <c r="AP231" s="89" t="str">
        <f aca="false">IF(AO231="","",ROUND(AO231/(1+Справочники!$B$13),2))</f>
        <v/>
      </c>
      <c r="AQ231" s="90" t="str">
        <f aca="false" t="array" ref="AQ231:AQ231">IF(AP231="","",AP231*INDEX(Справочники!$B$4:$B$7,MATCH("RUB",Справочники!$A$4:$A$7,0)))</f>
        <v/>
      </c>
      <c r="AR231" s="90" t="str">
        <f aca="false">IF(AQ231="","",ROUND(AQ231*(1+Справочники!$B$12),0))</f>
        <v/>
      </c>
      <c r="AS231" s="90" t="str">
        <f aca="false">IF(AR231="","",ROUND(AR231*(1-Справочники!$B$11),0))</f>
        <v/>
      </c>
      <c r="AT231" s="88"/>
      <c r="AU231" s="90" t="str">
        <f aca="false">IF(AT231="","",ROUND(AT231/(1+Справочники!$B$12),0))</f>
        <v/>
      </c>
      <c r="AV231" s="90" t="str">
        <f aca="false">IF(AT231="","",ROUND(AT231*(1-Справочники!$B$15),0))</f>
        <v/>
      </c>
      <c r="AW231" s="90" t="str">
        <f aca="false">IF(AT231="","",ROUND(AT231*(1-Справочники!$B$16),0))</f>
        <v/>
      </c>
      <c r="AX231" s="90" t="str">
        <f aca="false">IF(AT231="","",ROUND(AT231*(1-Справочники!$B$17),0))</f>
        <v/>
      </c>
      <c r="AY231" s="90" t="str">
        <f aca="false">IF(AT231="","",ROUND(AT231*(1-Справочники!$B$18),0))</f>
        <v/>
      </c>
      <c r="AZ231" s="90" t="str">
        <f aca="false">IF(AT231="","",ROUND(AT231*(1-Справочники!$B$19),0))</f>
        <v/>
      </c>
      <c r="BA231" s="81"/>
      <c r="BB231" s="81"/>
      <c r="BC231" s="81"/>
      <c r="BD231" s="81"/>
      <c r="BE231" s="91"/>
      <c r="BF231" s="81" t="s">
        <v>103</v>
      </c>
      <c r="BG231" s="89" t="n">
        <f aca="false" t="array" ref="BG231:BG231">IF(BF231="","",IFERROR(INDEX(Справочники!$B$4:$B$7,MATCH(BF231,Справочники!$A$4:$A$7,0)),""))</f>
        <v>68.5</v>
      </c>
      <c r="BH231" s="90" t="str">
        <f aca="false">IF(N(BN231)&gt;0,ROUND(SUMIF(ЗАКАЗЫ!$F$3:$F$500,$A231,ЗАКАЗЫ!$Y$3:$Y$500)/BN231,0),IF(OR(BE231="",BG231=""),"",ROUND(BE231*BG231*(1+Справочники!$B$10),0)))</f>
        <v/>
      </c>
      <c r="BI231" s="92" t="str">
        <f aca="false">IF(OR(AU231="",BH231="",AU231=0),"",(AU231-BH231)/AU231)</f>
        <v/>
      </c>
      <c r="BJ231" s="81"/>
      <c r="BK231" s="83"/>
      <c r="BL231" s="43" t="str">
        <f aca="false">IFERROR(INDEX(ЗАКАЗЫ!$N$3:$N$500,MATCH($A231,ЗАКАЗЫ!$F$3:$F$500,0)),"")</f>
        <v/>
      </c>
      <c r="BM231" s="8" t="str">
        <f aca="false">IF(BL231="","",IFERROR(VLOOKUP(BL231,'ТН ВЭД'!$A$4:$C$40,3,0),""))</f>
        <v/>
      </c>
      <c r="BN231" s="7" t="str">
        <f aca="false">IF(COUNTIF(ЗАКАЗЫ!$F$3:$F$500,$A231)=0,"",SUMIF(ЗАКАЗЫ!$F$3:$F$500,$A231,ЗАКАЗЫ!$J$3:$J$500))</f>
        <v/>
      </c>
      <c r="BO231" s="7" t="str">
        <f aca="false">IF(BN231="","",SUMIF(ЗАКАЗЫ!$F$3:$F$500,$A231,ЗАКАЗЫ!$AL$3:$AL$500))</f>
        <v/>
      </c>
      <c r="BP231" s="7" t="str">
        <f aca="false">IF(BN231="","",BN231-BO231)</f>
        <v/>
      </c>
      <c r="BQ231" s="55" t="str">
        <f aca="false">IF(BN231="","",IF(BO231&gt;=BN231,"На складе",IF(BO231&gt;0,"Частично","Ждём")))</f>
        <v/>
      </c>
      <c r="BR231" s="43"/>
      <c r="BS231" s="47" t="str">
        <f aca="false">IF(BN231="","",IF(_xlfn.MAXIFS(ЗАКАЗЫ!$AK$3:$AK$500,ЗАКАЗЫ!$F$3:$F$500,$A231)=0,"",_xlfn.MAXIFS(ЗАКАЗЫ!$AK$3:$AK$500,ЗАКАЗЫ!$F$3:$F$500,$A231)))</f>
        <v/>
      </c>
    </row>
    <row r="232" customFormat="false" ht="15.75" hidden="false" customHeight="true" outlineLevel="0" collapsed="false">
      <c r="A232" s="80" t="s">
        <v>706</v>
      </c>
      <c r="B232" s="81"/>
      <c r="C232" s="81"/>
      <c r="D232" s="81"/>
      <c r="E232" s="83"/>
      <c r="F232" s="81"/>
      <c r="G232" s="83"/>
      <c r="H232" s="83"/>
      <c r="I232" s="84" t="str">
        <f aca="false">IF(E232="","",A232&amp;"_1.jpg")</f>
        <v/>
      </c>
      <c r="J232" s="84" t="str">
        <f aca="false">IF(E232="","",A232&amp;"_2.jpg; "&amp;A232&amp;"_3.jpg")</f>
        <v/>
      </c>
      <c r="K232" s="84" t="str">
        <f aca="false">IF(E232="","",A232&amp;"_schema.jpg")</f>
        <v/>
      </c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 t="s">
        <v>261</v>
      </c>
      <c r="W232" s="81"/>
      <c r="X232" s="81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6" t="str">
        <f aca="false">IF(SUM(Y232:AJ232)=0,"",SUM(Y232:AJ232))</f>
        <v/>
      </c>
      <c r="AL232" s="84" t="str">
        <f aca="false">MID(IF(N(Y232)&gt;0,", "&amp;Y$2,"")&amp;IF(N(Z232)&gt;0,", "&amp;Z$2,"")&amp;IF(N(AA232)&gt;0,", "&amp;AA$2,"")&amp;IF(N(AB232)&gt;0,", "&amp;AB$2,"")&amp;IF(N(AC232)&gt;0,", "&amp;AC$2,"")&amp;IF(N(AD232)&gt;0,", "&amp;AD$2,"")&amp;IF(N(AE232)&gt;0,", "&amp;AE$2,"")&amp;IF(N(AF232)&gt;0,", "&amp;AF$2,"")&amp;IF(N(AG232)&gt;0,", "&amp;AG$2,"")&amp;IF(N(AH232)&gt;0,", "&amp;AH$2,"")&amp;IF(N(AI232)&gt;0,", "&amp;AI$2,"")&amp;IF(N(AJ232)&gt;0,", "&amp;AJ$2,""),3,999)</f>
        <v/>
      </c>
      <c r="AM232" s="87" t="str">
        <f aca="false">IF(E232="","",MID(IF(N(Y232)&gt;0,", "&amp;A232&amp;"-"&amp;Y$2,"")&amp;IF(N(Z232)&gt;0,", "&amp;A232&amp;"-"&amp;Z$2,"")&amp;IF(N(AA232)&gt;0,", "&amp;A232&amp;"-"&amp;AA$2,"")&amp;IF(N(AB232)&gt;0,", "&amp;A232&amp;"-"&amp;AB$2,"")&amp;IF(N(AC232)&gt;0,", "&amp;A232&amp;"-"&amp;AC$2,"")&amp;IF(N(AD232)&gt;0,", "&amp;A232&amp;"-"&amp;AD$2,"")&amp;IF(N(AE232)&gt;0,", "&amp;A232&amp;"-"&amp;AE$2,"")&amp;IF(N(AF232)&gt;0,", "&amp;A232&amp;"-"&amp;AF$2,"")&amp;IF(N(AG232)&gt;0,", "&amp;A232&amp;"-"&amp;AG$2,"")&amp;IF(N(AH232)&gt;0,", "&amp;A232&amp;"-"&amp;AH$2,"")&amp;IF(N(AI232)&gt;0,", "&amp;A232&amp;"-"&amp;AI$2,"")&amp;IF(N(AJ232)&gt;0,", "&amp;A232&amp;"-"&amp;AJ$2,""),3,999))</f>
        <v/>
      </c>
      <c r="AN232" s="81"/>
      <c r="AO232" s="88"/>
      <c r="AP232" s="89" t="str">
        <f aca="false">IF(AO232="","",ROUND(AO232/(1+Справочники!$B$13),2))</f>
        <v/>
      </c>
      <c r="AQ232" s="90" t="str">
        <f aca="false" t="array" ref="AQ232:AQ232">IF(AP232="","",AP232*INDEX(Справочники!$B$4:$B$7,MATCH("RUB",Справочники!$A$4:$A$7,0)))</f>
        <v/>
      </c>
      <c r="AR232" s="90" t="str">
        <f aca="false">IF(AQ232="","",ROUND(AQ232*(1+Справочники!$B$12),0))</f>
        <v/>
      </c>
      <c r="AS232" s="90" t="str">
        <f aca="false">IF(AR232="","",ROUND(AR232*(1-Справочники!$B$11),0))</f>
        <v/>
      </c>
      <c r="AT232" s="88"/>
      <c r="AU232" s="90" t="str">
        <f aca="false">IF(AT232="","",ROUND(AT232/(1+Справочники!$B$12),0))</f>
        <v/>
      </c>
      <c r="AV232" s="90" t="str">
        <f aca="false">IF(AT232="","",ROUND(AT232*(1-Справочники!$B$15),0))</f>
        <v/>
      </c>
      <c r="AW232" s="90" t="str">
        <f aca="false">IF(AT232="","",ROUND(AT232*(1-Справочники!$B$16),0))</f>
        <v/>
      </c>
      <c r="AX232" s="90" t="str">
        <f aca="false">IF(AT232="","",ROUND(AT232*(1-Справочники!$B$17),0))</f>
        <v/>
      </c>
      <c r="AY232" s="90" t="str">
        <f aca="false">IF(AT232="","",ROUND(AT232*(1-Справочники!$B$18),0))</f>
        <v/>
      </c>
      <c r="AZ232" s="90" t="str">
        <f aca="false">IF(AT232="","",ROUND(AT232*(1-Справочники!$B$19),0))</f>
        <v/>
      </c>
      <c r="BA232" s="81"/>
      <c r="BB232" s="81"/>
      <c r="BC232" s="81"/>
      <c r="BD232" s="81"/>
      <c r="BE232" s="91"/>
      <c r="BF232" s="81" t="s">
        <v>103</v>
      </c>
      <c r="BG232" s="89" t="n">
        <f aca="false" t="array" ref="BG232:BG232">IF(BF232="","",IFERROR(INDEX(Справочники!$B$4:$B$7,MATCH(BF232,Справочники!$A$4:$A$7,0)),""))</f>
        <v>68.5</v>
      </c>
      <c r="BH232" s="90" t="str">
        <f aca="false">IF(N(BN232)&gt;0,ROUND(SUMIF(ЗАКАЗЫ!$F$3:$F$500,$A232,ЗАКАЗЫ!$Y$3:$Y$500)/BN232,0),IF(OR(BE232="",BG232=""),"",ROUND(BE232*BG232*(1+Справочники!$B$10),0)))</f>
        <v/>
      </c>
      <c r="BI232" s="92" t="str">
        <f aca="false">IF(OR(AU232="",BH232="",AU232=0),"",(AU232-BH232)/AU232)</f>
        <v/>
      </c>
      <c r="BJ232" s="81"/>
      <c r="BK232" s="83"/>
      <c r="BL232" s="43" t="str">
        <f aca="false">IFERROR(INDEX(ЗАКАЗЫ!$N$3:$N$500,MATCH($A232,ЗАКАЗЫ!$F$3:$F$500,0)),"")</f>
        <v/>
      </c>
      <c r="BM232" s="8" t="str">
        <f aca="false">IF(BL232="","",IFERROR(VLOOKUP(BL232,'ТН ВЭД'!$A$4:$C$40,3,0),""))</f>
        <v/>
      </c>
      <c r="BN232" s="7" t="str">
        <f aca="false">IF(COUNTIF(ЗАКАЗЫ!$F$3:$F$500,$A232)=0,"",SUMIF(ЗАКАЗЫ!$F$3:$F$500,$A232,ЗАКАЗЫ!$J$3:$J$500))</f>
        <v/>
      </c>
      <c r="BO232" s="7" t="str">
        <f aca="false">IF(BN232="","",SUMIF(ЗАКАЗЫ!$F$3:$F$500,$A232,ЗАКАЗЫ!$AL$3:$AL$500))</f>
        <v/>
      </c>
      <c r="BP232" s="7" t="str">
        <f aca="false">IF(BN232="","",BN232-BO232)</f>
        <v/>
      </c>
      <c r="BQ232" s="55" t="str">
        <f aca="false">IF(BN232="","",IF(BO232&gt;=BN232,"На складе",IF(BO232&gt;0,"Частично","Ждём")))</f>
        <v/>
      </c>
      <c r="BR232" s="43"/>
      <c r="BS232" s="47" t="str">
        <f aca="false">IF(BN232="","",IF(_xlfn.MAXIFS(ЗАКАЗЫ!$AK$3:$AK$500,ЗАКАЗЫ!$F$3:$F$500,$A232)=0,"",_xlfn.MAXIFS(ЗАКАЗЫ!$AK$3:$AK$500,ЗАКАЗЫ!$F$3:$F$500,$A232)))</f>
        <v/>
      </c>
    </row>
    <row r="233" customFormat="false" ht="15.75" hidden="false" customHeight="true" outlineLevel="0" collapsed="false">
      <c r="A233" s="80" t="s">
        <v>707</v>
      </c>
      <c r="B233" s="81"/>
      <c r="C233" s="81"/>
      <c r="D233" s="81"/>
      <c r="E233" s="83"/>
      <c r="F233" s="81"/>
      <c r="G233" s="83"/>
      <c r="H233" s="83"/>
      <c r="I233" s="84" t="str">
        <f aca="false">IF(E233="","",A233&amp;"_1.jpg")</f>
        <v/>
      </c>
      <c r="J233" s="84" t="str">
        <f aca="false">IF(E233="","",A233&amp;"_2.jpg; "&amp;A233&amp;"_3.jpg")</f>
        <v/>
      </c>
      <c r="K233" s="84" t="str">
        <f aca="false">IF(E233="","",A233&amp;"_schema.jpg")</f>
        <v/>
      </c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 t="s">
        <v>261</v>
      </c>
      <c r="W233" s="81"/>
      <c r="X233" s="81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6" t="str">
        <f aca="false">IF(SUM(Y233:AJ233)=0,"",SUM(Y233:AJ233))</f>
        <v/>
      </c>
      <c r="AL233" s="84" t="str">
        <f aca="false">MID(IF(N(Y233)&gt;0,", "&amp;Y$2,"")&amp;IF(N(Z233)&gt;0,", "&amp;Z$2,"")&amp;IF(N(AA233)&gt;0,", "&amp;AA$2,"")&amp;IF(N(AB233)&gt;0,", "&amp;AB$2,"")&amp;IF(N(AC233)&gt;0,", "&amp;AC$2,"")&amp;IF(N(AD233)&gt;0,", "&amp;AD$2,"")&amp;IF(N(AE233)&gt;0,", "&amp;AE$2,"")&amp;IF(N(AF233)&gt;0,", "&amp;AF$2,"")&amp;IF(N(AG233)&gt;0,", "&amp;AG$2,"")&amp;IF(N(AH233)&gt;0,", "&amp;AH$2,"")&amp;IF(N(AI233)&gt;0,", "&amp;AI$2,"")&amp;IF(N(AJ233)&gt;0,", "&amp;AJ$2,""),3,999)</f>
        <v/>
      </c>
      <c r="AM233" s="87" t="str">
        <f aca="false">IF(E233="","",MID(IF(N(Y233)&gt;0,", "&amp;A233&amp;"-"&amp;Y$2,"")&amp;IF(N(Z233)&gt;0,", "&amp;A233&amp;"-"&amp;Z$2,"")&amp;IF(N(AA233)&gt;0,", "&amp;A233&amp;"-"&amp;AA$2,"")&amp;IF(N(AB233)&gt;0,", "&amp;A233&amp;"-"&amp;AB$2,"")&amp;IF(N(AC233)&gt;0,", "&amp;A233&amp;"-"&amp;AC$2,"")&amp;IF(N(AD233)&gt;0,", "&amp;A233&amp;"-"&amp;AD$2,"")&amp;IF(N(AE233)&gt;0,", "&amp;A233&amp;"-"&amp;AE$2,"")&amp;IF(N(AF233)&gt;0,", "&amp;A233&amp;"-"&amp;AF$2,"")&amp;IF(N(AG233)&gt;0,", "&amp;A233&amp;"-"&amp;AG$2,"")&amp;IF(N(AH233)&gt;0,", "&amp;A233&amp;"-"&amp;AH$2,"")&amp;IF(N(AI233)&gt;0,", "&amp;A233&amp;"-"&amp;AI$2,"")&amp;IF(N(AJ233)&gt;0,", "&amp;A233&amp;"-"&amp;AJ$2,""),3,999))</f>
        <v/>
      </c>
      <c r="AN233" s="81"/>
      <c r="AO233" s="88"/>
      <c r="AP233" s="89" t="str">
        <f aca="false">IF(AO233="","",ROUND(AO233/(1+Справочники!$B$13),2))</f>
        <v/>
      </c>
      <c r="AQ233" s="90" t="str">
        <f aca="false" t="array" ref="AQ233:AQ233">IF(AP233="","",AP233*INDEX(Справочники!$B$4:$B$7,MATCH("RUB",Справочники!$A$4:$A$7,0)))</f>
        <v/>
      </c>
      <c r="AR233" s="90" t="str">
        <f aca="false">IF(AQ233="","",ROUND(AQ233*(1+Справочники!$B$12),0))</f>
        <v/>
      </c>
      <c r="AS233" s="90" t="str">
        <f aca="false">IF(AR233="","",ROUND(AR233*(1-Справочники!$B$11),0))</f>
        <v/>
      </c>
      <c r="AT233" s="88"/>
      <c r="AU233" s="90" t="str">
        <f aca="false">IF(AT233="","",ROUND(AT233/(1+Справочники!$B$12),0))</f>
        <v/>
      </c>
      <c r="AV233" s="90" t="str">
        <f aca="false">IF(AT233="","",ROUND(AT233*(1-Справочники!$B$15),0))</f>
        <v/>
      </c>
      <c r="AW233" s="90" t="str">
        <f aca="false">IF(AT233="","",ROUND(AT233*(1-Справочники!$B$16),0))</f>
        <v/>
      </c>
      <c r="AX233" s="90" t="str">
        <f aca="false">IF(AT233="","",ROUND(AT233*(1-Справочники!$B$17),0))</f>
        <v/>
      </c>
      <c r="AY233" s="90" t="str">
        <f aca="false">IF(AT233="","",ROUND(AT233*(1-Справочники!$B$18),0))</f>
        <v/>
      </c>
      <c r="AZ233" s="90" t="str">
        <f aca="false">IF(AT233="","",ROUND(AT233*(1-Справочники!$B$19),0))</f>
        <v/>
      </c>
      <c r="BA233" s="81"/>
      <c r="BB233" s="81"/>
      <c r="BC233" s="81"/>
      <c r="BD233" s="81"/>
      <c r="BE233" s="91"/>
      <c r="BF233" s="81" t="s">
        <v>103</v>
      </c>
      <c r="BG233" s="89" t="n">
        <f aca="false" t="array" ref="BG233:BG233">IF(BF233="","",IFERROR(INDEX(Справочники!$B$4:$B$7,MATCH(BF233,Справочники!$A$4:$A$7,0)),""))</f>
        <v>68.5</v>
      </c>
      <c r="BH233" s="90" t="str">
        <f aca="false">IF(N(BN233)&gt;0,ROUND(SUMIF(ЗАКАЗЫ!$F$3:$F$500,$A233,ЗАКАЗЫ!$Y$3:$Y$500)/BN233,0),IF(OR(BE233="",BG233=""),"",ROUND(BE233*BG233*(1+Справочники!$B$10),0)))</f>
        <v/>
      </c>
      <c r="BI233" s="92" t="str">
        <f aca="false">IF(OR(AU233="",BH233="",AU233=0),"",(AU233-BH233)/AU233)</f>
        <v/>
      </c>
      <c r="BJ233" s="81"/>
      <c r="BK233" s="83"/>
      <c r="BL233" s="43" t="str">
        <f aca="false">IFERROR(INDEX(ЗАКАЗЫ!$N$3:$N$500,MATCH($A233,ЗАКАЗЫ!$F$3:$F$500,0)),"")</f>
        <v/>
      </c>
      <c r="BM233" s="8" t="str">
        <f aca="false">IF(BL233="","",IFERROR(VLOOKUP(BL233,'ТН ВЭД'!$A$4:$C$40,3,0),""))</f>
        <v/>
      </c>
      <c r="BN233" s="7" t="str">
        <f aca="false">IF(COUNTIF(ЗАКАЗЫ!$F$3:$F$500,$A233)=0,"",SUMIF(ЗАКАЗЫ!$F$3:$F$500,$A233,ЗАКАЗЫ!$J$3:$J$500))</f>
        <v/>
      </c>
      <c r="BO233" s="7" t="str">
        <f aca="false">IF(BN233="","",SUMIF(ЗАКАЗЫ!$F$3:$F$500,$A233,ЗАКАЗЫ!$AL$3:$AL$500))</f>
        <v/>
      </c>
      <c r="BP233" s="7" t="str">
        <f aca="false">IF(BN233="","",BN233-BO233)</f>
        <v/>
      </c>
      <c r="BQ233" s="55" t="str">
        <f aca="false">IF(BN233="","",IF(BO233&gt;=BN233,"На складе",IF(BO233&gt;0,"Частично","Ждём")))</f>
        <v/>
      </c>
      <c r="BR233" s="43"/>
      <c r="BS233" s="47" t="str">
        <f aca="false">IF(BN233="","",IF(_xlfn.MAXIFS(ЗАКАЗЫ!$AK$3:$AK$500,ЗАКАЗЫ!$F$3:$F$500,$A233)=0,"",_xlfn.MAXIFS(ЗАКАЗЫ!$AK$3:$AK$500,ЗАКАЗЫ!$F$3:$F$500,$A233)))</f>
        <v/>
      </c>
    </row>
    <row r="234" customFormat="false" ht="15.75" hidden="false" customHeight="true" outlineLevel="0" collapsed="false">
      <c r="A234" s="80" t="s">
        <v>708</v>
      </c>
      <c r="B234" s="81"/>
      <c r="C234" s="81"/>
      <c r="D234" s="81"/>
      <c r="E234" s="83"/>
      <c r="F234" s="81"/>
      <c r="G234" s="83"/>
      <c r="H234" s="83"/>
      <c r="I234" s="84" t="str">
        <f aca="false">IF(E234="","",A234&amp;"_1.jpg")</f>
        <v/>
      </c>
      <c r="J234" s="84" t="str">
        <f aca="false">IF(E234="","",A234&amp;"_2.jpg; "&amp;A234&amp;"_3.jpg")</f>
        <v/>
      </c>
      <c r="K234" s="84" t="str">
        <f aca="false">IF(E234="","",A234&amp;"_schema.jpg")</f>
        <v/>
      </c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 t="s">
        <v>261</v>
      </c>
      <c r="W234" s="81"/>
      <c r="X234" s="81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6" t="str">
        <f aca="false">IF(SUM(Y234:AJ234)=0,"",SUM(Y234:AJ234))</f>
        <v/>
      </c>
      <c r="AL234" s="84" t="str">
        <f aca="false">MID(IF(N(Y234)&gt;0,", "&amp;Y$2,"")&amp;IF(N(Z234)&gt;0,", "&amp;Z$2,"")&amp;IF(N(AA234)&gt;0,", "&amp;AA$2,"")&amp;IF(N(AB234)&gt;0,", "&amp;AB$2,"")&amp;IF(N(AC234)&gt;0,", "&amp;AC$2,"")&amp;IF(N(AD234)&gt;0,", "&amp;AD$2,"")&amp;IF(N(AE234)&gt;0,", "&amp;AE$2,"")&amp;IF(N(AF234)&gt;0,", "&amp;AF$2,"")&amp;IF(N(AG234)&gt;0,", "&amp;AG$2,"")&amp;IF(N(AH234)&gt;0,", "&amp;AH$2,"")&amp;IF(N(AI234)&gt;0,", "&amp;AI$2,"")&amp;IF(N(AJ234)&gt;0,", "&amp;AJ$2,""),3,999)</f>
        <v/>
      </c>
      <c r="AM234" s="87" t="str">
        <f aca="false">IF(E234="","",MID(IF(N(Y234)&gt;0,", "&amp;A234&amp;"-"&amp;Y$2,"")&amp;IF(N(Z234)&gt;0,", "&amp;A234&amp;"-"&amp;Z$2,"")&amp;IF(N(AA234)&gt;0,", "&amp;A234&amp;"-"&amp;AA$2,"")&amp;IF(N(AB234)&gt;0,", "&amp;A234&amp;"-"&amp;AB$2,"")&amp;IF(N(AC234)&gt;0,", "&amp;A234&amp;"-"&amp;AC$2,"")&amp;IF(N(AD234)&gt;0,", "&amp;A234&amp;"-"&amp;AD$2,"")&amp;IF(N(AE234)&gt;0,", "&amp;A234&amp;"-"&amp;AE$2,"")&amp;IF(N(AF234)&gt;0,", "&amp;A234&amp;"-"&amp;AF$2,"")&amp;IF(N(AG234)&gt;0,", "&amp;A234&amp;"-"&amp;AG$2,"")&amp;IF(N(AH234)&gt;0,", "&amp;A234&amp;"-"&amp;AH$2,"")&amp;IF(N(AI234)&gt;0,", "&amp;A234&amp;"-"&amp;AI$2,"")&amp;IF(N(AJ234)&gt;0,", "&amp;A234&amp;"-"&amp;AJ$2,""),3,999))</f>
        <v/>
      </c>
      <c r="AN234" s="81"/>
      <c r="AO234" s="88"/>
      <c r="AP234" s="89" t="str">
        <f aca="false">IF(AO234="","",ROUND(AO234/(1+Справочники!$B$13),2))</f>
        <v/>
      </c>
      <c r="AQ234" s="90" t="str">
        <f aca="false" t="array" ref="AQ234:AQ234">IF(AP234="","",AP234*INDEX(Справочники!$B$4:$B$7,MATCH("RUB",Справочники!$A$4:$A$7,0)))</f>
        <v/>
      </c>
      <c r="AR234" s="90" t="str">
        <f aca="false">IF(AQ234="","",ROUND(AQ234*(1+Справочники!$B$12),0))</f>
        <v/>
      </c>
      <c r="AS234" s="90" t="str">
        <f aca="false">IF(AR234="","",ROUND(AR234*(1-Справочники!$B$11),0))</f>
        <v/>
      </c>
      <c r="AT234" s="88"/>
      <c r="AU234" s="90" t="str">
        <f aca="false">IF(AT234="","",ROUND(AT234/(1+Справочники!$B$12),0))</f>
        <v/>
      </c>
      <c r="AV234" s="90" t="str">
        <f aca="false">IF(AT234="","",ROUND(AT234*(1-Справочники!$B$15),0))</f>
        <v/>
      </c>
      <c r="AW234" s="90" t="str">
        <f aca="false">IF(AT234="","",ROUND(AT234*(1-Справочники!$B$16),0))</f>
        <v/>
      </c>
      <c r="AX234" s="90" t="str">
        <f aca="false">IF(AT234="","",ROUND(AT234*(1-Справочники!$B$17),0))</f>
        <v/>
      </c>
      <c r="AY234" s="90" t="str">
        <f aca="false">IF(AT234="","",ROUND(AT234*(1-Справочники!$B$18),0))</f>
        <v/>
      </c>
      <c r="AZ234" s="90" t="str">
        <f aca="false">IF(AT234="","",ROUND(AT234*(1-Справочники!$B$19),0))</f>
        <v/>
      </c>
      <c r="BA234" s="81"/>
      <c r="BB234" s="81"/>
      <c r="BC234" s="81"/>
      <c r="BD234" s="81"/>
      <c r="BE234" s="91"/>
      <c r="BF234" s="81" t="s">
        <v>103</v>
      </c>
      <c r="BG234" s="89" t="n">
        <f aca="false" t="array" ref="BG234:BG234">IF(BF234="","",IFERROR(INDEX(Справочники!$B$4:$B$7,MATCH(BF234,Справочники!$A$4:$A$7,0)),""))</f>
        <v>68.5</v>
      </c>
      <c r="BH234" s="90" t="str">
        <f aca="false">IF(N(BN234)&gt;0,ROUND(SUMIF(ЗАКАЗЫ!$F$3:$F$500,$A234,ЗАКАЗЫ!$Y$3:$Y$500)/BN234,0),IF(OR(BE234="",BG234=""),"",ROUND(BE234*BG234*(1+Справочники!$B$10),0)))</f>
        <v/>
      </c>
      <c r="BI234" s="92" t="str">
        <f aca="false">IF(OR(AU234="",BH234="",AU234=0),"",(AU234-BH234)/AU234)</f>
        <v/>
      </c>
      <c r="BJ234" s="81"/>
      <c r="BK234" s="83"/>
      <c r="BL234" s="43" t="str">
        <f aca="false">IFERROR(INDEX(ЗАКАЗЫ!$N$3:$N$500,MATCH($A234,ЗАКАЗЫ!$F$3:$F$500,0)),"")</f>
        <v/>
      </c>
      <c r="BM234" s="8" t="str">
        <f aca="false">IF(BL234="","",IFERROR(VLOOKUP(BL234,'ТН ВЭД'!$A$4:$C$40,3,0),""))</f>
        <v/>
      </c>
      <c r="BN234" s="7" t="str">
        <f aca="false">IF(COUNTIF(ЗАКАЗЫ!$F$3:$F$500,$A234)=0,"",SUMIF(ЗАКАЗЫ!$F$3:$F$500,$A234,ЗАКАЗЫ!$J$3:$J$500))</f>
        <v/>
      </c>
      <c r="BO234" s="7" t="str">
        <f aca="false">IF(BN234="","",SUMIF(ЗАКАЗЫ!$F$3:$F$500,$A234,ЗАКАЗЫ!$AL$3:$AL$500))</f>
        <v/>
      </c>
      <c r="BP234" s="7" t="str">
        <f aca="false">IF(BN234="","",BN234-BO234)</f>
        <v/>
      </c>
      <c r="BQ234" s="55" t="str">
        <f aca="false">IF(BN234="","",IF(BO234&gt;=BN234,"На складе",IF(BO234&gt;0,"Частично","Ждём")))</f>
        <v/>
      </c>
      <c r="BR234" s="43"/>
      <c r="BS234" s="47" t="str">
        <f aca="false">IF(BN234="","",IF(_xlfn.MAXIFS(ЗАКАЗЫ!$AK$3:$AK$500,ЗАКАЗЫ!$F$3:$F$500,$A234)=0,"",_xlfn.MAXIFS(ЗАКАЗЫ!$AK$3:$AK$500,ЗАКАЗЫ!$F$3:$F$500,$A234)))</f>
        <v/>
      </c>
    </row>
    <row r="235" customFormat="false" ht="15.75" hidden="false" customHeight="true" outlineLevel="0" collapsed="false">
      <c r="A235" s="80" t="s">
        <v>709</v>
      </c>
      <c r="B235" s="81"/>
      <c r="C235" s="81"/>
      <c r="D235" s="81"/>
      <c r="E235" s="83"/>
      <c r="F235" s="81"/>
      <c r="G235" s="83"/>
      <c r="H235" s="83"/>
      <c r="I235" s="84" t="str">
        <f aca="false">IF(E235="","",A235&amp;"_1.jpg")</f>
        <v/>
      </c>
      <c r="J235" s="84" t="str">
        <f aca="false">IF(E235="","",A235&amp;"_2.jpg; "&amp;A235&amp;"_3.jpg")</f>
        <v/>
      </c>
      <c r="K235" s="84" t="str">
        <f aca="false">IF(E235="","",A235&amp;"_schema.jpg")</f>
        <v/>
      </c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 t="s">
        <v>261</v>
      </c>
      <c r="W235" s="81"/>
      <c r="X235" s="81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6" t="str">
        <f aca="false">IF(SUM(Y235:AJ235)=0,"",SUM(Y235:AJ235))</f>
        <v/>
      </c>
      <c r="AL235" s="84" t="str">
        <f aca="false">MID(IF(N(Y235)&gt;0,", "&amp;Y$2,"")&amp;IF(N(Z235)&gt;0,", "&amp;Z$2,"")&amp;IF(N(AA235)&gt;0,", "&amp;AA$2,"")&amp;IF(N(AB235)&gt;0,", "&amp;AB$2,"")&amp;IF(N(AC235)&gt;0,", "&amp;AC$2,"")&amp;IF(N(AD235)&gt;0,", "&amp;AD$2,"")&amp;IF(N(AE235)&gt;0,", "&amp;AE$2,"")&amp;IF(N(AF235)&gt;0,", "&amp;AF$2,"")&amp;IF(N(AG235)&gt;0,", "&amp;AG$2,"")&amp;IF(N(AH235)&gt;0,", "&amp;AH$2,"")&amp;IF(N(AI235)&gt;0,", "&amp;AI$2,"")&amp;IF(N(AJ235)&gt;0,", "&amp;AJ$2,""),3,999)</f>
        <v/>
      </c>
      <c r="AM235" s="87" t="str">
        <f aca="false">IF(E235="","",MID(IF(N(Y235)&gt;0,", "&amp;A235&amp;"-"&amp;Y$2,"")&amp;IF(N(Z235)&gt;0,", "&amp;A235&amp;"-"&amp;Z$2,"")&amp;IF(N(AA235)&gt;0,", "&amp;A235&amp;"-"&amp;AA$2,"")&amp;IF(N(AB235)&gt;0,", "&amp;A235&amp;"-"&amp;AB$2,"")&amp;IF(N(AC235)&gt;0,", "&amp;A235&amp;"-"&amp;AC$2,"")&amp;IF(N(AD235)&gt;0,", "&amp;A235&amp;"-"&amp;AD$2,"")&amp;IF(N(AE235)&gt;0,", "&amp;A235&amp;"-"&amp;AE$2,"")&amp;IF(N(AF235)&gt;0,", "&amp;A235&amp;"-"&amp;AF$2,"")&amp;IF(N(AG235)&gt;0,", "&amp;A235&amp;"-"&amp;AG$2,"")&amp;IF(N(AH235)&gt;0,", "&amp;A235&amp;"-"&amp;AH$2,"")&amp;IF(N(AI235)&gt;0,", "&amp;A235&amp;"-"&amp;AI$2,"")&amp;IF(N(AJ235)&gt;0,", "&amp;A235&amp;"-"&amp;AJ$2,""),3,999))</f>
        <v/>
      </c>
      <c r="AN235" s="81"/>
      <c r="AO235" s="88"/>
      <c r="AP235" s="89" t="str">
        <f aca="false">IF(AO235="","",ROUND(AO235/(1+Справочники!$B$13),2))</f>
        <v/>
      </c>
      <c r="AQ235" s="90" t="str">
        <f aca="false" t="array" ref="AQ235:AQ235">IF(AP235="","",AP235*INDEX(Справочники!$B$4:$B$7,MATCH("RUB",Справочники!$A$4:$A$7,0)))</f>
        <v/>
      </c>
      <c r="AR235" s="90" t="str">
        <f aca="false">IF(AQ235="","",ROUND(AQ235*(1+Справочники!$B$12),0))</f>
        <v/>
      </c>
      <c r="AS235" s="90" t="str">
        <f aca="false">IF(AR235="","",ROUND(AR235*(1-Справочники!$B$11),0))</f>
        <v/>
      </c>
      <c r="AT235" s="88"/>
      <c r="AU235" s="90" t="str">
        <f aca="false">IF(AT235="","",ROUND(AT235/(1+Справочники!$B$12),0))</f>
        <v/>
      </c>
      <c r="AV235" s="90" t="str">
        <f aca="false">IF(AT235="","",ROUND(AT235*(1-Справочники!$B$15),0))</f>
        <v/>
      </c>
      <c r="AW235" s="90" t="str">
        <f aca="false">IF(AT235="","",ROUND(AT235*(1-Справочники!$B$16),0))</f>
        <v/>
      </c>
      <c r="AX235" s="90" t="str">
        <f aca="false">IF(AT235="","",ROUND(AT235*(1-Справочники!$B$17),0))</f>
        <v/>
      </c>
      <c r="AY235" s="90" t="str">
        <f aca="false">IF(AT235="","",ROUND(AT235*(1-Справочники!$B$18),0))</f>
        <v/>
      </c>
      <c r="AZ235" s="90" t="str">
        <f aca="false">IF(AT235="","",ROUND(AT235*(1-Справочники!$B$19),0))</f>
        <v/>
      </c>
      <c r="BA235" s="81"/>
      <c r="BB235" s="81"/>
      <c r="BC235" s="81"/>
      <c r="BD235" s="81"/>
      <c r="BE235" s="91"/>
      <c r="BF235" s="81" t="s">
        <v>103</v>
      </c>
      <c r="BG235" s="89" t="n">
        <f aca="false" t="array" ref="BG235:BG235">IF(BF235="","",IFERROR(INDEX(Справочники!$B$4:$B$7,MATCH(BF235,Справочники!$A$4:$A$7,0)),""))</f>
        <v>68.5</v>
      </c>
      <c r="BH235" s="90" t="str">
        <f aca="false">IF(N(BN235)&gt;0,ROUND(SUMIF(ЗАКАЗЫ!$F$3:$F$500,$A235,ЗАКАЗЫ!$Y$3:$Y$500)/BN235,0),IF(OR(BE235="",BG235=""),"",ROUND(BE235*BG235*(1+Справочники!$B$10),0)))</f>
        <v/>
      </c>
      <c r="BI235" s="92" t="str">
        <f aca="false">IF(OR(AU235="",BH235="",AU235=0),"",(AU235-BH235)/AU235)</f>
        <v/>
      </c>
      <c r="BJ235" s="81"/>
      <c r="BK235" s="83"/>
      <c r="BL235" s="43" t="str">
        <f aca="false">IFERROR(INDEX(ЗАКАЗЫ!$N$3:$N$500,MATCH($A235,ЗАКАЗЫ!$F$3:$F$500,0)),"")</f>
        <v/>
      </c>
      <c r="BM235" s="8" t="str">
        <f aca="false">IF(BL235="","",IFERROR(VLOOKUP(BL235,'ТН ВЭД'!$A$4:$C$40,3,0),""))</f>
        <v/>
      </c>
      <c r="BN235" s="7" t="str">
        <f aca="false">IF(COUNTIF(ЗАКАЗЫ!$F$3:$F$500,$A235)=0,"",SUMIF(ЗАКАЗЫ!$F$3:$F$500,$A235,ЗАКАЗЫ!$J$3:$J$500))</f>
        <v/>
      </c>
      <c r="BO235" s="7" t="str">
        <f aca="false">IF(BN235="","",SUMIF(ЗАКАЗЫ!$F$3:$F$500,$A235,ЗАКАЗЫ!$AL$3:$AL$500))</f>
        <v/>
      </c>
      <c r="BP235" s="7" t="str">
        <f aca="false">IF(BN235="","",BN235-BO235)</f>
        <v/>
      </c>
      <c r="BQ235" s="55" t="str">
        <f aca="false">IF(BN235="","",IF(BO235&gt;=BN235,"На складе",IF(BO235&gt;0,"Частично","Ждём")))</f>
        <v/>
      </c>
      <c r="BR235" s="43"/>
      <c r="BS235" s="47" t="str">
        <f aca="false">IF(BN235="","",IF(_xlfn.MAXIFS(ЗАКАЗЫ!$AK$3:$AK$500,ЗАКАЗЫ!$F$3:$F$500,$A235)=0,"",_xlfn.MAXIFS(ЗАКАЗЫ!$AK$3:$AK$500,ЗАКАЗЫ!$F$3:$F$500,$A235)))</f>
        <v/>
      </c>
    </row>
    <row r="236" customFormat="false" ht="15.75" hidden="false" customHeight="true" outlineLevel="0" collapsed="false">
      <c r="A236" s="80" t="s">
        <v>710</v>
      </c>
      <c r="B236" s="81"/>
      <c r="C236" s="81"/>
      <c r="D236" s="81"/>
      <c r="E236" s="83"/>
      <c r="F236" s="81"/>
      <c r="G236" s="83"/>
      <c r="H236" s="83"/>
      <c r="I236" s="84" t="str">
        <f aca="false">IF(E236="","",A236&amp;"_1.jpg")</f>
        <v/>
      </c>
      <c r="J236" s="84" t="str">
        <f aca="false">IF(E236="","",A236&amp;"_2.jpg; "&amp;A236&amp;"_3.jpg")</f>
        <v/>
      </c>
      <c r="K236" s="84" t="str">
        <f aca="false">IF(E236="","",A236&amp;"_schema.jpg")</f>
        <v/>
      </c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 t="s">
        <v>261</v>
      </c>
      <c r="W236" s="81"/>
      <c r="X236" s="81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6" t="str">
        <f aca="false">IF(SUM(Y236:AJ236)=0,"",SUM(Y236:AJ236))</f>
        <v/>
      </c>
      <c r="AL236" s="84" t="str">
        <f aca="false">MID(IF(N(Y236)&gt;0,", "&amp;Y$2,"")&amp;IF(N(Z236)&gt;0,", "&amp;Z$2,"")&amp;IF(N(AA236)&gt;0,", "&amp;AA$2,"")&amp;IF(N(AB236)&gt;0,", "&amp;AB$2,"")&amp;IF(N(AC236)&gt;0,", "&amp;AC$2,"")&amp;IF(N(AD236)&gt;0,", "&amp;AD$2,"")&amp;IF(N(AE236)&gt;0,", "&amp;AE$2,"")&amp;IF(N(AF236)&gt;0,", "&amp;AF$2,"")&amp;IF(N(AG236)&gt;0,", "&amp;AG$2,"")&amp;IF(N(AH236)&gt;0,", "&amp;AH$2,"")&amp;IF(N(AI236)&gt;0,", "&amp;AI$2,"")&amp;IF(N(AJ236)&gt;0,", "&amp;AJ$2,""),3,999)</f>
        <v/>
      </c>
      <c r="AM236" s="87" t="str">
        <f aca="false">IF(E236="","",MID(IF(N(Y236)&gt;0,", "&amp;A236&amp;"-"&amp;Y$2,"")&amp;IF(N(Z236)&gt;0,", "&amp;A236&amp;"-"&amp;Z$2,"")&amp;IF(N(AA236)&gt;0,", "&amp;A236&amp;"-"&amp;AA$2,"")&amp;IF(N(AB236)&gt;0,", "&amp;A236&amp;"-"&amp;AB$2,"")&amp;IF(N(AC236)&gt;0,", "&amp;A236&amp;"-"&amp;AC$2,"")&amp;IF(N(AD236)&gt;0,", "&amp;A236&amp;"-"&amp;AD$2,"")&amp;IF(N(AE236)&gt;0,", "&amp;A236&amp;"-"&amp;AE$2,"")&amp;IF(N(AF236)&gt;0,", "&amp;A236&amp;"-"&amp;AF$2,"")&amp;IF(N(AG236)&gt;0,", "&amp;A236&amp;"-"&amp;AG$2,"")&amp;IF(N(AH236)&gt;0,", "&amp;A236&amp;"-"&amp;AH$2,"")&amp;IF(N(AI236)&gt;0,", "&amp;A236&amp;"-"&amp;AI$2,"")&amp;IF(N(AJ236)&gt;0,", "&amp;A236&amp;"-"&amp;AJ$2,""),3,999))</f>
        <v/>
      </c>
      <c r="AN236" s="81"/>
      <c r="AO236" s="88"/>
      <c r="AP236" s="89" t="str">
        <f aca="false">IF(AO236="","",ROUND(AO236/(1+Справочники!$B$13),2))</f>
        <v/>
      </c>
      <c r="AQ236" s="90" t="str">
        <f aca="false" t="array" ref="AQ236:AQ236">IF(AP236="","",AP236*INDEX(Справочники!$B$4:$B$7,MATCH("RUB",Справочники!$A$4:$A$7,0)))</f>
        <v/>
      </c>
      <c r="AR236" s="90" t="str">
        <f aca="false">IF(AQ236="","",ROUND(AQ236*(1+Справочники!$B$12),0))</f>
        <v/>
      </c>
      <c r="AS236" s="90" t="str">
        <f aca="false">IF(AR236="","",ROUND(AR236*(1-Справочники!$B$11),0))</f>
        <v/>
      </c>
      <c r="AT236" s="88"/>
      <c r="AU236" s="90" t="str">
        <f aca="false">IF(AT236="","",ROUND(AT236/(1+Справочники!$B$12),0))</f>
        <v/>
      </c>
      <c r="AV236" s="90" t="str">
        <f aca="false">IF(AT236="","",ROUND(AT236*(1-Справочники!$B$15),0))</f>
        <v/>
      </c>
      <c r="AW236" s="90" t="str">
        <f aca="false">IF(AT236="","",ROUND(AT236*(1-Справочники!$B$16),0))</f>
        <v/>
      </c>
      <c r="AX236" s="90" t="str">
        <f aca="false">IF(AT236="","",ROUND(AT236*(1-Справочники!$B$17),0))</f>
        <v/>
      </c>
      <c r="AY236" s="90" t="str">
        <f aca="false">IF(AT236="","",ROUND(AT236*(1-Справочники!$B$18),0))</f>
        <v/>
      </c>
      <c r="AZ236" s="90" t="str">
        <f aca="false">IF(AT236="","",ROUND(AT236*(1-Справочники!$B$19),0))</f>
        <v/>
      </c>
      <c r="BA236" s="81"/>
      <c r="BB236" s="81"/>
      <c r="BC236" s="81"/>
      <c r="BD236" s="81"/>
      <c r="BE236" s="91"/>
      <c r="BF236" s="81" t="s">
        <v>103</v>
      </c>
      <c r="BG236" s="89" t="n">
        <f aca="false" t="array" ref="BG236:BG236">IF(BF236="","",IFERROR(INDEX(Справочники!$B$4:$B$7,MATCH(BF236,Справочники!$A$4:$A$7,0)),""))</f>
        <v>68.5</v>
      </c>
      <c r="BH236" s="90" t="str">
        <f aca="false">IF(N(BN236)&gt;0,ROUND(SUMIF(ЗАКАЗЫ!$F$3:$F$500,$A236,ЗАКАЗЫ!$Y$3:$Y$500)/BN236,0),IF(OR(BE236="",BG236=""),"",ROUND(BE236*BG236*(1+Справочники!$B$10),0)))</f>
        <v/>
      </c>
      <c r="BI236" s="92" t="str">
        <f aca="false">IF(OR(AU236="",BH236="",AU236=0),"",(AU236-BH236)/AU236)</f>
        <v/>
      </c>
      <c r="BJ236" s="81"/>
      <c r="BK236" s="83"/>
      <c r="BL236" s="43" t="str">
        <f aca="false">IFERROR(INDEX(ЗАКАЗЫ!$N$3:$N$500,MATCH($A236,ЗАКАЗЫ!$F$3:$F$500,0)),"")</f>
        <v/>
      </c>
      <c r="BM236" s="8" t="str">
        <f aca="false">IF(BL236="","",IFERROR(VLOOKUP(BL236,'ТН ВЭД'!$A$4:$C$40,3,0),""))</f>
        <v/>
      </c>
      <c r="BN236" s="7" t="str">
        <f aca="false">IF(COUNTIF(ЗАКАЗЫ!$F$3:$F$500,$A236)=0,"",SUMIF(ЗАКАЗЫ!$F$3:$F$500,$A236,ЗАКАЗЫ!$J$3:$J$500))</f>
        <v/>
      </c>
      <c r="BO236" s="7" t="str">
        <f aca="false">IF(BN236="","",SUMIF(ЗАКАЗЫ!$F$3:$F$500,$A236,ЗАКАЗЫ!$AL$3:$AL$500))</f>
        <v/>
      </c>
      <c r="BP236" s="7" t="str">
        <f aca="false">IF(BN236="","",BN236-BO236)</f>
        <v/>
      </c>
      <c r="BQ236" s="55" t="str">
        <f aca="false">IF(BN236="","",IF(BO236&gt;=BN236,"На складе",IF(BO236&gt;0,"Частично","Ждём")))</f>
        <v/>
      </c>
      <c r="BR236" s="43"/>
      <c r="BS236" s="47" t="str">
        <f aca="false">IF(BN236="","",IF(_xlfn.MAXIFS(ЗАКАЗЫ!$AK$3:$AK$500,ЗАКАЗЫ!$F$3:$F$500,$A236)=0,"",_xlfn.MAXIFS(ЗАКАЗЫ!$AK$3:$AK$500,ЗАКАЗЫ!$F$3:$F$500,$A236)))</f>
        <v/>
      </c>
    </row>
    <row r="237" customFormat="false" ht="15.75" hidden="false" customHeight="true" outlineLevel="0" collapsed="false">
      <c r="A237" s="80" t="s">
        <v>711</v>
      </c>
      <c r="B237" s="81"/>
      <c r="C237" s="81"/>
      <c r="D237" s="81"/>
      <c r="E237" s="83"/>
      <c r="F237" s="81"/>
      <c r="G237" s="83"/>
      <c r="H237" s="83"/>
      <c r="I237" s="84" t="str">
        <f aca="false">IF(E237="","",A237&amp;"_1.jpg")</f>
        <v/>
      </c>
      <c r="J237" s="84" t="str">
        <f aca="false">IF(E237="","",A237&amp;"_2.jpg; "&amp;A237&amp;"_3.jpg")</f>
        <v/>
      </c>
      <c r="K237" s="84" t="str">
        <f aca="false">IF(E237="","",A237&amp;"_schema.jpg")</f>
        <v/>
      </c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 t="s">
        <v>261</v>
      </c>
      <c r="W237" s="81"/>
      <c r="X237" s="81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6" t="str">
        <f aca="false">IF(SUM(Y237:AJ237)=0,"",SUM(Y237:AJ237))</f>
        <v/>
      </c>
      <c r="AL237" s="84" t="str">
        <f aca="false">MID(IF(N(Y237)&gt;0,", "&amp;Y$2,"")&amp;IF(N(Z237)&gt;0,", "&amp;Z$2,"")&amp;IF(N(AA237)&gt;0,", "&amp;AA$2,"")&amp;IF(N(AB237)&gt;0,", "&amp;AB$2,"")&amp;IF(N(AC237)&gt;0,", "&amp;AC$2,"")&amp;IF(N(AD237)&gt;0,", "&amp;AD$2,"")&amp;IF(N(AE237)&gt;0,", "&amp;AE$2,"")&amp;IF(N(AF237)&gt;0,", "&amp;AF$2,"")&amp;IF(N(AG237)&gt;0,", "&amp;AG$2,"")&amp;IF(N(AH237)&gt;0,", "&amp;AH$2,"")&amp;IF(N(AI237)&gt;0,", "&amp;AI$2,"")&amp;IF(N(AJ237)&gt;0,", "&amp;AJ$2,""),3,999)</f>
        <v/>
      </c>
      <c r="AM237" s="87" t="str">
        <f aca="false">IF(E237="","",MID(IF(N(Y237)&gt;0,", "&amp;A237&amp;"-"&amp;Y$2,"")&amp;IF(N(Z237)&gt;0,", "&amp;A237&amp;"-"&amp;Z$2,"")&amp;IF(N(AA237)&gt;0,", "&amp;A237&amp;"-"&amp;AA$2,"")&amp;IF(N(AB237)&gt;0,", "&amp;A237&amp;"-"&amp;AB$2,"")&amp;IF(N(AC237)&gt;0,", "&amp;A237&amp;"-"&amp;AC$2,"")&amp;IF(N(AD237)&gt;0,", "&amp;A237&amp;"-"&amp;AD$2,"")&amp;IF(N(AE237)&gt;0,", "&amp;A237&amp;"-"&amp;AE$2,"")&amp;IF(N(AF237)&gt;0,", "&amp;A237&amp;"-"&amp;AF$2,"")&amp;IF(N(AG237)&gt;0,", "&amp;A237&amp;"-"&amp;AG$2,"")&amp;IF(N(AH237)&gt;0,", "&amp;A237&amp;"-"&amp;AH$2,"")&amp;IF(N(AI237)&gt;0,", "&amp;A237&amp;"-"&amp;AI$2,"")&amp;IF(N(AJ237)&gt;0,", "&amp;A237&amp;"-"&amp;AJ$2,""),3,999))</f>
        <v/>
      </c>
      <c r="AN237" s="81"/>
      <c r="AO237" s="88"/>
      <c r="AP237" s="89" t="str">
        <f aca="false">IF(AO237="","",ROUND(AO237/(1+Справочники!$B$13),2))</f>
        <v/>
      </c>
      <c r="AQ237" s="90" t="str">
        <f aca="false" t="array" ref="AQ237:AQ237">IF(AP237="","",AP237*INDEX(Справочники!$B$4:$B$7,MATCH("RUB",Справочники!$A$4:$A$7,0)))</f>
        <v/>
      </c>
      <c r="AR237" s="90" t="str">
        <f aca="false">IF(AQ237="","",ROUND(AQ237*(1+Справочники!$B$12),0))</f>
        <v/>
      </c>
      <c r="AS237" s="90" t="str">
        <f aca="false">IF(AR237="","",ROUND(AR237*(1-Справочники!$B$11),0))</f>
        <v/>
      </c>
      <c r="AT237" s="88"/>
      <c r="AU237" s="90" t="str">
        <f aca="false">IF(AT237="","",ROUND(AT237/(1+Справочники!$B$12),0))</f>
        <v/>
      </c>
      <c r="AV237" s="90" t="str">
        <f aca="false">IF(AT237="","",ROUND(AT237*(1-Справочники!$B$15),0))</f>
        <v/>
      </c>
      <c r="AW237" s="90" t="str">
        <f aca="false">IF(AT237="","",ROUND(AT237*(1-Справочники!$B$16),0))</f>
        <v/>
      </c>
      <c r="AX237" s="90" t="str">
        <f aca="false">IF(AT237="","",ROUND(AT237*(1-Справочники!$B$17),0))</f>
        <v/>
      </c>
      <c r="AY237" s="90" t="str">
        <f aca="false">IF(AT237="","",ROUND(AT237*(1-Справочники!$B$18),0))</f>
        <v/>
      </c>
      <c r="AZ237" s="90" t="str">
        <f aca="false">IF(AT237="","",ROUND(AT237*(1-Справочники!$B$19),0))</f>
        <v/>
      </c>
      <c r="BA237" s="81"/>
      <c r="BB237" s="81"/>
      <c r="BC237" s="81"/>
      <c r="BD237" s="81"/>
      <c r="BE237" s="91"/>
      <c r="BF237" s="81" t="s">
        <v>103</v>
      </c>
      <c r="BG237" s="89" t="n">
        <f aca="false" t="array" ref="BG237:BG237">IF(BF237="","",IFERROR(INDEX(Справочники!$B$4:$B$7,MATCH(BF237,Справочники!$A$4:$A$7,0)),""))</f>
        <v>68.5</v>
      </c>
      <c r="BH237" s="90" t="str">
        <f aca="false">IF(N(BN237)&gt;0,ROUND(SUMIF(ЗАКАЗЫ!$F$3:$F$500,$A237,ЗАКАЗЫ!$Y$3:$Y$500)/BN237,0),IF(OR(BE237="",BG237=""),"",ROUND(BE237*BG237*(1+Справочники!$B$10),0)))</f>
        <v/>
      </c>
      <c r="BI237" s="92" t="str">
        <f aca="false">IF(OR(AU237="",BH237="",AU237=0),"",(AU237-BH237)/AU237)</f>
        <v/>
      </c>
      <c r="BJ237" s="81"/>
      <c r="BK237" s="83"/>
      <c r="BL237" s="43" t="str">
        <f aca="false">IFERROR(INDEX(ЗАКАЗЫ!$N$3:$N$500,MATCH($A237,ЗАКАЗЫ!$F$3:$F$500,0)),"")</f>
        <v/>
      </c>
      <c r="BM237" s="8" t="str">
        <f aca="false">IF(BL237="","",IFERROR(VLOOKUP(BL237,'ТН ВЭД'!$A$4:$C$40,3,0),""))</f>
        <v/>
      </c>
      <c r="BN237" s="7" t="str">
        <f aca="false">IF(COUNTIF(ЗАКАЗЫ!$F$3:$F$500,$A237)=0,"",SUMIF(ЗАКАЗЫ!$F$3:$F$500,$A237,ЗАКАЗЫ!$J$3:$J$500))</f>
        <v/>
      </c>
      <c r="BO237" s="7" t="str">
        <f aca="false">IF(BN237="","",SUMIF(ЗАКАЗЫ!$F$3:$F$500,$A237,ЗАКАЗЫ!$AL$3:$AL$500))</f>
        <v/>
      </c>
      <c r="BP237" s="7" t="str">
        <f aca="false">IF(BN237="","",BN237-BO237)</f>
        <v/>
      </c>
      <c r="BQ237" s="55" t="str">
        <f aca="false">IF(BN237="","",IF(BO237&gt;=BN237,"На складе",IF(BO237&gt;0,"Частично","Ждём")))</f>
        <v/>
      </c>
      <c r="BR237" s="43"/>
      <c r="BS237" s="47" t="str">
        <f aca="false">IF(BN237="","",IF(_xlfn.MAXIFS(ЗАКАЗЫ!$AK$3:$AK$500,ЗАКАЗЫ!$F$3:$F$500,$A237)=0,"",_xlfn.MAXIFS(ЗАКАЗЫ!$AK$3:$AK$500,ЗАКАЗЫ!$F$3:$F$500,$A237)))</f>
        <v/>
      </c>
    </row>
    <row r="238" customFormat="false" ht="15.75" hidden="false" customHeight="true" outlineLevel="0" collapsed="false">
      <c r="A238" s="80" t="s">
        <v>712</v>
      </c>
      <c r="B238" s="81"/>
      <c r="C238" s="81"/>
      <c r="D238" s="81"/>
      <c r="E238" s="83"/>
      <c r="F238" s="81"/>
      <c r="G238" s="83"/>
      <c r="H238" s="83"/>
      <c r="I238" s="84" t="str">
        <f aca="false">IF(E238="","",A238&amp;"_1.jpg")</f>
        <v/>
      </c>
      <c r="J238" s="84" t="str">
        <f aca="false">IF(E238="","",A238&amp;"_2.jpg; "&amp;A238&amp;"_3.jpg")</f>
        <v/>
      </c>
      <c r="K238" s="84" t="str">
        <f aca="false">IF(E238="","",A238&amp;"_schema.jpg")</f>
        <v/>
      </c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 t="s">
        <v>261</v>
      </c>
      <c r="W238" s="81"/>
      <c r="X238" s="81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6" t="str">
        <f aca="false">IF(SUM(Y238:AJ238)=0,"",SUM(Y238:AJ238))</f>
        <v/>
      </c>
      <c r="AL238" s="84" t="str">
        <f aca="false">MID(IF(N(Y238)&gt;0,", "&amp;Y$2,"")&amp;IF(N(Z238)&gt;0,", "&amp;Z$2,"")&amp;IF(N(AA238)&gt;0,", "&amp;AA$2,"")&amp;IF(N(AB238)&gt;0,", "&amp;AB$2,"")&amp;IF(N(AC238)&gt;0,", "&amp;AC$2,"")&amp;IF(N(AD238)&gt;0,", "&amp;AD$2,"")&amp;IF(N(AE238)&gt;0,", "&amp;AE$2,"")&amp;IF(N(AF238)&gt;0,", "&amp;AF$2,"")&amp;IF(N(AG238)&gt;0,", "&amp;AG$2,"")&amp;IF(N(AH238)&gt;0,", "&amp;AH$2,"")&amp;IF(N(AI238)&gt;0,", "&amp;AI$2,"")&amp;IF(N(AJ238)&gt;0,", "&amp;AJ$2,""),3,999)</f>
        <v/>
      </c>
      <c r="AM238" s="87" t="str">
        <f aca="false">IF(E238="","",MID(IF(N(Y238)&gt;0,", "&amp;A238&amp;"-"&amp;Y$2,"")&amp;IF(N(Z238)&gt;0,", "&amp;A238&amp;"-"&amp;Z$2,"")&amp;IF(N(AA238)&gt;0,", "&amp;A238&amp;"-"&amp;AA$2,"")&amp;IF(N(AB238)&gt;0,", "&amp;A238&amp;"-"&amp;AB$2,"")&amp;IF(N(AC238)&gt;0,", "&amp;A238&amp;"-"&amp;AC$2,"")&amp;IF(N(AD238)&gt;0,", "&amp;A238&amp;"-"&amp;AD$2,"")&amp;IF(N(AE238)&gt;0,", "&amp;A238&amp;"-"&amp;AE$2,"")&amp;IF(N(AF238)&gt;0,", "&amp;A238&amp;"-"&amp;AF$2,"")&amp;IF(N(AG238)&gt;0,", "&amp;A238&amp;"-"&amp;AG$2,"")&amp;IF(N(AH238)&gt;0,", "&amp;A238&amp;"-"&amp;AH$2,"")&amp;IF(N(AI238)&gt;0,", "&amp;A238&amp;"-"&amp;AI$2,"")&amp;IF(N(AJ238)&gt;0,", "&amp;A238&amp;"-"&amp;AJ$2,""),3,999))</f>
        <v/>
      </c>
      <c r="AN238" s="81"/>
      <c r="AO238" s="88"/>
      <c r="AP238" s="89" t="str">
        <f aca="false">IF(AO238="","",ROUND(AO238/(1+Справочники!$B$13),2))</f>
        <v/>
      </c>
      <c r="AQ238" s="90" t="str">
        <f aca="false" t="array" ref="AQ238:AQ238">IF(AP238="","",AP238*INDEX(Справочники!$B$4:$B$7,MATCH("RUB",Справочники!$A$4:$A$7,0)))</f>
        <v/>
      </c>
      <c r="AR238" s="90" t="str">
        <f aca="false">IF(AQ238="","",ROUND(AQ238*(1+Справочники!$B$12),0))</f>
        <v/>
      </c>
      <c r="AS238" s="90" t="str">
        <f aca="false">IF(AR238="","",ROUND(AR238*(1-Справочники!$B$11),0))</f>
        <v/>
      </c>
      <c r="AT238" s="88"/>
      <c r="AU238" s="90" t="str">
        <f aca="false">IF(AT238="","",ROUND(AT238/(1+Справочники!$B$12),0))</f>
        <v/>
      </c>
      <c r="AV238" s="90" t="str">
        <f aca="false">IF(AT238="","",ROUND(AT238*(1-Справочники!$B$15),0))</f>
        <v/>
      </c>
      <c r="AW238" s="90" t="str">
        <f aca="false">IF(AT238="","",ROUND(AT238*(1-Справочники!$B$16),0))</f>
        <v/>
      </c>
      <c r="AX238" s="90" t="str">
        <f aca="false">IF(AT238="","",ROUND(AT238*(1-Справочники!$B$17),0))</f>
        <v/>
      </c>
      <c r="AY238" s="90" t="str">
        <f aca="false">IF(AT238="","",ROUND(AT238*(1-Справочники!$B$18),0))</f>
        <v/>
      </c>
      <c r="AZ238" s="90" t="str">
        <f aca="false">IF(AT238="","",ROUND(AT238*(1-Справочники!$B$19),0))</f>
        <v/>
      </c>
      <c r="BA238" s="81"/>
      <c r="BB238" s="81"/>
      <c r="BC238" s="81"/>
      <c r="BD238" s="81"/>
      <c r="BE238" s="91"/>
      <c r="BF238" s="81" t="s">
        <v>103</v>
      </c>
      <c r="BG238" s="89" t="n">
        <f aca="false" t="array" ref="BG238:BG238">IF(BF238="","",IFERROR(INDEX(Справочники!$B$4:$B$7,MATCH(BF238,Справочники!$A$4:$A$7,0)),""))</f>
        <v>68.5</v>
      </c>
      <c r="BH238" s="90" t="str">
        <f aca="false">IF(N(BN238)&gt;0,ROUND(SUMIF(ЗАКАЗЫ!$F$3:$F$500,$A238,ЗАКАЗЫ!$Y$3:$Y$500)/BN238,0),IF(OR(BE238="",BG238=""),"",ROUND(BE238*BG238*(1+Справочники!$B$10),0)))</f>
        <v/>
      </c>
      <c r="BI238" s="92" t="str">
        <f aca="false">IF(OR(AU238="",BH238="",AU238=0),"",(AU238-BH238)/AU238)</f>
        <v/>
      </c>
      <c r="BJ238" s="81"/>
      <c r="BK238" s="83"/>
      <c r="BL238" s="43" t="str">
        <f aca="false">IFERROR(INDEX(ЗАКАЗЫ!$N$3:$N$500,MATCH($A238,ЗАКАЗЫ!$F$3:$F$500,0)),"")</f>
        <v/>
      </c>
      <c r="BM238" s="8" t="str">
        <f aca="false">IF(BL238="","",IFERROR(VLOOKUP(BL238,'ТН ВЭД'!$A$4:$C$40,3,0),""))</f>
        <v/>
      </c>
      <c r="BN238" s="7" t="str">
        <f aca="false">IF(COUNTIF(ЗАКАЗЫ!$F$3:$F$500,$A238)=0,"",SUMIF(ЗАКАЗЫ!$F$3:$F$500,$A238,ЗАКАЗЫ!$J$3:$J$500))</f>
        <v/>
      </c>
      <c r="BO238" s="7" t="str">
        <f aca="false">IF(BN238="","",SUMIF(ЗАКАЗЫ!$F$3:$F$500,$A238,ЗАКАЗЫ!$AL$3:$AL$500))</f>
        <v/>
      </c>
      <c r="BP238" s="7" t="str">
        <f aca="false">IF(BN238="","",BN238-BO238)</f>
        <v/>
      </c>
      <c r="BQ238" s="55" t="str">
        <f aca="false">IF(BN238="","",IF(BO238&gt;=BN238,"На складе",IF(BO238&gt;0,"Частично","Ждём")))</f>
        <v/>
      </c>
      <c r="BR238" s="43"/>
      <c r="BS238" s="47" t="str">
        <f aca="false">IF(BN238="","",IF(_xlfn.MAXIFS(ЗАКАЗЫ!$AK$3:$AK$500,ЗАКАЗЫ!$F$3:$F$500,$A238)=0,"",_xlfn.MAXIFS(ЗАКАЗЫ!$AK$3:$AK$500,ЗАКАЗЫ!$F$3:$F$500,$A238)))</f>
        <v/>
      </c>
    </row>
    <row r="239" customFormat="false" ht="15.75" hidden="false" customHeight="true" outlineLevel="0" collapsed="false">
      <c r="A239" s="80" t="s">
        <v>713</v>
      </c>
      <c r="B239" s="81"/>
      <c r="C239" s="81"/>
      <c r="D239" s="81"/>
      <c r="E239" s="83"/>
      <c r="F239" s="81"/>
      <c r="G239" s="83"/>
      <c r="H239" s="83"/>
      <c r="I239" s="84" t="str">
        <f aca="false">IF(E239="","",A239&amp;"_1.jpg")</f>
        <v/>
      </c>
      <c r="J239" s="84" t="str">
        <f aca="false">IF(E239="","",A239&amp;"_2.jpg; "&amp;A239&amp;"_3.jpg")</f>
        <v/>
      </c>
      <c r="K239" s="84" t="str">
        <f aca="false">IF(E239="","",A239&amp;"_schema.jpg")</f>
        <v/>
      </c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 t="s">
        <v>261</v>
      </c>
      <c r="W239" s="81"/>
      <c r="X239" s="81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6" t="str">
        <f aca="false">IF(SUM(Y239:AJ239)=0,"",SUM(Y239:AJ239))</f>
        <v/>
      </c>
      <c r="AL239" s="84" t="str">
        <f aca="false">MID(IF(N(Y239)&gt;0,", "&amp;Y$2,"")&amp;IF(N(Z239)&gt;0,", "&amp;Z$2,"")&amp;IF(N(AA239)&gt;0,", "&amp;AA$2,"")&amp;IF(N(AB239)&gt;0,", "&amp;AB$2,"")&amp;IF(N(AC239)&gt;0,", "&amp;AC$2,"")&amp;IF(N(AD239)&gt;0,", "&amp;AD$2,"")&amp;IF(N(AE239)&gt;0,", "&amp;AE$2,"")&amp;IF(N(AF239)&gt;0,", "&amp;AF$2,"")&amp;IF(N(AG239)&gt;0,", "&amp;AG$2,"")&amp;IF(N(AH239)&gt;0,", "&amp;AH$2,"")&amp;IF(N(AI239)&gt;0,", "&amp;AI$2,"")&amp;IF(N(AJ239)&gt;0,", "&amp;AJ$2,""),3,999)</f>
        <v/>
      </c>
      <c r="AM239" s="87" t="str">
        <f aca="false">IF(E239="","",MID(IF(N(Y239)&gt;0,", "&amp;A239&amp;"-"&amp;Y$2,"")&amp;IF(N(Z239)&gt;0,", "&amp;A239&amp;"-"&amp;Z$2,"")&amp;IF(N(AA239)&gt;0,", "&amp;A239&amp;"-"&amp;AA$2,"")&amp;IF(N(AB239)&gt;0,", "&amp;A239&amp;"-"&amp;AB$2,"")&amp;IF(N(AC239)&gt;0,", "&amp;A239&amp;"-"&amp;AC$2,"")&amp;IF(N(AD239)&gt;0,", "&amp;A239&amp;"-"&amp;AD$2,"")&amp;IF(N(AE239)&gt;0,", "&amp;A239&amp;"-"&amp;AE$2,"")&amp;IF(N(AF239)&gt;0,", "&amp;A239&amp;"-"&amp;AF$2,"")&amp;IF(N(AG239)&gt;0,", "&amp;A239&amp;"-"&amp;AG$2,"")&amp;IF(N(AH239)&gt;0,", "&amp;A239&amp;"-"&amp;AH$2,"")&amp;IF(N(AI239)&gt;0,", "&amp;A239&amp;"-"&amp;AI$2,"")&amp;IF(N(AJ239)&gt;0,", "&amp;A239&amp;"-"&amp;AJ$2,""),3,999))</f>
        <v/>
      </c>
      <c r="AN239" s="81"/>
      <c r="AO239" s="88"/>
      <c r="AP239" s="89" t="str">
        <f aca="false">IF(AO239="","",ROUND(AO239/(1+Справочники!$B$13),2))</f>
        <v/>
      </c>
      <c r="AQ239" s="90" t="str">
        <f aca="false" t="array" ref="AQ239:AQ239">IF(AP239="","",AP239*INDEX(Справочники!$B$4:$B$7,MATCH("RUB",Справочники!$A$4:$A$7,0)))</f>
        <v/>
      </c>
      <c r="AR239" s="90" t="str">
        <f aca="false">IF(AQ239="","",ROUND(AQ239*(1+Справочники!$B$12),0))</f>
        <v/>
      </c>
      <c r="AS239" s="90" t="str">
        <f aca="false">IF(AR239="","",ROUND(AR239*(1-Справочники!$B$11),0))</f>
        <v/>
      </c>
      <c r="AT239" s="88"/>
      <c r="AU239" s="90" t="str">
        <f aca="false">IF(AT239="","",ROUND(AT239/(1+Справочники!$B$12),0))</f>
        <v/>
      </c>
      <c r="AV239" s="90" t="str">
        <f aca="false">IF(AT239="","",ROUND(AT239*(1-Справочники!$B$15),0))</f>
        <v/>
      </c>
      <c r="AW239" s="90" t="str">
        <f aca="false">IF(AT239="","",ROUND(AT239*(1-Справочники!$B$16),0))</f>
        <v/>
      </c>
      <c r="AX239" s="90" t="str">
        <f aca="false">IF(AT239="","",ROUND(AT239*(1-Справочники!$B$17),0))</f>
        <v/>
      </c>
      <c r="AY239" s="90" t="str">
        <f aca="false">IF(AT239="","",ROUND(AT239*(1-Справочники!$B$18),0))</f>
        <v/>
      </c>
      <c r="AZ239" s="90" t="str">
        <f aca="false">IF(AT239="","",ROUND(AT239*(1-Справочники!$B$19),0))</f>
        <v/>
      </c>
      <c r="BA239" s="81"/>
      <c r="BB239" s="81"/>
      <c r="BC239" s="81"/>
      <c r="BD239" s="81"/>
      <c r="BE239" s="91"/>
      <c r="BF239" s="81" t="s">
        <v>103</v>
      </c>
      <c r="BG239" s="89" t="n">
        <f aca="false" t="array" ref="BG239:BG239">IF(BF239="","",IFERROR(INDEX(Справочники!$B$4:$B$7,MATCH(BF239,Справочники!$A$4:$A$7,0)),""))</f>
        <v>68.5</v>
      </c>
      <c r="BH239" s="90" t="str">
        <f aca="false">IF(N(BN239)&gt;0,ROUND(SUMIF(ЗАКАЗЫ!$F$3:$F$500,$A239,ЗАКАЗЫ!$Y$3:$Y$500)/BN239,0),IF(OR(BE239="",BG239=""),"",ROUND(BE239*BG239*(1+Справочники!$B$10),0)))</f>
        <v/>
      </c>
      <c r="BI239" s="92" t="str">
        <f aca="false">IF(OR(AU239="",BH239="",AU239=0),"",(AU239-BH239)/AU239)</f>
        <v/>
      </c>
      <c r="BJ239" s="81"/>
      <c r="BK239" s="83"/>
      <c r="BL239" s="43" t="str">
        <f aca="false">IFERROR(INDEX(ЗАКАЗЫ!$N$3:$N$500,MATCH($A239,ЗАКАЗЫ!$F$3:$F$500,0)),"")</f>
        <v/>
      </c>
      <c r="BM239" s="8" t="str">
        <f aca="false">IF(BL239="","",IFERROR(VLOOKUP(BL239,'ТН ВЭД'!$A$4:$C$40,3,0),""))</f>
        <v/>
      </c>
      <c r="BN239" s="7" t="str">
        <f aca="false">IF(COUNTIF(ЗАКАЗЫ!$F$3:$F$500,$A239)=0,"",SUMIF(ЗАКАЗЫ!$F$3:$F$500,$A239,ЗАКАЗЫ!$J$3:$J$500))</f>
        <v/>
      </c>
      <c r="BO239" s="7" t="str">
        <f aca="false">IF(BN239="","",SUMIF(ЗАКАЗЫ!$F$3:$F$500,$A239,ЗАКАЗЫ!$AL$3:$AL$500))</f>
        <v/>
      </c>
      <c r="BP239" s="7" t="str">
        <f aca="false">IF(BN239="","",BN239-BO239)</f>
        <v/>
      </c>
      <c r="BQ239" s="55" t="str">
        <f aca="false">IF(BN239="","",IF(BO239&gt;=BN239,"На складе",IF(BO239&gt;0,"Частично","Ждём")))</f>
        <v/>
      </c>
      <c r="BR239" s="43"/>
      <c r="BS239" s="47" t="str">
        <f aca="false">IF(BN239="","",IF(_xlfn.MAXIFS(ЗАКАЗЫ!$AK$3:$AK$500,ЗАКАЗЫ!$F$3:$F$500,$A239)=0,"",_xlfn.MAXIFS(ЗАКАЗЫ!$AK$3:$AK$500,ЗАКАЗЫ!$F$3:$F$500,$A239)))</f>
        <v/>
      </c>
    </row>
    <row r="240" customFormat="false" ht="15.75" hidden="false" customHeight="true" outlineLevel="0" collapsed="false">
      <c r="A240" s="80" t="s">
        <v>714</v>
      </c>
      <c r="B240" s="81"/>
      <c r="C240" s="81"/>
      <c r="D240" s="81"/>
      <c r="E240" s="83"/>
      <c r="F240" s="81"/>
      <c r="G240" s="83"/>
      <c r="H240" s="83"/>
      <c r="I240" s="84" t="str">
        <f aca="false">IF(E240="","",A240&amp;"_1.jpg")</f>
        <v/>
      </c>
      <c r="J240" s="84" t="str">
        <f aca="false">IF(E240="","",A240&amp;"_2.jpg; "&amp;A240&amp;"_3.jpg")</f>
        <v/>
      </c>
      <c r="K240" s="84" t="str">
        <f aca="false">IF(E240="","",A240&amp;"_schema.jpg")</f>
        <v/>
      </c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 t="s">
        <v>261</v>
      </c>
      <c r="W240" s="81"/>
      <c r="X240" s="81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6" t="str">
        <f aca="false">IF(SUM(Y240:AJ240)=0,"",SUM(Y240:AJ240))</f>
        <v/>
      </c>
      <c r="AL240" s="84" t="str">
        <f aca="false">MID(IF(N(Y240)&gt;0,", "&amp;Y$2,"")&amp;IF(N(Z240)&gt;0,", "&amp;Z$2,"")&amp;IF(N(AA240)&gt;0,", "&amp;AA$2,"")&amp;IF(N(AB240)&gt;0,", "&amp;AB$2,"")&amp;IF(N(AC240)&gt;0,", "&amp;AC$2,"")&amp;IF(N(AD240)&gt;0,", "&amp;AD$2,"")&amp;IF(N(AE240)&gt;0,", "&amp;AE$2,"")&amp;IF(N(AF240)&gt;0,", "&amp;AF$2,"")&amp;IF(N(AG240)&gt;0,", "&amp;AG$2,"")&amp;IF(N(AH240)&gt;0,", "&amp;AH$2,"")&amp;IF(N(AI240)&gt;0,", "&amp;AI$2,"")&amp;IF(N(AJ240)&gt;0,", "&amp;AJ$2,""),3,999)</f>
        <v/>
      </c>
      <c r="AM240" s="87" t="str">
        <f aca="false">IF(E240="","",MID(IF(N(Y240)&gt;0,", "&amp;A240&amp;"-"&amp;Y$2,"")&amp;IF(N(Z240)&gt;0,", "&amp;A240&amp;"-"&amp;Z$2,"")&amp;IF(N(AA240)&gt;0,", "&amp;A240&amp;"-"&amp;AA$2,"")&amp;IF(N(AB240)&gt;0,", "&amp;A240&amp;"-"&amp;AB$2,"")&amp;IF(N(AC240)&gt;0,", "&amp;A240&amp;"-"&amp;AC$2,"")&amp;IF(N(AD240)&gt;0,", "&amp;A240&amp;"-"&amp;AD$2,"")&amp;IF(N(AE240)&gt;0,", "&amp;A240&amp;"-"&amp;AE$2,"")&amp;IF(N(AF240)&gt;0,", "&amp;A240&amp;"-"&amp;AF$2,"")&amp;IF(N(AG240)&gt;0,", "&amp;A240&amp;"-"&amp;AG$2,"")&amp;IF(N(AH240)&gt;0,", "&amp;A240&amp;"-"&amp;AH$2,"")&amp;IF(N(AI240)&gt;0,", "&amp;A240&amp;"-"&amp;AI$2,"")&amp;IF(N(AJ240)&gt;0,", "&amp;A240&amp;"-"&amp;AJ$2,""),3,999))</f>
        <v/>
      </c>
      <c r="AN240" s="81"/>
      <c r="AO240" s="88"/>
      <c r="AP240" s="89" t="str">
        <f aca="false">IF(AO240="","",ROUND(AO240/(1+Справочники!$B$13),2))</f>
        <v/>
      </c>
      <c r="AQ240" s="90" t="str">
        <f aca="false" t="array" ref="AQ240:AQ240">IF(AP240="","",AP240*INDEX(Справочники!$B$4:$B$7,MATCH("RUB",Справочники!$A$4:$A$7,0)))</f>
        <v/>
      </c>
      <c r="AR240" s="90" t="str">
        <f aca="false">IF(AQ240="","",ROUND(AQ240*(1+Справочники!$B$12),0))</f>
        <v/>
      </c>
      <c r="AS240" s="90" t="str">
        <f aca="false">IF(AR240="","",ROUND(AR240*(1-Справочники!$B$11),0))</f>
        <v/>
      </c>
      <c r="AT240" s="88"/>
      <c r="AU240" s="90" t="str">
        <f aca="false">IF(AT240="","",ROUND(AT240/(1+Справочники!$B$12),0))</f>
        <v/>
      </c>
      <c r="AV240" s="90" t="str">
        <f aca="false">IF(AT240="","",ROUND(AT240*(1-Справочники!$B$15),0))</f>
        <v/>
      </c>
      <c r="AW240" s="90" t="str">
        <f aca="false">IF(AT240="","",ROUND(AT240*(1-Справочники!$B$16),0))</f>
        <v/>
      </c>
      <c r="AX240" s="90" t="str">
        <f aca="false">IF(AT240="","",ROUND(AT240*(1-Справочники!$B$17),0))</f>
        <v/>
      </c>
      <c r="AY240" s="90" t="str">
        <f aca="false">IF(AT240="","",ROUND(AT240*(1-Справочники!$B$18),0))</f>
        <v/>
      </c>
      <c r="AZ240" s="90" t="str">
        <f aca="false">IF(AT240="","",ROUND(AT240*(1-Справочники!$B$19),0))</f>
        <v/>
      </c>
      <c r="BA240" s="81"/>
      <c r="BB240" s="81"/>
      <c r="BC240" s="81"/>
      <c r="BD240" s="81"/>
      <c r="BE240" s="91"/>
      <c r="BF240" s="81" t="s">
        <v>103</v>
      </c>
      <c r="BG240" s="89" t="n">
        <f aca="false" t="array" ref="BG240:BG240">IF(BF240="","",IFERROR(INDEX(Справочники!$B$4:$B$7,MATCH(BF240,Справочники!$A$4:$A$7,0)),""))</f>
        <v>68.5</v>
      </c>
      <c r="BH240" s="90" t="str">
        <f aca="false">IF(N(BN240)&gt;0,ROUND(SUMIF(ЗАКАЗЫ!$F$3:$F$500,$A240,ЗАКАЗЫ!$Y$3:$Y$500)/BN240,0),IF(OR(BE240="",BG240=""),"",ROUND(BE240*BG240*(1+Справочники!$B$10),0)))</f>
        <v/>
      </c>
      <c r="BI240" s="92" t="str">
        <f aca="false">IF(OR(AU240="",BH240="",AU240=0),"",(AU240-BH240)/AU240)</f>
        <v/>
      </c>
      <c r="BJ240" s="81"/>
      <c r="BK240" s="83"/>
      <c r="BL240" s="43" t="str">
        <f aca="false">IFERROR(INDEX(ЗАКАЗЫ!$N$3:$N$500,MATCH($A240,ЗАКАЗЫ!$F$3:$F$500,0)),"")</f>
        <v/>
      </c>
      <c r="BM240" s="8" t="str">
        <f aca="false">IF(BL240="","",IFERROR(VLOOKUP(BL240,'ТН ВЭД'!$A$4:$C$40,3,0),""))</f>
        <v/>
      </c>
      <c r="BN240" s="7" t="str">
        <f aca="false">IF(COUNTIF(ЗАКАЗЫ!$F$3:$F$500,$A240)=0,"",SUMIF(ЗАКАЗЫ!$F$3:$F$500,$A240,ЗАКАЗЫ!$J$3:$J$500))</f>
        <v/>
      </c>
      <c r="BO240" s="7" t="str">
        <f aca="false">IF(BN240="","",SUMIF(ЗАКАЗЫ!$F$3:$F$500,$A240,ЗАКАЗЫ!$AL$3:$AL$500))</f>
        <v/>
      </c>
      <c r="BP240" s="7" t="str">
        <f aca="false">IF(BN240="","",BN240-BO240)</f>
        <v/>
      </c>
      <c r="BQ240" s="55" t="str">
        <f aca="false">IF(BN240="","",IF(BO240&gt;=BN240,"На складе",IF(BO240&gt;0,"Частично","Ждём")))</f>
        <v/>
      </c>
      <c r="BR240" s="43"/>
      <c r="BS240" s="47" t="str">
        <f aca="false">IF(BN240="","",IF(_xlfn.MAXIFS(ЗАКАЗЫ!$AK$3:$AK$500,ЗАКАЗЫ!$F$3:$F$500,$A240)=0,"",_xlfn.MAXIFS(ЗАКАЗЫ!$AK$3:$AK$500,ЗАКАЗЫ!$F$3:$F$500,$A240)))</f>
        <v/>
      </c>
    </row>
    <row r="241" customFormat="false" ht="15.75" hidden="false" customHeight="true" outlineLevel="0" collapsed="false">
      <c r="A241" s="80" t="s">
        <v>715</v>
      </c>
      <c r="B241" s="81"/>
      <c r="C241" s="81"/>
      <c r="D241" s="81"/>
      <c r="E241" s="83"/>
      <c r="F241" s="81"/>
      <c r="G241" s="83"/>
      <c r="H241" s="83"/>
      <c r="I241" s="84" t="str">
        <f aca="false">IF(E241="","",A241&amp;"_1.jpg")</f>
        <v/>
      </c>
      <c r="J241" s="84" t="str">
        <f aca="false">IF(E241="","",A241&amp;"_2.jpg; "&amp;A241&amp;"_3.jpg")</f>
        <v/>
      </c>
      <c r="K241" s="84" t="str">
        <f aca="false">IF(E241="","",A241&amp;"_schema.jpg")</f>
        <v/>
      </c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 t="s">
        <v>261</v>
      </c>
      <c r="W241" s="81"/>
      <c r="X241" s="81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6" t="str">
        <f aca="false">IF(SUM(Y241:AJ241)=0,"",SUM(Y241:AJ241))</f>
        <v/>
      </c>
      <c r="AL241" s="84" t="str">
        <f aca="false">MID(IF(N(Y241)&gt;0,", "&amp;Y$2,"")&amp;IF(N(Z241)&gt;0,", "&amp;Z$2,"")&amp;IF(N(AA241)&gt;0,", "&amp;AA$2,"")&amp;IF(N(AB241)&gt;0,", "&amp;AB$2,"")&amp;IF(N(AC241)&gt;0,", "&amp;AC$2,"")&amp;IF(N(AD241)&gt;0,", "&amp;AD$2,"")&amp;IF(N(AE241)&gt;0,", "&amp;AE$2,"")&amp;IF(N(AF241)&gt;0,", "&amp;AF$2,"")&amp;IF(N(AG241)&gt;0,", "&amp;AG$2,"")&amp;IF(N(AH241)&gt;0,", "&amp;AH$2,"")&amp;IF(N(AI241)&gt;0,", "&amp;AI$2,"")&amp;IF(N(AJ241)&gt;0,", "&amp;AJ$2,""),3,999)</f>
        <v/>
      </c>
      <c r="AM241" s="87" t="str">
        <f aca="false">IF(E241="","",MID(IF(N(Y241)&gt;0,", "&amp;A241&amp;"-"&amp;Y$2,"")&amp;IF(N(Z241)&gt;0,", "&amp;A241&amp;"-"&amp;Z$2,"")&amp;IF(N(AA241)&gt;0,", "&amp;A241&amp;"-"&amp;AA$2,"")&amp;IF(N(AB241)&gt;0,", "&amp;A241&amp;"-"&amp;AB$2,"")&amp;IF(N(AC241)&gt;0,", "&amp;A241&amp;"-"&amp;AC$2,"")&amp;IF(N(AD241)&gt;0,", "&amp;A241&amp;"-"&amp;AD$2,"")&amp;IF(N(AE241)&gt;0,", "&amp;A241&amp;"-"&amp;AE$2,"")&amp;IF(N(AF241)&gt;0,", "&amp;A241&amp;"-"&amp;AF$2,"")&amp;IF(N(AG241)&gt;0,", "&amp;A241&amp;"-"&amp;AG$2,"")&amp;IF(N(AH241)&gt;0,", "&amp;A241&amp;"-"&amp;AH$2,"")&amp;IF(N(AI241)&gt;0,", "&amp;A241&amp;"-"&amp;AI$2,"")&amp;IF(N(AJ241)&gt;0,", "&amp;A241&amp;"-"&amp;AJ$2,""),3,999))</f>
        <v/>
      </c>
      <c r="AN241" s="81"/>
      <c r="AO241" s="88"/>
      <c r="AP241" s="89" t="str">
        <f aca="false">IF(AO241="","",ROUND(AO241/(1+Справочники!$B$13),2))</f>
        <v/>
      </c>
      <c r="AQ241" s="90" t="str">
        <f aca="false" t="array" ref="AQ241:AQ241">IF(AP241="","",AP241*INDEX(Справочники!$B$4:$B$7,MATCH("RUB",Справочники!$A$4:$A$7,0)))</f>
        <v/>
      </c>
      <c r="AR241" s="90" t="str">
        <f aca="false">IF(AQ241="","",ROUND(AQ241*(1+Справочники!$B$12),0))</f>
        <v/>
      </c>
      <c r="AS241" s="90" t="str">
        <f aca="false">IF(AR241="","",ROUND(AR241*(1-Справочники!$B$11),0))</f>
        <v/>
      </c>
      <c r="AT241" s="88"/>
      <c r="AU241" s="90" t="str">
        <f aca="false">IF(AT241="","",ROUND(AT241/(1+Справочники!$B$12),0))</f>
        <v/>
      </c>
      <c r="AV241" s="90" t="str">
        <f aca="false">IF(AT241="","",ROUND(AT241*(1-Справочники!$B$15),0))</f>
        <v/>
      </c>
      <c r="AW241" s="90" t="str">
        <f aca="false">IF(AT241="","",ROUND(AT241*(1-Справочники!$B$16),0))</f>
        <v/>
      </c>
      <c r="AX241" s="90" t="str">
        <f aca="false">IF(AT241="","",ROUND(AT241*(1-Справочники!$B$17),0))</f>
        <v/>
      </c>
      <c r="AY241" s="90" t="str">
        <f aca="false">IF(AT241="","",ROUND(AT241*(1-Справочники!$B$18),0))</f>
        <v/>
      </c>
      <c r="AZ241" s="90" t="str">
        <f aca="false">IF(AT241="","",ROUND(AT241*(1-Справочники!$B$19),0))</f>
        <v/>
      </c>
      <c r="BA241" s="81"/>
      <c r="BB241" s="81"/>
      <c r="BC241" s="81"/>
      <c r="BD241" s="81"/>
      <c r="BE241" s="91"/>
      <c r="BF241" s="81" t="s">
        <v>103</v>
      </c>
      <c r="BG241" s="89" t="n">
        <f aca="false" t="array" ref="BG241:BG241">IF(BF241="","",IFERROR(INDEX(Справочники!$B$4:$B$7,MATCH(BF241,Справочники!$A$4:$A$7,0)),""))</f>
        <v>68.5</v>
      </c>
      <c r="BH241" s="90" t="str">
        <f aca="false">IF(N(BN241)&gt;0,ROUND(SUMIF(ЗАКАЗЫ!$F$3:$F$500,$A241,ЗАКАЗЫ!$Y$3:$Y$500)/BN241,0),IF(OR(BE241="",BG241=""),"",ROUND(BE241*BG241*(1+Справочники!$B$10),0)))</f>
        <v/>
      </c>
      <c r="BI241" s="92" t="str">
        <f aca="false">IF(OR(AU241="",BH241="",AU241=0),"",(AU241-BH241)/AU241)</f>
        <v/>
      </c>
      <c r="BJ241" s="81"/>
      <c r="BK241" s="83"/>
      <c r="BL241" s="43" t="str">
        <f aca="false">IFERROR(INDEX(ЗАКАЗЫ!$N$3:$N$500,MATCH($A241,ЗАКАЗЫ!$F$3:$F$500,0)),"")</f>
        <v/>
      </c>
      <c r="BM241" s="8" t="str">
        <f aca="false">IF(BL241="","",IFERROR(VLOOKUP(BL241,'ТН ВЭД'!$A$4:$C$40,3,0),""))</f>
        <v/>
      </c>
      <c r="BN241" s="7" t="str">
        <f aca="false">IF(COUNTIF(ЗАКАЗЫ!$F$3:$F$500,$A241)=0,"",SUMIF(ЗАКАЗЫ!$F$3:$F$500,$A241,ЗАКАЗЫ!$J$3:$J$500))</f>
        <v/>
      </c>
      <c r="BO241" s="7" t="str">
        <f aca="false">IF(BN241="","",SUMIF(ЗАКАЗЫ!$F$3:$F$500,$A241,ЗАКАЗЫ!$AL$3:$AL$500))</f>
        <v/>
      </c>
      <c r="BP241" s="7" t="str">
        <f aca="false">IF(BN241="","",BN241-BO241)</f>
        <v/>
      </c>
      <c r="BQ241" s="55" t="str">
        <f aca="false">IF(BN241="","",IF(BO241&gt;=BN241,"На складе",IF(BO241&gt;0,"Частично","Ждём")))</f>
        <v/>
      </c>
      <c r="BR241" s="43"/>
      <c r="BS241" s="47" t="str">
        <f aca="false">IF(BN241="","",IF(_xlfn.MAXIFS(ЗАКАЗЫ!$AK$3:$AK$500,ЗАКАЗЫ!$F$3:$F$500,$A241)=0,"",_xlfn.MAXIFS(ЗАКАЗЫ!$AK$3:$AK$500,ЗАКАЗЫ!$F$3:$F$500,$A241)))</f>
        <v/>
      </c>
    </row>
    <row r="242" customFormat="false" ht="15.75" hidden="false" customHeight="true" outlineLevel="0" collapsed="false">
      <c r="A242" s="80" t="s">
        <v>716</v>
      </c>
      <c r="B242" s="81"/>
      <c r="C242" s="81"/>
      <c r="D242" s="81"/>
      <c r="E242" s="83"/>
      <c r="F242" s="81"/>
      <c r="G242" s="83"/>
      <c r="H242" s="83"/>
      <c r="I242" s="84" t="str">
        <f aca="false">IF(E242="","",A242&amp;"_1.jpg")</f>
        <v/>
      </c>
      <c r="J242" s="84" t="str">
        <f aca="false">IF(E242="","",A242&amp;"_2.jpg; "&amp;A242&amp;"_3.jpg")</f>
        <v/>
      </c>
      <c r="K242" s="84" t="str">
        <f aca="false">IF(E242="","",A242&amp;"_schema.jpg")</f>
        <v/>
      </c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 t="s">
        <v>261</v>
      </c>
      <c r="W242" s="81"/>
      <c r="X242" s="81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6" t="str">
        <f aca="false">IF(SUM(Y242:AJ242)=0,"",SUM(Y242:AJ242))</f>
        <v/>
      </c>
      <c r="AL242" s="84" t="str">
        <f aca="false">MID(IF(N(Y242)&gt;0,", "&amp;Y$2,"")&amp;IF(N(Z242)&gt;0,", "&amp;Z$2,"")&amp;IF(N(AA242)&gt;0,", "&amp;AA$2,"")&amp;IF(N(AB242)&gt;0,", "&amp;AB$2,"")&amp;IF(N(AC242)&gt;0,", "&amp;AC$2,"")&amp;IF(N(AD242)&gt;0,", "&amp;AD$2,"")&amp;IF(N(AE242)&gt;0,", "&amp;AE$2,"")&amp;IF(N(AF242)&gt;0,", "&amp;AF$2,"")&amp;IF(N(AG242)&gt;0,", "&amp;AG$2,"")&amp;IF(N(AH242)&gt;0,", "&amp;AH$2,"")&amp;IF(N(AI242)&gt;0,", "&amp;AI$2,"")&amp;IF(N(AJ242)&gt;0,", "&amp;AJ$2,""),3,999)</f>
        <v/>
      </c>
      <c r="AM242" s="87" t="str">
        <f aca="false">IF(E242="","",MID(IF(N(Y242)&gt;0,", "&amp;A242&amp;"-"&amp;Y$2,"")&amp;IF(N(Z242)&gt;0,", "&amp;A242&amp;"-"&amp;Z$2,"")&amp;IF(N(AA242)&gt;0,", "&amp;A242&amp;"-"&amp;AA$2,"")&amp;IF(N(AB242)&gt;0,", "&amp;A242&amp;"-"&amp;AB$2,"")&amp;IF(N(AC242)&gt;0,", "&amp;A242&amp;"-"&amp;AC$2,"")&amp;IF(N(AD242)&gt;0,", "&amp;A242&amp;"-"&amp;AD$2,"")&amp;IF(N(AE242)&gt;0,", "&amp;A242&amp;"-"&amp;AE$2,"")&amp;IF(N(AF242)&gt;0,", "&amp;A242&amp;"-"&amp;AF$2,"")&amp;IF(N(AG242)&gt;0,", "&amp;A242&amp;"-"&amp;AG$2,"")&amp;IF(N(AH242)&gt;0,", "&amp;A242&amp;"-"&amp;AH$2,"")&amp;IF(N(AI242)&gt;0,", "&amp;A242&amp;"-"&amp;AI$2,"")&amp;IF(N(AJ242)&gt;0,", "&amp;A242&amp;"-"&amp;AJ$2,""),3,999))</f>
        <v/>
      </c>
      <c r="AN242" s="81"/>
      <c r="AO242" s="88"/>
      <c r="AP242" s="89" t="str">
        <f aca="false">IF(AO242="","",ROUND(AO242/(1+Справочники!$B$13),2))</f>
        <v/>
      </c>
      <c r="AQ242" s="90" t="str">
        <f aca="false" t="array" ref="AQ242:AQ242">IF(AP242="","",AP242*INDEX(Справочники!$B$4:$B$7,MATCH("RUB",Справочники!$A$4:$A$7,0)))</f>
        <v/>
      </c>
      <c r="AR242" s="90" t="str">
        <f aca="false">IF(AQ242="","",ROUND(AQ242*(1+Справочники!$B$12),0))</f>
        <v/>
      </c>
      <c r="AS242" s="90" t="str">
        <f aca="false">IF(AR242="","",ROUND(AR242*(1-Справочники!$B$11),0))</f>
        <v/>
      </c>
      <c r="AT242" s="88"/>
      <c r="AU242" s="90" t="str">
        <f aca="false">IF(AT242="","",ROUND(AT242/(1+Справочники!$B$12),0))</f>
        <v/>
      </c>
      <c r="AV242" s="90" t="str">
        <f aca="false">IF(AT242="","",ROUND(AT242*(1-Справочники!$B$15),0))</f>
        <v/>
      </c>
      <c r="AW242" s="90" t="str">
        <f aca="false">IF(AT242="","",ROUND(AT242*(1-Справочники!$B$16),0))</f>
        <v/>
      </c>
      <c r="AX242" s="90" t="str">
        <f aca="false">IF(AT242="","",ROUND(AT242*(1-Справочники!$B$17),0))</f>
        <v/>
      </c>
      <c r="AY242" s="90" t="str">
        <f aca="false">IF(AT242="","",ROUND(AT242*(1-Справочники!$B$18),0))</f>
        <v/>
      </c>
      <c r="AZ242" s="90" t="str">
        <f aca="false">IF(AT242="","",ROUND(AT242*(1-Справочники!$B$19),0))</f>
        <v/>
      </c>
      <c r="BA242" s="81"/>
      <c r="BB242" s="81"/>
      <c r="BC242" s="81"/>
      <c r="BD242" s="81"/>
      <c r="BE242" s="91"/>
      <c r="BF242" s="81" t="s">
        <v>103</v>
      </c>
      <c r="BG242" s="89" t="n">
        <f aca="false" t="array" ref="BG242:BG242">IF(BF242="","",IFERROR(INDEX(Справочники!$B$4:$B$7,MATCH(BF242,Справочники!$A$4:$A$7,0)),""))</f>
        <v>68.5</v>
      </c>
      <c r="BH242" s="90" t="str">
        <f aca="false">IF(N(BN242)&gt;0,ROUND(SUMIF(ЗАКАЗЫ!$F$3:$F$500,$A242,ЗАКАЗЫ!$Y$3:$Y$500)/BN242,0),IF(OR(BE242="",BG242=""),"",ROUND(BE242*BG242*(1+Справочники!$B$10),0)))</f>
        <v/>
      </c>
      <c r="BI242" s="92" t="str">
        <f aca="false">IF(OR(AU242="",BH242="",AU242=0),"",(AU242-BH242)/AU242)</f>
        <v/>
      </c>
      <c r="BJ242" s="81"/>
      <c r="BK242" s="83"/>
      <c r="BL242" s="43" t="str">
        <f aca="false">IFERROR(INDEX(ЗАКАЗЫ!$N$3:$N$500,MATCH($A242,ЗАКАЗЫ!$F$3:$F$500,0)),"")</f>
        <v/>
      </c>
      <c r="BM242" s="8" t="str">
        <f aca="false">IF(BL242="","",IFERROR(VLOOKUP(BL242,'ТН ВЭД'!$A$4:$C$40,3,0),""))</f>
        <v/>
      </c>
      <c r="BN242" s="7" t="str">
        <f aca="false">IF(COUNTIF(ЗАКАЗЫ!$F$3:$F$500,$A242)=0,"",SUMIF(ЗАКАЗЫ!$F$3:$F$500,$A242,ЗАКАЗЫ!$J$3:$J$500))</f>
        <v/>
      </c>
      <c r="BO242" s="7" t="str">
        <f aca="false">IF(BN242="","",SUMIF(ЗАКАЗЫ!$F$3:$F$500,$A242,ЗАКАЗЫ!$AL$3:$AL$500))</f>
        <v/>
      </c>
      <c r="BP242" s="7" t="str">
        <f aca="false">IF(BN242="","",BN242-BO242)</f>
        <v/>
      </c>
      <c r="BQ242" s="55" t="str">
        <f aca="false">IF(BN242="","",IF(BO242&gt;=BN242,"На складе",IF(BO242&gt;0,"Частично","Ждём")))</f>
        <v/>
      </c>
      <c r="BR242" s="43"/>
      <c r="BS242" s="47" t="str">
        <f aca="false">IF(BN242="","",IF(_xlfn.MAXIFS(ЗАКАЗЫ!$AK$3:$AK$500,ЗАКАЗЫ!$F$3:$F$500,$A242)=0,"",_xlfn.MAXIFS(ЗАКАЗЫ!$AK$3:$AK$500,ЗАКАЗЫ!$F$3:$F$500,$A242)))</f>
        <v/>
      </c>
    </row>
    <row r="243" customFormat="false" ht="15.75" hidden="false" customHeight="true" outlineLevel="0" collapsed="false">
      <c r="A243" s="80" t="s">
        <v>717</v>
      </c>
      <c r="B243" s="81"/>
      <c r="C243" s="81"/>
      <c r="D243" s="81"/>
      <c r="E243" s="83"/>
      <c r="F243" s="81"/>
      <c r="G243" s="83"/>
      <c r="H243" s="83"/>
      <c r="I243" s="84" t="str">
        <f aca="false">IF(E243="","",A243&amp;"_1.jpg")</f>
        <v/>
      </c>
      <c r="J243" s="84" t="str">
        <f aca="false">IF(E243="","",A243&amp;"_2.jpg; "&amp;A243&amp;"_3.jpg")</f>
        <v/>
      </c>
      <c r="K243" s="84" t="str">
        <f aca="false">IF(E243="","",A243&amp;"_schema.jpg")</f>
        <v/>
      </c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 t="s">
        <v>261</v>
      </c>
      <c r="W243" s="81"/>
      <c r="X243" s="81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6" t="str">
        <f aca="false">IF(SUM(Y243:AJ243)=0,"",SUM(Y243:AJ243))</f>
        <v/>
      </c>
      <c r="AL243" s="84" t="str">
        <f aca="false">MID(IF(N(Y243)&gt;0,", "&amp;Y$2,"")&amp;IF(N(Z243)&gt;0,", "&amp;Z$2,"")&amp;IF(N(AA243)&gt;0,", "&amp;AA$2,"")&amp;IF(N(AB243)&gt;0,", "&amp;AB$2,"")&amp;IF(N(AC243)&gt;0,", "&amp;AC$2,"")&amp;IF(N(AD243)&gt;0,", "&amp;AD$2,"")&amp;IF(N(AE243)&gt;0,", "&amp;AE$2,"")&amp;IF(N(AF243)&gt;0,", "&amp;AF$2,"")&amp;IF(N(AG243)&gt;0,", "&amp;AG$2,"")&amp;IF(N(AH243)&gt;0,", "&amp;AH$2,"")&amp;IF(N(AI243)&gt;0,", "&amp;AI$2,"")&amp;IF(N(AJ243)&gt;0,", "&amp;AJ$2,""),3,999)</f>
        <v/>
      </c>
      <c r="AM243" s="87" t="str">
        <f aca="false">IF(E243="","",MID(IF(N(Y243)&gt;0,", "&amp;A243&amp;"-"&amp;Y$2,"")&amp;IF(N(Z243)&gt;0,", "&amp;A243&amp;"-"&amp;Z$2,"")&amp;IF(N(AA243)&gt;0,", "&amp;A243&amp;"-"&amp;AA$2,"")&amp;IF(N(AB243)&gt;0,", "&amp;A243&amp;"-"&amp;AB$2,"")&amp;IF(N(AC243)&gt;0,", "&amp;A243&amp;"-"&amp;AC$2,"")&amp;IF(N(AD243)&gt;0,", "&amp;A243&amp;"-"&amp;AD$2,"")&amp;IF(N(AE243)&gt;0,", "&amp;A243&amp;"-"&amp;AE$2,"")&amp;IF(N(AF243)&gt;0,", "&amp;A243&amp;"-"&amp;AF$2,"")&amp;IF(N(AG243)&gt;0,", "&amp;A243&amp;"-"&amp;AG$2,"")&amp;IF(N(AH243)&gt;0,", "&amp;A243&amp;"-"&amp;AH$2,"")&amp;IF(N(AI243)&gt;0,", "&amp;A243&amp;"-"&amp;AI$2,"")&amp;IF(N(AJ243)&gt;0,", "&amp;A243&amp;"-"&amp;AJ$2,""),3,999))</f>
        <v/>
      </c>
      <c r="AN243" s="81"/>
      <c r="AO243" s="88"/>
      <c r="AP243" s="89" t="str">
        <f aca="false">IF(AO243="","",ROUND(AO243/(1+Справочники!$B$13),2))</f>
        <v/>
      </c>
      <c r="AQ243" s="90" t="str">
        <f aca="false" t="array" ref="AQ243:AQ243">IF(AP243="","",AP243*INDEX(Справочники!$B$4:$B$7,MATCH("RUB",Справочники!$A$4:$A$7,0)))</f>
        <v/>
      </c>
      <c r="AR243" s="90" t="str">
        <f aca="false">IF(AQ243="","",ROUND(AQ243*(1+Справочники!$B$12),0))</f>
        <v/>
      </c>
      <c r="AS243" s="90" t="str">
        <f aca="false">IF(AR243="","",ROUND(AR243*(1-Справочники!$B$11),0))</f>
        <v/>
      </c>
      <c r="AT243" s="88"/>
      <c r="AU243" s="90" t="str">
        <f aca="false">IF(AT243="","",ROUND(AT243/(1+Справочники!$B$12),0))</f>
        <v/>
      </c>
      <c r="AV243" s="90" t="str">
        <f aca="false">IF(AT243="","",ROUND(AT243*(1-Справочники!$B$15),0))</f>
        <v/>
      </c>
      <c r="AW243" s="90" t="str">
        <f aca="false">IF(AT243="","",ROUND(AT243*(1-Справочники!$B$16),0))</f>
        <v/>
      </c>
      <c r="AX243" s="90" t="str">
        <f aca="false">IF(AT243="","",ROUND(AT243*(1-Справочники!$B$17),0))</f>
        <v/>
      </c>
      <c r="AY243" s="90" t="str">
        <f aca="false">IF(AT243="","",ROUND(AT243*(1-Справочники!$B$18),0))</f>
        <v/>
      </c>
      <c r="AZ243" s="90" t="str">
        <f aca="false">IF(AT243="","",ROUND(AT243*(1-Справочники!$B$19),0))</f>
        <v/>
      </c>
      <c r="BA243" s="81"/>
      <c r="BB243" s="81"/>
      <c r="BC243" s="81"/>
      <c r="BD243" s="81"/>
      <c r="BE243" s="91"/>
      <c r="BF243" s="81" t="s">
        <v>103</v>
      </c>
      <c r="BG243" s="89" t="n">
        <f aca="false" t="array" ref="BG243:BG243">IF(BF243="","",IFERROR(INDEX(Справочники!$B$4:$B$7,MATCH(BF243,Справочники!$A$4:$A$7,0)),""))</f>
        <v>68.5</v>
      </c>
      <c r="BH243" s="90" t="str">
        <f aca="false">IF(N(BN243)&gt;0,ROUND(SUMIF(ЗАКАЗЫ!$F$3:$F$500,$A243,ЗАКАЗЫ!$Y$3:$Y$500)/BN243,0),IF(OR(BE243="",BG243=""),"",ROUND(BE243*BG243*(1+Справочники!$B$10),0)))</f>
        <v/>
      </c>
      <c r="BI243" s="92" t="str">
        <f aca="false">IF(OR(AU243="",BH243="",AU243=0),"",(AU243-BH243)/AU243)</f>
        <v/>
      </c>
      <c r="BJ243" s="81"/>
      <c r="BK243" s="83"/>
      <c r="BL243" s="43" t="str">
        <f aca="false">IFERROR(INDEX(ЗАКАЗЫ!$N$3:$N$500,MATCH($A243,ЗАКАЗЫ!$F$3:$F$500,0)),"")</f>
        <v/>
      </c>
      <c r="BM243" s="8" t="str">
        <f aca="false">IF(BL243="","",IFERROR(VLOOKUP(BL243,'ТН ВЭД'!$A$4:$C$40,3,0),""))</f>
        <v/>
      </c>
      <c r="BN243" s="7" t="str">
        <f aca="false">IF(COUNTIF(ЗАКАЗЫ!$F$3:$F$500,$A243)=0,"",SUMIF(ЗАКАЗЫ!$F$3:$F$500,$A243,ЗАКАЗЫ!$J$3:$J$500))</f>
        <v/>
      </c>
      <c r="BO243" s="7" t="str">
        <f aca="false">IF(BN243="","",SUMIF(ЗАКАЗЫ!$F$3:$F$500,$A243,ЗАКАЗЫ!$AL$3:$AL$500))</f>
        <v/>
      </c>
      <c r="BP243" s="7" t="str">
        <f aca="false">IF(BN243="","",BN243-BO243)</f>
        <v/>
      </c>
      <c r="BQ243" s="55" t="str">
        <f aca="false">IF(BN243="","",IF(BO243&gt;=BN243,"На складе",IF(BO243&gt;0,"Частично","Ждём")))</f>
        <v/>
      </c>
      <c r="BR243" s="43"/>
      <c r="BS243" s="47" t="str">
        <f aca="false">IF(BN243="","",IF(_xlfn.MAXIFS(ЗАКАЗЫ!$AK$3:$AK$500,ЗАКАЗЫ!$F$3:$F$500,$A243)=0,"",_xlfn.MAXIFS(ЗАКАЗЫ!$AK$3:$AK$500,ЗАКАЗЫ!$F$3:$F$500,$A243)))</f>
        <v/>
      </c>
    </row>
    <row r="244" customFormat="false" ht="15.75" hidden="false" customHeight="true" outlineLevel="0" collapsed="false">
      <c r="A244" s="80" t="s">
        <v>718</v>
      </c>
      <c r="B244" s="81"/>
      <c r="C244" s="81"/>
      <c r="D244" s="81"/>
      <c r="E244" s="83"/>
      <c r="F244" s="81"/>
      <c r="G244" s="83"/>
      <c r="H244" s="83"/>
      <c r="I244" s="84" t="str">
        <f aca="false">IF(E244="","",A244&amp;"_1.jpg")</f>
        <v/>
      </c>
      <c r="J244" s="84" t="str">
        <f aca="false">IF(E244="","",A244&amp;"_2.jpg; "&amp;A244&amp;"_3.jpg")</f>
        <v/>
      </c>
      <c r="K244" s="84" t="str">
        <f aca="false">IF(E244="","",A244&amp;"_schema.jpg")</f>
        <v/>
      </c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 t="s">
        <v>261</v>
      </c>
      <c r="W244" s="81"/>
      <c r="X244" s="81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6" t="str">
        <f aca="false">IF(SUM(Y244:AJ244)=0,"",SUM(Y244:AJ244))</f>
        <v/>
      </c>
      <c r="AL244" s="84" t="str">
        <f aca="false">MID(IF(N(Y244)&gt;0,", "&amp;Y$2,"")&amp;IF(N(Z244)&gt;0,", "&amp;Z$2,"")&amp;IF(N(AA244)&gt;0,", "&amp;AA$2,"")&amp;IF(N(AB244)&gt;0,", "&amp;AB$2,"")&amp;IF(N(AC244)&gt;0,", "&amp;AC$2,"")&amp;IF(N(AD244)&gt;0,", "&amp;AD$2,"")&amp;IF(N(AE244)&gt;0,", "&amp;AE$2,"")&amp;IF(N(AF244)&gt;0,", "&amp;AF$2,"")&amp;IF(N(AG244)&gt;0,", "&amp;AG$2,"")&amp;IF(N(AH244)&gt;0,", "&amp;AH$2,"")&amp;IF(N(AI244)&gt;0,", "&amp;AI$2,"")&amp;IF(N(AJ244)&gt;0,", "&amp;AJ$2,""),3,999)</f>
        <v/>
      </c>
      <c r="AM244" s="87" t="str">
        <f aca="false">IF(E244="","",MID(IF(N(Y244)&gt;0,", "&amp;A244&amp;"-"&amp;Y$2,"")&amp;IF(N(Z244)&gt;0,", "&amp;A244&amp;"-"&amp;Z$2,"")&amp;IF(N(AA244)&gt;0,", "&amp;A244&amp;"-"&amp;AA$2,"")&amp;IF(N(AB244)&gt;0,", "&amp;A244&amp;"-"&amp;AB$2,"")&amp;IF(N(AC244)&gt;0,", "&amp;A244&amp;"-"&amp;AC$2,"")&amp;IF(N(AD244)&gt;0,", "&amp;A244&amp;"-"&amp;AD$2,"")&amp;IF(N(AE244)&gt;0,", "&amp;A244&amp;"-"&amp;AE$2,"")&amp;IF(N(AF244)&gt;0,", "&amp;A244&amp;"-"&amp;AF$2,"")&amp;IF(N(AG244)&gt;0,", "&amp;A244&amp;"-"&amp;AG$2,"")&amp;IF(N(AH244)&gt;0,", "&amp;A244&amp;"-"&amp;AH$2,"")&amp;IF(N(AI244)&gt;0,", "&amp;A244&amp;"-"&amp;AI$2,"")&amp;IF(N(AJ244)&gt;0,", "&amp;A244&amp;"-"&amp;AJ$2,""),3,999))</f>
        <v/>
      </c>
      <c r="AN244" s="81"/>
      <c r="AO244" s="88"/>
      <c r="AP244" s="89" t="str">
        <f aca="false">IF(AO244="","",ROUND(AO244/(1+Справочники!$B$13),2))</f>
        <v/>
      </c>
      <c r="AQ244" s="90" t="str">
        <f aca="false" t="array" ref="AQ244:AQ244">IF(AP244="","",AP244*INDEX(Справочники!$B$4:$B$7,MATCH("RUB",Справочники!$A$4:$A$7,0)))</f>
        <v/>
      </c>
      <c r="AR244" s="90" t="str">
        <f aca="false">IF(AQ244="","",ROUND(AQ244*(1+Справочники!$B$12),0))</f>
        <v/>
      </c>
      <c r="AS244" s="90" t="str">
        <f aca="false">IF(AR244="","",ROUND(AR244*(1-Справочники!$B$11),0))</f>
        <v/>
      </c>
      <c r="AT244" s="88"/>
      <c r="AU244" s="90" t="str">
        <f aca="false">IF(AT244="","",ROUND(AT244/(1+Справочники!$B$12),0))</f>
        <v/>
      </c>
      <c r="AV244" s="90" t="str">
        <f aca="false">IF(AT244="","",ROUND(AT244*(1-Справочники!$B$15),0))</f>
        <v/>
      </c>
      <c r="AW244" s="90" t="str">
        <f aca="false">IF(AT244="","",ROUND(AT244*(1-Справочники!$B$16),0))</f>
        <v/>
      </c>
      <c r="AX244" s="90" t="str">
        <f aca="false">IF(AT244="","",ROUND(AT244*(1-Справочники!$B$17),0))</f>
        <v/>
      </c>
      <c r="AY244" s="90" t="str">
        <f aca="false">IF(AT244="","",ROUND(AT244*(1-Справочники!$B$18),0))</f>
        <v/>
      </c>
      <c r="AZ244" s="90" t="str">
        <f aca="false">IF(AT244="","",ROUND(AT244*(1-Справочники!$B$19),0))</f>
        <v/>
      </c>
      <c r="BA244" s="81"/>
      <c r="BB244" s="81"/>
      <c r="BC244" s="81"/>
      <c r="BD244" s="81"/>
      <c r="BE244" s="91"/>
      <c r="BF244" s="81" t="s">
        <v>103</v>
      </c>
      <c r="BG244" s="89" t="n">
        <f aca="false" t="array" ref="BG244:BG244">IF(BF244="","",IFERROR(INDEX(Справочники!$B$4:$B$7,MATCH(BF244,Справочники!$A$4:$A$7,0)),""))</f>
        <v>68.5</v>
      </c>
      <c r="BH244" s="90" t="str">
        <f aca="false">IF(N(BN244)&gt;0,ROUND(SUMIF(ЗАКАЗЫ!$F$3:$F$500,$A244,ЗАКАЗЫ!$Y$3:$Y$500)/BN244,0),IF(OR(BE244="",BG244=""),"",ROUND(BE244*BG244*(1+Справочники!$B$10),0)))</f>
        <v/>
      </c>
      <c r="BI244" s="92" t="str">
        <f aca="false">IF(OR(AU244="",BH244="",AU244=0),"",(AU244-BH244)/AU244)</f>
        <v/>
      </c>
      <c r="BJ244" s="81"/>
      <c r="BK244" s="83"/>
      <c r="BL244" s="43" t="str">
        <f aca="false">IFERROR(INDEX(ЗАКАЗЫ!$N$3:$N$500,MATCH($A244,ЗАКАЗЫ!$F$3:$F$500,0)),"")</f>
        <v/>
      </c>
      <c r="BM244" s="8" t="str">
        <f aca="false">IF(BL244="","",IFERROR(VLOOKUP(BL244,'ТН ВЭД'!$A$4:$C$40,3,0),""))</f>
        <v/>
      </c>
      <c r="BN244" s="7" t="str">
        <f aca="false">IF(COUNTIF(ЗАКАЗЫ!$F$3:$F$500,$A244)=0,"",SUMIF(ЗАКАЗЫ!$F$3:$F$500,$A244,ЗАКАЗЫ!$J$3:$J$500))</f>
        <v/>
      </c>
      <c r="BO244" s="7" t="str">
        <f aca="false">IF(BN244="","",SUMIF(ЗАКАЗЫ!$F$3:$F$500,$A244,ЗАКАЗЫ!$AL$3:$AL$500))</f>
        <v/>
      </c>
      <c r="BP244" s="7" t="str">
        <f aca="false">IF(BN244="","",BN244-BO244)</f>
        <v/>
      </c>
      <c r="BQ244" s="55" t="str">
        <f aca="false">IF(BN244="","",IF(BO244&gt;=BN244,"На складе",IF(BO244&gt;0,"Частично","Ждём")))</f>
        <v/>
      </c>
      <c r="BR244" s="43"/>
      <c r="BS244" s="47" t="str">
        <f aca="false">IF(BN244="","",IF(_xlfn.MAXIFS(ЗАКАЗЫ!$AK$3:$AK$500,ЗАКАЗЫ!$F$3:$F$500,$A244)=0,"",_xlfn.MAXIFS(ЗАКАЗЫ!$AK$3:$AK$500,ЗАКАЗЫ!$F$3:$F$500,$A244)))</f>
        <v/>
      </c>
    </row>
    <row r="245" customFormat="false" ht="15.75" hidden="false" customHeight="true" outlineLevel="0" collapsed="false">
      <c r="A245" s="80" t="s">
        <v>719</v>
      </c>
      <c r="B245" s="81"/>
      <c r="C245" s="81"/>
      <c r="D245" s="81"/>
      <c r="E245" s="83"/>
      <c r="F245" s="81"/>
      <c r="G245" s="83"/>
      <c r="H245" s="83"/>
      <c r="I245" s="84" t="str">
        <f aca="false">IF(E245="","",A245&amp;"_1.jpg")</f>
        <v/>
      </c>
      <c r="J245" s="84" t="str">
        <f aca="false">IF(E245="","",A245&amp;"_2.jpg; "&amp;A245&amp;"_3.jpg")</f>
        <v/>
      </c>
      <c r="K245" s="84" t="str">
        <f aca="false">IF(E245="","",A245&amp;"_schema.jpg")</f>
        <v/>
      </c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 t="s">
        <v>261</v>
      </c>
      <c r="W245" s="81"/>
      <c r="X245" s="81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6" t="str">
        <f aca="false">IF(SUM(Y245:AJ245)=0,"",SUM(Y245:AJ245))</f>
        <v/>
      </c>
      <c r="AL245" s="84" t="str">
        <f aca="false">MID(IF(N(Y245)&gt;0,", "&amp;Y$2,"")&amp;IF(N(Z245)&gt;0,", "&amp;Z$2,"")&amp;IF(N(AA245)&gt;0,", "&amp;AA$2,"")&amp;IF(N(AB245)&gt;0,", "&amp;AB$2,"")&amp;IF(N(AC245)&gt;0,", "&amp;AC$2,"")&amp;IF(N(AD245)&gt;0,", "&amp;AD$2,"")&amp;IF(N(AE245)&gt;0,", "&amp;AE$2,"")&amp;IF(N(AF245)&gt;0,", "&amp;AF$2,"")&amp;IF(N(AG245)&gt;0,", "&amp;AG$2,"")&amp;IF(N(AH245)&gt;0,", "&amp;AH$2,"")&amp;IF(N(AI245)&gt;0,", "&amp;AI$2,"")&amp;IF(N(AJ245)&gt;0,", "&amp;AJ$2,""),3,999)</f>
        <v/>
      </c>
      <c r="AM245" s="87" t="str">
        <f aca="false">IF(E245="","",MID(IF(N(Y245)&gt;0,", "&amp;A245&amp;"-"&amp;Y$2,"")&amp;IF(N(Z245)&gt;0,", "&amp;A245&amp;"-"&amp;Z$2,"")&amp;IF(N(AA245)&gt;0,", "&amp;A245&amp;"-"&amp;AA$2,"")&amp;IF(N(AB245)&gt;0,", "&amp;A245&amp;"-"&amp;AB$2,"")&amp;IF(N(AC245)&gt;0,", "&amp;A245&amp;"-"&amp;AC$2,"")&amp;IF(N(AD245)&gt;0,", "&amp;A245&amp;"-"&amp;AD$2,"")&amp;IF(N(AE245)&gt;0,", "&amp;A245&amp;"-"&amp;AE$2,"")&amp;IF(N(AF245)&gt;0,", "&amp;A245&amp;"-"&amp;AF$2,"")&amp;IF(N(AG245)&gt;0,", "&amp;A245&amp;"-"&amp;AG$2,"")&amp;IF(N(AH245)&gt;0,", "&amp;A245&amp;"-"&amp;AH$2,"")&amp;IF(N(AI245)&gt;0,", "&amp;A245&amp;"-"&amp;AI$2,"")&amp;IF(N(AJ245)&gt;0,", "&amp;A245&amp;"-"&amp;AJ$2,""),3,999))</f>
        <v/>
      </c>
      <c r="AN245" s="81"/>
      <c r="AO245" s="88"/>
      <c r="AP245" s="89" t="str">
        <f aca="false">IF(AO245="","",ROUND(AO245/(1+Справочники!$B$13),2))</f>
        <v/>
      </c>
      <c r="AQ245" s="90" t="str">
        <f aca="false" t="array" ref="AQ245:AQ245">IF(AP245="","",AP245*INDEX(Справочники!$B$4:$B$7,MATCH("RUB",Справочники!$A$4:$A$7,0)))</f>
        <v/>
      </c>
      <c r="AR245" s="90" t="str">
        <f aca="false">IF(AQ245="","",ROUND(AQ245*(1+Справочники!$B$12),0))</f>
        <v/>
      </c>
      <c r="AS245" s="90" t="str">
        <f aca="false">IF(AR245="","",ROUND(AR245*(1-Справочники!$B$11),0))</f>
        <v/>
      </c>
      <c r="AT245" s="88"/>
      <c r="AU245" s="90" t="str">
        <f aca="false">IF(AT245="","",ROUND(AT245/(1+Справочники!$B$12),0))</f>
        <v/>
      </c>
      <c r="AV245" s="90" t="str">
        <f aca="false">IF(AT245="","",ROUND(AT245*(1-Справочники!$B$15),0))</f>
        <v/>
      </c>
      <c r="AW245" s="90" t="str">
        <f aca="false">IF(AT245="","",ROUND(AT245*(1-Справочники!$B$16),0))</f>
        <v/>
      </c>
      <c r="AX245" s="90" t="str">
        <f aca="false">IF(AT245="","",ROUND(AT245*(1-Справочники!$B$17),0))</f>
        <v/>
      </c>
      <c r="AY245" s="90" t="str">
        <f aca="false">IF(AT245="","",ROUND(AT245*(1-Справочники!$B$18),0))</f>
        <v/>
      </c>
      <c r="AZ245" s="90" t="str">
        <f aca="false">IF(AT245="","",ROUND(AT245*(1-Справочники!$B$19),0))</f>
        <v/>
      </c>
      <c r="BA245" s="81"/>
      <c r="BB245" s="81"/>
      <c r="BC245" s="81"/>
      <c r="BD245" s="81"/>
      <c r="BE245" s="91"/>
      <c r="BF245" s="81" t="s">
        <v>103</v>
      </c>
      <c r="BG245" s="89" t="n">
        <f aca="false" t="array" ref="BG245:BG245">IF(BF245="","",IFERROR(INDEX(Справочники!$B$4:$B$7,MATCH(BF245,Справочники!$A$4:$A$7,0)),""))</f>
        <v>68.5</v>
      </c>
      <c r="BH245" s="90" t="str">
        <f aca="false">IF(N(BN245)&gt;0,ROUND(SUMIF(ЗАКАЗЫ!$F$3:$F$500,$A245,ЗАКАЗЫ!$Y$3:$Y$500)/BN245,0),IF(OR(BE245="",BG245=""),"",ROUND(BE245*BG245*(1+Справочники!$B$10),0)))</f>
        <v/>
      </c>
      <c r="BI245" s="92" t="str">
        <f aca="false">IF(OR(AU245="",BH245="",AU245=0),"",(AU245-BH245)/AU245)</f>
        <v/>
      </c>
      <c r="BJ245" s="81"/>
      <c r="BK245" s="83"/>
      <c r="BL245" s="43" t="str">
        <f aca="false">IFERROR(INDEX(ЗАКАЗЫ!$N$3:$N$500,MATCH($A245,ЗАКАЗЫ!$F$3:$F$500,0)),"")</f>
        <v/>
      </c>
      <c r="BM245" s="8" t="str">
        <f aca="false">IF(BL245="","",IFERROR(VLOOKUP(BL245,'ТН ВЭД'!$A$4:$C$40,3,0),""))</f>
        <v/>
      </c>
      <c r="BN245" s="7" t="str">
        <f aca="false">IF(COUNTIF(ЗАКАЗЫ!$F$3:$F$500,$A245)=0,"",SUMIF(ЗАКАЗЫ!$F$3:$F$500,$A245,ЗАКАЗЫ!$J$3:$J$500))</f>
        <v/>
      </c>
      <c r="BO245" s="7" t="str">
        <f aca="false">IF(BN245="","",SUMIF(ЗАКАЗЫ!$F$3:$F$500,$A245,ЗАКАЗЫ!$AL$3:$AL$500))</f>
        <v/>
      </c>
      <c r="BP245" s="7" t="str">
        <f aca="false">IF(BN245="","",BN245-BO245)</f>
        <v/>
      </c>
      <c r="BQ245" s="55" t="str">
        <f aca="false">IF(BN245="","",IF(BO245&gt;=BN245,"На складе",IF(BO245&gt;0,"Частично","Ждём")))</f>
        <v/>
      </c>
      <c r="BR245" s="43"/>
      <c r="BS245" s="47" t="str">
        <f aca="false">IF(BN245="","",IF(_xlfn.MAXIFS(ЗАКАЗЫ!$AK$3:$AK$500,ЗАКАЗЫ!$F$3:$F$500,$A245)=0,"",_xlfn.MAXIFS(ЗАКАЗЫ!$AK$3:$AK$500,ЗАКАЗЫ!$F$3:$F$500,$A245)))</f>
        <v/>
      </c>
    </row>
    <row r="246" customFormat="false" ht="15.75" hidden="false" customHeight="true" outlineLevel="0" collapsed="false">
      <c r="A246" s="80" t="s">
        <v>720</v>
      </c>
      <c r="B246" s="81"/>
      <c r="C246" s="81"/>
      <c r="D246" s="81"/>
      <c r="E246" s="83"/>
      <c r="F246" s="81"/>
      <c r="G246" s="83"/>
      <c r="H246" s="83"/>
      <c r="I246" s="84" t="str">
        <f aca="false">IF(E246="","",A246&amp;"_1.jpg")</f>
        <v/>
      </c>
      <c r="J246" s="84" t="str">
        <f aca="false">IF(E246="","",A246&amp;"_2.jpg; "&amp;A246&amp;"_3.jpg")</f>
        <v/>
      </c>
      <c r="K246" s="84" t="str">
        <f aca="false">IF(E246="","",A246&amp;"_schema.jpg")</f>
        <v/>
      </c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 t="s">
        <v>261</v>
      </c>
      <c r="W246" s="81"/>
      <c r="X246" s="81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6" t="str">
        <f aca="false">IF(SUM(Y246:AJ246)=0,"",SUM(Y246:AJ246))</f>
        <v/>
      </c>
      <c r="AL246" s="84" t="str">
        <f aca="false">MID(IF(N(Y246)&gt;0,", "&amp;Y$2,"")&amp;IF(N(Z246)&gt;0,", "&amp;Z$2,"")&amp;IF(N(AA246)&gt;0,", "&amp;AA$2,"")&amp;IF(N(AB246)&gt;0,", "&amp;AB$2,"")&amp;IF(N(AC246)&gt;0,", "&amp;AC$2,"")&amp;IF(N(AD246)&gt;0,", "&amp;AD$2,"")&amp;IF(N(AE246)&gt;0,", "&amp;AE$2,"")&amp;IF(N(AF246)&gt;0,", "&amp;AF$2,"")&amp;IF(N(AG246)&gt;0,", "&amp;AG$2,"")&amp;IF(N(AH246)&gt;0,", "&amp;AH$2,"")&amp;IF(N(AI246)&gt;0,", "&amp;AI$2,"")&amp;IF(N(AJ246)&gt;0,", "&amp;AJ$2,""),3,999)</f>
        <v/>
      </c>
      <c r="AM246" s="87" t="str">
        <f aca="false">IF(E246="","",MID(IF(N(Y246)&gt;0,", "&amp;A246&amp;"-"&amp;Y$2,"")&amp;IF(N(Z246)&gt;0,", "&amp;A246&amp;"-"&amp;Z$2,"")&amp;IF(N(AA246)&gt;0,", "&amp;A246&amp;"-"&amp;AA$2,"")&amp;IF(N(AB246)&gt;0,", "&amp;A246&amp;"-"&amp;AB$2,"")&amp;IF(N(AC246)&gt;0,", "&amp;A246&amp;"-"&amp;AC$2,"")&amp;IF(N(AD246)&gt;0,", "&amp;A246&amp;"-"&amp;AD$2,"")&amp;IF(N(AE246)&gt;0,", "&amp;A246&amp;"-"&amp;AE$2,"")&amp;IF(N(AF246)&gt;0,", "&amp;A246&amp;"-"&amp;AF$2,"")&amp;IF(N(AG246)&gt;0,", "&amp;A246&amp;"-"&amp;AG$2,"")&amp;IF(N(AH246)&gt;0,", "&amp;A246&amp;"-"&amp;AH$2,"")&amp;IF(N(AI246)&gt;0,", "&amp;A246&amp;"-"&amp;AI$2,"")&amp;IF(N(AJ246)&gt;0,", "&amp;A246&amp;"-"&amp;AJ$2,""),3,999))</f>
        <v/>
      </c>
      <c r="AN246" s="81"/>
      <c r="AO246" s="88"/>
      <c r="AP246" s="89" t="str">
        <f aca="false">IF(AO246="","",ROUND(AO246/(1+Справочники!$B$13),2))</f>
        <v/>
      </c>
      <c r="AQ246" s="90" t="str">
        <f aca="false" t="array" ref="AQ246:AQ246">IF(AP246="","",AP246*INDEX(Справочники!$B$4:$B$7,MATCH("RUB",Справочники!$A$4:$A$7,0)))</f>
        <v/>
      </c>
      <c r="AR246" s="90" t="str">
        <f aca="false">IF(AQ246="","",ROUND(AQ246*(1+Справочники!$B$12),0))</f>
        <v/>
      </c>
      <c r="AS246" s="90" t="str">
        <f aca="false">IF(AR246="","",ROUND(AR246*(1-Справочники!$B$11),0))</f>
        <v/>
      </c>
      <c r="AT246" s="88"/>
      <c r="AU246" s="90" t="str">
        <f aca="false">IF(AT246="","",ROUND(AT246/(1+Справочники!$B$12),0))</f>
        <v/>
      </c>
      <c r="AV246" s="90" t="str">
        <f aca="false">IF(AT246="","",ROUND(AT246*(1-Справочники!$B$15),0))</f>
        <v/>
      </c>
      <c r="AW246" s="90" t="str">
        <f aca="false">IF(AT246="","",ROUND(AT246*(1-Справочники!$B$16),0))</f>
        <v/>
      </c>
      <c r="AX246" s="90" t="str">
        <f aca="false">IF(AT246="","",ROUND(AT246*(1-Справочники!$B$17),0))</f>
        <v/>
      </c>
      <c r="AY246" s="90" t="str">
        <f aca="false">IF(AT246="","",ROUND(AT246*(1-Справочники!$B$18),0))</f>
        <v/>
      </c>
      <c r="AZ246" s="90" t="str">
        <f aca="false">IF(AT246="","",ROUND(AT246*(1-Справочники!$B$19),0))</f>
        <v/>
      </c>
      <c r="BA246" s="81"/>
      <c r="BB246" s="81"/>
      <c r="BC246" s="81"/>
      <c r="BD246" s="81"/>
      <c r="BE246" s="91"/>
      <c r="BF246" s="81" t="s">
        <v>103</v>
      </c>
      <c r="BG246" s="89" t="n">
        <f aca="false" t="array" ref="BG246:BG246">IF(BF246="","",IFERROR(INDEX(Справочники!$B$4:$B$7,MATCH(BF246,Справочники!$A$4:$A$7,0)),""))</f>
        <v>68.5</v>
      </c>
      <c r="BH246" s="90" t="str">
        <f aca="false">IF(N(BN246)&gt;0,ROUND(SUMIF(ЗАКАЗЫ!$F$3:$F$500,$A246,ЗАКАЗЫ!$Y$3:$Y$500)/BN246,0),IF(OR(BE246="",BG246=""),"",ROUND(BE246*BG246*(1+Справочники!$B$10),0)))</f>
        <v/>
      </c>
      <c r="BI246" s="92" t="str">
        <f aca="false">IF(OR(AU246="",BH246="",AU246=0),"",(AU246-BH246)/AU246)</f>
        <v/>
      </c>
      <c r="BJ246" s="81"/>
      <c r="BK246" s="83"/>
      <c r="BL246" s="43" t="str">
        <f aca="false">IFERROR(INDEX(ЗАКАЗЫ!$N$3:$N$500,MATCH($A246,ЗАКАЗЫ!$F$3:$F$500,0)),"")</f>
        <v/>
      </c>
      <c r="BM246" s="8" t="str">
        <f aca="false">IF(BL246="","",IFERROR(VLOOKUP(BL246,'ТН ВЭД'!$A$4:$C$40,3,0),""))</f>
        <v/>
      </c>
      <c r="BN246" s="7" t="str">
        <f aca="false">IF(COUNTIF(ЗАКАЗЫ!$F$3:$F$500,$A246)=0,"",SUMIF(ЗАКАЗЫ!$F$3:$F$500,$A246,ЗАКАЗЫ!$J$3:$J$500))</f>
        <v/>
      </c>
      <c r="BO246" s="7" t="str">
        <f aca="false">IF(BN246="","",SUMIF(ЗАКАЗЫ!$F$3:$F$500,$A246,ЗАКАЗЫ!$AL$3:$AL$500))</f>
        <v/>
      </c>
      <c r="BP246" s="7" t="str">
        <f aca="false">IF(BN246="","",BN246-BO246)</f>
        <v/>
      </c>
      <c r="BQ246" s="55" t="str">
        <f aca="false">IF(BN246="","",IF(BO246&gt;=BN246,"На складе",IF(BO246&gt;0,"Частично","Ждём")))</f>
        <v/>
      </c>
      <c r="BR246" s="43"/>
      <c r="BS246" s="47" t="str">
        <f aca="false">IF(BN246="","",IF(_xlfn.MAXIFS(ЗАКАЗЫ!$AK$3:$AK$500,ЗАКАЗЫ!$F$3:$F$500,$A246)=0,"",_xlfn.MAXIFS(ЗАКАЗЫ!$AK$3:$AK$500,ЗАКАЗЫ!$F$3:$F$500,$A246)))</f>
        <v/>
      </c>
    </row>
    <row r="247" customFormat="false" ht="15.75" hidden="false" customHeight="true" outlineLevel="0" collapsed="false">
      <c r="A247" s="80" t="s">
        <v>721</v>
      </c>
      <c r="B247" s="81"/>
      <c r="C247" s="81"/>
      <c r="D247" s="81"/>
      <c r="E247" s="83"/>
      <c r="F247" s="81"/>
      <c r="G247" s="83"/>
      <c r="H247" s="83"/>
      <c r="I247" s="84" t="str">
        <f aca="false">IF(E247="","",A247&amp;"_1.jpg")</f>
        <v/>
      </c>
      <c r="J247" s="84" t="str">
        <f aca="false">IF(E247="","",A247&amp;"_2.jpg; "&amp;A247&amp;"_3.jpg")</f>
        <v/>
      </c>
      <c r="K247" s="84" t="str">
        <f aca="false">IF(E247="","",A247&amp;"_schema.jpg")</f>
        <v/>
      </c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 t="s">
        <v>261</v>
      </c>
      <c r="W247" s="81"/>
      <c r="X247" s="81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6" t="str">
        <f aca="false">IF(SUM(Y247:AJ247)=0,"",SUM(Y247:AJ247))</f>
        <v/>
      </c>
      <c r="AL247" s="84" t="str">
        <f aca="false">MID(IF(N(Y247)&gt;0,", "&amp;Y$2,"")&amp;IF(N(Z247)&gt;0,", "&amp;Z$2,"")&amp;IF(N(AA247)&gt;0,", "&amp;AA$2,"")&amp;IF(N(AB247)&gt;0,", "&amp;AB$2,"")&amp;IF(N(AC247)&gt;0,", "&amp;AC$2,"")&amp;IF(N(AD247)&gt;0,", "&amp;AD$2,"")&amp;IF(N(AE247)&gt;0,", "&amp;AE$2,"")&amp;IF(N(AF247)&gt;0,", "&amp;AF$2,"")&amp;IF(N(AG247)&gt;0,", "&amp;AG$2,"")&amp;IF(N(AH247)&gt;0,", "&amp;AH$2,"")&amp;IF(N(AI247)&gt;0,", "&amp;AI$2,"")&amp;IF(N(AJ247)&gt;0,", "&amp;AJ$2,""),3,999)</f>
        <v/>
      </c>
      <c r="AM247" s="87" t="str">
        <f aca="false">IF(E247="","",MID(IF(N(Y247)&gt;0,", "&amp;A247&amp;"-"&amp;Y$2,"")&amp;IF(N(Z247)&gt;0,", "&amp;A247&amp;"-"&amp;Z$2,"")&amp;IF(N(AA247)&gt;0,", "&amp;A247&amp;"-"&amp;AA$2,"")&amp;IF(N(AB247)&gt;0,", "&amp;A247&amp;"-"&amp;AB$2,"")&amp;IF(N(AC247)&gt;0,", "&amp;A247&amp;"-"&amp;AC$2,"")&amp;IF(N(AD247)&gt;0,", "&amp;A247&amp;"-"&amp;AD$2,"")&amp;IF(N(AE247)&gt;0,", "&amp;A247&amp;"-"&amp;AE$2,"")&amp;IF(N(AF247)&gt;0,", "&amp;A247&amp;"-"&amp;AF$2,"")&amp;IF(N(AG247)&gt;0,", "&amp;A247&amp;"-"&amp;AG$2,"")&amp;IF(N(AH247)&gt;0,", "&amp;A247&amp;"-"&amp;AH$2,"")&amp;IF(N(AI247)&gt;0,", "&amp;A247&amp;"-"&amp;AI$2,"")&amp;IF(N(AJ247)&gt;0,", "&amp;A247&amp;"-"&amp;AJ$2,""),3,999))</f>
        <v/>
      </c>
      <c r="AN247" s="81"/>
      <c r="AO247" s="88"/>
      <c r="AP247" s="89" t="str">
        <f aca="false">IF(AO247="","",ROUND(AO247/(1+Справочники!$B$13),2))</f>
        <v/>
      </c>
      <c r="AQ247" s="90" t="str">
        <f aca="false" t="array" ref="AQ247:AQ247">IF(AP247="","",AP247*INDEX(Справочники!$B$4:$B$7,MATCH("RUB",Справочники!$A$4:$A$7,0)))</f>
        <v/>
      </c>
      <c r="AR247" s="90" t="str">
        <f aca="false">IF(AQ247="","",ROUND(AQ247*(1+Справочники!$B$12),0))</f>
        <v/>
      </c>
      <c r="AS247" s="90" t="str">
        <f aca="false">IF(AR247="","",ROUND(AR247*(1-Справочники!$B$11),0))</f>
        <v/>
      </c>
      <c r="AT247" s="88"/>
      <c r="AU247" s="90" t="str">
        <f aca="false">IF(AT247="","",ROUND(AT247/(1+Справочники!$B$12),0))</f>
        <v/>
      </c>
      <c r="AV247" s="90" t="str">
        <f aca="false">IF(AT247="","",ROUND(AT247*(1-Справочники!$B$15),0))</f>
        <v/>
      </c>
      <c r="AW247" s="90" t="str">
        <f aca="false">IF(AT247="","",ROUND(AT247*(1-Справочники!$B$16),0))</f>
        <v/>
      </c>
      <c r="AX247" s="90" t="str">
        <f aca="false">IF(AT247="","",ROUND(AT247*(1-Справочники!$B$17),0))</f>
        <v/>
      </c>
      <c r="AY247" s="90" t="str">
        <f aca="false">IF(AT247="","",ROUND(AT247*(1-Справочники!$B$18),0))</f>
        <v/>
      </c>
      <c r="AZ247" s="90" t="str">
        <f aca="false">IF(AT247="","",ROUND(AT247*(1-Справочники!$B$19),0))</f>
        <v/>
      </c>
      <c r="BA247" s="81"/>
      <c r="BB247" s="81"/>
      <c r="BC247" s="81"/>
      <c r="BD247" s="81"/>
      <c r="BE247" s="91"/>
      <c r="BF247" s="81" t="s">
        <v>103</v>
      </c>
      <c r="BG247" s="89" t="n">
        <f aca="false" t="array" ref="BG247:BG247">IF(BF247="","",IFERROR(INDEX(Справочники!$B$4:$B$7,MATCH(BF247,Справочники!$A$4:$A$7,0)),""))</f>
        <v>68.5</v>
      </c>
      <c r="BH247" s="90" t="str">
        <f aca="false">IF(N(BN247)&gt;0,ROUND(SUMIF(ЗАКАЗЫ!$F$3:$F$500,$A247,ЗАКАЗЫ!$Y$3:$Y$500)/BN247,0),IF(OR(BE247="",BG247=""),"",ROUND(BE247*BG247*(1+Справочники!$B$10),0)))</f>
        <v/>
      </c>
      <c r="BI247" s="92" t="str">
        <f aca="false">IF(OR(AU247="",BH247="",AU247=0),"",(AU247-BH247)/AU247)</f>
        <v/>
      </c>
      <c r="BJ247" s="81"/>
      <c r="BK247" s="83"/>
      <c r="BL247" s="43" t="str">
        <f aca="false">IFERROR(INDEX(ЗАКАЗЫ!$N$3:$N$500,MATCH($A247,ЗАКАЗЫ!$F$3:$F$500,0)),"")</f>
        <v/>
      </c>
      <c r="BM247" s="8" t="str">
        <f aca="false">IF(BL247="","",IFERROR(VLOOKUP(BL247,'ТН ВЭД'!$A$4:$C$40,3,0),""))</f>
        <v/>
      </c>
      <c r="BN247" s="7" t="str">
        <f aca="false">IF(COUNTIF(ЗАКАЗЫ!$F$3:$F$500,$A247)=0,"",SUMIF(ЗАКАЗЫ!$F$3:$F$500,$A247,ЗАКАЗЫ!$J$3:$J$500))</f>
        <v/>
      </c>
      <c r="BO247" s="7" t="str">
        <f aca="false">IF(BN247="","",SUMIF(ЗАКАЗЫ!$F$3:$F$500,$A247,ЗАКАЗЫ!$AL$3:$AL$500))</f>
        <v/>
      </c>
      <c r="BP247" s="7" t="str">
        <f aca="false">IF(BN247="","",BN247-BO247)</f>
        <v/>
      </c>
      <c r="BQ247" s="55" t="str">
        <f aca="false">IF(BN247="","",IF(BO247&gt;=BN247,"На складе",IF(BO247&gt;0,"Частично","Ждём")))</f>
        <v/>
      </c>
      <c r="BR247" s="43"/>
      <c r="BS247" s="47" t="str">
        <f aca="false">IF(BN247="","",IF(_xlfn.MAXIFS(ЗАКАЗЫ!$AK$3:$AK$500,ЗАКАЗЫ!$F$3:$F$500,$A247)=0,"",_xlfn.MAXIFS(ЗАКАЗЫ!$AK$3:$AK$500,ЗАКАЗЫ!$F$3:$F$500,$A247)))</f>
        <v/>
      </c>
    </row>
    <row r="248" customFormat="false" ht="15.75" hidden="false" customHeight="true" outlineLevel="0" collapsed="false">
      <c r="A248" s="80" t="s">
        <v>722</v>
      </c>
      <c r="B248" s="81"/>
      <c r="C248" s="81"/>
      <c r="D248" s="81"/>
      <c r="E248" s="83"/>
      <c r="F248" s="81"/>
      <c r="G248" s="83"/>
      <c r="H248" s="83"/>
      <c r="I248" s="84" t="str">
        <f aca="false">IF(E248="","",A248&amp;"_1.jpg")</f>
        <v/>
      </c>
      <c r="J248" s="84" t="str">
        <f aca="false">IF(E248="","",A248&amp;"_2.jpg; "&amp;A248&amp;"_3.jpg")</f>
        <v/>
      </c>
      <c r="K248" s="84" t="str">
        <f aca="false">IF(E248="","",A248&amp;"_schema.jpg")</f>
        <v/>
      </c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 t="s">
        <v>261</v>
      </c>
      <c r="W248" s="81"/>
      <c r="X248" s="81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6" t="str">
        <f aca="false">IF(SUM(Y248:AJ248)=0,"",SUM(Y248:AJ248))</f>
        <v/>
      </c>
      <c r="AL248" s="84" t="str">
        <f aca="false">MID(IF(N(Y248)&gt;0,", "&amp;Y$2,"")&amp;IF(N(Z248)&gt;0,", "&amp;Z$2,"")&amp;IF(N(AA248)&gt;0,", "&amp;AA$2,"")&amp;IF(N(AB248)&gt;0,", "&amp;AB$2,"")&amp;IF(N(AC248)&gt;0,", "&amp;AC$2,"")&amp;IF(N(AD248)&gt;0,", "&amp;AD$2,"")&amp;IF(N(AE248)&gt;0,", "&amp;AE$2,"")&amp;IF(N(AF248)&gt;0,", "&amp;AF$2,"")&amp;IF(N(AG248)&gt;0,", "&amp;AG$2,"")&amp;IF(N(AH248)&gt;0,", "&amp;AH$2,"")&amp;IF(N(AI248)&gt;0,", "&amp;AI$2,"")&amp;IF(N(AJ248)&gt;0,", "&amp;AJ$2,""),3,999)</f>
        <v/>
      </c>
      <c r="AM248" s="87" t="str">
        <f aca="false">IF(E248="","",MID(IF(N(Y248)&gt;0,", "&amp;A248&amp;"-"&amp;Y$2,"")&amp;IF(N(Z248)&gt;0,", "&amp;A248&amp;"-"&amp;Z$2,"")&amp;IF(N(AA248)&gt;0,", "&amp;A248&amp;"-"&amp;AA$2,"")&amp;IF(N(AB248)&gt;0,", "&amp;A248&amp;"-"&amp;AB$2,"")&amp;IF(N(AC248)&gt;0,", "&amp;A248&amp;"-"&amp;AC$2,"")&amp;IF(N(AD248)&gt;0,", "&amp;A248&amp;"-"&amp;AD$2,"")&amp;IF(N(AE248)&gt;0,", "&amp;A248&amp;"-"&amp;AE$2,"")&amp;IF(N(AF248)&gt;0,", "&amp;A248&amp;"-"&amp;AF$2,"")&amp;IF(N(AG248)&gt;0,", "&amp;A248&amp;"-"&amp;AG$2,"")&amp;IF(N(AH248)&gt;0,", "&amp;A248&amp;"-"&amp;AH$2,"")&amp;IF(N(AI248)&gt;0,", "&amp;A248&amp;"-"&amp;AI$2,"")&amp;IF(N(AJ248)&gt;0,", "&amp;A248&amp;"-"&amp;AJ$2,""),3,999))</f>
        <v/>
      </c>
      <c r="AN248" s="81"/>
      <c r="AO248" s="88"/>
      <c r="AP248" s="89" t="str">
        <f aca="false">IF(AO248="","",ROUND(AO248/(1+Справочники!$B$13),2))</f>
        <v/>
      </c>
      <c r="AQ248" s="90" t="str">
        <f aca="false" t="array" ref="AQ248:AQ248">IF(AP248="","",AP248*INDEX(Справочники!$B$4:$B$7,MATCH("RUB",Справочники!$A$4:$A$7,0)))</f>
        <v/>
      </c>
      <c r="AR248" s="90" t="str">
        <f aca="false">IF(AQ248="","",ROUND(AQ248*(1+Справочники!$B$12),0))</f>
        <v/>
      </c>
      <c r="AS248" s="90" t="str">
        <f aca="false">IF(AR248="","",ROUND(AR248*(1-Справочники!$B$11),0))</f>
        <v/>
      </c>
      <c r="AT248" s="88"/>
      <c r="AU248" s="90" t="str">
        <f aca="false">IF(AT248="","",ROUND(AT248/(1+Справочники!$B$12),0))</f>
        <v/>
      </c>
      <c r="AV248" s="90" t="str">
        <f aca="false">IF(AT248="","",ROUND(AT248*(1-Справочники!$B$15),0))</f>
        <v/>
      </c>
      <c r="AW248" s="90" t="str">
        <f aca="false">IF(AT248="","",ROUND(AT248*(1-Справочники!$B$16),0))</f>
        <v/>
      </c>
      <c r="AX248" s="90" t="str">
        <f aca="false">IF(AT248="","",ROUND(AT248*(1-Справочники!$B$17),0))</f>
        <v/>
      </c>
      <c r="AY248" s="90" t="str">
        <f aca="false">IF(AT248="","",ROUND(AT248*(1-Справочники!$B$18),0))</f>
        <v/>
      </c>
      <c r="AZ248" s="90" t="str">
        <f aca="false">IF(AT248="","",ROUND(AT248*(1-Справочники!$B$19),0))</f>
        <v/>
      </c>
      <c r="BA248" s="81"/>
      <c r="BB248" s="81"/>
      <c r="BC248" s="81"/>
      <c r="BD248" s="81"/>
      <c r="BE248" s="91"/>
      <c r="BF248" s="81" t="s">
        <v>103</v>
      </c>
      <c r="BG248" s="89" t="n">
        <f aca="false" t="array" ref="BG248:BG248">IF(BF248="","",IFERROR(INDEX(Справочники!$B$4:$B$7,MATCH(BF248,Справочники!$A$4:$A$7,0)),""))</f>
        <v>68.5</v>
      </c>
      <c r="BH248" s="90" t="str">
        <f aca="false">IF(N(BN248)&gt;0,ROUND(SUMIF(ЗАКАЗЫ!$F$3:$F$500,$A248,ЗАКАЗЫ!$Y$3:$Y$500)/BN248,0),IF(OR(BE248="",BG248=""),"",ROUND(BE248*BG248*(1+Справочники!$B$10),0)))</f>
        <v/>
      </c>
      <c r="BI248" s="92" t="str">
        <f aca="false">IF(OR(AU248="",BH248="",AU248=0),"",(AU248-BH248)/AU248)</f>
        <v/>
      </c>
      <c r="BJ248" s="81"/>
      <c r="BK248" s="83"/>
      <c r="BL248" s="43" t="str">
        <f aca="false">IFERROR(INDEX(ЗАКАЗЫ!$N$3:$N$500,MATCH($A248,ЗАКАЗЫ!$F$3:$F$500,0)),"")</f>
        <v/>
      </c>
      <c r="BM248" s="8" t="str">
        <f aca="false">IF(BL248="","",IFERROR(VLOOKUP(BL248,'ТН ВЭД'!$A$4:$C$40,3,0),""))</f>
        <v/>
      </c>
      <c r="BN248" s="7" t="str">
        <f aca="false">IF(COUNTIF(ЗАКАЗЫ!$F$3:$F$500,$A248)=0,"",SUMIF(ЗАКАЗЫ!$F$3:$F$500,$A248,ЗАКАЗЫ!$J$3:$J$500))</f>
        <v/>
      </c>
      <c r="BO248" s="7" t="str">
        <f aca="false">IF(BN248="","",SUMIF(ЗАКАЗЫ!$F$3:$F$500,$A248,ЗАКАЗЫ!$AL$3:$AL$500))</f>
        <v/>
      </c>
      <c r="BP248" s="7" t="str">
        <f aca="false">IF(BN248="","",BN248-BO248)</f>
        <v/>
      </c>
      <c r="BQ248" s="55" t="str">
        <f aca="false">IF(BN248="","",IF(BO248&gt;=BN248,"На складе",IF(BO248&gt;0,"Частично","Ждём")))</f>
        <v/>
      </c>
      <c r="BR248" s="43"/>
      <c r="BS248" s="47" t="str">
        <f aca="false">IF(BN248="","",IF(_xlfn.MAXIFS(ЗАКАЗЫ!$AK$3:$AK$500,ЗАКАЗЫ!$F$3:$F$500,$A248)=0,"",_xlfn.MAXIFS(ЗАКАЗЫ!$AK$3:$AK$500,ЗАКАЗЫ!$F$3:$F$500,$A248)))</f>
        <v/>
      </c>
    </row>
    <row r="249" customFormat="false" ht="15.75" hidden="false" customHeight="true" outlineLevel="0" collapsed="false">
      <c r="A249" s="80" t="s">
        <v>723</v>
      </c>
      <c r="B249" s="81"/>
      <c r="C249" s="81"/>
      <c r="D249" s="81"/>
      <c r="E249" s="83"/>
      <c r="F249" s="81"/>
      <c r="G249" s="83"/>
      <c r="H249" s="83"/>
      <c r="I249" s="84" t="str">
        <f aca="false">IF(E249="","",A249&amp;"_1.jpg")</f>
        <v/>
      </c>
      <c r="J249" s="84" t="str">
        <f aca="false">IF(E249="","",A249&amp;"_2.jpg; "&amp;A249&amp;"_3.jpg")</f>
        <v/>
      </c>
      <c r="K249" s="84" t="str">
        <f aca="false">IF(E249="","",A249&amp;"_schema.jpg")</f>
        <v/>
      </c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 t="s">
        <v>261</v>
      </c>
      <c r="W249" s="81"/>
      <c r="X249" s="81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6" t="str">
        <f aca="false">IF(SUM(Y249:AJ249)=0,"",SUM(Y249:AJ249))</f>
        <v/>
      </c>
      <c r="AL249" s="84" t="str">
        <f aca="false">MID(IF(N(Y249)&gt;0,", "&amp;Y$2,"")&amp;IF(N(Z249)&gt;0,", "&amp;Z$2,"")&amp;IF(N(AA249)&gt;0,", "&amp;AA$2,"")&amp;IF(N(AB249)&gt;0,", "&amp;AB$2,"")&amp;IF(N(AC249)&gt;0,", "&amp;AC$2,"")&amp;IF(N(AD249)&gt;0,", "&amp;AD$2,"")&amp;IF(N(AE249)&gt;0,", "&amp;AE$2,"")&amp;IF(N(AF249)&gt;0,", "&amp;AF$2,"")&amp;IF(N(AG249)&gt;0,", "&amp;AG$2,"")&amp;IF(N(AH249)&gt;0,", "&amp;AH$2,"")&amp;IF(N(AI249)&gt;0,", "&amp;AI$2,"")&amp;IF(N(AJ249)&gt;0,", "&amp;AJ$2,""),3,999)</f>
        <v/>
      </c>
      <c r="AM249" s="87" t="str">
        <f aca="false">IF(E249="","",MID(IF(N(Y249)&gt;0,", "&amp;A249&amp;"-"&amp;Y$2,"")&amp;IF(N(Z249)&gt;0,", "&amp;A249&amp;"-"&amp;Z$2,"")&amp;IF(N(AA249)&gt;0,", "&amp;A249&amp;"-"&amp;AA$2,"")&amp;IF(N(AB249)&gt;0,", "&amp;A249&amp;"-"&amp;AB$2,"")&amp;IF(N(AC249)&gt;0,", "&amp;A249&amp;"-"&amp;AC$2,"")&amp;IF(N(AD249)&gt;0,", "&amp;A249&amp;"-"&amp;AD$2,"")&amp;IF(N(AE249)&gt;0,", "&amp;A249&amp;"-"&amp;AE$2,"")&amp;IF(N(AF249)&gt;0,", "&amp;A249&amp;"-"&amp;AF$2,"")&amp;IF(N(AG249)&gt;0,", "&amp;A249&amp;"-"&amp;AG$2,"")&amp;IF(N(AH249)&gt;0,", "&amp;A249&amp;"-"&amp;AH$2,"")&amp;IF(N(AI249)&gt;0,", "&amp;A249&amp;"-"&amp;AI$2,"")&amp;IF(N(AJ249)&gt;0,", "&amp;A249&amp;"-"&amp;AJ$2,""),3,999))</f>
        <v/>
      </c>
      <c r="AN249" s="81"/>
      <c r="AO249" s="88"/>
      <c r="AP249" s="89" t="str">
        <f aca="false">IF(AO249="","",ROUND(AO249/(1+Справочники!$B$13),2))</f>
        <v/>
      </c>
      <c r="AQ249" s="90" t="str">
        <f aca="false" t="array" ref="AQ249:AQ249">IF(AP249="","",AP249*INDEX(Справочники!$B$4:$B$7,MATCH("RUB",Справочники!$A$4:$A$7,0)))</f>
        <v/>
      </c>
      <c r="AR249" s="90" t="str">
        <f aca="false">IF(AQ249="","",ROUND(AQ249*(1+Справочники!$B$12),0))</f>
        <v/>
      </c>
      <c r="AS249" s="90" t="str">
        <f aca="false">IF(AR249="","",ROUND(AR249*(1-Справочники!$B$11),0))</f>
        <v/>
      </c>
      <c r="AT249" s="88"/>
      <c r="AU249" s="90" t="str">
        <f aca="false">IF(AT249="","",ROUND(AT249/(1+Справочники!$B$12),0))</f>
        <v/>
      </c>
      <c r="AV249" s="90" t="str">
        <f aca="false">IF(AT249="","",ROUND(AT249*(1-Справочники!$B$15),0))</f>
        <v/>
      </c>
      <c r="AW249" s="90" t="str">
        <f aca="false">IF(AT249="","",ROUND(AT249*(1-Справочники!$B$16),0))</f>
        <v/>
      </c>
      <c r="AX249" s="90" t="str">
        <f aca="false">IF(AT249="","",ROUND(AT249*(1-Справочники!$B$17),0))</f>
        <v/>
      </c>
      <c r="AY249" s="90" t="str">
        <f aca="false">IF(AT249="","",ROUND(AT249*(1-Справочники!$B$18),0))</f>
        <v/>
      </c>
      <c r="AZ249" s="90" t="str">
        <f aca="false">IF(AT249="","",ROUND(AT249*(1-Справочники!$B$19),0))</f>
        <v/>
      </c>
      <c r="BA249" s="81"/>
      <c r="BB249" s="81"/>
      <c r="BC249" s="81"/>
      <c r="BD249" s="81"/>
      <c r="BE249" s="91"/>
      <c r="BF249" s="81" t="s">
        <v>103</v>
      </c>
      <c r="BG249" s="89" t="n">
        <f aca="false" t="array" ref="BG249:BG249">IF(BF249="","",IFERROR(INDEX(Справочники!$B$4:$B$7,MATCH(BF249,Справочники!$A$4:$A$7,0)),""))</f>
        <v>68.5</v>
      </c>
      <c r="BH249" s="90" t="str">
        <f aca="false">IF(N(BN249)&gt;0,ROUND(SUMIF(ЗАКАЗЫ!$F$3:$F$500,$A249,ЗАКАЗЫ!$Y$3:$Y$500)/BN249,0),IF(OR(BE249="",BG249=""),"",ROUND(BE249*BG249*(1+Справочники!$B$10),0)))</f>
        <v/>
      </c>
      <c r="BI249" s="92" t="str">
        <f aca="false">IF(OR(AU249="",BH249="",AU249=0),"",(AU249-BH249)/AU249)</f>
        <v/>
      </c>
      <c r="BJ249" s="81"/>
      <c r="BK249" s="83"/>
      <c r="BL249" s="43" t="str">
        <f aca="false">IFERROR(INDEX(ЗАКАЗЫ!$N$3:$N$500,MATCH($A249,ЗАКАЗЫ!$F$3:$F$500,0)),"")</f>
        <v/>
      </c>
      <c r="BM249" s="8" t="str">
        <f aca="false">IF(BL249="","",IFERROR(VLOOKUP(BL249,'ТН ВЭД'!$A$4:$C$40,3,0),""))</f>
        <v/>
      </c>
      <c r="BN249" s="7" t="str">
        <f aca="false">IF(COUNTIF(ЗАКАЗЫ!$F$3:$F$500,$A249)=0,"",SUMIF(ЗАКАЗЫ!$F$3:$F$500,$A249,ЗАКАЗЫ!$J$3:$J$500))</f>
        <v/>
      </c>
      <c r="BO249" s="7" t="str">
        <f aca="false">IF(BN249="","",SUMIF(ЗАКАЗЫ!$F$3:$F$500,$A249,ЗАКАЗЫ!$AL$3:$AL$500))</f>
        <v/>
      </c>
      <c r="BP249" s="7" t="str">
        <f aca="false">IF(BN249="","",BN249-BO249)</f>
        <v/>
      </c>
      <c r="BQ249" s="55" t="str">
        <f aca="false">IF(BN249="","",IF(BO249&gt;=BN249,"На складе",IF(BO249&gt;0,"Частично","Ждём")))</f>
        <v/>
      </c>
      <c r="BR249" s="43"/>
      <c r="BS249" s="47" t="str">
        <f aca="false">IF(BN249="","",IF(_xlfn.MAXIFS(ЗАКАЗЫ!$AK$3:$AK$500,ЗАКАЗЫ!$F$3:$F$500,$A249)=0,"",_xlfn.MAXIFS(ЗАКАЗЫ!$AK$3:$AK$500,ЗАКАЗЫ!$F$3:$F$500,$A249)))</f>
        <v/>
      </c>
    </row>
    <row r="250" customFormat="false" ht="15.75" hidden="false" customHeight="true" outlineLevel="0" collapsed="false">
      <c r="A250" s="80" t="s">
        <v>724</v>
      </c>
      <c r="B250" s="81"/>
      <c r="C250" s="81"/>
      <c r="D250" s="81"/>
      <c r="E250" s="83"/>
      <c r="F250" s="81"/>
      <c r="G250" s="83"/>
      <c r="H250" s="83"/>
      <c r="I250" s="84" t="str">
        <f aca="false">IF(E250="","",A250&amp;"_1.jpg")</f>
        <v/>
      </c>
      <c r="J250" s="84" t="str">
        <f aca="false">IF(E250="","",A250&amp;"_2.jpg; "&amp;A250&amp;"_3.jpg")</f>
        <v/>
      </c>
      <c r="K250" s="84" t="str">
        <f aca="false">IF(E250="","",A250&amp;"_schema.jpg")</f>
        <v/>
      </c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 t="s">
        <v>261</v>
      </c>
      <c r="W250" s="81"/>
      <c r="X250" s="81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6" t="str">
        <f aca="false">IF(SUM(Y250:AJ250)=0,"",SUM(Y250:AJ250))</f>
        <v/>
      </c>
      <c r="AL250" s="84" t="str">
        <f aca="false">MID(IF(N(Y250)&gt;0,", "&amp;Y$2,"")&amp;IF(N(Z250)&gt;0,", "&amp;Z$2,"")&amp;IF(N(AA250)&gt;0,", "&amp;AA$2,"")&amp;IF(N(AB250)&gt;0,", "&amp;AB$2,"")&amp;IF(N(AC250)&gt;0,", "&amp;AC$2,"")&amp;IF(N(AD250)&gt;0,", "&amp;AD$2,"")&amp;IF(N(AE250)&gt;0,", "&amp;AE$2,"")&amp;IF(N(AF250)&gt;0,", "&amp;AF$2,"")&amp;IF(N(AG250)&gt;0,", "&amp;AG$2,"")&amp;IF(N(AH250)&gt;0,", "&amp;AH$2,"")&amp;IF(N(AI250)&gt;0,", "&amp;AI$2,"")&amp;IF(N(AJ250)&gt;0,", "&amp;AJ$2,""),3,999)</f>
        <v/>
      </c>
      <c r="AM250" s="87" t="str">
        <f aca="false">IF(E250="","",MID(IF(N(Y250)&gt;0,", "&amp;A250&amp;"-"&amp;Y$2,"")&amp;IF(N(Z250)&gt;0,", "&amp;A250&amp;"-"&amp;Z$2,"")&amp;IF(N(AA250)&gt;0,", "&amp;A250&amp;"-"&amp;AA$2,"")&amp;IF(N(AB250)&gt;0,", "&amp;A250&amp;"-"&amp;AB$2,"")&amp;IF(N(AC250)&gt;0,", "&amp;A250&amp;"-"&amp;AC$2,"")&amp;IF(N(AD250)&gt;0,", "&amp;A250&amp;"-"&amp;AD$2,"")&amp;IF(N(AE250)&gt;0,", "&amp;A250&amp;"-"&amp;AE$2,"")&amp;IF(N(AF250)&gt;0,", "&amp;A250&amp;"-"&amp;AF$2,"")&amp;IF(N(AG250)&gt;0,", "&amp;A250&amp;"-"&amp;AG$2,"")&amp;IF(N(AH250)&gt;0,", "&amp;A250&amp;"-"&amp;AH$2,"")&amp;IF(N(AI250)&gt;0,", "&amp;A250&amp;"-"&amp;AI$2,"")&amp;IF(N(AJ250)&gt;0,", "&amp;A250&amp;"-"&amp;AJ$2,""),3,999))</f>
        <v/>
      </c>
      <c r="AN250" s="81"/>
      <c r="AO250" s="88"/>
      <c r="AP250" s="89" t="str">
        <f aca="false">IF(AO250="","",ROUND(AO250/(1+Справочники!$B$13),2))</f>
        <v/>
      </c>
      <c r="AQ250" s="90" t="str">
        <f aca="false" t="array" ref="AQ250:AQ250">IF(AP250="","",AP250*INDEX(Справочники!$B$4:$B$7,MATCH("RUB",Справочники!$A$4:$A$7,0)))</f>
        <v/>
      </c>
      <c r="AR250" s="90" t="str">
        <f aca="false">IF(AQ250="","",ROUND(AQ250*(1+Справочники!$B$12),0))</f>
        <v/>
      </c>
      <c r="AS250" s="90" t="str">
        <f aca="false">IF(AR250="","",ROUND(AR250*(1-Справочники!$B$11),0))</f>
        <v/>
      </c>
      <c r="AT250" s="88"/>
      <c r="AU250" s="90" t="str">
        <f aca="false">IF(AT250="","",ROUND(AT250/(1+Справочники!$B$12),0))</f>
        <v/>
      </c>
      <c r="AV250" s="90" t="str">
        <f aca="false">IF(AT250="","",ROUND(AT250*(1-Справочники!$B$15),0))</f>
        <v/>
      </c>
      <c r="AW250" s="90" t="str">
        <f aca="false">IF(AT250="","",ROUND(AT250*(1-Справочники!$B$16),0))</f>
        <v/>
      </c>
      <c r="AX250" s="90" t="str">
        <f aca="false">IF(AT250="","",ROUND(AT250*(1-Справочники!$B$17),0))</f>
        <v/>
      </c>
      <c r="AY250" s="90" t="str">
        <f aca="false">IF(AT250="","",ROUND(AT250*(1-Справочники!$B$18),0))</f>
        <v/>
      </c>
      <c r="AZ250" s="90" t="str">
        <f aca="false">IF(AT250="","",ROUND(AT250*(1-Справочники!$B$19),0))</f>
        <v/>
      </c>
      <c r="BA250" s="81"/>
      <c r="BB250" s="81"/>
      <c r="BC250" s="81"/>
      <c r="BD250" s="81"/>
      <c r="BE250" s="91"/>
      <c r="BF250" s="81" t="s">
        <v>103</v>
      </c>
      <c r="BG250" s="89" t="n">
        <f aca="false" t="array" ref="BG250:BG250">IF(BF250="","",IFERROR(INDEX(Справочники!$B$4:$B$7,MATCH(BF250,Справочники!$A$4:$A$7,0)),""))</f>
        <v>68.5</v>
      </c>
      <c r="BH250" s="90" t="str">
        <f aca="false">IF(N(BN250)&gt;0,ROUND(SUMIF(ЗАКАЗЫ!$F$3:$F$500,$A250,ЗАКАЗЫ!$Y$3:$Y$500)/BN250,0),IF(OR(BE250="",BG250=""),"",ROUND(BE250*BG250*(1+Справочники!$B$10),0)))</f>
        <v/>
      </c>
      <c r="BI250" s="92" t="str">
        <f aca="false">IF(OR(AU250="",BH250="",AU250=0),"",(AU250-BH250)/AU250)</f>
        <v/>
      </c>
      <c r="BJ250" s="81"/>
      <c r="BK250" s="83"/>
      <c r="BL250" s="43" t="str">
        <f aca="false">IFERROR(INDEX(ЗАКАЗЫ!$N$3:$N$500,MATCH($A250,ЗАКАЗЫ!$F$3:$F$500,0)),"")</f>
        <v/>
      </c>
      <c r="BM250" s="8" t="str">
        <f aca="false">IF(BL250="","",IFERROR(VLOOKUP(BL250,'ТН ВЭД'!$A$4:$C$40,3,0),""))</f>
        <v/>
      </c>
      <c r="BN250" s="7" t="str">
        <f aca="false">IF(COUNTIF(ЗАКАЗЫ!$F$3:$F$500,$A250)=0,"",SUMIF(ЗАКАЗЫ!$F$3:$F$500,$A250,ЗАКАЗЫ!$J$3:$J$500))</f>
        <v/>
      </c>
      <c r="BO250" s="7" t="str">
        <f aca="false">IF(BN250="","",SUMIF(ЗАКАЗЫ!$F$3:$F$500,$A250,ЗАКАЗЫ!$AL$3:$AL$500))</f>
        <v/>
      </c>
      <c r="BP250" s="7" t="str">
        <f aca="false">IF(BN250="","",BN250-BO250)</f>
        <v/>
      </c>
      <c r="BQ250" s="55" t="str">
        <f aca="false">IF(BN250="","",IF(BO250&gt;=BN250,"На складе",IF(BO250&gt;0,"Частично","Ждём")))</f>
        <v/>
      </c>
      <c r="BR250" s="43"/>
      <c r="BS250" s="47" t="str">
        <f aca="false">IF(BN250="","",IF(_xlfn.MAXIFS(ЗАКАЗЫ!$AK$3:$AK$500,ЗАКАЗЫ!$F$3:$F$500,$A250)=0,"",_xlfn.MAXIFS(ЗАКАЗЫ!$AK$3:$AK$500,ЗАКАЗЫ!$F$3:$F$500,$A250)))</f>
        <v/>
      </c>
    </row>
    <row r="251" customFormat="false" ht="15.75" hidden="false" customHeight="true" outlineLevel="0" collapsed="false">
      <c r="A251" s="80" t="s">
        <v>725</v>
      </c>
      <c r="B251" s="81"/>
      <c r="C251" s="81"/>
      <c r="D251" s="81"/>
      <c r="E251" s="83"/>
      <c r="F251" s="81"/>
      <c r="G251" s="83"/>
      <c r="H251" s="83"/>
      <c r="I251" s="84" t="str">
        <f aca="false">IF(E251="","",A251&amp;"_1.jpg")</f>
        <v/>
      </c>
      <c r="J251" s="84" t="str">
        <f aca="false">IF(E251="","",A251&amp;"_2.jpg; "&amp;A251&amp;"_3.jpg")</f>
        <v/>
      </c>
      <c r="K251" s="84" t="str">
        <f aca="false">IF(E251="","",A251&amp;"_schema.jpg")</f>
        <v/>
      </c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 t="s">
        <v>261</v>
      </c>
      <c r="W251" s="81"/>
      <c r="X251" s="81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6" t="str">
        <f aca="false">IF(SUM(Y251:AJ251)=0,"",SUM(Y251:AJ251))</f>
        <v/>
      </c>
      <c r="AL251" s="84" t="str">
        <f aca="false">MID(IF(N(Y251)&gt;0,", "&amp;Y$2,"")&amp;IF(N(Z251)&gt;0,", "&amp;Z$2,"")&amp;IF(N(AA251)&gt;0,", "&amp;AA$2,"")&amp;IF(N(AB251)&gt;0,", "&amp;AB$2,"")&amp;IF(N(AC251)&gt;0,", "&amp;AC$2,"")&amp;IF(N(AD251)&gt;0,", "&amp;AD$2,"")&amp;IF(N(AE251)&gt;0,", "&amp;AE$2,"")&amp;IF(N(AF251)&gt;0,", "&amp;AF$2,"")&amp;IF(N(AG251)&gt;0,", "&amp;AG$2,"")&amp;IF(N(AH251)&gt;0,", "&amp;AH$2,"")&amp;IF(N(AI251)&gt;0,", "&amp;AI$2,"")&amp;IF(N(AJ251)&gt;0,", "&amp;AJ$2,""),3,999)</f>
        <v/>
      </c>
      <c r="AM251" s="87" t="str">
        <f aca="false">IF(E251="","",MID(IF(N(Y251)&gt;0,", "&amp;A251&amp;"-"&amp;Y$2,"")&amp;IF(N(Z251)&gt;0,", "&amp;A251&amp;"-"&amp;Z$2,"")&amp;IF(N(AA251)&gt;0,", "&amp;A251&amp;"-"&amp;AA$2,"")&amp;IF(N(AB251)&gt;0,", "&amp;A251&amp;"-"&amp;AB$2,"")&amp;IF(N(AC251)&gt;0,", "&amp;A251&amp;"-"&amp;AC$2,"")&amp;IF(N(AD251)&gt;0,", "&amp;A251&amp;"-"&amp;AD$2,"")&amp;IF(N(AE251)&gt;0,", "&amp;A251&amp;"-"&amp;AE$2,"")&amp;IF(N(AF251)&gt;0,", "&amp;A251&amp;"-"&amp;AF$2,"")&amp;IF(N(AG251)&gt;0,", "&amp;A251&amp;"-"&amp;AG$2,"")&amp;IF(N(AH251)&gt;0,", "&amp;A251&amp;"-"&amp;AH$2,"")&amp;IF(N(AI251)&gt;0,", "&amp;A251&amp;"-"&amp;AI$2,"")&amp;IF(N(AJ251)&gt;0,", "&amp;A251&amp;"-"&amp;AJ$2,""),3,999))</f>
        <v/>
      </c>
      <c r="AN251" s="81"/>
      <c r="AO251" s="88"/>
      <c r="AP251" s="89" t="str">
        <f aca="false">IF(AO251="","",ROUND(AO251/(1+Справочники!$B$13),2))</f>
        <v/>
      </c>
      <c r="AQ251" s="90" t="str">
        <f aca="false" t="array" ref="AQ251:AQ251">IF(AP251="","",AP251*INDEX(Справочники!$B$4:$B$7,MATCH("RUB",Справочники!$A$4:$A$7,0)))</f>
        <v/>
      </c>
      <c r="AR251" s="90" t="str">
        <f aca="false">IF(AQ251="","",ROUND(AQ251*(1+Справочники!$B$12),0))</f>
        <v/>
      </c>
      <c r="AS251" s="90" t="str">
        <f aca="false">IF(AR251="","",ROUND(AR251*(1-Справочники!$B$11),0))</f>
        <v/>
      </c>
      <c r="AT251" s="88"/>
      <c r="AU251" s="90" t="str">
        <f aca="false">IF(AT251="","",ROUND(AT251/(1+Справочники!$B$12),0))</f>
        <v/>
      </c>
      <c r="AV251" s="90" t="str">
        <f aca="false">IF(AT251="","",ROUND(AT251*(1-Справочники!$B$15),0))</f>
        <v/>
      </c>
      <c r="AW251" s="90" t="str">
        <f aca="false">IF(AT251="","",ROUND(AT251*(1-Справочники!$B$16),0))</f>
        <v/>
      </c>
      <c r="AX251" s="90" t="str">
        <f aca="false">IF(AT251="","",ROUND(AT251*(1-Справочники!$B$17),0))</f>
        <v/>
      </c>
      <c r="AY251" s="90" t="str">
        <f aca="false">IF(AT251="","",ROUND(AT251*(1-Справочники!$B$18),0))</f>
        <v/>
      </c>
      <c r="AZ251" s="90" t="str">
        <f aca="false">IF(AT251="","",ROUND(AT251*(1-Справочники!$B$19),0))</f>
        <v/>
      </c>
      <c r="BA251" s="81"/>
      <c r="BB251" s="81"/>
      <c r="BC251" s="81"/>
      <c r="BD251" s="81"/>
      <c r="BE251" s="91"/>
      <c r="BF251" s="81" t="s">
        <v>103</v>
      </c>
      <c r="BG251" s="89" t="n">
        <f aca="false" t="array" ref="BG251:BG251">IF(BF251="","",IFERROR(INDEX(Справочники!$B$4:$B$7,MATCH(BF251,Справочники!$A$4:$A$7,0)),""))</f>
        <v>68.5</v>
      </c>
      <c r="BH251" s="90" t="str">
        <f aca="false">IF(N(BN251)&gt;0,ROUND(SUMIF(ЗАКАЗЫ!$F$3:$F$500,$A251,ЗАКАЗЫ!$Y$3:$Y$500)/BN251,0),IF(OR(BE251="",BG251=""),"",ROUND(BE251*BG251*(1+Справочники!$B$10),0)))</f>
        <v/>
      </c>
      <c r="BI251" s="92" t="str">
        <f aca="false">IF(OR(AU251="",BH251="",AU251=0),"",(AU251-BH251)/AU251)</f>
        <v/>
      </c>
      <c r="BJ251" s="81"/>
      <c r="BK251" s="83"/>
      <c r="BL251" s="43" t="str">
        <f aca="false">IFERROR(INDEX(ЗАКАЗЫ!$N$3:$N$500,MATCH($A251,ЗАКАЗЫ!$F$3:$F$500,0)),"")</f>
        <v/>
      </c>
      <c r="BM251" s="8" t="str">
        <f aca="false">IF(BL251="","",IFERROR(VLOOKUP(BL251,'ТН ВЭД'!$A$4:$C$40,3,0),""))</f>
        <v/>
      </c>
      <c r="BN251" s="7" t="str">
        <f aca="false">IF(COUNTIF(ЗАКАЗЫ!$F$3:$F$500,$A251)=0,"",SUMIF(ЗАКАЗЫ!$F$3:$F$500,$A251,ЗАКАЗЫ!$J$3:$J$500))</f>
        <v/>
      </c>
      <c r="BO251" s="7" t="str">
        <f aca="false">IF(BN251="","",SUMIF(ЗАКАЗЫ!$F$3:$F$500,$A251,ЗАКАЗЫ!$AL$3:$AL$500))</f>
        <v/>
      </c>
      <c r="BP251" s="7" t="str">
        <f aca="false">IF(BN251="","",BN251-BO251)</f>
        <v/>
      </c>
      <c r="BQ251" s="55" t="str">
        <f aca="false">IF(BN251="","",IF(BO251&gt;=BN251,"На складе",IF(BO251&gt;0,"Частично","Ждём")))</f>
        <v/>
      </c>
      <c r="BR251" s="43"/>
      <c r="BS251" s="47" t="str">
        <f aca="false">IF(BN251="","",IF(_xlfn.MAXIFS(ЗАКАЗЫ!$AK$3:$AK$500,ЗАКАЗЫ!$F$3:$F$500,$A251)=0,"",_xlfn.MAXIFS(ЗАКАЗЫ!$AK$3:$AK$500,ЗАКАЗЫ!$F$3:$F$500,$A251)))</f>
        <v/>
      </c>
    </row>
    <row r="252" customFormat="false" ht="15.75" hidden="false" customHeight="true" outlineLevel="0" collapsed="false">
      <c r="A252" s="80" t="s">
        <v>726</v>
      </c>
      <c r="B252" s="81"/>
      <c r="C252" s="81"/>
      <c r="D252" s="81"/>
      <c r="E252" s="83"/>
      <c r="F252" s="81"/>
      <c r="G252" s="83"/>
      <c r="H252" s="83"/>
      <c r="I252" s="84" t="str">
        <f aca="false">IF(E252="","",A252&amp;"_1.jpg")</f>
        <v/>
      </c>
      <c r="J252" s="84" t="str">
        <f aca="false">IF(E252="","",A252&amp;"_2.jpg; "&amp;A252&amp;"_3.jpg")</f>
        <v/>
      </c>
      <c r="K252" s="84" t="str">
        <f aca="false">IF(E252="","",A252&amp;"_schema.jpg")</f>
        <v/>
      </c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 t="s">
        <v>261</v>
      </c>
      <c r="W252" s="81"/>
      <c r="X252" s="81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6" t="str">
        <f aca="false">IF(SUM(Y252:AJ252)=0,"",SUM(Y252:AJ252))</f>
        <v/>
      </c>
      <c r="AL252" s="84" t="str">
        <f aca="false">MID(IF(N(Y252)&gt;0,", "&amp;Y$2,"")&amp;IF(N(Z252)&gt;0,", "&amp;Z$2,"")&amp;IF(N(AA252)&gt;0,", "&amp;AA$2,"")&amp;IF(N(AB252)&gt;0,", "&amp;AB$2,"")&amp;IF(N(AC252)&gt;0,", "&amp;AC$2,"")&amp;IF(N(AD252)&gt;0,", "&amp;AD$2,"")&amp;IF(N(AE252)&gt;0,", "&amp;AE$2,"")&amp;IF(N(AF252)&gt;0,", "&amp;AF$2,"")&amp;IF(N(AG252)&gt;0,", "&amp;AG$2,"")&amp;IF(N(AH252)&gt;0,", "&amp;AH$2,"")&amp;IF(N(AI252)&gt;0,", "&amp;AI$2,"")&amp;IF(N(AJ252)&gt;0,", "&amp;AJ$2,""),3,999)</f>
        <v/>
      </c>
      <c r="AM252" s="87" t="str">
        <f aca="false">IF(E252="","",MID(IF(N(Y252)&gt;0,", "&amp;A252&amp;"-"&amp;Y$2,"")&amp;IF(N(Z252)&gt;0,", "&amp;A252&amp;"-"&amp;Z$2,"")&amp;IF(N(AA252)&gt;0,", "&amp;A252&amp;"-"&amp;AA$2,"")&amp;IF(N(AB252)&gt;0,", "&amp;A252&amp;"-"&amp;AB$2,"")&amp;IF(N(AC252)&gt;0,", "&amp;A252&amp;"-"&amp;AC$2,"")&amp;IF(N(AD252)&gt;0,", "&amp;A252&amp;"-"&amp;AD$2,"")&amp;IF(N(AE252)&gt;0,", "&amp;A252&amp;"-"&amp;AE$2,"")&amp;IF(N(AF252)&gt;0,", "&amp;A252&amp;"-"&amp;AF$2,"")&amp;IF(N(AG252)&gt;0,", "&amp;A252&amp;"-"&amp;AG$2,"")&amp;IF(N(AH252)&gt;0,", "&amp;A252&amp;"-"&amp;AH$2,"")&amp;IF(N(AI252)&gt;0,", "&amp;A252&amp;"-"&amp;AI$2,"")&amp;IF(N(AJ252)&gt;0,", "&amp;A252&amp;"-"&amp;AJ$2,""),3,999))</f>
        <v/>
      </c>
      <c r="AN252" s="81"/>
      <c r="AO252" s="88"/>
      <c r="AP252" s="89" t="str">
        <f aca="false">IF(AO252="","",ROUND(AO252/(1+Справочники!$B$13),2))</f>
        <v/>
      </c>
      <c r="AQ252" s="90" t="str">
        <f aca="false" t="array" ref="AQ252:AQ252">IF(AP252="","",AP252*INDEX(Справочники!$B$4:$B$7,MATCH("RUB",Справочники!$A$4:$A$7,0)))</f>
        <v/>
      </c>
      <c r="AR252" s="90" t="str">
        <f aca="false">IF(AQ252="","",ROUND(AQ252*(1+Справочники!$B$12),0))</f>
        <v/>
      </c>
      <c r="AS252" s="90" t="str">
        <f aca="false">IF(AR252="","",ROUND(AR252*(1-Справочники!$B$11),0))</f>
        <v/>
      </c>
      <c r="AT252" s="88"/>
      <c r="AU252" s="90" t="str">
        <f aca="false">IF(AT252="","",ROUND(AT252/(1+Справочники!$B$12),0))</f>
        <v/>
      </c>
      <c r="AV252" s="90" t="str">
        <f aca="false">IF(AT252="","",ROUND(AT252*(1-Справочники!$B$15),0))</f>
        <v/>
      </c>
      <c r="AW252" s="90" t="str">
        <f aca="false">IF(AT252="","",ROUND(AT252*(1-Справочники!$B$16),0))</f>
        <v/>
      </c>
      <c r="AX252" s="90" t="str">
        <f aca="false">IF(AT252="","",ROUND(AT252*(1-Справочники!$B$17),0))</f>
        <v/>
      </c>
      <c r="AY252" s="90" t="str">
        <f aca="false">IF(AT252="","",ROUND(AT252*(1-Справочники!$B$18),0))</f>
        <v/>
      </c>
      <c r="AZ252" s="90" t="str">
        <f aca="false">IF(AT252="","",ROUND(AT252*(1-Справочники!$B$19),0))</f>
        <v/>
      </c>
      <c r="BA252" s="81"/>
      <c r="BB252" s="81"/>
      <c r="BC252" s="81"/>
      <c r="BD252" s="81"/>
      <c r="BE252" s="91"/>
      <c r="BF252" s="81" t="s">
        <v>103</v>
      </c>
      <c r="BG252" s="89" t="n">
        <f aca="false" t="array" ref="BG252:BG252">IF(BF252="","",IFERROR(INDEX(Справочники!$B$4:$B$7,MATCH(BF252,Справочники!$A$4:$A$7,0)),""))</f>
        <v>68.5</v>
      </c>
      <c r="BH252" s="90" t="str">
        <f aca="false">IF(N(BN252)&gt;0,ROUND(SUMIF(ЗАКАЗЫ!$F$3:$F$500,$A252,ЗАКАЗЫ!$Y$3:$Y$500)/BN252,0),IF(OR(BE252="",BG252=""),"",ROUND(BE252*BG252*(1+Справочники!$B$10),0)))</f>
        <v/>
      </c>
      <c r="BI252" s="92" t="str">
        <f aca="false">IF(OR(AU252="",BH252="",AU252=0),"",(AU252-BH252)/AU252)</f>
        <v/>
      </c>
      <c r="BJ252" s="81"/>
      <c r="BK252" s="83"/>
      <c r="BL252" s="43" t="str">
        <f aca="false">IFERROR(INDEX(ЗАКАЗЫ!$N$3:$N$500,MATCH($A252,ЗАКАЗЫ!$F$3:$F$500,0)),"")</f>
        <v/>
      </c>
      <c r="BM252" s="8" t="str">
        <f aca="false">IF(BL252="","",IFERROR(VLOOKUP(BL252,'ТН ВЭД'!$A$4:$C$40,3,0),""))</f>
        <v/>
      </c>
      <c r="BN252" s="7" t="str">
        <f aca="false">IF(COUNTIF(ЗАКАЗЫ!$F$3:$F$500,$A252)=0,"",SUMIF(ЗАКАЗЫ!$F$3:$F$500,$A252,ЗАКАЗЫ!$J$3:$J$500))</f>
        <v/>
      </c>
      <c r="BO252" s="7" t="str">
        <f aca="false">IF(BN252="","",SUMIF(ЗАКАЗЫ!$F$3:$F$500,$A252,ЗАКАЗЫ!$AL$3:$AL$500))</f>
        <v/>
      </c>
      <c r="BP252" s="7" t="str">
        <f aca="false">IF(BN252="","",BN252-BO252)</f>
        <v/>
      </c>
      <c r="BQ252" s="55" t="str">
        <f aca="false">IF(BN252="","",IF(BO252&gt;=BN252,"На складе",IF(BO252&gt;0,"Частично","Ждём")))</f>
        <v/>
      </c>
      <c r="BR252" s="43"/>
      <c r="BS252" s="47" t="str">
        <f aca="false">IF(BN252="","",IF(_xlfn.MAXIFS(ЗАКАЗЫ!$AK$3:$AK$500,ЗАКАЗЫ!$F$3:$F$500,$A252)=0,"",_xlfn.MAXIFS(ЗАКАЗЫ!$AK$3:$AK$500,ЗАКАЗЫ!$F$3:$F$500,$A252)))</f>
        <v/>
      </c>
    </row>
    <row r="253" customFormat="false" ht="15.75" hidden="false" customHeight="true" outlineLevel="0" collapsed="false">
      <c r="A253" s="80" t="s">
        <v>727</v>
      </c>
      <c r="B253" s="81"/>
      <c r="C253" s="81"/>
      <c r="D253" s="81"/>
      <c r="E253" s="83"/>
      <c r="F253" s="81"/>
      <c r="G253" s="83"/>
      <c r="H253" s="83"/>
      <c r="I253" s="84" t="str">
        <f aca="false">IF(E253="","",A253&amp;"_1.jpg")</f>
        <v/>
      </c>
      <c r="J253" s="84" t="str">
        <f aca="false">IF(E253="","",A253&amp;"_2.jpg; "&amp;A253&amp;"_3.jpg")</f>
        <v/>
      </c>
      <c r="K253" s="84" t="str">
        <f aca="false">IF(E253="","",A253&amp;"_schema.jpg")</f>
        <v/>
      </c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 t="s">
        <v>261</v>
      </c>
      <c r="W253" s="81"/>
      <c r="X253" s="81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6" t="str">
        <f aca="false">IF(SUM(Y253:AJ253)=0,"",SUM(Y253:AJ253))</f>
        <v/>
      </c>
      <c r="AL253" s="84" t="str">
        <f aca="false">MID(IF(N(Y253)&gt;0,", "&amp;Y$2,"")&amp;IF(N(Z253)&gt;0,", "&amp;Z$2,"")&amp;IF(N(AA253)&gt;0,", "&amp;AA$2,"")&amp;IF(N(AB253)&gt;0,", "&amp;AB$2,"")&amp;IF(N(AC253)&gt;0,", "&amp;AC$2,"")&amp;IF(N(AD253)&gt;0,", "&amp;AD$2,"")&amp;IF(N(AE253)&gt;0,", "&amp;AE$2,"")&amp;IF(N(AF253)&gt;0,", "&amp;AF$2,"")&amp;IF(N(AG253)&gt;0,", "&amp;AG$2,"")&amp;IF(N(AH253)&gt;0,", "&amp;AH$2,"")&amp;IF(N(AI253)&gt;0,", "&amp;AI$2,"")&amp;IF(N(AJ253)&gt;0,", "&amp;AJ$2,""),3,999)</f>
        <v/>
      </c>
      <c r="AM253" s="87" t="str">
        <f aca="false">IF(E253="","",MID(IF(N(Y253)&gt;0,", "&amp;A253&amp;"-"&amp;Y$2,"")&amp;IF(N(Z253)&gt;0,", "&amp;A253&amp;"-"&amp;Z$2,"")&amp;IF(N(AA253)&gt;0,", "&amp;A253&amp;"-"&amp;AA$2,"")&amp;IF(N(AB253)&gt;0,", "&amp;A253&amp;"-"&amp;AB$2,"")&amp;IF(N(AC253)&gt;0,", "&amp;A253&amp;"-"&amp;AC$2,"")&amp;IF(N(AD253)&gt;0,", "&amp;A253&amp;"-"&amp;AD$2,"")&amp;IF(N(AE253)&gt;0,", "&amp;A253&amp;"-"&amp;AE$2,"")&amp;IF(N(AF253)&gt;0,", "&amp;A253&amp;"-"&amp;AF$2,"")&amp;IF(N(AG253)&gt;0,", "&amp;A253&amp;"-"&amp;AG$2,"")&amp;IF(N(AH253)&gt;0,", "&amp;A253&amp;"-"&amp;AH$2,"")&amp;IF(N(AI253)&gt;0,", "&amp;A253&amp;"-"&amp;AI$2,"")&amp;IF(N(AJ253)&gt;0,", "&amp;A253&amp;"-"&amp;AJ$2,""),3,999))</f>
        <v/>
      </c>
      <c r="AN253" s="81"/>
      <c r="AO253" s="88"/>
      <c r="AP253" s="89" t="str">
        <f aca="false">IF(AO253="","",ROUND(AO253/(1+Справочники!$B$13),2))</f>
        <v/>
      </c>
      <c r="AQ253" s="90" t="str">
        <f aca="false" t="array" ref="AQ253:AQ253">IF(AP253="","",AP253*INDEX(Справочники!$B$4:$B$7,MATCH("RUB",Справочники!$A$4:$A$7,0)))</f>
        <v/>
      </c>
      <c r="AR253" s="90" t="str">
        <f aca="false">IF(AQ253="","",ROUND(AQ253*(1+Справочники!$B$12),0))</f>
        <v/>
      </c>
      <c r="AS253" s="90" t="str">
        <f aca="false">IF(AR253="","",ROUND(AR253*(1-Справочники!$B$11),0))</f>
        <v/>
      </c>
      <c r="AT253" s="88"/>
      <c r="AU253" s="90" t="str">
        <f aca="false">IF(AT253="","",ROUND(AT253/(1+Справочники!$B$12),0))</f>
        <v/>
      </c>
      <c r="AV253" s="90" t="str">
        <f aca="false">IF(AT253="","",ROUND(AT253*(1-Справочники!$B$15),0))</f>
        <v/>
      </c>
      <c r="AW253" s="90" t="str">
        <f aca="false">IF(AT253="","",ROUND(AT253*(1-Справочники!$B$16),0))</f>
        <v/>
      </c>
      <c r="AX253" s="90" t="str">
        <f aca="false">IF(AT253="","",ROUND(AT253*(1-Справочники!$B$17),0))</f>
        <v/>
      </c>
      <c r="AY253" s="90" t="str">
        <f aca="false">IF(AT253="","",ROUND(AT253*(1-Справочники!$B$18),0))</f>
        <v/>
      </c>
      <c r="AZ253" s="90" t="str">
        <f aca="false">IF(AT253="","",ROUND(AT253*(1-Справочники!$B$19),0))</f>
        <v/>
      </c>
      <c r="BA253" s="81"/>
      <c r="BB253" s="81"/>
      <c r="BC253" s="81"/>
      <c r="BD253" s="81"/>
      <c r="BE253" s="91"/>
      <c r="BF253" s="81" t="s">
        <v>103</v>
      </c>
      <c r="BG253" s="89" t="n">
        <f aca="false" t="array" ref="BG253:BG253">IF(BF253="","",IFERROR(INDEX(Справочники!$B$4:$B$7,MATCH(BF253,Справочники!$A$4:$A$7,0)),""))</f>
        <v>68.5</v>
      </c>
      <c r="BH253" s="90" t="str">
        <f aca="false">IF(N(BN253)&gt;0,ROUND(SUMIF(ЗАКАЗЫ!$F$3:$F$500,$A253,ЗАКАЗЫ!$Y$3:$Y$500)/BN253,0),IF(OR(BE253="",BG253=""),"",ROUND(BE253*BG253*(1+Справочники!$B$10),0)))</f>
        <v/>
      </c>
      <c r="BI253" s="92" t="str">
        <f aca="false">IF(OR(AU253="",BH253="",AU253=0),"",(AU253-BH253)/AU253)</f>
        <v/>
      </c>
      <c r="BJ253" s="81"/>
      <c r="BK253" s="83"/>
      <c r="BL253" s="43" t="str">
        <f aca="false">IFERROR(INDEX(ЗАКАЗЫ!$N$3:$N$500,MATCH($A253,ЗАКАЗЫ!$F$3:$F$500,0)),"")</f>
        <v/>
      </c>
      <c r="BM253" s="8" t="str">
        <f aca="false">IF(BL253="","",IFERROR(VLOOKUP(BL253,'ТН ВЭД'!$A$4:$C$40,3,0),""))</f>
        <v/>
      </c>
      <c r="BN253" s="7" t="str">
        <f aca="false">IF(COUNTIF(ЗАКАЗЫ!$F$3:$F$500,$A253)=0,"",SUMIF(ЗАКАЗЫ!$F$3:$F$500,$A253,ЗАКАЗЫ!$J$3:$J$500))</f>
        <v/>
      </c>
      <c r="BO253" s="7" t="str">
        <f aca="false">IF(BN253="","",SUMIF(ЗАКАЗЫ!$F$3:$F$500,$A253,ЗАКАЗЫ!$AL$3:$AL$500))</f>
        <v/>
      </c>
      <c r="BP253" s="7" t="str">
        <f aca="false">IF(BN253="","",BN253-BO253)</f>
        <v/>
      </c>
      <c r="BQ253" s="55" t="str">
        <f aca="false">IF(BN253="","",IF(BO253&gt;=BN253,"На складе",IF(BO253&gt;0,"Частично","Ждём")))</f>
        <v/>
      </c>
      <c r="BR253" s="43"/>
      <c r="BS253" s="47" t="str">
        <f aca="false">IF(BN253="","",IF(_xlfn.MAXIFS(ЗАКАЗЫ!$AK$3:$AK$500,ЗАКАЗЫ!$F$3:$F$500,$A253)=0,"",_xlfn.MAXIFS(ЗАКАЗЫ!$AK$3:$AK$500,ЗАКАЗЫ!$F$3:$F$500,$A253)))</f>
        <v/>
      </c>
    </row>
    <row r="254" customFormat="false" ht="15.75" hidden="false" customHeight="true" outlineLevel="0" collapsed="false">
      <c r="A254" s="80" t="s">
        <v>728</v>
      </c>
      <c r="B254" s="81"/>
      <c r="C254" s="81"/>
      <c r="D254" s="81"/>
      <c r="E254" s="83"/>
      <c r="F254" s="81"/>
      <c r="G254" s="83"/>
      <c r="H254" s="83"/>
      <c r="I254" s="84" t="str">
        <f aca="false">IF(E254="","",A254&amp;"_1.jpg")</f>
        <v/>
      </c>
      <c r="J254" s="84" t="str">
        <f aca="false">IF(E254="","",A254&amp;"_2.jpg; "&amp;A254&amp;"_3.jpg")</f>
        <v/>
      </c>
      <c r="K254" s="84" t="str">
        <f aca="false">IF(E254="","",A254&amp;"_schema.jpg")</f>
        <v/>
      </c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 t="s">
        <v>261</v>
      </c>
      <c r="W254" s="81"/>
      <c r="X254" s="81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6" t="str">
        <f aca="false">IF(SUM(Y254:AJ254)=0,"",SUM(Y254:AJ254))</f>
        <v/>
      </c>
      <c r="AL254" s="84" t="str">
        <f aca="false">MID(IF(N(Y254)&gt;0,", "&amp;Y$2,"")&amp;IF(N(Z254)&gt;0,", "&amp;Z$2,"")&amp;IF(N(AA254)&gt;0,", "&amp;AA$2,"")&amp;IF(N(AB254)&gt;0,", "&amp;AB$2,"")&amp;IF(N(AC254)&gt;0,", "&amp;AC$2,"")&amp;IF(N(AD254)&gt;0,", "&amp;AD$2,"")&amp;IF(N(AE254)&gt;0,", "&amp;AE$2,"")&amp;IF(N(AF254)&gt;0,", "&amp;AF$2,"")&amp;IF(N(AG254)&gt;0,", "&amp;AG$2,"")&amp;IF(N(AH254)&gt;0,", "&amp;AH$2,"")&amp;IF(N(AI254)&gt;0,", "&amp;AI$2,"")&amp;IF(N(AJ254)&gt;0,", "&amp;AJ$2,""),3,999)</f>
        <v/>
      </c>
      <c r="AM254" s="87" t="str">
        <f aca="false">IF(E254="","",MID(IF(N(Y254)&gt;0,", "&amp;A254&amp;"-"&amp;Y$2,"")&amp;IF(N(Z254)&gt;0,", "&amp;A254&amp;"-"&amp;Z$2,"")&amp;IF(N(AA254)&gt;0,", "&amp;A254&amp;"-"&amp;AA$2,"")&amp;IF(N(AB254)&gt;0,", "&amp;A254&amp;"-"&amp;AB$2,"")&amp;IF(N(AC254)&gt;0,", "&amp;A254&amp;"-"&amp;AC$2,"")&amp;IF(N(AD254)&gt;0,", "&amp;A254&amp;"-"&amp;AD$2,"")&amp;IF(N(AE254)&gt;0,", "&amp;A254&amp;"-"&amp;AE$2,"")&amp;IF(N(AF254)&gt;0,", "&amp;A254&amp;"-"&amp;AF$2,"")&amp;IF(N(AG254)&gt;0,", "&amp;A254&amp;"-"&amp;AG$2,"")&amp;IF(N(AH254)&gt;0,", "&amp;A254&amp;"-"&amp;AH$2,"")&amp;IF(N(AI254)&gt;0,", "&amp;A254&amp;"-"&amp;AI$2,"")&amp;IF(N(AJ254)&gt;0,", "&amp;A254&amp;"-"&amp;AJ$2,""),3,999))</f>
        <v/>
      </c>
      <c r="AN254" s="81"/>
      <c r="AO254" s="88"/>
      <c r="AP254" s="89" t="str">
        <f aca="false">IF(AO254="","",ROUND(AO254/(1+Справочники!$B$13),2))</f>
        <v/>
      </c>
      <c r="AQ254" s="90" t="str">
        <f aca="false" t="array" ref="AQ254:AQ254">IF(AP254="","",AP254*INDEX(Справочники!$B$4:$B$7,MATCH("RUB",Справочники!$A$4:$A$7,0)))</f>
        <v/>
      </c>
      <c r="AR254" s="90" t="str">
        <f aca="false">IF(AQ254="","",ROUND(AQ254*(1+Справочники!$B$12),0))</f>
        <v/>
      </c>
      <c r="AS254" s="90" t="str">
        <f aca="false">IF(AR254="","",ROUND(AR254*(1-Справочники!$B$11),0))</f>
        <v/>
      </c>
      <c r="AT254" s="88"/>
      <c r="AU254" s="90" t="str">
        <f aca="false">IF(AT254="","",ROUND(AT254/(1+Справочники!$B$12),0))</f>
        <v/>
      </c>
      <c r="AV254" s="90" t="str">
        <f aca="false">IF(AT254="","",ROUND(AT254*(1-Справочники!$B$15),0))</f>
        <v/>
      </c>
      <c r="AW254" s="90" t="str">
        <f aca="false">IF(AT254="","",ROUND(AT254*(1-Справочники!$B$16),0))</f>
        <v/>
      </c>
      <c r="AX254" s="90" t="str">
        <f aca="false">IF(AT254="","",ROUND(AT254*(1-Справочники!$B$17),0))</f>
        <v/>
      </c>
      <c r="AY254" s="90" t="str">
        <f aca="false">IF(AT254="","",ROUND(AT254*(1-Справочники!$B$18),0))</f>
        <v/>
      </c>
      <c r="AZ254" s="90" t="str">
        <f aca="false">IF(AT254="","",ROUND(AT254*(1-Справочники!$B$19),0))</f>
        <v/>
      </c>
      <c r="BA254" s="81"/>
      <c r="BB254" s="81"/>
      <c r="BC254" s="81"/>
      <c r="BD254" s="81"/>
      <c r="BE254" s="91"/>
      <c r="BF254" s="81" t="s">
        <v>103</v>
      </c>
      <c r="BG254" s="89" t="n">
        <f aca="false" t="array" ref="BG254:BG254">IF(BF254="","",IFERROR(INDEX(Справочники!$B$4:$B$7,MATCH(BF254,Справочники!$A$4:$A$7,0)),""))</f>
        <v>68.5</v>
      </c>
      <c r="BH254" s="90" t="str">
        <f aca="false">IF(N(BN254)&gt;0,ROUND(SUMIF(ЗАКАЗЫ!$F$3:$F$500,$A254,ЗАКАЗЫ!$Y$3:$Y$500)/BN254,0),IF(OR(BE254="",BG254=""),"",ROUND(BE254*BG254*(1+Справочники!$B$10),0)))</f>
        <v/>
      </c>
      <c r="BI254" s="92" t="str">
        <f aca="false">IF(OR(AU254="",BH254="",AU254=0),"",(AU254-BH254)/AU254)</f>
        <v/>
      </c>
      <c r="BJ254" s="81"/>
      <c r="BK254" s="83"/>
      <c r="BL254" s="43" t="str">
        <f aca="false">IFERROR(INDEX(ЗАКАЗЫ!$N$3:$N$500,MATCH($A254,ЗАКАЗЫ!$F$3:$F$500,0)),"")</f>
        <v/>
      </c>
      <c r="BM254" s="8" t="str">
        <f aca="false">IF(BL254="","",IFERROR(VLOOKUP(BL254,'ТН ВЭД'!$A$4:$C$40,3,0),""))</f>
        <v/>
      </c>
      <c r="BN254" s="7" t="str">
        <f aca="false">IF(COUNTIF(ЗАКАЗЫ!$F$3:$F$500,$A254)=0,"",SUMIF(ЗАКАЗЫ!$F$3:$F$500,$A254,ЗАКАЗЫ!$J$3:$J$500))</f>
        <v/>
      </c>
      <c r="BO254" s="7" t="str">
        <f aca="false">IF(BN254="","",SUMIF(ЗАКАЗЫ!$F$3:$F$500,$A254,ЗАКАЗЫ!$AL$3:$AL$500))</f>
        <v/>
      </c>
      <c r="BP254" s="7" t="str">
        <f aca="false">IF(BN254="","",BN254-BO254)</f>
        <v/>
      </c>
      <c r="BQ254" s="55" t="str">
        <f aca="false">IF(BN254="","",IF(BO254&gt;=BN254,"На складе",IF(BO254&gt;0,"Частично","Ждём")))</f>
        <v/>
      </c>
      <c r="BR254" s="43"/>
      <c r="BS254" s="47" t="str">
        <f aca="false">IF(BN254="","",IF(_xlfn.MAXIFS(ЗАКАЗЫ!$AK$3:$AK$500,ЗАКАЗЫ!$F$3:$F$500,$A254)=0,"",_xlfn.MAXIFS(ЗАКАЗЫ!$AK$3:$AK$500,ЗАКАЗЫ!$F$3:$F$500,$A254)))</f>
        <v/>
      </c>
    </row>
    <row r="255" customFormat="false" ht="15.75" hidden="false" customHeight="true" outlineLevel="0" collapsed="false">
      <c r="A255" s="80" t="s">
        <v>729</v>
      </c>
      <c r="B255" s="81"/>
      <c r="C255" s="81"/>
      <c r="D255" s="81"/>
      <c r="E255" s="83"/>
      <c r="F255" s="81"/>
      <c r="G255" s="83"/>
      <c r="H255" s="83"/>
      <c r="I255" s="84" t="str">
        <f aca="false">IF(E255="","",A255&amp;"_1.jpg")</f>
        <v/>
      </c>
      <c r="J255" s="84" t="str">
        <f aca="false">IF(E255="","",A255&amp;"_2.jpg; "&amp;A255&amp;"_3.jpg")</f>
        <v/>
      </c>
      <c r="K255" s="84" t="str">
        <f aca="false">IF(E255="","",A255&amp;"_schema.jpg")</f>
        <v/>
      </c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 t="s">
        <v>261</v>
      </c>
      <c r="W255" s="81"/>
      <c r="X255" s="81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6" t="str">
        <f aca="false">IF(SUM(Y255:AJ255)=0,"",SUM(Y255:AJ255))</f>
        <v/>
      </c>
      <c r="AL255" s="84" t="str">
        <f aca="false">MID(IF(N(Y255)&gt;0,", "&amp;Y$2,"")&amp;IF(N(Z255)&gt;0,", "&amp;Z$2,"")&amp;IF(N(AA255)&gt;0,", "&amp;AA$2,"")&amp;IF(N(AB255)&gt;0,", "&amp;AB$2,"")&amp;IF(N(AC255)&gt;0,", "&amp;AC$2,"")&amp;IF(N(AD255)&gt;0,", "&amp;AD$2,"")&amp;IF(N(AE255)&gt;0,", "&amp;AE$2,"")&amp;IF(N(AF255)&gt;0,", "&amp;AF$2,"")&amp;IF(N(AG255)&gt;0,", "&amp;AG$2,"")&amp;IF(N(AH255)&gt;0,", "&amp;AH$2,"")&amp;IF(N(AI255)&gt;0,", "&amp;AI$2,"")&amp;IF(N(AJ255)&gt;0,", "&amp;AJ$2,""),3,999)</f>
        <v/>
      </c>
      <c r="AM255" s="87" t="str">
        <f aca="false">IF(E255="","",MID(IF(N(Y255)&gt;0,", "&amp;A255&amp;"-"&amp;Y$2,"")&amp;IF(N(Z255)&gt;0,", "&amp;A255&amp;"-"&amp;Z$2,"")&amp;IF(N(AA255)&gt;0,", "&amp;A255&amp;"-"&amp;AA$2,"")&amp;IF(N(AB255)&gt;0,", "&amp;A255&amp;"-"&amp;AB$2,"")&amp;IF(N(AC255)&gt;0,", "&amp;A255&amp;"-"&amp;AC$2,"")&amp;IF(N(AD255)&gt;0,", "&amp;A255&amp;"-"&amp;AD$2,"")&amp;IF(N(AE255)&gt;0,", "&amp;A255&amp;"-"&amp;AE$2,"")&amp;IF(N(AF255)&gt;0,", "&amp;A255&amp;"-"&amp;AF$2,"")&amp;IF(N(AG255)&gt;0,", "&amp;A255&amp;"-"&amp;AG$2,"")&amp;IF(N(AH255)&gt;0,", "&amp;A255&amp;"-"&amp;AH$2,"")&amp;IF(N(AI255)&gt;0,", "&amp;A255&amp;"-"&amp;AI$2,"")&amp;IF(N(AJ255)&gt;0,", "&amp;A255&amp;"-"&amp;AJ$2,""),3,999))</f>
        <v/>
      </c>
      <c r="AN255" s="81"/>
      <c r="AO255" s="88"/>
      <c r="AP255" s="89" t="str">
        <f aca="false">IF(AO255="","",ROUND(AO255/(1+Справочники!$B$13),2))</f>
        <v/>
      </c>
      <c r="AQ255" s="90" t="str">
        <f aca="false" t="array" ref="AQ255:AQ255">IF(AP255="","",AP255*INDEX(Справочники!$B$4:$B$7,MATCH("RUB",Справочники!$A$4:$A$7,0)))</f>
        <v/>
      </c>
      <c r="AR255" s="90" t="str">
        <f aca="false">IF(AQ255="","",ROUND(AQ255*(1+Справочники!$B$12),0))</f>
        <v/>
      </c>
      <c r="AS255" s="90" t="str">
        <f aca="false">IF(AR255="","",ROUND(AR255*(1-Справочники!$B$11),0))</f>
        <v/>
      </c>
      <c r="AT255" s="88"/>
      <c r="AU255" s="90" t="str">
        <f aca="false">IF(AT255="","",ROUND(AT255/(1+Справочники!$B$12),0))</f>
        <v/>
      </c>
      <c r="AV255" s="90" t="str">
        <f aca="false">IF(AT255="","",ROUND(AT255*(1-Справочники!$B$15),0))</f>
        <v/>
      </c>
      <c r="AW255" s="90" t="str">
        <f aca="false">IF(AT255="","",ROUND(AT255*(1-Справочники!$B$16),0))</f>
        <v/>
      </c>
      <c r="AX255" s="90" t="str">
        <f aca="false">IF(AT255="","",ROUND(AT255*(1-Справочники!$B$17),0))</f>
        <v/>
      </c>
      <c r="AY255" s="90" t="str">
        <f aca="false">IF(AT255="","",ROUND(AT255*(1-Справочники!$B$18),0))</f>
        <v/>
      </c>
      <c r="AZ255" s="90" t="str">
        <f aca="false">IF(AT255="","",ROUND(AT255*(1-Справочники!$B$19),0))</f>
        <v/>
      </c>
      <c r="BA255" s="81"/>
      <c r="BB255" s="81"/>
      <c r="BC255" s="81"/>
      <c r="BD255" s="81"/>
      <c r="BE255" s="91"/>
      <c r="BF255" s="81" t="s">
        <v>103</v>
      </c>
      <c r="BG255" s="89" t="n">
        <f aca="false" t="array" ref="BG255:BG255">IF(BF255="","",IFERROR(INDEX(Справочники!$B$4:$B$7,MATCH(BF255,Справочники!$A$4:$A$7,0)),""))</f>
        <v>68.5</v>
      </c>
      <c r="BH255" s="90" t="str">
        <f aca="false">IF(N(BN255)&gt;0,ROUND(SUMIF(ЗАКАЗЫ!$F$3:$F$500,$A255,ЗАКАЗЫ!$Y$3:$Y$500)/BN255,0),IF(OR(BE255="",BG255=""),"",ROUND(BE255*BG255*(1+Справочники!$B$10),0)))</f>
        <v/>
      </c>
      <c r="BI255" s="92" t="str">
        <f aca="false">IF(OR(AU255="",BH255="",AU255=0),"",(AU255-BH255)/AU255)</f>
        <v/>
      </c>
      <c r="BJ255" s="81"/>
      <c r="BK255" s="83"/>
      <c r="BL255" s="43" t="str">
        <f aca="false">IFERROR(INDEX(ЗАКАЗЫ!$N$3:$N$500,MATCH($A255,ЗАКАЗЫ!$F$3:$F$500,0)),"")</f>
        <v/>
      </c>
      <c r="BM255" s="8" t="str">
        <f aca="false">IF(BL255="","",IFERROR(VLOOKUP(BL255,'ТН ВЭД'!$A$4:$C$40,3,0),""))</f>
        <v/>
      </c>
      <c r="BN255" s="7" t="str">
        <f aca="false">IF(COUNTIF(ЗАКАЗЫ!$F$3:$F$500,$A255)=0,"",SUMIF(ЗАКАЗЫ!$F$3:$F$500,$A255,ЗАКАЗЫ!$J$3:$J$500))</f>
        <v/>
      </c>
      <c r="BO255" s="7" t="str">
        <f aca="false">IF(BN255="","",SUMIF(ЗАКАЗЫ!$F$3:$F$500,$A255,ЗАКАЗЫ!$AL$3:$AL$500))</f>
        <v/>
      </c>
      <c r="BP255" s="7" t="str">
        <f aca="false">IF(BN255="","",BN255-BO255)</f>
        <v/>
      </c>
      <c r="BQ255" s="55" t="str">
        <f aca="false">IF(BN255="","",IF(BO255&gt;=BN255,"На складе",IF(BO255&gt;0,"Частично","Ждём")))</f>
        <v/>
      </c>
      <c r="BR255" s="43"/>
      <c r="BS255" s="47" t="str">
        <f aca="false">IF(BN255="","",IF(_xlfn.MAXIFS(ЗАКАЗЫ!$AK$3:$AK$500,ЗАКАЗЫ!$F$3:$F$500,$A255)=0,"",_xlfn.MAXIFS(ЗАКАЗЫ!$AK$3:$AK$500,ЗАКАЗЫ!$F$3:$F$500,$A255)))</f>
        <v/>
      </c>
    </row>
    <row r="256" customFormat="false" ht="15.75" hidden="false" customHeight="true" outlineLevel="0" collapsed="false">
      <c r="A256" s="80" t="s">
        <v>730</v>
      </c>
      <c r="B256" s="81"/>
      <c r="C256" s="81"/>
      <c r="D256" s="81"/>
      <c r="E256" s="83"/>
      <c r="F256" s="81"/>
      <c r="G256" s="83"/>
      <c r="H256" s="83"/>
      <c r="I256" s="84" t="str">
        <f aca="false">IF(E256="","",A256&amp;"_1.jpg")</f>
        <v/>
      </c>
      <c r="J256" s="84" t="str">
        <f aca="false">IF(E256="","",A256&amp;"_2.jpg; "&amp;A256&amp;"_3.jpg")</f>
        <v/>
      </c>
      <c r="K256" s="84" t="str">
        <f aca="false">IF(E256="","",A256&amp;"_schema.jpg")</f>
        <v/>
      </c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 t="s">
        <v>261</v>
      </c>
      <c r="W256" s="81"/>
      <c r="X256" s="81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6" t="str">
        <f aca="false">IF(SUM(Y256:AJ256)=0,"",SUM(Y256:AJ256))</f>
        <v/>
      </c>
      <c r="AL256" s="84" t="str">
        <f aca="false">MID(IF(N(Y256)&gt;0,", "&amp;Y$2,"")&amp;IF(N(Z256)&gt;0,", "&amp;Z$2,"")&amp;IF(N(AA256)&gt;0,", "&amp;AA$2,"")&amp;IF(N(AB256)&gt;0,", "&amp;AB$2,"")&amp;IF(N(AC256)&gt;0,", "&amp;AC$2,"")&amp;IF(N(AD256)&gt;0,", "&amp;AD$2,"")&amp;IF(N(AE256)&gt;0,", "&amp;AE$2,"")&amp;IF(N(AF256)&gt;0,", "&amp;AF$2,"")&amp;IF(N(AG256)&gt;0,", "&amp;AG$2,"")&amp;IF(N(AH256)&gt;0,", "&amp;AH$2,"")&amp;IF(N(AI256)&gt;0,", "&amp;AI$2,"")&amp;IF(N(AJ256)&gt;0,", "&amp;AJ$2,""),3,999)</f>
        <v/>
      </c>
      <c r="AM256" s="87" t="str">
        <f aca="false">IF(E256="","",MID(IF(N(Y256)&gt;0,", "&amp;A256&amp;"-"&amp;Y$2,"")&amp;IF(N(Z256)&gt;0,", "&amp;A256&amp;"-"&amp;Z$2,"")&amp;IF(N(AA256)&gt;0,", "&amp;A256&amp;"-"&amp;AA$2,"")&amp;IF(N(AB256)&gt;0,", "&amp;A256&amp;"-"&amp;AB$2,"")&amp;IF(N(AC256)&gt;0,", "&amp;A256&amp;"-"&amp;AC$2,"")&amp;IF(N(AD256)&gt;0,", "&amp;A256&amp;"-"&amp;AD$2,"")&amp;IF(N(AE256)&gt;0,", "&amp;A256&amp;"-"&amp;AE$2,"")&amp;IF(N(AF256)&gt;0,", "&amp;A256&amp;"-"&amp;AF$2,"")&amp;IF(N(AG256)&gt;0,", "&amp;A256&amp;"-"&amp;AG$2,"")&amp;IF(N(AH256)&gt;0,", "&amp;A256&amp;"-"&amp;AH$2,"")&amp;IF(N(AI256)&gt;0,", "&amp;A256&amp;"-"&amp;AI$2,"")&amp;IF(N(AJ256)&gt;0,", "&amp;A256&amp;"-"&amp;AJ$2,""),3,999))</f>
        <v/>
      </c>
      <c r="AN256" s="81"/>
      <c r="AO256" s="88"/>
      <c r="AP256" s="89" t="str">
        <f aca="false">IF(AO256="","",ROUND(AO256/(1+Справочники!$B$13),2))</f>
        <v/>
      </c>
      <c r="AQ256" s="90" t="str">
        <f aca="false" t="array" ref="AQ256:AQ256">IF(AP256="","",AP256*INDEX(Справочники!$B$4:$B$7,MATCH("RUB",Справочники!$A$4:$A$7,0)))</f>
        <v/>
      </c>
      <c r="AR256" s="90" t="str">
        <f aca="false">IF(AQ256="","",ROUND(AQ256*(1+Справочники!$B$12),0))</f>
        <v/>
      </c>
      <c r="AS256" s="90" t="str">
        <f aca="false">IF(AR256="","",ROUND(AR256*(1-Справочники!$B$11),0))</f>
        <v/>
      </c>
      <c r="AT256" s="88"/>
      <c r="AU256" s="90" t="str">
        <f aca="false">IF(AT256="","",ROUND(AT256/(1+Справочники!$B$12),0))</f>
        <v/>
      </c>
      <c r="AV256" s="90" t="str">
        <f aca="false">IF(AT256="","",ROUND(AT256*(1-Справочники!$B$15),0))</f>
        <v/>
      </c>
      <c r="AW256" s="90" t="str">
        <f aca="false">IF(AT256="","",ROUND(AT256*(1-Справочники!$B$16),0))</f>
        <v/>
      </c>
      <c r="AX256" s="90" t="str">
        <f aca="false">IF(AT256="","",ROUND(AT256*(1-Справочники!$B$17),0))</f>
        <v/>
      </c>
      <c r="AY256" s="90" t="str">
        <f aca="false">IF(AT256="","",ROUND(AT256*(1-Справочники!$B$18),0))</f>
        <v/>
      </c>
      <c r="AZ256" s="90" t="str">
        <f aca="false">IF(AT256="","",ROUND(AT256*(1-Справочники!$B$19),0))</f>
        <v/>
      </c>
      <c r="BA256" s="81"/>
      <c r="BB256" s="81"/>
      <c r="BC256" s="81"/>
      <c r="BD256" s="81"/>
      <c r="BE256" s="91"/>
      <c r="BF256" s="81" t="s">
        <v>103</v>
      </c>
      <c r="BG256" s="89" t="n">
        <f aca="false" t="array" ref="BG256:BG256">IF(BF256="","",IFERROR(INDEX(Справочники!$B$4:$B$7,MATCH(BF256,Справочники!$A$4:$A$7,0)),""))</f>
        <v>68.5</v>
      </c>
      <c r="BH256" s="90" t="str">
        <f aca="false">IF(N(BN256)&gt;0,ROUND(SUMIF(ЗАКАЗЫ!$F$3:$F$500,$A256,ЗАКАЗЫ!$Y$3:$Y$500)/BN256,0),IF(OR(BE256="",BG256=""),"",ROUND(BE256*BG256*(1+Справочники!$B$10),0)))</f>
        <v/>
      </c>
      <c r="BI256" s="92" t="str">
        <f aca="false">IF(OR(AU256="",BH256="",AU256=0),"",(AU256-BH256)/AU256)</f>
        <v/>
      </c>
      <c r="BJ256" s="81"/>
      <c r="BK256" s="83"/>
      <c r="BL256" s="43" t="str">
        <f aca="false">IFERROR(INDEX(ЗАКАЗЫ!$N$3:$N$500,MATCH($A256,ЗАКАЗЫ!$F$3:$F$500,0)),"")</f>
        <v/>
      </c>
      <c r="BM256" s="8" t="str">
        <f aca="false">IF(BL256="","",IFERROR(VLOOKUP(BL256,'ТН ВЭД'!$A$4:$C$40,3,0),""))</f>
        <v/>
      </c>
      <c r="BN256" s="7" t="str">
        <f aca="false">IF(COUNTIF(ЗАКАЗЫ!$F$3:$F$500,$A256)=0,"",SUMIF(ЗАКАЗЫ!$F$3:$F$500,$A256,ЗАКАЗЫ!$J$3:$J$500))</f>
        <v/>
      </c>
      <c r="BO256" s="7" t="str">
        <f aca="false">IF(BN256="","",SUMIF(ЗАКАЗЫ!$F$3:$F$500,$A256,ЗАКАЗЫ!$AL$3:$AL$500))</f>
        <v/>
      </c>
      <c r="BP256" s="7" t="str">
        <f aca="false">IF(BN256="","",BN256-BO256)</f>
        <v/>
      </c>
      <c r="BQ256" s="55" t="str">
        <f aca="false">IF(BN256="","",IF(BO256&gt;=BN256,"На складе",IF(BO256&gt;0,"Частично","Ждём")))</f>
        <v/>
      </c>
      <c r="BR256" s="43"/>
      <c r="BS256" s="47" t="str">
        <f aca="false">IF(BN256="","",IF(_xlfn.MAXIFS(ЗАКАЗЫ!$AK$3:$AK$500,ЗАКАЗЫ!$F$3:$F$500,$A256)=0,"",_xlfn.MAXIFS(ЗАКАЗЫ!$AK$3:$AK$500,ЗАКАЗЫ!$F$3:$F$500,$A256)))</f>
        <v/>
      </c>
    </row>
    <row r="257" customFormat="false" ht="15.75" hidden="false" customHeight="true" outlineLevel="0" collapsed="false">
      <c r="A257" s="80" t="s">
        <v>731</v>
      </c>
      <c r="B257" s="81"/>
      <c r="C257" s="81"/>
      <c r="D257" s="81"/>
      <c r="E257" s="83"/>
      <c r="F257" s="81"/>
      <c r="G257" s="83"/>
      <c r="H257" s="83"/>
      <c r="I257" s="84" t="str">
        <f aca="false">IF(E257="","",A257&amp;"_1.jpg")</f>
        <v/>
      </c>
      <c r="J257" s="84" t="str">
        <f aca="false">IF(E257="","",A257&amp;"_2.jpg; "&amp;A257&amp;"_3.jpg")</f>
        <v/>
      </c>
      <c r="K257" s="84" t="str">
        <f aca="false">IF(E257="","",A257&amp;"_schema.jpg")</f>
        <v/>
      </c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 t="s">
        <v>261</v>
      </c>
      <c r="W257" s="81"/>
      <c r="X257" s="81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6" t="str">
        <f aca="false">IF(SUM(Y257:AJ257)=0,"",SUM(Y257:AJ257))</f>
        <v/>
      </c>
      <c r="AL257" s="84" t="str">
        <f aca="false">MID(IF(N(Y257)&gt;0,", "&amp;Y$2,"")&amp;IF(N(Z257)&gt;0,", "&amp;Z$2,"")&amp;IF(N(AA257)&gt;0,", "&amp;AA$2,"")&amp;IF(N(AB257)&gt;0,", "&amp;AB$2,"")&amp;IF(N(AC257)&gt;0,", "&amp;AC$2,"")&amp;IF(N(AD257)&gt;0,", "&amp;AD$2,"")&amp;IF(N(AE257)&gt;0,", "&amp;AE$2,"")&amp;IF(N(AF257)&gt;0,", "&amp;AF$2,"")&amp;IF(N(AG257)&gt;0,", "&amp;AG$2,"")&amp;IF(N(AH257)&gt;0,", "&amp;AH$2,"")&amp;IF(N(AI257)&gt;0,", "&amp;AI$2,"")&amp;IF(N(AJ257)&gt;0,", "&amp;AJ$2,""),3,999)</f>
        <v/>
      </c>
      <c r="AM257" s="87" t="str">
        <f aca="false">IF(E257="","",MID(IF(N(Y257)&gt;0,", "&amp;A257&amp;"-"&amp;Y$2,"")&amp;IF(N(Z257)&gt;0,", "&amp;A257&amp;"-"&amp;Z$2,"")&amp;IF(N(AA257)&gt;0,", "&amp;A257&amp;"-"&amp;AA$2,"")&amp;IF(N(AB257)&gt;0,", "&amp;A257&amp;"-"&amp;AB$2,"")&amp;IF(N(AC257)&gt;0,", "&amp;A257&amp;"-"&amp;AC$2,"")&amp;IF(N(AD257)&gt;0,", "&amp;A257&amp;"-"&amp;AD$2,"")&amp;IF(N(AE257)&gt;0,", "&amp;A257&amp;"-"&amp;AE$2,"")&amp;IF(N(AF257)&gt;0,", "&amp;A257&amp;"-"&amp;AF$2,"")&amp;IF(N(AG257)&gt;0,", "&amp;A257&amp;"-"&amp;AG$2,"")&amp;IF(N(AH257)&gt;0,", "&amp;A257&amp;"-"&amp;AH$2,"")&amp;IF(N(AI257)&gt;0,", "&amp;A257&amp;"-"&amp;AI$2,"")&amp;IF(N(AJ257)&gt;0,", "&amp;A257&amp;"-"&amp;AJ$2,""),3,999))</f>
        <v/>
      </c>
      <c r="AN257" s="81"/>
      <c r="AO257" s="88"/>
      <c r="AP257" s="89" t="str">
        <f aca="false">IF(AO257="","",ROUND(AO257/(1+Справочники!$B$13),2))</f>
        <v/>
      </c>
      <c r="AQ257" s="90" t="str">
        <f aca="false" t="array" ref="AQ257:AQ257">IF(AP257="","",AP257*INDEX(Справочники!$B$4:$B$7,MATCH("RUB",Справочники!$A$4:$A$7,0)))</f>
        <v/>
      </c>
      <c r="AR257" s="90" t="str">
        <f aca="false">IF(AQ257="","",ROUND(AQ257*(1+Справочники!$B$12),0))</f>
        <v/>
      </c>
      <c r="AS257" s="90" t="str">
        <f aca="false">IF(AR257="","",ROUND(AR257*(1-Справочники!$B$11),0))</f>
        <v/>
      </c>
      <c r="AT257" s="88"/>
      <c r="AU257" s="90" t="str">
        <f aca="false">IF(AT257="","",ROUND(AT257/(1+Справочники!$B$12),0))</f>
        <v/>
      </c>
      <c r="AV257" s="90" t="str">
        <f aca="false">IF(AT257="","",ROUND(AT257*(1-Справочники!$B$15),0))</f>
        <v/>
      </c>
      <c r="AW257" s="90" t="str">
        <f aca="false">IF(AT257="","",ROUND(AT257*(1-Справочники!$B$16),0))</f>
        <v/>
      </c>
      <c r="AX257" s="90" t="str">
        <f aca="false">IF(AT257="","",ROUND(AT257*(1-Справочники!$B$17),0))</f>
        <v/>
      </c>
      <c r="AY257" s="90" t="str">
        <f aca="false">IF(AT257="","",ROUND(AT257*(1-Справочники!$B$18),0))</f>
        <v/>
      </c>
      <c r="AZ257" s="90" t="str">
        <f aca="false">IF(AT257="","",ROUND(AT257*(1-Справочники!$B$19),0))</f>
        <v/>
      </c>
      <c r="BA257" s="81"/>
      <c r="BB257" s="81"/>
      <c r="BC257" s="81"/>
      <c r="BD257" s="81"/>
      <c r="BE257" s="91"/>
      <c r="BF257" s="81" t="s">
        <v>103</v>
      </c>
      <c r="BG257" s="89" t="n">
        <f aca="false" t="array" ref="BG257:BG257">IF(BF257="","",IFERROR(INDEX(Справочники!$B$4:$B$7,MATCH(BF257,Справочники!$A$4:$A$7,0)),""))</f>
        <v>68.5</v>
      </c>
      <c r="BH257" s="90" t="str">
        <f aca="false">IF(N(BN257)&gt;0,ROUND(SUMIF(ЗАКАЗЫ!$F$3:$F$500,$A257,ЗАКАЗЫ!$Y$3:$Y$500)/BN257,0),IF(OR(BE257="",BG257=""),"",ROUND(BE257*BG257*(1+Справочники!$B$10),0)))</f>
        <v/>
      </c>
      <c r="BI257" s="92" t="str">
        <f aca="false">IF(OR(AU257="",BH257="",AU257=0),"",(AU257-BH257)/AU257)</f>
        <v/>
      </c>
      <c r="BJ257" s="81"/>
      <c r="BK257" s="83"/>
      <c r="BL257" s="43" t="str">
        <f aca="false">IFERROR(INDEX(ЗАКАЗЫ!$N$3:$N$500,MATCH($A257,ЗАКАЗЫ!$F$3:$F$500,0)),"")</f>
        <v/>
      </c>
      <c r="BM257" s="8" t="str">
        <f aca="false">IF(BL257="","",IFERROR(VLOOKUP(BL257,'ТН ВЭД'!$A$4:$C$40,3,0),""))</f>
        <v/>
      </c>
      <c r="BN257" s="7" t="str">
        <f aca="false">IF(COUNTIF(ЗАКАЗЫ!$F$3:$F$500,$A257)=0,"",SUMIF(ЗАКАЗЫ!$F$3:$F$500,$A257,ЗАКАЗЫ!$J$3:$J$500))</f>
        <v/>
      </c>
      <c r="BO257" s="7" t="str">
        <f aca="false">IF(BN257="","",SUMIF(ЗАКАЗЫ!$F$3:$F$500,$A257,ЗАКАЗЫ!$AL$3:$AL$500))</f>
        <v/>
      </c>
      <c r="BP257" s="7" t="str">
        <f aca="false">IF(BN257="","",BN257-BO257)</f>
        <v/>
      </c>
      <c r="BQ257" s="55" t="str">
        <f aca="false">IF(BN257="","",IF(BO257&gt;=BN257,"На складе",IF(BO257&gt;0,"Частично","Ждём")))</f>
        <v/>
      </c>
      <c r="BR257" s="43"/>
      <c r="BS257" s="47" t="str">
        <f aca="false">IF(BN257="","",IF(_xlfn.MAXIFS(ЗАКАЗЫ!$AK$3:$AK$500,ЗАКАЗЫ!$F$3:$F$500,$A257)=0,"",_xlfn.MAXIFS(ЗАКАЗЫ!$AK$3:$AK$500,ЗАКАЗЫ!$F$3:$F$500,$A257)))</f>
        <v/>
      </c>
    </row>
    <row r="258" customFormat="false" ht="15.75" hidden="false" customHeight="true" outlineLevel="0" collapsed="false">
      <c r="A258" s="80" t="s">
        <v>732</v>
      </c>
      <c r="B258" s="81"/>
      <c r="C258" s="81"/>
      <c r="D258" s="81"/>
      <c r="E258" s="83"/>
      <c r="F258" s="81"/>
      <c r="G258" s="83"/>
      <c r="H258" s="83"/>
      <c r="I258" s="84" t="str">
        <f aca="false">IF(E258="","",A258&amp;"_1.jpg")</f>
        <v/>
      </c>
      <c r="J258" s="84" t="str">
        <f aca="false">IF(E258="","",A258&amp;"_2.jpg; "&amp;A258&amp;"_3.jpg")</f>
        <v/>
      </c>
      <c r="K258" s="84" t="str">
        <f aca="false">IF(E258="","",A258&amp;"_schema.jpg")</f>
        <v/>
      </c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 t="s">
        <v>261</v>
      </c>
      <c r="W258" s="81"/>
      <c r="X258" s="81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6" t="str">
        <f aca="false">IF(SUM(Y258:AJ258)=0,"",SUM(Y258:AJ258))</f>
        <v/>
      </c>
      <c r="AL258" s="84" t="str">
        <f aca="false">MID(IF(N(Y258)&gt;0,", "&amp;Y$2,"")&amp;IF(N(Z258)&gt;0,", "&amp;Z$2,"")&amp;IF(N(AA258)&gt;0,", "&amp;AA$2,"")&amp;IF(N(AB258)&gt;0,", "&amp;AB$2,"")&amp;IF(N(AC258)&gt;0,", "&amp;AC$2,"")&amp;IF(N(AD258)&gt;0,", "&amp;AD$2,"")&amp;IF(N(AE258)&gt;0,", "&amp;AE$2,"")&amp;IF(N(AF258)&gt;0,", "&amp;AF$2,"")&amp;IF(N(AG258)&gt;0,", "&amp;AG$2,"")&amp;IF(N(AH258)&gt;0,", "&amp;AH$2,"")&amp;IF(N(AI258)&gt;0,", "&amp;AI$2,"")&amp;IF(N(AJ258)&gt;0,", "&amp;AJ$2,""),3,999)</f>
        <v/>
      </c>
      <c r="AM258" s="87" t="str">
        <f aca="false">IF(E258="","",MID(IF(N(Y258)&gt;0,", "&amp;A258&amp;"-"&amp;Y$2,"")&amp;IF(N(Z258)&gt;0,", "&amp;A258&amp;"-"&amp;Z$2,"")&amp;IF(N(AA258)&gt;0,", "&amp;A258&amp;"-"&amp;AA$2,"")&amp;IF(N(AB258)&gt;0,", "&amp;A258&amp;"-"&amp;AB$2,"")&amp;IF(N(AC258)&gt;0,", "&amp;A258&amp;"-"&amp;AC$2,"")&amp;IF(N(AD258)&gt;0,", "&amp;A258&amp;"-"&amp;AD$2,"")&amp;IF(N(AE258)&gt;0,", "&amp;A258&amp;"-"&amp;AE$2,"")&amp;IF(N(AF258)&gt;0,", "&amp;A258&amp;"-"&amp;AF$2,"")&amp;IF(N(AG258)&gt;0,", "&amp;A258&amp;"-"&amp;AG$2,"")&amp;IF(N(AH258)&gt;0,", "&amp;A258&amp;"-"&amp;AH$2,"")&amp;IF(N(AI258)&gt;0,", "&amp;A258&amp;"-"&amp;AI$2,"")&amp;IF(N(AJ258)&gt;0,", "&amp;A258&amp;"-"&amp;AJ$2,""),3,999))</f>
        <v/>
      </c>
      <c r="AN258" s="81"/>
      <c r="AO258" s="88"/>
      <c r="AP258" s="89" t="str">
        <f aca="false">IF(AO258="","",ROUND(AO258/(1+Справочники!$B$13),2))</f>
        <v/>
      </c>
      <c r="AQ258" s="90" t="str">
        <f aca="false" t="array" ref="AQ258:AQ258">IF(AP258="","",AP258*INDEX(Справочники!$B$4:$B$7,MATCH("RUB",Справочники!$A$4:$A$7,0)))</f>
        <v/>
      </c>
      <c r="AR258" s="90" t="str">
        <f aca="false">IF(AQ258="","",ROUND(AQ258*(1+Справочники!$B$12),0))</f>
        <v/>
      </c>
      <c r="AS258" s="90" t="str">
        <f aca="false">IF(AR258="","",ROUND(AR258*(1-Справочники!$B$11),0))</f>
        <v/>
      </c>
      <c r="AT258" s="88"/>
      <c r="AU258" s="90" t="str">
        <f aca="false">IF(AT258="","",ROUND(AT258/(1+Справочники!$B$12),0))</f>
        <v/>
      </c>
      <c r="AV258" s="90" t="str">
        <f aca="false">IF(AT258="","",ROUND(AT258*(1-Справочники!$B$15),0))</f>
        <v/>
      </c>
      <c r="AW258" s="90" t="str">
        <f aca="false">IF(AT258="","",ROUND(AT258*(1-Справочники!$B$16),0))</f>
        <v/>
      </c>
      <c r="AX258" s="90" t="str">
        <f aca="false">IF(AT258="","",ROUND(AT258*(1-Справочники!$B$17),0))</f>
        <v/>
      </c>
      <c r="AY258" s="90" t="str">
        <f aca="false">IF(AT258="","",ROUND(AT258*(1-Справочники!$B$18),0))</f>
        <v/>
      </c>
      <c r="AZ258" s="90" t="str">
        <f aca="false">IF(AT258="","",ROUND(AT258*(1-Справочники!$B$19),0))</f>
        <v/>
      </c>
      <c r="BA258" s="81"/>
      <c r="BB258" s="81"/>
      <c r="BC258" s="81"/>
      <c r="BD258" s="81"/>
      <c r="BE258" s="91"/>
      <c r="BF258" s="81" t="s">
        <v>103</v>
      </c>
      <c r="BG258" s="89" t="n">
        <f aca="false" t="array" ref="BG258:BG258">IF(BF258="","",IFERROR(INDEX(Справочники!$B$4:$B$7,MATCH(BF258,Справочники!$A$4:$A$7,0)),""))</f>
        <v>68.5</v>
      </c>
      <c r="BH258" s="90" t="str">
        <f aca="false">IF(N(BN258)&gt;0,ROUND(SUMIF(ЗАКАЗЫ!$F$3:$F$500,$A258,ЗАКАЗЫ!$Y$3:$Y$500)/BN258,0),IF(OR(BE258="",BG258=""),"",ROUND(BE258*BG258*(1+Справочники!$B$10),0)))</f>
        <v/>
      </c>
      <c r="BI258" s="92" t="str">
        <f aca="false">IF(OR(AU258="",BH258="",AU258=0),"",(AU258-BH258)/AU258)</f>
        <v/>
      </c>
      <c r="BJ258" s="81"/>
      <c r="BK258" s="83"/>
      <c r="BL258" s="43" t="str">
        <f aca="false">IFERROR(INDEX(ЗАКАЗЫ!$N$3:$N$500,MATCH($A258,ЗАКАЗЫ!$F$3:$F$500,0)),"")</f>
        <v/>
      </c>
      <c r="BM258" s="8" t="str">
        <f aca="false">IF(BL258="","",IFERROR(VLOOKUP(BL258,'ТН ВЭД'!$A$4:$C$40,3,0),""))</f>
        <v/>
      </c>
      <c r="BN258" s="7" t="str">
        <f aca="false">IF(COUNTIF(ЗАКАЗЫ!$F$3:$F$500,$A258)=0,"",SUMIF(ЗАКАЗЫ!$F$3:$F$500,$A258,ЗАКАЗЫ!$J$3:$J$500))</f>
        <v/>
      </c>
      <c r="BO258" s="7" t="str">
        <f aca="false">IF(BN258="","",SUMIF(ЗАКАЗЫ!$F$3:$F$500,$A258,ЗАКАЗЫ!$AL$3:$AL$500))</f>
        <v/>
      </c>
      <c r="BP258" s="7" t="str">
        <f aca="false">IF(BN258="","",BN258-BO258)</f>
        <v/>
      </c>
      <c r="BQ258" s="55" t="str">
        <f aca="false">IF(BN258="","",IF(BO258&gt;=BN258,"На складе",IF(BO258&gt;0,"Частично","Ждём")))</f>
        <v/>
      </c>
      <c r="BR258" s="43"/>
      <c r="BS258" s="47" t="str">
        <f aca="false">IF(BN258="","",IF(_xlfn.MAXIFS(ЗАКАЗЫ!$AK$3:$AK$500,ЗАКАЗЫ!$F$3:$F$500,$A258)=0,"",_xlfn.MAXIFS(ЗАКАЗЫ!$AK$3:$AK$500,ЗАКАЗЫ!$F$3:$F$500,$A258)))</f>
        <v/>
      </c>
    </row>
    <row r="259" customFormat="false" ht="15.75" hidden="false" customHeight="true" outlineLevel="0" collapsed="false">
      <c r="A259" s="80" t="s">
        <v>733</v>
      </c>
      <c r="B259" s="81"/>
      <c r="C259" s="81"/>
      <c r="D259" s="81"/>
      <c r="E259" s="83"/>
      <c r="F259" s="81"/>
      <c r="G259" s="83"/>
      <c r="H259" s="83"/>
      <c r="I259" s="84" t="str">
        <f aca="false">IF(E259="","",A259&amp;"_1.jpg")</f>
        <v/>
      </c>
      <c r="J259" s="84" t="str">
        <f aca="false">IF(E259="","",A259&amp;"_2.jpg; "&amp;A259&amp;"_3.jpg")</f>
        <v/>
      </c>
      <c r="K259" s="84" t="str">
        <f aca="false">IF(E259="","",A259&amp;"_schema.jpg")</f>
        <v/>
      </c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 t="s">
        <v>261</v>
      </c>
      <c r="W259" s="81"/>
      <c r="X259" s="81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6" t="str">
        <f aca="false">IF(SUM(Y259:AJ259)=0,"",SUM(Y259:AJ259))</f>
        <v/>
      </c>
      <c r="AL259" s="84" t="str">
        <f aca="false">MID(IF(N(Y259)&gt;0,", "&amp;Y$2,"")&amp;IF(N(Z259)&gt;0,", "&amp;Z$2,"")&amp;IF(N(AA259)&gt;0,", "&amp;AA$2,"")&amp;IF(N(AB259)&gt;0,", "&amp;AB$2,"")&amp;IF(N(AC259)&gt;0,", "&amp;AC$2,"")&amp;IF(N(AD259)&gt;0,", "&amp;AD$2,"")&amp;IF(N(AE259)&gt;0,", "&amp;AE$2,"")&amp;IF(N(AF259)&gt;0,", "&amp;AF$2,"")&amp;IF(N(AG259)&gt;0,", "&amp;AG$2,"")&amp;IF(N(AH259)&gt;0,", "&amp;AH$2,"")&amp;IF(N(AI259)&gt;0,", "&amp;AI$2,"")&amp;IF(N(AJ259)&gt;0,", "&amp;AJ$2,""),3,999)</f>
        <v/>
      </c>
      <c r="AM259" s="87" t="str">
        <f aca="false">IF(E259="","",MID(IF(N(Y259)&gt;0,", "&amp;A259&amp;"-"&amp;Y$2,"")&amp;IF(N(Z259)&gt;0,", "&amp;A259&amp;"-"&amp;Z$2,"")&amp;IF(N(AA259)&gt;0,", "&amp;A259&amp;"-"&amp;AA$2,"")&amp;IF(N(AB259)&gt;0,", "&amp;A259&amp;"-"&amp;AB$2,"")&amp;IF(N(AC259)&gt;0,", "&amp;A259&amp;"-"&amp;AC$2,"")&amp;IF(N(AD259)&gt;0,", "&amp;A259&amp;"-"&amp;AD$2,"")&amp;IF(N(AE259)&gt;0,", "&amp;A259&amp;"-"&amp;AE$2,"")&amp;IF(N(AF259)&gt;0,", "&amp;A259&amp;"-"&amp;AF$2,"")&amp;IF(N(AG259)&gt;0,", "&amp;A259&amp;"-"&amp;AG$2,"")&amp;IF(N(AH259)&gt;0,", "&amp;A259&amp;"-"&amp;AH$2,"")&amp;IF(N(AI259)&gt;0,", "&amp;A259&amp;"-"&amp;AI$2,"")&amp;IF(N(AJ259)&gt;0,", "&amp;A259&amp;"-"&amp;AJ$2,""),3,999))</f>
        <v/>
      </c>
      <c r="AN259" s="81"/>
      <c r="AO259" s="88"/>
      <c r="AP259" s="89" t="str">
        <f aca="false">IF(AO259="","",ROUND(AO259/(1+Справочники!$B$13),2))</f>
        <v/>
      </c>
      <c r="AQ259" s="90" t="str">
        <f aca="false" t="array" ref="AQ259:AQ259">IF(AP259="","",AP259*INDEX(Справочники!$B$4:$B$7,MATCH("RUB",Справочники!$A$4:$A$7,0)))</f>
        <v/>
      </c>
      <c r="AR259" s="90" t="str">
        <f aca="false">IF(AQ259="","",ROUND(AQ259*(1+Справочники!$B$12),0))</f>
        <v/>
      </c>
      <c r="AS259" s="90" t="str">
        <f aca="false">IF(AR259="","",ROUND(AR259*(1-Справочники!$B$11),0))</f>
        <v/>
      </c>
      <c r="AT259" s="88"/>
      <c r="AU259" s="90" t="str">
        <f aca="false">IF(AT259="","",ROUND(AT259/(1+Справочники!$B$12),0))</f>
        <v/>
      </c>
      <c r="AV259" s="90" t="str">
        <f aca="false">IF(AT259="","",ROUND(AT259*(1-Справочники!$B$15),0))</f>
        <v/>
      </c>
      <c r="AW259" s="90" t="str">
        <f aca="false">IF(AT259="","",ROUND(AT259*(1-Справочники!$B$16),0))</f>
        <v/>
      </c>
      <c r="AX259" s="90" t="str">
        <f aca="false">IF(AT259="","",ROUND(AT259*(1-Справочники!$B$17),0))</f>
        <v/>
      </c>
      <c r="AY259" s="90" t="str">
        <f aca="false">IF(AT259="","",ROUND(AT259*(1-Справочники!$B$18),0))</f>
        <v/>
      </c>
      <c r="AZ259" s="90" t="str">
        <f aca="false">IF(AT259="","",ROUND(AT259*(1-Справочники!$B$19),0))</f>
        <v/>
      </c>
      <c r="BA259" s="81"/>
      <c r="BB259" s="81"/>
      <c r="BC259" s="81"/>
      <c r="BD259" s="81"/>
      <c r="BE259" s="91"/>
      <c r="BF259" s="81" t="s">
        <v>103</v>
      </c>
      <c r="BG259" s="89" t="n">
        <f aca="false" t="array" ref="BG259:BG259">IF(BF259="","",IFERROR(INDEX(Справочники!$B$4:$B$7,MATCH(BF259,Справочники!$A$4:$A$7,0)),""))</f>
        <v>68.5</v>
      </c>
      <c r="BH259" s="90" t="str">
        <f aca="false">IF(N(BN259)&gt;0,ROUND(SUMIF(ЗАКАЗЫ!$F$3:$F$500,$A259,ЗАКАЗЫ!$Y$3:$Y$500)/BN259,0),IF(OR(BE259="",BG259=""),"",ROUND(BE259*BG259*(1+Справочники!$B$10),0)))</f>
        <v/>
      </c>
      <c r="BI259" s="92" t="str">
        <f aca="false">IF(OR(AU259="",BH259="",AU259=0),"",(AU259-BH259)/AU259)</f>
        <v/>
      </c>
      <c r="BJ259" s="81"/>
      <c r="BK259" s="83"/>
      <c r="BL259" s="43" t="str">
        <f aca="false">IFERROR(INDEX(ЗАКАЗЫ!$N$3:$N$500,MATCH($A259,ЗАКАЗЫ!$F$3:$F$500,0)),"")</f>
        <v/>
      </c>
      <c r="BM259" s="8" t="str">
        <f aca="false">IF(BL259="","",IFERROR(VLOOKUP(BL259,'ТН ВЭД'!$A$4:$C$40,3,0),""))</f>
        <v/>
      </c>
      <c r="BN259" s="7" t="str">
        <f aca="false">IF(COUNTIF(ЗАКАЗЫ!$F$3:$F$500,$A259)=0,"",SUMIF(ЗАКАЗЫ!$F$3:$F$500,$A259,ЗАКАЗЫ!$J$3:$J$500))</f>
        <v/>
      </c>
      <c r="BO259" s="7" t="str">
        <f aca="false">IF(BN259="","",SUMIF(ЗАКАЗЫ!$F$3:$F$500,$A259,ЗАКАЗЫ!$AL$3:$AL$500))</f>
        <v/>
      </c>
      <c r="BP259" s="7" t="str">
        <f aca="false">IF(BN259="","",BN259-BO259)</f>
        <v/>
      </c>
      <c r="BQ259" s="55" t="str">
        <f aca="false">IF(BN259="","",IF(BO259&gt;=BN259,"На складе",IF(BO259&gt;0,"Частично","Ждём")))</f>
        <v/>
      </c>
      <c r="BR259" s="43"/>
      <c r="BS259" s="47" t="str">
        <f aca="false">IF(BN259="","",IF(_xlfn.MAXIFS(ЗАКАЗЫ!$AK$3:$AK$500,ЗАКАЗЫ!$F$3:$F$500,$A259)=0,"",_xlfn.MAXIFS(ЗАКАЗЫ!$AK$3:$AK$500,ЗАКАЗЫ!$F$3:$F$500,$A259)))</f>
        <v/>
      </c>
    </row>
    <row r="260" customFormat="false" ht="15.75" hidden="false" customHeight="true" outlineLevel="0" collapsed="false">
      <c r="A260" s="80" t="s">
        <v>734</v>
      </c>
      <c r="B260" s="81"/>
      <c r="C260" s="81"/>
      <c r="D260" s="81"/>
      <c r="E260" s="83"/>
      <c r="F260" s="81"/>
      <c r="G260" s="83"/>
      <c r="H260" s="83"/>
      <c r="I260" s="84" t="str">
        <f aca="false">IF(E260="","",A260&amp;"_1.jpg")</f>
        <v/>
      </c>
      <c r="J260" s="84" t="str">
        <f aca="false">IF(E260="","",A260&amp;"_2.jpg; "&amp;A260&amp;"_3.jpg")</f>
        <v/>
      </c>
      <c r="K260" s="84" t="str">
        <f aca="false">IF(E260="","",A260&amp;"_schema.jpg")</f>
        <v/>
      </c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 t="s">
        <v>261</v>
      </c>
      <c r="W260" s="81"/>
      <c r="X260" s="81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6" t="str">
        <f aca="false">IF(SUM(Y260:AJ260)=0,"",SUM(Y260:AJ260))</f>
        <v/>
      </c>
      <c r="AL260" s="84" t="str">
        <f aca="false">MID(IF(N(Y260)&gt;0,", "&amp;Y$2,"")&amp;IF(N(Z260)&gt;0,", "&amp;Z$2,"")&amp;IF(N(AA260)&gt;0,", "&amp;AA$2,"")&amp;IF(N(AB260)&gt;0,", "&amp;AB$2,"")&amp;IF(N(AC260)&gt;0,", "&amp;AC$2,"")&amp;IF(N(AD260)&gt;0,", "&amp;AD$2,"")&amp;IF(N(AE260)&gt;0,", "&amp;AE$2,"")&amp;IF(N(AF260)&gt;0,", "&amp;AF$2,"")&amp;IF(N(AG260)&gt;0,", "&amp;AG$2,"")&amp;IF(N(AH260)&gt;0,", "&amp;AH$2,"")&amp;IF(N(AI260)&gt;0,", "&amp;AI$2,"")&amp;IF(N(AJ260)&gt;0,", "&amp;AJ$2,""),3,999)</f>
        <v/>
      </c>
      <c r="AM260" s="87" t="str">
        <f aca="false">IF(E260="","",MID(IF(N(Y260)&gt;0,", "&amp;A260&amp;"-"&amp;Y$2,"")&amp;IF(N(Z260)&gt;0,", "&amp;A260&amp;"-"&amp;Z$2,"")&amp;IF(N(AA260)&gt;0,", "&amp;A260&amp;"-"&amp;AA$2,"")&amp;IF(N(AB260)&gt;0,", "&amp;A260&amp;"-"&amp;AB$2,"")&amp;IF(N(AC260)&gt;0,", "&amp;A260&amp;"-"&amp;AC$2,"")&amp;IF(N(AD260)&gt;0,", "&amp;A260&amp;"-"&amp;AD$2,"")&amp;IF(N(AE260)&gt;0,", "&amp;A260&amp;"-"&amp;AE$2,"")&amp;IF(N(AF260)&gt;0,", "&amp;A260&amp;"-"&amp;AF$2,"")&amp;IF(N(AG260)&gt;0,", "&amp;A260&amp;"-"&amp;AG$2,"")&amp;IF(N(AH260)&gt;0,", "&amp;A260&amp;"-"&amp;AH$2,"")&amp;IF(N(AI260)&gt;0,", "&amp;A260&amp;"-"&amp;AI$2,"")&amp;IF(N(AJ260)&gt;0,", "&amp;A260&amp;"-"&amp;AJ$2,""),3,999))</f>
        <v/>
      </c>
      <c r="AN260" s="81"/>
      <c r="AO260" s="88"/>
      <c r="AP260" s="89" t="str">
        <f aca="false">IF(AO260="","",ROUND(AO260/(1+Справочники!$B$13),2))</f>
        <v/>
      </c>
      <c r="AQ260" s="90" t="str">
        <f aca="false" t="array" ref="AQ260:AQ260">IF(AP260="","",AP260*INDEX(Справочники!$B$4:$B$7,MATCH("RUB",Справочники!$A$4:$A$7,0)))</f>
        <v/>
      </c>
      <c r="AR260" s="90" t="str">
        <f aca="false">IF(AQ260="","",ROUND(AQ260*(1+Справочники!$B$12),0))</f>
        <v/>
      </c>
      <c r="AS260" s="90" t="str">
        <f aca="false">IF(AR260="","",ROUND(AR260*(1-Справочники!$B$11),0))</f>
        <v/>
      </c>
      <c r="AT260" s="88"/>
      <c r="AU260" s="90" t="str">
        <f aca="false">IF(AT260="","",ROUND(AT260/(1+Справочники!$B$12),0))</f>
        <v/>
      </c>
      <c r="AV260" s="90" t="str">
        <f aca="false">IF(AT260="","",ROUND(AT260*(1-Справочники!$B$15),0))</f>
        <v/>
      </c>
      <c r="AW260" s="90" t="str">
        <f aca="false">IF(AT260="","",ROUND(AT260*(1-Справочники!$B$16),0))</f>
        <v/>
      </c>
      <c r="AX260" s="90" t="str">
        <f aca="false">IF(AT260="","",ROUND(AT260*(1-Справочники!$B$17),0))</f>
        <v/>
      </c>
      <c r="AY260" s="90" t="str">
        <f aca="false">IF(AT260="","",ROUND(AT260*(1-Справочники!$B$18),0))</f>
        <v/>
      </c>
      <c r="AZ260" s="90" t="str">
        <f aca="false">IF(AT260="","",ROUND(AT260*(1-Справочники!$B$19),0))</f>
        <v/>
      </c>
      <c r="BA260" s="81"/>
      <c r="BB260" s="81"/>
      <c r="BC260" s="81"/>
      <c r="BD260" s="81"/>
      <c r="BE260" s="91"/>
      <c r="BF260" s="81" t="s">
        <v>103</v>
      </c>
      <c r="BG260" s="89" t="n">
        <f aca="false" t="array" ref="BG260:BG260">IF(BF260="","",IFERROR(INDEX(Справочники!$B$4:$B$7,MATCH(BF260,Справочники!$A$4:$A$7,0)),""))</f>
        <v>68.5</v>
      </c>
      <c r="BH260" s="90" t="str">
        <f aca="false">IF(N(BN260)&gt;0,ROUND(SUMIF(ЗАКАЗЫ!$F$3:$F$500,$A260,ЗАКАЗЫ!$Y$3:$Y$500)/BN260,0),IF(OR(BE260="",BG260=""),"",ROUND(BE260*BG260*(1+Справочники!$B$10),0)))</f>
        <v/>
      </c>
      <c r="BI260" s="92" t="str">
        <f aca="false">IF(OR(AU260="",BH260="",AU260=0),"",(AU260-BH260)/AU260)</f>
        <v/>
      </c>
      <c r="BJ260" s="81"/>
      <c r="BK260" s="83"/>
      <c r="BL260" s="43" t="str">
        <f aca="false">IFERROR(INDEX(ЗАКАЗЫ!$N$3:$N$500,MATCH($A260,ЗАКАЗЫ!$F$3:$F$500,0)),"")</f>
        <v/>
      </c>
      <c r="BM260" s="8" t="str">
        <f aca="false">IF(BL260="","",IFERROR(VLOOKUP(BL260,'ТН ВЭД'!$A$4:$C$40,3,0),""))</f>
        <v/>
      </c>
      <c r="BN260" s="7" t="str">
        <f aca="false">IF(COUNTIF(ЗАКАЗЫ!$F$3:$F$500,$A260)=0,"",SUMIF(ЗАКАЗЫ!$F$3:$F$500,$A260,ЗАКАЗЫ!$J$3:$J$500))</f>
        <v/>
      </c>
      <c r="BO260" s="7" t="str">
        <f aca="false">IF(BN260="","",SUMIF(ЗАКАЗЫ!$F$3:$F$500,$A260,ЗАКАЗЫ!$AL$3:$AL$500))</f>
        <v/>
      </c>
      <c r="BP260" s="7" t="str">
        <f aca="false">IF(BN260="","",BN260-BO260)</f>
        <v/>
      </c>
      <c r="BQ260" s="55" t="str">
        <f aca="false">IF(BN260="","",IF(BO260&gt;=BN260,"На складе",IF(BO260&gt;0,"Частично","Ждём")))</f>
        <v/>
      </c>
      <c r="BR260" s="43"/>
      <c r="BS260" s="47" t="str">
        <f aca="false">IF(BN260="","",IF(_xlfn.MAXIFS(ЗАКАЗЫ!$AK$3:$AK$500,ЗАКАЗЫ!$F$3:$F$500,$A260)=0,"",_xlfn.MAXIFS(ЗАКАЗЫ!$AK$3:$AK$500,ЗАКАЗЫ!$F$3:$F$500,$A260)))</f>
        <v/>
      </c>
    </row>
    <row r="261" customFormat="false" ht="15.75" hidden="false" customHeight="true" outlineLevel="0" collapsed="false">
      <c r="A261" s="80" t="s">
        <v>735</v>
      </c>
      <c r="B261" s="81"/>
      <c r="C261" s="81"/>
      <c r="D261" s="81"/>
      <c r="E261" s="83"/>
      <c r="F261" s="81"/>
      <c r="G261" s="83"/>
      <c r="H261" s="83"/>
      <c r="I261" s="84" t="str">
        <f aca="false">IF(E261="","",A261&amp;"_1.jpg")</f>
        <v/>
      </c>
      <c r="J261" s="84" t="str">
        <f aca="false">IF(E261="","",A261&amp;"_2.jpg; "&amp;A261&amp;"_3.jpg")</f>
        <v/>
      </c>
      <c r="K261" s="84" t="str">
        <f aca="false">IF(E261="","",A261&amp;"_schema.jpg")</f>
        <v/>
      </c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 t="s">
        <v>261</v>
      </c>
      <c r="W261" s="81"/>
      <c r="X261" s="81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6" t="str">
        <f aca="false">IF(SUM(Y261:AJ261)=0,"",SUM(Y261:AJ261))</f>
        <v/>
      </c>
      <c r="AL261" s="84" t="str">
        <f aca="false">MID(IF(N(Y261)&gt;0,", "&amp;Y$2,"")&amp;IF(N(Z261)&gt;0,", "&amp;Z$2,"")&amp;IF(N(AA261)&gt;0,", "&amp;AA$2,"")&amp;IF(N(AB261)&gt;0,", "&amp;AB$2,"")&amp;IF(N(AC261)&gt;0,", "&amp;AC$2,"")&amp;IF(N(AD261)&gt;0,", "&amp;AD$2,"")&amp;IF(N(AE261)&gt;0,", "&amp;AE$2,"")&amp;IF(N(AF261)&gt;0,", "&amp;AF$2,"")&amp;IF(N(AG261)&gt;0,", "&amp;AG$2,"")&amp;IF(N(AH261)&gt;0,", "&amp;AH$2,"")&amp;IF(N(AI261)&gt;0,", "&amp;AI$2,"")&amp;IF(N(AJ261)&gt;0,", "&amp;AJ$2,""),3,999)</f>
        <v/>
      </c>
      <c r="AM261" s="87" t="str">
        <f aca="false">IF(E261="","",MID(IF(N(Y261)&gt;0,", "&amp;A261&amp;"-"&amp;Y$2,"")&amp;IF(N(Z261)&gt;0,", "&amp;A261&amp;"-"&amp;Z$2,"")&amp;IF(N(AA261)&gt;0,", "&amp;A261&amp;"-"&amp;AA$2,"")&amp;IF(N(AB261)&gt;0,", "&amp;A261&amp;"-"&amp;AB$2,"")&amp;IF(N(AC261)&gt;0,", "&amp;A261&amp;"-"&amp;AC$2,"")&amp;IF(N(AD261)&gt;0,", "&amp;A261&amp;"-"&amp;AD$2,"")&amp;IF(N(AE261)&gt;0,", "&amp;A261&amp;"-"&amp;AE$2,"")&amp;IF(N(AF261)&gt;0,", "&amp;A261&amp;"-"&amp;AF$2,"")&amp;IF(N(AG261)&gt;0,", "&amp;A261&amp;"-"&amp;AG$2,"")&amp;IF(N(AH261)&gt;0,", "&amp;A261&amp;"-"&amp;AH$2,"")&amp;IF(N(AI261)&gt;0,", "&amp;A261&amp;"-"&amp;AI$2,"")&amp;IF(N(AJ261)&gt;0,", "&amp;A261&amp;"-"&amp;AJ$2,""),3,999))</f>
        <v/>
      </c>
      <c r="AN261" s="81"/>
      <c r="AO261" s="88"/>
      <c r="AP261" s="89" t="str">
        <f aca="false">IF(AO261="","",ROUND(AO261/(1+Справочники!$B$13),2))</f>
        <v/>
      </c>
      <c r="AQ261" s="90" t="str">
        <f aca="false" t="array" ref="AQ261:AQ261">IF(AP261="","",AP261*INDEX(Справочники!$B$4:$B$7,MATCH("RUB",Справочники!$A$4:$A$7,0)))</f>
        <v/>
      </c>
      <c r="AR261" s="90" t="str">
        <f aca="false">IF(AQ261="","",ROUND(AQ261*(1+Справочники!$B$12),0))</f>
        <v/>
      </c>
      <c r="AS261" s="90" t="str">
        <f aca="false">IF(AR261="","",ROUND(AR261*(1-Справочники!$B$11),0))</f>
        <v/>
      </c>
      <c r="AT261" s="88"/>
      <c r="AU261" s="90" t="str">
        <f aca="false">IF(AT261="","",ROUND(AT261/(1+Справочники!$B$12),0))</f>
        <v/>
      </c>
      <c r="AV261" s="90" t="str">
        <f aca="false">IF(AT261="","",ROUND(AT261*(1-Справочники!$B$15),0))</f>
        <v/>
      </c>
      <c r="AW261" s="90" t="str">
        <f aca="false">IF(AT261="","",ROUND(AT261*(1-Справочники!$B$16),0))</f>
        <v/>
      </c>
      <c r="AX261" s="90" t="str">
        <f aca="false">IF(AT261="","",ROUND(AT261*(1-Справочники!$B$17),0))</f>
        <v/>
      </c>
      <c r="AY261" s="90" t="str">
        <f aca="false">IF(AT261="","",ROUND(AT261*(1-Справочники!$B$18),0))</f>
        <v/>
      </c>
      <c r="AZ261" s="90" t="str">
        <f aca="false">IF(AT261="","",ROUND(AT261*(1-Справочники!$B$19),0))</f>
        <v/>
      </c>
      <c r="BA261" s="81"/>
      <c r="BB261" s="81"/>
      <c r="BC261" s="81"/>
      <c r="BD261" s="81"/>
      <c r="BE261" s="91"/>
      <c r="BF261" s="81" t="s">
        <v>103</v>
      </c>
      <c r="BG261" s="89" t="n">
        <f aca="false" t="array" ref="BG261:BG261">IF(BF261="","",IFERROR(INDEX(Справочники!$B$4:$B$7,MATCH(BF261,Справочники!$A$4:$A$7,0)),""))</f>
        <v>68.5</v>
      </c>
      <c r="BH261" s="90" t="str">
        <f aca="false">IF(N(BN261)&gt;0,ROUND(SUMIF(ЗАКАЗЫ!$F$3:$F$500,$A261,ЗАКАЗЫ!$Y$3:$Y$500)/BN261,0),IF(OR(BE261="",BG261=""),"",ROUND(BE261*BG261*(1+Справочники!$B$10),0)))</f>
        <v/>
      </c>
      <c r="BI261" s="92" t="str">
        <f aca="false">IF(OR(AU261="",BH261="",AU261=0),"",(AU261-BH261)/AU261)</f>
        <v/>
      </c>
      <c r="BJ261" s="81"/>
      <c r="BK261" s="83"/>
      <c r="BL261" s="43" t="str">
        <f aca="false">IFERROR(INDEX(ЗАКАЗЫ!$N$3:$N$500,MATCH($A261,ЗАКАЗЫ!$F$3:$F$500,0)),"")</f>
        <v/>
      </c>
      <c r="BM261" s="8" t="str">
        <f aca="false">IF(BL261="","",IFERROR(VLOOKUP(BL261,'ТН ВЭД'!$A$4:$C$40,3,0),""))</f>
        <v/>
      </c>
      <c r="BN261" s="7" t="str">
        <f aca="false">IF(COUNTIF(ЗАКАЗЫ!$F$3:$F$500,$A261)=0,"",SUMIF(ЗАКАЗЫ!$F$3:$F$500,$A261,ЗАКАЗЫ!$J$3:$J$500))</f>
        <v/>
      </c>
      <c r="BO261" s="7" t="str">
        <f aca="false">IF(BN261="","",SUMIF(ЗАКАЗЫ!$F$3:$F$500,$A261,ЗАКАЗЫ!$AL$3:$AL$500))</f>
        <v/>
      </c>
      <c r="BP261" s="7" t="str">
        <f aca="false">IF(BN261="","",BN261-BO261)</f>
        <v/>
      </c>
      <c r="BQ261" s="55" t="str">
        <f aca="false">IF(BN261="","",IF(BO261&gt;=BN261,"На складе",IF(BO261&gt;0,"Частично","Ждём")))</f>
        <v/>
      </c>
      <c r="BR261" s="43"/>
      <c r="BS261" s="47" t="str">
        <f aca="false">IF(BN261="","",IF(_xlfn.MAXIFS(ЗАКАЗЫ!$AK$3:$AK$500,ЗАКАЗЫ!$F$3:$F$500,$A261)=0,"",_xlfn.MAXIFS(ЗАКАЗЫ!$AK$3:$AK$500,ЗАКАЗЫ!$F$3:$F$500,$A261)))</f>
        <v/>
      </c>
    </row>
    <row r="262" customFormat="false" ht="15.75" hidden="false" customHeight="true" outlineLevel="0" collapsed="false">
      <c r="A262" s="80" t="s">
        <v>736</v>
      </c>
      <c r="B262" s="81"/>
      <c r="C262" s="81"/>
      <c r="D262" s="81"/>
      <c r="E262" s="83"/>
      <c r="F262" s="81"/>
      <c r="G262" s="83"/>
      <c r="H262" s="83"/>
      <c r="I262" s="84" t="str">
        <f aca="false">IF(E262="","",A262&amp;"_1.jpg")</f>
        <v/>
      </c>
      <c r="J262" s="84" t="str">
        <f aca="false">IF(E262="","",A262&amp;"_2.jpg; "&amp;A262&amp;"_3.jpg")</f>
        <v/>
      </c>
      <c r="K262" s="84" t="str">
        <f aca="false">IF(E262="","",A262&amp;"_schema.jpg")</f>
        <v/>
      </c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 t="s">
        <v>261</v>
      </c>
      <c r="W262" s="81"/>
      <c r="X262" s="81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6" t="str">
        <f aca="false">IF(SUM(Y262:AJ262)=0,"",SUM(Y262:AJ262))</f>
        <v/>
      </c>
      <c r="AL262" s="84" t="str">
        <f aca="false">MID(IF(N(Y262)&gt;0,", "&amp;Y$2,"")&amp;IF(N(Z262)&gt;0,", "&amp;Z$2,"")&amp;IF(N(AA262)&gt;0,", "&amp;AA$2,"")&amp;IF(N(AB262)&gt;0,", "&amp;AB$2,"")&amp;IF(N(AC262)&gt;0,", "&amp;AC$2,"")&amp;IF(N(AD262)&gt;0,", "&amp;AD$2,"")&amp;IF(N(AE262)&gt;0,", "&amp;AE$2,"")&amp;IF(N(AF262)&gt;0,", "&amp;AF$2,"")&amp;IF(N(AG262)&gt;0,", "&amp;AG$2,"")&amp;IF(N(AH262)&gt;0,", "&amp;AH$2,"")&amp;IF(N(AI262)&gt;0,", "&amp;AI$2,"")&amp;IF(N(AJ262)&gt;0,", "&amp;AJ$2,""),3,999)</f>
        <v/>
      </c>
      <c r="AM262" s="87" t="str">
        <f aca="false">IF(E262="","",MID(IF(N(Y262)&gt;0,", "&amp;A262&amp;"-"&amp;Y$2,"")&amp;IF(N(Z262)&gt;0,", "&amp;A262&amp;"-"&amp;Z$2,"")&amp;IF(N(AA262)&gt;0,", "&amp;A262&amp;"-"&amp;AA$2,"")&amp;IF(N(AB262)&gt;0,", "&amp;A262&amp;"-"&amp;AB$2,"")&amp;IF(N(AC262)&gt;0,", "&amp;A262&amp;"-"&amp;AC$2,"")&amp;IF(N(AD262)&gt;0,", "&amp;A262&amp;"-"&amp;AD$2,"")&amp;IF(N(AE262)&gt;0,", "&amp;A262&amp;"-"&amp;AE$2,"")&amp;IF(N(AF262)&gt;0,", "&amp;A262&amp;"-"&amp;AF$2,"")&amp;IF(N(AG262)&gt;0,", "&amp;A262&amp;"-"&amp;AG$2,"")&amp;IF(N(AH262)&gt;0,", "&amp;A262&amp;"-"&amp;AH$2,"")&amp;IF(N(AI262)&gt;0,", "&amp;A262&amp;"-"&amp;AI$2,"")&amp;IF(N(AJ262)&gt;0,", "&amp;A262&amp;"-"&amp;AJ$2,""),3,999))</f>
        <v/>
      </c>
      <c r="AN262" s="81"/>
      <c r="AO262" s="88"/>
      <c r="AP262" s="89" t="str">
        <f aca="false">IF(AO262="","",ROUND(AO262/(1+Справочники!$B$13),2))</f>
        <v/>
      </c>
      <c r="AQ262" s="90" t="str">
        <f aca="false" t="array" ref="AQ262:AQ262">IF(AP262="","",AP262*INDEX(Справочники!$B$4:$B$7,MATCH("RUB",Справочники!$A$4:$A$7,0)))</f>
        <v/>
      </c>
      <c r="AR262" s="90" t="str">
        <f aca="false">IF(AQ262="","",ROUND(AQ262*(1+Справочники!$B$12),0))</f>
        <v/>
      </c>
      <c r="AS262" s="90" t="str">
        <f aca="false">IF(AR262="","",ROUND(AR262*(1-Справочники!$B$11),0))</f>
        <v/>
      </c>
      <c r="AT262" s="88"/>
      <c r="AU262" s="90" t="str">
        <f aca="false">IF(AT262="","",ROUND(AT262/(1+Справочники!$B$12),0))</f>
        <v/>
      </c>
      <c r="AV262" s="90" t="str">
        <f aca="false">IF(AT262="","",ROUND(AT262*(1-Справочники!$B$15),0))</f>
        <v/>
      </c>
      <c r="AW262" s="90" t="str">
        <f aca="false">IF(AT262="","",ROUND(AT262*(1-Справочники!$B$16),0))</f>
        <v/>
      </c>
      <c r="AX262" s="90" t="str">
        <f aca="false">IF(AT262="","",ROUND(AT262*(1-Справочники!$B$17),0))</f>
        <v/>
      </c>
      <c r="AY262" s="90" t="str">
        <f aca="false">IF(AT262="","",ROUND(AT262*(1-Справочники!$B$18),0))</f>
        <v/>
      </c>
      <c r="AZ262" s="90" t="str">
        <f aca="false">IF(AT262="","",ROUND(AT262*(1-Справочники!$B$19),0))</f>
        <v/>
      </c>
      <c r="BA262" s="81"/>
      <c r="BB262" s="81"/>
      <c r="BC262" s="81"/>
      <c r="BD262" s="81"/>
      <c r="BE262" s="91"/>
      <c r="BF262" s="81" t="s">
        <v>103</v>
      </c>
      <c r="BG262" s="89" t="n">
        <f aca="false" t="array" ref="BG262:BG262">IF(BF262="","",IFERROR(INDEX(Справочники!$B$4:$B$7,MATCH(BF262,Справочники!$A$4:$A$7,0)),""))</f>
        <v>68.5</v>
      </c>
      <c r="BH262" s="90" t="str">
        <f aca="false">IF(N(BN262)&gt;0,ROUND(SUMIF(ЗАКАЗЫ!$F$3:$F$500,$A262,ЗАКАЗЫ!$Y$3:$Y$500)/BN262,0),IF(OR(BE262="",BG262=""),"",ROUND(BE262*BG262*(1+Справочники!$B$10),0)))</f>
        <v/>
      </c>
      <c r="BI262" s="92" t="str">
        <f aca="false">IF(OR(AU262="",BH262="",AU262=0),"",(AU262-BH262)/AU262)</f>
        <v/>
      </c>
      <c r="BJ262" s="81"/>
      <c r="BK262" s="83"/>
      <c r="BL262" s="43" t="str">
        <f aca="false">IFERROR(INDEX(ЗАКАЗЫ!$N$3:$N$500,MATCH($A262,ЗАКАЗЫ!$F$3:$F$500,0)),"")</f>
        <v/>
      </c>
      <c r="BM262" s="8" t="str">
        <f aca="false">IF(BL262="","",IFERROR(VLOOKUP(BL262,'ТН ВЭД'!$A$4:$C$40,3,0),""))</f>
        <v/>
      </c>
      <c r="BN262" s="7" t="str">
        <f aca="false">IF(COUNTIF(ЗАКАЗЫ!$F$3:$F$500,$A262)=0,"",SUMIF(ЗАКАЗЫ!$F$3:$F$500,$A262,ЗАКАЗЫ!$J$3:$J$500))</f>
        <v/>
      </c>
      <c r="BO262" s="7" t="str">
        <f aca="false">IF(BN262="","",SUMIF(ЗАКАЗЫ!$F$3:$F$500,$A262,ЗАКАЗЫ!$AL$3:$AL$500))</f>
        <v/>
      </c>
      <c r="BP262" s="7" t="str">
        <f aca="false">IF(BN262="","",BN262-BO262)</f>
        <v/>
      </c>
      <c r="BQ262" s="55" t="str">
        <f aca="false">IF(BN262="","",IF(BO262&gt;=BN262,"На складе",IF(BO262&gt;0,"Частично","Ждём")))</f>
        <v/>
      </c>
      <c r="BR262" s="43"/>
      <c r="BS262" s="47" t="str">
        <f aca="false">IF(BN262="","",IF(_xlfn.MAXIFS(ЗАКАЗЫ!$AK$3:$AK$500,ЗАКАЗЫ!$F$3:$F$500,$A262)=0,"",_xlfn.MAXIFS(ЗАКАЗЫ!$AK$3:$AK$500,ЗАКАЗЫ!$F$3:$F$500,$A262)))</f>
        <v/>
      </c>
    </row>
    <row r="263" customFormat="false" ht="15.75" hidden="false" customHeight="true" outlineLevel="0" collapsed="false">
      <c r="A263" s="80" t="s">
        <v>737</v>
      </c>
      <c r="B263" s="81"/>
      <c r="C263" s="81"/>
      <c r="D263" s="81"/>
      <c r="E263" s="83"/>
      <c r="F263" s="81"/>
      <c r="G263" s="83"/>
      <c r="H263" s="83"/>
      <c r="I263" s="84" t="str">
        <f aca="false">IF(E263="","",A263&amp;"_1.jpg")</f>
        <v/>
      </c>
      <c r="J263" s="84" t="str">
        <f aca="false">IF(E263="","",A263&amp;"_2.jpg; "&amp;A263&amp;"_3.jpg")</f>
        <v/>
      </c>
      <c r="K263" s="84" t="str">
        <f aca="false">IF(E263="","",A263&amp;"_schema.jpg")</f>
        <v/>
      </c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 t="s">
        <v>261</v>
      </c>
      <c r="W263" s="81"/>
      <c r="X263" s="81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6" t="str">
        <f aca="false">IF(SUM(Y263:AJ263)=0,"",SUM(Y263:AJ263))</f>
        <v/>
      </c>
      <c r="AL263" s="84" t="str">
        <f aca="false">MID(IF(N(Y263)&gt;0,", "&amp;Y$2,"")&amp;IF(N(Z263)&gt;0,", "&amp;Z$2,"")&amp;IF(N(AA263)&gt;0,", "&amp;AA$2,"")&amp;IF(N(AB263)&gt;0,", "&amp;AB$2,"")&amp;IF(N(AC263)&gt;0,", "&amp;AC$2,"")&amp;IF(N(AD263)&gt;0,", "&amp;AD$2,"")&amp;IF(N(AE263)&gt;0,", "&amp;AE$2,"")&amp;IF(N(AF263)&gt;0,", "&amp;AF$2,"")&amp;IF(N(AG263)&gt;0,", "&amp;AG$2,"")&amp;IF(N(AH263)&gt;0,", "&amp;AH$2,"")&amp;IF(N(AI263)&gt;0,", "&amp;AI$2,"")&amp;IF(N(AJ263)&gt;0,", "&amp;AJ$2,""),3,999)</f>
        <v/>
      </c>
      <c r="AM263" s="87" t="str">
        <f aca="false">IF(E263="","",MID(IF(N(Y263)&gt;0,", "&amp;A263&amp;"-"&amp;Y$2,"")&amp;IF(N(Z263)&gt;0,", "&amp;A263&amp;"-"&amp;Z$2,"")&amp;IF(N(AA263)&gt;0,", "&amp;A263&amp;"-"&amp;AA$2,"")&amp;IF(N(AB263)&gt;0,", "&amp;A263&amp;"-"&amp;AB$2,"")&amp;IF(N(AC263)&gt;0,", "&amp;A263&amp;"-"&amp;AC$2,"")&amp;IF(N(AD263)&gt;0,", "&amp;A263&amp;"-"&amp;AD$2,"")&amp;IF(N(AE263)&gt;0,", "&amp;A263&amp;"-"&amp;AE$2,"")&amp;IF(N(AF263)&gt;0,", "&amp;A263&amp;"-"&amp;AF$2,"")&amp;IF(N(AG263)&gt;0,", "&amp;A263&amp;"-"&amp;AG$2,"")&amp;IF(N(AH263)&gt;0,", "&amp;A263&amp;"-"&amp;AH$2,"")&amp;IF(N(AI263)&gt;0,", "&amp;A263&amp;"-"&amp;AI$2,"")&amp;IF(N(AJ263)&gt;0,", "&amp;A263&amp;"-"&amp;AJ$2,""),3,999))</f>
        <v/>
      </c>
      <c r="AN263" s="81"/>
      <c r="AO263" s="88"/>
      <c r="AP263" s="89" t="str">
        <f aca="false">IF(AO263="","",ROUND(AO263/(1+Справочники!$B$13),2))</f>
        <v/>
      </c>
      <c r="AQ263" s="90" t="str">
        <f aca="false" t="array" ref="AQ263:AQ263">IF(AP263="","",AP263*INDEX(Справочники!$B$4:$B$7,MATCH("RUB",Справочники!$A$4:$A$7,0)))</f>
        <v/>
      </c>
      <c r="AR263" s="90" t="str">
        <f aca="false">IF(AQ263="","",ROUND(AQ263*(1+Справочники!$B$12),0))</f>
        <v/>
      </c>
      <c r="AS263" s="90" t="str">
        <f aca="false">IF(AR263="","",ROUND(AR263*(1-Справочники!$B$11),0))</f>
        <v/>
      </c>
      <c r="AT263" s="88"/>
      <c r="AU263" s="90" t="str">
        <f aca="false">IF(AT263="","",ROUND(AT263/(1+Справочники!$B$12),0))</f>
        <v/>
      </c>
      <c r="AV263" s="90" t="str">
        <f aca="false">IF(AT263="","",ROUND(AT263*(1-Справочники!$B$15),0))</f>
        <v/>
      </c>
      <c r="AW263" s="90" t="str">
        <f aca="false">IF(AT263="","",ROUND(AT263*(1-Справочники!$B$16),0))</f>
        <v/>
      </c>
      <c r="AX263" s="90" t="str">
        <f aca="false">IF(AT263="","",ROUND(AT263*(1-Справочники!$B$17),0))</f>
        <v/>
      </c>
      <c r="AY263" s="90" t="str">
        <f aca="false">IF(AT263="","",ROUND(AT263*(1-Справочники!$B$18),0))</f>
        <v/>
      </c>
      <c r="AZ263" s="90" t="str">
        <f aca="false">IF(AT263="","",ROUND(AT263*(1-Справочники!$B$19),0))</f>
        <v/>
      </c>
      <c r="BA263" s="81"/>
      <c r="BB263" s="81"/>
      <c r="BC263" s="81"/>
      <c r="BD263" s="81"/>
      <c r="BE263" s="91"/>
      <c r="BF263" s="81" t="s">
        <v>103</v>
      </c>
      <c r="BG263" s="89" t="n">
        <f aca="false" t="array" ref="BG263:BG263">IF(BF263="","",IFERROR(INDEX(Справочники!$B$4:$B$7,MATCH(BF263,Справочники!$A$4:$A$7,0)),""))</f>
        <v>68.5</v>
      </c>
      <c r="BH263" s="90" t="str">
        <f aca="false">IF(N(BN263)&gt;0,ROUND(SUMIF(ЗАКАЗЫ!$F$3:$F$500,$A263,ЗАКАЗЫ!$Y$3:$Y$500)/BN263,0),IF(OR(BE263="",BG263=""),"",ROUND(BE263*BG263*(1+Справочники!$B$10),0)))</f>
        <v/>
      </c>
      <c r="BI263" s="92" t="str">
        <f aca="false">IF(OR(AU263="",BH263="",AU263=0),"",(AU263-BH263)/AU263)</f>
        <v/>
      </c>
      <c r="BJ263" s="81"/>
      <c r="BK263" s="83"/>
      <c r="BL263" s="43" t="str">
        <f aca="false">IFERROR(INDEX(ЗАКАЗЫ!$N$3:$N$500,MATCH($A263,ЗАКАЗЫ!$F$3:$F$500,0)),"")</f>
        <v/>
      </c>
      <c r="BM263" s="8" t="str">
        <f aca="false">IF(BL263="","",IFERROR(VLOOKUP(BL263,'ТН ВЭД'!$A$4:$C$40,3,0),""))</f>
        <v/>
      </c>
      <c r="BN263" s="7" t="str">
        <f aca="false">IF(COUNTIF(ЗАКАЗЫ!$F$3:$F$500,$A263)=0,"",SUMIF(ЗАКАЗЫ!$F$3:$F$500,$A263,ЗАКАЗЫ!$J$3:$J$500))</f>
        <v/>
      </c>
      <c r="BO263" s="7" t="str">
        <f aca="false">IF(BN263="","",SUMIF(ЗАКАЗЫ!$F$3:$F$500,$A263,ЗАКАЗЫ!$AL$3:$AL$500))</f>
        <v/>
      </c>
      <c r="BP263" s="7" t="str">
        <f aca="false">IF(BN263="","",BN263-BO263)</f>
        <v/>
      </c>
      <c r="BQ263" s="55" t="str">
        <f aca="false">IF(BN263="","",IF(BO263&gt;=BN263,"На складе",IF(BO263&gt;0,"Частично","Ждём")))</f>
        <v/>
      </c>
      <c r="BR263" s="43"/>
      <c r="BS263" s="47" t="str">
        <f aca="false">IF(BN263="","",IF(_xlfn.MAXIFS(ЗАКАЗЫ!$AK$3:$AK$500,ЗАКАЗЫ!$F$3:$F$500,$A263)=0,"",_xlfn.MAXIFS(ЗАКАЗЫ!$AK$3:$AK$500,ЗАКАЗЫ!$F$3:$F$500,$A263)))</f>
        <v/>
      </c>
    </row>
    <row r="264" customFormat="false" ht="15.75" hidden="false" customHeight="true" outlineLevel="0" collapsed="false">
      <c r="A264" s="80" t="s">
        <v>738</v>
      </c>
      <c r="B264" s="81"/>
      <c r="C264" s="81"/>
      <c r="D264" s="81"/>
      <c r="E264" s="83"/>
      <c r="F264" s="81"/>
      <c r="G264" s="83"/>
      <c r="H264" s="83"/>
      <c r="I264" s="84" t="str">
        <f aca="false">IF(E264="","",A264&amp;"_1.jpg")</f>
        <v/>
      </c>
      <c r="J264" s="84" t="str">
        <f aca="false">IF(E264="","",A264&amp;"_2.jpg; "&amp;A264&amp;"_3.jpg")</f>
        <v/>
      </c>
      <c r="K264" s="84" t="str">
        <f aca="false">IF(E264="","",A264&amp;"_schema.jpg")</f>
        <v/>
      </c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 t="s">
        <v>261</v>
      </c>
      <c r="W264" s="81"/>
      <c r="X264" s="81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6" t="str">
        <f aca="false">IF(SUM(Y264:AJ264)=0,"",SUM(Y264:AJ264))</f>
        <v/>
      </c>
      <c r="AL264" s="84" t="str">
        <f aca="false">MID(IF(N(Y264)&gt;0,", "&amp;Y$2,"")&amp;IF(N(Z264)&gt;0,", "&amp;Z$2,"")&amp;IF(N(AA264)&gt;0,", "&amp;AA$2,"")&amp;IF(N(AB264)&gt;0,", "&amp;AB$2,"")&amp;IF(N(AC264)&gt;0,", "&amp;AC$2,"")&amp;IF(N(AD264)&gt;0,", "&amp;AD$2,"")&amp;IF(N(AE264)&gt;0,", "&amp;AE$2,"")&amp;IF(N(AF264)&gt;0,", "&amp;AF$2,"")&amp;IF(N(AG264)&gt;0,", "&amp;AG$2,"")&amp;IF(N(AH264)&gt;0,", "&amp;AH$2,"")&amp;IF(N(AI264)&gt;0,", "&amp;AI$2,"")&amp;IF(N(AJ264)&gt;0,", "&amp;AJ$2,""),3,999)</f>
        <v/>
      </c>
      <c r="AM264" s="87" t="str">
        <f aca="false">IF(E264="","",MID(IF(N(Y264)&gt;0,", "&amp;A264&amp;"-"&amp;Y$2,"")&amp;IF(N(Z264)&gt;0,", "&amp;A264&amp;"-"&amp;Z$2,"")&amp;IF(N(AA264)&gt;0,", "&amp;A264&amp;"-"&amp;AA$2,"")&amp;IF(N(AB264)&gt;0,", "&amp;A264&amp;"-"&amp;AB$2,"")&amp;IF(N(AC264)&gt;0,", "&amp;A264&amp;"-"&amp;AC$2,"")&amp;IF(N(AD264)&gt;0,", "&amp;A264&amp;"-"&amp;AD$2,"")&amp;IF(N(AE264)&gt;0,", "&amp;A264&amp;"-"&amp;AE$2,"")&amp;IF(N(AF264)&gt;0,", "&amp;A264&amp;"-"&amp;AF$2,"")&amp;IF(N(AG264)&gt;0,", "&amp;A264&amp;"-"&amp;AG$2,"")&amp;IF(N(AH264)&gt;0,", "&amp;A264&amp;"-"&amp;AH$2,"")&amp;IF(N(AI264)&gt;0,", "&amp;A264&amp;"-"&amp;AI$2,"")&amp;IF(N(AJ264)&gt;0,", "&amp;A264&amp;"-"&amp;AJ$2,""),3,999))</f>
        <v/>
      </c>
      <c r="AN264" s="81"/>
      <c r="AO264" s="88"/>
      <c r="AP264" s="89" t="str">
        <f aca="false">IF(AO264="","",ROUND(AO264/(1+Справочники!$B$13),2))</f>
        <v/>
      </c>
      <c r="AQ264" s="90" t="str">
        <f aca="false" t="array" ref="AQ264:AQ264">IF(AP264="","",AP264*INDEX(Справочники!$B$4:$B$7,MATCH("RUB",Справочники!$A$4:$A$7,0)))</f>
        <v/>
      </c>
      <c r="AR264" s="90" t="str">
        <f aca="false">IF(AQ264="","",ROUND(AQ264*(1+Справочники!$B$12),0))</f>
        <v/>
      </c>
      <c r="AS264" s="90" t="str">
        <f aca="false">IF(AR264="","",ROUND(AR264*(1-Справочники!$B$11),0))</f>
        <v/>
      </c>
      <c r="AT264" s="88"/>
      <c r="AU264" s="90" t="str">
        <f aca="false">IF(AT264="","",ROUND(AT264/(1+Справочники!$B$12),0))</f>
        <v/>
      </c>
      <c r="AV264" s="90" t="str">
        <f aca="false">IF(AT264="","",ROUND(AT264*(1-Справочники!$B$15),0))</f>
        <v/>
      </c>
      <c r="AW264" s="90" t="str">
        <f aca="false">IF(AT264="","",ROUND(AT264*(1-Справочники!$B$16),0))</f>
        <v/>
      </c>
      <c r="AX264" s="90" t="str">
        <f aca="false">IF(AT264="","",ROUND(AT264*(1-Справочники!$B$17),0))</f>
        <v/>
      </c>
      <c r="AY264" s="90" t="str">
        <f aca="false">IF(AT264="","",ROUND(AT264*(1-Справочники!$B$18),0))</f>
        <v/>
      </c>
      <c r="AZ264" s="90" t="str">
        <f aca="false">IF(AT264="","",ROUND(AT264*(1-Справочники!$B$19),0))</f>
        <v/>
      </c>
      <c r="BA264" s="81"/>
      <c r="BB264" s="81"/>
      <c r="BC264" s="81"/>
      <c r="BD264" s="81"/>
      <c r="BE264" s="91"/>
      <c r="BF264" s="81" t="s">
        <v>103</v>
      </c>
      <c r="BG264" s="89" t="n">
        <f aca="false" t="array" ref="BG264:BG264">IF(BF264="","",IFERROR(INDEX(Справочники!$B$4:$B$7,MATCH(BF264,Справочники!$A$4:$A$7,0)),""))</f>
        <v>68.5</v>
      </c>
      <c r="BH264" s="90" t="str">
        <f aca="false">IF(N(BN264)&gt;0,ROUND(SUMIF(ЗАКАЗЫ!$F$3:$F$500,$A264,ЗАКАЗЫ!$Y$3:$Y$500)/BN264,0),IF(OR(BE264="",BG264=""),"",ROUND(BE264*BG264*(1+Справочники!$B$10),0)))</f>
        <v/>
      </c>
      <c r="BI264" s="92" t="str">
        <f aca="false">IF(OR(AU264="",BH264="",AU264=0),"",(AU264-BH264)/AU264)</f>
        <v/>
      </c>
      <c r="BJ264" s="81"/>
      <c r="BK264" s="83"/>
      <c r="BL264" s="43" t="str">
        <f aca="false">IFERROR(INDEX(ЗАКАЗЫ!$N$3:$N$500,MATCH($A264,ЗАКАЗЫ!$F$3:$F$500,0)),"")</f>
        <v/>
      </c>
      <c r="BM264" s="8" t="str">
        <f aca="false">IF(BL264="","",IFERROR(VLOOKUP(BL264,'ТН ВЭД'!$A$4:$C$40,3,0),""))</f>
        <v/>
      </c>
      <c r="BN264" s="7" t="str">
        <f aca="false">IF(COUNTIF(ЗАКАЗЫ!$F$3:$F$500,$A264)=0,"",SUMIF(ЗАКАЗЫ!$F$3:$F$500,$A264,ЗАКАЗЫ!$J$3:$J$500))</f>
        <v/>
      </c>
      <c r="BO264" s="7" t="str">
        <f aca="false">IF(BN264="","",SUMIF(ЗАКАЗЫ!$F$3:$F$500,$A264,ЗАКАЗЫ!$AL$3:$AL$500))</f>
        <v/>
      </c>
      <c r="BP264" s="7" t="str">
        <f aca="false">IF(BN264="","",BN264-BO264)</f>
        <v/>
      </c>
      <c r="BQ264" s="55" t="str">
        <f aca="false">IF(BN264="","",IF(BO264&gt;=BN264,"На складе",IF(BO264&gt;0,"Частично","Ждём")))</f>
        <v/>
      </c>
      <c r="BR264" s="43"/>
      <c r="BS264" s="47" t="str">
        <f aca="false">IF(BN264="","",IF(_xlfn.MAXIFS(ЗАКАЗЫ!$AK$3:$AK$500,ЗАКАЗЫ!$F$3:$F$500,$A264)=0,"",_xlfn.MAXIFS(ЗАКАЗЫ!$AK$3:$AK$500,ЗАКАЗЫ!$F$3:$F$500,$A264)))</f>
        <v/>
      </c>
    </row>
    <row r="265" customFormat="false" ht="15.75" hidden="false" customHeight="true" outlineLevel="0" collapsed="false">
      <c r="A265" s="80" t="s">
        <v>739</v>
      </c>
      <c r="B265" s="81"/>
      <c r="C265" s="81"/>
      <c r="D265" s="81"/>
      <c r="E265" s="83"/>
      <c r="F265" s="81"/>
      <c r="G265" s="83"/>
      <c r="H265" s="83"/>
      <c r="I265" s="84" t="str">
        <f aca="false">IF(E265="","",A265&amp;"_1.jpg")</f>
        <v/>
      </c>
      <c r="J265" s="84" t="str">
        <f aca="false">IF(E265="","",A265&amp;"_2.jpg; "&amp;A265&amp;"_3.jpg")</f>
        <v/>
      </c>
      <c r="K265" s="84" t="str">
        <f aca="false">IF(E265="","",A265&amp;"_schema.jpg")</f>
        <v/>
      </c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 t="s">
        <v>261</v>
      </c>
      <c r="W265" s="81"/>
      <c r="X265" s="81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6" t="str">
        <f aca="false">IF(SUM(Y265:AJ265)=0,"",SUM(Y265:AJ265))</f>
        <v/>
      </c>
      <c r="AL265" s="84" t="str">
        <f aca="false">MID(IF(N(Y265)&gt;0,", "&amp;Y$2,"")&amp;IF(N(Z265)&gt;0,", "&amp;Z$2,"")&amp;IF(N(AA265)&gt;0,", "&amp;AA$2,"")&amp;IF(N(AB265)&gt;0,", "&amp;AB$2,"")&amp;IF(N(AC265)&gt;0,", "&amp;AC$2,"")&amp;IF(N(AD265)&gt;0,", "&amp;AD$2,"")&amp;IF(N(AE265)&gt;0,", "&amp;AE$2,"")&amp;IF(N(AF265)&gt;0,", "&amp;AF$2,"")&amp;IF(N(AG265)&gt;0,", "&amp;AG$2,"")&amp;IF(N(AH265)&gt;0,", "&amp;AH$2,"")&amp;IF(N(AI265)&gt;0,", "&amp;AI$2,"")&amp;IF(N(AJ265)&gt;0,", "&amp;AJ$2,""),3,999)</f>
        <v/>
      </c>
      <c r="AM265" s="87" t="str">
        <f aca="false">IF(E265="","",MID(IF(N(Y265)&gt;0,", "&amp;A265&amp;"-"&amp;Y$2,"")&amp;IF(N(Z265)&gt;0,", "&amp;A265&amp;"-"&amp;Z$2,"")&amp;IF(N(AA265)&gt;0,", "&amp;A265&amp;"-"&amp;AA$2,"")&amp;IF(N(AB265)&gt;0,", "&amp;A265&amp;"-"&amp;AB$2,"")&amp;IF(N(AC265)&gt;0,", "&amp;A265&amp;"-"&amp;AC$2,"")&amp;IF(N(AD265)&gt;0,", "&amp;A265&amp;"-"&amp;AD$2,"")&amp;IF(N(AE265)&gt;0,", "&amp;A265&amp;"-"&amp;AE$2,"")&amp;IF(N(AF265)&gt;0,", "&amp;A265&amp;"-"&amp;AF$2,"")&amp;IF(N(AG265)&gt;0,", "&amp;A265&amp;"-"&amp;AG$2,"")&amp;IF(N(AH265)&gt;0,", "&amp;A265&amp;"-"&amp;AH$2,"")&amp;IF(N(AI265)&gt;0,", "&amp;A265&amp;"-"&amp;AI$2,"")&amp;IF(N(AJ265)&gt;0,", "&amp;A265&amp;"-"&amp;AJ$2,""),3,999))</f>
        <v/>
      </c>
      <c r="AN265" s="81"/>
      <c r="AO265" s="88"/>
      <c r="AP265" s="89" t="str">
        <f aca="false">IF(AO265="","",ROUND(AO265/(1+Справочники!$B$13),2))</f>
        <v/>
      </c>
      <c r="AQ265" s="90" t="str">
        <f aca="false" t="array" ref="AQ265:AQ265">IF(AP265="","",AP265*INDEX(Справочники!$B$4:$B$7,MATCH("RUB",Справочники!$A$4:$A$7,0)))</f>
        <v/>
      </c>
      <c r="AR265" s="90" t="str">
        <f aca="false">IF(AQ265="","",ROUND(AQ265*(1+Справочники!$B$12),0))</f>
        <v/>
      </c>
      <c r="AS265" s="90" t="str">
        <f aca="false">IF(AR265="","",ROUND(AR265*(1-Справочники!$B$11),0))</f>
        <v/>
      </c>
      <c r="AT265" s="88"/>
      <c r="AU265" s="90" t="str">
        <f aca="false">IF(AT265="","",ROUND(AT265/(1+Справочники!$B$12),0))</f>
        <v/>
      </c>
      <c r="AV265" s="90" t="str">
        <f aca="false">IF(AT265="","",ROUND(AT265*(1-Справочники!$B$15),0))</f>
        <v/>
      </c>
      <c r="AW265" s="90" t="str">
        <f aca="false">IF(AT265="","",ROUND(AT265*(1-Справочники!$B$16),0))</f>
        <v/>
      </c>
      <c r="AX265" s="90" t="str">
        <f aca="false">IF(AT265="","",ROUND(AT265*(1-Справочники!$B$17),0))</f>
        <v/>
      </c>
      <c r="AY265" s="90" t="str">
        <f aca="false">IF(AT265="","",ROUND(AT265*(1-Справочники!$B$18),0))</f>
        <v/>
      </c>
      <c r="AZ265" s="90" t="str">
        <f aca="false">IF(AT265="","",ROUND(AT265*(1-Справочники!$B$19),0))</f>
        <v/>
      </c>
      <c r="BA265" s="81"/>
      <c r="BB265" s="81"/>
      <c r="BC265" s="81"/>
      <c r="BD265" s="81"/>
      <c r="BE265" s="91"/>
      <c r="BF265" s="81" t="s">
        <v>103</v>
      </c>
      <c r="BG265" s="89" t="n">
        <f aca="false" t="array" ref="BG265:BG265">IF(BF265="","",IFERROR(INDEX(Справочники!$B$4:$B$7,MATCH(BF265,Справочники!$A$4:$A$7,0)),""))</f>
        <v>68.5</v>
      </c>
      <c r="BH265" s="90" t="str">
        <f aca="false">IF(N(BN265)&gt;0,ROUND(SUMIF(ЗАКАЗЫ!$F$3:$F$500,$A265,ЗАКАЗЫ!$Y$3:$Y$500)/BN265,0),IF(OR(BE265="",BG265=""),"",ROUND(BE265*BG265*(1+Справочники!$B$10),0)))</f>
        <v/>
      </c>
      <c r="BI265" s="92" t="str">
        <f aca="false">IF(OR(AU265="",BH265="",AU265=0),"",(AU265-BH265)/AU265)</f>
        <v/>
      </c>
      <c r="BJ265" s="81"/>
      <c r="BK265" s="83"/>
      <c r="BL265" s="43" t="str">
        <f aca="false">IFERROR(INDEX(ЗАКАЗЫ!$N$3:$N$500,MATCH($A265,ЗАКАЗЫ!$F$3:$F$500,0)),"")</f>
        <v/>
      </c>
      <c r="BM265" s="8" t="str">
        <f aca="false">IF(BL265="","",IFERROR(VLOOKUP(BL265,'ТН ВЭД'!$A$4:$C$40,3,0),""))</f>
        <v/>
      </c>
      <c r="BN265" s="7" t="str">
        <f aca="false">IF(COUNTIF(ЗАКАЗЫ!$F$3:$F$500,$A265)=0,"",SUMIF(ЗАКАЗЫ!$F$3:$F$500,$A265,ЗАКАЗЫ!$J$3:$J$500))</f>
        <v/>
      </c>
      <c r="BO265" s="7" t="str">
        <f aca="false">IF(BN265="","",SUMIF(ЗАКАЗЫ!$F$3:$F$500,$A265,ЗАКАЗЫ!$AL$3:$AL$500))</f>
        <v/>
      </c>
      <c r="BP265" s="7" t="str">
        <f aca="false">IF(BN265="","",BN265-BO265)</f>
        <v/>
      </c>
      <c r="BQ265" s="55" t="str">
        <f aca="false">IF(BN265="","",IF(BO265&gt;=BN265,"На складе",IF(BO265&gt;0,"Частично","Ждём")))</f>
        <v/>
      </c>
      <c r="BR265" s="43"/>
      <c r="BS265" s="47" t="str">
        <f aca="false">IF(BN265="","",IF(_xlfn.MAXIFS(ЗАКАЗЫ!$AK$3:$AK$500,ЗАКАЗЫ!$F$3:$F$500,$A265)=0,"",_xlfn.MAXIFS(ЗАКАЗЫ!$AK$3:$AK$500,ЗАКАЗЫ!$F$3:$F$500,$A265)))</f>
        <v/>
      </c>
    </row>
    <row r="266" customFormat="false" ht="15.75" hidden="false" customHeight="true" outlineLevel="0" collapsed="false">
      <c r="A266" s="80" t="s">
        <v>740</v>
      </c>
      <c r="B266" s="81"/>
      <c r="C266" s="81"/>
      <c r="D266" s="81"/>
      <c r="E266" s="83"/>
      <c r="F266" s="81"/>
      <c r="G266" s="83"/>
      <c r="H266" s="83"/>
      <c r="I266" s="84" t="str">
        <f aca="false">IF(E266="","",A266&amp;"_1.jpg")</f>
        <v/>
      </c>
      <c r="J266" s="84" t="str">
        <f aca="false">IF(E266="","",A266&amp;"_2.jpg; "&amp;A266&amp;"_3.jpg")</f>
        <v/>
      </c>
      <c r="K266" s="84" t="str">
        <f aca="false">IF(E266="","",A266&amp;"_schema.jpg")</f>
        <v/>
      </c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 t="s">
        <v>261</v>
      </c>
      <c r="W266" s="81"/>
      <c r="X266" s="81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6" t="str">
        <f aca="false">IF(SUM(Y266:AJ266)=0,"",SUM(Y266:AJ266))</f>
        <v/>
      </c>
      <c r="AL266" s="84" t="str">
        <f aca="false">MID(IF(N(Y266)&gt;0,", "&amp;Y$2,"")&amp;IF(N(Z266)&gt;0,", "&amp;Z$2,"")&amp;IF(N(AA266)&gt;0,", "&amp;AA$2,"")&amp;IF(N(AB266)&gt;0,", "&amp;AB$2,"")&amp;IF(N(AC266)&gt;0,", "&amp;AC$2,"")&amp;IF(N(AD266)&gt;0,", "&amp;AD$2,"")&amp;IF(N(AE266)&gt;0,", "&amp;AE$2,"")&amp;IF(N(AF266)&gt;0,", "&amp;AF$2,"")&amp;IF(N(AG266)&gt;0,", "&amp;AG$2,"")&amp;IF(N(AH266)&gt;0,", "&amp;AH$2,"")&amp;IF(N(AI266)&gt;0,", "&amp;AI$2,"")&amp;IF(N(AJ266)&gt;0,", "&amp;AJ$2,""),3,999)</f>
        <v/>
      </c>
      <c r="AM266" s="87" t="str">
        <f aca="false">IF(E266="","",MID(IF(N(Y266)&gt;0,", "&amp;A266&amp;"-"&amp;Y$2,"")&amp;IF(N(Z266)&gt;0,", "&amp;A266&amp;"-"&amp;Z$2,"")&amp;IF(N(AA266)&gt;0,", "&amp;A266&amp;"-"&amp;AA$2,"")&amp;IF(N(AB266)&gt;0,", "&amp;A266&amp;"-"&amp;AB$2,"")&amp;IF(N(AC266)&gt;0,", "&amp;A266&amp;"-"&amp;AC$2,"")&amp;IF(N(AD266)&gt;0,", "&amp;A266&amp;"-"&amp;AD$2,"")&amp;IF(N(AE266)&gt;0,", "&amp;A266&amp;"-"&amp;AE$2,"")&amp;IF(N(AF266)&gt;0,", "&amp;A266&amp;"-"&amp;AF$2,"")&amp;IF(N(AG266)&gt;0,", "&amp;A266&amp;"-"&amp;AG$2,"")&amp;IF(N(AH266)&gt;0,", "&amp;A266&amp;"-"&amp;AH$2,"")&amp;IF(N(AI266)&gt;0,", "&amp;A266&amp;"-"&amp;AI$2,"")&amp;IF(N(AJ266)&gt;0,", "&amp;A266&amp;"-"&amp;AJ$2,""),3,999))</f>
        <v/>
      </c>
      <c r="AN266" s="81"/>
      <c r="AO266" s="88"/>
      <c r="AP266" s="89" t="str">
        <f aca="false">IF(AO266="","",ROUND(AO266/(1+Справочники!$B$13),2))</f>
        <v/>
      </c>
      <c r="AQ266" s="90" t="str">
        <f aca="false" t="array" ref="AQ266:AQ266">IF(AP266="","",AP266*INDEX(Справочники!$B$4:$B$7,MATCH("RUB",Справочники!$A$4:$A$7,0)))</f>
        <v/>
      </c>
      <c r="AR266" s="90" t="str">
        <f aca="false">IF(AQ266="","",ROUND(AQ266*(1+Справочники!$B$12),0))</f>
        <v/>
      </c>
      <c r="AS266" s="90" t="str">
        <f aca="false">IF(AR266="","",ROUND(AR266*(1-Справочники!$B$11),0))</f>
        <v/>
      </c>
      <c r="AT266" s="88"/>
      <c r="AU266" s="90" t="str">
        <f aca="false">IF(AT266="","",ROUND(AT266/(1+Справочники!$B$12),0))</f>
        <v/>
      </c>
      <c r="AV266" s="90" t="str">
        <f aca="false">IF(AT266="","",ROUND(AT266*(1-Справочники!$B$15),0))</f>
        <v/>
      </c>
      <c r="AW266" s="90" t="str">
        <f aca="false">IF(AT266="","",ROUND(AT266*(1-Справочники!$B$16),0))</f>
        <v/>
      </c>
      <c r="AX266" s="90" t="str">
        <f aca="false">IF(AT266="","",ROUND(AT266*(1-Справочники!$B$17),0))</f>
        <v/>
      </c>
      <c r="AY266" s="90" t="str">
        <f aca="false">IF(AT266="","",ROUND(AT266*(1-Справочники!$B$18),0))</f>
        <v/>
      </c>
      <c r="AZ266" s="90" t="str">
        <f aca="false">IF(AT266="","",ROUND(AT266*(1-Справочники!$B$19),0))</f>
        <v/>
      </c>
      <c r="BA266" s="81"/>
      <c r="BB266" s="81"/>
      <c r="BC266" s="81"/>
      <c r="BD266" s="81"/>
      <c r="BE266" s="91"/>
      <c r="BF266" s="81" t="s">
        <v>103</v>
      </c>
      <c r="BG266" s="89" t="n">
        <f aca="false" t="array" ref="BG266:BG266">IF(BF266="","",IFERROR(INDEX(Справочники!$B$4:$B$7,MATCH(BF266,Справочники!$A$4:$A$7,0)),""))</f>
        <v>68.5</v>
      </c>
      <c r="BH266" s="90" t="str">
        <f aca="false">IF(N(BN266)&gt;0,ROUND(SUMIF(ЗАКАЗЫ!$F$3:$F$500,$A266,ЗАКАЗЫ!$Y$3:$Y$500)/BN266,0),IF(OR(BE266="",BG266=""),"",ROUND(BE266*BG266*(1+Справочники!$B$10),0)))</f>
        <v/>
      </c>
      <c r="BI266" s="92" t="str">
        <f aca="false">IF(OR(AU266="",BH266="",AU266=0),"",(AU266-BH266)/AU266)</f>
        <v/>
      </c>
      <c r="BJ266" s="81"/>
      <c r="BK266" s="83"/>
      <c r="BL266" s="43" t="str">
        <f aca="false">IFERROR(INDEX(ЗАКАЗЫ!$N$3:$N$500,MATCH($A266,ЗАКАЗЫ!$F$3:$F$500,0)),"")</f>
        <v/>
      </c>
      <c r="BM266" s="8" t="str">
        <f aca="false">IF(BL266="","",IFERROR(VLOOKUP(BL266,'ТН ВЭД'!$A$4:$C$40,3,0),""))</f>
        <v/>
      </c>
      <c r="BN266" s="7" t="str">
        <f aca="false">IF(COUNTIF(ЗАКАЗЫ!$F$3:$F$500,$A266)=0,"",SUMIF(ЗАКАЗЫ!$F$3:$F$500,$A266,ЗАКАЗЫ!$J$3:$J$500))</f>
        <v/>
      </c>
      <c r="BO266" s="7" t="str">
        <f aca="false">IF(BN266="","",SUMIF(ЗАКАЗЫ!$F$3:$F$500,$A266,ЗАКАЗЫ!$AL$3:$AL$500))</f>
        <v/>
      </c>
      <c r="BP266" s="7" t="str">
        <f aca="false">IF(BN266="","",BN266-BO266)</f>
        <v/>
      </c>
      <c r="BQ266" s="55" t="str">
        <f aca="false">IF(BN266="","",IF(BO266&gt;=BN266,"На складе",IF(BO266&gt;0,"Частично","Ждём")))</f>
        <v/>
      </c>
      <c r="BR266" s="43"/>
      <c r="BS266" s="47" t="str">
        <f aca="false">IF(BN266="","",IF(_xlfn.MAXIFS(ЗАКАЗЫ!$AK$3:$AK$500,ЗАКАЗЫ!$F$3:$F$500,$A266)=0,"",_xlfn.MAXIFS(ЗАКАЗЫ!$AK$3:$AK$500,ЗАКАЗЫ!$F$3:$F$500,$A266)))</f>
        <v/>
      </c>
    </row>
    <row r="267" customFormat="false" ht="15.75" hidden="false" customHeight="true" outlineLevel="0" collapsed="false">
      <c r="A267" s="80" t="s">
        <v>741</v>
      </c>
      <c r="B267" s="81"/>
      <c r="C267" s="81"/>
      <c r="D267" s="81"/>
      <c r="E267" s="83"/>
      <c r="F267" s="81"/>
      <c r="G267" s="83"/>
      <c r="H267" s="83"/>
      <c r="I267" s="84" t="str">
        <f aca="false">IF(E267="","",A267&amp;"_1.jpg")</f>
        <v/>
      </c>
      <c r="J267" s="84" t="str">
        <f aca="false">IF(E267="","",A267&amp;"_2.jpg; "&amp;A267&amp;"_3.jpg")</f>
        <v/>
      </c>
      <c r="K267" s="84" t="str">
        <f aca="false">IF(E267="","",A267&amp;"_schema.jpg")</f>
        <v/>
      </c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 t="s">
        <v>261</v>
      </c>
      <c r="W267" s="81"/>
      <c r="X267" s="81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6" t="str">
        <f aca="false">IF(SUM(Y267:AJ267)=0,"",SUM(Y267:AJ267))</f>
        <v/>
      </c>
      <c r="AL267" s="84" t="str">
        <f aca="false">MID(IF(N(Y267)&gt;0,", "&amp;Y$2,"")&amp;IF(N(Z267)&gt;0,", "&amp;Z$2,"")&amp;IF(N(AA267)&gt;0,", "&amp;AA$2,"")&amp;IF(N(AB267)&gt;0,", "&amp;AB$2,"")&amp;IF(N(AC267)&gt;0,", "&amp;AC$2,"")&amp;IF(N(AD267)&gt;0,", "&amp;AD$2,"")&amp;IF(N(AE267)&gt;0,", "&amp;AE$2,"")&amp;IF(N(AF267)&gt;0,", "&amp;AF$2,"")&amp;IF(N(AG267)&gt;0,", "&amp;AG$2,"")&amp;IF(N(AH267)&gt;0,", "&amp;AH$2,"")&amp;IF(N(AI267)&gt;0,", "&amp;AI$2,"")&amp;IF(N(AJ267)&gt;0,", "&amp;AJ$2,""),3,999)</f>
        <v/>
      </c>
      <c r="AM267" s="87" t="str">
        <f aca="false">IF(E267="","",MID(IF(N(Y267)&gt;0,", "&amp;A267&amp;"-"&amp;Y$2,"")&amp;IF(N(Z267)&gt;0,", "&amp;A267&amp;"-"&amp;Z$2,"")&amp;IF(N(AA267)&gt;0,", "&amp;A267&amp;"-"&amp;AA$2,"")&amp;IF(N(AB267)&gt;0,", "&amp;A267&amp;"-"&amp;AB$2,"")&amp;IF(N(AC267)&gt;0,", "&amp;A267&amp;"-"&amp;AC$2,"")&amp;IF(N(AD267)&gt;0,", "&amp;A267&amp;"-"&amp;AD$2,"")&amp;IF(N(AE267)&gt;0,", "&amp;A267&amp;"-"&amp;AE$2,"")&amp;IF(N(AF267)&gt;0,", "&amp;A267&amp;"-"&amp;AF$2,"")&amp;IF(N(AG267)&gt;0,", "&amp;A267&amp;"-"&amp;AG$2,"")&amp;IF(N(AH267)&gt;0,", "&amp;A267&amp;"-"&amp;AH$2,"")&amp;IF(N(AI267)&gt;0,", "&amp;A267&amp;"-"&amp;AI$2,"")&amp;IF(N(AJ267)&gt;0,", "&amp;A267&amp;"-"&amp;AJ$2,""),3,999))</f>
        <v/>
      </c>
      <c r="AN267" s="81"/>
      <c r="AO267" s="88"/>
      <c r="AP267" s="89" t="str">
        <f aca="false">IF(AO267="","",ROUND(AO267/(1+Справочники!$B$13),2))</f>
        <v/>
      </c>
      <c r="AQ267" s="90" t="str">
        <f aca="false" t="array" ref="AQ267:AQ267">IF(AP267="","",AP267*INDEX(Справочники!$B$4:$B$7,MATCH("RUB",Справочники!$A$4:$A$7,0)))</f>
        <v/>
      </c>
      <c r="AR267" s="90" t="str">
        <f aca="false">IF(AQ267="","",ROUND(AQ267*(1+Справочники!$B$12),0))</f>
        <v/>
      </c>
      <c r="AS267" s="90" t="str">
        <f aca="false">IF(AR267="","",ROUND(AR267*(1-Справочники!$B$11),0))</f>
        <v/>
      </c>
      <c r="AT267" s="88"/>
      <c r="AU267" s="90" t="str">
        <f aca="false">IF(AT267="","",ROUND(AT267/(1+Справочники!$B$12),0))</f>
        <v/>
      </c>
      <c r="AV267" s="90" t="str">
        <f aca="false">IF(AT267="","",ROUND(AT267*(1-Справочники!$B$15),0))</f>
        <v/>
      </c>
      <c r="AW267" s="90" t="str">
        <f aca="false">IF(AT267="","",ROUND(AT267*(1-Справочники!$B$16),0))</f>
        <v/>
      </c>
      <c r="AX267" s="90" t="str">
        <f aca="false">IF(AT267="","",ROUND(AT267*(1-Справочники!$B$17),0))</f>
        <v/>
      </c>
      <c r="AY267" s="90" t="str">
        <f aca="false">IF(AT267="","",ROUND(AT267*(1-Справочники!$B$18),0))</f>
        <v/>
      </c>
      <c r="AZ267" s="90" t="str">
        <f aca="false">IF(AT267="","",ROUND(AT267*(1-Справочники!$B$19),0))</f>
        <v/>
      </c>
      <c r="BA267" s="81"/>
      <c r="BB267" s="81"/>
      <c r="BC267" s="81"/>
      <c r="BD267" s="81"/>
      <c r="BE267" s="91"/>
      <c r="BF267" s="81" t="s">
        <v>103</v>
      </c>
      <c r="BG267" s="89" t="n">
        <f aca="false" t="array" ref="BG267:BG267">IF(BF267="","",IFERROR(INDEX(Справочники!$B$4:$B$7,MATCH(BF267,Справочники!$A$4:$A$7,0)),""))</f>
        <v>68.5</v>
      </c>
      <c r="BH267" s="90" t="str">
        <f aca="false">IF(N(BN267)&gt;0,ROUND(SUMIF(ЗАКАЗЫ!$F$3:$F$500,$A267,ЗАКАЗЫ!$Y$3:$Y$500)/BN267,0),IF(OR(BE267="",BG267=""),"",ROUND(BE267*BG267*(1+Справочники!$B$10),0)))</f>
        <v/>
      </c>
      <c r="BI267" s="92" t="str">
        <f aca="false">IF(OR(AU267="",BH267="",AU267=0),"",(AU267-BH267)/AU267)</f>
        <v/>
      </c>
      <c r="BJ267" s="81"/>
      <c r="BK267" s="83"/>
      <c r="BL267" s="43" t="str">
        <f aca="false">IFERROR(INDEX(ЗАКАЗЫ!$N$3:$N$500,MATCH($A267,ЗАКАЗЫ!$F$3:$F$500,0)),"")</f>
        <v/>
      </c>
      <c r="BM267" s="8" t="str">
        <f aca="false">IF(BL267="","",IFERROR(VLOOKUP(BL267,'ТН ВЭД'!$A$4:$C$40,3,0),""))</f>
        <v/>
      </c>
      <c r="BN267" s="7" t="str">
        <f aca="false">IF(COUNTIF(ЗАКАЗЫ!$F$3:$F$500,$A267)=0,"",SUMIF(ЗАКАЗЫ!$F$3:$F$500,$A267,ЗАКАЗЫ!$J$3:$J$500))</f>
        <v/>
      </c>
      <c r="BO267" s="7" t="str">
        <f aca="false">IF(BN267="","",SUMIF(ЗАКАЗЫ!$F$3:$F$500,$A267,ЗАКАЗЫ!$AL$3:$AL$500))</f>
        <v/>
      </c>
      <c r="BP267" s="7" t="str">
        <f aca="false">IF(BN267="","",BN267-BO267)</f>
        <v/>
      </c>
      <c r="BQ267" s="55" t="str">
        <f aca="false">IF(BN267="","",IF(BO267&gt;=BN267,"На складе",IF(BO267&gt;0,"Частично","Ждём")))</f>
        <v/>
      </c>
      <c r="BR267" s="43"/>
      <c r="BS267" s="47" t="str">
        <f aca="false">IF(BN267="","",IF(_xlfn.MAXIFS(ЗАКАЗЫ!$AK$3:$AK$500,ЗАКАЗЫ!$F$3:$F$500,$A267)=0,"",_xlfn.MAXIFS(ЗАКАЗЫ!$AK$3:$AK$500,ЗАКАЗЫ!$F$3:$F$500,$A267)))</f>
        <v/>
      </c>
    </row>
    <row r="268" customFormat="false" ht="15.75" hidden="false" customHeight="true" outlineLevel="0" collapsed="false">
      <c r="A268" s="80" t="s">
        <v>742</v>
      </c>
      <c r="B268" s="81"/>
      <c r="C268" s="81"/>
      <c r="D268" s="81"/>
      <c r="E268" s="83"/>
      <c r="F268" s="81"/>
      <c r="G268" s="83"/>
      <c r="H268" s="83"/>
      <c r="I268" s="84" t="str">
        <f aca="false">IF(E268="","",A268&amp;"_1.jpg")</f>
        <v/>
      </c>
      <c r="J268" s="84" t="str">
        <f aca="false">IF(E268="","",A268&amp;"_2.jpg; "&amp;A268&amp;"_3.jpg")</f>
        <v/>
      </c>
      <c r="K268" s="84" t="str">
        <f aca="false">IF(E268="","",A268&amp;"_schema.jpg")</f>
        <v/>
      </c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 t="s">
        <v>261</v>
      </c>
      <c r="W268" s="81"/>
      <c r="X268" s="81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6" t="str">
        <f aca="false">IF(SUM(Y268:AJ268)=0,"",SUM(Y268:AJ268))</f>
        <v/>
      </c>
      <c r="AL268" s="84" t="str">
        <f aca="false">MID(IF(N(Y268)&gt;0,", "&amp;Y$2,"")&amp;IF(N(Z268)&gt;0,", "&amp;Z$2,"")&amp;IF(N(AA268)&gt;0,", "&amp;AA$2,"")&amp;IF(N(AB268)&gt;0,", "&amp;AB$2,"")&amp;IF(N(AC268)&gt;0,", "&amp;AC$2,"")&amp;IF(N(AD268)&gt;0,", "&amp;AD$2,"")&amp;IF(N(AE268)&gt;0,", "&amp;AE$2,"")&amp;IF(N(AF268)&gt;0,", "&amp;AF$2,"")&amp;IF(N(AG268)&gt;0,", "&amp;AG$2,"")&amp;IF(N(AH268)&gt;0,", "&amp;AH$2,"")&amp;IF(N(AI268)&gt;0,", "&amp;AI$2,"")&amp;IF(N(AJ268)&gt;0,", "&amp;AJ$2,""),3,999)</f>
        <v/>
      </c>
      <c r="AM268" s="87" t="str">
        <f aca="false">IF(E268="","",MID(IF(N(Y268)&gt;0,", "&amp;A268&amp;"-"&amp;Y$2,"")&amp;IF(N(Z268)&gt;0,", "&amp;A268&amp;"-"&amp;Z$2,"")&amp;IF(N(AA268)&gt;0,", "&amp;A268&amp;"-"&amp;AA$2,"")&amp;IF(N(AB268)&gt;0,", "&amp;A268&amp;"-"&amp;AB$2,"")&amp;IF(N(AC268)&gt;0,", "&amp;A268&amp;"-"&amp;AC$2,"")&amp;IF(N(AD268)&gt;0,", "&amp;A268&amp;"-"&amp;AD$2,"")&amp;IF(N(AE268)&gt;0,", "&amp;A268&amp;"-"&amp;AE$2,"")&amp;IF(N(AF268)&gt;0,", "&amp;A268&amp;"-"&amp;AF$2,"")&amp;IF(N(AG268)&gt;0,", "&amp;A268&amp;"-"&amp;AG$2,"")&amp;IF(N(AH268)&gt;0,", "&amp;A268&amp;"-"&amp;AH$2,"")&amp;IF(N(AI268)&gt;0,", "&amp;A268&amp;"-"&amp;AI$2,"")&amp;IF(N(AJ268)&gt;0,", "&amp;A268&amp;"-"&amp;AJ$2,""),3,999))</f>
        <v/>
      </c>
      <c r="AN268" s="81"/>
      <c r="AO268" s="88"/>
      <c r="AP268" s="89" t="str">
        <f aca="false">IF(AO268="","",ROUND(AO268/(1+Справочники!$B$13),2))</f>
        <v/>
      </c>
      <c r="AQ268" s="90" t="str">
        <f aca="false" t="array" ref="AQ268:AQ268">IF(AP268="","",AP268*INDEX(Справочники!$B$4:$B$7,MATCH("RUB",Справочники!$A$4:$A$7,0)))</f>
        <v/>
      </c>
      <c r="AR268" s="90" t="str">
        <f aca="false">IF(AQ268="","",ROUND(AQ268*(1+Справочники!$B$12),0))</f>
        <v/>
      </c>
      <c r="AS268" s="90" t="str">
        <f aca="false">IF(AR268="","",ROUND(AR268*(1-Справочники!$B$11),0))</f>
        <v/>
      </c>
      <c r="AT268" s="88"/>
      <c r="AU268" s="90" t="str">
        <f aca="false">IF(AT268="","",ROUND(AT268/(1+Справочники!$B$12),0))</f>
        <v/>
      </c>
      <c r="AV268" s="90" t="str">
        <f aca="false">IF(AT268="","",ROUND(AT268*(1-Справочники!$B$15),0))</f>
        <v/>
      </c>
      <c r="AW268" s="90" t="str">
        <f aca="false">IF(AT268="","",ROUND(AT268*(1-Справочники!$B$16),0))</f>
        <v/>
      </c>
      <c r="AX268" s="90" t="str">
        <f aca="false">IF(AT268="","",ROUND(AT268*(1-Справочники!$B$17),0))</f>
        <v/>
      </c>
      <c r="AY268" s="90" t="str">
        <f aca="false">IF(AT268="","",ROUND(AT268*(1-Справочники!$B$18),0))</f>
        <v/>
      </c>
      <c r="AZ268" s="90" t="str">
        <f aca="false">IF(AT268="","",ROUND(AT268*(1-Справочники!$B$19),0))</f>
        <v/>
      </c>
      <c r="BA268" s="81"/>
      <c r="BB268" s="81"/>
      <c r="BC268" s="81"/>
      <c r="BD268" s="81"/>
      <c r="BE268" s="91"/>
      <c r="BF268" s="81" t="s">
        <v>103</v>
      </c>
      <c r="BG268" s="89" t="n">
        <f aca="false" t="array" ref="BG268:BG268">IF(BF268="","",IFERROR(INDEX(Справочники!$B$4:$B$7,MATCH(BF268,Справочники!$A$4:$A$7,0)),""))</f>
        <v>68.5</v>
      </c>
      <c r="BH268" s="90" t="str">
        <f aca="false">IF(N(BN268)&gt;0,ROUND(SUMIF(ЗАКАЗЫ!$F$3:$F$500,$A268,ЗАКАЗЫ!$Y$3:$Y$500)/BN268,0),IF(OR(BE268="",BG268=""),"",ROUND(BE268*BG268*(1+Справочники!$B$10),0)))</f>
        <v/>
      </c>
      <c r="BI268" s="92" t="str">
        <f aca="false">IF(OR(AU268="",BH268="",AU268=0),"",(AU268-BH268)/AU268)</f>
        <v/>
      </c>
      <c r="BJ268" s="81"/>
      <c r="BK268" s="83"/>
      <c r="BL268" s="43" t="str">
        <f aca="false">IFERROR(INDEX(ЗАКАЗЫ!$N$3:$N$500,MATCH($A268,ЗАКАЗЫ!$F$3:$F$500,0)),"")</f>
        <v/>
      </c>
      <c r="BM268" s="8" t="str">
        <f aca="false">IF(BL268="","",IFERROR(VLOOKUP(BL268,'ТН ВЭД'!$A$4:$C$40,3,0),""))</f>
        <v/>
      </c>
      <c r="BN268" s="7" t="str">
        <f aca="false">IF(COUNTIF(ЗАКАЗЫ!$F$3:$F$500,$A268)=0,"",SUMIF(ЗАКАЗЫ!$F$3:$F$500,$A268,ЗАКАЗЫ!$J$3:$J$500))</f>
        <v/>
      </c>
      <c r="BO268" s="7" t="str">
        <f aca="false">IF(BN268="","",SUMIF(ЗАКАЗЫ!$F$3:$F$500,$A268,ЗАКАЗЫ!$AL$3:$AL$500))</f>
        <v/>
      </c>
      <c r="BP268" s="7" t="str">
        <f aca="false">IF(BN268="","",BN268-BO268)</f>
        <v/>
      </c>
      <c r="BQ268" s="55" t="str">
        <f aca="false">IF(BN268="","",IF(BO268&gt;=BN268,"На складе",IF(BO268&gt;0,"Частично","Ждём")))</f>
        <v/>
      </c>
      <c r="BR268" s="43"/>
      <c r="BS268" s="47" t="str">
        <f aca="false">IF(BN268="","",IF(_xlfn.MAXIFS(ЗАКАЗЫ!$AK$3:$AK$500,ЗАКАЗЫ!$F$3:$F$500,$A268)=0,"",_xlfn.MAXIFS(ЗАКАЗЫ!$AK$3:$AK$500,ЗАКАЗЫ!$F$3:$F$500,$A268)))</f>
        <v/>
      </c>
    </row>
    <row r="269" customFormat="false" ht="15.75" hidden="false" customHeight="true" outlineLevel="0" collapsed="false">
      <c r="A269" s="80" t="s">
        <v>743</v>
      </c>
      <c r="B269" s="81"/>
      <c r="C269" s="81"/>
      <c r="D269" s="81"/>
      <c r="E269" s="83"/>
      <c r="F269" s="81"/>
      <c r="G269" s="83"/>
      <c r="H269" s="83"/>
      <c r="I269" s="84" t="str">
        <f aca="false">IF(E269="","",A269&amp;"_1.jpg")</f>
        <v/>
      </c>
      <c r="J269" s="84" t="str">
        <f aca="false">IF(E269="","",A269&amp;"_2.jpg; "&amp;A269&amp;"_3.jpg")</f>
        <v/>
      </c>
      <c r="K269" s="84" t="str">
        <f aca="false">IF(E269="","",A269&amp;"_schema.jpg")</f>
        <v/>
      </c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 t="s">
        <v>261</v>
      </c>
      <c r="W269" s="81"/>
      <c r="X269" s="81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6" t="str">
        <f aca="false">IF(SUM(Y269:AJ269)=0,"",SUM(Y269:AJ269))</f>
        <v/>
      </c>
      <c r="AL269" s="84" t="str">
        <f aca="false">MID(IF(N(Y269)&gt;0,", "&amp;Y$2,"")&amp;IF(N(Z269)&gt;0,", "&amp;Z$2,"")&amp;IF(N(AA269)&gt;0,", "&amp;AA$2,"")&amp;IF(N(AB269)&gt;0,", "&amp;AB$2,"")&amp;IF(N(AC269)&gt;0,", "&amp;AC$2,"")&amp;IF(N(AD269)&gt;0,", "&amp;AD$2,"")&amp;IF(N(AE269)&gt;0,", "&amp;AE$2,"")&amp;IF(N(AF269)&gt;0,", "&amp;AF$2,"")&amp;IF(N(AG269)&gt;0,", "&amp;AG$2,"")&amp;IF(N(AH269)&gt;0,", "&amp;AH$2,"")&amp;IF(N(AI269)&gt;0,", "&amp;AI$2,"")&amp;IF(N(AJ269)&gt;0,", "&amp;AJ$2,""),3,999)</f>
        <v/>
      </c>
      <c r="AM269" s="87" t="str">
        <f aca="false">IF(E269="","",MID(IF(N(Y269)&gt;0,", "&amp;A269&amp;"-"&amp;Y$2,"")&amp;IF(N(Z269)&gt;0,", "&amp;A269&amp;"-"&amp;Z$2,"")&amp;IF(N(AA269)&gt;0,", "&amp;A269&amp;"-"&amp;AA$2,"")&amp;IF(N(AB269)&gt;0,", "&amp;A269&amp;"-"&amp;AB$2,"")&amp;IF(N(AC269)&gt;0,", "&amp;A269&amp;"-"&amp;AC$2,"")&amp;IF(N(AD269)&gt;0,", "&amp;A269&amp;"-"&amp;AD$2,"")&amp;IF(N(AE269)&gt;0,", "&amp;A269&amp;"-"&amp;AE$2,"")&amp;IF(N(AF269)&gt;0,", "&amp;A269&amp;"-"&amp;AF$2,"")&amp;IF(N(AG269)&gt;0,", "&amp;A269&amp;"-"&amp;AG$2,"")&amp;IF(N(AH269)&gt;0,", "&amp;A269&amp;"-"&amp;AH$2,"")&amp;IF(N(AI269)&gt;0,", "&amp;A269&amp;"-"&amp;AI$2,"")&amp;IF(N(AJ269)&gt;0,", "&amp;A269&amp;"-"&amp;AJ$2,""),3,999))</f>
        <v/>
      </c>
      <c r="AN269" s="81"/>
      <c r="AO269" s="88"/>
      <c r="AP269" s="89" t="str">
        <f aca="false">IF(AO269="","",ROUND(AO269/(1+Справочники!$B$13),2))</f>
        <v/>
      </c>
      <c r="AQ269" s="90" t="str">
        <f aca="false" t="array" ref="AQ269:AQ269">IF(AP269="","",AP269*INDEX(Справочники!$B$4:$B$7,MATCH("RUB",Справочники!$A$4:$A$7,0)))</f>
        <v/>
      </c>
      <c r="AR269" s="90" t="str">
        <f aca="false">IF(AQ269="","",ROUND(AQ269*(1+Справочники!$B$12),0))</f>
        <v/>
      </c>
      <c r="AS269" s="90" t="str">
        <f aca="false">IF(AR269="","",ROUND(AR269*(1-Справочники!$B$11),0))</f>
        <v/>
      </c>
      <c r="AT269" s="88"/>
      <c r="AU269" s="90" t="str">
        <f aca="false">IF(AT269="","",ROUND(AT269/(1+Справочники!$B$12),0))</f>
        <v/>
      </c>
      <c r="AV269" s="90" t="str">
        <f aca="false">IF(AT269="","",ROUND(AT269*(1-Справочники!$B$15),0))</f>
        <v/>
      </c>
      <c r="AW269" s="90" t="str">
        <f aca="false">IF(AT269="","",ROUND(AT269*(1-Справочники!$B$16),0))</f>
        <v/>
      </c>
      <c r="AX269" s="90" t="str">
        <f aca="false">IF(AT269="","",ROUND(AT269*(1-Справочники!$B$17),0))</f>
        <v/>
      </c>
      <c r="AY269" s="90" t="str">
        <f aca="false">IF(AT269="","",ROUND(AT269*(1-Справочники!$B$18),0))</f>
        <v/>
      </c>
      <c r="AZ269" s="90" t="str">
        <f aca="false">IF(AT269="","",ROUND(AT269*(1-Справочники!$B$19),0))</f>
        <v/>
      </c>
      <c r="BA269" s="81"/>
      <c r="BB269" s="81"/>
      <c r="BC269" s="81"/>
      <c r="BD269" s="81"/>
      <c r="BE269" s="91"/>
      <c r="BF269" s="81" t="s">
        <v>103</v>
      </c>
      <c r="BG269" s="89" t="n">
        <f aca="false" t="array" ref="BG269:BG269">IF(BF269="","",IFERROR(INDEX(Справочники!$B$4:$B$7,MATCH(BF269,Справочники!$A$4:$A$7,0)),""))</f>
        <v>68.5</v>
      </c>
      <c r="BH269" s="90" t="str">
        <f aca="false">IF(N(BN269)&gt;0,ROUND(SUMIF(ЗАКАЗЫ!$F$3:$F$500,$A269,ЗАКАЗЫ!$Y$3:$Y$500)/BN269,0),IF(OR(BE269="",BG269=""),"",ROUND(BE269*BG269*(1+Справочники!$B$10),0)))</f>
        <v/>
      </c>
      <c r="BI269" s="92" t="str">
        <f aca="false">IF(OR(AU269="",BH269="",AU269=0),"",(AU269-BH269)/AU269)</f>
        <v/>
      </c>
      <c r="BJ269" s="81"/>
      <c r="BK269" s="83"/>
      <c r="BL269" s="43" t="str">
        <f aca="false">IFERROR(INDEX(ЗАКАЗЫ!$N$3:$N$500,MATCH($A269,ЗАКАЗЫ!$F$3:$F$500,0)),"")</f>
        <v/>
      </c>
      <c r="BM269" s="8" t="str">
        <f aca="false">IF(BL269="","",IFERROR(VLOOKUP(BL269,'ТН ВЭД'!$A$4:$C$40,3,0),""))</f>
        <v/>
      </c>
      <c r="BN269" s="7" t="str">
        <f aca="false">IF(COUNTIF(ЗАКАЗЫ!$F$3:$F$500,$A269)=0,"",SUMIF(ЗАКАЗЫ!$F$3:$F$500,$A269,ЗАКАЗЫ!$J$3:$J$500))</f>
        <v/>
      </c>
      <c r="BO269" s="7" t="str">
        <f aca="false">IF(BN269="","",SUMIF(ЗАКАЗЫ!$F$3:$F$500,$A269,ЗАКАЗЫ!$AL$3:$AL$500))</f>
        <v/>
      </c>
      <c r="BP269" s="7" t="str">
        <f aca="false">IF(BN269="","",BN269-BO269)</f>
        <v/>
      </c>
      <c r="BQ269" s="55" t="str">
        <f aca="false">IF(BN269="","",IF(BO269&gt;=BN269,"На складе",IF(BO269&gt;0,"Частично","Ждём")))</f>
        <v/>
      </c>
      <c r="BR269" s="43"/>
      <c r="BS269" s="47" t="str">
        <f aca="false">IF(BN269="","",IF(_xlfn.MAXIFS(ЗАКАЗЫ!$AK$3:$AK$500,ЗАКАЗЫ!$F$3:$F$500,$A269)=0,"",_xlfn.MAXIFS(ЗАКАЗЫ!$AK$3:$AK$500,ЗАКАЗЫ!$F$3:$F$500,$A269)))</f>
        <v/>
      </c>
    </row>
    <row r="270" customFormat="false" ht="15.75" hidden="false" customHeight="true" outlineLevel="0" collapsed="false">
      <c r="A270" s="80" t="s">
        <v>744</v>
      </c>
      <c r="B270" s="81"/>
      <c r="C270" s="81"/>
      <c r="D270" s="81"/>
      <c r="E270" s="83"/>
      <c r="F270" s="81"/>
      <c r="G270" s="83"/>
      <c r="H270" s="83"/>
      <c r="I270" s="84" t="str">
        <f aca="false">IF(E270="","",A270&amp;"_1.jpg")</f>
        <v/>
      </c>
      <c r="J270" s="84" t="str">
        <f aca="false">IF(E270="","",A270&amp;"_2.jpg; "&amp;A270&amp;"_3.jpg")</f>
        <v/>
      </c>
      <c r="K270" s="84" t="str">
        <f aca="false">IF(E270="","",A270&amp;"_schema.jpg")</f>
        <v/>
      </c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 t="s">
        <v>261</v>
      </c>
      <c r="W270" s="81"/>
      <c r="X270" s="81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6" t="str">
        <f aca="false">IF(SUM(Y270:AJ270)=0,"",SUM(Y270:AJ270))</f>
        <v/>
      </c>
      <c r="AL270" s="84" t="str">
        <f aca="false">MID(IF(N(Y270)&gt;0,", "&amp;Y$2,"")&amp;IF(N(Z270)&gt;0,", "&amp;Z$2,"")&amp;IF(N(AA270)&gt;0,", "&amp;AA$2,"")&amp;IF(N(AB270)&gt;0,", "&amp;AB$2,"")&amp;IF(N(AC270)&gt;0,", "&amp;AC$2,"")&amp;IF(N(AD270)&gt;0,", "&amp;AD$2,"")&amp;IF(N(AE270)&gt;0,", "&amp;AE$2,"")&amp;IF(N(AF270)&gt;0,", "&amp;AF$2,"")&amp;IF(N(AG270)&gt;0,", "&amp;AG$2,"")&amp;IF(N(AH270)&gt;0,", "&amp;AH$2,"")&amp;IF(N(AI270)&gt;0,", "&amp;AI$2,"")&amp;IF(N(AJ270)&gt;0,", "&amp;AJ$2,""),3,999)</f>
        <v/>
      </c>
      <c r="AM270" s="87" t="str">
        <f aca="false">IF(E270="","",MID(IF(N(Y270)&gt;0,", "&amp;A270&amp;"-"&amp;Y$2,"")&amp;IF(N(Z270)&gt;0,", "&amp;A270&amp;"-"&amp;Z$2,"")&amp;IF(N(AA270)&gt;0,", "&amp;A270&amp;"-"&amp;AA$2,"")&amp;IF(N(AB270)&gt;0,", "&amp;A270&amp;"-"&amp;AB$2,"")&amp;IF(N(AC270)&gt;0,", "&amp;A270&amp;"-"&amp;AC$2,"")&amp;IF(N(AD270)&gt;0,", "&amp;A270&amp;"-"&amp;AD$2,"")&amp;IF(N(AE270)&gt;0,", "&amp;A270&amp;"-"&amp;AE$2,"")&amp;IF(N(AF270)&gt;0,", "&amp;A270&amp;"-"&amp;AF$2,"")&amp;IF(N(AG270)&gt;0,", "&amp;A270&amp;"-"&amp;AG$2,"")&amp;IF(N(AH270)&gt;0,", "&amp;A270&amp;"-"&amp;AH$2,"")&amp;IF(N(AI270)&gt;0,", "&amp;A270&amp;"-"&amp;AI$2,"")&amp;IF(N(AJ270)&gt;0,", "&amp;A270&amp;"-"&amp;AJ$2,""),3,999))</f>
        <v/>
      </c>
      <c r="AN270" s="81"/>
      <c r="AO270" s="88"/>
      <c r="AP270" s="89" t="str">
        <f aca="false">IF(AO270="","",ROUND(AO270/(1+Справочники!$B$13),2))</f>
        <v/>
      </c>
      <c r="AQ270" s="90" t="str">
        <f aca="false" t="array" ref="AQ270:AQ270">IF(AP270="","",AP270*INDEX(Справочники!$B$4:$B$7,MATCH("RUB",Справочники!$A$4:$A$7,0)))</f>
        <v/>
      </c>
      <c r="AR270" s="90" t="str">
        <f aca="false">IF(AQ270="","",ROUND(AQ270*(1+Справочники!$B$12),0))</f>
        <v/>
      </c>
      <c r="AS270" s="90" t="str">
        <f aca="false">IF(AR270="","",ROUND(AR270*(1-Справочники!$B$11),0))</f>
        <v/>
      </c>
      <c r="AT270" s="88"/>
      <c r="AU270" s="90" t="str">
        <f aca="false">IF(AT270="","",ROUND(AT270/(1+Справочники!$B$12),0))</f>
        <v/>
      </c>
      <c r="AV270" s="90" t="str">
        <f aca="false">IF(AT270="","",ROUND(AT270*(1-Справочники!$B$15),0))</f>
        <v/>
      </c>
      <c r="AW270" s="90" t="str">
        <f aca="false">IF(AT270="","",ROUND(AT270*(1-Справочники!$B$16),0))</f>
        <v/>
      </c>
      <c r="AX270" s="90" t="str">
        <f aca="false">IF(AT270="","",ROUND(AT270*(1-Справочники!$B$17),0))</f>
        <v/>
      </c>
      <c r="AY270" s="90" t="str">
        <f aca="false">IF(AT270="","",ROUND(AT270*(1-Справочники!$B$18),0))</f>
        <v/>
      </c>
      <c r="AZ270" s="90" t="str">
        <f aca="false">IF(AT270="","",ROUND(AT270*(1-Справочники!$B$19),0))</f>
        <v/>
      </c>
      <c r="BA270" s="81"/>
      <c r="BB270" s="81"/>
      <c r="BC270" s="81"/>
      <c r="BD270" s="81"/>
      <c r="BE270" s="91"/>
      <c r="BF270" s="81" t="s">
        <v>103</v>
      </c>
      <c r="BG270" s="89" t="n">
        <f aca="false" t="array" ref="BG270:BG270">IF(BF270="","",IFERROR(INDEX(Справочники!$B$4:$B$7,MATCH(BF270,Справочники!$A$4:$A$7,0)),""))</f>
        <v>68.5</v>
      </c>
      <c r="BH270" s="90" t="str">
        <f aca="false">IF(N(BN270)&gt;0,ROUND(SUMIF(ЗАКАЗЫ!$F$3:$F$500,$A270,ЗАКАЗЫ!$Y$3:$Y$500)/BN270,0),IF(OR(BE270="",BG270=""),"",ROUND(BE270*BG270*(1+Справочники!$B$10),0)))</f>
        <v/>
      </c>
      <c r="BI270" s="92" t="str">
        <f aca="false">IF(OR(AU270="",BH270="",AU270=0),"",(AU270-BH270)/AU270)</f>
        <v/>
      </c>
      <c r="BJ270" s="81"/>
      <c r="BK270" s="83"/>
      <c r="BL270" s="43" t="str">
        <f aca="false">IFERROR(INDEX(ЗАКАЗЫ!$N$3:$N$500,MATCH($A270,ЗАКАЗЫ!$F$3:$F$500,0)),"")</f>
        <v/>
      </c>
      <c r="BM270" s="8" t="str">
        <f aca="false">IF(BL270="","",IFERROR(VLOOKUP(BL270,'ТН ВЭД'!$A$4:$C$40,3,0),""))</f>
        <v/>
      </c>
      <c r="BN270" s="7" t="str">
        <f aca="false">IF(COUNTIF(ЗАКАЗЫ!$F$3:$F$500,$A270)=0,"",SUMIF(ЗАКАЗЫ!$F$3:$F$500,$A270,ЗАКАЗЫ!$J$3:$J$500))</f>
        <v/>
      </c>
      <c r="BO270" s="7" t="str">
        <f aca="false">IF(BN270="","",SUMIF(ЗАКАЗЫ!$F$3:$F$500,$A270,ЗАКАЗЫ!$AL$3:$AL$500))</f>
        <v/>
      </c>
      <c r="BP270" s="7" t="str">
        <f aca="false">IF(BN270="","",BN270-BO270)</f>
        <v/>
      </c>
      <c r="BQ270" s="55" t="str">
        <f aca="false">IF(BN270="","",IF(BO270&gt;=BN270,"На складе",IF(BO270&gt;0,"Частично","Ждём")))</f>
        <v/>
      </c>
      <c r="BR270" s="43"/>
      <c r="BS270" s="47" t="str">
        <f aca="false">IF(BN270="","",IF(_xlfn.MAXIFS(ЗАКАЗЫ!$AK$3:$AK$500,ЗАКАЗЫ!$F$3:$F$500,$A270)=0,"",_xlfn.MAXIFS(ЗАКАЗЫ!$AK$3:$AK$500,ЗАКАЗЫ!$F$3:$F$500,$A270)))</f>
        <v/>
      </c>
    </row>
    <row r="271" customFormat="false" ht="15.75" hidden="false" customHeight="true" outlineLevel="0" collapsed="false">
      <c r="A271" s="80" t="s">
        <v>745</v>
      </c>
      <c r="B271" s="81"/>
      <c r="C271" s="81"/>
      <c r="D271" s="81"/>
      <c r="E271" s="83"/>
      <c r="F271" s="81"/>
      <c r="G271" s="83"/>
      <c r="H271" s="83"/>
      <c r="I271" s="84" t="str">
        <f aca="false">IF(E271="","",A271&amp;"_1.jpg")</f>
        <v/>
      </c>
      <c r="J271" s="84" t="str">
        <f aca="false">IF(E271="","",A271&amp;"_2.jpg; "&amp;A271&amp;"_3.jpg")</f>
        <v/>
      </c>
      <c r="K271" s="84" t="str">
        <f aca="false">IF(E271="","",A271&amp;"_schema.jpg")</f>
        <v/>
      </c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 t="s">
        <v>261</v>
      </c>
      <c r="W271" s="81"/>
      <c r="X271" s="81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6" t="str">
        <f aca="false">IF(SUM(Y271:AJ271)=0,"",SUM(Y271:AJ271))</f>
        <v/>
      </c>
      <c r="AL271" s="84" t="str">
        <f aca="false">MID(IF(N(Y271)&gt;0,", "&amp;Y$2,"")&amp;IF(N(Z271)&gt;0,", "&amp;Z$2,"")&amp;IF(N(AA271)&gt;0,", "&amp;AA$2,"")&amp;IF(N(AB271)&gt;0,", "&amp;AB$2,"")&amp;IF(N(AC271)&gt;0,", "&amp;AC$2,"")&amp;IF(N(AD271)&gt;0,", "&amp;AD$2,"")&amp;IF(N(AE271)&gt;0,", "&amp;AE$2,"")&amp;IF(N(AF271)&gt;0,", "&amp;AF$2,"")&amp;IF(N(AG271)&gt;0,", "&amp;AG$2,"")&amp;IF(N(AH271)&gt;0,", "&amp;AH$2,"")&amp;IF(N(AI271)&gt;0,", "&amp;AI$2,"")&amp;IF(N(AJ271)&gt;0,", "&amp;AJ$2,""),3,999)</f>
        <v/>
      </c>
      <c r="AM271" s="87" t="str">
        <f aca="false">IF(E271="","",MID(IF(N(Y271)&gt;0,", "&amp;A271&amp;"-"&amp;Y$2,"")&amp;IF(N(Z271)&gt;0,", "&amp;A271&amp;"-"&amp;Z$2,"")&amp;IF(N(AA271)&gt;0,", "&amp;A271&amp;"-"&amp;AA$2,"")&amp;IF(N(AB271)&gt;0,", "&amp;A271&amp;"-"&amp;AB$2,"")&amp;IF(N(AC271)&gt;0,", "&amp;A271&amp;"-"&amp;AC$2,"")&amp;IF(N(AD271)&gt;0,", "&amp;A271&amp;"-"&amp;AD$2,"")&amp;IF(N(AE271)&gt;0,", "&amp;A271&amp;"-"&amp;AE$2,"")&amp;IF(N(AF271)&gt;0,", "&amp;A271&amp;"-"&amp;AF$2,"")&amp;IF(N(AG271)&gt;0,", "&amp;A271&amp;"-"&amp;AG$2,"")&amp;IF(N(AH271)&gt;0,", "&amp;A271&amp;"-"&amp;AH$2,"")&amp;IF(N(AI271)&gt;0,", "&amp;A271&amp;"-"&amp;AI$2,"")&amp;IF(N(AJ271)&gt;0,", "&amp;A271&amp;"-"&amp;AJ$2,""),3,999))</f>
        <v/>
      </c>
      <c r="AN271" s="81"/>
      <c r="AO271" s="88"/>
      <c r="AP271" s="89" t="str">
        <f aca="false">IF(AO271="","",ROUND(AO271/(1+Справочники!$B$13),2))</f>
        <v/>
      </c>
      <c r="AQ271" s="90" t="str">
        <f aca="false" t="array" ref="AQ271:AQ271">IF(AP271="","",AP271*INDEX(Справочники!$B$4:$B$7,MATCH("RUB",Справочники!$A$4:$A$7,0)))</f>
        <v/>
      </c>
      <c r="AR271" s="90" t="str">
        <f aca="false">IF(AQ271="","",ROUND(AQ271*(1+Справочники!$B$12),0))</f>
        <v/>
      </c>
      <c r="AS271" s="90" t="str">
        <f aca="false">IF(AR271="","",ROUND(AR271*(1-Справочники!$B$11),0))</f>
        <v/>
      </c>
      <c r="AT271" s="88"/>
      <c r="AU271" s="90" t="str">
        <f aca="false">IF(AT271="","",ROUND(AT271/(1+Справочники!$B$12),0))</f>
        <v/>
      </c>
      <c r="AV271" s="90" t="str">
        <f aca="false">IF(AT271="","",ROUND(AT271*(1-Справочники!$B$15),0))</f>
        <v/>
      </c>
      <c r="AW271" s="90" t="str">
        <f aca="false">IF(AT271="","",ROUND(AT271*(1-Справочники!$B$16),0))</f>
        <v/>
      </c>
      <c r="AX271" s="90" t="str">
        <f aca="false">IF(AT271="","",ROUND(AT271*(1-Справочники!$B$17),0))</f>
        <v/>
      </c>
      <c r="AY271" s="90" t="str">
        <f aca="false">IF(AT271="","",ROUND(AT271*(1-Справочники!$B$18),0))</f>
        <v/>
      </c>
      <c r="AZ271" s="90" t="str">
        <f aca="false">IF(AT271="","",ROUND(AT271*(1-Справочники!$B$19),0))</f>
        <v/>
      </c>
      <c r="BA271" s="81"/>
      <c r="BB271" s="81"/>
      <c r="BC271" s="81"/>
      <c r="BD271" s="81"/>
      <c r="BE271" s="91"/>
      <c r="BF271" s="81" t="s">
        <v>103</v>
      </c>
      <c r="BG271" s="89" t="n">
        <f aca="false" t="array" ref="BG271:BG271">IF(BF271="","",IFERROR(INDEX(Справочники!$B$4:$B$7,MATCH(BF271,Справочники!$A$4:$A$7,0)),""))</f>
        <v>68.5</v>
      </c>
      <c r="BH271" s="90" t="str">
        <f aca="false">IF(N(BN271)&gt;0,ROUND(SUMIF(ЗАКАЗЫ!$F$3:$F$500,$A271,ЗАКАЗЫ!$Y$3:$Y$500)/BN271,0),IF(OR(BE271="",BG271=""),"",ROUND(BE271*BG271*(1+Справочники!$B$10),0)))</f>
        <v/>
      </c>
      <c r="BI271" s="92" t="str">
        <f aca="false">IF(OR(AU271="",BH271="",AU271=0),"",(AU271-BH271)/AU271)</f>
        <v/>
      </c>
      <c r="BJ271" s="81"/>
      <c r="BK271" s="83"/>
      <c r="BL271" s="43" t="str">
        <f aca="false">IFERROR(INDEX(ЗАКАЗЫ!$N$3:$N$500,MATCH($A271,ЗАКАЗЫ!$F$3:$F$500,0)),"")</f>
        <v/>
      </c>
      <c r="BM271" s="8" t="str">
        <f aca="false">IF(BL271="","",IFERROR(VLOOKUP(BL271,'ТН ВЭД'!$A$4:$C$40,3,0),""))</f>
        <v/>
      </c>
      <c r="BN271" s="7" t="str">
        <f aca="false">IF(COUNTIF(ЗАКАЗЫ!$F$3:$F$500,$A271)=0,"",SUMIF(ЗАКАЗЫ!$F$3:$F$500,$A271,ЗАКАЗЫ!$J$3:$J$500))</f>
        <v/>
      </c>
      <c r="BO271" s="7" t="str">
        <f aca="false">IF(BN271="","",SUMIF(ЗАКАЗЫ!$F$3:$F$500,$A271,ЗАКАЗЫ!$AL$3:$AL$500))</f>
        <v/>
      </c>
      <c r="BP271" s="7" t="str">
        <f aca="false">IF(BN271="","",BN271-BO271)</f>
        <v/>
      </c>
      <c r="BQ271" s="55" t="str">
        <f aca="false">IF(BN271="","",IF(BO271&gt;=BN271,"На складе",IF(BO271&gt;0,"Частично","Ждём")))</f>
        <v/>
      </c>
      <c r="BR271" s="43"/>
      <c r="BS271" s="47" t="str">
        <f aca="false">IF(BN271="","",IF(_xlfn.MAXIFS(ЗАКАЗЫ!$AK$3:$AK$500,ЗАКАЗЫ!$F$3:$F$500,$A271)=0,"",_xlfn.MAXIFS(ЗАКАЗЫ!$AK$3:$AK$500,ЗАКАЗЫ!$F$3:$F$500,$A271)))</f>
        <v/>
      </c>
    </row>
    <row r="272" customFormat="false" ht="15.75" hidden="false" customHeight="true" outlineLevel="0" collapsed="false">
      <c r="A272" s="80" t="s">
        <v>746</v>
      </c>
      <c r="B272" s="81"/>
      <c r="C272" s="81"/>
      <c r="D272" s="81"/>
      <c r="E272" s="83"/>
      <c r="F272" s="81"/>
      <c r="G272" s="83"/>
      <c r="H272" s="83"/>
      <c r="I272" s="84" t="str">
        <f aca="false">IF(E272="","",A272&amp;"_1.jpg")</f>
        <v/>
      </c>
      <c r="J272" s="84" t="str">
        <f aca="false">IF(E272="","",A272&amp;"_2.jpg; "&amp;A272&amp;"_3.jpg")</f>
        <v/>
      </c>
      <c r="K272" s="84" t="str">
        <f aca="false">IF(E272="","",A272&amp;"_schema.jpg")</f>
        <v/>
      </c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 t="s">
        <v>261</v>
      </c>
      <c r="W272" s="81"/>
      <c r="X272" s="81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6" t="str">
        <f aca="false">IF(SUM(Y272:AJ272)=0,"",SUM(Y272:AJ272))</f>
        <v/>
      </c>
      <c r="AL272" s="84" t="str">
        <f aca="false">MID(IF(N(Y272)&gt;0,", "&amp;Y$2,"")&amp;IF(N(Z272)&gt;0,", "&amp;Z$2,"")&amp;IF(N(AA272)&gt;0,", "&amp;AA$2,"")&amp;IF(N(AB272)&gt;0,", "&amp;AB$2,"")&amp;IF(N(AC272)&gt;0,", "&amp;AC$2,"")&amp;IF(N(AD272)&gt;0,", "&amp;AD$2,"")&amp;IF(N(AE272)&gt;0,", "&amp;AE$2,"")&amp;IF(N(AF272)&gt;0,", "&amp;AF$2,"")&amp;IF(N(AG272)&gt;0,", "&amp;AG$2,"")&amp;IF(N(AH272)&gt;0,", "&amp;AH$2,"")&amp;IF(N(AI272)&gt;0,", "&amp;AI$2,"")&amp;IF(N(AJ272)&gt;0,", "&amp;AJ$2,""),3,999)</f>
        <v/>
      </c>
      <c r="AM272" s="87" t="str">
        <f aca="false">IF(E272="","",MID(IF(N(Y272)&gt;0,", "&amp;A272&amp;"-"&amp;Y$2,"")&amp;IF(N(Z272)&gt;0,", "&amp;A272&amp;"-"&amp;Z$2,"")&amp;IF(N(AA272)&gt;0,", "&amp;A272&amp;"-"&amp;AA$2,"")&amp;IF(N(AB272)&gt;0,", "&amp;A272&amp;"-"&amp;AB$2,"")&amp;IF(N(AC272)&gt;0,", "&amp;A272&amp;"-"&amp;AC$2,"")&amp;IF(N(AD272)&gt;0,", "&amp;A272&amp;"-"&amp;AD$2,"")&amp;IF(N(AE272)&gt;0,", "&amp;A272&amp;"-"&amp;AE$2,"")&amp;IF(N(AF272)&gt;0,", "&amp;A272&amp;"-"&amp;AF$2,"")&amp;IF(N(AG272)&gt;0,", "&amp;A272&amp;"-"&amp;AG$2,"")&amp;IF(N(AH272)&gt;0,", "&amp;A272&amp;"-"&amp;AH$2,"")&amp;IF(N(AI272)&gt;0,", "&amp;A272&amp;"-"&amp;AI$2,"")&amp;IF(N(AJ272)&gt;0,", "&amp;A272&amp;"-"&amp;AJ$2,""),3,999))</f>
        <v/>
      </c>
      <c r="AN272" s="81"/>
      <c r="AO272" s="88"/>
      <c r="AP272" s="89" t="str">
        <f aca="false">IF(AO272="","",ROUND(AO272/(1+Справочники!$B$13),2))</f>
        <v/>
      </c>
      <c r="AQ272" s="90" t="str">
        <f aca="false" t="array" ref="AQ272:AQ272">IF(AP272="","",AP272*INDEX(Справочники!$B$4:$B$7,MATCH("RUB",Справочники!$A$4:$A$7,0)))</f>
        <v/>
      </c>
      <c r="AR272" s="90" t="str">
        <f aca="false">IF(AQ272="","",ROUND(AQ272*(1+Справочники!$B$12),0))</f>
        <v/>
      </c>
      <c r="AS272" s="90" t="str">
        <f aca="false">IF(AR272="","",ROUND(AR272*(1-Справочники!$B$11),0))</f>
        <v/>
      </c>
      <c r="AT272" s="88"/>
      <c r="AU272" s="90" t="str">
        <f aca="false">IF(AT272="","",ROUND(AT272/(1+Справочники!$B$12),0))</f>
        <v/>
      </c>
      <c r="AV272" s="90" t="str">
        <f aca="false">IF(AT272="","",ROUND(AT272*(1-Справочники!$B$15),0))</f>
        <v/>
      </c>
      <c r="AW272" s="90" t="str">
        <f aca="false">IF(AT272="","",ROUND(AT272*(1-Справочники!$B$16),0))</f>
        <v/>
      </c>
      <c r="AX272" s="90" t="str">
        <f aca="false">IF(AT272="","",ROUND(AT272*(1-Справочники!$B$17),0))</f>
        <v/>
      </c>
      <c r="AY272" s="90" t="str">
        <f aca="false">IF(AT272="","",ROUND(AT272*(1-Справочники!$B$18),0))</f>
        <v/>
      </c>
      <c r="AZ272" s="90" t="str">
        <f aca="false">IF(AT272="","",ROUND(AT272*(1-Справочники!$B$19),0))</f>
        <v/>
      </c>
      <c r="BA272" s="81"/>
      <c r="BB272" s="81"/>
      <c r="BC272" s="81"/>
      <c r="BD272" s="81"/>
      <c r="BE272" s="91"/>
      <c r="BF272" s="81" t="s">
        <v>103</v>
      </c>
      <c r="BG272" s="89" t="n">
        <f aca="false" t="array" ref="BG272:BG272">IF(BF272="","",IFERROR(INDEX(Справочники!$B$4:$B$7,MATCH(BF272,Справочники!$A$4:$A$7,0)),""))</f>
        <v>68.5</v>
      </c>
      <c r="BH272" s="90" t="str">
        <f aca="false">IF(N(BN272)&gt;0,ROUND(SUMIF(ЗАКАЗЫ!$F$3:$F$500,$A272,ЗАКАЗЫ!$Y$3:$Y$500)/BN272,0),IF(OR(BE272="",BG272=""),"",ROUND(BE272*BG272*(1+Справочники!$B$10),0)))</f>
        <v/>
      </c>
      <c r="BI272" s="92" t="str">
        <f aca="false">IF(OR(AU272="",BH272="",AU272=0),"",(AU272-BH272)/AU272)</f>
        <v/>
      </c>
      <c r="BJ272" s="81"/>
      <c r="BK272" s="83"/>
      <c r="BL272" s="43" t="str">
        <f aca="false">IFERROR(INDEX(ЗАКАЗЫ!$N$3:$N$500,MATCH($A272,ЗАКАЗЫ!$F$3:$F$500,0)),"")</f>
        <v/>
      </c>
      <c r="BM272" s="8" t="str">
        <f aca="false">IF(BL272="","",IFERROR(VLOOKUP(BL272,'ТН ВЭД'!$A$4:$C$40,3,0),""))</f>
        <v/>
      </c>
      <c r="BN272" s="7" t="str">
        <f aca="false">IF(COUNTIF(ЗАКАЗЫ!$F$3:$F$500,$A272)=0,"",SUMIF(ЗАКАЗЫ!$F$3:$F$500,$A272,ЗАКАЗЫ!$J$3:$J$500))</f>
        <v/>
      </c>
      <c r="BO272" s="7" t="str">
        <f aca="false">IF(BN272="","",SUMIF(ЗАКАЗЫ!$F$3:$F$500,$A272,ЗАКАЗЫ!$AL$3:$AL$500))</f>
        <v/>
      </c>
      <c r="BP272" s="7" t="str">
        <f aca="false">IF(BN272="","",BN272-BO272)</f>
        <v/>
      </c>
      <c r="BQ272" s="55" t="str">
        <f aca="false">IF(BN272="","",IF(BO272&gt;=BN272,"На складе",IF(BO272&gt;0,"Частично","Ждём")))</f>
        <v/>
      </c>
      <c r="BR272" s="43"/>
      <c r="BS272" s="47" t="str">
        <f aca="false">IF(BN272="","",IF(_xlfn.MAXIFS(ЗАКАЗЫ!$AK$3:$AK$500,ЗАКАЗЫ!$F$3:$F$500,$A272)=0,"",_xlfn.MAXIFS(ЗАКАЗЫ!$AK$3:$AK$500,ЗАКАЗЫ!$F$3:$F$500,$A272)))</f>
        <v/>
      </c>
    </row>
    <row r="273" customFormat="false" ht="15.75" hidden="false" customHeight="true" outlineLevel="0" collapsed="false">
      <c r="A273" s="80" t="s">
        <v>747</v>
      </c>
      <c r="B273" s="81"/>
      <c r="C273" s="81"/>
      <c r="D273" s="81"/>
      <c r="E273" s="83"/>
      <c r="F273" s="81"/>
      <c r="G273" s="83"/>
      <c r="H273" s="83"/>
      <c r="I273" s="84" t="str">
        <f aca="false">IF(E273="","",A273&amp;"_1.jpg")</f>
        <v/>
      </c>
      <c r="J273" s="84" t="str">
        <f aca="false">IF(E273="","",A273&amp;"_2.jpg; "&amp;A273&amp;"_3.jpg")</f>
        <v/>
      </c>
      <c r="K273" s="84" t="str">
        <f aca="false">IF(E273="","",A273&amp;"_schema.jpg")</f>
        <v/>
      </c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 t="s">
        <v>261</v>
      </c>
      <c r="W273" s="81"/>
      <c r="X273" s="81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6" t="str">
        <f aca="false">IF(SUM(Y273:AJ273)=0,"",SUM(Y273:AJ273))</f>
        <v/>
      </c>
      <c r="AL273" s="84" t="str">
        <f aca="false">MID(IF(N(Y273)&gt;0,", "&amp;Y$2,"")&amp;IF(N(Z273)&gt;0,", "&amp;Z$2,"")&amp;IF(N(AA273)&gt;0,", "&amp;AA$2,"")&amp;IF(N(AB273)&gt;0,", "&amp;AB$2,"")&amp;IF(N(AC273)&gt;0,", "&amp;AC$2,"")&amp;IF(N(AD273)&gt;0,", "&amp;AD$2,"")&amp;IF(N(AE273)&gt;0,", "&amp;AE$2,"")&amp;IF(N(AF273)&gt;0,", "&amp;AF$2,"")&amp;IF(N(AG273)&gt;0,", "&amp;AG$2,"")&amp;IF(N(AH273)&gt;0,", "&amp;AH$2,"")&amp;IF(N(AI273)&gt;0,", "&amp;AI$2,"")&amp;IF(N(AJ273)&gt;0,", "&amp;AJ$2,""),3,999)</f>
        <v/>
      </c>
      <c r="AM273" s="87" t="str">
        <f aca="false">IF(E273="","",MID(IF(N(Y273)&gt;0,", "&amp;A273&amp;"-"&amp;Y$2,"")&amp;IF(N(Z273)&gt;0,", "&amp;A273&amp;"-"&amp;Z$2,"")&amp;IF(N(AA273)&gt;0,", "&amp;A273&amp;"-"&amp;AA$2,"")&amp;IF(N(AB273)&gt;0,", "&amp;A273&amp;"-"&amp;AB$2,"")&amp;IF(N(AC273)&gt;0,", "&amp;A273&amp;"-"&amp;AC$2,"")&amp;IF(N(AD273)&gt;0,", "&amp;A273&amp;"-"&amp;AD$2,"")&amp;IF(N(AE273)&gt;0,", "&amp;A273&amp;"-"&amp;AE$2,"")&amp;IF(N(AF273)&gt;0,", "&amp;A273&amp;"-"&amp;AF$2,"")&amp;IF(N(AG273)&gt;0,", "&amp;A273&amp;"-"&amp;AG$2,"")&amp;IF(N(AH273)&gt;0,", "&amp;A273&amp;"-"&amp;AH$2,"")&amp;IF(N(AI273)&gt;0,", "&amp;A273&amp;"-"&amp;AI$2,"")&amp;IF(N(AJ273)&gt;0,", "&amp;A273&amp;"-"&amp;AJ$2,""),3,999))</f>
        <v/>
      </c>
      <c r="AN273" s="81"/>
      <c r="AO273" s="88"/>
      <c r="AP273" s="89" t="str">
        <f aca="false">IF(AO273="","",ROUND(AO273/(1+Справочники!$B$13),2))</f>
        <v/>
      </c>
      <c r="AQ273" s="90" t="str">
        <f aca="false" t="array" ref="AQ273:AQ273">IF(AP273="","",AP273*INDEX(Справочники!$B$4:$B$7,MATCH("RUB",Справочники!$A$4:$A$7,0)))</f>
        <v/>
      </c>
      <c r="AR273" s="90" t="str">
        <f aca="false">IF(AQ273="","",ROUND(AQ273*(1+Справочники!$B$12),0))</f>
        <v/>
      </c>
      <c r="AS273" s="90" t="str">
        <f aca="false">IF(AR273="","",ROUND(AR273*(1-Справочники!$B$11),0))</f>
        <v/>
      </c>
      <c r="AT273" s="88"/>
      <c r="AU273" s="90" t="str">
        <f aca="false">IF(AT273="","",ROUND(AT273/(1+Справочники!$B$12),0))</f>
        <v/>
      </c>
      <c r="AV273" s="90" t="str">
        <f aca="false">IF(AT273="","",ROUND(AT273*(1-Справочники!$B$15),0))</f>
        <v/>
      </c>
      <c r="AW273" s="90" t="str">
        <f aca="false">IF(AT273="","",ROUND(AT273*(1-Справочники!$B$16),0))</f>
        <v/>
      </c>
      <c r="AX273" s="90" t="str">
        <f aca="false">IF(AT273="","",ROUND(AT273*(1-Справочники!$B$17),0))</f>
        <v/>
      </c>
      <c r="AY273" s="90" t="str">
        <f aca="false">IF(AT273="","",ROUND(AT273*(1-Справочники!$B$18),0))</f>
        <v/>
      </c>
      <c r="AZ273" s="90" t="str">
        <f aca="false">IF(AT273="","",ROUND(AT273*(1-Справочники!$B$19),0))</f>
        <v/>
      </c>
      <c r="BA273" s="81"/>
      <c r="BB273" s="81"/>
      <c r="BC273" s="81"/>
      <c r="BD273" s="81"/>
      <c r="BE273" s="91"/>
      <c r="BF273" s="81" t="s">
        <v>103</v>
      </c>
      <c r="BG273" s="89" t="n">
        <f aca="false" t="array" ref="BG273:BG273">IF(BF273="","",IFERROR(INDEX(Справочники!$B$4:$B$7,MATCH(BF273,Справочники!$A$4:$A$7,0)),""))</f>
        <v>68.5</v>
      </c>
      <c r="BH273" s="90" t="str">
        <f aca="false">IF(N(BN273)&gt;0,ROUND(SUMIF(ЗАКАЗЫ!$F$3:$F$500,$A273,ЗАКАЗЫ!$Y$3:$Y$500)/BN273,0),IF(OR(BE273="",BG273=""),"",ROUND(BE273*BG273*(1+Справочники!$B$10),0)))</f>
        <v/>
      </c>
      <c r="BI273" s="92" t="str">
        <f aca="false">IF(OR(AU273="",BH273="",AU273=0),"",(AU273-BH273)/AU273)</f>
        <v/>
      </c>
      <c r="BJ273" s="81"/>
      <c r="BK273" s="83"/>
      <c r="BL273" s="43" t="str">
        <f aca="false">IFERROR(INDEX(ЗАКАЗЫ!$N$3:$N$500,MATCH($A273,ЗАКАЗЫ!$F$3:$F$500,0)),"")</f>
        <v/>
      </c>
      <c r="BM273" s="8" t="str">
        <f aca="false">IF(BL273="","",IFERROR(VLOOKUP(BL273,'ТН ВЭД'!$A$4:$C$40,3,0),""))</f>
        <v/>
      </c>
      <c r="BN273" s="7" t="str">
        <f aca="false">IF(COUNTIF(ЗАКАЗЫ!$F$3:$F$500,$A273)=0,"",SUMIF(ЗАКАЗЫ!$F$3:$F$500,$A273,ЗАКАЗЫ!$J$3:$J$500))</f>
        <v/>
      </c>
      <c r="BO273" s="7" t="str">
        <f aca="false">IF(BN273="","",SUMIF(ЗАКАЗЫ!$F$3:$F$500,$A273,ЗАКАЗЫ!$AL$3:$AL$500))</f>
        <v/>
      </c>
      <c r="BP273" s="7" t="str">
        <f aca="false">IF(BN273="","",BN273-BO273)</f>
        <v/>
      </c>
      <c r="BQ273" s="55" t="str">
        <f aca="false">IF(BN273="","",IF(BO273&gt;=BN273,"На складе",IF(BO273&gt;0,"Частично","Ждём")))</f>
        <v/>
      </c>
      <c r="BR273" s="43"/>
      <c r="BS273" s="47" t="str">
        <f aca="false">IF(BN273="","",IF(_xlfn.MAXIFS(ЗАКАЗЫ!$AK$3:$AK$500,ЗАКАЗЫ!$F$3:$F$500,$A273)=0,"",_xlfn.MAXIFS(ЗАКАЗЫ!$AK$3:$AK$500,ЗАКАЗЫ!$F$3:$F$500,$A273)))</f>
        <v/>
      </c>
    </row>
    <row r="274" customFormat="false" ht="15.75" hidden="false" customHeight="true" outlineLevel="0" collapsed="false">
      <c r="A274" s="80" t="s">
        <v>748</v>
      </c>
      <c r="B274" s="81"/>
      <c r="C274" s="81"/>
      <c r="D274" s="81"/>
      <c r="E274" s="83"/>
      <c r="F274" s="81"/>
      <c r="G274" s="83"/>
      <c r="H274" s="83"/>
      <c r="I274" s="84" t="str">
        <f aca="false">IF(E274="","",A274&amp;"_1.jpg")</f>
        <v/>
      </c>
      <c r="J274" s="84" t="str">
        <f aca="false">IF(E274="","",A274&amp;"_2.jpg; "&amp;A274&amp;"_3.jpg")</f>
        <v/>
      </c>
      <c r="K274" s="84" t="str">
        <f aca="false">IF(E274="","",A274&amp;"_schema.jpg")</f>
        <v/>
      </c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 t="s">
        <v>261</v>
      </c>
      <c r="W274" s="81"/>
      <c r="X274" s="81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6" t="str">
        <f aca="false">IF(SUM(Y274:AJ274)=0,"",SUM(Y274:AJ274))</f>
        <v/>
      </c>
      <c r="AL274" s="84" t="str">
        <f aca="false">MID(IF(N(Y274)&gt;0,", "&amp;Y$2,"")&amp;IF(N(Z274)&gt;0,", "&amp;Z$2,"")&amp;IF(N(AA274)&gt;0,", "&amp;AA$2,"")&amp;IF(N(AB274)&gt;0,", "&amp;AB$2,"")&amp;IF(N(AC274)&gt;0,", "&amp;AC$2,"")&amp;IF(N(AD274)&gt;0,", "&amp;AD$2,"")&amp;IF(N(AE274)&gt;0,", "&amp;AE$2,"")&amp;IF(N(AF274)&gt;0,", "&amp;AF$2,"")&amp;IF(N(AG274)&gt;0,", "&amp;AG$2,"")&amp;IF(N(AH274)&gt;0,", "&amp;AH$2,"")&amp;IF(N(AI274)&gt;0,", "&amp;AI$2,"")&amp;IF(N(AJ274)&gt;0,", "&amp;AJ$2,""),3,999)</f>
        <v/>
      </c>
      <c r="AM274" s="87" t="str">
        <f aca="false">IF(E274="","",MID(IF(N(Y274)&gt;0,", "&amp;A274&amp;"-"&amp;Y$2,"")&amp;IF(N(Z274)&gt;0,", "&amp;A274&amp;"-"&amp;Z$2,"")&amp;IF(N(AA274)&gt;0,", "&amp;A274&amp;"-"&amp;AA$2,"")&amp;IF(N(AB274)&gt;0,", "&amp;A274&amp;"-"&amp;AB$2,"")&amp;IF(N(AC274)&gt;0,", "&amp;A274&amp;"-"&amp;AC$2,"")&amp;IF(N(AD274)&gt;0,", "&amp;A274&amp;"-"&amp;AD$2,"")&amp;IF(N(AE274)&gt;0,", "&amp;A274&amp;"-"&amp;AE$2,"")&amp;IF(N(AF274)&gt;0,", "&amp;A274&amp;"-"&amp;AF$2,"")&amp;IF(N(AG274)&gt;0,", "&amp;A274&amp;"-"&amp;AG$2,"")&amp;IF(N(AH274)&gt;0,", "&amp;A274&amp;"-"&amp;AH$2,"")&amp;IF(N(AI274)&gt;0,", "&amp;A274&amp;"-"&amp;AI$2,"")&amp;IF(N(AJ274)&gt;0,", "&amp;A274&amp;"-"&amp;AJ$2,""),3,999))</f>
        <v/>
      </c>
      <c r="AN274" s="81"/>
      <c r="AO274" s="88"/>
      <c r="AP274" s="89" t="str">
        <f aca="false">IF(AO274="","",ROUND(AO274/(1+Справочники!$B$13),2))</f>
        <v/>
      </c>
      <c r="AQ274" s="90" t="str">
        <f aca="false" t="array" ref="AQ274:AQ274">IF(AP274="","",AP274*INDEX(Справочники!$B$4:$B$7,MATCH("RUB",Справочники!$A$4:$A$7,0)))</f>
        <v/>
      </c>
      <c r="AR274" s="90" t="str">
        <f aca="false">IF(AQ274="","",ROUND(AQ274*(1+Справочники!$B$12),0))</f>
        <v/>
      </c>
      <c r="AS274" s="90" t="str">
        <f aca="false">IF(AR274="","",ROUND(AR274*(1-Справочники!$B$11),0))</f>
        <v/>
      </c>
      <c r="AT274" s="88"/>
      <c r="AU274" s="90" t="str">
        <f aca="false">IF(AT274="","",ROUND(AT274/(1+Справочники!$B$12),0))</f>
        <v/>
      </c>
      <c r="AV274" s="90" t="str">
        <f aca="false">IF(AT274="","",ROUND(AT274*(1-Справочники!$B$15),0))</f>
        <v/>
      </c>
      <c r="AW274" s="90" t="str">
        <f aca="false">IF(AT274="","",ROUND(AT274*(1-Справочники!$B$16),0))</f>
        <v/>
      </c>
      <c r="AX274" s="90" t="str">
        <f aca="false">IF(AT274="","",ROUND(AT274*(1-Справочники!$B$17),0))</f>
        <v/>
      </c>
      <c r="AY274" s="90" t="str">
        <f aca="false">IF(AT274="","",ROUND(AT274*(1-Справочники!$B$18),0))</f>
        <v/>
      </c>
      <c r="AZ274" s="90" t="str">
        <f aca="false">IF(AT274="","",ROUND(AT274*(1-Справочники!$B$19),0))</f>
        <v/>
      </c>
      <c r="BA274" s="81"/>
      <c r="BB274" s="81"/>
      <c r="BC274" s="81"/>
      <c r="BD274" s="81"/>
      <c r="BE274" s="91"/>
      <c r="BF274" s="81" t="s">
        <v>103</v>
      </c>
      <c r="BG274" s="89" t="n">
        <f aca="false" t="array" ref="BG274:BG274">IF(BF274="","",IFERROR(INDEX(Справочники!$B$4:$B$7,MATCH(BF274,Справочники!$A$4:$A$7,0)),""))</f>
        <v>68.5</v>
      </c>
      <c r="BH274" s="90" t="str">
        <f aca="false">IF(N(BN274)&gt;0,ROUND(SUMIF(ЗАКАЗЫ!$F$3:$F$500,$A274,ЗАКАЗЫ!$Y$3:$Y$500)/BN274,0),IF(OR(BE274="",BG274=""),"",ROUND(BE274*BG274*(1+Справочники!$B$10),0)))</f>
        <v/>
      </c>
      <c r="BI274" s="92" t="str">
        <f aca="false">IF(OR(AU274="",BH274="",AU274=0),"",(AU274-BH274)/AU274)</f>
        <v/>
      </c>
      <c r="BJ274" s="81"/>
      <c r="BK274" s="83"/>
      <c r="BL274" s="43" t="str">
        <f aca="false">IFERROR(INDEX(ЗАКАЗЫ!$N$3:$N$500,MATCH($A274,ЗАКАЗЫ!$F$3:$F$500,0)),"")</f>
        <v/>
      </c>
      <c r="BM274" s="8" t="str">
        <f aca="false">IF(BL274="","",IFERROR(VLOOKUP(BL274,'ТН ВЭД'!$A$4:$C$40,3,0),""))</f>
        <v/>
      </c>
      <c r="BN274" s="7" t="str">
        <f aca="false">IF(COUNTIF(ЗАКАЗЫ!$F$3:$F$500,$A274)=0,"",SUMIF(ЗАКАЗЫ!$F$3:$F$500,$A274,ЗАКАЗЫ!$J$3:$J$500))</f>
        <v/>
      </c>
      <c r="BO274" s="7" t="str">
        <f aca="false">IF(BN274="","",SUMIF(ЗАКАЗЫ!$F$3:$F$500,$A274,ЗАКАЗЫ!$AL$3:$AL$500))</f>
        <v/>
      </c>
      <c r="BP274" s="7" t="str">
        <f aca="false">IF(BN274="","",BN274-BO274)</f>
        <v/>
      </c>
      <c r="BQ274" s="55" t="str">
        <f aca="false">IF(BN274="","",IF(BO274&gt;=BN274,"На складе",IF(BO274&gt;0,"Частично","Ждём")))</f>
        <v/>
      </c>
      <c r="BR274" s="43"/>
      <c r="BS274" s="47" t="str">
        <f aca="false">IF(BN274="","",IF(_xlfn.MAXIFS(ЗАКАЗЫ!$AK$3:$AK$500,ЗАКАЗЫ!$F$3:$F$500,$A274)=0,"",_xlfn.MAXIFS(ЗАКАЗЫ!$AK$3:$AK$500,ЗАКАЗЫ!$F$3:$F$500,$A274)))</f>
        <v/>
      </c>
    </row>
    <row r="275" customFormat="false" ht="15.75" hidden="false" customHeight="true" outlineLevel="0" collapsed="false">
      <c r="A275" s="80" t="s">
        <v>749</v>
      </c>
      <c r="B275" s="81"/>
      <c r="C275" s="81"/>
      <c r="D275" s="81"/>
      <c r="E275" s="83"/>
      <c r="F275" s="81"/>
      <c r="G275" s="83"/>
      <c r="H275" s="83"/>
      <c r="I275" s="84" t="str">
        <f aca="false">IF(E275="","",A275&amp;"_1.jpg")</f>
        <v/>
      </c>
      <c r="J275" s="84" t="str">
        <f aca="false">IF(E275="","",A275&amp;"_2.jpg; "&amp;A275&amp;"_3.jpg")</f>
        <v/>
      </c>
      <c r="K275" s="84" t="str">
        <f aca="false">IF(E275="","",A275&amp;"_schema.jpg")</f>
        <v/>
      </c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 t="s">
        <v>261</v>
      </c>
      <c r="W275" s="81"/>
      <c r="X275" s="81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6" t="str">
        <f aca="false">IF(SUM(Y275:AJ275)=0,"",SUM(Y275:AJ275))</f>
        <v/>
      </c>
      <c r="AL275" s="84" t="str">
        <f aca="false">MID(IF(N(Y275)&gt;0,", "&amp;Y$2,"")&amp;IF(N(Z275)&gt;0,", "&amp;Z$2,"")&amp;IF(N(AA275)&gt;0,", "&amp;AA$2,"")&amp;IF(N(AB275)&gt;0,", "&amp;AB$2,"")&amp;IF(N(AC275)&gt;0,", "&amp;AC$2,"")&amp;IF(N(AD275)&gt;0,", "&amp;AD$2,"")&amp;IF(N(AE275)&gt;0,", "&amp;AE$2,"")&amp;IF(N(AF275)&gt;0,", "&amp;AF$2,"")&amp;IF(N(AG275)&gt;0,", "&amp;AG$2,"")&amp;IF(N(AH275)&gt;0,", "&amp;AH$2,"")&amp;IF(N(AI275)&gt;0,", "&amp;AI$2,"")&amp;IF(N(AJ275)&gt;0,", "&amp;AJ$2,""),3,999)</f>
        <v/>
      </c>
      <c r="AM275" s="87" t="str">
        <f aca="false">IF(E275="","",MID(IF(N(Y275)&gt;0,", "&amp;A275&amp;"-"&amp;Y$2,"")&amp;IF(N(Z275)&gt;0,", "&amp;A275&amp;"-"&amp;Z$2,"")&amp;IF(N(AA275)&gt;0,", "&amp;A275&amp;"-"&amp;AA$2,"")&amp;IF(N(AB275)&gt;0,", "&amp;A275&amp;"-"&amp;AB$2,"")&amp;IF(N(AC275)&gt;0,", "&amp;A275&amp;"-"&amp;AC$2,"")&amp;IF(N(AD275)&gt;0,", "&amp;A275&amp;"-"&amp;AD$2,"")&amp;IF(N(AE275)&gt;0,", "&amp;A275&amp;"-"&amp;AE$2,"")&amp;IF(N(AF275)&gt;0,", "&amp;A275&amp;"-"&amp;AF$2,"")&amp;IF(N(AG275)&gt;0,", "&amp;A275&amp;"-"&amp;AG$2,"")&amp;IF(N(AH275)&gt;0,", "&amp;A275&amp;"-"&amp;AH$2,"")&amp;IF(N(AI275)&gt;0,", "&amp;A275&amp;"-"&amp;AI$2,"")&amp;IF(N(AJ275)&gt;0,", "&amp;A275&amp;"-"&amp;AJ$2,""),3,999))</f>
        <v/>
      </c>
      <c r="AN275" s="81"/>
      <c r="AO275" s="88"/>
      <c r="AP275" s="89" t="str">
        <f aca="false">IF(AO275="","",ROUND(AO275/(1+Справочники!$B$13),2))</f>
        <v/>
      </c>
      <c r="AQ275" s="90" t="str">
        <f aca="false" t="array" ref="AQ275:AQ275">IF(AP275="","",AP275*INDEX(Справочники!$B$4:$B$7,MATCH("RUB",Справочники!$A$4:$A$7,0)))</f>
        <v/>
      </c>
      <c r="AR275" s="90" t="str">
        <f aca="false">IF(AQ275="","",ROUND(AQ275*(1+Справочники!$B$12),0))</f>
        <v/>
      </c>
      <c r="AS275" s="90" t="str">
        <f aca="false">IF(AR275="","",ROUND(AR275*(1-Справочники!$B$11),0))</f>
        <v/>
      </c>
      <c r="AT275" s="88"/>
      <c r="AU275" s="90" t="str">
        <f aca="false">IF(AT275="","",ROUND(AT275/(1+Справочники!$B$12),0))</f>
        <v/>
      </c>
      <c r="AV275" s="90" t="str">
        <f aca="false">IF(AT275="","",ROUND(AT275*(1-Справочники!$B$15),0))</f>
        <v/>
      </c>
      <c r="AW275" s="90" t="str">
        <f aca="false">IF(AT275="","",ROUND(AT275*(1-Справочники!$B$16),0))</f>
        <v/>
      </c>
      <c r="AX275" s="90" t="str">
        <f aca="false">IF(AT275="","",ROUND(AT275*(1-Справочники!$B$17),0))</f>
        <v/>
      </c>
      <c r="AY275" s="90" t="str">
        <f aca="false">IF(AT275="","",ROUND(AT275*(1-Справочники!$B$18),0))</f>
        <v/>
      </c>
      <c r="AZ275" s="90" t="str">
        <f aca="false">IF(AT275="","",ROUND(AT275*(1-Справочники!$B$19),0))</f>
        <v/>
      </c>
      <c r="BA275" s="81"/>
      <c r="BB275" s="81"/>
      <c r="BC275" s="81"/>
      <c r="BD275" s="81"/>
      <c r="BE275" s="91"/>
      <c r="BF275" s="81" t="s">
        <v>103</v>
      </c>
      <c r="BG275" s="89" t="n">
        <f aca="false" t="array" ref="BG275:BG275">IF(BF275="","",IFERROR(INDEX(Справочники!$B$4:$B$7,MATCH(BF275,Справочники!$A$4:$A$7,0)),""))</f>
        <v>68.5</v>
      </c>
      <c r="BH275" s="90" t="str">
        <f aca="false">IF(N(BN275)&gt;0,ROUND(SUMIF(ЗАКАЗЫ!$F$3:$F$500,$A275,ЗАКАЗЫ!$Y$3:$Y$500)/BN275,0),IF(OR(BE275="",BG275=""),"",ROUND(BE275*BG275*(1+Справочники!$B$10),0)))</f>
        <v/>
      </c>
      <c r="BI275" s="92" t="str">
        <f aca="false">IF(OR(AU275="",BH275="",AU275=0),"",(AU275-BH275)/AU275)</f>
        <v/>
      </c>
      <c r="BJ275" s="81"/>
      <c r="BK275" s="83"/>
      <c r="BL275" s="43" t="str">
        <f aca="false">IFERROR(INDEX(ЗАКАЗЫ!$N$3:$N$500,MATCH($A275,ЗАКАЗЫ!$F$3:$F$500,0)),"")</f>
        <v/>
      </c>
      <c r="BM275" s="8" t="str">
        <f aca="false">IF(BL275="","",IFERROR(VLOOKUP(BL275,'ТН ВЭД'!$A$4:$C$40,3,0),""))</f>
        <v/>
      </c>
      <c r="BN275" s="7" t="str">
        <f aca="false">IF(COUNTIF(ЗАКАЗЫ!$F$3:$F$500,$A275)=0,"",SUMIF(ЗАКАЗЫ!$F$3:$F$500,$A275,ЗАКАЗЫ!$J$3:$J$500))</f>
        <v/>
      </c>
      <c r="BO275" s="7" t="str">
        <f aca="false">IF(BN275="","",SUMIF(ЗАКАЗЫ!$F$3:$F$500,$A275,ЗАКАЗЫ!$AL$3:$AL$500))</f>
        <v/>
      </c>
      <c r="BP275" s="7" t="str">
        <f aca="false">IF(BN275="","",BN275-BO275)</f>
        <v/>
      </c>
      <c r="BQ275" s="55" t="str">
        <f aca="false">IF(BN275="","",IF(BO275&gt;=BN275,"На складе",IF(BO275&gt;0,"Частично","Ждём")))</f>
        <v/>
      </c>
      <c r="BR275" s="43"/>
      <c r="BS275" s="47" t="str">
        <f aca="false">IF(BN275="","",IF(_xlfn.MAXIFS(ЗАКАЗЫ!$AK$3:$AK$500,ЗАКАЗЫ!$F$3:$F$500,$A275)=0,"",_xlfn.MAXIFS(ЗАКАЗЫ!$AK$3:$AK$500,ЗАКАЗЫ!$F$3:$F$500,$A275)))</f>
        <v/>
      </c>
    </row>
    <row r="276" customFormat="false" ht="15.75" hidden="false" customHeight="true" outlineLevel="0" collapsed="false">
      <c r="A276" s="80" t="s">
        <v>750</v>
      </c>
      <c r="B276" s="81"/>
      <c r="C276" s="81"/>
      <c r="D276" s="81"/>
      <c r="E276" s="83"/>
      <c r="F276" s="81"/>
      <c r="G276" s="83"/>
      <c r="H276" s="83"/>
      <c r="I276" s="84" t="str">
        <f aca="false">IF(E276="","",A276&amp;"_1.jpg")</f>
        <v/>
      </c>
      <c r="J276" s="84" t="str">
        <f aca="false">IF(E276="","",A276&amp;"_2.jpg; "&amp;A276&amp;"_3.jpg")</f>
        <v/>
      </c>
      <c r="K276" s="84" t="str">
        <f aca="false">IF(E276="","",A276&amp;"_schema.jpg")</f>
        <v/>
      </c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 t="s">
        <v>261</v>
      </c>
      <c r="W276" s="81"/>
      <c r="X276" s="81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6" t="str">
        <f aca="false">IF(SUM(Y276:AJ276)=0,"",SUM(Y276:AJ276))</f>
        <v/>
      </c>
      <c r="AL276" s="84" t="str">
        <f aca="false">MID(IF(N(Y276)&gt;0,", "&amp;Y$2,"")&amp;IF(N(Z276)&gt;0,", "&amp;Z$2,"")&amp;IF(N(AA276)&gt;0,", "&amp;AA$2,"")&amp;IF(N(AB276)&gt;0,", "&amp;AB$2,"")&amp;IF(N(AC276)&gt;0,", "&amp;AC$2,"")&amp;IF(N(AD276)&gt;0,", "&amp;AD$2,"")&amp;IF(N(AE276)&gt;0,", "&amp;AE$2,"")&amp;IF(N(AF276)&gt;0,", "&amp;AF$2,"")&amp;IF(N(AG276)&gt;0,", "&amp;AG$2,"")&amp;IF(N(AH276)&gt;0,", "&amp;AH$2,"")&amp;IF(N(AI276)&gt;0,", "&amp;AI$2,"")&amp;IF(N(AJ276)&gt;0,", "&amp;AJ$2,""),3,999)</f>
        <v/>
      </c>
      <c r="AM276" s="87" t="str">
        <f aca="false">IF(E276="","",MID(IF(N(Y276)&gt;0,", "&amp;A276&amp;"-"&amp;Y$2,"")&amp;IF(N(Z276)&gt;0,", "&amp;A276&amp;"-"&amp;Z$2,"")&amp;IF(N(AA276)&gt;0,", "&amp;A276&amp;"-"&amp;AA$2,"")&amp;IF(N(AB276)&gt;0,", "&amp;A276&amp;"-"&amp;AB$2,"")&amp;IF(N(AC276)&gt;0,", "&amp;A276&amp;"-"&amp;AC$2,"")&amp;IF(N(AD276)&gt;0,", "&amp;A276&amp;"-"&amp;AD$2,"")&amp;IF(N(AE276)&gt;0,", "&amp;A276&amp;"-"&amp;AE$2,"")&amp;IF(N(AF276)&gt;0,", "&amp;A276&amp;"-"&amp;AF$2,"")&amp;IF(N(AG276)&gt;0,", "&amp;A276&amp;"-"&amp;AG$2,"")&amp;IF(N(AH276)&gt;0,", "&amp;A276&amp;"-"&amp;AH$2,"")&amp;IF(N(AI276)&gt;0,", "&amp;A276&amp;"-"&amp;AI$2,"")&amp;IF(N(AJ276)&gt;0,", "&amp;A276&amp;"-"&amp;AJ$2,""),3,999))</f>
        <v/>
      </c>
      <c r="AN276" s="81"/>
      <c r="AO276" s="88"/>
      <c r="AP276" s="89" t="str">
        <f aca="false">IF(AO276="","",ROUND(AO276/(1+Справочники!$B$13),2))</f>
        <v/>
      </c>
      <c r="AQ276" s="90" t="str">
        <f aca="false" t="array" ref="AQ276:AQ276">IF(AP276="","",AP276*INDEX(Справочники!$B$4:$B$7,MATCH("RUB",Справочники!$A$4:$A$7,0)))</f>
        <v/>
      </c>
      <c r="AR276" s="90" t="str">
        <f aca="false">IF(AQ276="","",ROUND(AQ276*(1+Справочники!$B$12),0))</f>
        <v/>
      </c>
      <c r="AS276" s="90" t="str">
        <f aca="false">IF(AR276="","",ROUND(AR276*(1-Справочники!$B$11),0))</f>
        <v/>
      </c>
      <c r="AT276" s="88"/>
      <c r="AU276" s="90" t="str">
        <f aca="false">IF(AT276="","",ROUND(AT276/(1+Справочники!$B$12),0))</f>
        <v/>
      </c>
      <c r="AV276" s="90" t="str">
        <f aca="false">IF(AT276="","",ROUND(AT276*(1-Справочники!$B$15),0))</f>
        <v/>
      </c>
      <c r="AW276" s="90" t="str">
        <f aca="false">IF(AT276="","",ROUND(AT276*(1-Справочники!$B$16),0))</f>
        <v/>
      </c>
      <c r="AX276" s="90" t="str">
        <f aca="false">IF(AT276="","",ROUND(AT276*(1-Справочники!$B$17),0))</f>
        <v/>
      </c>
      <c r="AY276" s="90" t="str">
        <f aca="false">IF(AT276="","",ROUND(AT276*(1-Справочники!$B$18),0))</f>
        <v/>
      </c>
      <c r="AZ276" s="90" t="str">
        <f aca="false">IF(AT276="","",ROUND(AT276*(1-Справочники!$B$19),0))</f>
        <v/>
      </c>
      <c r="BA276" s="81"/>
      <c r="BB276" s="81"/>
      <c r="BC276" s="81"/>
      <c r="BD276" s="81"/>
      <c r="BE276" s="91"/>
      <c r="BF276" s="81" t="s">
        <v>103</v>
      </c>
      <c r="BG276" s="89" t="n">
        <f aca="false" t="array" ref="BG276:BG276">IF(BF276="","",IFERROR(INDEX(Справочники!$B$4:$B$7,MATCH(BF276,Справочники!$A$4:$A$7,0)),""))</f>
        <v>68.5</v>
      </c>
      <c r="BH276" s="90" t="str">
        <f aca="false">IF(N(BN276)&gt;0,ROUND(SUMIF(ЗАКАЗЫ!$F$3:$F$500,$A276,ЗАКАЗЫ!$Y$3:$Y$500)/BN276,0),IF(OR(BE276="",BG276=""),"",ROUND(BE276*BG276*(1+Справочники!$B$10),0)))</f>
        <v/>
      </c>
      <c r="BI276" s="92" t="str">
        <f aca="false">IF(OR(AU276="",BH276="",AU276=0),"",(AU276-BH276)/AU276)</f>
        <v/>
      </c>
      <c r="BJ276" s="81"/>
      <c r="BK276" s="83"/>
      <c r="BL276" s="43" t="str">
        <f aca="false">IFERROR(INDEX(ЗАКАЗЫ!$N$3:$N$500,MATCH($A276,ЗАКАЗЫ!$F$3:$F$500,0)),"")</f>
        <v/>
      </c>
      <c r="BM276" s="8" t="str">
        <f aca="false">IF(BL276="","",IFERROR(VLOOKUP(BL276,'ТН ВЭД'!$A$4:$C$40,3,0),""))</f>
        <v/>
      </c>
      <c r="BN276" s="7" t="str">
        <f aca="false">IF(COUNTIF(ЗАКАЗЫ!$F$3:$F$500,$A276)=0,"",SUMIF(ЗАКАЗЫ!$F$3:$F$500,$A276,ЗАКАЗЫ!$J$3:$J$500))</f>
        <v/>
      </c>
      <c r="BO276" s="7" t="str">
        <f aca="false">IF(BN276="","",SUMIF(ЗАКАЗЫ!$F$3:$F$500,$A276,ЗАКАЗЫ!$AL$3:$AL$500))</f>
        <v/>
      </c>
      <c r="BP276" s="7" t="str">
        <f aca="false">IF(BN276="","",BN276-BO276)</f>
        <v/>
      </c>
      <c r="BQ276" s="55" t="str">
        <f aca="false">IF(BN276="","",IF(BO276&gt;=BN276,"На складе",IF(BO276&gt;0,"Частично","Ждём")))</f>
        <v/>
      </c>
      <c r="BR276" s="43"/>
      <c r="BS276" s="47" t="str">
        <f aca="false">IF(BN276="","",IF(_xlfn.MAXIFS(ЗАКАЗЫ!$AK$3:$AK$500,ЗАКАЗЫ!$F$3:$F$500,$A276)=0,"",_xlfn.MAXIFS(ЗАКАЗЫ!$AK$3:$AK$500,ЗАКАЗЫ!$F$3:$F$500,$A276)))</f>
        <v/>
      </c>
    </row>
    <row r="277" customFormat="false" ht="15.75" hidden="false" customHeight="true" outlineLevel="0" collapsed="false">
      <c r="A277" s="80" t="s">
        <v>751</v>
      </c>
      <c r="B277" s="81"/>
      <c r="C277" s="81"/>
      <c r="D277" s="81"/>
      <c r="E277" s="83"/>
      <c r="F277" s="81"/>
      <c r="G277" s="83"/>
      <c r="H277" s="83"/>
      <c r="I277" s="84" t="str">
        <f aca="false">IF(E277="","",A277&amp;"_1.jpg")</f>
        <v/>
      </c>
      <c r="J277" s="84" t="str">
        <f aca="false">IF(E277="","",A277&amp;"_2.jpg; "&amp;A277&amp;"_3.jpg")</f>
        <v/>
      </c>
      <c r="K277" s="84" t="str">
        <f aca="false">IF(E277="","",A277&amp;"_schema.jpg")</f>
        <v/>
      </c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 t="s">
        <v>261</v>
      </c>
      <c r="W277" s="81"/>
      <c r="X277" s="81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6" t="str">
        <f aca="false">IF(SUM(Y277:AJ277)=0,"",SUM(Y277:AJ277))</f>
        <v/>
      </c>
      <c r="AL277" s="84" t="str">
        <f aca="false">MID(IF(N(Y277)&gt;0,", "&amp;Y$2,"")&amp;IF(N(Z277)&gt;0,", "&amp;Z$2,"")&amp;IF(N(AA277)&gt;0,", "&amp;AA$2,"")&amp;IF(N(AB277)&gt;0,", "&amp;AB$2,"")&amp;IF(N(AC277)&gt;0,", "&amp;AC$2,"")&amp;IF(N(AD277)&gt;0,", "&amp;AD$2,"")&amp;IF(N(AE277)&gt;0,", "&amp;AE$2,"")&amp;IF(N(AF277)&gt;0,", "&amp;AF$2,"")&amp;IF(N(AG277)&gt;0,", "&amp;AG$2,"")&amp;IF(N(AH277)&gt;0,", "&amp;AH$2,"")&amp;IF(N(AI277)&gt;0,", "&amp;AI$2,"")&amp;IF(N(AJ277)&gt;0,", "&amp;AJ$2,""),3,999)</f>
        <v/>
      </c>
      <c r="AM277" s="87" t="str">
        <f aca="false">IF(E277="","",MID(IF(N(Y277)&gt;0,", "&amp;A277&amp;"-"&amp;Y$2,"")&amp;IF(N(Z277)&gt;0,", "&amp;A277&amp;"-"&amp;Z$2,"")&amp;IF(N(AA277)&gt;0,", "&amp;A277&amp;"-"&amp;AA$2,"")&amp;IF(N(AB277)&gt;0,", "&amp;A277&amp;"-"&amp;AB$2,"")&amp;IF(N(AC277)&gt;0,", "&amp;A277&amp;"-"&amp;AC$2,"")&amp;IF(N(AD277)&gt;0,", "&amp;A277&amp;"-"&amp;AD$2,"")&amp;IF(N(AE277)&gt;0,", "&amp;A277&amp;"-"&amp;AE$2,"")&amp;IF(N(AF277)&gt;0,", "&amp;A277&amp;"-"&amp;AF$2,"")&amp;IF(N(AG277)&gt;0,", "&amp;A277&amp;"-"&amp;AG$2,"")&amp;IF(N(AH277)&gt;0,", "&amp;A277&amp;"-"&amp;AH$2,"")&amp;IF(N(AI277)&gt;0,", "&amp;A277&amp;"-"&amp;AI$2,"")&amp;IF(N(AJ277)&gt;0,", "&amp;A277&amp;"-"&amp;AJ$2,""),3,999))</f>
        <v/>
      </c>
      <c r="AN277" s="81"/>
      <c r="AO277" s="88"/>
      <c r="AP277" s="89" t="str">
        <f aca="false">IF(AO277="","",ROUND(AO277/(1+Справочники!$B$13),2))</f>
        <v/>
      </c>
      <c r="AQ277" s="90" t="str">
        <f aca="false" t="array" ref="AQ277:AQ277">IF(AP277="","",AP277*INDEX(Справочники!$B$4:$B$7,MATCH("RUB",Справочники!$A$4:$A$7,0)))</f>
        <v/>
      </c>
      <c r="AR277" s="90" t="str">
        <f aca="false">IF(AQ277="","",ROUND(AQ277*(1+Справочники!$B$12),0))</f>
        <v/>
      </c>
      <c r="AS277" s="90" t="str">
        <f aca="false">IF(AR277="","",ROUND(AR277*(1-Справочники!$B$11),0))</f>
        <v/>
      </c>
      <c r="AT277" s="88"/>
      <c r="AU277" s="90" t="str">
        <f aca="false">IF(AT277="","",ROUND(AT277/(1+Справочники!$B$12),0))</f>
        <v/>
      </c>
      <c r="AV277" s="90" t="str">
        <f aca="false">IF(AT277="","",ROUND(AT277*(1-Справочники!$B$15),0))</f>
        <v/>
      </c>
      <c r="AW277" s="90" t="str">
        <f aca="false">IF(AT277="","",ROUND(AT277*(1-Справочники!$B$16),0))</f>
        <v/>
      </c>
      <c r="AX277" s="90" t="str">
        <f aca="false">IF(AT277="","",ROUND(AT277*(1-Справочники!$B$17),0))</f>
        <v/>
      </c>
      <c r="AY277" s="90" t="str">
        <f aca="false">IF(AT277="","",ROUND(AT277*(1-Справочники!$B$18),0))</f>
        <v/>
      </c>
      <c r="AZ277" s="90" t="str">
        <f aca="false">IF(AT277="","",ROUND(AT277*(1-Справочники!$B$19),0))</f>
        <v/>
      </c>
      <c r="BA277" s="81"/>
      <c r="BB277" s="81"/>
      <c r="BC277" s="81"/>
      <c r="BD277" s="81"/>
      <c r="BE277" s="91"/>
      <c r="BF277" s="81" t="s">
        <v>103</v>
      </c>
      <c r="BG277" s="89" t="n">
        <f aca="false" t="array" ref="BG277:BG277">IF(BF277="","",IFERROR(INDEX(Справочники!$B$4:$B$7,MATCH(BF277,Справочники!$A$4:$A$7,0)),""))</f>
        <v>68.5</v>
      </c>
      <c r="BH277" s="90" t="str">
        <f aca="false">IF(N(BN277)&gt;0,ROUND(SUMIF(ЗАКАЗЫ!$F$3:$F$500,$A277,ЗАКАЗЫ!$Y$3:$Y$500)/BN277,0),IF(OR(BE277="",BG277=""),"",ROUND(BE277*BG277*(1+Справочники!$B$10),0)))</f>
        <v/>
      </c>
      <c r="BI277" s="92" t="str">
        <f aca="false">IF(OR(AU277="",BH277="",AU277=0),"",(AU277-BH277)/AU277)</f>
        <v/>
      </c>
      <c r="BJ277" s="81"/>
      <c r="BK277" s="83"/>
      <c r="BL277" s="43" t="str">
        <f aca="false">IFERROR(INDEX(ЗАКАЗЫ!$N$3:$N$500,MATCH($A277,ЗАКАЗЫ!$F$3:$F$500,0)),"")</f>
        <v/>
      </c>
      <c r="BM277" s="8" t="str">
        <f aca="false">IF(BL277="","",IFERROR(VLOOKUP(BL277,'ТН ВЭД'!$A$4:$C$40,3,0),""))</f>
        <v/>
      </c>
      <c r="BN277" s="7" t="str">
        <f aca="false">IF(COUNTIF(ЗАКАЗЫ!$F$3:$F$500,$A277)=0,"",SUMIF(ЗАКАЗЫ!$F$3:$F$500,$A277,ЗАКАЗЫ!$J$3:$J$500))</f>
        <v/>
      </c>
      <c r="BO277" s="7" t="str">
        <f aca="false">IF(BN277="","",SUMIF(ЗАКАЗЫ!$F$3:$F$500,$A277,ЗАКАЗЫ!$AL$3:$AL$500))</f>
        <v/>
      </c>
      <c r="BP277" s="7" t="str">
        <f aca="false">IF(BN277="","",BN277-BO277)</f>
        <v/>
      </c>
      <c r="BQ277" s="55" t="str">
        <f aca="false">IF(BN277="","",IF(BO277&gt;=BN277,"На складе",IF(BO277&gt;0,"Частично","Ждём")))</f>
        <v/>
      </c>
      <c r="BR277" s="43"/>
      <c r="BS277" s="47" t="str">
        <f aca="false">IF(BN277="","",IF(_xlfn.MAXIFS(ЗАКАЗЫ!$AK$3:$AK$500,ЗАКАЗЫ!$F$3:$F$500,$A277)=0,"",_xlfn.MAXIFS(ЗАКАЗЫ!$AK$3:$AK$500,ЗАКАЗЫ!$F$3:$F$500,$A277)))</f>
        <v/>
      </c>
    </row>
    <row r="278" customFormat="false" ht="15.75" hidden="false" customHeight="true" outlineLevel="0" collapsed="false">
      <c r="A278" s="80" t="s">
        <v>752</v>
      </c>
      <c r="B278" s="81"/>
      <c r="C278" s="81"/>
      <c r="D278" s="81"/>
      <c r="E278" s="83"/>
      <c r="F278" s="81"/>
      <c r="G278" s="83"/>
      <c r="H278" s="83"/>
      <c r="I278" s="84" t="str">
        <f aca="false">IF(E278="","",A278&amp;"_1.jpg")</f>
        <v/>
      </c>
      <c r="J278" s="84" t="str">
        <f aca="false">IF(E278="","",A278&amp;"_2.jpg; "&amp;A278&amp;"_3.jpg")</f>
        <v/>
      </c>
      <c r="K278" s="84" t="str">
        <f aca="false">IF(E278="","",A278&amp;"_schema.jpg")</f>
        <v/>
      </c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 t="s">
        <v>261</v>
      </c>
      <c r="W278" s="81"/>
      <c r="X278" s="81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6" t="str">
        <f aca="false">IF(SUM(Y278:AJ278)=0,"",SUM(Y278:AJ278))</f>
        <v/>
      </c>
      <c r="AL278" s="84" t="str">
        <f aca="false">MID(IF(N(Y278)&gt;0,", "&amp;Y$2,"")&amp;IF(N(Z278)&gt;0,", "&amp;Z$2,"")&amp;IF(N(AA278)&gt;0,", "&amp;AA$2,"")&amp;IF(N(AB278)&gt;0,", "&amp;AB$2,"")&amp;IF(N(AC278)&gt;0,", "&amp;AC$2,"")&amp;IF(N(AD278)&gt;0,", "&amp;AD$2,"")&amp;IF(N(AE278)&gt;0,", "&amp;AE$2,"")&amp;IF(N(AF278)&gt;0,", "&amp;AF$2,"")&amp;IF(N(AG278)&gt;0,", "&amp;AG$2,"")&amp;IF(N(AH278)&gt;0,", "&amp;AH$2,"")&amp;IF(N(AI278)&gt;0,", "&amp;AI$2,"")&amp;IF(N(AJ278)&gt;0,", "&amp;AJ$2,""),3,999)</f>
        <v/>
      </c>
      <c r="AM278" s="87" t="str">
        <f aca="false">IF(E278="","",MID(IF(N(Y278)&gt;0,", "&amp;A278&amp;"-"&amp;Y$2,"")&amp;IF(N(Z278)&gt;0,", "&amp;A278&amp;"-"&amp;Z$2,"")&amp;IF(N(AA278)&gt;0,", "&amp;A278&amp;"-"&amp;AA$2,"")&amp;IF(N(AB278)&gt;0,", "&amp;A278&amp;"-"&amp;AB$2,"")&amp;IF(N(AC278)&gt;0,", "&amp;A278&amp;"-"&amp;AC$2,"")&amp;IF(N(AD278)&gt;0,", "&amp;A278&amp;"-"&amp;AD$2,"")&amp;IF(N(AE278)&gt;0,", "&amp;A278&amp;"-"&amp;AE$2,"")&amp;IF(N(AF278)&gt;0,", "&amp;A278&amp;"-"&amp;AF$2,"")&amp;IF(N(AG278)&gt;0,", "&amp;A278&amp;"-"&amp;AG$2,"")&amp;IF(N(AH278)&gt;0,", "&amp;A278&amp;"-"&amp;AH$2,"")&amp;IF(N(AI278)&gt;0,", "&amp;A278&amp;"-"&amp;AI$2,"")&amp;IF(N(AJ278)&gt;0,", "&amp;A278&amp;"-"&amp;AJ$2,""),3,999))</f>
        <v/>
      </c>
      <c r="AN278" s="81"/>
      <c r="AO278" s="88"/>
      <c r="AP278" s="89" t="str">
        <f aca="false">IF(AO278="","",ROUND(AO278/(1+Справочники!$B$13),2))</f>
        <v/>
      </c>
      <c r="AQ278" s="90" t="str">
        <f aca="false" t="array" ref="AQ278:AQ278">IF(AP278="","",AP278*INDEX(Справочники!$B$4:$B$7,MATCH("RUB",Справочники!$A$4:$A$7,0)))</f>
        <v/>
      </c>
      <c r="AR278" s="90" t="str">
        <f aca="false">IF(AQ278="","",ROUND(AQ278*(1+Справочники!$B$12),0))</f>
        <v/>
      </c>
      <c r="AS278" s="90" t="str">
        <f aca="false">IF(AR278="","",ROUND(AR278*(1-Справочники!$B$11),0))</f>
        <v/>
      </c>
      <c r="AT278" s="88"/>
      <c r="AU278" s="90" t="str">
        <f aca="false">IF(AT278="","",ROUND(AT278/(1+Справочники!$B$12),0))</f>
        <v/>
      </c>
      <c r="AV278" s="90" t="str">
        <f aca="false">IF(AT278="","",ROUND(AT278*(1-Справочники!$B$15),0))</f>
        <v/>
      </c>
      <c r="AW278" s="90" t="str">
        <f aca="false">IF(AT278="","",ROUND(AT278*(1-Справочники!$B$16),0))</f>
        <v/>
      </c>
      <c r="AX278" s="90" t="str">
        <f aca="false">IF(AT278="","",ROUND(AT278*(1-Справочники!$B$17),0))</f>
        <v/>
      </c>
      <c r="AY278" s="90" t="str">
        <f aca="false">IF(AT278="","",ROUND(AT278*(1-Справочники!$B$18),0))</f>
        <v/>
      </c>
      <c r="AZ278" s="90" t="str">
        <f aca="false">IF(AT278="","",ROUND(AT278*(1-Справочники!$B$19),0))</f>
        <v/>
      </c>
      <c r="BA278" s="81"/>
      <c r="BB278" s="81"/>
      <c r="BC278" s="81"/>
      <c r="BD278" s="81"/>
      <c r="BE278" s="91"/>
      <c r="BF278" s="81" t="s">
        <v>103</v>
      </c>
      <c r="BG278" s="89" t="n">
        <f aca="false" t="array" ref="BG278:BG278">IF(BF278="","",IFERROR(INDEX(Справочники!$B$4:$B$7,MATCH(BF278,Справочники!$A$4:$A$7,0)),""))</f>
        <v>68.5</v>
      </c>
      <c r="BH278" s="90" t="str">
        <f aca="false">IF(N(BN278)&gt;0,ROUND(SUMIF(ЗАКАЗЫ!$F$3:$F$500,$A278,ЗАКАЗЫ!$Y$3:$Y$500)/BN278,0),IF(OR(BE278="",BG278=""),"",ROUND(BE278*BG278*(1+Справочники!$B$10),0)))</f>
        <v/>
      </c>
      <c r="BI278" s="92" t="str">
        <f aca="false">IF(OR(AU278="",BH278="",AU278=0),"",(AU278-BH278)/AU278)</f>
        <v/>
      </c>
      <c r="BJ278" s="81"/>
      <c r="BK278" s="83"/>
      <c r="BL278" s="43" t="str">
        <f aca="false">IFERROR(INDEX(ЗАКАЗЫ!$N$3:$N$500,MATCH($A278,ЗАКАЗЫ!$F$3:$F$500,0)),"")</f>
        <v/>
      </c>
      <c r="BM278" s="8" t="str">
        <f aca="false">IF(BL278="","",IFERROR(VLOOKUP(BL278,'ТН ВЭД'!$A$4:$C$40,3,0),""))</f>
        <v/>
      </c>
      <c r="BN278" s="7" t="str">
        <f aca="false">IF(COUNTIF(ЗАКАЗЫ!$F$3:$F$500,$A278)=0,"",SUMIF(ЗАКАЗЫ!$F$3:$F$500,$A278,ЗАКАЗЫ!$J$3:$J$500))</f>
        <v/>
      </c>
      <c r="BO278" s="7" t="str">
        <f aca="false">IF(BN278="","",SUMIF(ЗАКАЗЫ!$F$3:$F$500,$A278,ЗАКАЗЫ!$AL$3:$AL$500))</f>
        <v/>
      </c>
      <c r="BP278" s="7" t="str">
        <f aca="false">IF(BN278="","",BN278-BO278)</f>
        <v/>
      </c>
      <c r="BQ278" s="55" t="str">
        <f aca="false">IF(BN278="","",IF(BO278&gt;=BN278,"На складе",IF(BO278&gt;0,"Частично","Ждём")))</f>
        <v/>
      </c>
      <c r="BR278" s="43"/>
      <c r="BS278" s="47" t="str">
        <f aca="false">IF(BN278="","",IF(_xlfn.MAXIFS(ЗАКАЗЫ!$AK$3:$AK$500,ЗАКАЗЫ!$F$3:$F$500,$A278)=0,"",_xlfn.MAXIFS(ЗАКАЗЫ!$AK$3:$AK$500,ЗАКАЗЫ!$F$3:$F$500,$A278)))</f>
        <v/>
      </c>
    </row>
    <row r="279" customFormat="false" ht="15.75" hidden="false" customHeight="true" outlineLevel="0" collapsed="false">
      <c r="A279" s="80" t="s">
        <v>753</v>
      </c>
      <c r="B279" s="81"/>
      <c r="C279" s="81"/>
      <c r="D279" s="81"/>
      <c r="E279" s="83"/>
      <c r="F279" s="81"/>
      <c r="G279" s="83"/>
      <c r="H279" s="83"/>
      <c r="I279" s="84" t="str">
        <f aca="false">IF(E279="","",A279&amp;"_1.jpg")</f>
        <v/>
      </c>
      <c r="J279" s="84" t="str">
        <f aca="false">IF(E279="","",A279&amp;"_2.jpg; "&amp;A279&amp;"_3.jpg")</f>
        <v/>
      </c>
      <c r="K279" s="84" t="str">
        <f aca="false">IF(E279="","",A279&amp;"_schema.jpg")</f>
        <v/>
      </c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 t="s">
        <v>261</v>
      </c>
      <c r="W279" s="81"/>
      <c r="X279" s="81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6" t="str">
        <f aca="false">IF(SUM(Y279:AJ279)=0,"",SUM(Y279:AJ279))</f>
        <v/>
      </c>
      <c r="AL279" s="84" t="str">
        <f aca="false">MID(IF(N(Y279)&gt;0,", "&amp;Y$2,"")&amp;IF(N(Z279)&gt;0,", "&amp;Z$2,"")&amp;IF(N(AA279)&gt;0,", "&amp;AA$2,"")&amp;IF(N(AB279)&gt;0,", "&amp;AB$2,"")&amp;IF(N(AC279)&gt;0,", "&amp;AC$2,"")&amp;IF(N(AD279)&gt;0,", "&amp;AD$2,"")&amp;IF(N(AE279)&gt;0,", "&amp;AE$2,"")&amp;IF(N(AF279)&gt;0,", "&amp;AF$2,"")&amp;IF(N(AG279)&gt;0,", "&amp;AG$2,"")&amp;IF(N(AH279)&gt;0,", "&amp;AH$2,"")&amp;IF(N(AI279)&gt;0,", "&amp;AI$2,"")&amp;IF(N(AJ279)&gt;0,", "&amp;AJ$2,""),3,999)</f>
        <v/>
      </c>
      <c r="AM279" s="87" t="str">
        <f aca="false">IF(E279="","",MID(IF(N(Y279)&gt;0,", "&amp;A279&amp;"-"&amp;Y$2,"")&amp;IF(N(Z279)&gt;0,", "&amp;A279&amp;"-"&amp;Z$2,"")&amp;IF(N(AA279)&gt;0,", "&amp;A279&amp;"-"&amp;AA$2,"")&amp;IF(N(AB279)&gt;0,", "&amp;A279&amp;"-"&amp;AB$2,"")&amp;IF(N(AC279)&gt;0,", "&amp;A279&amp;"-"&amp;AC$2,"")&amp;IF(N(AD279)&gt;0,", "&amp;A279&amp;"-"&amp;AD$2,"")&amp;IF(N(AE279)&gt;0,", "&amp;A279&amp;"-"&amp;AE$2,"")&amp;IF(N(AF279)&gt;0,", "&amp;A279&amp;"-"&amp;AF$2,"")&amp;IF(N(AG279)&gt;0,", "&amp;A279&amp;"-"&amp;AG$2,"")&amp;IF(N(AH279)&gt;0,", "&amp;A279&amp;"-"&amp;AH$2,"")&amp;IF(N(AI279)&gt;0,", "&amp;A279&amp;"-"&amp;AI$2,"")&amp;IF(N(AJ279)&gt;0,", "&amp;A279&amp;"-"&amp;AJ$2,""),3,999))</f>
        <v/>
      </c>
      <c r="AN279" s="81"/>
      <c r="AO279" s="88"/>
      <c r="AP279" s="89" t="str">
        <f aca="false">IF(AO279="","",ROUND(AO279/(1+Справочники!$B$13),2))</f>
        <v/>
      </c>
      <c r="AQ279" s="90" t="str">
        <f aca="false" t="array" ref="AQ279:AQ279">IF(AP279="","",AP279*INDEX(Справочники!$B$4:$B$7,MATCH("RUB",Справочники!$A$4:$A$7,0)))</f>
        <v/>
      </c>
      <c r="AR279" s="90" t="str">
        <f aca="false">IF(AQ279="","",ROUND(AQ279*(1+Справочники!$B$12),0))</f>
        <v/>
      </c>
      <c r="AS279" s="90" t="str">
        <f aca="false">IF(AR279="","",ROUND(AR279*(1-Справочники!$B$11),0))</f>
        <v/>
      </c>
      <c r="AT279" s="88"/>
      <c r="AU279" s="90" t="str">
        <f aca="false">IF(AT279="","",ROUND(AT279/(1+Справочники!$B$12),0))</f>
        <v/>
      </c>
      <c r="AV279" s="90" t="str">
        <f aca="false">IF(AT279="","",ROUND(AT279*(1-Справочники!$B$15),0))</f>
        <v/>
      </c>
      <c r="AW279" s="90" t="str">
        <f aca="false">IF(AT279="","",ROUND(AT279*(1-Справочники!$B$16),0))</f>
        <v/>
      </c>
      <c r="AX279" s="90" t="str">
        <f aca="false">IF(AT279="","",ROUND(AT279*(1-Справочники!$B$17),0))</f>
        <v/>
      </c>
      <c r="AY279" s="90" t="str">
        <f aca="false">IF(AT279="","",ROUND(AT279*(1-Справочники!$B$18),0))</f>
        <v/>
      </c>
      <c r="AZ279" s="90" t="str">
        <f aca="false">IF(AT279="","",ROUND(AT279*(1-Справочники!$B$19),0))</f>
        <v/>
      </c>
      <c r="BA279" s="81"/>
      <c r="BB279" s="81"/>
      <c r="BC279" s="81"/>
      <c r="BD279" s="81"/>
      <c r="BE279" s="91"/>
      <c r="BF279" s="81" t="s">
        <v>103</v>
      </c>
      <c r="BG279" s="89" t="n">
        <f aca="false" t="array" ref="BG279:BG279">IF(BF279="","",IFERROR(INDEX(Справочники!$B$4:$B$7,MATCH(BF279,Справочники!$A$4:$A$7,0)),""))</f>
        <v>68.5</v>
      </c>
      <c r="BH279" s="90" t="str">
        <f aca="false">IF(N(BN279)&gt;0,ROUND(SUMIF(ЗАКАЗЫ!$F$3:$F$500,$A279,ЗАКАЗЫ!$Y$3:$Y$500)/BN279,0),IF(OR(BE279="",BG279=""),"",ROUND(BE279*BG279*(1+Справочники!$B$10),0)))</f>
        <v/>
      </c>
      <c r="BI279" s="92" t="str">
        <f aca="false">IF(OR(AU279="",BH279="",AU279=0),"",(AU279-BH279)/AU279)</f>
        <v/>
      </c>
      <c r="BJ279" s="81"/>
      <c r="BK279" s="83"/>
      <c r="BL279" s="43" t="str">
        <f aca="false">IFERROR(INDEX(ЗАКАЗЫ!$N$3:$N$500,MATCH($A279,ЗАКАЗЫ!$F$3:$F$500,0)),"")</f>
        <v/>
      </c>
      <c r="BM279" s="8" t="str">
        <f aca="false">IF(BL279="","",IFERROR(VLOOKUP(BL279,'ТН ВЭД'!$A$4:$C$40,3,0),""))</f>
        <v/>
      </c>
      <c r="BN279" s="7" t="str">
        <f aca="false">IF(COUNTIF(ЗАКАЗЫ!$F$3:$F$500,$A279)=0,"",SUMIF(ЗАКАЗЫ!$F$3:$F$500,$A279,ЗАКАЗЫ!$J$3:$J$500))</f>
        <v/>
      </c>
      <c r="BO279" s="7" t="str">
        <f aca="false">IF(BN279="","",SUMIF(ЗАКАЗЫ!$F$3:$F$500,$A279,ЗАКАЗЫ!$AL$3:$AL$500))</f>
        <v/>
      </c>
      <c r="BP279" s="7" t="str">
        <f aca="false">IF(BN279="","",BN279-BO279)</f>
        <v/>
      </c>
      <c r="BQ279" s="55" t="str">
        <f aca="false">IF(BN279="","",IF(BO279&gt;=BN279,"На складе",IF(BO279&gt;0,"Частично","Ждём")))</f>
        <v/>
      </c>
      <c r="BR279" s="43"/>
      <c r="BS279" s="47" t="str">
        <f aca="false">IF(BN279="","",IF(_xlfn.MAXIFS(ЗАКАЗЫ!$AK$3:$AK$500,ЗАКАЗЫ!$F$3:$F$500,$A279)=0,"",_xlfn.MAXIFS(ЗАКАЗЫ!$AK$3:$AK$500,ЗАКАЗЫ!$F$3:$F$500,$A279)))</f>
        <v/>
      </c>
    </row>
    <row r="280" customFormat="false" ht="15.75" hidden="false" customHeight="true" outlineLevel="0" collapsed="false">
      <c r="A280" s="80" t="s">
        <v>754</v>
      </c>
      <c r="B280" s="81"/>
      <c r="C280" s="81"/>
      <c r="D280" s="81"/>
      <c r="E280" s="83"/>
      <c r="F280" s="81"/>
      <c r="G280" s="83"/>
      <c r="H280" s="83"/>
      <c r="I280" s="84" t="str">
        <f aca="false">IF(E280="","",A280&amp;"_1.jpg")</f>
        <v/>
      </c>
      <c r="J280" s="84" t="str">
        <f aca="false">IF(E280="","",A280&amp;"_2.jpg; "&amp;A280&amp;"_3.jpg")</f>
        <v/>
      </c>
      <c r="K280" s="84" t="str">
        <f aca="false">IF(E280="","",A280&amp;"_schema.jpg")</f>
        <v/>
      </c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 t="s">
        <v>261</v>
      </c>
      <c r="W280" s="81"/>
      <c r="X280" s="81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6" t="str">
        <f aca="false">IF(SUM(Y280:AJ280)=0,"",SUM(Y280:AJ280))</f>
        <v/>
      </c>
      <c r="AL280" s="84" t="str">
        <f aca="false">MID(IF(N(Y280)&gt;0,", "&amp;Y$2,"")&amp;IF(N(Z280)&gt;0,", "&amp;Z$2,"")&amp;IF(N(AA280)&gt;0,", "&amp;AA$2,"")&amp;IF(N(AB280)&gt;0,", "&amp;AB$2,"")&amp;IF(N(AC280)&gt;0,", "&amp;AC$2,"")&amp;IF(N(AD280)&gt;0,", "&amp;AD$2,"")&amp;IF(N(AE280)&gt;0,", "&amp;AE$2,"")&amp;IF(N(AF280)&gt;0,", "&amp;AF$2,"")&amp;IF(N(AG280)&gt;0,", "&amp;AG$2,"")&amp;IF(N(AH280)&gt;0,", "&amp;AH$2,"")&amp;IF(N(AI280)&gt;0,", "&amp;AI$2,"")&amp;IF(N(AJ280)&gt;0,", "&amp;AJ$2,""),3,999)</f>
        <v/>
      </c>
      <c r="AM280" s="87" t="str">
        <f aca="false">IF(E280="","",MID(IF(N(Y280)&gt;0,", "&amp;A280&amp;"-"&amp;Y$2,"")&amp;IF(N(Z280)&gt;0,", "&amp;A280&amp;"-"&amp;Z$2,"")&amp;IF(N(AA280)&gt;0,", "&amp;A280&amp;"-"&amp;AA$2,"")&amp;IF(N(AB280)&gt;0,", "&amp;A280&amp;"-"&amp;AB$2,"")&amp;IF(N(AC280)&gt;0,", "&amp;A280&amp;"-"&amp;AC$2,"")&amp;IF(N(AD280)&gt;0,", "&amp;A280&amp;"-"&amp;AD$2,"")&amp;IF(N(AE280)&gt;0,", "&amp;A280&amp;"-"&amp;AE$2,"")&amp;IF(N(AF280)&gt;0,", "&amp;A280&amp;"-"&amp;AF$2,"")&amp;IF(N(AG280)&gt;0,", "&amp;A280&amp;"-"&amp;AG$2,"")&amp;IF(N(AH280)&gt;0,", "&amp;A280&amp;"-"&amp;AH$2,"")&amp;IF(N(AI280)&gt;0,", "&amp;A280&amp;"-"&amp;AI$2,"")&amp;IF(N(AJ280)&gt;0,", "&amp;A280&amp;"-"&amp;AJ$2,""),3,999))</f>
        <v/>
      </c>
      <c r="AN280" s="81"/>
      <c r="AO280" s="88"/>
      <c r="AP280" s="89" t="str">
        <f aca="false">IF(AO280="","",ROUND(AO280/(1+Справочники!$B$13),2))</f>
        <v/>
      </c>
      <c r="AQ280" s="90" t="str">
        <f aca="false" t="array" ref="AQ280:AQ280">IF(AP280="","",AP280*INDEX(Справочники!$B$4:$B$7,MATCH("RUB",Справочники!$A$4:$A$7,0)))</f>
        <v/>
      </c>
      <c r="AR280" s="90" t="str">
        <f aca="false">IF(AQ280="","",ROUND(AQ280*(1+Справочники!$B$12),0))</f>
        <v/>
      </c>
      <c r="AS280" s="90" t="str">
        <f aca="false">IF(AR280="","",ROUND(AR280*(1-Справочники!$B$11),0))</f>
        <v/>
      </c>
      <c r="AT280" s="88"/>
      <c r="AU280" s="90" t="str">
        <f aca="false">IF(AT280="","",ROUND(AT280/(1+Справочники!$B$12),0))</f>
        <v/>
      </c>
      <c r="AV280" s="90" t="str">
        <f aca="false">IF(AT280="","",ROUND(AT280*(1-Справочники!$B$15),0))</f>
        <v/>
      </c>
      <c r="AW280" s="90" t="str">
        <f aca="false">IF(AT280="","",ROUND(AT280*(1-Справочники!$B$16),0))</f>
        <v/>
      </c>
      <c r="AX280" s="90" t="str">
        <f aca="false">IF(AT280="","",ROUND(AT280*(1-Справочники!$B$17),0))</f>
        <v/>
      </c>
      <c r="AY280" s="90" t="str">
        <f aca="false">IF(AT280="","",ROUND(AT280*(1-Справочники!$B$18),0))</f>
        <v/>
      </c>
      <c r="AZ280" s="90" t="str">
        <f aca="false">IF(AT280="","",ROUND(AT280*(1-Справочники!$B$19),0))</f>
        <v/>
      </c>
      <c r="BA280" s="81"/>
      <c r="BB280" s="81"/>
      <c r="BC280" s="81"/>
      <c r="BD280" s="81"/>
      <c r="BE280" s="91"/>
      <c r="BF280" s="81" t="s">
        <v>103</v>
      </c>
      <c r="BG280" s="89" t="n">
        <f aca="false" t="array" ref="BG280:BG280">IF(BF280="","",IFERROR(INDEX(Справочники!$B$4:$B$7,MATCH(BF280,Справочники!$A$4:$A$7,0)),""))</f>
        <v>68.5</v>
      </c>
      <c r="BH280" s="90" t="str">
        <f aca="false">IF(N(BN280)&gt;0,ROUND(SUMIF(ЗАКАЗЫ!$F$3:$F$500,$A280,ЗАКАЗЫ!$Y$3:$Y$500)/BN280,0),IF(OR(BE280="",BG280=""),"",ROUND(BE280*BG280*(1+Справочники!$B$10),0)))</f>
        <v/>
      </c>
      <c r="BI280" s="92" t="str">
        <f aca="false">IF(OR(AU280="",BH280="",AU280=0),"",(AU280-BH280)/AU280)</f>
        <v/>
      </c>
      <c r="BJ280" s="81"/>
      <c r="BK280" s="83"/>
      <c r="BL280" s="43" t="str">
        <f aca="false">IFERROR(INDEX(ЗАКАЗЫ!$N$3:$N$500,MATCH($A280,ЗАКАЗЫ!$F$3:$F$500,0)),"")</f>
        <v/>
      </c>
      <c r="BM280" s="8" t="str">
        <f aca="false">IF(BL280="","",IFERROR(VLOOKUP(BL280,'ТН ВЭД'!$A$4:$C$40,3,0),""))</f>
        <v/>
      </c>
      <c r="BN280" s="7" t="str">
        <f aca="false">IF(COUNTIF(ЗАКАЗЫ!$F$3:$F$500,$A280)=0,"",SUMIF(ЗАКАЗЫ!$F$3:$F$500,$A280,ЗАКАЗЫ!$J$3:$J$500))</f>
        <v/>
      </c>
      <c r="BO280" s="7" t="str">
        <f aca="false">IF(BN280="","",SUMIF(ЗАКАЗЫ!$F$3:$F$500,$A280,ЗАКАЗЫ!$AL$3:$AL$500))</f>
        <v/>
      </c>
      <c r="BP280" s="7" t="str">
        <f aca="false">IF(BN280="","",BN280-BO280)</f>
        <v/>
      </c>
      <c r="BQ280" s="55" t="str">
        <f aca="false">IF(BN280="","",IF(BO280&gt;=BN280,"На складе",IF(BO280&gt;0,"Частично","Ждём")))</f>
        <v/>
      </c>
      <c r="BR280" s="43"/>
      <c r="BS280" s="47" t="str">
        <f aca="false">IF(BN280="","",IF(_xlfn.MAXIFS(ЗАКАЗЫ!$AK$3:$AK$500,ЗАКАЗЫ!$F$3:$F$500,$A280)=0,"",_xlfn.MAXIFS(ЗАКАЗЫ!$AK$3:$AK$500,ЗАКАЗЫ!$F$3:$F$500,$A280)))</f>
        <v/>
      </c>
    </row>
    <row r="281" customFormat="false" ht="15.75" hidden="false" customHeight="true" outlineLevel="0" collapsed="false">
      <c r="A281" s="80" t="s">
        <v>755</v>
      </c>
      <c r="B281" s="81"/>
      <c r="C281" s="81"/>
      <c r="D281" s="81"/>
      <c r="E281" s="83"/>
      <c r="F281" s="81"/>
      <c r="G281" s="83"/>
      <c r="H281" s="83"/>
      <c r="I281" s="84" t="str">
        <f aca="false">IF(E281="","",A281&amp;"_1.jpg")</f>
        <v/>
      </c>
      <c r="J281" s="84" t="str">
        <f aca="false">IF(E281="","",A281&amp;"_2.jpg; "&amp;A281&amp;"_3.jpg")</f>
        <v/>
      </c>
      <c r="K281" s="84" t="str">
        <f aca="false">IF(E281="","",A281&amp;"_schema.jpg")</f>
        <v/>
      </c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 t="s">
        <v>261</v>
      </c>
      <c r="W281" s="81"/>
      <c r="X281" s="81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6" t="str">
        <f aca="false">IF(SUM(Y281:AJ281)=0,"",SUM(Y281:AJ281))</f>
        <v/>
      </c>
      <c r="AL281" s="84" t="str">
        <f aca="false">MID(IF(N(Y281)&gt;0,", "&amp;Y$2,"")&amp;IF(N(Z281)&gt;0,", "&amp;Z$2,"")&amp;IF(N(AA281)&gt;0,", "&amp;AA$2,"")&amp;IF(N(AB281)&gt;0,", "&amp;AB$2,"")&amp;IF(N(AC281)&gt;0,", "&amp;AC$2,"")&amp;IF(N(AD281)&gt;0,", "&amp;AD$2,"")&amp;IF(N(AE281)&gt;0,", "&amp;AE$2,"")&amp;IF(N(AF281)&gt;0,", "&amp;AF$2,"")&amp;IF(N(AG281)&gt;0,", "&amp;AG$2,"")&amp;IF(N(AH281)&gt;0,", "&amp;AH$2,"")&amp;IF(N(AI281)&gt;0,", "&amp;AI$2,"")&amp;IF(N(AJ281)&gt;0,", "&amp;AJ$2,""),3,999)</f>
        <v/>
      </c>
      <c r="AM281" s="87" t="str">
        <f aca="false">IF(E281="","",MID(IF(N(Y281)&gt;0,", "&amp;A281&amp;"-"&amp;Y$2,"")&amp;IF(N(Z281)&gt;0,", "&amp;A281&amp;"-"&amp;Z$2,"")&amp;IF(N(AA281)&gt;0,", "&amp;A281&amp;"-"&amp;AA$2,"")&amp;IF(N(AB281)&gt;0,", "&amp;A281&amp;"-"&amp;AB$2,"")&amp;IF(N(AC281)&gt;0,", "&amp;A281&amp;"-"&amp;AC$2,"")&amp;IF(N(AD281)&gt;0,", "&amp;A281&amp;"-"&amp;AD$2,"")&amp;IF(N(AE281)&gt;0,", "&amp;A281&amp;"-"&amp;AE$2,"")&amp;IF(N(AF281)&gt;0,", "&amp;A281&amp;"-"&amp;AF$2,"")&amp;IF(N(AG281)&gt;0,", "&amp;A281&amp;"-"&amp;AG$2,"")&amp;IF(N(AH281)&gt;0,", "&amp;A281&amp;"-"&amp;AH$2,"")&amp;IF(N(AI281)&gt;0,", "&amp;A281&amp;"-"&amp;AI$2,"")&amp;IF(N(AJ281)&gt;0,", "&amp;A281&amp;"-"&amp;AJ$2,""),3,999))</f>
        <v/>
      </c>
      <c r="AN281" s="81"/>
      <c r="AO281" s="88"/>
      <c r="AP281" s="89" t="str">
        <f aca="false">IF(AO281="","",ROUND(AO281/(1+Справочники!$B$13),2))</f>
        <v/>
      </c>
      <c r="AQ281" s="90" t="str">
        <f aca="false" t="array" ref="AQ281:AQ281">IF(AP281="","",AP281*INDEX(Справочники!$B$4:$B$7,MATCH("RUB",Справочники!$A$4:$A$7,0)))</f>
        <v/>
      </c>
      <c r="AR281" s="90" t="str">
        <f aca="false">IF(AQ281="","",ROUND(AQ281*(1+Справочники!$B$12),0))</f>
        <v/>
      </c>
      <c r="AS281" s="90" t="str">
        <f aca="false">IF(AR281="","",ROUND(AR281*(1-Справочники!$B$11),0))</f>
        <v/>
      </c>
      <c r="AT281" s="88"/>
      <c r="AU281" s="90" t="str">
        <f aca="false">IF(AT281="","",ROUND(AT281/(1+Справочники!$B$12),0))</f>
        <v/>
      </c>
      <c r="AV281" s="90" t="str">
        <f aca="false">IF(AT281="","",ROUND(AT281*(1-Справочники!$B$15),0))</f>
        <v/>
      </c>
      <c r="AW281" s="90" t="str">
        <f aca="false">IF(AT281="","",ROUND(AT281*(1-Справочники!$B$16),0))</f>
        <v/>
      </c>
      <c r="AX281" s="90" t="str">
        <f aca="false">IF(AT281="","",ROUND(AT281*(1-Справочники!$B$17),0))</f>
        <v/>
      </c>
      <c r="AY281" s="90" t="str">
        <f aca="false">IF(AT281="","",ROUND(AT281*(1-Справочники!$B$18),0))</f>
        <v/>
      </c>
      <c r="AZ281" s="90" t="str">
        <f aca="false">IF(AT281="","",ROUND(AT281*(1-Справочники!$B$19),0))</f>
        <v/>
      </c>
      <c r="BA281" s="81"/>
      <c r="BB281" s="81"/>
      <c r="BC281" s="81"/>
      <c r="BD281" s="81"/>
      <c r="BE281" s="91"/>
      <c r="BF281" s="81" t="s">
        <v>103</v>
      </c>
      <c r="BG281" s="89" t="n">
        <f aca="false" t="array" ref="BG281:BG281">IF(BF281="","",IFERROR(INDEX(Справочники!$B$4:$B$7,MATCH(BF281,Справочники!$A$4:$A$7,0)),""))</f>
        <v>68.5</v>
      </c>
      <c r="BH281" s="90" t="str">
        <f aca="false">IF(N(BN281)&gt;0,ROUND(SUMIF(ЗАКАЗЫ!$F$3:$F$500,$A281,ЗАКАЗЫ!$Y$3:$Y$500)/BN281,0),IF(OR(BE281="",BG281=""),"",ROUND(BE281*BG281*(1+Справочники!$B$10),0)))</f>
        <v/>
      </c>
      <c r="BI281" s="92" t="str">
        <f aca="false">IF(OR(AU281="",BH281="",AU281=0),"",(AU281-BH281)/AU281)</f>
        <v/>
      </c>
      <c r="BJ281" s="81"/>
      <c r="BK281" s="83"/>
      <c r="BL281" s="43" t="str">
        <f aca="false">IFERROR(INDEX(ЗАКАЗЫ!$N$3:$N$500,MATCH($A281,ЗАКАЗЫ!$F$3:$F$500,0)),"")</f>
        <v/>
      </c>
      <c r="BM281" s="8" t="str">
        <f aca="false">IF(BL281="","",IFERROR(VLOOKUP(BL281,'ТН ВЭД'!$A$4:$C$40,3,0),""))</f>
        <v/>
      </c>
      <c r="BN281" s="7" t="str">
        <f aca="false">IF(COUNTIF(ЗАКАЗЫ!$F$3:$F$500,$A281)=0,"",SUMIF(ЗАКАЗЫ!$F$3:$F$500,$A281,ЗАКАЗЫ!$J$3:$J$500))</f>
        <v/>
      </c>
      <c r="BO281" s="7" t="str">
        <f aca="false">IF(BN281="","",SUMIF(ЗАКАЗЫ!$F$3:$F$500,$A281,ЗАКАЗЫ!$AL$3:$AL$500))</f>
        <v/>
      </c>
      <c r="BP281" s="7" t="str">
        <f aca="false">IF(BN281="","",BN281-BO281)</f>
        <v/>
      </c>
      <c r="BQ281" s="55" t="str">
        <f aca="false">IF(BN281="","",IF(BO281&gt;=BN281,"На складе",IF(BO281&gt;0,"Частично","Ждём")))</f>
        <v/>
      </c>
      <c r="BR281" s="43"/>
      <c r="BS281" s="47" t="str">
        <f aca="false">IF(BN281="","",IF(_xlfn.MAXIFS(ЗАКАЗЫ!$AK$3:$AK$500,ЗАКАЗЫ!$F$3:$F$500,$A281)=0,"",_xlfn.MAXIFS(ЗАКАЗЫ!$AK$3:$AK$500,ЗАКАЗЫ!$F$3:$F$500,$A281)))</f>
        <v/>
      </c>
    </row>
    <row r="282" customFormat="false" ht="15.75" hidden="false" customHeight="true" outlineLevel="0" collapsed="false">
      <c r="A282" s="80" t="s">
        <v>756</v>
      </c>
      <c r="B282" s="81"/>
      <c r="C282" s="81"/>
      <c r="D282" s="81"/>
      <c r="E282" s="83"/>
      <c r="F282" s="81"/>
      <c r="G282" s="83"/>
      <c r="H282" s="83"/>
      <c r="I282" s="84" t="str">
        <f aca="false">IF(E282="","",A282&amp;"_1.jpg")</f>
        <v/>
      </c>
      <c r="J282" s="84" t="str">
        <f aca="false">IF(E282="","",A282&amp;"_2.jpg; "&amp;A282&amp;"_3.jpg")</f>
        <v/>
      </c>
      <c r="K282" s="84" t="str">
        <f aca="false">IF(E282="","",A282&amp;"_schema.jpg")</f>
        <v/>
      </c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 t="s">
        <v>261</v>
      </c>
      <c r="W282" s="81"/>
      <c r="X282" s="81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6" t="str">
        <f aca="false">IF(SUM(Y282:AJ282)=0,"",SUM(Y282:AJ282))</f>
        <v/>
      </c>
      <c r="AL282" s="84" t="str">
        <f aca="false">MID(IF(N(Y282)&gt;0,", "&amp;Y$2,"")&amp;IF(N(Z282)&gt;0,", "&amp;Z$2,"")&amp;IF(N(AA282)&gt;0,", "&amp;AA$2,"")&amp;IF(N(AB282)&gt;0,", "&amp;AB$2,"")&amp;IF(N(AC282)&gt;0,", "&amp;AC$2,"")&amp;IF(N(AD282)&gt;0,", "&amp;AD$2,"")&amp;IF(N(AE282)&gt;0,", "&amp;AE$2,"")&amp;IF(N(AF282)&gt;0,", "&amp;AF$2,"")&amp;IF(N(AG282)&gt;0,", "&amp;AG$2,"")&amp;IF(N(AH282)&gt;0,", "&amp;AH$2,"")&amp;IF(N(AI282)&gt;0,", "&amp;AI$2,"")&amp;IF(N(AJ282)&gt;0,", "&amp;AJ$2,""),3,999)</f>
        <v/>
      </c>
      <c r="AM282" s="87" t="str">
        <f aca="false">IF(E282="","",MID(IF(N(Y282)&gt;0,", "&amp;A282&amp;"-"&amp;Y$2,"")&amp;IF(N(Z282)&gt;0,", "&amp;A282&amp;"-"&amp;Z$2,"")&amp;IF(N(AA282)&gt;0,", "&amp;A282&amp;"-"&amp;AA$2,"")&amp;IF(N(AB282)&gt;0,", "&amp;A282&amp;"-"&amp;AB$2,"")&amp;IF(N(AC282)&gt;0,", "&amp;A282&amp;"-"&amp;AC$2,"")&amp;IF(N(AD282)&gt;0,", "&amp;A282&amp;"-"&amp;AD$2,"")&amp;IF(N(AE282)&gt;0,", "&amp;A282&amp;"-"&amp;AE$2,"")&amp;IF(N(AF282)&gt;0,", "&amp;A282&amp;"-"&amp;AF$2,"")&amp;IF(N(AG282)&gt;0,", "&amp;A282&amp;"-"&amp;AG$2,"")&amp;IF(N(AH282)&gt;0,", "&amp;A282&amp;"-"&amp;AH$2,"")&amp;IF(N(AI282)&gt;0,", "&amp;A282&amp;"-"&amp;AI$2,"")&amp;IF(N(AJ282)&gt;0,", "&amp;A282&amp;"-"&amp;AJ$2,""),3,999))</f>
        <v/>
      </c>
      <c r="AN282" s="81"/>
      <c r="AO282" s="88"/>
      <c r="AP282" s="89" t="str">
        <f aca="false">IF(AO282="","",ROUND(AO282/(1+Справочники!$B$13),2))</f>
        <v/>
      </c>
      <c r="AQ282" s="90" t="str">
        <f aca="false" t="array" ref="AQ282:AQ282">IF(AP282="","",AP282*INDEX(Справочники!$B$4:$B$7,MATCH("RUB",Справочники!$A$4:$A$7,0)))</f>
        <v/>
      </c>
      <c r="AR282" s="90" t="str">
        <f aca="false">IF(AQ282="","",ROUND(AQ282*(1+Справочники!$B$12),0))</f>
        <v/>
      </c>
      <c r="AS282" s="90" t="str">
        <f aca="false">IF(AR282="","",ROUND(AR282*(1-Справочники!$B$11),0))</f>
        <v/>
      </c>
      <c r="AT282" s="88"/>
      <c r="AU282" s="90" t="str">
        <f aca="false">IF(AT282="","",ROUND(AT282/(1+Справочники!$B$12),0))</f>
        <v/>
      </c>
      <c r="AV282" s="90" t="str">
        <f aca="false">IF(AT282="","",ROUND(AT282*(1-Справочники!$B$15),0))</f>
        <v/>
      </c>
      <c r="AW282" s="90" t="str">
        <f aca="false">IF(AT282="","",ROUND(AT282*(1-Справочники!$B$16),0))</f>
        <v/>
      </c>
      <c r="AX282" s="90" t="str">
        <f aca="false">IF(AT282="","",ROUND(AT282*(1-Справочники!$B$17),0))</f>
        <v/>
      </c>
      <c r="AY282" s="90" t="str">
        <f aca="false">IF(AT282="","",ROUND(AT282*(1-Справочники!$B$18),0))</f>
        <v/>
      </c>
      <c r="AZ282" s="90" t="str">
        <f aca="false">IF(AT282="","",ROUND(AT282*(1-Справочники!$B$19),0))</f>
        <v/>
      </c>
      <c r="BA282" s="81"/>
      <c r="BB282" s="81"/>
      <c r="BC282" s="81"/>
      <c r="BD282" s="81"/>
      <c r="BE282" s="91"/>
      <c r="BF282" s="81" t="s">
        <v>103</v>
      </c>
      <c r="BG282" s="89" t="n">
        <f aca="false" t="array" ref="BG282:BG282">IF(BF282="","",IFERROR(INDEX(Справочники!$B$4:$B$7,MATCH(BF282,Справочники!$A$4:$A$7,0)),""))</f>
        <v>68.5</v>
      </c>
      <c r="BH282" s="90" t="str">
        <f aca="false">IF(N(BN282)&gt;0,ROUND(SUMIF(ЗАКАЗЫ!$F$3:$F$500,$A282,ЗАКАЗЫ!$Y$3:$Y$500)/BN282,0),IF(OR(BE282="",BG282=""),"",ROUND(BE282*BG282*(1+Справочники!$B$10),0)))</f>
        <v/>
      </c>
      <c r="BI282" s="92" t="str">
        <f aca="false">IF(OR(AU282="",BH282="",AU282=0),"",(AU282-BH282)/AU282)</f>
        <v/>
      </c>
      <c r="BJ282" s="81"/>
      <c r="BK282" s="83"/>
      <c r="BL282" s="43" t="str">
        <f aca="false">IFERROR(INDEX(ЗАКАЗЫ!$N$3:$N$500,MATCH($A282,ЗАКАЗЫ!$F$3:$F$500,0)),"")</f>
        <v/>
      </c>
      <c r="BM282" s="8" t="str">
        <f aca="false">IF(BL282="","",IFERROR(VLOOKUP(BL282,'ТН ВЭД'!$A$4:$C$40,3,0),""))</f>
        <v/>
      </c>
      <c r="BN282" s="7" t="str">
        <f aca="false">IF(COUNTIF(ЗАКАЗЫ!$F$3:$F$500,$A282)=0,"",SUMIF(ЗАКАЗЫ!$F$3:$F$500,$A282,ЗАКАЗЫ!$J$3:$J$500))</f>
        <v/>
      </c>
      <c r="BO282" s="7" t="str">
        <f aca="false">IF(BN282="","",SUMIF(ЗАКАЗЫ!$F$3:$F$500,$A282,ЗАКАЗЫ!$AL$3:$AL$500))</f>
        <v/>
      </c>
      <c r="BP282" s="7" t="str">
        <f aca="false">IF(BN282="","",BN282-BO282)</f>
        <v/>
      </c>
      <c r="BQ282" s="55" t="str">
        <f aca="false">IF(BN282="","",IF(BO282&gt;=BN282,"На складе",IF(BO282&gt;0,"Частично","Ждём")))</f>
        <v/>
      </c>
      <c r="BR282" s="43"/>
      <c r="BS282" s="47" t="str">
        <f aca="false">IF(BN282="","",IF(_xlfn.MAXIFS(ЗАКАЗЫ!$AK$3:$AK$500,ЗАКАЗЫ!$F$3:$F$500,$A282)=0,"",_xlfn.MAXIFS(ЗАКАЗЫ!$AK$3:$AK$500,ЗАКАЗЫ!$F$3:$F$500,$A282)))</f>
        <v/>
      </c>
    </row>
    <row r="283" customFormat="false" ht="15.75" hidden="false" customHeight="true" outlineLevel="0" collapsed="false">
      <c r="A283" s="80" t="s">
        <v>757</v>
      </c>
      <c r="B283" s="81"/>
      <c r="C283" s="81"/>
      <c r="D283" s="81"/>
      <c r="E283" s="83"/>
      <c r="F283" s="81"/>
      <c r="G283" s="83"/>
      <c r="H283" s="83"/>
      <c r="I283" s="84" t="str">
        <f aca="false">IF(E283="","",A283&amp;"_1.jpg")</f>
        <v/>
      </c>
      <c r="J283" s="84" t="str">
        <f aca="false">IF(E283="","",A283&amp;"_2.jpg; "&amp;A283&amp;"_3.jpg")</f>
        <v/>
      </c>
      <c r="K283" s="84" t="str">
        <f aca="false">IF(E283="","",A283&amp;"_schema.jpg")</f>
        <v/>
      </c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 t="s">
        <v>261</v>
      </c>
      <c r="W283" s="81"/>
      <c r="X283" s="81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6" t="str">
        <f aca="false">IF(SUM(Y283:AJ283)=0,"",SUM(Y283:AJ283))</f>
        <v/>
      </c>
      <c r="AL283" s="84" t="str">
        <f aca="false">MID(IF(N(Y283)&gt;0,", "&amp;Y$2,"")&amp;IF(N(Z283)&gt;0,", "&amp;Z$2,"")&amp;IF(N(AA283)&gt;0,", "&amp;AA$2,"")&amp;IF(N(AB283)&gt;0,", "&amp;AB$2,"")&amp;IF(N(AC283)&gt;0,", "&amp;AC$2,"")&amp;IF(N(AD283)&gt;0,", "&amp;AD$2,"")&amp;IF(N(AE283)&gt;0,", "&amp;AE$2,"")&amp;IF(N(AF283)&gt;0,", "&amp;AF$2,"")&amp;IF(N(AG283)&gt;0,", "&amp;AG$2,"")&amp;IF(N(AH283)&gt;0,", "&amp;AH$2,"")&amp;IF(N(AI283)&gt;0,", "&amp;AI$2,"")&amp;IF(N(AJ283)&gt;0,", "&amp;AJ$2,""),3,999)</f>
        <v/>
      </c>
      <c r="AM283" s="87" t="str">
        <f aca="false">IF(E283="","",MID(IF(N(Y283)&gt;0,", "&amp;A283&amp;"-"&amp;Y$2,"")&amp;IF(N(Z283)&gt;0,", "&amp;A283&amp;"-"&amp;Z$2,"")&amp;IF(N(AA283)&gt;0,", "&amp;A283&amp;"-"&amp;AA$2,"")&amp;IF(N(AB283)&gt;0,", "&amp;A283&amp;"-"&amp;AB$2,"")&amp;IF(N(AC283)&gt;0,", "&amp;A283&amp;"-"&amp;AC$2,"")&amp;IF(N(AD283)&gt;0,", "&amp;A283&amp;"-"&amp;AD$2,"")&amp;IF(N(AE283)&gt;0,", "&amp;A283&amp;"-"&amp;AE$2,"")&amp;IF(N(AF283)&gt;0,", "&amp;A283&amp;"-"&amp;AF$2,"")&amp;IF(N(AG283)&gt;0,", "&amp;A283&amp;"-"&amp;AG$2,"")&amp;IF(N(AH283)&gt;0,", "&amp;A283&amp;"-"&amp;AH$2,"")&amp;IF(N(AI283)&gt;0,", "&amp;A283&amp;"-"&amp;AI$2,"")&amp;IF(N(AJ283)&gt;0,", "&amp;A283&amp;"-"&amp;AJ$2,""),3,999))</f>
        <v/>
      </c>
      <c r="AN283" s="81"/>
      <c r="AO283" s="88"/>
      <c r="AP283" s="89" t="str">
        <f aca="false">IF(AO283="","",ROUND(AO283/(1+Справочники!$B$13),2))</f>
        <v/>
      </c>
      <c r="AQ283" s="90" t="str">
        <f aca="false" t="array" ref="AQ283:AQ283">IF(AP283="","",AP283*INDEX(Справочники!$B$4:$B$7,MATCH("RUB",Справочники!$A$4:$A$7,0)))</f>
        <v/>
      </c>
      <c r="AR283" s="90" t="str">
        <f aca="false">IF(AQ283="","",ROUND(AQ283*(1+Справочники!$B$12),0))</f>
        <v/>
      </c>
      <c r="AS283" s="90" t="str">
        <f aca="false">IF(AR283="","",ROUND(AR283*(1-Справочники!$B$11),0))</f>
        <v/>
      </c>
      <c r="AT283" s="88"/>
      <c r="AU283" s="90" t="str">
        <f aca="false">IF(AT283="","",ROUND(AT283/(1+Справочники!$B$12),0))</f>
        <v/>
      </c>
      <c r="AV283" s="90" t="str">
        <f aca="false">IF(AT283="","",ROUND(AT283*(1-Справочники!$B$15),0))</f>
        <v/>
      </c>
      <c r="AW283" s="90" t="str">
        <f aca="false">IF(AT283="","",ROUND(AT283*(1-Справочники!$B$16),0))</f>
        <v/>
      </c>
      <c r="AX283" s="90" t="str">
        <f aca="false">IF(AT283="","",ROUND(AT283*(1-Справочники!$B$17),0))</f>
        <v/>
      </c>
      <c r="AY283" s="90" t="str">
        <f aca="false">IF(AT283="","",ROUND(AT283*(1-Справочники!$B$18),0))</f>
        <v/>
      </c>
      <c r="AZ283" s="90" t="str">
        <f aca="false">IF(AT283="","",ROUND(AT283*(1-Справочники!$B$19),0))</f>
        <v/>
      </c>
      <c r="BA283" s="81"/>
      <c r="BB283" s="81"/>
      <c r="BC283" s="81"/>
      <c r="BD283" s="81"/>
      <c r="BE283" s="91"/>
      <c r="BF283" s="81" t="s">
        <v>103</v>
      </c>
      <c r="BG283" s="89" t="n">
        <f aca="false" t="array" ref="BG283:BG283">IF(BF283="","",IFERROR(INDEX(Справочники!$B$4:$B$7,MATCH(BF283,Справочники!$A$4:$A$7,0)),""))</f>
        <v>68.5</v>
      </c>
      <c r="BH283" s="90" t="str">
        <f aca="false">IF(N(BN283)&gt;0,ROUND(SUMIF(ЗАКАЗЫ!$F$3:$F$500,$A283,ЗАКАЗЫ!$Y$3:$Y$500)/BN283,0),IF(OR(BE283="",BG283=""),"",ROUND(BE283*BG283*(1+Справочники!$B$10),0)))</f>
        <v/>
      </c>
      <c r="BI283" s="92" t="str">
        <f aca="false">IF(OR(AU283="",BH283="",AU283=0),"",(AU283-BH283)/AU283)</f>
        <v/>
      </c>
      <c r="BJ283" s="81"/>
      <c r="BK283" s="83"/>
      <c r="BL283" s="43" t="str">
        <f aca="false">IFERROR(INDEX(ЗАКАЗЫ!$N$3:$N$500,MATCH($A283,ЗАКАЗЫ!$F$3:$F$500,0)),"")</f>
        <v/>
      </c>
      <c r="BM283" s="8" t="str">
        <f aca="false">IF(BL283="","",IFERROR(VLOOKUP(BL283,'ТН ВЭД'!$A$4:$C$40,3,0),""))</f>
        <v/>
      </c>
      <c r="BN283" s="7" t="str">
        <f aca="false">IF(COUNTIF(ЗАКАЗЫ!$F$3:$F$500,$A283)=0,"",SUMIF(ЗАКАЗЫ!$F$3:$F$500,$A283,ЗАКАЗЫ!$J$3:$J$500))</f>
        <v/>
      </c>
      <c r="BO283" s="7" t="str">
        <f aca="false">IF(BN283="","",SUMIF(ЗАКАЗЫ!$F$3:$F$500,$A283,ЗАКАЗЫ!$AL$3:$AL$500))</f>
        <v/>
      </c>
      <c r="BP283" s="7" t="str">
        <f aca="false">IF(BN283="","",BN283-BO283)</f>
        <v/>
      </c>
      <c r="BQ283" s="55" t="str">
        <f aca="false">IF(BN283="","",IF(BO283&gt;=BN283,"На складе",IF(BO283&gt;0,"Частично","Ждём")))</f>
        <v/>
      </c>
      <c r="BR283" s="43"/>
      <c r="BS283" s="47" t="str">
        <f aca="false">IF(BN283="","",IF(_xlfn.MAXIFS(ЗАКАЗЫ!$AK$3:$AK$500,ЗАКАЗЫ!$F$3:$F$500,$A283)=0,"",_xlfn.MAXIFS(ЗАКАЗЫ!$AK$3:$AK$500,ЗАКАЗЫ!$F$3:$F$500,$A283)))</f>
        <v/>
      </c>
    </row>
    <row r="284" customFormat="false" ht="15.75" hidden="false" customHeight="true" outlineLevel="0" collapsed="false">
      <c r="A284" s="80" t="s">
        <v>758</v>
      </c>
      <c r="B284" s="81"/>
      <c r="C284" s="81"/>
      <c r="D284" s="81"/>
      <c r="E284" s="83"/>
      <c r="F284" s="81"/>
      <c r="G284" s="83"/>
      <c r="H284" s="83"/>
      <c r="I284" s="84" t="str">
        <f aca="false">IF(E284="","",A284&amp;"_1.jpg")</f>
        <v/>
      </c>
      <c r="J284" s="84" t="str">
        <f aca="false">IF(E284="","",A284&amp;"_2.jpg; "&amp;A284&amp;"_3.jpg")</f>
        <v/>
      </c>
      <c r="K284" s="84" t="str">
        <f aca="false">IF(E284="","",A284&amp;"_schema.jpg")</f>
        <v/>
      </c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 t="s">
        <v>261</v>
      </c>
      <c r="W284" s="81"/>
      <c r="X284" s="81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6" t="str">
        <f aca="false">IF(SUM(Y284:AJ284)=0,"",SUM(Y284:AJ284))</f>
        <v/>
      </c>
      <c r="AL284" s="84" t="str">
        <f aca="false">MID(IF(N(Y284)&gt;0,", "&amp;Y$2,"")&amp;IF(N(Z284)&gt;0,", "&amp;Z$2,"")&amp;IF(N(AA284)&gt;0,", "&amp;AA$2,"")&amp;IF(N(AB284)&gt;0,", "&amp;AB$2,"")&amp;IF(N(AC284)&gt;0,", "&amp;AC$2,"")&amp;IF(N(AD284)&gt;0,", "&amp;AD$2,"")&amp;IF(N(AE284)&gt;0,", "&amp;AE$2,"")&amp;IF(N(AF284)&gt;0,", "&amp;AF$2,"")&amp;IF(N(AG284)&gt;0,", "&amp;AG$2,"")&amp;IF(N(AH284)&gt;0,", "&amp;AH$2,"")&amp;IF(N(AI284)&gt;0,", "&amp;AI$2,"")&amp;IF(N(AJ284)&gt;0,", "&amp;AJ$2,""),3,999)</f>
        <v/>
      </c>
      <c r="AM284" s="87" t="str">
        <f aca="false">IF(E284="","",MID(IF(N(Y284)&gt;0,", "&amp;A284&amp;"-"&amp;Y$2,"")&amp;IF(N(Z284)&gt;0,", "&amp;A284&amp;"-"&amp;Z$2,"")&amp;IF(N(AA284)&gt;0,", "&amp;A284&amp;"-"&amp;AA$2,"")&amp;IF(N(AB284)&gt;0,", "&amp;A284&amp;"-"&amp;AB$2,"")&amp;IF(N(AC284)&gt;0,", "&amp;A284&amp;"-"&amp;AC$2,"")&amp;IF(N(AD284)&gt;0,", "&amp;A284&amp;"-"&amp;AD$2,"")&amp;IF(N(AE284)&gt;0,", "&amp;A284&amp;"-"&amp;AE$2,"")&amp;IF(N(AF284)&gt;0,", "&amp;A284&amp;"-"&amp;AF$2,"")&amp;IF(N(AG284)&gt;0,", "&amp;A284&amp;"-"&amp;AG$2,"")&amp;IF(N(AH284)&gt;0,", "&amp;A284&amp;"-"&amp;AH$2,"")&amp;IF(N(AI284)&gt;0,", "&amp;A284&amp;"-"&amp;AI$2,"")&amp;IF(N(AJ284)&gt;0,", "&amp;A284&amp;"-"&amp;AJ$2,""),3,999))</f>
        <v/>
      </c>
      <c r="AN284" s="81"/>
      <c r="AO284" s="88"/>
      <c r="AP284" s="89" t="str">
        <f aca="false">IF(AO284="","",ROUND(AO284/(1+Справочники!$B$13),2))</f>
        <v/>
      </c>
      <c r="AQ284" s="90" t="str">
        <f aca="false" t="array" ref="AQ284:AQ284">IF(AP284="","",AP284*INDEX(Справочники!$B$4:$B$7,MATCH("RUB",Справочники!$A$4:$A$7,0)))</f>
        <v/>
      </c>
      <c r="AR284" s="90" t="str">
        <f aca="false">IF(AQ284="","",ROUND(AQ284*(1+Справочники!$B$12),0))</f>
        <v/>
      </c>
      <c r="AS284" s="90" t="str">
        <f aca="false">IF(AR284="","",ROUND(AR284*(1-Справочники!$B$11),0))</f>
        <v/>
      </c>
      <c r="AT284" s="88"/>
      <c r="AU284" s="90" t="str">
        <f aca="false">IF(AT284="","",ROUND(AT284/(1+Справочники!$B$12),0))</f>
        <v/>
      </c>
      <c r="AV284" s="90" t="str">
        <f aca="false">IF(AT284="","",ROUND(AT284*(1-Справочники!$B$15),0))</f>
        <v/>
      </c>
      <c r="AW284" s="90" t="str">
        <f aca="false">IF(AT284="","",ROUND(AT284*(1-Справочники!$B$16),0))</f>
        <v/>
      </c>
      <c r="AX284" s="90" t="str">
        <f aca="false">IF(AT284="","",ROUND(AT284*(1-Справочники!$B$17),0))</f>
        <v/>
      </c>
      <c r="AY284" s="90" t="str">
        <f aca="false">IF(AT284="","",ROUND(AT284*(1-Справочники!$B$18),0))</f>
        <v/>
      </c>
      <c r="AZ284" s="90" t="str">
        <f aca="false">IF(AT284="","",ROUND(AT284*(1-Справочники!$B$19),0))</f>
        <v/>
      </c>
      <c r="BA284" s="81"/>
      <c r="BB284" s="81"/>
      <c r="BC284" s="81"/>
      <c r="BD284" s="81"/>
      <c r="BE284" s="91"/>
      <c r="BF284" s="81" t="s">
        <v>103</v>
      </c>
      <c r="BG284" s="89" t="n">
        <f aca="false" t="array" ref="BG284:BG284">IF(BF284="","",IFERROR(INDEX(Справочники!$B$4:$B$7,MATCH(BF284,Справочники!$A$4:$A$7,0)),""))</f>
        <v>68.5</v>
      </c>
      <c r="BH284" s="90" t="str">
        <f aca="false">IF(N(BN284)&gt;0,ROUND(SUMIF(ЗАКАЗЫ!$F$3:$F$500,$A284,ЗАКАЗЫ!$Y$3:$Y$500)/BN284,0),IF(OR(BE284="",BG284=""),"",ROUND(BE284*BG284*(1+Справочники!$B$10),0)))</f>
        <v/>
      </c>
      <c r="BI284" s="92" t="str">
        <f aca="false">IF(OR(AU284="",BH284="",AU284=0),"",(AU284-BH284)/AU284)</f>
        <v/>
      </c>
      <c r="BJ284" s="81"/>
      <c r="BK284" s="83"/>
      <c r="BL284" s="43" t="str">
        <f aca="false">IFERROR(INDEX(ЗАКАЗЫ!$N$3:$N$500,MATCH($A284,ЗАКАЗЫ!$F$3:$F$500,0)),"")</f>
        <v/>
      </c>
      <c r="BM284" s="8" t="str">
        <f aca="false">IF(BL284="","",IFERROR(VLOOKUP(BL284,'ТН ВЭД'!$A$4:$C$40,3,0),""))</f>
        <v/>
      </c>
      <c r="BN284" s="7" t="str">
        <f aca="false">IF(COUNTIF(ЗАКАЗЫ!$F$3:$F$500,$A284)=0,"",SUMIF(ЗАКАЗЫ!$F$3:$F$500,$A284,ЗАКАЗЫ!$J$3:$J$500))</f>
        <v/>
      </c>
      <c r="BO284" s="7" t="str">
        <f aca="false">IF(BN284="","",SUMIF(ЗАКАЗЫ!$F$3:$F$500,$A284,ЗАКАЗЫ!$AL$3:$AL$500))</f>
        <v/>
      </c>
      <c r="BP284" s="7" t="str">
        <f aca="false">IF(BN284="","",BN284-BO284)</f>
        <v/>
      </c>
      <c r="BQ284" s="55" t="str">
        <f aca="false">IF(BN284="","",IF(BO284&gt;=BN284,"На складе",IF(BO284&gt;0,"Частично","Ждём")))</f>
        <v/>
      </c>
      <c r="BR284" s="43"/>
      <c r="BS284" s="47" t="str">
        <f aca="false">IF(BN284="","",IF(_xlfn.MAXIFS(ЗАКАЗЫ!$AK$3:$AK$500,ЗАКАЗЫ!$F$3:$F$500,$A284)=0,"",_xlfn.MAXIFS(ЗАКАЗЫ!$AK$3:$AK$500,ЗАКАЗЫ!$F$3:$F$500,$A284)))</f>
        <v/>
      </c>
    </row>
    <row r="285" customFormat="false" ht="15.75" hidden="false" customHeight="true" outlineLevel="0" collapsed="false">
      <c r="A285" s="80" t="s">
        <v>759</v>
      </c>
      <c r="B285" s="81"/>
      <c r="C285" s="81"/>
      <c r="D285" s="81"/>
      <c r="E285" s="83"/>
      <c r="F285" s="81"/>
      <c r="G285" s="83"/>
      <c r="H285" s="83"/>
      <c r="I285" s="84" t="str">
        <f aca="false">IF(E285="","",A285&amp;"_1.jpg")</f>
        <v/>
      </c>
      <c r="J285" s="84" t="str">
        <f aca="false">IF(E285="","",A285&amp;"_2.jpg; "&amp;A285&amp;"_3.jpg")</f>
        <v/>
      </c>
      <c r="K285" s="84" t="str">
        <f aca="false">IF(E285="","",A285&amp;"_schema.jpg")</f>
        <v/>
      </c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 t="s">
        <v>261</v>
      </c>
      <c r="W285" s="81"/>
      <c r="X285" s="81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6" t="str">
        <f aca="false">IF(SUM(Y285:AJ285)=0,"",SUM(Y285:AJ285))</f>
        <v/>
      </c>
      <c r="AL285" s="84" t="str">
        <f aca="false">MID(IF(N(Y285)&gt;0,", "&amp;Y$2,"")&amp;IF(N(Z285)&gt;0,", "&amp;Z$2,"")&amp;IF(N(AA285)&gt;0,", "&amp;AA$2,"")&amp;IF(N(AB285)&gt;0,", "&amp;AB$2,"")&amp;IF(N(AC285)&gt;0,", "&amp;AC$2,"")&amp;IF(N(AD285)&gt;0,", "&amp;AD$2,"")&amp;IF(N(AE285)&gt;0,", "&amp;AE$2,"")&amp;IF(N(AF285)&gt;0,", "&amp;AF$2,"")&amp;IF(N(AG285)&gt;0,", "&amp;AG$2,"")&amp;IF(N(AH285)&gt;0,", "&amp;AH$2,"")&amp;IF(N(AI285)&gt;0,", "&amp;AI$2,"")&amp;IF(N(AJ285)&gt;0,", "&amp;AJ$2,""),3,999)</f>
        <v/>
      </c>
      <c r="AM285" s="87" t="str">
        <f aca="false">IF(E285="","",MID(IF(N(Y285)&gt;0,", "&amp;A285&amp;"-"&amp;Y$2,"")&amp;IF(N(Z285)&gt;0,", "&amp;A285&amp;"-"&amp;Z$2,"")&amp;IF(N(AA285)&gt;0,", "&amp;A285&amp;"-"&amp;AA$2,"")&amp;IF(N(AB285)&gt;0,", "&amp;A285&amp;"-"&amp;AB$2,"")&amp;IF(N(AC285)&gt;0,", "&amp;A285&amp;"-"&amp;AC$2,"")&amp;IF(N(AD285)&gt;0,", "&amp;A285&amp;"-"&amp;AD$2,"")&amp;IF(N(AE285)&gt;0,", "&amp;A285&amp;"-"&amp;AE$2,"")&amp;IF(N(AF285)&gt;0,", "&amp;A285&amp;"-"&amp;AF$2,"")&amp;IF(N(AG285)&gt;0,", "&amp;A285&amp;"-"&amp;AG$2,"")&amp;IF(N(AH285)&gt;0,", "&amp;A285&amp;"-"&amp;AH$2,"")&amp;IF(N(AI285)&gt;0,", "&amp;A285&amp;"-"&amp;AI$2,"")&amp;IF(N(AJ285)&gt;0,", "&amp;A285&amp;"-"&amp;AJ$2,""),3,999))</f>
        <v/>
      </c>
      <c r="AN285" s="81"/>
      <c r="AO285" s="88"/>
      <c r="AP285" s="89" t="str">
        <f aca="false">IF(AO285="","",ROUND(AO285/(1+Справочники!$B$13),2))</f>
        <v/>
      </c>
      <c r="AQ285" s="90" t="str">
        <f aca="false" t="array" ref="AQ285:AQ285">IF(AP285="","",AP285*INDEX(Справочники!$B$4:$B$7,MATCH("RUB",Справочники!$A$4:$A$7,0)))</f>
        <v/>
      </c>
      <c r="AR285" s="90" t="str">
        <f aca="false">IF(AQ285="","",ROUND(AQ285*(1+Справочники!$B$12),0))</f>
        <v/>
      </c>
      <c r="AS285" s="90" t="str">
        <f aca="false">IF(AR285="","",ROUND(AR285*(1-Справочники!$B$11),0))</f>
        <v/>
      </c>
      <c r="AT285" s="88"/>
      <c r="AU285" s="90" t="str">
        <f aca="false">IF(AT285="","",ROUND(AT285/(1+Справочники!$B$12),0))</f>
        <v/>
      </c>
      <c r="AV285" s="90" t="str">
        <f aca="false">IF(AT285="","",ROUND(AT285*(1-Справочники!$B$15),0))</f>
        <v/>
      </c>
      <c r="AW285" s="90" t="str">
        <f aca="false">IF(AT285="","",ROUND(AT285*(1-Справочники!$B$16),0))</f>
        <v/>
      </c>
      <c r="AX285" s="90" t="str">
        <f aca="false">IF(AT285="","",ROUND(AT285*(1-Справочники!$B$17),0))</f>
        <v/>
      </c>
      <c r="AY285" s="90" t="str">
        <f aca="false">IF(AT285="","",ROUND(AT285*(1-Справочники!$B$18),0))</f>
        <v/>
      </c>
      <c r="AZ285" s="90" t="str">
        <f aca="false">IF(AT285="","",ROUND(AT285*(1-Справочники!$B$19),0))</f>
        <v/>
      </c>
      <c r="BA285" s="81"/>
      <c r="BB285" s="81"/>
      <c r="BC285" s="81"/>
      <c r="BD285" s="81"/>
      <c r="BE285" s="91"/>
      <c r="BF285" s="81" t="s">
        <v>103</v>
      </c>
      <c r="BG285" s="89" t="n">
        <f aca="false" t="array" ref="BG285:BG285">IF(BF285="","",IFERROR(INDEX(Справочники!$B$4:$B$7,MATCH(BF285,Справочники!$A$4:$A$7,0)),""))</f>
        <v>68.5</v>
      </c>
      <c r="BH285" s="90" t="str">
        <f aca="false">IF(N(BN285)&gt;0,ROUND(SUMIF(ЗАКАЗЫ!$F$3:$F$500,$A285,ЗАКАЗЫ!$Y$3:$Y$500)/BN285,0),IF(OR(BE285="",BG285=""),"",ROUND(BE285*BG285*(1+Справочники!$B$10),0)))</f>
        <v/>
      </c>
      <c r="BI285" s="92" t="str">
        <f aca="false">IF(OR(AU285="",BH285="",AU285=0),"",(AU285-BH285)/AU285)</f>
        <v/>
      </c>
      <c r="BJ285" s="81"/>
      <c r="BK285" s="83"/>
      <c r="BL285" s="43" t="str">
        <f aca="false">IFERROR(INDEX(ЗАКАЗЫ!$N$3:$N$500,MATCH($A285,ЗАКАЗЫ!$F$3:$F$500,0)),"")</f>
        <v/>
      </c>
      <c r="BM285" s="8" t="str">
        <f aca="false">IF(BL285="","",IFERROR(VLOOKUP(BL285,'ТН ВЭД'!$A$4:$C$40,3,0),""))</f>
        <v/>
      </c>
      <c r="BN285" s="7" t="str">
        <f aca="false">IF(COUNTIF(ЗАКАЗЫ!$F$3:$F$500,$A285)=0,"",SUMIF(ЗАКАЗЫ!$F$3:$F$500,$A285,ЗАКАЗЫ!$J$3:$J$500))</f>
        <v/>
      </c>
      <c r="BO285" s="7" t="str">
        <f aca="false">IF(BN285="","",SUMIF(ЗАКАЗЫ!$F$3:$F$500,$A285,ЗАКАЗЫ!$AL$3:$AL$500))</f>
        <v/>
      </c>
      <c r="BP285" s="7" t="str">
        <f aca="false">IF(BN285="","",BN285-BO285)</f>
        <v/>
      </c>
      <c r="BQ285" s="55" t="str">
        <f aca="false">IF(BN285="","",IF(BO285&gt;=BN285,"На складе",IF(BO285&gt;0,"Частично","Ждём")))</f>
        <v/>
      </c>
      <c r="BR285" s="43"/>
      <c r="BS285" s="47" t="str">
        <f aca="false">IF(BN285="","",IF(_xlfn.MAXIFS(ЗАКАЗЫ!$AK$3:$AK$500,ЗАКАЗЫ!$F$3:$F$500,$A285)=0,"",_xlfn.MAXIFS(ЗАКАЗЫ!$AK$3:$AK$500,ЗАКАЗЫ!$F$3:$F$500,$A285)))</f>
        <v/>
      </c>
    </row>
    <row r="286" customFormat="false" ht="15.75" hidden="false" customHeight="true" outlineLevel="0" collapsed="false">
      <c r="A286" s="80" t="s">
        <v>760</v>
      </c>
      <c r="B286" s="81"/>
      <c r="C286" s="81"/>
      <c r="D286" s="81"/>
      <c r="E286" s="83"/>
      <c r="F286" s="81"/>
      <c r="G286" s="83"/>
      <c r="H286" s="83"/>
      <c r="I286" s="84" t="str">
        <f aca="false">IF(E286="","",A286&amp;"_1.jpg")</f>
        <v/>
      </c>
      <c r="J286" s="84" t="str">
        <f aca="false">IF(E286="","",A286&amp;"_2.jpg; "&amp;A286&amp;"_3.jpg")</f>
        <v/>
      </c>
      <c r="K286" s="84" t="str">
        <f aca="false">IF(E286="","",A286&amp;"_schema.jpg")</f>
        <v/>
      </c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 t="s">
        <v>261</v>
      </c>
      <c r="W286" s="81"/>
      <c r="X286" s="81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6" t="str">
        <f aca="false">IF(SUM(Y286:AJ286)=0,"",SUM(Y286:AJ286))</f>
        <v/>
      </c>
      <c r="AL286" s="84" t="str">
        <f aca="false">MID(IF(N(Y286)&gt;0,", "&amp;Y$2,"")&amp;IF(N(Z286)&gt;0,", "&amp;Z$2,"")&amp;IF(N(AA286)&gt;0,", "&amp;AA$2,"")&amp;IF(N(AB286)&gt;0,", "&amp;AB$2,"")&amp;IF(N(AC286)&gt;0,", "&amp;AC$2,"")&amp;IF(N(AD286)&gt;0,", "&amp;AD$2,"")&amp;IF(N(AE286)&gt;0,", "&amp;AE$2,"")&amp;IF(N(AF286)&gt;0,", "&amp;AF$2,"")&amp;IF(N(AG286)&gt;0,", "&amp;AG$2,"")&amp;IF(N(AH286)&gt;0,", "&amp;AH$2,"")&amp;IF(N(AI286)&gt;0,", "&amp;AI$2,"")&amp;IF(N(AJ286)&gt;0,", "&amp;AJ$2,""),3,999)</f>
        <v/>
      </c>
      <c r="AM286" s="87" t="str">
        <f aca="false">IF(E286="","",MID(IF(N(Y286)&gt;0,", "&amp;A286&amp;"-"&amp;Y$2,"")&amp;IF(N(Z286)&gt;0,", "&amp;A286&amp;"-"&amp;Z$2,"")&amp;IF(N(AA286)&gt;0,", "&amp;A286&amp;"-"&amp;AA$2,"")&amp;IF(N(AB286)&gt;0,", "&amp;A286&amp;"-"&amp;AB$2,"")&amp;IF(N(AC286)&gt;0,", "&amp;A286&amp;"-"&amp;AC$2,"")&amp;IF(N(AD286)&gt;0,", "&amp;A286&amp;"-"&amp;AD$2,"")&amp;IF(N(AE286)&gt;0,", "&amp;A286&amp;"-"&amp;AE$2,"")&amp;IF(N(AF286)&gt;0,", "&amp;A286&amp;"-"&amp;AF$2,"")&amp;IF(N(AG286)&gt;0,", "&amp;A286&amp;"-"&amp;AG$2,"")&amp;IF(N(AH286)&gt;0,", "&amp;A286&amp;"-"&amp;AH$2,"")&amp;IF(N(AI286)&gt;0,", "&amp;A286&amp;"-"&amp;AI$2,"")&amp;IF(N(AJ286)&gt;0,", "&amp;A286&amp;"-"&amp;AJ$2,""),3,999))</f>
        <v/>
      </c>
      <c r="AN286" s="81"/>
      <c r="AO286" s="88"/>
      <c r="AP286" s="89" t="str">
        <f aca="false">IF(AO286="","",ROUND(AO286/(1+Справочники!$B$13),2))</f>
        <v/>
      </c>
      <c r="AQ286" s="90" t="str">
        <f aca="false" t="array" ref="AQ286:AQ286">IF(AP286="","",AP286*INDEX(Справочники!$B$4:$B$7,MATCH("RUB",Справочники!$A$4:$A$7,0)))</f>
        <v/>
      </c>
      <c r="AR286" s="90" t="str">
        <f aca="false">IF(AQ286="","",ROUND(AQ286*(1+Справочники!$B$12),0))</f>
        <v/>
      </c>
      <c r="AS286" s="90" t="str">
        <f aca="false">IF(AR286="","",ROUND(AR286*(1-Справочники!$B$11),0))</f>
        <v/>
      </c>
      <c r="AT286" s="88"/>
      <c r="AU286" s="90" t="str">
        <f aca="false">IF(AT286="","",ROUND(AT286/(1+Справочники!$B$12),0))</f>
        <v/>
      </c>
      <c r="AV286" s="90" t="str">
        <f aca="false">IF(AT286="","",ROUND(AT286*(1-Справочники!$B$15),0))</f>
        <v/>
      </c>
      <c r="AW286" s="90" t="str">
        <f aca="false">IF(AT286="","",ROUND(AT286*(1-Справочники!$B$16),0))</f>
        <v/>
      </c>
      <c r="AX286" s="90" t="str">
        <f aca="false">IF(AT286="","",ROUND(AT286*(1-Справочники!$B$17),0))</f>
        <v/>
      </c>
      <c r="AY286" s="90" t="str">
        <f aca="false">IF(AT286="","",ROUND(AT286*(1-Справочники!$B$18),0))</f>
        <v/>
      </c>
      <c r="AZ286" s="90" t="str">
        <f aca="false">IF(AT286="","",ROUND(AT286*(1-Справочники!$B$19),0))</f>
        <v/>
      </c>
      <c r="BA286" s="81"/>
      <c r="BB286" s="81"/>
      <c r="BC286" s="81"/>
      <c r="BD286" s="81"/>
      <c r="BE286" s="91"/>
      <c r="BF286" s="81" t="s">
        <v>103</v>
      </c>
      <c r="BG286" s="89" t="n">
        <f aca="false" t="array" ref="BG286:BG286">IF(BF286="","",IFERROR(INDEX(Справочники!$B$4:$B$7,MATCH(BF286,Справочники!$A$4:$A$7,0)),""))</f>
        <v>68.5</v>
      </c>
      <c r="BH286" s="90" t="str">
        <f aca="false">IF(N(BN286)&gt;0,ROUND(SUMIF(ЗАКАЗЫ!$F$3:$F$500,$A286,ЗАКАЗЫ!$Y$3:$Y$500)/BN286,0),IF(OR(BE286="",BG286=""),"",ROUND(BE286*BG286*(1+Справочники!$B$10),0)))</f>
        <v/>
      </c>
      <c r="BI286" s="92" t="str">
        <f aca="false">IF(OR(AU286="",BH286="",AU286=0),"",(AU286-BH286)/AU286)</f>
        <v/>
      </c>
      <c r="BJ286" s="81"/>
      <c r="BK286" s="83"/>
      <c r="BL286" s="43" t="str">
        <f aca="false">IFERROR(INDEX(ЗАКАЗЫ!$N$3:$N$500,MATCH($A286,ЗАКАЗЫ!$F$3:$F$500,0)),"")</f>
        <v/>
      </c>
      <c r="BM286" s="8" t="str">
        <f aca="false">IF(BL286="","",IFERROR(VLOOKUP(BL286,'ТН ВЭД'!$A$4:$C$40,3,0),""))</f>
        <v/>
      </c>
      <c r="BN286" s="7" t="str">
        <f aca="false">IF(COUNTIF(ЗАКАЗЫ!$F$3:$F$500,$A286)=0,"",SUMIF(ЗАКАЗЫ!$F$3:$F$500,$A286,ЗАКАЗЫ!$J$3:$J$500))</f>
        <v/>
      </c>
      <c r="BO286" s="7" t="str">
        <f aca="false">IF(BN286="","",SUMIF(ЗАКАЗЫ!$F$3:$F$500,$A286,ЗАКАЗЫ!$AL$3:$AL$500))</f>
        <v/>
      </c>
      <c r="BP286" s="7" t="str">
        <f aca="false">IF(BN286="","",BN286-BO286)</f>
        <v/>
      </c>
      <c r="BQ286" s="55" t="str">
        <f aca="false">IF(BN286="","",IF(BO286&gt;=BN286,"На складе",IF(BO286&gt;0,"Частично","Ждём")))</f>
        <v/>
      </c>
      <c r="BR286" s="43"/>
      <c r="BS286" s="47" t="str">
        <f aca="false">IF(BN286="","",IF(_xlfn.MAXIFS(ЗАКАЗЫ!$AK$3:$AK$500,ЗАКАЗЫ!$F$3:$F$500,$A286)=0,"",_xlfn.MAXIFS(ЗАКАЗЫ!$AK$3:$AK$500,ЗАКАЗЫ!$F$3:$F$500,$A286)))</f>
        <v/>
      </c>
    </row>
    <row r="287" customFormat="false" ht="15.75" hidden="false" customHeight="true" outlineLevel="0" collapsed="false">
      <c r="A287" s="80" t="s">
        <v>761</v>
      </c>
      <c r="B287" s="81"/>
      <c r="C287" s="81"/>
      <c r="D287" s="81"/>
      <c r="E287" s="83"/>
      <c r="F287" s="81"/>
      <c r="G287" s="83"/>
      <c r="H287" s="83"/>
      <c r="I287" s="84" t="str">
        <f aca="false">IF(E287="","",A287&amp;"_1.jpg")</f>
        <v/>
      </c>
      <c r="J287" s="84" t="str">
        <f aca="false">IF(E287="","",A287&amp;"_2.jpg; "&amp;A287&amp;"_3.jpg")</f>
        <v/>
      </c>
      <c r="K287" s="84" t="str">
        <f aca="false">IF(E287="","",A287&amp;"_schema.jpg")</f>
        <v/>
      </c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 t="s">
        <v>261</v>
      </c>
      <c r="W287" s="81"/>
      <c r="X287" s="81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6" t="str">
        <f aca="false">IF(SUM(Y287:AJ287)=0,"",SUM(Y287:AJ287))</f>
        <v/>
      </c>
      <c r="AL287" s="84" t="str">
        <f aca="false">MID(IF(N(Y287)&gt;0,", "&amp;Y$2,"")&amp;IF(N(Z287)&gt;0,", "&amp;Z$2,"")&amp;IF(N(AA287)&gt;0,", "&amp;AA$2,"")&amp;IF(N(AB287)&gt;0,", "&amp;AB$2,"")&amp;IF(N(AC287)&gt;0,", "&amp;AC$2,"")&amp;IF(N(AD287)&gt;0,", "&amp;AD$2,"")&amp;IF(N(AE287)&gt;0,", "&amp;AE$2,"")&amp;IF(N(AF287)&gt;0,", "&amp;AF$2,"")&amp;IF(N(AG287)&gt;0,", "&amp;AG$2,"")&amp;IF(N(AH287)&gt;0,", "&amp;AH$2,"")&amp;IF(N(AI287)&gt;0,", "&amp;AI$2,"")&amp;IF(N(AJ287)&gt;0,", "&amp;AJ$2,""),3,999)</f>
        <v/>
      </c>
      <c r="AM287" s="87" t="str">
        <f aca="false">IF(E287="","",MID(IF(N(Y287)&gt;0,", "&amp;A287&amp;"-"&amp;Y$2,"")&amp;IF(N(Z287)&gt;0,", "&amp;A287&amp;"-"&amp;Z$2,"")&amp;IF(N(AA287)&gt;0,", "&amp;A287&amp;"-"&amp;AA$2,"")&amp;IF(N(AB287)&gt;0,", "&amp;A287&amp;"-"&amp;AB$2,"")&amp;IF(N(AC287)&gt;0,", "&amp;A287&amp;"-"&amp;AC$2,"")&amp;IF(N(AD287)&gt;0,", "&amp;A287&amp;"-"&amp;AD$2,"")&amp;IF(N(AE287)&gt;0,", "&amp;A287&amp;"-"&amp;AE$2,"")&amp;IF(N(AF287)&gt;0,", "&amp;A287&amp;"-"&amp;AF$2,"")&amp;IF(N(AG287)&gt;0,", "&amp;A287&amp;"-"&amp;AG$2,"")&amp;IF(N(AH287)&gt;0,", "&amp;A287&amp;"-"&amp;AH$2,"")&amp;IF(N(AI287)&gt;0,", "&amp;A287&amp;"-"&amp;AI$2,"")&amp;IF(N(AJ287)&gt;0,", "&amp;A287&amp;"-"&amp;AJ$2,""),3,999))</f>
        <v/>
      </c>
      <c r="AN287" s="81"/>
      <c r="AO287" s="88"/>
      <c r="AP287" s="89" t="str">
        <f aca="false">IF(AO287="","",ROUND(AO287/(1+Справочники!$B$13),2))</f>
        <v/>
      </c>
      <c r="AQ287" s="90" t="str">
        <f aca="false" t="array" ref="AQ287:AQ287">IF(AP287="","",AP287*INDEX(Справочники!$B$4:$B$7,MATCH("RUB",Справочники!$A$4:$A$7,0)))</f>
        <v/>
      </c>
      <c r="AR287" s="90" t="str">
        <f aca="false">IF(AQ287="","",ROUND(AQ287*(1+Справочники!$B$12),0))</f>
        <v/>
      </c>
      <c r="AS287" s="90" t="str">
        <f aca="false">IF(AR287="","",ROUND(AR287*(1-Справочники!$B$11),0))</f>
        <v/>
      </c>
      <c r="AT287" s="88"/>
      <c r="AU287" s="90" t="str">
        <f aca="false">IF(AT287="","",ROUND(AT287/(1+Справочники!$B$12),0))</f>
        <v/>
      </c>
      <c r="AV287" s="90" t="str">
        <f aca="false">IF(AT287="","",ROUND(AT287*(1-Справочники!$B$15),0))</f>
        <v/>
      </c>
      <c r="AW287" s="90" t="str">
        <f aca="false">IF(AT287="","",ROUND(AT287*(1-Справочники!$B$16),0))</f>
        <v/>
      </c>
      <c r="AX287" s="90" t="str">
        <f aca="false">IF(AT287="","",ROUND(AT287*(1-Справочники!$B$17),0))</f>
        <v/>
      </c>
      <c r="AY287" s="90" t="str">
        <f aca="false">IF(AT287="","",ROUND(AT287*(1-Справочники!$B$18),0))</f>
        <v/>
      </c>
      <c r="AZ287" s="90" t="str">
        <f aca="false">IF(AT287="","",ROUND(AT287*(1-Справочники!$B$19),0))</f>
        <v/>
      </c>
      <c r="BA287" s="81"/>
      <c r="BB287" s="81"/>
      <c r="BC287" s="81"/>
      <c r="BD287" s="81"/>
      <c r="BE287" s="91"/>
      <c r="BF287" s="81" t="s">
        <v>103</v>
      </c>
      <c r="BG287" s="89" t="n">
        <f aca="false" t="array" ref="BG287:BG287">IF(BF287="","",IFERROR(INDEX(Справочники!$B$4:$B$7,MATCH(BF287,Справочники!$A$4:$A$7,0)),""))</f>
        <v>68.5</v>
      </c>
      <c r="BH287" s="90" t="str">
        <f aca="false">IF(N(BN287)&gt;0,ROUND(SUMIF(ЗАКАЗЫ!$F$3:$F$500,$A287,ЗАКАЗЫ!$Y$3:$Y$500)/BN287,0),IF(OR(BE287="",BG287=""),"",ROUND(BE287*BG287*(1+Справочники!$B$10),0)))</f>
        <v/>
      </c>
      <c r="BI287" s="92" t="str">
        <f aca="false">IF(OR(AU287="",BH287="",AU287=0),"",(AU287-BH287)/AU287)</f>
        <v/>
      </c>
      <c r="BJ287" s="81"/>
      <c r="BK287" s="83"/>
      <c r="BL287" s="43" t="str">
        <f aca="false">IFERROR(INDEX(ЗАКАЗЫ!$N$3:$N$500,MATCH($A287,ЗАКАЗЫ!$F$3:$F$500,0)),"")</f>
        <v/>
      </c>
      <c r="BM287" s="8" t="str">
        <f aca="false">IF(BL287="","",IFERROR(VLOOKUP(BL287,'ТН ВЭД'!$A$4:$C$40,3,0),""))</f>
        <v/>
      </c>
      <c r="BN287" s="7" t="str">
        <f aca="false">IF(COUNTIF(ЗАКАЗЫ!$F$3:$F$500,$A287)=0,"",SUMIF(ЗАКАЗЫ!$F$3:$F$500,$A287,ЗАКАЗЫ!$J$3:$J$500))</f>
        <v/>
      </c>
      <c r="BO287" s="7" t="str">
        <f aca="false">IF(BN287="","",SUMIF(ЗАКАЗЫ!$F$3:$F$500,$A287,ЗАКАЗЫ!$AL$3:$AL$500))</f>
        <v/>
      </c>
      <c r="BP287" s="7" t="str">
        <f aca="false">IF(BN287="","",BN287-BO287)</f>
        <v/>
      </c>
      <c r="BQ287" s="55" t="str">
        <f aca="false">IF(BN287="","",IF(BO287&gt;=BN287,"На складе",IF(BO287&gt;0,"Частично","Ждём")))</f>
        <v/>
      </c>
      <c r="BR287" s="43"/>
      <c r="BS287" s="47" t="str">
        <f aca="false">IF(BN287="","",IF(_xlfn.MAXIFS(ЗАКАЗЫ!$AK$3:$AK$500,ЗАКАЗЫ!$F$3:$F$500,$A287)=0,"",_xlfn.MAXIFS(ЗАКАЗЫ!$AK$3:$AK$500,ЗАКАЗЫ!$F$3:$F$500,$A287)))</f>
        <v/>
      </c>
    </row>
    <row r="288" customFormat="false" ht="15.75" hidden="false" customHeight="true" outlineLevel="0" collapsed="false">
      <c r="A288" s="80" t="s">
        <v>762</v>
      </c>
      <c r="B288" s="81"/>
      <c r="C288" s="81"/>
      <c r="D288" s="81"/>
      <c r="E288" s="83"/>
      <c r="F288" s="81"/>
      <c r="G288" s="83"/>
      <c r="H288" s="83"/>
      <c r="I288" s="84" t="str">
        <f aca="false">IF(E288="","",A288&amp;"_1.jpg")</f>
        <v/>
      </c>
      <c r="J288" s="84" t="str">
        <f aca="false">IF(E288="","",A288&amp;"_2.jpg; "&amp;A288&amp;"_3.jpg")</f>
        <v/>
      </c>
      <c r="K288" s="84" t="str">
        <f aca="false">IF(E288="","",A288&amp;"_schema.jpg")</f>
        <v/>
      </c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 t="s">
        <v>261</v>
      </c>
      <c r="W288" s="81"/>
      <c r="X288" s="81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6" t="str">
        <f aca="false">IF(SUM(Y288:AJ288)=0,"",SUM(Y288:AJ288))</f>
        <v/>
      </c>
      <c r="AL288" s="84" t="str">
        <f aca="false">MID(IF(N(Y288)&gt;0,", "&amp;Y$2,"")&amp;IF(N(Z288)&gt;0,", "&amp;Z$2,"")&amp;IF(N(AA288)&gt;0,", "&amp;AA$2,"")&amp;IF(N(AB288)&gt;0,", "&amp;AB$2,"")&amp;IF(N(AC288)&gt;0,", "&amp;AC$2,"")&amp;IF(N(AD288)&gt;0,", "&amp;AD$2,"")&amp;IF(N(AE288)&gt;0,", "&amp;AE$2,"")&amp;IF(N(AF288)&gt;0,", "&amp;AF$2,"")&amp;IF(N(AG288)&gt;0,", "&amp;AG$2,"")&amp;IF(N(AH288)&gt;0,", "&amp;AH$2,"")&amp;IF(N(AI288)&gt;0,", "&amp;AI$2,"")&amp;IF(N(AJ288)&gt;0,", "&amp;AJ$2,""),3,999)</f>
        <v/>
      </c>
      <c r="AM288" s="87" t="str">
        <f aca="false">IF(E288="","",MID(IF(N(Y288)&gt;0,", "&amp;A288&amp;"-"&amp;Y$2,"")&amp;IF(N(Z288)&gt;0,", "&amp;A288&amp;"-"&amp;Z$2,"")&amp;IF(N(AA288)&gt;0,", "&amp;A288&amp;"-"&amp;AA$2,"")&amp;IF(N(AB288)&gt;0,", "&amp;A288&amp;"-"&amp;AB$2,"")&amp;IF(N(AC288)&gt;0,", "&amp;A288&amp;"-"&amp;AC$2,"")&amp;IF(N(AD288)&gt;0,", "&amp;A288&amp;"-"&amp;AD$2,"")&amp;IF(N(AE288)&gt;0,", "&amp;A288&amp;"-"&amp;AE$2,"")&amp;IF(N(AF288)&gt;0,", "&amp;A288&amp;"-"&amp;AF$2,"")&amp;IF(N(AG288)&gt;0,", "&amp;A288&amp;"-"&amp;AG$2,"")&amp;IF(N(AH288)&gt;0,", "&amp;A288&amp;"-"&amp;AH$2,"")&amp;IF(N(AI288)&gt;0,", "&amp;A288&amp;"-"&amp;AI$2,"")&amp;IF(N(AJ288)&gt;0,", "&amp;A288&amp;"-"&amp;AJ$2,""),3,999))</f>
        <v/>
      </c>
      <c r="AN288" s="81"/>
      <c r="AO288" s="88"/>
      <c r="AP288" s="89" t="str">
        <f aca="false">IF(AO288="","",ROUND(AO288/(1+Справочники!$B$13),2))</f>
        <v/>
      </c>
      <c r="AQ288" s="90" t="str">
        <f aca="false" t="array" ref="AQ288:AQ288">IF(AP288="","",AP288*INDEX(Справочники!$B$4:$B$7,MATCH("RUB",Справочники!$A$4:$A$7,0)))</f>
        <v/>
      </c>
      <c r="AR288" s="90" t="str">
        <f aca="false">IF(AQ288="","",ROUND(AQ288*(1+Справочники!$B$12),0))</f>
        <v/>
      </c>
      <c r="AS288" s="90" t="str">
        <f aca="false">IF(AR288="","",ROUND(AR288*(1-Справочники!$B$11),0))</f>
        <v/>
      </c>
      <c r="AT288" s="88"/>
      <c r="AU288" s="90" t="str">
        <f aca="false">IF(AT288="","",ROUND(AT288/(1+Справочники!$B$12),0))</f>
        <v/>
      </c>
      <c r="AV288" s="90" t="str">
        <f aca="false">IF(AT288="","",ROUND(AT288*(1-Справочники!$B$15),0))</f>
        <v/>
      </c>
      <c r="AW288" s="90" t="str">
        <f aca="false">IF(AT288="","",ROUND(AT288*(1-Справочники!$B$16),0))</f>
        <v/>
      </c>
      <c r="AX288" s="90" t="str">
        <f aca="false">IF(AT288="","",ROUND(AT288*(1-Справочники!$B$17),0))</f>
        <v/>
      </c>
      <c r="AY288" s="90" t="str">
        <f aca="false">IF(AT288="","",ROUND(AT288*(1-Справочники!$B$18),0))</f>
        <v/>
      </c>
      <c r="AZ288" s="90" t="str">
        <f aca="false">IF(AT288="","",ROUND(AT288*(1-Справочники!$B$19),0))</f>
        <v/>
      </c>
      <c r="BA288" s="81"/>
      <c r="BB288" s="81"/>
      <c r="BC288" s="81"/>
      <c r="BD288" s="81"/>
      <c r="BE288" s="91"/>
      <c r="BF288" s="81" t="s">
        <v>103</v>
      </c>
      <c r="BG288" s="89" t="n">
        <f aca="false" t="array" ref="BG288:BG288">IF(BF288="","",IFERROR(INDEX(Справочники!$B$4:$B$7,MATCH(BF288,Справочники!$A$4:$A$7,0)),""))</f>
        <v>68.5</v>
      </c>
      <c r="BH288" s="90" t="str">
        <f aca="false">IF(N(BN288)&gt;0,ROUND(SUMIF(ЗАКАЗЫ!$F$3:$F$500,$A288,ЗАКАЗЫ!$Y$3:$Y$500)/BN288,0),IF(OR(BE288="",BG288=""),"",ROUND(BE288*BG288*(1+Справочники!$B$10),0)))</f>
        <v/>
      </c>
      <c r="BI288" s="92" t="str">
        <f aca="false">IF(OR(AU288="",BH288="",AU288=0),"",(AU288-BH288)/AU288)</f>
        <v/>
      </c>
      <c r="BJ288" s="81"/>
      <c r="BK288" s="83"/>
      <c r="BL288" s="43" t="str">
        <f aca="false">IFERROR(INDEX(ЗАКАЗЫ!$N$3:$N$500,MATCH($A288,ЗАКАЗЫ!$F$3:$F$500,0)),"")</f>
        <v/>
      </c>
      <c r="BM288" s="8" t="str">
        <f aca="false">IF(BL288="","",IFERROR(VLOOKUP(BL288,'ТН ВЭД'!$A$4:$C$40,3,0),""))</f>
        <v/>
      </c>
      <c r="BN288" s="7" t="str">
        <f aca="false">IF(COUNTIF(ЗАКАЗЫ!$F$3:$F$500,$A288)=0,"",SUMIF(ЗАКАЗЫ!$F$3:$F$500,$A288,ЗАКАЗЫ!$J$3:$J$500))</f>
        <v/>
      </c>
      <c r="BO288" s="7" t="str">
        <f aca="false">IF(BN288="","",SUMIF(ЗАКАЗЫ!$F$3:$F$500,$A288,ЗАКАЗЫ!$AL$3:$AL$500))</f>
        <v/>
      </c>
      <c r="BP288" s="7" t="str">
        <f aca="false">IF(BN288="","",BN288-BO288)</f>
        <v/>
      </c>
      <c r="BQ288" s="55" t="str">
        <f aca="false">IF(BN288="","",IF(BO288&gt;=BN288,"На складе",IF(BO288&gt;0,"Частично","Ждём")))</f>
        <v/>
      </c>
      <c r="BR288" s="43"/>
      <c r="BS288" s="47" t="str">
        <f aca="false">IF(BN288="","",IF(_xlfn.MAXIFS(ЗАКАЗЫ!$AK$3:$AK$500,ЗАКАЗЫ!$F$3:$F$500,$A288)=0,"",_xlfn.MAXIFS(ЗАКАЗЫ!$AK$3:$AK$500,ЗАКАЗЫ!$F$3:$F$500,$A288)))</f>
        <v/>
      </c>
    </row>
    <row r="289" customFormat="false" ht="15.75" hidden="false" customHeight="true" outlineLevel="0" collapsed="false">
      <c r="A289" s="80" t="s">
        <v>763</v>
      </c>
      <c r="B289" s="81"/>
      <c r="C289" s="81"/>
      <c r="D289" s="81"/>
      <c r="E289" s="83"/>
      <c r="F289" s="81"/>
      <c r="G289" s="83"/>
      <c r="H289" s="83"/>
      <c r="I289" s="84" t="str">
        <f aca="false">IF(E289="","",A289&amp;"_1.jpg")</f>
        <v/>
      </c>
      <c r="J289" s="84" t="str">
        <f aca="false">IF(E289="","",A289&amp;"_2.jpg; "&amp;A289&amp;"_3.jpg")</f>
        <v/>
      </c>
      <c r="K289" s="84" t="str">
        <f aca="false">IF(E289="","",A289&amp;"_schema.jpg")</f>
        <v/>
      </c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 t="s">
        <v>261</v>
      </c>
      <c r="W289" s="81"/>
      <c r="X289" s="81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6" t="str">
        <f aca="false">IF(SUM(Y289:AJ289)=0,"",SUM(Y289:AJ289))</f>
        <v/>
      </c>
      <c r="AL289" s="84" t="str">
        <f aca="false">MID(IF(N(Y289)&gt;0,", "&amp;Y$2,"")&amp;IF(N(Z289)&gt;0,", "&amp;Z$2,"")&amp;IF(N(AA289)&gt;0,", "&amp;AA$2,"")&amp;IF(N(AB289)&gt;0,", "&amp;AB$2,"")&amp;IF(N(AC289)&gt;0,", "&amp;AC$2,"")&amp;IF(N(AD289)&gt;0,", "&amp;AD$2,"")&amp;IF(N(AE289)&gt;0,", "&amp;AE$2,"")&amp;IF(N(AF289)&gt;0,", "&amp;AF$2,"")&amp;IF(N(AG289)&gt;0,", "&amp;AG$2,"")&amp;IF(N(AH289)&gt;0,", "&amp;AH$2,"")&amp;IF(N(AI289)&gt;0,", "&amp;AI$2,"")&amp;IF(N(AJ289)&gt;0,", "&amp;AJ$2,""),3,999)</f>
        <v/>
      </c>
      <c r="AM289" s="87" t="str">
        <f aca="false">IF(E289="","",MID(IF(N(Y289)&gt;0,", "&amp;A289&amp;"-"&amp;Y$2,"")&amp;IF(N(Z289)&gt;0,", "&amp;A289&amp;"-"&amp;Z$2,"")&amp;IF(N(AA289)&gt;0,", "&amp;A289&amp;"-"&amp;AA$2,"")&amp;IF(N(AB289)&gt;0,", "&amp;A289&amp;"-"&amp;AB$2,"")&amp;IF(N(AC289)&gt;0,", "&amp;A289&amp;"-"&amp;AC$2,"")&amp;IF(N(AD289)&gt;0,", "&amp;A289&amp;"-"&amp;AD$2,"")&amp;IF(N(AE289)&gt;0,", "&amp;A289&amp;"-"&amp;AE$2,"")&amp;IF(N(AF289)&gt;0,", "&amp;A289&amp;"-"&amp;AF$2,"")&amp;IF(N(AG289)&gt;0,", "&amp;A289&amp;"-"&amp;AG$2,"")&amp;IF(N(AH289)&gt;0,", "&amp;A289&amp;"-"&amp;AH$2,"")&amp;IF(N(AI289)&gt;0,", "&amp;A289&amp;"-"&amp;AI$2,"")&amp;IF(N(AJ289)&gt;0,", "&amp;A289&amp;"-"&amp;AJ$2,""),3,999))</f>
        <v/>
      </c>
      <c r="AN289" s="81"/>
      <c r="AO289" s="88"/>
      <c r="AP289" s="89" t="str">
        <f aca="false">IF(AO289="","",ROUND(AO289/(1+Справочники!$B$13),2))</f>
        <v/>
      </c>
      <c r="AQ289" s="90" t="str">
        <f aca="false" t="array" ref="AQ289:AQ289">IF(AP289="","",AP289*INDEX(Справочники!$B$4:$B$7,MATCH("RUB",Справочники!$A$4:$A$7,0)))</f>
        <v/>
      </c>
      <c r="AR289" s="90" t="str">
        <f aca="false">IF(AQ289="","",ROUND(AQ289*(1+Справочники!$B$12),0))</f>
        <v/>
      </c>
      <c r="AS289" s="90" t="str">
        <f aca="false">IF(AR289="","",ROUND(AR289*(1-Справочники!$B$11),0))</f>
        <v/>
      </c>
      <c r="AT289" s="88"/>
      <c r="AU289" s="90" t="str">
        <f aca="false">IF(AT289="","",ROUND(AT289/(1+Справочники!$B$12),0))</f>
        <v/>
      </c>
      <c r="AV289" s="90" t="str">
        <f aca="false">IF(AT289="","",ROUND(AT289*(1-Справочники!$B$15),0))</f>
        <v/>
      </c>
      <c r="AW289" s="90" t="str">
        <f aca="false">IF(AT289="","",ROUND(AT289*(1-Справочники!$B$16),0))</f>
        <v/>
      </c>
      <c r="AX289" s="90" t="str">
        <f aca="false">IF(AT289="","",ROUND(AT289*(1-Справочники!$B$17),0))</f>
        <v/>
      </c>
      <c r="AY289" s="90" t="str">
        <f aca="false">IF(AT289="","",ROUND(AT289*(1-Справочники!$B$18),0))</f>
        <v/>
      </c>
      <c r="AZ289" s="90" t="str">
        <f aca="false">IF(AT289="","",ROUND(AT289*(1-Справочники!$B$19),0))</f>
        <v/>
      </c>
      <c r="BA289" s="81"/>
      <c r="BB289" s="81"/>
      <c r="BC289" s="81"/>
      <c r="BD289" s="81"/>
      <c r="BE289" s="91"/>
      <c r="BF289" s="81" t="s">
        <v>103</v>
      </c>
      <c r="BG289" s="89" t="n">
        <f aca="false" t="array" ref="BG289:BG289">IF(BF289="","",IFERROR(INDEX(Справочники!$B$4:$B$7,MATCH(BF289,Справочники!$A$4:$A$7,0)),""))</f>
        <v>68.5</v>
      </c>
      <c r="BH289" s="90" t="str">
        <f aca="false">IF(N(BN289)&gt;0,ROUND(SUMIF(ЗАКАЗЫ!$F$3:$F$500,$A289,ЗАКАЗЫ!$Y$3:$Y$500)/BN289,0),IF(OR(BE289="",BG289=""),"",ROUND(BE289*BG289*(1+Справочники!$B$10),0)))</f>
        <v/>
      </c>
      <c r="BI289" s="92" t="str">
        <f aca="false">IF(OR(AU289="",BH289="",AU289=0),"",(AU289-BH289)/AU289)</f>
        <v/>
      </c>
      <c r="BJ289" s="81"/>
      <c r="BK289" s="83"/>
      <c r="BL289" s="43" t="str">
        <f aca="false">IFERROR(INDEX(ЗАКАЗЫ!$N$3:$N$500,MATCH($A289,ЗАКАЗЫ!$F$3:$F$500,0)),"")</f>
        <v/>
      </c>
      <c r="BM289" s="8" t="str">
        <f aca="false">IF(BL289="","",IFERROR(VLOOKUP(BL289,'ТН ВЭД'!$A$4:$C$40,3,0),""))</f>
        <v/>
      </c>
      <c r="BN289" s="7" t="str">
        <f aca="false">IF(COUNTIF(ЗАКАЗЫ!$F$3:$F$500,$A289)=0,"",SUMIF(ЗАКАЗЫ!$F$3:$F$500,$A289,ЗАКАЗЫ!$J$3:$J$500))</f>
        <v/>
      </c>
      <c r="BO289" s="7" t="str">
        <f aca="false">IF(BN289="","",SUMIF(ЗАКАЗЫ!$F$3:$F$500,$A289,ЗАКАЗЫ!$AL$3:$AL$500))</f>
        <v/>
      </c>
      <c r="BP289" s="7" t="str">
        <f aca="false">IF(BN289="","",BN289-BO289)</f>
        <v/>
      </c>
      <c r="BQ289" s="55" t="str">
        <f aca="false">IF(BN289="","",IF(BO289&gt;=BN289,"На складе",IF(BO289&gt;0,"Частично","Ждём")))</f>
        <v/>
      </c>
      <c r="BR289" s="43"/>
      <c r="BS289" s="47" t="str">
        <f aca="false">IF(BN289="","",IF(_xlfn.MAXIFS(ЗАКАЗЫ!$AK$3:$AK$500,ЗАКАЗЫ!$F$3:$F$500,$A289)=0,"",_xlfn.MAXIFS(ЗАКАЗЫ!$AK$3:$AK$500,ЗАКАЗЫ!$F$3:$F$500,$A289)))</f>
        <v/>
      </c>
    </row>
    <row r="290" customFormat="false" ht="15.75" hidden="false" customHeight="true" outlineLevel="0" collapsed="false">
      <c r="A290" s="80" t="s">
        <v>764</v>
      </c>
      <c r="B290" s="81"/>
      <c r="C290" s="81"/>
      <c r="D290" s="81"/>
      <c r="E290" s="83"/>
      <c r="F290" s="81"/>
      <c r="G290" s="83"/>
      <c r="H290" s="83"/>
      <c r="I290" s="84" t="str">
        <f aca="false">IF(E290="","",A290&amp;"_1.jpg")</f>
        <v/>
      </c>
      <c r="J290" s="84" t="str">
        <f aca="false">IF(E290="","",A290&amp;"_2.jpg; "&amp;A290&amp;"_3.jpg")</f>
        <v/>
      </c>
      <c r="K290" s="84" t="str">
        <f aca="false">IF(E290="","",A290&amp;"_schema.jpg")</f>
        <v/>
      </c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 t="s">
        <v>261</v>
      </c>
      <c r="W290" s="81"/>
      <c r="X290" s="81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6" t="str">
        <f aca="false">IF(SUM(Y290:AJ290)=0,"",SUM(Y290:AJ290))</f>
        <v/>
      </c>
      <c r="AL290" s="84" t="str">
        <f aca="false">MID(IF(N(Y290)&gt;0,", "&amp;Y$2,"")&amp;IF(N(Z290)&gt;0,", "&amp;Z$2,"")&amp;IF(N(AA290)&gt;0,", "&amp;AA$2,"")&amp;IF(N(AB290)&gt;0,", "&amp;AB$2,"")&amp;IF(N(AC290)&gt;0,", "&amp;AC$2,"")&amp;IF(N(AD290)&gt;0,", "&amp;AD$2,"")&amp;IF(N(AE290)&gt;0,", "&amp;AE$2,"")&amp;IF(N(AF290)&gt;0,", "&amp;AF$2,"")&amp;IF(N(AG290)&gt;0,", "&amp;AG$2,"")&amp;IF(N(AH290)&gt;0,", "&amp;AH$2,"")&amp;IF(N(AI290)&gt;0,", "&amp;AI$2,"")&amp;IF(N(AJ290)&gt;0,", "&amp;AJ$2,""),3,999)</f>
        <v/>
      </c>
      <c r="AM290" s="87" t="str">
        <f aca="false">IF(E290="","",MID(IF(N(Y290)&gt;0,", "&amp;A290&amp;"-"&amp;Y$2,"")&amp;IF(N(Z290)&gt;0,", "&amp;A290&amp;"-"&amp;Z$2,"")&amp;IF(N(AA290)&gt;0,", "&amp;A290&amp;"-"&amp;AA$2,"")&amp;IF(N(AB290)&gt;0,", "&amp;A290&amp;"-"&amp;AB$2,"")&amp;IF(N(AC290)&gt;0,", "&amp;A290&amp;"-"&amp;AC$2,"")&amp;IF(N(AD290)&gt;0,", "&amp;A290&amp;"-"&amp;AD$2,"")&amp;IF(N(AE290)&gt;0,", "&amp;A290&amp;"-"&amp;AE$2,"")&amp;IF(N(AF290)&gt;0,", "&amp;A290&amp;"-"&amp;AF$2,"")&amp;IF(N(AG290)&gt;0,", "&amp;A290&amp;"-"&amp;AG$2,"")&amp;IF(N(AH290)&gt;0,", "&amp;A290&amp;"-"&amp;AH$2,"")&amp;IF(N(AI290)&gt;0,", "&amp;A290&amp;"-"&amp;AI$2,"")&amp;IF(N(AJ290)&gt;0,", "&amp;A290&amp;"-"&amp;AJ$2,""),3,999))</f>
        <v/>
      </c>
      <c r="AN290" s="81"/>
      <c r="AO290" s="88"/>
      <c r="AP290" s="89" t="str">
        <f aca="false">IF(AO290="","",ROUND(AO290/(1+Справочники!$B$13),2))</f>
        <v/>
      </c>
      <c r="AQ290" s="90" t="str">
        <f aca="false" t="array" ref="AQ290:AQ290">IF(AP290="","",AP290*INDEX(Справочники!$B$4:$B$7,MATCH("RUB",Справочники!$A$4:$A$7,0)))</f>
        <v/>
      </c>
      <c r="AR290" s="90" t="str">
        <f aca="false">IF(AQ290="","",ROUND(AQ290*(1+Справочники!$B$12),0))</f>
        <v/>
      </c>
      <c r="AS290" s="90" t="str">
        <f aca="false">IF(AR290="","",ROUND(AR290*(1-Справочники!$B$11),0))</f>
        <v/>
      </c>
      <c r="AT290" s="88"/>
      <c r="AU290" s="90" t="str">
        <f aca="false">IF(AT290="","",ROUND(AT290/(1+Справочники!$B$12),0))</f>
        <v/>
      </c>
      <c r="AV290" s="90" t="str">
        <f aca="false">IF(AT290="","",ROUND(AT290*(1-Справочники!$B$15),0))</f>
        <v/>
      </c>
      <c r="AW290" s="90" t="str">
        <f aca="false">IF(AT290="","",ROUND(AT290*(1-Справочники!$B$16),0))</f>
        <v/>
      </c>
      <c r="AX290" s="90" t="str">
        <f aca="false">IF(AT290="","",ROUND(AT290*(1-Справочники!$B$17),0))</f>
        <v/>
      </c>
      <c r="AY290" s="90" t="str">
        <f aca="false">IF(AT290="","",ROUND(AT290*(1-Справочники!$B$18),0))</f>
        <v/>
      </c>
      <c r="AZ290" s="90" t="str">
        <f aca="false">IF(AT290="","",ROUND(AT290*(1-Справочники!$B$19),0))</f>
        <v/>
      </c>
      <c r="BA290" s="81"/>
      <c r="BB290" s="81"/>
      <c r="BC290" s="81"/>
      <c r="BD290" s="81"/>
      <c r="BE290" s="91"/>
      <c r="BF290" s="81" t="s">
        <v>103</v>
      </c>
      <c r="BG290" s="89" t="n">
        <f aca="false" t="array" ref="BG290:BG290">IF(BF290="","",IFERROR(INDEX(Справочники!$B$4:$B$7,MATCH(BF290,Справочники!$A$4:$A$7,0)),""))</f>
        <v>68.5</v>
      </c>
      <c r="BH290" s="90" t="str">
        <f aca="false">IF(N(BN290)&gt;0,ROUND(SUMIF(ЗАКАЗЫ!$F$3:$F$500,$A290,ЗАКАЗЫ!$Y$3:$Y$500)/BN290,0),IF(OR(BE290="",BG290=""),"",ROUND(BE290*BG290*(1+Справочники!$B$10),0)))</f>
        <v/>
      </c>
      <c r="BI290" s="92" t="str">
        <f aca="false">IF(OR(AU290="",BH290="",AU290=0),"",(AU290-BH290)/AU290)</f>
        <v/>
      </c>
      <c r="BJ290" s="81"/>
      <c r="BK290" s="83"/>
      <c r="BL290" s="43" t="str">
        <f aca="false">IFERROR(INDEX(ЗАКАЗЫ!$N$3:$N$500,MATCH($A290,ЗАКАЗЫ!$F$3:$F$500,0)),"")</f>
        <v/>
      </c>
      <c r="BM290" s="8" t="str">
        <f aca="false">IF(BL290="","",IFERROR(VLOOKUP(BL290,'ТН ВЭД'!$A$4:$C$40,3,0),""))</f>
        <v/>
      </c>
      <c r="BN290" s="7" t="str">
        <f aca="false">IF(COUNTIF(ЗАКАЗЫ!$F$3:$F$500,$A290)=0,"",SUMIF(ЗАКАЗЫ!$F$3:$F$500,$A290,ЗАКАЗЫ!$J$3:$J$500))</f>
        <v/>
      </c>
      <c r="BO290" s="7" t="str">
        <f aca="false">IF(BN290="","",SUMIF(ЗАКАЗЫ!$F$3:$F$500,$A290,ЗАКАЗЫ!$AL$3:$AL$500))</f>
        <v/>
      </c>
      <c r="BP290" s="7" t="str">
        <f aca="false">IF(BN290="","",BN290-BO290)</f>
        <v/>
      </c>
      <c r="BQ290" s="55" t="str">
        <f aca="false">IF(BN290="","",IF(BO290&gt;=BN290,"На складе",IF(BO290&gt;0,"Частично","Ждём")))</f>
        <v/>
      </c>
      <c r="BR290" s="43"/>
      <c r="BS290" s="47" t="str">
        <f aca="false">IF(BN290="","",IF(_xlfn.MAXIFS(ЗАКАЗЫ!$AK$3:$AK$500,ЗАКАЗЫ!$F$3:$F$500,$A290)=0,"",_xlfn.MAXIFS(ЗАКАЗЫ!$AK$3:$AK$500,ЗАКАЗЫ!$F$3:$F$500,$A290)))</f>
        <v/>
      </c>
    </row>
    <row r="291" customFormat="false" ht="15.75" hidden="false" customHeight="true" outlineLevel="0" collapsed="false">
      <c r="A291" s="80" t="s">
        <v>765</v>
      </c>
      <c r="B291" s="81"/>
      <c r="C291" s="81"/>
      <c r="D291" s="81"/>
      <c r="E291" s="83"/>
      <c r="F291" s="81"/>
      <c r="G291" s="83"/>
      <c r="H291" s="83"/>
      <c r="I291" s="84" t="str">
        <f aca="false">IF(E291="","",A291&amp;"_1.jpg")</f>
        <v/>
      </c>
      <c r="J291" s="84" t="str">
        <f aca="false">IF(E291="","",A291&amp;"_2.jpg; "&amp;A291&amp;"_3.jpg")</f>
        <v/>
      </c>
      <c r="K291" s="84" t="str">
        <f aca="false">IF(E291="","",A291&amp;"_schema.jpg")</f>
        <v/>
      </c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 t="s">
        <v>261</v>
      </c>
      <c r="W291" s="81"/>
      <c r="X291" s="81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6" t="str">
        <f aca="false">IF(SUM(Y291:AJ291)=0,"",SUM(Y291:AJ291))</f>
        <v/>
      </c>
      <c r="AL291" s="84" t="str">
        <f aca="false">MID(IF(N(Y291)&gt;0,", "&amp;Y$2,"")&amp;IF(N(Z291)&gt;0,", "&amp;Z$2,"")&amp;IF(N(AA291)&gt;0,", "&amp;AA$2,"")&amp;IF(N(AB291)&gt;0,", "&amp;AB$2,"")&amp;IF(N(AC291)&gt;0,", "&amp;AC$2,"")&amp;IF(N(AD291)&gt;0,", "&amp;AD$2,"")&amp;IF(N(AE291)&gt;0,", "&amp;AE$2,"")&amp;IF(N(AF291)&gt;0,", "&amp;AF$2,"")&amp;IF(N(AG291)&gt;0,", "&amp;AG$2,"")&amp;IF(N(AH291)&gt;0,", "&amp;AH$2,"")&amp;IF(N(AI291)&gt;0,", "&amp;AI$2,"")&amp;IF(N(AJ291)&gt;0,", "&amp;AJ$2,""),3,999)</f>
        <v/>
      </c>
      <c r="AM291" s="87" t="str">
        <f aca="false">IF(E291="","",MID(IF(N(Y291)&gt;0,", "&amp;A291&amp;"-"&amp;Y$2,"")&amp;IF(N(Z291)&gt;0,", "&amp;A291&amp;"-"&amp;Z$2,"")&amp;IF(N(AA291)&gt;0,", "&amp;A291&amp;"-"&amp;AA$2,"")&amp;IF(N(AB291)&gt;0,", "&amp;A291&amp;"-"&amp;AB$2,"")&amp;IF(N(AC291)&gt;0,", "&amp;A291&amp;"-"&amp;AC$2,"")&amp;IF(N(AD291)&gt;0,", "&amp;A291&amp;"-"&amp;AD$2,"")&amp;IF(N(AE291)&gt;0,", "&amp;A291&amp;"-"&amp;AE$2,"")&amp;IF(N(AF291)&gt;0,", "&amp;A291&amp;"-"&amp;AF$2,"")&amp;IF(N(AG291)&gt;0,", "&amp;A291&amp;"-"&amp;AG$2,"")&amp;IF(N(AH291)&gt;0,", "&amp;A291&amp;"-"&amp;AH$2,"")&amp;IF(N(AI291)&gt;0,", "&amp;A291&amp;"-"&amp;AI$2,"")&amp;IF(N(AJ291)&gt;0,", "&amp;A291&amp;"-"&amp;AJ$2,""),3,999))</f>
        <v/>
      </c>
      <c r="AN291" s="81"/>
      <c r="AO291" s="88"/>
      <c r="AP291" s="89" t="str">
        <f aca="false">IF(AO291="","",ROUND(AO291/(1+Справочники!$B$13),2))</f>
        <v/>
      </c>
      <c r="AQ291" s="90" t="str">
        <f aca="false" t="array" ref="AQ291:AQ291">IF(AP291="","",AP291*INDEX(Справочники!$B$4:$B$7,MATCH("RUB",Справочники!$A$4:$A$7,0)))</f>
        <v/>
      </c>
      <c r="AR291" s="90" t="str">
        <f aca="false">IF(AQ291="","",ROUND(AQ291*(1+Справочники!$B$12),0))</f>
        <v/>
      </c>
      <c r="AS291" s="90" t="str">
        <f aca="false">IF(AR291="","",ROUND(AR291*(1-Справочники!$B$11),0))</f>
        <v/>
      </c>
      <c r="AT291" s="88"/>
      <c r="AU291" s="90" t="str">
        <f aca="false">IF(AT291="","",ROUND(AT291/(1+Справочники!$B$12),0))</f>
        <v/>
      </c>
      <c r="AV291" s="90" t="str">
        <f aca="false">IF(AT291="","",ROUND(AT291*(1-Справочники!$B$15),0))</f>
        <v/>
      </c>
      <c r="AW291" s="90" t="str">
        <f aca="false">IF(AT291="","",ROUND(AT291*(1-Справочники!$B$16),0))</f>
        <v/>
      </c>
      <c r="AX291" s="90" t="str">
        <f aca="false">IF(AT291="","",ROUND(AT291*(1-Справочники!$B$17),0))</f>
        <v/>
      </c>
      <c r="AY291" s="90" t="str">
        <f aca="false">IF(AT291="","",ROUND(AT291*(1-Справочники!$B$18),0))</f>
        <v/>
      </c>
      <c r="AZ291" s="90" t="str">
        <f aca="false">IF(AT291="","",ROUND(AT291*(1-Справочники!$B$19),0))</f>
        <v/>
      </c>
      <c r="BA291" s="81"/>
      <c r="BB291" s="81"/>
      <c r="BC291" s="81"/>
      <c r="BD291" s="81"/>
      <c r="BE291" s="91"/>
      <c r="BF291" s="81" t="s">
        <v>103</v>
      </c>
      <c r="BG291" s="89" t="n">
        <f aca="false" t="array" ref="BG291:BG291">IF(BF291="","",IFERROR(INDEX(Справочники!$B$4:$B$7,MATCH(BF291,Справочники!$A$4:$A$7,0)),""))</f>
        <v>68.5</v>
      </c>
      <c r="BH291" s="90" t="str">
        <f aca="false">IF(N(BN291)&gt;0,ROUND(SUMIF(ЗАКАЗЫ!$F$3:$F$500,$A291,ЗАКАЗЫ!$Y$3:$Y$500)/BN291,0),IF(OR(BE291="",BG291=""),"",ROUND(BE291*BG291*(1+Справочники!$B$10),0)))</f>
        <v/>
      </c>
      <c r="BI291" s="92" t="str">
        <f aca="false">IF(OR(AU291="",BH291="",AU291=0),"",(AU291-BH291)/AU291)</f>
        <v/>
      </c>
      <c r="BJ291" s="81"/>
      <c r="BK291" s="83"/>
      <c r="BL291" s="43" t="str">
        <f aca="false">IFERROR(INDEX(ЗАКАЗЫ!$N$3:$N$500,MATCH($A291,ЗАКАЗЫ!$F$3:$F$500,0)),"")</f>
        <v/>
      </c>
      <c r="BM291" s="8" t="str">
        <f aca="false">IF(BL291="","",IFERROR(VLOOKUP(BL291,'ТН ВЭД'!$A$4:$C$40,3,0),""))</f>
        <v/>
      </c>
      <c r="BN291" s="7" t="str">
        <f aca="false">IF(COUNTIF(ЗАКАЗЫ!$F$3:$F$500,$A291)=0,"",SUMIF(ЗАКАЗЫ!$F$3:$F$500,$A291,ЗАКАЗЫ!$J$3:$J$500))</f>
        <v/>
      </c>
      <c r="BO291" s="7" t="str">
        <f aca="false">IF(BN291="","",SUMIF(ЗАКАЗЫ!$F$3:$F$500,$A291,ЗАКАЗЫ!$AL$3:$AL$500))</f>
        <v/>
      </c>
      <c r="BP291" s="7" t="str">
        <f aca="false">IF(BN291="","",BN291-BO291)</f>
        <v/>
      </c>
      <c r="BQ291" s="55" t="str">
        <f aca="false">IF(BN291="","",IF(BO291&gt;=BN291,"На складе",IF(BO291&gt;0,"Частично","Ждём")))</f>
        <v/>
      </c>
      <c r="BR291" s="43"/>
      <c r="BS291" s="47" t="str">
        <f aca="false">IF(BN291="","",IF(_xlfn.MAXIFS(ЗАКАЗЫ!$AK$3:$AK$500,ЗАКАЗЫ!$F$3:$F$500,$A291)=0,"",_xlfn.MAXIFS(ЗАКАЗЫ!$AK$3:$AK$500,ЗАКАЗЫ!$F$3:$F$500,$A291)))</f>
        <v/>
      </c>
    </row>
    <row r="292" customFormat="false" ht="15.75" hidden="false" customHeight="true" outlineLevel="0" collapsed="false">
      <c r="A292" s="80" t="s">
        <v>766</v>
      </c>
      <c r="B292" s="81"/>
      <c r="C292" s="81"/>
      <c r="D292" s="81"/>
      <c r="E292" s="83"/>
      <c r="F292" s="81"/>
      <c r="G292" s="83"/>
      <c r="H292" s="83"/>
      <c r="I292" s="84" t="str">
        <f aca="false">IF(E292="","",A292&amp;"_1.jpg")</f>
        <v/>
      </c>
      <c r="J292" s="84" t="str">
        <f aca="false">IF(E292="","",A292&amp;"_2.jpg; "&amp;A292&amp;"_3.jpg")</f>
        <v/>
      </c>
      <c r="K292" s="84" t="str">
        <f aca="false">IF(E292="","",A292&amp;"_schema.jpg")</f>
        <v/>
      </c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 t="s">
        <v>261</v>
      </c>
      <c r="W292" s="81"/>
      <c r="X292" s="81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6" t="str">
        <f aca="false">IF(SUM(Y292:AJ292)=0,"",SUM(Y292:AJ292))</f>
        <v/>
      </c>
      <c r="AL292" s="84" t="str">
        <f aca="false">MID(IF(N(Y292)&gt;0,", "&amp;Y$2,"")&amp;IF(N(Z292)&gt;0,", "&amp;Z$2,"")&amp;IF(N(AA292)&gt;0,", "&amp;AA$2,"")&amp;IF(N(AB292)&gt;0,", "&amp;AB$2,"")&amp;IF(N(AC292)&gt;0,", "&amp;AC$2,"")&amp;IF(N(AD292)&gt;0,", "&amp;AD$2,"")&amp;IF(N(AE292)&gt;0,", "&amp;AE$2,"")&amp;IF(N(AF292)&gt;0,", "&amp;AF$2,"")&amp;IF(N(AG292)&gt;0,", "&amp;AG$2,"")&amp;IF(N(AH292)&gt;0,", "&amp;AH$2,"")&amp;IF(N(AI292)&gt;0,", "&amp;AI$2,"")&amp;IF(N(AJ292)&gt;0,", "&amp;AJ$2,""),3,999)</f>
        <v/>
      </c>
      <c r="AM292" s="87" t="str">
        <f aca="false">IF(E292="","",MID(IF(N(Y292)&gt;0,", "&amp;A292&amp;"-"&amp;Y$2,"")&amp;IF(N(Z292)&gt;0,", "&amp;A292&amp;"-"&amp;Z$2,"")&amp;IF(N(AA292)&gt;0,", "&amp;A292&amp;"-"&amp;AA$2,"")&amp;IF(N(AB292)&gt;0,", "&amp;A292&amp;"-"&amp;AB$2,"")&amp;IF(N(AC292)&gt;0,", "&amp;A292&amp;"-"&amp;AC$2,"")&amp;IF(N(AD292)&gt;0,", "&amp;A292&amp;"-"&amp;AD$2,"")&amp;IF(N(AE292)&gt;0,", "&amp;A292&amp;"-"&amp;AE$2,"")&amp;IF(N(AF292)&gt;0,", "&amp;A292&amp;"-"&amp;AF$2,"")&amp;IF(N(AG292)&gt;0,", "&amp;A292&amp;"-"&amp;AG$2,"")&amp;IF(N(AH292)&gt;0,", "&amp;A292&amp;"-"&amp;AH$2,"")&amp;IF(N(AI292)&gt;0,", "&amp;A292&amp;"-"&amp;AI$2,"")&amp;IF(N(AJ292)&gt;0,", "&amp;A292&amp;"-"&amp;AJ$2,""),3,999))</f>
        <v/>
      </c>
      <c r="AN292" s="81"/>
      <c r="AO292" s="88"/>
      <c r="AP292" s="89" t="str">
        <f aca="false">IF(AO292="","",ROUND(AO292/(1+Справочники!$B$13),2))</f>
        <v/>
      </c>
      <c r="AQ292" s="90" t="str">
        <f aca="false" t="array" ref="AQ292:AQ292">IF(AP292="","",AP292*INDEX(Справочники!$B$4:$B$7,MATCH("RUB",Справочники!$A$4:$A$7,0)))</f>
        <v/>
      </c>
      <c r="AR292" s="90" t="str">
        <f aca="false">IF(AQ292="","",ROUND(AQ292*(1+Справочники!$B$12),0))</f>
        <v/>
      </c>
      <c r="AS292" s="90" t="str">
        <f aca="false">IF(AR292="","",ROUND(AR292*(1-Справочники!$B$11),0))</f>
        <v/>
      </c>
      <c r="AT292" s="88"/>
      <c r="AU292" s="90" t="str">
        <f aca="false">IF(AT292="","",ROUND(AT292/(1+Справочники!$B$12),0))</f>
        <v/>
      </c>
      <c r="AV292" s="90" t="str">
        <f aca="false">IF(AT292="","",ROUND(AT292*(1-Справочники!$B$15),0))</f>
        <v/>
      </c>
      <c r="AW292" s="90" t="str">
        <f aca="false">IF(AT292="","",ROUND(AT292*(1-Справочники!$B$16),0))</f>
        <v/>
      </c>
      <c r="AX292" s="90" t="str">
        <f aca="false">IF(AT292="","",ROUND(AT292*(1-Справочники!$B$17),0))</f>
        <v/>
      </c>
      <c r="AY292" s="90" t="str">
        <f aca="false">IF(AT292="","",ROUND(AT292*(1-Справочники!$B$18),0))</f>
        <v/>
      </c>
      <c r="AZ292" s="90" t="str">
        <f aca="false">IF(AT292="","",ROUND(AT292*(1-Справочники!$B$19),0))</f>
        <v/>
      </c>
      <c r="BA292" s="81"/>
      <c r="BB292" s="81"/>
      <c r="BC292" s="81"/>
      <c r="BD292" s="81"/>
      <c r="BE292" s="91"/>
      <c r="BF292" s="81" t="s">
        <v>103</v>
      </c>
      <c r="BG292" s="89" t="n">
        <f aca="false" t="array" ref="BG292:BG292">IF(BF292="","",IFERROR(INDEX(Справочники!$B$4:$B$7,MATCH(BF292,Справочники!$A$4:$A$7,0)),""))</f>
        <v>68.5</v>
      </c>
      <c r="BH292" s="90" t="str">
        <f aca="false">IF(N(BN292)&gt;0,ROUND(SUMIF(ЗАКАЗЫ!$F$3:$F$500,$A292,ЗАКАЗЫ!$Y$3:$Y$500)/BN292,0),IF(OR(BE292="",BG292=""),"",ROUND(BE292*BG292*(1+Справочники!$B$10),0)))</f>
        <v/>
      </c>
      <c r="BI292" s="92" t="str">
        <f aca="false">IF(OR(AU292="",BH292="",AU292=0),"",(AU292-BH292)/AU292)</f>
        <v/>
      </c>
      <c r="BJ292" s="81"/>
      <c r="BK292" s="83"/>
      <c r="BL292" s="43" t="str">
        <f aca="false">IFERROR(INDEX(ЗАКАЗЫ!$N$3:$N$500,MATCH($A292,ЗАКАЗЫ!$F$3:$F$500,0)),"")</f>
        <v/>
      </c>
      <c r="BM292" s="8" t="str">
        <f aca="false">IF(BL292="","",IFERROR(VLOOKUP(BL292,'ТН ВЭД'!$A$4:$C$40,3,0),""))</f>
        <v/>
      </c>
      <c r="BN292" s="7" t="str">
        <f aca="false">IF(COUNTIF(ЗАКАЗЫ!$F$3:$F$500,$A292)=0,"",SUMIF(ЗАКАЗЫ!$F$3:$F$500,$A292,ЗАКАЗЫ!$J$3:$J$500))</f>
        <v/>
      </c>
      <c r="BO292" s="7" t="str">
        <f aca="false">IF(BN292="","",SUMIF(ЗАКАЗЫ!$F$3:$F$500,$A292,ЗАКАЗЫ!$AL$3:$AL$500))</f>
        <v/>
      </c>
      <c r="BP292" s="7" t="str">
        <f aca="false">IF(BN292="","",BN292-BO292)</f>
        <v/>
      </c>
      <c r="BQ292" s="55" t="str">
        <f aca="false">IF(BN292="","",IF(BO292&gt;=BN292,"На складе",IF(BO292&gt;0,"Частично","Ждём")))</f>
        <v/>
      </c>
      <c r="BR292" s="43"/>
      <c r="BS292" s="47" t="str">
        <f aca="false">IF(BN292="","",IF(_xlfn.MAXIFS(ЗАКАЗЫ!$AK$3:$AK$500,ЗАКАЗЫ!$F$3:$F$500,$A292)=0,"",_xlfn.MAXIFS(ЗАКАЗЫ!$AK$3:$AK$500,ЗАКАЗЫ!$F$3:$F$500,$A292)))</f>
        <v/>
      </c>
    </row>
    <row r="293" customFormat="false" ht="15.75" hidden="false" customHeight="true" outlineLevel="0" collapsed="false">
      <c r="A293" s="80" t="s">
        <v>767</v>
      </c>
      <c r="B293" s="81"/>
      <c r="C293" s="81"/>
      <c r="D293" s="81"/>
      <c r="E293" s="83"/>
      <c r="F293" s="81"/>
      <c r="G293" s="83"/>
      <c r="H293" s="83"/>
      <c r="I293" s="84" t="str">
        <f aca="false">IF(E293="","",A293&amp;"_1.jpg")</f>
        <v/>
      </c>
      <c r="J293" s="84" t="str">
        <f aca="false">IF(E293="","",A293&amp;"_2.jpg; "&amp;A293&amp;"_3.jpg")</f>
        <v/>
      </c>
      <c r="K293" s="84" t="str">
        <f aca="false">IF(E293="","",A293&amp;"_schema.jpg")</f>
        <v/>
      </c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 t="s">
        <v>261</v>
      </c>
      <c r="W293" s="81"/>
      <c r="X293" s="81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6" t="str">
        <f aca="false">IF(SUM(Y293:AJ293)=0,"",SUM(Y293:AJ293))</f>
        <v/>
      </c>
      <c r="AL293" s="84" t="str">
        <f aca="false">MID(IF(N(Y293)&gt;0,", "&amp;Y$2,"")&amp;IF(N(Z293)&gt;0,", "&amp;Z$2,"")&amp;IF(N(AA293)&gt;0,", "&amp;AA$2,"")&amp;IF(N(AB293)&gt;0,", "&amp;AB$2,"")&amp;IF(N(AC293)&gt;0,", "&amp;AC$2,"")&amp;IF(N(AD293)&gt;0,", "&amp;AD$2,"")&amp;IF(N(AE293)&gt;0,", "&amp;AE$2,"")&amp;IF(N(AF293)&gt;0,", "&amp;AF$2,"")&amp;IF(N(AG293)&gt;0,", "&amp;AG$2,"")&amp;IF(N(AH293)&gt;0,", "&amp;AH$2,"")&amp;IF(N(AI293)&gt;0,", "&amp;AI$2,"")&amp;IF(N(AJ293)&gt;0,", "&amp;AJ$2,""),3,999)</f>
        <v/>
      </c>
      <c r="AM293" s="87" t="str">
        <f aca="false">IF(E293="","",MID(IF(N(Y293)&gt;0,", "&amp;A293&amp;"-"&amp;Y$2,"")&amp;IF(N(Z293)&gt;0,", "&amp;A293&amp;"-"&amp;Z$2,"")&amp;IF(N(AA293)&gt;0,", "&amp;A293&amp;"-"&amp;AA$2,"")&amp;IF(N(AB293)&gt;0,", "&amp;A293&amp;"-"&amp;AB$2,"")&amp;IF(N(AC293)&gt;0,", "&amp;A293&amp;"-"&amp;AC$2,"")&amp;IF(N(AD293)&gt;0,", "&amp;A293&amp;"-"&amp;AD$2,"")&amp;IF(N(AE293)&gt;0,", "&amp;A293&amp;"-"&amp;AE$2,"")&amp;IF(N(AF293)&gt;0,", "&amp;A293&amp;"-"&amp;AF$2,"")&amp;IF(N(AG293)&gt;0,", "&amp;A293&amp;"-"&amp;AG$2,"")&amp;IF(N(AH293)&gt;0,", "&amp;A293&amp;"-"&amp;AH$2,"")&amp;IF(N(AI293)&gt;0,", "&amp;A293&amp;"-"&amp;AI$2,"")&amp;IF(N(AJ293)&gt;0,", "&amp;A293&amp;"-"&amp;AJ$2,""),3,999))</f>
        <v/>
      </c>
      <c r="AN293" s="81"/>
      <c r="AO293" s="88"/>
      <c r="AP293" s="89" t="str">
        <f aca="false">IF(AO293="","",ROUND(AO293/(1+Справочники!$B$13),2))</f>
        <v/>
      </c>
      <c r="AQ293" s="90" t="str">
        <f aca="false" t="array" ref="AQ293:AQ293">IF(AP293="","",AP293*INDEX(Справочники!$B$4:$B$7,MATCH("RUB",Справочники!$A$4:$A$7,0)))</f>
        <v/>
      </c>
      <c r="AR293" s="90" t="str">
        <f aca="false">IF(AQ293="","",ROUND(AQ293*(1+Справочники!$B$12),0))</f>
        <v/>
      </c>
      <c r="AS293" s="90" t="str">
        <f aca="false">IF(AR293="","",ROUND(AR293*(1-Справочники!$B$11),0))</f>
        <v/>
      </c>
      <c r="AT293" s="88"/>
      <c r="AU293" s="90" t="str">
        <f aca="false">IF(AT293="","",ROUND(AT293/(1+Справочники!$B$12),0))</f>
        <v/>
      </c>
      <c r="AV293" s="90" t="str">
        <f aca="false">IF(AT293="","",ROUND(AT293*(1-Справочники!$B$15),0))</f>
        <v/>
      </c>
      <c r="AW293" s="90" t="str">
        <f aca="false">IF(AT293="","",ROUND(AT293*(1-Справочники!$B$16),0))</f>
        <v/>
      </c>
      <c r="AX293" s="90" t="str">
        <f aca="false">IF(AT293="","",ROUND(AT293*(1-Справочники!$B$17),0))</f>
        <v/>
      </c>
      <c r="AY293" s="90" t="str">
        <f aca="false">IF(AT293="","",ROUND(AT293*(1-Справочники!$B$18),0))</f>
        <v/>
      </c>
      <c r="AZ293" s="90" t="str">
        <f aca="false">IF(AT293="","",ROUND(AT293*(1-Справочники!$B$19),0))</f>
        <v/>
      </c>
      <c r="BA293" s="81"/>
      <c r="BB293" s="81"/>
      <c r="BC293" s="81"/>
      <c r="BD293" s="81"/>
      <c r="BE293" s="91"/>
      <c r="BF293" s="81" t="s">
        <v>103</v>
      </c>
      <c r="BG293" s="89" t="n">
        <f aca="false" t="array" ref="BG293:BG293">IF(BF293="","",IFERROR(INDEX(Справочники!$B$4:$B$7,MATCH(BF293,Справочники!$A$4:$A$7,0)),""))</f>
        <v>68.5</v>
      </c>
      <c r="BH293" s="90" t="str">
        <f aca="false">IF(N(BN293)&gt;0,ROUND(SUMIF(ЗАКАЗЫ!$F$3:$F$500,$A293,ЗАКАЗЫ!$Y$3:$Y$500)/BN293,0),IF(OR(BE293="",BG293=""),"",ROUND(BE293*BG293*(1+Справочники!$B$10),0)))</f>
        <v/>
      </c>
      <c r="BI293" s="92" t="str">
        <f aca="false">IF(OR(AU293="",BH293="",AU293=0),"",(AU293-BH293)/AU293)</f>
        <v/>
      </c>
      <c r="BJ293" s="81"/>
      <c r="BK293" s="83"/>
      <c r="BL293" s="43" t="str">
        <f aca="false">IFERROR(INDEX(ЗАКАЗЫ!$N$3:$N$500,MATCH($A293,ЗАКАЗЫ!$F$3:$F$500,0)),"")</f>
        <v/>
      </c>
      <c r="BM293" s="8" t="str">
        <f aca="false">IF(BL293="","",IFERROR(VLOOKUP(BL293,'ТН ВЭД'!$A$4:$C$40,3,0),""))</f>
        <v/>
      </c>
      <c r="BN293" s="7" t="str">
        <f aca="false">IF(COUNTIF(ЗАКАЗЫ!$F$3:$F$500,$A293)=0,"",SUMIF(ЗАКАЗЫ!$F$3:$F$500,$A293,ЗАКАЗЫ!$J$3:$J$500))</f>
        <v/>
      </c>
      <c r="BO293" s="7" t="str">
        <f aca="false">IF(BN293="","",SUMIF(ЗАКАЗЫ!$F$3:$F$500,$A293,ЗАКАЗЫ!$AL$3:$AL$500))</f>
        <v/>
      </c>
      <c r="BP293" s="7" t="str">
        <f aca="false">IF(BN293="","",BN293-BO293)</f>
        <v/>
      </c>
      <c r="BQ293" s="55" t="str">
        <f aca="false">IF(BN293="","",IF(BO293&gt;=BN293,"На складе",IF(BO293&gt;0,"Частично","Ждём")))</f>
        <v/>
      </c>
      <c r="BR293" s="43"/>
      <c r="BS293" s="47" t="str">
        <f aca="false">IF(BN293="","",IF(_xlfn.MAXIFS(ЗАКАЗЫ!$AK$3:$AK$500,ЗАКАЗЫ!$F$3:$F$500,$A293)=0,"",_xlfn.MAXIFS(ЗАКАЗЫ!$AK$3:$AK$500,ЗАКАЗЫ!$F$3:$F$500,$A293)))</f>
        <v/>
      </c>
    </row>
    <row r="294" customFormat="false" ht="15.75" hidden="false" customHeight="true" outlineLevel="0" collapsed="false">
      <c r="A294" s="80" t="s">
        <v>768</v>
      </c>
      <c r="B294" s="81"/>
      <c r="C294" s="81"/>
      <c r="D294" s="81"/>
      <c r="E294" s="83"/>
      <c r="F294" s="81"/>
      <c r="G294" s="83"/>
      <c r="H294" s="83"/>
      <c r="I294" s="84" t="str">
        <f aca="false">IF(E294="","",A294&amp;"_1.jpg")</f>
        <v/>
      </c>
      <c r="J294" s="84" t="str">
        <f aca="false">IF(E294="","",A294&amp;"_2.jpg; "&amp;A294&amp;"_3.jpg")</f>
        <v/>
      </c>
      <c r="K294" s="84" t="str">
        <f aca="false">IF(E294="","",A294&amp;"_schema.jpg")</f>
        <v/>
      </c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 t="s">
        <v>261</v>
      </c>
      <c r="W294" s="81"/>
      <c r="X294" s="81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6" t="str">
        <f aca="false">IF(SUM(Y294:AJ294)=0,"",SUM(Y294:AJ294))</f>
        <v/>
      </c>
      <c r="AL294" s="84" t="str">
        <f aca="false">MID(IF(N(Y294)&gt;0,", "&amp;Y$2,"")&amp;IF(N(Z294)&gt;0,", "&amp;Z$2,"")&amp;IF(N(AA294)&gt;0,", "&amp;AA$2,"")&amp;IF(N(AB294)&gt;0,", "&amp;AB$2,"")&amp;IF(N(AC294)&gt;0,", "&amp;AC$2,"")&amp;IF(N(AD294)&gt;0,", "&amp;AD$2,"")&amp;IF(N(AE294)&gt;0,", "&amp;AE$2,"")&amp;IF(N(AF294)&gt;0,", "&amp;AF$2,"")&amp;IF(N(AG294)&gt;0,", "&amp;AG$2,"")&amp;IF(N(AH294)&gt;0,", "&amp;AH$2,"")&amp;IF(N(AI294)&gt;0,", "&amp;AI$2,"")&amp;IF(N(AJ294)&gt;0,", "&amp;AJ$2,""),3,999)</f>
        <v/>
      </c>
      <c r="AM294" s="87" t="str">
        <f aca="false">IF(E294="","",MID(IF(N(Y294)&gt;0,", "&amp;A294&amp;"-"&amp;Y$2,"")&amp;IF(N(Z294)&gt;0,", "&amp;A294&amp;"-"&amp;Z$2,"")&amp;IF(N(AA294)&gt;0,", "&amp;A294&amp;"-"&amp;AA$2,"")&amp;IF(N(AB294)&gt;0,", "&amp;A294&amp;"-"&amp;AB$2,"")&amp;IF(N(AC294)&gt;0,", "&amp;A294&amp;"-"&amp;AC$2,"")&amp;IF(N(AD294)&gt;0,", "&amp;A294&amp;"-"&amp;AD$2,"")&amp;IF(N(AE294)&gt;0,", "&amp;A294&amp;"-"&amp;AE$2,"")&amp;IF(N(AF294)&gt;0,", "&amp;A294&amp;"-"&amp;AF$2,"")&amp;IF(N(AG294)&gt;0,", "&amp;A294&amp;"-"&amp;AG$2,"")&amp;IF(N(AH294)&gt;0,", "&amp;A294&amp;"-"&amp;AH$2,"")&amp;IF(N(AI294)&gt;0,", "&amp;A294&amp;"-"&amp;AI$2,"")&amp;IF(N(AJ294)&gt;0,", "&amp;A294&amp;"-"&amp;AJ$2,""),3,999))</f>
        <v/>
      </c>
      <c r="AN294" s="81"/>
      <c r="AO294" s="88"/>
      <c r="AP294" s="89" t="str">
        <f aca="false">IF(AO294="","",ROUND(AO294/(1+Справочники!$B$13),2))</f>
        <v/>
      </c>
      <c r="AQ294" s="90" t="str">
        <f aca="false" t="array" ref="AQ294:AQ294">IF(AP294="","",AP294*INDEX(Справочники!$B$4:$B$7,MATCH("RUB",Справочники!$A$4:$A$7,0)))</f>
        <v/>
      </c>
      <c r="AR294" s="90" t="str">
        <f aca="false">IF(AQ294="","",ROUND(AQ294*(1+Справочники!$B$12),0))</f>
        <v/>
      </c>
      <c r="AS294" s="90" t="str">
        <f aca="false">IF(AR294="","",ROUND(AR294*(1-Справочники!$B$11),0))</f>
        <v/>
      </c>
      <c r="AT294" s="88"/>
      <c r="AU294" s="90" t="str">
        <f aca="false">IF(AT294="","",ROUND(AT294/(1+Справочники!$B$12),0))</f>
        <v/>
      </c>
      <c r="AV294" s="90" t="str">
        <f aca="false">IF(AT294="","",ROUND(AT294*(1-Справочники!$B$15),0))</f>
        <v/>
      </c>
      <c r="AW294" s="90" t="str">
        <f aca="false">IF(AT294="","",ROUND(AT294*(1-Справочники!$B$16),0))</f>
        <v/>
      </c>
      <c r="AX294" s="90" t="str">
        <f aca="false">IF(AT294="","",ROUND(AT294*(1-Справочники!$B$17),0))</f>
        <v/>
      </c>
      <c r="AY294" s="90" t="str">
        <f aca="false">IF(AT294="","",ROUND(AT294*(1-Справочники!$B$18),0))</f>
        <v/>
      </c>
      <c r="AZ294" s="90" t="str">
        <f aca="false">IF(AT294="","",ROUND(AT294*(1-Справочники!$B$19),0))</f>
        <v/>
      </c>
      <c r="BA294" s="81"/>
      <c r="BB294" s="81"/>
      <c r="BC294" s="81"/>
      <c r="BD294" s="81"/>
      <c r="BE294" s="91"/>
      <c r="BF294" s="81" t="s">
        <v>103</v>
      </c>
      <c r="BG294" s="89" t="n">
        <f aca="false" t="array" ref="BG294:BG294">IF(BF294="","",IFERROR(INDEX(Справочники!$B$4:$B$7,MATCH(BF294,Справочники!$A$4:$A$7,0)),""))</f>
        <v>68.5</v>
      </c>
      <c r="BH294" s="90" t="str">
        <f aca="false">IF(N(BN294)&gt;0,ROUND(SUMIF(ЗАКАЗЫ!$F$3:$F$500,$A294,ЗАКАЗЫ!$Y$3:$Y$500)/BN294,0),IF(OR(BE294="",BG294=""),"",ROUND(BE294*BG294*(1+Справочники!$B$10),0)))</f>
        <v/>
      </c>
      <c r="BI294" s="92" t="str">
        <f aca="false">IF(OR(AU294="",BH294="",AU294=0),"",(AU294-BH294)/AU294)</f>
        <v/>
      </c>
      <c r="BJ294" s="81"/>
      <c r="BK294" s="83"/>
      <c r="BL294" s="43" t="str">
        <f aca="false">IFERROR(INDEX(ЗАКАЗЫ!$N$3:$N$500,MATCH($A294,ЗАКАЗЫ!$F$3:$F$500,0)),"")</f>
        <v/>
      </c>
      <c r="BM294" s="8" t="str">
        <f aca="false">IF(BL294="","",IFERROR(VLOOKUP(BL294,'ТН ВЭД'!$A$4:$C$40,3,0),""))</f>
        <v/>
      </c>
      <c r="BN294" s="7" t="str">
        <f aca="false">IF(COUNTIF(ЗАКАЗЫ!$F$3:$F$500,$A294)=0,"",SUMIF(ЗАКАЗЫ!$F$3:$F$500,$A294,ЗАКАЗЫ!$J$3:$J$500))</f>
        <v/>
      </c>
      <c r="BO294" s="7" t="str">
        <f aca="false">IF(BN294="","",SUMIF(ЗАКАЗЫ!$F$3:$F$500,$A294,ЗАКАЗЫ!$AL$3:$AL$500))</f>
        <v/>
      </c>
      <c r="BP294" s="7" t="str">
        <f aca="false">IF(BN294="","",BN294-BO294)</f>
        <v/>
      </c>
      <c r="BQ294" s="55" t="str">
        <f aca="false">IF(BN294="","",IF(BO294&gt;=BN294,"На складе",IF(BO294&gt;0,"Частично","Ждём")))</f>
        <v/>
      </c>
      <c r="BR294" s="43"/>
      <c r="BS294" s="47" t="str">
        <f aca="false">IF(BN294="","",IF(_xlfn.MAXIFS(ЗАКАЗЫ!$AK$3:$AK$500,ЗАКАЗЫ!$F$3:$F$500,$A294)=0,"",_xlfn.MAXIFS(ЗАКАЗЫ!$AK$3:$AK$500,ЗАКАЗЫ!$F$3:$F$500,$A294)))</f>
        <v/>
      </c>
    </row>
    <row r="295" customFormat="false" ht="15.75" hidden="false" customHeight="true" outlineLevel="0" collapsed="false">
      <c r="A295" s="80" t="s">
        <v>769</v>
      </c>
      <c r="B295" s="81"/>
      <c r="C295" s="81"/>
      <c r="D295" s="81"/>
      <c r="E295" s="83"/>
      <c r="F295" s="81"/>
      <c r="G295" s="83"/>
      <c r="H295" s="83"/>
      <c r="I295" s="84" t="str">
        <f aca="false">IF(E295="","",A295&amp;"_1.jpg")</f>
        <v/>
      </c>
      <c r="J295" s="84" t="str">
        <f aca="false">IF(E295="","",A295&amp;"_2.jpg; "&amp;A295&amp;"_3.jpg")</f>
        <v/>
      </c>
      <c r="K295" s="84" t="str">
        <f aca="false">IF(E295="","",A295&amp;"_schema.jpg")</f>
        <v/>
      </c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 t="s">
        <v>261</v>
      </c>
      <c r="W295" s="81"/>
      <c r="X295" s="81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6" t="str">
        <f aca="false">IF(SUM(Y295:AJ295)=0,"",SUM(Y295:AJ295))</f>
        <v/>
      </c>
      <c r="AL295" s="84" t="str">
        <f aca="false">MID(IF(N(Y295)&gt;0,", "&amp;Y$2,"")&amp;IF(N(Z295)&gt;0,", "&amp;Z$2,"")&amp;IF(N(AA295)&gt;0,", "&amp;AA$2,"")&amp;IF(N(AB295)&gt;0,", "&amp;AB$2,"")&amp;IF(N(AC295)&gt;0,", "&amp;AC$2,"")&amp;IF(N(AD295)&gt;0,", "&amp;AD$2,"")&amp;IF(N(AE295)&gt;0,", "&amp;AE$2,"")&amp;IF(N(AF295)&gt;0,", "&amp;AF$2,"")&amp;IF(N(AG295)&gt;0,", "&amp;AG$2,"")&amp;IF(N(AH295)&gt;0,", "&amp;AH$2,"")&amp;IF(N(AI295)&gt;0,", "&amp;AI$2,"")&amp;IF(N(AJ295)&gt;0,", "&amp;AJ$2,""),3,999)</f>
        <v/>
      </c>
      <c r="AM295" s="87" t="str">
        <f aca="false">IF(E295="","",MID(IF(N(Y295)&gt;0,", "&amp;A295&amp;"-"&amp;Y$2,"")&amp;IF(N(Z295)&gt;0,", "&amp;A295&amp;"-"&amp;Z$2,"")&amp;IF(N(AA295)&gt;0,", "&amp;A295&amp;"-"&amp;AA$2,"")&amp;IF(N(AB295)&gt;0,", "&amp;A295&amp;"-"&amp;AB$2,"")&amp;IF(N(AC295)&gt;0,", "&amp;A295&amp;"-"&amp;AC$2,"")&amp;IF(N(AD295)&gt;0,", "&amp;A295&amp;"-"&amp;AD$2,"")&amp;IF(N(AE295)&gt;0,", "&amp;A295&amp;"-"&amp;AE$2,"")&amp;IF(N(AF295)&gt;0,", "&amp;A295&amp;"-"&amp;AF$2,"")&amp;IF(N(AG295)&gt;0,", "&amp;A295&amp;"-"&amp;AG$2,"")&amp;IF(N(AH295)&gt;0,", "&amp;A295&amp;"-"&amp;AH$2,"")&amp;IF(N(AI295)&gt;0,", "&amp;A295&amp;"-"&amp;AI$2,"")&amp;IF(N(AJ295)&gt;0,", "&amp;A295&amp;"-"&amp;AJ$2,""),3,999))</f>
        <v/>
      </c>
      <c r="AN295" s="81"/>
      <c r="AO295" s="88"/>
      <c r="AP295" s="89" t="str">
        <f aca="false">IF(AO295="","",ROUND(AO295/(1+Справочники!$B$13),2))</f>
        <v/>
      </c>
      <c r="AQ295" s="90" t="str">
        <f aca="false" t="array" ref="AQ295:AQ295">IF(AP295="","",AP295*INDEX(Справочники!$B$4:$B$7,MATCH("RUB",Справочники!$A$4:$A$7,0)))</f>
        <v/>
      </c>
      <c r="AR295" s="90" t="str">
        <f aca="false">IF(AQ295="","",ROUND(AQ295*(1+Справочники!$B$12),0))</f>
        <v/>
      </c>
      <c r="AS295" s="90" t="str">
        <f aca="false">IF(AR295="","",ROUND(AR295*(1-Справочники!$B$11),0))</f>
        <v/>
      </c>
      <c r="AT295" s="88"/>
      <c r="AU295" s="90" t="str">
        <f aca="false">IF(AT295="","",ROUND(AT295/(1+Справочники!$B$12),0))</f>
        <v/>
      </c>
      <c r="AV295" s="90" t="str">
        <f aca="false">IF(AT295="","",ROUND(AT295*(1-Справочники!$B$15),0))</f>
        <v/>
      </c>
      <c r="AW295" s="90" t="str">
        <f aca="false">IF(AT295="","",ROUND(AT295*(1-Справочники!$B$16),0))</f>
        <v/>
      </c>
      <c r="AX295" s="90" t="str">
        <f aca="false">IF(AT295="","",ROUND(AT295*(1-Справочники!$B$17),0))</f>
        <v/>
      </c>
      <c r="AY295" s="90" t="str">
        <f aca="false">IF(AT295="","",ROUND(AT295*(1-Справочники!$B$18),0))</f>
        <v/>
      </c>
      <c r="AZ295" s="90" t="str">
        <f aca="false">IF(AT295="","",ROUND(AT295*(1-Справочники!$B$19),0))</f>
        <v/>
      </c>
      <c r="BA295" s="81"/>
      <c r="BB295" s="81"/>
      <c r="BC295" s="81"/>
      <c r="BD295" s="81"/>
      <c r="BE295" s="91"/>
      <c r="BF295" s="81" t="s">
        <v>103</v>
      </c>
      <c r="BG295" s="89" t="n">
        <f aca="false" t="array" ref="BG295:BG295">IF(BF295="","",IFERROR(INDEX(Справочники!$B$4:$B$7,MATCH(BF295,Справочники!$A$4:$A$7,0)),""))</f>
        <v>68.5</v>
      </c>
      <c r="BH295" s="90" t="str">
        <f aca="false">IF(N(BN295)&gt;0,ROUND(SUMIF(ЗАКАЗЫ!$F$3:$F$500,$A295,ЗАКАЗЫ!$Y$3:$Y$500)/BN295,0),IF(OR(BE295="",BG295=""),"",ROUND(BE295*BG295*(1+Справочники!$B$10),0)))</f>
        <v/>
      </c>
      <c r="BI295" s="92" t="str">
        <f aca="false">IF(OR(AU295="",BH295="",AU295=0),"",(AU295-BH295)/AU295)</f>
        <v/>
      </c>
      <c r="BJ295" s="81"/>
      <c r="BK295" s="83"/>
      <c r="BL295" s="43" t="str">
        <f aca="false">IFERROR(INDEX(ЗАКАЗЫ!$N$3:$N$500,MATCH($A295,ЗАКАЗЫ!$F$3:$F$500,0)),"")</f>
        <v/>
      </c>
      <c r="BM295" s="8" t="str">
        <f aca="false">IF(BL295="","",IFERROR(VLOOKUP(BL295,'ТН ВЭД'!$A$4:$C$40,3,0),""))</f>
        <v/>
      </c>
      <c r="BN295" s="7" t="str">
        <f aca="false">IF(COUNTIF(ЗАКАЗЫ!$F$3:$F$500,$A295)=0,"",SUMIF(ЗАКАЗЫ!$F$3:$F$500,$A295,ЗАКАЗЫ!$J$3:$J$500))</f>
        <v/>
      </c>
      <c r="BO295" s="7" t="str">
        <f aca="false">IF(BN295="","",SUMIF(ЗАКАЗЫ!$F$3:$F$500,$A295,ЗАКАЗЫ!$AL$3:$AL$500))</f>
        <v/>
      </c>
      <c r="BP295" s="7" t="str">
        <f aca="false">IF(BN295="","",BN295-BO295)</f>
        <v/>
      </c>
      <c r="BQ295" s="55" t="str">
        <f aca="false">IF(BN295="","",IF(BO295&gt;=BN295,"На складе",IF(BO295&gt;0,"Частично","Ждём")))</f>
        <v/>
      </c>
      <c r="BR295" s="43"/>
      <c r="BS295" s="47" t="str">
        <f aca="false">IF(BN295="","",IF(_xlfn.MAXIFS(ЗАКАЗЫ!$AK$3:$AK$500,ЗАКАЗЫ!$F$3:$F$500,$A295)=0,"",_xlfn.MAXIFS(ЗАКАЗЫ!$AK$3:$AK$500,ЗАКАЗЫ!$F$3:$F$500,$A295)))</f>
        <v/>
      </c>
    </row>
    <row r="296" customFormat="false" ht="15.75" hidden="false" customHeight="true" outlineLevel="0" collapsed="false">
      <c r="A296" s="80" t="s">
        <v>770</v>
      </c>
      <c r="B296" s="81"/>
      <c r="C296" s="81"/>
      <c r="D296" s="81"/>
      <c r="E296" s="83"/>
      <c r="F296" s="81"/>
      <c r="G296" s="83"/>
      <c r="H296" s="83"/>
      <c r="I296" s="84" t="str">
        <f aca="false">IF(E296="","",A296&amp;"_1.jpg")</f>
        <v/>
      </c>
      <c r="J296" s="84" t="str">
        <f aca="false">IF(E296="","",A296&amp;"_2.jpg; "&amp;A296&amp;"_3.jpg")</f>
        <v/>
      </c>
      <c r="K296" s="84" t="str">
        <f aca="false">IF(E296="","",A296&amp;"_schema.jpg")</f>
        <v/>
      </c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 t="s">
        <v>261</v>
      </c>
      <c r="W296" s="81"/>
      <c r="X296" s="81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6" t="str">
        <f aca="false">IF(SUM(Y296:AJ296)=0,"",SUM(Y296:AJ296))</f>
        <v/>
      </c>
      <c r="AL296" s="84" t="str">
        <f aca="false">MID(IF(N(Y296)&gt;0,", "&amp;Y$2,"")&amp;IF(N(Z296)&gt;0,", "&amp;Z$2,"")&amp;IF(N(AA296)&gt;0,", "&amp;AA$2,"")&amp;IF(N(AB296)&gt;0,", "&amp;AB$2,"")&amp;IF(N(AC296)&gt;0,", "&amp;AC$2,"")&amp;IF(N(AD296)&gt;0,", "&amp;AD$2,"")&amp;IF(N(AE296)&gt;0,", "&amp;AE$2,"")&amp;IF(N(AF296)&gt;0,", "&amp;AF$2,"")&amp;IF(N(AG296)&gt;0,", "&amp;AG$2,"")&amp;IF(N(AH296)&gt;0,", "&amp;AH$2,"")&amp;IF(N(AI296)&gt;0,", "&amp;AI$2,"")&amp;IF(N(AJ296)&gt;0,", "&amp;AJ$2,""),3,999)</f>
        <v/>
      </c>
      <c r="AM296" s="87" t="str">
        <f aca="false">IF(E296="","",MID(IF(N(Y296)&gt;0,", "&amp;A296&amp;"-"&amp;Y$2,"")&amp;IF(N(Z296)&gt;0,", "&amp;A296&amp;"-"&amp;Z$2,"")&amp;IF(N(AA296)&gt;0,", "&amp;A296&amp;"-"&amp;AA$2,"")&amp;IF(N(AB296)&gt;0,", "&amp;A296&amp;"-"&amp;AB$2,"")&amp;IF(N(AC296)&gt;0,", "&amp;A296&amp;"-"&amp;AC$2,"")&amp;IF(N(AD296)&gt;0,", "&amp;A296&amp;"-"&amp;AD$2,"")&amp;IF(N(AE296)&gt;0,", "&amp;A296&amp;"-"&amp;AE$2,"")&amp;IF(N(AF296)&gt;0,", "&amp;A296&amp;"-"&amp;AF$2,"")&amp;IF(N(AG296)&gt;0,", "&amp;A296&amp;"-"&amp;AG$2,"")&amp;IF(N(AH296)&gt;0,", "&amp;A296&amp;"-"&amp;AH$2,"")&amp;IF(N(AI296)&gt;0,", "&amp;A296&amp;"-"&amp;AI$2,"")&amp;IF(N(AJ296)&gt;0,", "&amp;A296&amp;"-"&amp;AJ$2,""),3,999))</f>
        <v/>
      </c>
      <c r="AN296" s="81"/>
      <c r="AO296" s="88"/>
      <c r="AP296" s="89" t="str">
        <f aca="false">IF(AO296="","",ROUND(AO296/(1+Справочники!$B$13),2))</f>
        <v/>
      </c>
      <c r="AQ296" s="90" t="str">
        <f aca="false" t="array" ref="AQ296:AQ296">IF(AP296="","",AP296*INDEX(Справочники!$B$4:$B$7,MATCH("RUB",Справочники!$A$4:$A$7,0)))</f>
        <v/>
      </c>
      <c r="AR296" s="90" t="str">
        <f aca="false">IF(AQ296="","",ROUND(AQ296*(1+Справочники!$B$12),0))</f>
        <v/>
      </c>
      <c r="AS296" s="90" t="str">
        <f aca="false">IF(AR296="","",ROUND(AR296*(1-Справочники!$B$11),0))</f>
        <v/>
      </c>
      <c r="AT296" s="88"/>
      <c r="AU296" s="90" t="str">
        <f aca="false">IF(AT296="","",ROUND(AT296/(1+Справочники!$B$12),0))</f>
        <v/>
      </c>
      <c r="AV296" s="90" t="str">
        <f aca="false">IF(AT296="","",ROUND(AT296*(1-Справочники!$B$15),0))</f>
        <v/>
      </c>
      <c r="AW296" s="90" t="str">
        <f aca="false">IF(AT296="","",ROUND(AT296*(1-Справочники!$B$16),0))</f>
        <v/>
      </c>
      <c r="AX296" s="90" t="str">
        <f aca="false">IF(AT296="","",ROUND(AT296*(1-Справочники!$B$17),0))</f>
        <v/>
      </c>
      <c r="AY296" s="90" t="str">
        <f aca="false">IF(AT296="","",ROUND(AT296*(1-Справочники!$B$18),0))</f>
        <v/>
      </c>
      <c r="AZ296" s="90" t="str">
        <f aca="false">IF(AT296="","",ROUND(AT296*(1-Справочники!$B$19),0))</f>
        <v/>
      </c>
      <c r="BA296" s="81"/>
      <c r="BB296" s="81"/>
      <c r="BC296" s="81"/>
      <c r="BD296" s="81"/>
      <c r="BE296" s="91"/>
      <c r="BF296" s="81" t="s">
        <v>103</v>
      </c>
      <c r="BG296" s="89" t="n">
        <f aca="false" t="array" ref="BG296:BG296">IF(BF296="","",IFERROR(INDEX(Справочники!$B$4:$B$7,MATCH(BF296,Справочники!$A$4:$A$7,0)),""))</f>
        <v>68.5</v>
      </c>
      <c r="BH296" s="90" t="str">
        <f aca="false">IF(N(BN296)&gt;0,ROUND(SUMIF(ЗАКАЗЫ!$F$3:$F$500,$A296,ЗАКАЗЫ!$Y$3:$Y$500)/BN296,0),IF(OR(BE296="",BG296=""),"",ROUND(BE296*BG296*(1+Справочники!$B$10),0)))</f>
        <v/>
      </c>
      <c r="BI296" s="92" t="str">
        <f aca="false">IF(OR(AU296="",BH296="",AU296=0),"",(AU296-BH296)/AU296)</f>
        <v/>
      </c>
      <c r="BJ296" s="81"/>
      <c r="BK296" s="83"/>
      <c r="BL296" s="43" t="str">
        <f aca="false">IFERROR(INDEX(ЗАКАЗЫ!$N$3:$N$500,MATCH($A296,ЗАКАЗЫ!$F$3:$F$500,0)),"")</f>
        <v/>
      </c>
      <c r="BM296" s="8" t="str">
        <f aca="false">IF(BL296="","",IFERROR(VLOOKUP(BL296,'ТН ВЭД'!$A$4:$C$40,3,0),""))</f>
        <v/>
      </c>
      <c r="BN296" s="7" t="str">
        <f aca="false">IF(COUNTIF(ЗАКАЗЫ!$F$3:$F$500,$A296)=0,"",SUMIF(ЗАКАЗЫ!$F$3:$F$500,$A296,ЗАКАЗЫ!$J$3:$J$500))</f>
        <v/>
      </c>
      <c r="BO296" s="7" t="str">
        <f aca="false">IF(BN296="","",SUMIF(ЗАКАЗЫ!$F$3:$F$500,$A296,ЗАКАЗЫ!$AL$3:$AL$500))</f>
        <v/>
      </c>
      <c r="BP296" s="7" t="str">
        <f aca="false">IF(BN296="","",BN296-BO296)</f>
        <v/>
      </c>
      <c r="BQ296" s="55" t="str">
        <f aca="false">IF(BN296="","",IF(BO296&gt;=BN296,"На складе",IF(BO296&gt;0,"Частично","Ждём")))</f>
        <v/>
      </c>
      <c r="BR296" s="43"/>
      <c r="BS296" s="47" t="str">
        <f aca="false">IF(BN296="","",IF(_xlfn.MAXIFS(ЗАКАЗЫ!$AK$3:$AK$500,ЗАКАЗЫ!$F$3:$F$500,$A296)=0,"",_xlfn.MAXIFS(ЗАКАЗЫ!$AK$3:$AK$500,ЗАКАЗЫ!$F$3:$F$500,$A296)))</f>
        <v/>
      </c>
    </row>
    <row r="297" customFormat="false" ht="15.75" hidden="false" customHeight="true" outlineLevel="0" collapsed="false">
      <c r="A297" s="80" t="s">
        <v>771</v>
      </c>
      <c r="B297" s="81"/>
      <c r="C297" s="81"/>
      <c r="D297" s="81"/>
      <c r="E297" s="83"/>
      <c r="F297" s="81"/>
      <c r="G297" s="83"/>
      <c r="H297" s="83"/>
      <c r="I297" s="84" t="str">
        <f aca="false">IF(E297="","",A297&amp;"_1.jpg")</f>
        <v/>
      </c>
      <c r="J297" s="84" t="str">
        <f aca="false">IF(E297="","",A297&amp;"_2.jpg; "&amp;A297&amp;"_3.jpg")</f>
        <v/>
      </c>
      <c r="K297" s="84" t="str">
        <f aca="false">IF(E297="","",A297&amp;"_schema.jpg")</f>
        <v/>
      </c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 t="s">
        <v>261</v>
      </c>
      <c r="W297" s="81"/>
      <c r="X297" s="81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6" t="str">
        <f aca="false">IF(SUM(Y297:AJ297)=0,"",SUM(Y297:AJ297))</f>
        <v/>
      </c>
      <c r="AL297" s="84" t="str">
        <f aca="false">MID(IF(N(Y297)&gt;0,", "&amp;Y$2,"")&amp;IF(N(Z297)&gt;0,", "&amp;Z$2,"")&amp;IF(N(AA297)&gt;0,", "&amp;AA$2,"")&amp;IF(N(AB297)&gt;0,", "&amp;AB$2,"")&amp;IF(N(AC297)&gt;0,", "&amp;AC$2,"")&amp;IF(N(AD297)&gt;0,", "&amp;AD$2,"")&amp;IF(N(AE297)&gt;0,", "&amp;AE$2,"")&amp;IF(N(AF297)&gt;0,", "&amp;AF$2,"")&amp;IF(N(AG297)&gt;0,", "&amp;AG$2,"")&amp;IF(N(AH297)&gt;0,", "&amp;AH$2,"")&amp;IF(N(AI297)&gt;0,", "&amp;AI$2,"")&amp;IF(N(AJ297)&gt;0,", "&amp;AJ$2,""),3,999)</f>
        <v/>
      </c>
      <c r="AM297" s="87" t="str">
        <f aca="false">IF(E297="","",MID(IF(N(Y297)&gt;0,", "&amp;A297&amp;"-"&amp;Y$2,"")&amp;IF(N(Z297)&gt;0,", "&amp;A297&amp;"-"&amp;Z$2,"")&amp;IF(N(AA297)&gt;0,", "&amp;A297&amp;"-"&amp;AA$2,"")&amp;IF(N(AB297)&gt;0,", "&amp;A297&amp;"-"&amp;AB$2,"")&amp;IF(N(AC297)&gt;0,", "&amp;A297&amp;"-"&amp;AC$2,"")&amp;IF(N(AD297)&gt;0,", "&amp;A297&amp;"-"&amp;AD$2,"")&amp;IF(N(AE297)&gt;0,", "&amp;A297&amp;"-"&amp;AE$2,"")&amp;IF(N(AF297)&gt;0,", "&amp;A297&amp;"-"&amp;AF$2,"")&amp;IF(N(AG297)&gt;0,", "&amp;A297&amp;"-"&amp;AG$2,"")&amp;IF(N(AH297)&gt;0,", "&amp;A297&amp;"-"&amp;AH$2,"")&amp;IF(N(AI297)&gt;0,", "&amp;A297&amp;"-"&amp;AI$2,"")&amp;IF(N(AJ297)&gt;0,", "&amp;A297&amp;"-"&amp;AJ$2,""),3,999))</f>
        <v/>
      </c>
      <c r="AN297" s="81"/>
      <c r="AO297" s="88"/>
      <c r="AP297" s="89" t="str">
        <f aca="false">IF(AO297="","",ROUND(AO297/(1+Справочники!$B$13),2))</f>
        <v/>
      </c>
      <c r="AQ297" s="90" t="str">
        <f aca="false" t="array" ref="AQ297:AQ297">IF(AP297="","",AP297*INDEX(Справочники!$B$4:$B$7,MATCH("RUB",Справочники!$A$4:$A$7,0)))</f>
        <v/>
      </c>
      <c r="AR297" s="90" t="str">
        <f aca="false">IF(AQ297="","",ROUND(AQ297*(1+Справочники!$B$12),0))</f>
        <v/>
      </c>
      <c r="AS297" s="90" t="str">
        <f aca="false">IF(AR297="","",ROUND(AR297*(1-Справочники!$B$11),0))</f>
        <v/>
      </c>
      <c r="AT297" s="88"/>
      <c r="AU297" s="90" t="str">
        <f aca="false">IF(AT297="","",ROUND(AT297/(1+Справочники!$B$12),0))</f>
        <v/>
      </c>
      <c r="AV297" s="90" t="str">
        <f aca="false">IF(AT297="","",ROUND(AT297*(1-Справочники!$B$15),0))</f>
        <v/>
      </c>
      <c r="AW297" s="90" t="str">
        <f aca="false">IF(AT297="","",ROUND(AT297*(1-Справочники!$B$16),0))</f>
        <v/>
      </c>
      <c r="AX297" s="90" t="str">
        <f aca="false">IF(AT297="","",ROUND(AT297*(1-Справочники!$B$17),0))</f>
        <v/>
      </c>
      <c r="AY297" s="90" t="str">
        <f aca="false">IF(AT297="","",ROUND(AT297*(1-Справочники!$B$18),0))</f>
        <v/>
      </c>
      <c r="AZ297" s="90" t="str">
        <f aca="false">IF(AT297="","",ROUND(AT297*(1-Справочники!$B$19),0))</f>
        <v/>
      </c>
      <c r="BA297" s="81"/>
      <c r="BB297" s="81"/>
      <c r="BC297" s="81"/>
      <c r="BD297" s="81"/>
      <c r="BE297" s="91"/>
      <c r="BF297" s="81" t="s">
        <v>103</v>
      </c>
      <c r="BG297" s="89" t="n">
        <f aca="false" t="array" ref="BG297:BG297">IF(BF297="","",IFERROR(INDEX(Справочники!$B$4:$B$7,MATCH(BF297,Справочники!$A$4:$A$7,0)),""))</f>
        <v>68.5</v>
      </c>
      <c r="BH297" s="90" t="str">
        <f aca="false">IF(N(BN297)&gt;0,ROUND(SUMIF(ЗАКАЗЫ!$F$3:$F$500,$A297,ЗАКАЗЫ!$Y$3:$Y$500)/BN297,0),IF(OR(BE297="",BG297=""),"",ROUND(BE297*BG297*(1+Справочники!$B$10),0)))</f>
        <v/>
      </c>
      <c r="BI297" s="92" t="str">
        <f aca="false">IF(OR(AU297="",BH297="",AU297=0),"",(AU297-BH297)/AU297)</f>
        <v/>
      </c>
      <c r="BJ297" s="81"/>
      <c r="BK297" s="83"/>
      <c r="BL297" s="43" t="str">
        <f aca="false">IFERROR(INDEX(ЗАКАЗЫ!$N$3:$N$500,MATCH($A297,ЗАКАЗЫ!$F$3:$F$500,0)),"")</f>
        <v/>
      </c>
      <c r="BM297" s="8" t="str">
        <f aca="false">IF(BL297="","",IFERROR(VLOOKUP(BL297,'ТН ВЭД'!$A$4:$C$40,3,0),""))</f>
        <v/>
      </c>
      <c r="BN297" s="7" t="str">
        <f aca="false">IF(COUNTIF(ЗАКАЗЫ!$F$3:$F$500,$A297)=0,"",SUMIF(ЗАКАЗЫ!$F$3:$F$500,$A297,ЗАКАЗЫ!$J$3:$J$500))</f>
        <v/>
      </c>
      <c r="BO297" s="7" t="str">
        <f aca="false">IF(BN297="","",SUMIF(ЗАКАЗЫ!$F$3:$F$500,$A297,ЗАКАЗЫ!$AL$3:$AL$500))</f>
        <v/>
      </c>
      <c r="BP297" s="7" t="str">
        <f aca="false">IF(BN297="","",BN297-BO297)</f>
        <v/>
      </c>
      <c r="BQ297" s="55" t="str">
        <f aca="false">IF(BN297="","",IF(BO297&gt;=BN297,"На складе",IF(BO297&gt;0,"Частично","Ждём")))</f>
        <v/>
      </c>
      <c r="BR297" s="43"/>
      <c r="BS297" s="47" t="str">
        <f aca="false">IF(BN297="","",IF(_xlfn.MAXIFS(ЗАКАЗЫ!$AK$3:$AK$500,ЗАКАЗЫ!$F$3:$F$500,$A297)=0,"",_xlfn.MAXIFS(ЗАКАЗЫ!$AK$3:$AK$500,ЗАКАЗЫ!$F$3:$F$500,$A297)))</f>
        <v/>
      </c>
    </row>
    <row r="298" customFormat="false" ht="15.75" hidden="false" customHeight="true" outlineLevel="0" collapsed="false">
      <c r="A298" s="80" t="s">
        <v>772</v>
      </c>
      <c r="B298" s="81"/>
      <c r="C298" s="81"/>
      <c r="D298" s="81"/>
      <c r="E298" s="83"/>
      <c r="F298" s="81"/>
      <c r="G298" s="83"/>
      <c r="H298" s="83"/>
      <c r="I298" s="84" t="str">
        <f aca="false">IF(E298="","",A298&amp;"_1.jpg")</f>
        <v/>
      </c>
      <c r="J298" s="84" t="str">
        <f aca="false">IF(E298="","",A298&amp;"_2.jpg; "&amp;A298&amp;"_3.jpg")</f>
        <v/>
      </c>
      <c r="K298" s="84" t="str">
        <f aca="false">IF(E298="","",A298&amp;"_schema.jpg")</f>
        <v/>
      </c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 t="s">
        <v>261</v>
      </c>
      <c r="W298" s="81"/>
      <c r="X298" s="81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6" t="str">
        <f aca="false">IF(SUM(Y298:AJ298)=0,"",SUM(Y298:AJ298))</f>
        <v/>
      </c>
      <c r="AL298" s="84" t="str">
        <f aca="false">MID(IF(N(Y298)&gt;0,", "&amp;Y$2,"")&amp;IF(N(Z298)&gt;0,", "&amp;Z$2,"")&amp;IF(N(AA298)&gt;0,", "&amp;AA$2,"")&amp;IF(N(AB298)&gt;0,", "&amp;AB$2,"")&amp;IF(N(AC298)&gt;0,", "&amp;AC$2,"")&amp;IF(N(AD298)&gt;0,", "&amp;AD$2,"")&amp;IF(N(AE298)&gt;0,", "&amp;AE$2,"")&amp;IF(N(AF298)&gt;0,", "&amp;AF$2,"")&amp;IF(N(AG298)&gt;0,", "&amp;AG$2,"")&amp;IF(N(AH298)&gt;0,", "&amp;AH$2,"")&amp;IF(N(AI298)&gt;0,", "&amp;AI$2,"")&amp;IF(N(AJ298)&gt;0,", "&amp;AJ$2,""),3,999)</f>
        <v/>
      </c>
      <c r="AM298" s="87" t="str">
        <f aca="false">IF(E298="","",MID(IF(N(Y298)&gt;0,", "&amp;A298&amp;"-"&amp;Y$2,"")&amp;IF(N(Z298)&gt;0,", "&amp;A298&amp;"-"&amp;Z$2,"")&amp;IF(N(AA298)&gt;0,", "&amp;A298&amp;"-"&amp;AA$2,"")&amp;IF(N(AB298)&gt;0,", "&amp;A298&amp;"-"&amp;AB$2,"")&amp;IF(N(AC298)&gt;0,", "&amp;A298&amp;"-"&amp;AC$2,"")&amp;IF(N(AD298)&gt;0,", "&amp;A298&amp;"-"&amp;AD$2,"")&amp;IF(N(AE298)&gt;0,", "&amp;A298&amp;"-"&amp;AE$2,"")&amp;IF(N(AF298)&gt;0,", "&amp;A298&amp;"-"&amp;AF$2,"")&amp;IF(N(AG298)&gt;0,", "&amp;A298&amp;"-"&amp;AG$2,"")&amp;IF(N(AH298)&gt;0,", "&amp;A298&amp;"-"&amp;AH$2,"")&amp;IF(N(AI298)&gt;0,", "&amp;A298&amp;"-"&amp;AI$2,"")&amp;IF(N(AJ298)&gt;0,", "&amp;A298&amp;"-"&amp;AJ$2,""),3,999))</f>
        <v/>
      </c>
      <c r="AN298" s="81"/>
      <c r="AO298" s="88"/>
      <c r="AP298" s="89" t="str">
        <f aca="false">IF(AO298="","",ROUND(AO298/(1+Справочники!$B$13),2))</f>
        <v/>
      </c>
      <c r="AQ298" s="90" t="str">
        <f aca="false" t="array" ref="AQ298:AQ298">IF(AP298="","",AP298*INDEX(Справочники!$B$4:$B$7,MATCH("RUB",Справочники!$A$4:$A$7,0)))</f>
        <v/>
      </c>
      <c r="AR298" s="90" t="str">
        <f aca="false">IF(AQ298="","",ROUND(AQ298*(1+Справочники!$B$12),0))</f>
        <v/>
      </c>
      <c r="AS298" s="90" t="str">
        <f aca="false">IF(AR298="","",ROUND(AR298*(1-Справочники!$B$11),0))</f>
        <v/>
      </c>
      <c r="AT298" s="88"/>
      <c r="AU298" s="90" t="str">
        <f aca="false">IF(AT298="","",ROUND(AT298/(1+Справочники!$B$12),0))</f>
        <v/>
      </c>
      <c r="AV298" s="90" t="str">
        <f aca="false">IF(AT298="","",ROUND(AT298*(1-Справочники!$B$15),0))</f>
        <v/>
      </c>
      <c r="AW298" s="90" t="str">
        <f aca="false">IF(AT298="","",ROUND(AT298*(1-Справочники!$B$16),0))</f>
        <v/>
      </c>
      <c r="AX298" s="90" t="str">
        <f aca="false">IF(AT298="","",ROUND(AT298*(1-Справочники!$B$17),0))</f>
        <v/>
      </c>
      <c r="AY298" s="90" t="str">
        <f aca="false">IF(AT298="","",ROUND(AT298*(1-Справочники!$B$18),0))</f>
        <v/>
      </c>
      <c r="AZ298" s="90" t="str">
        <f aca="false">IF(AT298="","",ROUND(AT298*(1-Справочники!$B$19),0))</f>
        <v/>
      </c>
      <c r="BA298" s="81"/>
      <c r="BB298" s="81"/>
      <c r="BC298" s="81"/>
      <c r="BD298" s="81"/>
      <c r="BE298" s="91"/>
      <c r="BF298" s="81" t="s">
        <v>103</v>
      </c>
      <c r="BG298" s="89" t="n">
        <f aca="false" t="array" ref="BG298:BG298">IF(BF298="","",IFERROR(INDEX(Справочники!$B$4:$B$7,MATCH(BF298,Справочники!$A$4:$A$7,0)),""))</f>
        <v>68.5</v>
      </c>
      <c r="BH298" s="90" t="str">
        <f aca="false">IF(N(BN298)&gt;0,ROUND(SUMIF(ЗАКАЗЫ!$F$3:$F$500,$A298,ЗАКАЗЫ!$Y$3:$Y$500)/BN298,0),IF(OR(BE298="",BG298=""),"",ROUND(BE298*BG298*(1+Справочники!$B$10),0)))</f>
        <v/>
      </c>
      <c r="BI298" s="92" t="str">
        <f aca="false">IF(OR(AU298="",BH298="",AU298=0),"",(AU298-BH298)/AU298)</f>
        <v/>
      </c>
      <c r="BJ298" s="81"/>
      <c r="BK298" s="83"/>
      <c r="BL298" s="43" t="str">
        <f aca="false">IFERROR(INDEX(ЗАКАЗЫ!$N$3:$N$500,MATCH($A298,ЗАКАЗЫ!$F$3:$F$500,0)),"")</f>
        <v/>
      </c>
      <c r="BM298" s="8" t="str">
        <f aca="false">IF(BL298="","",IFERROR(VLOOKUP(BL298,'ТН ВЭД'!$A$4:$C$40,3,0),""))</f>
        <v/>
      </c>
      <c r="BN298" s="7" t="str">
        <f aca="false">IF(COUNTIF(ЗАКАЗЫ!$F$3:$F$500,$A298)=0,"",SUMIF(ЗАКАЗЫ!$F$3:$F$500,$A298,ЗАКАЗЫ!$J$3:$J$500))</f>
        <v/>
      </c>
      <c r="BO298" s="7" t="str">
        <f aca="false">IF(BN298="","",SUMIF(ЗАКАЗЫ!$F$3:$F$500,$A298,ЗАКАЗЫ!$AL$3:$AL$500))</f>
        <v/>
      </c>
      <c r="BP298" s="7" t="str">
        <f aca="false">IF(BN298="","",BN298-BO298)</f>
        <v/>
      </c>
      <c r="BQ298" s="55" t="str">
        <f aca="false">IF(BN298="","",IF(BO298&gt;=BN298,"На складе",IF(BO298&gt;0,"Частично","Ждём")))</f>
        <v/>
      </c>
      <c r="BR298" s="43"/>
      <c r="BS298" s="47" t="str">
        <f aca="false">IF(BN298="","",IF(_xlfn.MAXIFS(ЗАКАЗЫ!$AK$3:$AK$500,ЗАКАЗЫ!$F$3:$F$500,$A298)=0,"",_xlfn.MAXIFS(ЗАКАЗЫ!$AK$3:$AK$500,ЗАКАЗЫ!$F$3:$F$500,$A298)))</f>
        <v/>
      </c>
    </row>
    <row r="299" customFormat="false" ht="15.75" hidden="false" customHeight="true" outlineLevel="0" collapsed="false">
      <c r="A299" s="80" t="s">
        <v>773</v>
      </c>
      <c r="B299" s="81"/>
      <c r="C299" s="81"/>
      <c r="D299" s="81"/>
      <c r="E299" s="83"/>
      <c r="F299" s="81"/>
      <c r="G299" s="83"/>
      <c r="H299" s="83"/>
      <c r="I299" s="84" t="str">
        <f aca="false">IF(E299="","",A299&amp;"_1.jpg")</f>
        <v/>
      </c>
      <c r="J299" s="84" t="str">
        <f aca="false">IF(E299="","",A299&amp;"_2.jpg; "&amp;A299&amp;"_3.jpg")</f>
        <v/>
      </c>
      <c r="K299" s="84" t="str">
        <f aca="false">IF(E299="","",A299&amp;"_schema.jpg")</f>
        <v/>
      </c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 t="s">
        <v>261</v>
      </c>
      <c r="W299" s="81"/>
      <c r="X299" s="81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6" t="str">
        <f aca="false">IF(SUM(Y299:AJ299)=0,"",SUM(Y299:AJ299))</f>
        <v/>
      </c>
      <c r="AL299" s="84" t="str">
        <f aca="false">MID(IF(N(Y299)&gt;0,", "&amp;Y$2,"")&amp;IF(N(Z299)&gt;0,", "&amp;Z$2,"")&amp;IF(N(AA299)&gt;0,", "&amp;AA$2,"")&amp;IF(N(AB299)&gt;0,", "&amp;AB$2,"")&amp;IF(N(AC299)&gt;0,", "&amp;AC$2,"")&amp;IF(N(AD299)&gt;0,", "&amp;AD$2,"")&amp;IF(N(AE299)&gt;0,", "&amp;AE$2,"")&amp;IF(N(AF299)&gt;0,", "&amp;AF$2,"")&amp;IF(N(AG299)&gt;0,", "&amp;AG$2,"")&amp;IF(N(AH299)&gt;0,", "&amp;AH$2,"")&amp;IF(N(AI299)&gt;0,", "&amp;AI$2,"")&amp;IF(N(AJ299)&gt;0,", "&amp;AJ$2,""),3,999)</f>
        <v/>
      </c>
      <c r="AM299" s="87" t="str">
        <f aca="false">IF(E299="","",MID(IF(N(Y299)&gt;0,", "&amp;A299&amp;"-"&amp;Y$2,"")&amp;IF(N(Z299)&gt;0,", "&amp;A299&amp;"-"&amp;Z$2,"")&amp;IF(N(AA299)&gt;0,", "&amp;A299&amp;"-"&amp;AA$2,"")&amp;IF(N(AB299)&gt;0,", "&amp;A299&amp;"-"&amp;AB$2,"")&amp;IF(N(AC299)&gt;0,", "&amp;A299&amp;"-"&amp;AC$2,"")&amp;IF(N(AD299)&gt;0,", "&amp;A299&amp;"-"&amp;AD$2,"")&amp;IF(N(AE299)&gt;0,", "&amp;A299&amp;"-"&amp;AE$2,"")&amp;IF(N(AF299)&gt;0,", "&amp;A299&amp;"-"&amp;AF$2,"")&amp;IF(N(AG299)&gt;0,", "&amp;A299&amp;"-"&amp;AG$2,"")&amp;IF(N(AH299)&gt;0,", "&amp;A299&amp;"-"&amp;AH$2,"")&amp;IF(N(AI299)&gt;0,", "&amp;A299&amp;"-"&amp;AI$2,"")&amp;IF(N(AJ299)&gt;0,", "&amp;A299&amp;"-"&amp;AJ$2,""),3,999))</f>
        <v/>
      </c>
      <c r="AN299" s="81"/>
      <c r="AO299" s="88"/>
      <c r="AP299" s="89" t="str">
        <f aca="false">IF(AO299="","",ROUND(AO299/(1+Справочники!$B$13),2))</f>
        <v/>
      </c>
      <c r="AQ299" s="90" t="str">
        <f aca="false" t="array" ref="AQ299:AQ299">IF(AP299="","",AP299*INDEX(Справочники!$B$4:$B$7,MATCH("RUB",Справочники!$A$4:$A$7,0)))</f>
        <v/>
      </c>
      <c r="AR299" s="90" t="str">
        <f aca="false">IF(AQ299="","",ROUND(AQ299*(1+Справочники!$B$12),0))</f>
        <v/>
      </c>
      <c r="AS299" s="90" t="str">
        <f aca="false">IF(AR299="","",ROUND(AR299*(1-Справочники!$B$11),0))</f>
        <v/>
      </c>
      <c r="AT299" s="88"/>
      <c r="AU299" s="90" t="str">
        <f aca="false">IF(AT299="","",ROUND(AT299/(1+Справочники!$B$12),0))</f>
        <v/>
      </c>
      <c r="AV299" s="90" t="str">
        <f aca="false">IF(AT299="","",ROUND(AT299*(1-Справочники!$B$15),0))</f>
        <v/>
      </c>
      <c r="AW299" s="90" t="str">
        <f aca="false">IF(AT299="","",ROUND(AT299*(1-Справочники!$B$16),0))</f>
        <v/>
      </c>
      <c r="AX299" s="90" t="str">
        <f aca="false">IF(AT299="","",ROUND(AT299*(1-Справочники!$B$17),0))</f>
        <v/>
      </c>
      <c r="AY299" s="90" t="str">
        <f aca="false">IF(AT299="","",ROUND(AT299*(1-Справочники!$B$18),0))</f>
        <v/>
      </c>
      <c r="AZ299" s="90" t="str">
        <f aca="false">IF(AT299="","",ROUND(AT299*(1-Справочники!$B$19),0))</f>
        <v/>
      </c>
      <c r="BA299" s="81"/>
      <c r="BB299" s="81"/>
      <c r="BC299" s="81"/>
      <c r="BD299" s="81"/>
      <c r="BE299" s="91"/>
      <c r="BF299" s="81" t="s">
        <v>103</v>
      </c>
      <c r="BG299" s="89" t="n">
        <f aca="false" t="array" ref="BG299:BG299">IF(BF299="","",IFERROR(INDEX(Справочники!$B$4:$B$7,MATCH(BF299,Справочники!$A$4:$A$7,0)),""))</f>
        <v>68.5</v>
      </c>
      <c r="BH299" s="90" t="str">
        <f aca="false">IF(N(BN299)&gt;0,ROUND(SUMIF(ЗАКАЗЫ!$F$3:$F$500,$A299,ЗАКАЗЫ!$Y$3:$Y$500)/BN299,0),IF(OR(BE299="",BG299=""),"",ROUND(BE299*BG299*(1+Справочники!$B$10),0)))</f>
        <v/>
      </c>
      <c r="BI299" s="92" t="str">
        <f aca="false">IF(OR(AU299="",BH299="",AU299=0),"",(AU299-BH299)/AU299)</f>
        <v/>
      </c>
      <c r="BJ299" s="81"/>
      <c r="BK299" s="83"/>
      <c r="BL299" s="43" t="str">
        <f aca="false">IFERROR(INDEX(ЗАКАЗЫ!$N$3:$N$500,MATCH($A299,ЗАКАЗЫ!$F$3:$F$500,0)),"")</f>
        <v/>
      </c>
      <c r="BM299" s="8" t="str">
        <f aca="false">IF(BL299="","",IFERROR(VLOOKUP(BL299,'ТН ВЭД'!$A$4:$C$40,3,0),""))</f>
        <v/>
      </c>
      <c r="BN299" s="7" t="str">
        <f aca="false">IF(COUNTIF(ЗАКАЗЫ!$F$3:$F$500,$A299)=0,"",SUMIF(ЗАКАЗЫ!$F$3:$F$500,$A299,ЗАКАЗЫ!$J$3:$J$500))</f>
        <v/>
      </c>
      <c r="BO299" s="7" t="str">
        <f aca="false">IF(BN299="","",SUMIF(ЗАКАЗЫ!$F$3:$F$500,$A299,ЗАКАЗЫ!$AL$3:$AL$500))</f>
        <v/>
      </c>
      <c r="BP299" s="7" t="str">
        <f aca="false">IF(BN299="","",BN299-BO299)</f>
        <v/>
      </c>
      <c r="BQ299" s="55" t="str">
        <f aca="false">IF(BN299="","",IF(BO299&gt;=BN299,"На складе",IF(BO299&gt;0,"Частично","Ждём")))</f>
        <v/>
      </c>
      <c r="BR299" s="43"/>
      <c r="BS299" s="47" t="str">
        <f aca="false">IF(BN299="","",IF(_xlfn.MAXIFS(ЗАКАЗЫ!$AK$3:$AK$500,ЗАКАЗЫ!$F$3:$F$500,$A299)=0,"",_xlfn.MAXIFS(ЗАКАЗЫ!$AK$3:$AK$500,ЗАКАЗЫ!$F$3:$F$500,$A299)))</f>
        <v/>
      </c>
    </row>
    <row r="300" customFormat="false" ht="15.75" hidden="false" customHeight="true" outlineLevel="0" collapsed="false">
      <c r="A300" s="80" t="s">
        <v>774</v>
      </c>
      <c r="B300" s="81"/>
      <c r="C300" s="81"/>
      <c r="D300" s="81"/>
      <c r="E300" s="83"/>
      <c r="F300" s="81"/>
      <c r="G300" s="83"/>
      <c r="H300" s="83"/>
      <c r="I300" s="84" t="str">
        <f aca="false">IF(E300="","",A300&amp;"_1.jpg")</f>
        <v/>
      </c>
      <c r="J300" s="84" t="str">
        <f aca="false">IF(E300="","",A300&amp;"_2.jpg; "&amp;A300&amp;"_3.jpg")</f>
        <v/>
      </c>
      <c r="K300" s="84" t="str">
        <f aca="false">IF(E300="","",A300&amp;"_schema.jpg")</f>
        <v/>
      </c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 t="s">
        <v>261</v>
      </c>
      <c r="W300" s="81"/>
      <c r="X300" s="81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6" t="str">
        <f aca="false">IF(SUM(Y300:AJ300)=0,"",SUM(Y300:AJ300))</f>
        <v/>
      </c>
      <c r="AL300" s="84" t="str">
        <f aca="false">MID(IF(N(Y300)&gt;0,", "&amp;Y$2,"")&amp;IF(N(Z300)&gt;0,", "&amp;Z$2,"")&amp;IF(N(AA300)&gt;0,", "&amp;AA$2,"")&amp;IF(N(AB300)&gt;0,", "&amp;AB$2,"")&amp;IF(N(AC300)&gt;0,", "&amp;AC$2,"")&amp;IF(N(AD300)&gt;0,", "&amp;AD$2,"")&amp;IF(N(AE300)&gt;0,", "&amp;AE$2,"")&amp;IF(N(AF300)&gt;0,", "&amp;AF$2,"")&amp;IF(N(AG300)&gt;0,", "&amp;AG$2,"")&amp;IF(N(AH300)&gt;0,", "&amp;AH$2,"")&amp;IF(N(AI300)&gt;0,", "&amp;AI$2,"")&amp;IF(N(AJ300)&gt;0,", "&amp;AJ$2,""),3,999)</f>
        <v/>
      </c>
      <c r="AM300" s="87" t="str">
        <f aca="false">IF(E300="","",MID(IF(N(Y300)&gt;0,", "&amp;A300&amp;"-"&amp;Y$2,"")&amp;IF(N(Z300)&gt;0,", "&amp;A300&amp;"-"&amp;Z$2,"")&amp;IF(N(AA300)&gt;0,", "&amp;A300&amp;"-"&amp;AA$2,"")&amp;IF(N(AB300)&gt;0,", "&amp;A300&amp;"-"&amp;AB$2,"")&amp;IF(N(AC300)&gt;0,", "&amp;A300&amp;"-"&amp;AC$2,"")&amp;IF(N(AD300)&gt;0,", "&amp;A300&amp;"-"&amp;AD$2,"")&amp;IF(N(AE300)&gt;0,", "&amp;A300&amp;"-"&amp;AE$2,"")&amp;IF(N(AF300)&gt;0,", "&amp;A300&amp;"-"&amp;AF$2,"")&amp;IF(N(AG300)&gt;0,", "&amp;A300&amp;"-"&amp;AG$2,"")&amp;IF(N(AH300)&gt;0,", "&amp;A300&amp;"-"&amp;AH$2,"")&amp;IF(N(AI300)&gt;0,", "&amp;A300&amp;"-"&amp;AI$2,"")&amp;IF(N(AJ300)&gt;0,", "&amp;A300&amp;"-"&amp;AJ$2,""),3,999))</f>
        <v/>
      </c>
      <c r="AN300" s="81"/>
      <c r="AO300" s="88"/>
      <c r="AP300" s="89" t="str">
        <f aca="false">IF(AO300="","",ROUND(AO300/(1+Справочники!$B$13),2))</f>
        <v/>
      </c>
      <c r="AQ300" s="90" t="str">
        <f aca="false" t="array" ref="AQ300:AQ300">IF(AP300="","",AP300*INDEX(Справочники!$B$4:$B$7,MATCH("RUB",Справочники!$A$4:$A$7,0)))</f>
        <v/>
      </c>
      <c r="AR300" s="90" t="str">
        <f aca="false">IF(AQ300="","",ROUND(AQ300*(1+Справочники!$B$12),0))</f>
        <v/>
      </c>
      <c r="AS300" s="90" t="str">
        <f aca="false">IF(AR300="","",ROUND(AR300*(1-Справочники!$B$11),0))</f>
        <v/>
      </c>
      <c r="AT300" s="88"/>
      <c r="AU300" s="90" t="str">
        <f aca="false">IF(AT300="","",ROUND(AT300/(1+Справочники!$B$12),0))</f>
        <v/>
      </c>
      <c r="AV300" s="90" t="str">
        <f aca="false">IF(AT300="","",ROUND(AT300*(1-Справочники!$B$15),0))</f>
        <v/>
      </c>
      <c r="AW300" s="90" t="str">
        <f aca="false">IF(AT300="","",ROUND(AT300*(1-Справочники!$B$16),0))</f>
        <v/>
      </c>
      <c r="AX300" s="90" t="str">
        <f aca="false">IF(AT300="","",ROUND(AT300*(1-Справочники!$B$17),0))</f>
        <v/>
      </c>
      <c r="AY300" s="90" t="str">
        <f aca="false">IF(AT300="","",ROUND(AT300*(1-Справочники!$B$18),0))</f>
        <v/>
      </c>
      <c r="AZ300" s="90" t="str">
        <f aca="false">IF(AT300="","",ROUND(AT300*(1-Справочники!$B$19),0))</f>
        <v/>
      </c>
      <c r="BA300" s="81"/>
      <c r="BB300" s="81"/>
      <c r="BC300" s="81"/>
      <c r="BD300" s="81"/>
      <c r="BE300" s="91"/>
      <c r="BF300" s="81" t="s">
        <v>103</v>
      </c>
      <c r="BG300" s="89" t="n">
        <f aca="false" t="array" ref="BG300:BG300">IF(BF300="","",IFERROR(INDEX(Справочники!$B$4:$B$7,MATCH(BF300,Справочники!$A$4:$A$7,0)),""))</f>
        <v>68.5</v>
      </c>
      <c r="BH300" s="90" t="str">
        <f aca="false">IF(N(BN300)&gt;0,ROUND(SUMIF(ЗАКАЗЫ!$F$3:$F$500,$A300,ЗАКАЗЫ!$Y$3:$Y$500)/BN300,0),IF(OR(BE300="",BG300=""),"",ROUND(BE300*BG300*(1+Справочники!$B$10),0)))</f>
        <v/>
      </c>
      <c r="BI300" s="92" t="str">
        <f aca="false">IF(OR(AU300="",BH300="",AU300=0),"",(AU300-BH300)/AU300)</f>
        <v/>
      </c>
      <c r="BJ300" s="81"/>
      <c r="BK300" s="83"/>
      <c r="BL300" s="43" t="str">
        <f aca="false">IFERROR(INDEX(ЗАКАЗЫ!$N$3:$N$500,MATCH($A300,ЗАКАЗЫ!$F$3:$F$500,0)),"")</f>
        <v/>
      </c>
      <c r="BM300" s="8" t="str">
        <f aca="false">IF(BL300="","",IFERROR(VLOOKUP(BL300,'ТН ВЭД'!$A$4:$C$40,3,0),""))</f>
        <v/>
      </c>
      <c r="BN300" s="7" t="str">
        <f aca="false">IF(COUNTIF(ЗАКАЗЫ!$F$3:$F$500,$A300)=0,"",SUMIF(ЗАКАЗЫ!$F$3:$F$500,$A300,ЗАКАЗЫ!$J$3:$J$500))</f>
        <v/>
      </c>
      <c r="BO300" s="7" t="str">
        <f aca="false">IF(BN300="","",SUMIF(ЗАКАЗЫ!$F$3:$F$500,$A300,ЗАКАЗЫ!$AL$3:$AL$500))</f>
        <v/>
      </c>
      <c r="BP300" s="7" t="str">
        <f aca="false">IF(BN300="","",BN300-BO300)</f>
        <v/>
      </c>
      <c r="BQ300" s="55" t="str">
        <f aca="false">IF(BN300="","",IF(BO300&gt;=BN300,"На складе",IF(BO300&gt;0,"Частично","Ждём")))</f>
        <v/>
      </c>
      <c r="BR300" s="43"/>
      <c r="BS300" s="47" t="str">
        <f aca="false">IF(BN300="","",IF(_xlfn.MAXIFS(ЗАКАЗЫ!$AK$3:$AK$500,ЗАКАЗЫ!$F$3:$F$500,$A300)=0,"",_xlfn.MAXIFS(ЗАКАЗЫ!$AK$3:$AK$500,ЗАКАЗЫ!$F$3:$F$500,$A300)))</f>
        <v/>
      </c>
    </row>
    <row r="301" customFormat="false" ht="15.75" hidden="false" customHeight="true" outlineLevel="0" collapsed="false">
      <c r="A301" s="80" t="s">
        <v>775</v>
      </c>
      <c r="B301" s="81"/>
      <c r="C301" s="81"/>
      <c r="D301" s="81"/>
      <c r="E301" s="83"/>
      <c r="F301" s="81"/>
      <c r="G301" s="83"/>
      <c r="H301" s="83"/>
      <c r="I301" s="84" t="str">
        <f aca="false">IF(E301="","",A301&amp;"_1.jpg")</f>
        <v/>
      </c>
      <c r="J301" s="84" t="str">
        <f aca="false">IF(E301="","",A301&amp;"_2.jpg; "&amp;A301&amp;"_3.jpg")</f>
        <v/>
      </c>
      <c r="K301" s="84" t="str">
        <f aca="false">IF(E301="","",A301&amp;"_schema.jpg")</f>
        <v/>
      </c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 t="s">
        <v>261</v>
      </c>
      <c r="W301" s="81"/>
      <c r="X301" s="81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6" t="str">
        <f aca="false">IF(SUM(Y301:AJ301)=0,"",SUM(Y301:AJ301))</f>
        <v/>
      </c>
      <c r="AL301" s="84" t="str">
        <f aca="false">MID(IF(N(Y301)&gt;0,", "&amp;Y$2,"")&amp;IF(N(Z301)&gt;0,", "&amp;Z$2,"")&amp;IF(N(AA301)&gt;0,", "&amp;AA$2,"")&amp;IF(N(AB301)&gt;0,", "&amp;AB$2,"")&amp;IF(N(AC301)&gt;0,", "&amp;AC$2,"")&amp;IF(N(AD301)&gt;0,", "&amp;AD$2,"")&amp;IF(N(AE301)&gt;0,", "&amp;AE$2,"")&amp;IF(N(AF301)&gt;0,", "&amp;AF$2,"")&amp;IF(N(AG301)&gt;0,", "&amp;AG$2,"")&amp;IF(N(AH301)&gt;0,", "&amp;AH$2,"")&amp;IF(N(AI301)&gt;0,", "&amp;AI$2,"")&amp;IF(N(AJ301)&gt;0,", "&amp;AJ$2,""),3,999)</f>
        <v/>
      </c>
      <c r="AM301" s="87" t="str">
        <f aca="false">IF(E301="","",MID(IF(N(Y301)&gt;0,", "&amp;A301&amp;"-"&amp;Y$2,"")&amp;IF(N(Z301)&gt;0,", "&amp;A301&amp;"-"&amp;Z$2,"")&amp;IF(N(AA301)&gt;0,", "&amp;A301&amp;"-"&amp;AA$2,"")&amp;IF(N(AB301)&gt;0,", "&amp;A301&amp;"-"&amp;AB$2,"")&amp;IF(N(AC301)&gt;0,", "&amp;A301&amp;"-"&amp;AC$2,"")&amp;IF(N(AD301)&gt;0,", "&amp;A301&amp;"-"&amp;AD$2,"")&amp;IF(N(AE301)&gt;0,", "&amp;A301&amp;"-"&amp;AE$2,"")&amp;IF(N(AF301)&gt;0,", "&amp;A301&amp;"-"&amp;AF$2,"")&amp;IF(N(AG301)&gt;0,", "&amp;A301&amp;"-"&amp;AG$2,"")&amp;IF(N(AH301)&gt;0,", "&amp;A301&amp;"-"&amp;AH$2,"")&amp;IF(N(AI301)&gt;0,", "&amp;A301&amp;"-"&amp;AI$2,"")&amp;IF(N(AJ301)&gt;0,", "&amp;A301&amp;"-"&amp;AJ$2,""),3,999))</f>
        <v/>
      </c>
      <c r="AN301" s="81"/>
      <c r="AO301" s="88"/>
      <c r="AP301" s="89" t="str">
        <f aca="false">IF(AO301="","",ROUND(AO301/(1+Справочники!$B$13),2))</f>
        <v/>
      </c>
      <c r="AQ301" s="90" t="str">
        <f aca="false" t="array" ref="AQ301:AQ301">IF(AP301="","",AP301*INDEX(Справочники!$B$4:$B$7,MATCH("RUB",Справочники!$A$4:$A$7,0)))</f>
        <v/>
      </c>
      <c r="AR301" s="90" t="str">
        <f aca="false">IF(AQ301="","",ROUND(AQ301*(1+Справочники!$B$12),0))</f>
        <v/>
      </c>
      <c r="AS301" s="90" t="str">
        <f aca="false">IF(AR301="","",ROUND(AR301*(1-Справочники!$B$11),0))</f>
        <v/>
      </c>
      <c r="AT301" s="88"/>
      <c r="AU301" s="90" t="str">
        <f aca="false">IF(AT301="","",ROUND(AT301/(1+Справочники!$B$12),0))</f>
        <v/>
      </c>
      <c r="AV301" s="90" t="str">
        <f aca="false">IF(AT301="","",ROUND(AT301*(1-Справочники!$B$15),0))</f>
        <v/>
      </c>
      <c r="AW301" s="90" t="str">
        <f aca="false">IF(AT301="","",ROUND(AT301*(1-Справочники!$B$16),0))</f>
        <v/>
      </c>
      <c r="AX301" s="90" t="str">
        <f aca="false">IF(AT301="","",ROUND(AT301*(1-Справочники!$B$17),0))</f>
        <v/>
      </c>
      <c r="AY301" s="90" t="str">
        <f aca="false">IF(AT301="","",ROUND(AT301*(1-Справочники!$B$18),0))</f>
        <v/>
      </c>
      <c r="AZ301" s="90" t="str">
        <f aca="false">IF(AT301="","",ROUND(AT301*(1-Справочники!$B$19),0))</f>
        <v/>
      </c>
      <c r="BA301" s="81"/>
      <c r="BB301" s="81"/>
      <c r="BC301" s="81"/>
      <c r="BD301" s="81"/>
      <c r="BE301" s="91"/>
      <c r="BF301" s="81" t="s">
        <v>103</v>
      </c>
      <c r="BG301" s="89" t="n">
        <f aca="false" t="array" ref="BG301:BG301">IF(BF301="","",IFERROR(INDEX(Справочники!$B$4:$B$7,MATCH(BF301,Справочники!$A$4:$A$7,0)),""))</f>
        <v>68.5</v>
      </c>
      <c r="BH301" s="90" t="str">
        <f aca="false">IF(N(BN301)&gt;0,ROUND(SUMIF(ЗАКАЗЫ!$F$3:$F$500,$A301,ЗАКАЗЫ!$Y$3:$Y$500)/BN301,0),IF(OR(BE301="",BG301=""),"",ROUND(BE301*BG301*(1+Справочники!$B$10),0)))</f>
        <v/>
      </c>
      <c r="BI301" s="92" t="str">
        <f aca="false">IF(OR(AU301="",BH301="",AU301=0),"",(AU301-BH301)/AU301)</f>
        <v/>
      </c>
      <c r="BJ301" s="81"/>
      <c r="BK301" s="83"/>
      <c r="BL301" s="43" t="str">
        <f aca="false">IFERROR(INDEX(ЗАКАЗЫ!$N$3:$N$500,MATCH($A301,ЗАКАЗЫ!$F$3:$F$500,0)),"")</f>
        <v/>
      </c>
      <c r="BM301" s="8" t="str">
        <f aca="false">IF(BL301="","",IFERROR(VLOOKUP(BL301,'ТН ВЭД'!$A$4:$C$40,3,0),""))</f>
        <v/>
      </c>
      <c r="BN301" s="7" t="str">
        <f aca="false">IF(COUNTIF(ЗАКАЗЫ!$F$3:$F$500,$A301)=0,"",SUMIF(ЗАКАЗЫ!$F$3:$F$500,$A301,ЗАКАЗЫ!$J$3:$J$500))</f>
        <v/>
      </c>
      <c r="BO301" s="7" t="str">
        <f aca="false">IF(BN301="","",SUMIF(ЗАКАЗЫ!$F$3:$F$500,$A301,ЗАКАЗЫ!$AL$3:$AL$500))</f>
        <v/>
      </c>
      <c r="BP301" s="7" t="str">
        <f aca="false">IF(BN301="","",BN301-BO301)</f>
        <v/>
      </c>
      <c r="BQ301" s="55" t="str">
        <f aca="false">IF(BN301="","",IF(BO301&gt;=BN301,"На складе",IF(BO301&gt;0,"Частично","Ждём")))</f>
        <v/>
      </c>
      <c r="BR301" s="43"/>
      <c r="BS301" s="47" t="str">
        <f aca="false">IF(BN301="","",IF(_xlfn.MAXIFS(ЗАКАЗЫ!$AK$3:$AK$500,ЗАКАЗЫ!$F$3:$F$500,$A301)=0,"",_xlfn.MAXIFS(ЗАКАЗЫ!$AK$3:$AK$500,ЗАКАЗЫ!$F$3:$F$500,$A301)))</f>
        <v/>
      </c>
    </row>
    <row r="302" customFormat="false" ht="15.75" hidden="false" customHeight="true" outlineLevel="0" collapsed="false">
      <c r="A302" s="80" t="s">
        <v>776</v>
      </c>
      <c r="B302" s="81"/>
      <c r="C302" s="81"/>
      <c r="D302" s="81"/>
      <c r="E302" s="83"/>
      <c r="F302" s="81"/>
      <c r="G302" s="83"/>
      <c r="H302" s="83"/>
      <c r="I302" s="84" t="str">
        <f aca="false">IF(E302="","",A302&amp;"_1.jpg")</f>
        <v/>
      </c>
      <c r="J302" s="84" t="str">
        <f aca="false">IF(E302="","",A302&amp;"_2.jpg; "&amp;A302&amp;"_3.jpg")</f>
        <v/>
      </c>
      <c r="K302" s="84" t="str">
        <f aca="false">IF(E302="","",A302&amp;"_schema.jpg")</f>
        <v/>
      </c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 t="s">
        <v>261</v>
      </c>
      <c r="W302" s="81"/>
      <c r="X302" s="81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6" t="str">
        <f aca="false">IF(SUM(Y302:AJ302)=0,"",SUM(Y302:AJ302))</f>
        <v/>
      </c>
      <c r="AL302" s="84" t="str">
        <f aca="false">MID(IF(N(Y302)&gt;0,", "&amp;Y$2,"")&amp;IF(N(Z302)&gt;0,", "&amp;Z$2,"")&amp;IF(N(AA302)&gt;0,", "&amp;AA$2,"")&amp;IF(N(AB302)&gt;0,", "&amp;AB$2,"")&amp;IF(N(AC302)&gt;0,", "&amp;AC$2,"")&amp;IF(N(AD302)&gt;0,", "&amp;AD$2,"")&amp;IF(N(AE302)&gt;0,", "&amp;AE$2,"")&amp;IF(N(AF302)&gt;0,", "&amp;AF$2,"")&amp;IF(N(AG302)&gt;0,", "&amp;AG$2,"")&amp;IF(N(AH302)&gt;0,", "&amp;AH$2,"")&amp;IF(N(AI302)&gt;0,", "&amp;AI$2,"")&amp;IF(N(AJ302)&gt;0,", "&amp;AJ$2,""),3,999)</f>
        <v/>
      </c>
      <c r="AM302" s="87" t="str">
        <f aca="false">IF(E302="","",MID(IF(N(Y302)&gt;0,", "&amp;A302&amp;"-"&amp;Y$2,"")&amp;IF(N(Z302)&gt;0,", "&amp;A302&amp;"-"&amp;Z$2,"")&amp;IF(N(AA302)&gt;0,", "&amp;A302&amp;"-"&amp;AA$2,"")&amp;IF(N(AB302)&gt;0,", "&amp;A302&amp;"-"&amp;AB$2,"")&amp;IF(N(AC302)&gt;0,", "&amp;A302&amp;"-"&amp;AC$2,"")&amp;IF(N(AD302)&gt;0,", "&amp;A302&amp;"-"&amp;AD$2,"")&amp;IF(N(AE302)&gt;0,", "&amp;A302&amp;"-"&amp;AE$2,"")&amp;IF(N(AF302)&gt;0,", "&amp;A302&amp;"-"&amp;AF$2,"")&amp;IF(N(AG302)&gt;0,", "&amp;A302&amp;"-"&amp;AG$2,"")&amp;IF(N(AH302)&gt;0,", "&amp;A302&amp;"-"&amp;AH$2,"")&amp;IF(N(AI302)&gt;0,", "&amp;A302&amp;"-"&amp;AI$2,"")&amp;IF(N(AJ302)&gt;0,", "&amp;A302&amp;"-"&amp;AJ$2,""),3,999))</f>
        <v/>
      </c>
      <c r="AN302" s="81"/>
      <c r="AO302" s="88"/>
      <c r="AP302" s="89" t="str">
        <f aca="false">IF(AO302="","",ROUND(AO302/(1+Справочники!$B$13),2))</f>
        <v/>
      </c>
      <c r="AQ302" s="90" t="str">
        <f aca="false" t="array" ref="AQ302:AQ302">IF(AP302="","",AP302*INDEX(Справочники!$B$4:$B$7,MATCH("RUB",Справочники!$A$4:$A$7,0)))</f>
        <v/>
      </c>
      <c r="AR302" s="90" t="str">
        <f aca="false">IF(AQ302="","",ROUND(AQ302*(1+Справочники!$B$12),0))</f>
        <v/>
      </c>
      <c r="AS302" s="90" t="str">
        <f aca="false">IF(AR302="","",ROUND(AR302*(1-Справочники!$B$11),0))</f>
        <v/>
      </c>
      <c r="AT302" s="88"/>
      <c r="AU302" s="90" t="str">
        <f aca="false">IF(AT302="","",ROUND(AT302/(1+Справочники!$B$12),0))</f>
        <v/>
      </c>
      <c r="AV302" s="90" t="str">
        <f aca="false">IF(AT302="","",ROUND(AT302*(1-Справочники!$B$15),0))</f>
        <v/>
      </c>
      <c r="AW302" s="90" t="str">
        <f aca="false">IF(AT302="","",ROUND(AT302*(1-Справочники!$B$16),0))</f>
        <v/>
      </c>
      <c r="AX302" s="90" t="str">
        <f aca="false">IF(AT302="","",ROUND(AT302*(1-Справочники!$B$17),0))</f>
        <v/>
      </c>
      <c r="AY302" s="90" t="str">
        <f aca="false">IF(AT302="","",ROUND(AT302*(1-Справочники!$B$18),0))</f>
        <v/>
      </c>
      <c r="AZ302" s="90" t="str">
        <f aca="false">IF(AT302="","",ROUND(AT302*(1-Справочники!$B$19),0))</f>
        <v/>
      </c>
      <c r="BA302" s="81"/>
      <c r="BB302" s="81"/>
      <c r="BC302" s="81"/>
      <c r="BD302" s="81"/>
      <c r="BE302" s="91"/>
      <c r="BF302" s="81" t="s">
        <v>103</v>
      </c>
      <c r="BG302" s="89" t="n">
        <f aca="false" t="array" ref="BG302:BG302">IF(BF302="","",IFERROR(INDEX(Справочники!$B$4:$B$7,MATCH(BF302,Справочники!$A$4:$A$7,0)),""))</f>
        <v>68.5</v>
      </c>
      <c r="BH302" s="90" t="str">
        <f aca="false">IF(N(BN302)&gt;0,ROUND(SUMIF(ЗАКАЗЫ!$F$3:$F$500,$A302,ЗАКАЗЫ!$Y$3:$Y$500)/BN302,0),IF(OR(BE302="",BG302=""),"",ROUND(BE302*BG302*(1+Справочники!$B$10),0)))</f>
        <v/>
      </c>
      <c r="BI302" s="92" t="str">
        <f aca="false">IF(OR(AU302="",BH302="",AU302=0),"",(AU302-BH302)/AU302)</f>
        <v/>
      </c>
      <c r="BJ302" s="81"/>
      <c r="BK302" s="83"/>
      <c r="BL302" s="43" t="str">
        <f aca="false">IFERROR(INDEX(ЗАКАЗЫ!$N$3:$N$500,MATCH($A302,ЗАКАЗЫ!$F$3:$F$500,0)),"")</f>
        <v/>
      </c>
      <c r="BM302" s="8" t="str">
        <f aca="false">IF(BL302="","",IFERROR(VLOOKUP(BL302,'ТН ВЭД'!$A$4:$C$40,3,0),""))</f>
        <v/>
      </c>
      <c r="BN302" s="7" t="str">
        <f aca="false">IF(COUNTIF(ЗАКАЗЫ!$F$3:$F$500,$A302)=0,"",SUMIF(ЗАКАЗЫ!$F$3:$F$500,$A302,ЗАКАЗЫ!$J$3:$J$500))</f>
        <v/>
      </c>
      <c r="BO302" s="7" t="str">
        <f aca="false">IF(BN302="","",SUMIF(ЗАКАЗЫ!$F$3:$F$500,$A302,ЗАКАЗЫ!$AL$3:$AL$500))</f>
        <v/>
      </c>
      <c r="BP302" s="7" t="str">
        <f aca="false">IF(BN302="","",BN302-BO302)</f>
        <v/>
      </c>
      <c r="BQ302" s="55" t="str">
        <f aca="false">IF(BN302="","",IF(BO302&gt;=BN302,"На складе",IF(BO302&gt;0,"Частично","Ждём")))</f>
        <v/>
      </c>
      <c r="BR302" s="43"/>
      <c r="BS302" s="47" t="str">
        <f aca="false">IF(BN302="","",IF(_xlfn.MAXIFS(ЗАКАЗЫ!$AK$3:$AK$500,ЗАКАЗЫ!$F$3:$F$500,$A302)=0,"",_xlfn.MAXIFS(ЗАКАЗЫ!$AK$3:$AK$500,ЗАКАЗЫ!$F$3:$F$500,$A302)))</f>
        <v/>
      </c>
    </row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2:BK302"/>
  <mergeCells count="7">
    <mergeCell ref="A1:H1"/>
    <mergeCell ref="I1:M1"/>
    <mergeCell ref="N1:X1"/>
    <mergeCell ref="Y1:AM1"/>
    <mergeCell ref="AN1:BA1"/>
    <mergeCell ref="BB1:BK1"/>
    <mergeCell ref="BL1:BS1"/>
  </mergeCells>
  <conditionalFormatting sqref="Y3:AJ302">
    <cfRule type="expression" priority="2" aboveAverage="0" equalAverage="0" bottom="0" percent="0" rank="0" text="" dxfId="28">
      <formula>N(Y3)&gt;0</formula>
    </cfRule>
  </conditionalFormatting>
  <conditionalFormatting sqref="A3:A302">
    <cfRule type="expression" priority="3" aboveAverage="0" equalAverage="0" bottom="0" percent="0" rank="0" text="" dxfId="29">
      <formula>$E3=""</formula>
    </cfRule>
  </conditionalFormatting>
  <conditionalFormatting sqref="A3:BK302">
    <cfRule type="expression" priority="4" aboveAverage="0" equalAverage="0" bottom="0" percent="0" rank="0" text="" dxfId="30">
      <formula>$B3="Снят"</formula>
    </cfRule>
  </conditionalFormatting>
  <conditionalFormatting sqref="D3:D302">
    <cfRule type="expression" priority="5" aboveAverage="0" equalAverage="0" bottom="0" percent="0" rank="0" text="" dxfId="31">
      <formula>AND($D3="Да",COUNTIF($D$3:$D$302,"Да")&gt;5)</formula>
    </cfRule>
  </conditionalFormatting>
  <conditionalFormatting sqref="BI3:BI302">
    <cfRule type="expression" priority="6" aboveAverage="0" equalAverage="0" bottom="0" percent="0" rank="0" text="" dxfId="31">
      <formula>AND(ISNUMBER($BI3),$BI3&lt;0.2)</formula>
    </cfRule>
  </conditionalFormatting>
  <conditionalFormatting sqref="BQ3:BQ302">
    <cfRule type="expression" priority="7" aboveAverage="0" equalAverage="0" bottom="0" percent="0" rank="0" text="" dxfId="8">
      <formula>BQ3="На складе"</formula>
    </cfRule>
    <cfRule type="expression" priority="8" aboveAverage="0" equalAverage="0" bottom="0" percent="0" rank="0" text="" dxfId="9">
      <formula>BQ3="Частично"</formula>
    </cfRule>
  </conditionalFormatting>
  <conditionalFormatting sqref="AK3:AK302">
    <cfRule type="expression" priority="9" aboveAverage="0" equalAverage="0" bottom="0" percent="0" rank="0" text="" dxfId="32">
      <formula>AND(N($BN3)&gt;0,N($AK3)&lt;&gt;N($BN3))</formula>
    </cfRule>
  </conditionalFormatting>
  <dataValidations count="7">
    <dataValidation allowBlank="true" errorStyle="stop" operator="between" showDropDown="false" showErrorMessage="true" showInputMessage="false" sqref="D3:D302 L3:M302" type="list">
      <formula1>Справочники!$F$4:$F$40</formula1>
      <formula2>0</formula2>
    </dataValidation>
    <dataValidation allowBlank="true" errorStyle="stop" operator="between" showDropDown="false" showErrorMessage="true" showInputMessage="false" sqref="B3:B26 B27:C302" type="list">
      <formula1>Справочники!$E$4:$E$40</formula1>
      <formula2>0</formula2>
    </dataValidation>
    <dataValidation allowBlank="true" errorStyle="stop" operator="between" showDropDown="false" showErrorMessage="false" showInputMessage="false" sqref="BB3:BB302" type="list">
      <formula1>Поставщики!$A$2:$A$101</formula1>
      <formula2>0</formula2>
    </dataValidation>
    <dataValidation allowBlank="true" errorStyle="stop" operator="greaterThanOrEqual" prompt="Только целое число штук" showDropDown="false" showErrorMessage="true" showInputMessage="true" sqref="Y3:AJ302" type="decimal">
      <formula1>0</formula1>
      <formula2>0</formula2>
    </dataValidation>
    <dataValidation allowBlank="true" errorStyle="stop" operator="between" showDropDown="false" showErrorMessage="false" showInputMessage="false" sqref="V3:V302" type="list">
      <formula1>Справочники!$G$4:$G$40</formula1>
      <formula2>0</formula2>
    </dataValidation>
    <dataValidation allowBlank="true" errorStyle="stop" operator="between" showDropDown="false" showErrorMessage="false" showInputMessage="false" sqref="N3:N302" type="list">
      <formula1>Справочники!$H$4:$H$40</formula1>
      <formula2>0</formula2>
    </dataValidation>
    <dataValidation allowBlank="true" errorStyle="stop" operator="between" showDropDown="false" showErrorMessage="true" showInputMessage="false" sqref="BF3:BF302" type="list">
      <formula1>"KZT,CNY,USD,RUB"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F3" activeCellId="0" sqref="F3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7.5"/>
    <col collapsed="false" customWidth="true" hidden="false" outlineLevel="0" max="4" min="4" style="0" width="9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8" min="8" style="0" width="46"/>
    <col collapsed="false" customWidth="true" hidden="false" outlineLevel="0" max="9" min="9" style="0" width="20"/>
    <col collapsed="false" customWidth="true" hidden="false" outlineLevel="0" max="11" min="10" style="0" width="22"/>
    <col collapsed="false" customWidth="true" hidden="false" outlineLevel="0" max="13" min="12" style="0" width="9"/>
    <col collapsed="false" customWidth="true" hidden="false" outlineLevel="0" max="14" min="14" style="0" width="18"/>
    <col collapsed="false" customWidth="true" hidden="false" outlineLevel="0" max="20" min="15" style="0" width="15"/>
    <col collapsed="false" customWidth="true" hidden="false" outlineLevel="0" max="21" min="21" style="0" width="9"/>
    <col collapsed="false" customWidth="true" hidden="false" outlineLevel="0" max="22" min="22" style="0" width="8"/>
    <col collapsed="false" customWidth="true" hidden="false" outlineLevel="0" max="23" min="23" style="0" width="9"/>
    <col collapsed="false" customWidth="true" hidden="false" outlineLevel="0" max="24" min="24" style="0" width="18"/>
    <col collapsed="false" customWidth="true" hidden="false" outlineLevel="0" max="36" min="25" style="0" width="9"/>
    <col collapsed="false" customWidth="true" hidden="false" outlineLevel="0" max="37" min="37" style="0" width="11"/>
    <col collapsed="false" customWidth="true" hidden="false" outlineLevel="0" max="38" min="38" style="0" width="26"/>
    <col collapsed="false" customWidth="true" hidden="false" outlineLevel="0" max="39" min="39" style="0" width="34"/>
    <col collapsed="false" customWidth="true" hidden="false" outlineLevel="0" max="40" min="40" style="0" width="10"/>
    <col collapsed="false" customWidth="true" hidden="false" outlineLevel="0" max="44" min="41" style="0" width="11"/>
    <col collapsed="false" customWidth="true" hidden="false" outlineLevel="0" max="46" min="45" style="0" width="12"/>
    <col collapsed="false" customWidth="true" hidden="false" outlineLevel="0" max="52" min="47" style="0" width="11"/>
    <col collapsed="false" customWidth="true" hidden="false" outlineLevel="0" max="53" min="53" style="0" width="10"/>
    <col collapsed="false" customWidth="true" hidden="false" outlineLevel="0" max="54" min="54" style="0" width="18"/>
    <col collapsed="false" customWidth="true" hidden="false" outlineLevel="0" max="55" min="55" style="0" width="14"/>
    <col collapsed="false" customWidth="true" hidden="false" outlineLevel="0" max="56" min="56" style="0" width="24"/>
    <col collapsed="false" customWidth="true" hidden="false" outlineLevel="0" max="57" min="57" style="0" width="10"/>
    <col collapsed="false" customWidth="true" hidden="false" outlineLevel="0" max="59" min="58" style="0" width="8"/>
    <col collapsed="false" customWidth="true" hidden="false" outlineLevel="0" max="60" min="60" style="0" width="12"/>
    <col collapsed="false" customWidth="true" hidden="false" outlineLevel="0" max="61" min="61" style="0" width="9"/>
    <col collapsed="false" customWidth="true" hidden="false" outlineLevel="0" max="62" min="62" style="0" width="10"/>
    <col collapsed="false" customWidth="true" hidden="false" outlineLevel="0" max="63" min="63" style="0" width="30"/>
    <col collapsed="false" customWidth="true" hidden="false" outlineLevel="0" max="64" min="64" style="0" width="14"/>
    <col collapsed="false" customWidth="true" hidden="false" outlineLevel="0" max="65" min="65" style="0" width="8"/>
    <col collapsed="false" customWidth="true" hidden="false" outlineLevel="0" max="66" min="66" style="0" width="11"/>
    <col collapsed="false" customWidth="true" hidden="false" outlineLevel="0" max="67" min="67" style="0" width="10"/>
    <col collapsed="false" customWidth="true" hidden="false" outlineLevel="0" max="68" min="68" style="0" width="9"/>
    <col collapsed="false" customWidth="true" hidden="false" outlineLevel="0" max="69" min="69" style="0" width="11"/>
    <col collapsed="false" customWidth="true" hidden="false" outlineLevel="0" max="70" min="70" style="0" width="22"/>
    <col collapsed="false" customWidth="true" hidden="false" outlineLevel="0" max="71" min="71" style="0" width="11"/>
  </cols>
  <sheetData>
    <row r="1" customFormat="false" ht="19.5" hidden="false" customHeight="true" outlineLevel="0" collapsed="false">
      <c r="A1" s="56" t="s">
        <v>416</v>
      </c>
      <c r="B1" s="56"/>
      <c r="C1" s="56"/>
      <c r="D1" s="56"/>
      <c r="E1" s="56"/>
      <c r="F1" s="56"/>
      <c r="G1" s="56"/>
      <c r="H1" s="56"/>
      <c r="I1" s="57" t="s">
        <v>417</v>
      </c>
      <c r="J1" s="57"/>
      <c r="K1" s="57"/>
      <c r="L1" s="57"/>
      <c r="M1" s="57"/>
      <c r="N1" s="58" t="s">
        <v>418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59" t="s">
        <v>419</v>
      </c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60" t="s">
        <v>420</v>
      </c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1" t="s">
        <v>421</v>
      </c>
      <c r="BC1" s="61"/>
      <c r="BD1" s="61"/>
      <c r="BE1" s="61"/>
      <c r="BF1" s="61"/>
      <c r="BG1" s="61"/>
      <c r="BH1" s="61"/>
      <c r="BI1" s="61"/>
      <c r="BJ1" s="61"/>
      <c r="BK1" s="61"/>
      <c r="BL1" s="37" t="s">
        <v>422</v>
      </c>
      <c r="BM1" s="37"/>
      <c r="BN1" s="37"/>
      <c r="BO1" s="37"/>
      <c r="BP1" s="37"/>
      <c r="BQ1" s="37"/>
      <c r="BR1" s="37"/>
      <c r="BS1" s="37"/>
    </row>
    <row r="2" customFormat="false" ht="48" hidden="false" customHeight="true" outlineLevel="0" collapsed="false">
      <c r="A2" s="62" t="s">
        <v>73</v>
      </c>
      <c r="B2" s="62" t="s">
        <v>46</v>
      </c>
      <c r="C2" s="62" t="s">
        <v>186</v>
      </c>
      <c r="D2" s="62" t="s">
        <v>423</v>
      </c>
      <c r="E2" s="62" t="s">
        <v>424</v>
      </c>
      <c r="F2" s="62" t="s">
        <v>80</v>
      </c>
      <c r="G2" s="62" t="s">
        <v>425</v>
      </c>
      <c r="H2" s="62" t="s">
        <v>426</v>
      </c>
      <c r="I2" s="64" t="s">
        <v>427</v>
      </c>
      <c r="J2" s="64" t="s">
        <v>428</v>
      </c>
      <c r="K2" s="64" t="s">
        <v>429</v>
      </c>
      <c r="L2" s="64" t="s">
        <v>430</v>
      </c>
      <c r="M2" s="64" t="s">
        <v>431</v>
      </c>
      <c r="N2" s="65" t="s">
        <v>84</v>
      </c>
      <c r="O2" s="65" t="s">
        <v>88</v>
      </c>
      <c r="P2" s="65" t="s">
        <v>89</v>
      </c>
      <c r="Q2" s="65" t="s">
        <v>90</v>
      </c>
      <c r="R2" s="65" t="s">
        <v>91</v>
      </c>
      <c r="S2" s="65" t="s">
        <v>777</v>
      </c>
      <c r="T2" s="65" t="s">
        <v>778</v>
      </c>
      <c r="U2" s="65" t="s">
        <v>94</v>
      </c>
      <c r="V2" s="65" t="s">
        <v>95</v>
      </c>
      <c r="W2" s="65" t="s">
        <v>438</v>
      </c>
      <c r="X2" s="65" t="s">
        <v>439</v>
      </c>
      <c r="Y2" s="66" t="str">
        <f aca="false">Справочники!$K$4</f>
        <v>BLACK</v>
      </c>
      <c r="Z2" s="67" t="str">
        <f aca="false">Справочники!$K$5</f>
        <v>ORANGE</v>
      </c>
      <c r="AA2" s="68" t="str">
        <f aca="false">Справочники!$K$6</f>
        <v>RED</v>
      </c>
      <c r="AB2" s="69" t="str">
        <f aca="false">Справочники!$K$7</f>
        <v>BLUE</v>
      </c>
      <c r="AC2" s="70" t="str">
        <f aca="false">Справочники!$K$8</f>
        <v>GRAY</v>
      </c>
      <c r="AD2" s="71" t="str">
        <f aca="false">Справочники!$K$9</f>
        <v>GREEN</v>
      </c>
      <c r="AE2" s="72" t="str">
        <f aca="false">Справочники!$K$10</f>
        <v>YELLOW</v>
      </c>
      <c r="AF2" s="73" t="str">
        <f aca="false">Справочники!$K$11</f>
        <v>WHITE</v>
      </c>
      <c r="AG2" s="74" t="str">
        <f aca="false">Справочники!$K$12</f>
        <v>BEIGE</v>
      </c>
      <c r="AH2" s="75" t="str">
        <f aca="false">Справочники!$K$13</f>
        <v>BROWN</v>
      </c>
      <c r="AI2" s="76" t="str">
        <f aca="false">Справочники!$K$14</f>
        <v>NATURAL</v>
      </c>
      <c r="AJ2" s="76" t="str">
        <f aca="false">Справочники!$K$15</f>
        <v>MULTI</v>
      </c>
      <c r="AK2" s="77" t="s">
        <v>440</v>
      </c>
      <c r="AL2" s="77" t="s">
        <v>441</v>
      </c>
      <c r="AM2" s="77" t="s">
        <v>442</v>
      </c>
      <c r="AN2" s="78" t="s">
        <v>443</v>
      </c>
      <c r="AO2" s="78" t="s">
        <v>98</v>
      </c>
      <c r="AP2" s="78" t="s">
        <v>444</v>
      </c>
      <c r="AQ2" s="78" t="s">
        <v>445</v>
      </c>
      <c r="AR2" s="78" t="s">
        <v>206</v>
      </c>
      <c r="AS2" s="78" t="s">
        <v>446</v>
      </c>
      <c r="AT2" s="78" t="s">
        <v>99</v>
      </c>
      <c r="AU2" s="78" t="s">
        <v>208</v>
      </c>
      <c r="AV2" s="78" t="s">
        <v>447</v>
      </c>
      <c r="AW2" s="78" t="s">
        <v>448</v>
      </c>
      <c r="AX2" s="78" t="s">
        <v>449</v>
      </c>
      <c r="AY2" s="78" t="s">
        <v>450</v>
      </c>
      <c r="AZ2" s="78" t="s">
        <v>451</v>
      </c>
      <c r="BA2" s="78" t="s">
        <v>452</v>
      </c>
      <c r="BB2" s="79" t="s">
        <v>38</v>
      </c>
      <c r="BC2" s="79" t="s">
        <v>453</v>
      </c>
      <c r="BD2" s="79" t="s">
        <v>454</v>
      </c>
      <c r="BE2" s="79" t="s">
        <v>101</v>
      </c>
      <c r="BF2" s="79" t="s">
        <v>102</v>
      </c>
      <c r="BG2" s="79" t="s">
        <v>455</v>
      </c>
      <c r="BH2" s="79" t="s">
        <v>456</v>
      </c>
      <c r="BI2" s="79" t="s">
        <v>457</v>
      </c>
      <c r="BJ2" s="79" t="s">
        <v>104</v>
      </c>
      <c r="BK2" s="79" t="s">
        <v>145</v>
      </c>
      <c r="BL2" s="4" t="s">
        <v>458</v>
      </c>
      <c r="BM2" s="4" t="s">
        <v>193</v>
      </c>
      <c r="BN2" s="4" t="s">
        <v>459</v>
      </c>
      <c r="BO2" s="4" t="s">
        <v>211</v>
      </c>
      <c r="BP2" s="4" t="s">
        <v>460</v>
      </c>
      <c r="BQ2" s="4" t="s">
        <v>461</v>
      </c>
      <c r="BR2" s="4" t="s">
        <v>462</v>
      </c>
      <c r="BS2" s="4" t="s">
        <v>44</v>
      </c>
    </row>
    <row r="3" customFormat="false" ht="79.5" hidden="false" customHeight="true" outlineLevel="0" collapsed="false">
      <c r="A3" s="80" t="s">
        <v>74</v>
      </c>
      <c r="B3" s="81" t="s">
        <v>75</v>
      </c>
      <c r="C3" s="81"/>
      <c r="D3" s="81"/>
      <c r="E3" s="83" t="s">
        <v>779</v>
      </c>
      <c r="F3" s="81"/>
      <c r="G3" s="83" t="s">
        <v>780</v>
      </c>
      <c r="H3" s="83" t="s">
        <v>781</v>
      </c>
      <c r="I3" s="84" t="str">
        <f aca="false">IF(E3="","",A3&amp;"_1.jpg")</f>
        <v>AKO-GV-001_1.jpg</v>
      </c>
      <c r="J3" s="84" t="str">
        <f aca="false">IF(E3="","",A3&amp;"_2.jpg; "&amp;A3&amp;"_3.jpg")</f>
        <v>AKO-GV-001_2.jpg; AKO-GV-001_3.jpg</v>
      </c>
      <c r="K3" s="84" t="str">
        <f aca="false">IF(E3="","",A3&amp;"_schema.jpg")</f>
        <v>AKO-GV-001_schema.jpg</v>
      </c>
      <c r="L3" s="81"/>
      <c r="M3" s="81"/>
      <c r="N3" s="81" t="s">
        <v>85</v>
      </c>
      <c r="O3" s="81" t="n">
        <v>16</v>
      </c>
      <c r="P3" s="81"/>
      <c r="Q3" s="81"/>
      <c r="R3" s="81"/>
      <c r="S3" s="81"/>
      <c r="T3" s="81"/>
      <c r="U3" s="81"/>
      <c r="V3" s="81" t="s">
        <v>96</v>
      </c>
      <c r="W3" s="81"/>
      <c r="X3" s="81" t="s">
        <v>782</v>
      </c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 t="n">
        <v>500</v>
      </c>
      <c r="AJ3" s="85"/>
      <c r="AK3" s="86" t="n">
        <f aca="false">IF(SUM(Y3:AJ3)=0,"",SUM(Y3:AJ3))</f>
        <v>500</v>
      </c>
      <c r="AL3" s="84" t="str">
        <f aca="false">MID(IF(N(Y3)&gt;0,", "&amp;Y$2,"")&amp;IF(N(Z3)&gt;0,", "&amp;Z$2,"")&amp;IF(N(AA3)&gt;0,", "&amp;AA$2,"")&amp;IF(N(AB3)&gt;0,", "&amp;AB$2,"")&amp;IF(N(AC3)&gt;0,", "&amp;AC$2,"")&amp;IF(N(AD3)&gt;0,", "&amp;AD$2,"")&amp;IF(N(AE3)&gt;0,", "&amp;AE$2,"")&amp;IF(N(AF3)&gt;0,", "&amp;AF$2,"")&amp;IF(N(AG3)&gt;0,", "&amp;AG$2,"")&amp;IF(N(AH3)&gt;0,", "&amp;AH$2,"")&amp;IF(N(AI3)&gt;0,", "&amp;AI$2,"")&amp;IF(N(AJ3)&gt;0,", "&amp;AJ$2,""),3,999)</f>
        <v>NATURAL</v>
      </c>
      <c r="AM3" s="87" t="str">
        <f aca="false">IF(E3="","",MID(IF(N(Y3)&gt;0,", "&amp;A3&amp;"-"&amp;Y$2,"")&amp;IF(N(Z3)&gt;0,", "&amp;A3&amp;"-"&amp;Z$2,"")&amp;IF(N(AA3)&gt;0,", "&amp;A3&amp;"-"&amp;AA$2,"")&amp;IF(N(AB3)&gt;0,", "&amp;A3&amp;"-"&amp;AB$2,"")&amp;IF(N(AC3)&gt;0,", "&amp;A3&amp;"-"&amp;AC$2,"")&amp;IF(N(AD3)&gt;0,", "&amp;A3&amp;"-"&amp;AD$2,"")&amp;IF(N(AE3)&gt;0,", "&amp;A3&amp;"-"&amp;AE$2,"")&amp;IF(N(AF3)&gt;0,", "&amp;A3&amp;"-"&amp;AF$2,"")&amp;IF(N(AG3)&gt;0,", "&amp;A3&amp;"-"&amp;AG$2,"")&amp;IF(N(AH3)&gt;0,", "&amp;A3&amp;"-"&amp;AH$2,"")&amp;IF(N(AI3)&gt;0,", "&amp;A3&amp;"-"&amp;AI$2,"")&amp;IF(N(AJ3)&gt;0,", "&amp;A3&amp;"-"&amp;AJ$2,""),3,999))</f>
        <v>AKO-GV-001-NATURAL</v>
      </c>
      <c r="AN3" s="81" t="n">
        <v>1</v>
      </c>
      <c r="AO3" s="88"/>
      <c r="AP3" s="89" t="str">
        <f aca="false">IF(AO3="","",ROUND(AO3/(1+Справочники!$B$13),2))</f>
        <v/>
      </c>
      <c r="AQ3" s="90" t="str">
        <f aca="false" t="array" ref="AQ3:AQ3">IF(AP3="","",AP3*INDEX(Справочники!$B$4:$B$7,MATCH("RUB",Справочники!$A$4:$A$7,0)))</f>
        <v/>
      </c>
      <c r="AR3" s="90" t="str">
        <f aca="false">IF(AQ3="","",ROUND(AQ3*(1+Справочники!$B$12),0))</f>
        <v/>
      </c>
      <c r="AS3" s="90" t="str">
        <f aca="false">IF(AR3="","",ROUND(AR3*(1-Справочники!$B$11),0))</f>
        <v/>
      </c>
      <c r="AT3" s="88" t="n">
        <v>470</v>
      </c>
      <c r="AU3" s="90" t="n">
        <f aca="false">IF(AT3="","",ROUND(AT3/(1+Справочники!$B$12),0))</f>
        <v>405</v>
      </c>
      <c r="AV3" s="90" t="n">
        <f aca="false">IF(AT3="","",ROUND(AT3*(1-Справочники!$B$15),0))</f>
        <v>456</v>
      </c>
      <c r="AW3" s="90" t="n">
        <f aca="false">IF(AT3="","",ROUND(AT3*(1-Справочники!$B$16),0))</f>
        <v>442</v>
      </c>
      <c r="AX3" s="90" t="n">
        <f aca="false">IF(AT3="","",ROUND(AT3*(1-Справочники!$B$17),0))</f>
        <v>428</v>
      </c>
      <c r="AY3" s="90" t="n">
        <f aca="false">IF(AT3="","",ROUND(AT3*(1-Справочники!$B$18),0))</f>
        <v>414</v>
      </c>
      <c r="AZ3" s="90" t="n">
        <f aca="false">IF(AT3="","",ROUND(AT3*(1-Справочники!$B$19),0))</f>
        <v>400</v>
      </c>
      <c r="BA3" s="81" t="n">
        <v>500</v>
      </c>
      <c r="BB3" s="81" t="s">
        <v>147</v>
      </c>
      <c r="BC3" s="81" t="s">
        <v>291</v>
      </c>
      <c r="BD3" s="81"/>
      <c r="BE3" s="91" t="n">
        <v>1</v>
      </c>
      <c r="BF3" s="81" t="s">
        <v>103</v>
      </c>
      <c r="BG3" s="89" t="n">
        <f aca="false" t="array" ref="BG3:BG3">IF(BF3="","",IFERROR(INDEX(Справочники!$B$4:$B$7,MATCH(BF3,Справочники!$A$4:$A$7,0)),""))</f>
        <v>68.5</v>
      </c>
      <c r="BH3" s="90" t="n">
        <f aca="false">IF(N(BN3)&gt;0,ROUND(SUMIF(ЗАКАЗЫ!$F$3:$F$500,$A3,ЗАКАЗЫ!$Y$3:$Y$500)/BN3,0),IF(OR(BE3="",BG3=""),"",ROUND(BE3*BG3*(1+Справочники!$B$10),0)))</f>
        <v>85</v>
      </c>
      <c r="BI3" s="92" t="n">
        <f aca="false">IF(OR(AU3="",BH3="",AU3=0),"",(AU3-BH3)/AU3)</f>
        <v>0.790123456790123</v>
      </c>
      <c r="BJ3" s="81" t="n">
        <v>14</v>
      </c>
      <c r="BK3" s="83" t="s">
        <v>783</v>
      </c>
      <c r="BL3" s="43" t="str">
        <f aca="false">IFERROR(INDEX(ЗАКАЗЫ!$N$3:$N$500,MATCH($A3,ЗАКАЗЫ!$F$3:$F$500,0)),"")</f>
        <v>7616 99 900 8</v>
      </c>
      <c r="BM3" s="8" t="n">
        <f aca="false">IF(BL3="","",IFERROR(VLOOKUP(BL3,'ТН ВЭД'!$A$4:$C$40,3,0),""))</f>
        <v>0.09</v>
      </c>
      <c r="BN3" s="7" t="n">
        <f aca="false">IF(COUNTIF(ЗАКАЗЫ!$F$3:$F$500,$A3)=0,"",SUMIF(ЗАКАЗЫ!$F$3:$F$500,$A3,ЗАКАЗЫ!$J$3:$J$500))</f>
        <v>500</v>
      </c>
      <c r="BO3" s="7" t="n">
        <f aca="false">IF(BN3="","",SUMIF(ЗАКАЗЫ!$F$3:$F$500,$A3,ЗАКАЗЫ!$AL$3:$AL$500))</f>
        <v>0</v>
      </c>
      <c r="BP3" s="7" t="n">
        <f aca="false">IF(BN3="","",BN3-BO3)</f>
        <v>500</v>
      </c>
      <c r="BQ3" s="55" t="str">
        <f aca="false">IF(BN3="","",IF(BO3&gt;=BN3,"На складе",IF(BO3&gt;0,"Частично","Ждём")))</f>
        <v>Ждём</v>
      </c>
      <c r="BR3" s="43" t="s">
        <v>784</v>
      </c>
      <c r="BS3" s="47" t="n">
        <f aca="false">IF(BN3="","",IF(_xlfn.MAXIFS(ЗАКАЗЫ!$AK$3:$AK$500,ЗАКАЗЫ!$F$3:$F$500,$A3)=0,"",_xlfn.MAXIFS(ЗАКАЗЫ!$AK$3:$AK$500,ЗАКАЗЫ!$F$3:$F$500,$A3)))</f>
        <v>46346</v>
      </c>
    </row>
    <row r="4" customFormat="false" ht="79.5" hidden="false" customHeight="true" outlineLevel="0" collapsed="false">
      <c r="A4" s="80" t="s">
        <v>224</v>
      </c>
      <c r="B4" s="81"/>
      <c r="C4" s="81"/>
      <c r="D4" s="81"/>
      <c r="E4" s="83" t="s">
        <v>785</v>
      </c>
      <c r="F4" s="81"/>
      <c r="G4" s="83" t="s">
        <v>786</v>
      </c>
      <c r="H4" s="83" t="s">
        <v>787</v>
      </c>
      <c r="I4" s="84" t="str">
        <f aca="false">IF(E4="","",A4&amp;"_1.jpg")</f>
        <v>AKO-GV-002_1.jpg</v>
      </c>
      <c r="J4" s="84" t="str">
        <f aca="false">IF(E4="","",A4&amp;"_2.jpg; "&amp;A4&amp;"_3.jpg")</f>
        <v>AKO-GV-002_2.jpg; AKO-GV-002_3.jpg</v>
      </c>
      <c r="K4" s="84" t="str">
        <f aca="false">IF(E4="","",A4&amp;"_schema.jpg")</f>
        <v>AKO-GV-002_schema.jpg</v>
      </c>
      <c r="L4" s="81"/>
      <c r="M4" s="81"/>
      <c r="N4" s="81" t="s">
        <v>85</v>
      </c>
      <c r="O4" s="81" t="n">
        <v>16</v>
      </c>
      <c r="P4" s="81"/>
      <c r="Q4" s="81"/>
      <c r="R4" s="81"/>
      <c r="S4" s="81"/>
      <c r="T4" s="81"/>
      <c r="U4" s="81"/>
      <c r="V4" s="81" t="s">
        <v>96</v>
      </c>
      <c r="W4" s="81"/>
      <c r="X4" s="81" t="s">
        <v>788</v>
      </c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 t="n">
        <v>5000</v>
      </c>
      <c r="AJ4" s="85"/>
      <c r="AK4" s="86" t="n">
        <f aca="false">IF(SUM(Y4:AJ4)=0,"",SUM(Y4:AJ4))</f>
        <v>5000</v>
      </c>
      <c r="AL4" s="84" t="str">
        <f aca="false">MID(IF(N(Y4)&gt;0,", "&amp;Y$2,"")&amp;IF(N(Z4)&gt;0,", "&amp;Z$2,"")&amp;IF(N(AA4)&gt;0,", "&amp;AA$2,"")&amp;IF(N(AB4)&gt;0,", "&amp;AB$2,"")&amp;IF(N(AC4)&gt;0,", "&amp;AC$2,"")&amp;IF(N(AD4)&gt;0,", "&amp;AD$2,"")&amp;IF(N(AE4)&gt;0,", "&amp;AE$2,"")&amp;IF(N(AF4)&gt;0,", "&amp;AF$2,"")&amp;IF(N(AG4)&gt;0,", "&amp;AG$2,"")&amp;IF(N(AH4)&gt;0,", "&amp;AH$2,"")&amp;IF(N(AI4)&gt;0,", "&amp;AI$2,"")&amp;IF(N(AJ4)&gt;0,", "&amp;AJ$2,""),3,999)</f>
        <v>NATURAL</v>
      </c>
      <c r="AM4" s="87" t="str">
        <f aca="false">IF(E4="","",MID(IF(N(Y4)&gt;0,", "&amp;A4&amp;"-"&amp;Y$2,"")&amp;IF(N(Z4)&gt;0,", "&amp;A4&amp;"-"&amp;Z$2,"")&amp;IF(N(AA4)&gt;0,", "&amp;A4&amp;"-"&amp;AA$2,"")&amp;IF(N(AB4)&gt;0,", "&amp;A4&amp;"-"&amp;AB$2,"")&amp;IF(N(AC4)&gt;0,", "&amp;A4&amp;"-"&amp;AC$2,"")&amp;IF(N(AD4)&gt;0,", "&amp;A4&amp;"-"&amp;AD$2,"")&amp;IF(N(AE4)&gt;0,", "&amp;A4&amp;"-"&amp;AE$2,"")&amp;IF(N(AF4)&gt;0,", "&amp;A4&amp;"-"&amp;AF$2,"")&amp;IF(N(AG4)&gt;0,", "&amp;A4&amp;"-"&amp;AG$2,"")&amp;IF(N(AH4)&gt;0,", "&amp;A4&amp;"-"&amp;AH$2,"")&amp;IF(N(AI4)&gt;0,", "&amp;A4&amp;"-"&amp;AI$2,"")&amp;IF(N(AJ4)&gt;0,", "&amp;A4&amp;"-"&amp;AJ$2,""),3,999))</f>
        <v>AKO-GV-002-NATURAL</v>
      </c>
      <c r="AN4" s="81" t="n">
        <v>1</v>
      </c>
      <c r="AO4" s="88" t="n">
        <v>100.5</v>
      </c>
      <c r="AP4" s="89" t="n">
        <f aca="false">IF(AO4="","",ROUND(AO4/(1+Справочники!$B$13),2))</f>
        <v>100.5</v>
      </c>
      <c r="AQ4" s="90" t="n">
        <f aca="false" t="array" ref="AQ4:AQ4">IF(AP4="","",AP4*INDEX(Справочники!$B$4:$B$7,MATCH("RUB",Справочники!$A$4:$A$7,0)))</f>
        <v>532.65</v>
      </c>
      <c r="AR4" s="90" t="n">
        <f aca="false">IF(AQ4="","",ROUND(AQ4*(1+Справочники!$B$12),0))</f>
        <v>618</v>
      </c>
      <c r="AS4" s="90" t="n">
        <f aca="false">IF(AR4="","",ROUND(AR4*(1-Справочники!$B$11),0))</f>
        <v>569</v>
      </c>
      <c r="AT4" s="88" t="n">
        <v>400</v>
      </c>
      <c r="AU4" s="90" t="n">
        <f aca="false">IF(AT4="","",ROUND(AT4/(1+Справочники!$B$12),0))</f>
        <v>345</v>
      </c>
      <c r="AV4" s="90" t="n">
        <f aca="false">IF(AT4="","",ROUND(AT4*(1-Справочники!$B$15),0))</f>
        <v>388</v>
      </c>
      <c r="AW4" s="90" t="n">
        <f aca="false">IF(AT4="","",ROUND(AT4*(1-Справочники!$B$16),0))</f>
        <v>376</v>
      </c>
      <c r="AX4" s="90" t="n">
        <f aca="false">IF(AT4="","",ROUND(AT4*(1-Справочники!$B$17),0))</f>
        <v>364</v>
      </c>
      <c r="AY4" s="90" t="n">
        <f aca="false">IF(AT4="","",ROUND(AT4*(1-Справочники!$B$18),0))</f>
        <v>352</v>
      </c>
      <c r="AZ4" s="90" t="n">
        <f aca="false">IF(AT4="","",ROUND(AT4*(1-Справочники!$B$19),0))</f>
        <v>340</v>
      </c>
      <c r="BA4" s="81" t="n">
        <v>3000</v>
      </c>
      <c r="BB4" s="81" t="s">
        <v>147</v>
      </c>
      <c r="BC4" s="81" t="s">
        <v>326</v>
      </c>
      <c r="BD4" s="81"/>
      <c r="BE4" s="91" t="n">
        <v>1.98</v>
      </c>
      <c r="BF4" s="81" t="s">
        <v>103</v>
      </c>
      <c r="BG4" s="89" t="n">
        <f aca="false" t="array" ref="BG4:BG4">IF(BF4="","",IFERROR(INDEX(Справочники!$B$4:$B$7,MATCH(BF4,Справочники!$A$4:$A$7,0)),""))</f>
        <v>68.5</v>
      </c>
      <c r="BH4" s="90" t="n">
        <f aca="false">IF(N(BN4)&gt;0,ROUND(SUMIF(ЗАКАЗЫ!$F$3:$F$500,$A4,ЗАКАЗЫ!$Y$3:$Y$500)/BN4,0),IF(OR(BE4="",BG4=""),"",ROUND(BE4*BG4*(1+Справочники!$B$10),0)))</f>
        <v>168</v>
      </c>
      <c r="BI4" s="92" t="n">
        <f aca="false">IF(OR(AU4="",BH4="",AU4=0),"",(AU4-BH4)/AU4)</f>
        <v>0.51304347826087</v>
      </c>
      <c r="BJ4" s="81" t="n">
        <v>14</v>
      </c>
      <c r="BK4" s="83" t="s">
        <v>789</v>
      </c>
      <c r="BL4" s="43" t="str">
        <f aca="false">IFERROR(INDEX(ЗАКАЗЫ!$N$3:$N$500,MATCH($A4,ЗАКАЗЫ!$F$3:$F$500,0)),"")</f>
        <v>7616 99 900 8</v>
      </c>
      <c r="BM4" s="8" t="n">
        <f aca="false">IF(BL4="","",IFERROR(VLOOKUP(BL4,'ТН ВЭД'!$A$4:$C$40,3,0),""))</f>
        <v>0.09</v>
      </c>
      <c r="BN4" s="7" t="n">
        <f aca="false">IF(COUNTIF(ЗАКАЗЫ!$F$3:$F$500,$A4)=0,"",SUMIF(ЗАКАЗЫ!$F$3:$F$500,$A4,ЗАКАЗЫ!$J$3:$J$500))</f>
        <v>5000</v>
      </c>
      <c r="BO4" s="7" t="n">
        <f aca="false">IF(BN4="","",SUMIF(ЗАКАЗЫ!$F$3:$F$500,$A4,ЗАКАЗЫ!$AL$3:$AL$500))</f>
        <v>0</v>
      </c>
      <c r="BP4" s="7" t="n">
        <f aca="false">IF(BN4="","",BN4-BO4)</f>
        <v>5000</v>
      </c>
      <c r="BQ4" s="55" t="str">
        <f aca="false">IF(BN4="","",IF(BO4&gt;=BN4,"На складе",IF(BO4&gt;0,"Частично","Ждём")))</f>
        <v>Ждём</v>
      </c>
      <c r="BR4" s="43" t="s">
        <v>790</v>
      </c>
      <c r="BS4" s="47" t="n">
        <f aca="false">IF(BN4="","",IF(_xlfn.MAXIFS(ЗАКАЗЫ!$AK$3:$AK$500,ЗАКАЗЫ!$F$3:$F$500,$A4)=0,"",_xlfn.MAXIFS(ЗАКАЗЫ!$AK$3:$AK$500,ЗАКАЗЫ!$F$3:$F$500,$A4)))</f>
        <v>46372</v>
      </c>
    </row>
    <row r="5" customFormat="false" ht="79.5" hidden="false" customHeight="true" outlineLevel="0" collapsed="false">
      <c r="A5" s="80" t="s">
        <v>269</v>
      </c>
      <c r="B5" s="81"/>
      <c r="C5" s="81"/>
      <c r="D5" s="81"/>
      <c r="E5" s="83" t="s">
        <v>791</v>
      </c>
      <c r="F5" s="81"/>
      <c r="G5" s="83" t="s">
        <v>792</v>
      </c>
      <c r="H5" s="83" t="s">
        <v>793</v>
      </c>
      <c r="I5" s="84" t="str">
        <f aca="false">IF(E5="","",A5&amp;"_1.jpg")</f>
        <v>AKO-GV-003_1.jpg</v>
      </c>
      <c r="J5" s="84" t="str">
        <f aca="false">IF(E5="","",A5&amp;"_2.jpg; "&amp;A5&amp;"_3.jpg")</f>
        <v>AKO-GV-003_2.jpg; AKO-GV-003_3.jpg</v>
      </c>
      <c r="K5" s="84" t="str">
        <f aca="false">IF(E5="","",A5&amp;"_schema.jpg")</f>
        <v>AKO-GV-003_schema.jpg</v>
      </c>
      <c r="L5" s="81"/>
      <c r="M5" s="81"/>
      <c r="N5" s="81" t="s">
        <v>85</v>
      </c>
      <c r="O5" s="81" t="n">
        <v>16</v>
      </c>
      <c r="P5" s="81"/>
      <c r="Q5" s="81"/>
      <c r="R5" s="81"/>
      <c r="S5" s="81"/>
      <c r="T5" s="81"/>
      <c r="U5" s="81"/>
      <c r="V5" s="81" t="s">
        <v>96</v>
      </c>
      <c r="W5" s="81"/>
      <c r="X5" s="81" t="s">
        <v>794</v>
      </c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 t="n">
        <v>1000</v>
      </c>
      <c r="AJ5" s="85"/>
      <c r="AK5" s="86" t="n">
        <f aca="false">IF(SUM(Y5:AJ5)=0,"",SUM(Y5:AJ5))</f>
        <v>1000</v>
      </c>
      <c r="AL5" s="84" t="str">
        <f aca="false">MID(IF(N(Y5)&gt;0,", "&amp;Y$2,"")&amp;IF(N(Z5)&gt;0,", "&amp;Z$2,"")&amp;IF(N(AA5)&gt;0,", "&amp;AA$2,"")&amp;IF(N(AB5)&gt;0,", "&amp;AB$2,"")&amp;IF(N(AC5)&gt;0,", "&amp;AC$2,"")&amp;IF(N(AD5)&gt;0,", "&amp;AD$2,"")&amp;IF(N(AE5)&gt;0,", "&amp;AE$2,"")&amp;IF(N(AF5)&gt;0,", "&amp;AF$2,"")&amp;IF(N(AG5)&gt;0,", "&amp;AG$2,"")&amp;IF(N(AH5)&gt;0,", "&amp;AH$2,"")&amp;IF(N(AI5)&gt;0,", "&amp;AI$2,"")&amp;IF(N(AJ5)&gt;0,", "&amp;AJ$2,""),3,999)</f>
        <v>NATURAL</v>
      </c>
      <c r="AM5" s="87" t="str">
        <f aca="false">IF(E5="","",MID(IF(N(Y5)&gt;0,", "&amp;A5&amp;"-"&amp;Y$2,"")&amp;IF(N(Z5)&gt;0,", "&amp;A5&amp;"-"&amp;Z$2,"")&amp;IF(N(AA5)&gt;0,", "&amp;A5&amp;"-"&amp;AA$2,"")&amp;IF(N(AB5)&gt;0,", "&amp;A5&amp;"-"&amp;AB$2,"")&amp;IF(N(AC5)&gt;0,", "&amp;A5&amp;"-"&amp;AC$2,"")&amp;IF(N(AD5)&gt;0,", "&amp;A5&amp;"-"&amp;AD$2,"")&amp;IF(N(AE5)&gt;0,", "&amp;A5&amp;"-"&amp;AE$2,"")&amp;IF(N(AF5)&gt;0,", "&amp;A5&amp;"-"&amp;AF$2,"")&amp;IF(N(AG5)&gt;0,", "&amp;A5&amp;"-"&amp;AG$2,"")&amp;IF(N(AH5)&gt;0,", "&amp;A5&amp;"-"&amp;AH$2,"")&amp;IF(N(AI5)&gt;0,", "&amp;A5&amp;"-"&amp;AI$2,"")&amp;IF(N(AJ5)&gt;0,", "&amp;A5&amp;"-"&amp;AJ$2,""),3,999))</f>
        <v>AKO-GV-003-NATURAL</v>
      </c>
      <c r="AN5" s="81" t="n">
        <v>1</v>
      </c>
      <c r="AO5" s="88"/>
      <c r="AP5" s="89" t="str">
        <f aca="false">IF(AO5="","",ROUND(AO5/(1+Справочники!$B$13),2))</f>
        <v/>
      </c>
      <c r="AQ5" s="90" t="str">
        <f aca="false" t="array" ref="AQ5:AQ5">IF(AP5="","",AP5*INDEX(Справочники!$B$4:$B$7,MATCH("RUB",Справочники!$A$4:$A$7,0)))</f>
        <v/>
      </c>
      <c r="AR5" s="90" t="str">
        <f aca="false">IF(AQ5="","",ROUND(AQ5*(1+Справочники!$B$12),0))</f>
        <v/>
      </c>
      <c r="AS5" s="90" t="str">
        <f aca="false">IF(AR5="","",ROUND(AR5*(1-Справочники!$B$11),0))</f>
        <v/>
      </c>
      <c r="AT5" s="93" t="n">
        <f aca="false">IF(BH5="","",IF(AS5="",ROUNDUP(BH5/(1-Справочники!$B$23)*(1+Справочники!$B$12),-1),MAX(AS5,ROUNDUP(BH5/(1-Справочники!$B$24)*(1+Справочники!$B$12),-1))))</f>
        <v>320</v>
      </c>
      <c r="AU5" s="90" t="n">
        <f aca="false">IF(AT5="","",ROUND(AT5/(1+Справочники!$B$12),0))</f>
        <v>276</v>
      </c>
      <c r="AV5" s="90" t="n">
        <f aca="false">IF(AT5="","",ROUND(AT5*(1-Справочники!$B$15),0))</f>
        <v>310</v>
      </c>
      <c r="AW5" s="90" t="n">
        <f aca="false">IF(AT5="","",ROUND(AT5*(1-Справочники!$B$16),0))</f>
        <v>301</v>
      </c>
      <c r="AX5" s="90" t="n">
        <f aca="false">IF(AT5="","",ROUND(AT5*(1-Справочники!$B$17),0))</f>
        <v>291</v>
      </c>
      <c r="AY5" s="90" t="n">
        <f aca="false">IF(AT5="","",ROUND(AT5*(1-Справочники!$B$18),0))</f>
        <v>282</v>
      </c>
      <c r="AZ5" s="90" t="n">
        <f aca="false">IF(AT5="","",ROUND(AT5*(1-Справочники!$B$19),0))</f>
        <v>272</v>
      </c>
      <c r="BA5" s="81" t="n">
        <v>1000</v>
      </c>
      <c r="BB5" s="81" t="s">
        <v>147</v>
      </c>
      <c r="BC5" s="81" t="s">
        <v>270</v>
      </c>
      <c r="BD5" s="81"/>
      <c r="BE5" s="91" t="n">
        <v>1.6</v>
      </c>
      <c r="BF5" s="81" t="s">
        <v>103</v>
      </c>
      <c r="BG5" s="89" t="n">
        <f aca="false" t="array" ref="BG5:BG5">IF(BF5="","",IFERROR(INDEX(Справочники!$B$4:$B$7,MATCH(BF5,Справочники!$A$4:$A$7,0)),""))</f>
        <v>68.5</v>
      </c>
      <c r="BH5" s="90" t="n">
        <f aca="false">IF(N(BN5)&gt;0,ROUND(SUMIF(ЗАКАЗЫ!$F$3:$F$500,$A5,ЗАКАЗЫ!$Y$3:$Y$500)/BN5,0),IF(OR(BE5="",BG5=""),"",ROUND(BE5*BG5*(1+Справочники!$B$10),0)))</f>
        <v>136</v>
      </c>
      <c r="BI5" s="92" t="n">
        <f aca="false">IF(OR(AU5="",BH5="",AU5=0),"",(AU5-BH5)/AU5)</f>
        <v>0.507246376811594</v>
      </c>
      <c r="BJ5" s="81" t="n">
        <v>4</v>
      </c>
      <c r="BK5" s="83" t="s">
        <v>783</v>
      </c>
      <c r="BL5" s="43" t="str">
        <f aca="false">IFERROR(INDEX(ЗАКАЗЫ!$N$3:$N$500,MATCH($A5,ЗАКАЗЫ!$F$3:$F$500,0)),"")</f>
        <v>7616 99 900 8</v>
      </c>
      <c r="BM5" s="8" t="n">
        <f aca="false">IF(BL5="","",IFERROR(VLOOKUP(BL5,'ТН ВЭД'!$A$4:$C$40,3,0),""))</f>
        <v>0.09</v>
      </c>
      <c r="BN5" s="7" t="n">
        <f aca="false">IF(COUNTIF(ЗАКАЗЫ!$F$3:$F$500,$A5)=0,"",SUMIF(ЗАКАЗЫ!$F$3:$F$500,$A5,ЗАКАЗЫ!$J$3:$J$500))</f>
        <v>1000</v>
      </c>
      <c r="BO5" s="7" t="n">
        <f aca="false">IF(BN5="","",SUMIF(ЗАКАЗЫ!$F$3:$F$500,$A5,ЗАКАЗЫ!$AL$3:$AL$500))</f>
        <v>0</v>
      </c>
      <c r="BP5" s="7" t="n">
        <f aca="false">IF(BN5="","",BN5-BO5)</f>
        <v>1000</v>
      </c>
      <c r="BQ5" s="55" t="str">
        <f aca="false">IF(BN5="","",IF(BO5&gt;=BN5,"На складе",IF(BO5&gt;0,"Частично","Ждём")))</f>
        <v>Ждём</v>
      </c>
      <c r="BR5" s="43" t="s">
        <v>795</v>
      </c>
      <c r="BS5" s="47" t="n">
        <f aca="false">IF(BN5="","",IF(_xlfn.MAXIFS(ЗАКАЗЫ!$AK$3:$AK$500,ЗАКАЗЫ!$F$3:$F$500,$A5)=0,"",_xlfn.MAXIFS(ЗАКАЗЫ!$AK$3:$AK$500,ЗАКАЗЫ!$F$3:$F$500,$A5)))</f>
        <v>46346</v>
      </c>
    </row>
    <row r="6" customFormat="false" ht="79.5" hidden="false" customHeight="true" outlineLevel="0" collapsed="false">
      <c r="A6" s="80" t="s">
        <v>328</v>
      </c>
      <c r="B6" s="81"/>
      <c r="C6" s="81"/>
      <c r="D6" s="81"/>
      <c r="E6" s="83" t="s">
        <v>796</v>
      </c>
      <c r="F6" s="81"/>
      <c r="G6" s="83" t="s">
        <v>797</v>
      </c>
      <c r="H6" s="83" t="s">
        <v>798</v>
      </c>
      <c r="I6" s="84" t="str">
        <f aca="false">IF(E6="","",A6&amp;"_1.jpg")</f>
        <v>AKO-GV-004_1.jpg</v>
      </c>
      <c r="J6" s="84" t="str">
        <f aca="false">IF(E6="","",A6&amp;"_2.jpg; "&amp;A6&amp;"_3.jpg")</f>
        <v>AKO-GV-004_2.jpg; AKO-GV-004_3.jpg</v>
      </c>
      <c r="K6" s="84" t="str">
        <f aca="false">IF(E6="","",A6&amp;"_schema.jpg")</f>
        <v>AKO-GV-004_schema.jpg</v>
      </c>
      <c r="L6" s="81"/>
      <c r="M6" s="81"/>
      <c r="N6" s="81" t="s">
        <v>85</v>
      </c>
      <c r="O6" s="81" t="n">
        <v>16</v>
      </c>
      <c r="P6" s="81"/>
      <c r="Q6" s="81"/>
      <c r="R6" s="81"/>
      <c r="S6" s="81"/>
      <c r="T6" s="81"/>
      <c r="U6" s="81"/>
      <c r="V6" s="81" t="s">
        <v>96</v>
      </c>
      <c r="W6" s="81"/>
      <c r="X6" s="81" t="s">
        <v>799</v>
      </c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 t="n">
        <v>100</v>
      </c>
      <c r="AJ6" s="85"/>
      <c r="AK6" s="86" t="n">
        <f aca="false">IF(SUM(Y6:AJ6)=0,"",SUM(Y6:AJ6))</f>
        <v>100</v>
      </c>
      <c r="AL6" s="84" t="str">
        <f aca="false">MID(IF(N(Y6)&gt;0,", "&amp;Y$2,"")&amp;IF(N(Z6)&gt;0,", "&amp;Z$2,"")&amp;IF(N(AA6)&gt;0,", "&amp;AA$2,"")&amp;IF(N(AB6)&gt;0,", "&amp;AB$2,"")&amp;IF(N(AC6)&gt;0,", "&amp;AC$2,"")&amp;IF(N(AD6)&gt;0,", "&amp;AD$2,"")&amp;IF(N(AE6)&gt;0,", "&amp;AE$2,"")&amp;IF(N(AF6)&gt;0,", "&amp;AF$2,"")&amp;IF(N(AG6)&gt;0,", "&amp;AG$2,"")&amp;IF(N(AH6)&gt;0,", "&amp;AH$2,"")&amp;IF(N(AI6)&gt;0,", "&amp;AI$2,"")&amp;IF(N(AJ6)&gt;0,", "&amp;AJ$2,""),3,999)</f>
        <v>NATURAL</v>
      </c>
      <c r="AM6" s="87" t="str">
        <f aca="false">IF(E6="","",MID(IF(N(Y6)&gt;0,", "&amp;A6&amp;"-"&amp;Y$2,"")&amp;IF(N(Z6)&gt;0,", "&amp;A6&amp;"-"&amp;Z$2,"")&amp;IF(N(AA6)&gt;0,", "&amp;A6&amp;"-"&amp;AA$2,"")&amp;IF(N(AB6)&gt;0,", "&amp;A6&amp;"-"&amp;AB$2,"")&amp;IF(N(AC6)&gt;0,", "&amp;A6&amp;"-"&amp;AC$2,"")&amp;IF(N(AD6)&gt;0,", "&amp;A6&amp;"-"&amp;AD$2,"")&amp;IF(N(AE6)&gt;0,", "&amp;A6&amp;"-"&amp;AE$2,"")&amp;IF(N(AF6)&gt;0,", "&amp;A6&amp;"-"&amp;AF$2,"")&amp;IF(N(AG6)&gt;0,", "&amp;A6&amp;"-"&amp;AG$2,"")&amp;IF(N(AH6)&gt;0,", "&amp;A6&amp;"-"&amp;AH$2,"")&amp;IF(N(AI6)&gt;0,", "&amp;A6&amp;"-"&amp;AI$2,"")&amp;IF(N(AJ6)&gt;0,", "&amp;A6&amp;"-"&amp;AJ$2,""),3,999))</f>
        <v>AKO-GV-004-NATURAL</v>
      </c>
      <c r="AN6" s="81" t="n">
        <v>1</v>
      </c>
      <c r="AO6" s="88" t="n">
        <v>215</v>
      </c>
      <c r="AP6" s="89" t="n">
        <f aca="false">IF(AO6="","",ROUND(AO6/(1+Справочники!$B$13),2))</f>
        <v>215</v>
      </c>
      <c r="AQ6" s="90" t="n">
        <f aca="false" t="array" ref="AQ6:AQ6">IF(AP6="","",AP6*INDEX(Справочники!$B$4:$B$7,MATCH("RUB",Справочники!$A$4:$A$7,0)))</f>
        <v>1139.5</v>
      </c>
      <c r="AR6" s="90" t="n">
        <f aca="false">IF(AQ6="","",ROUND(AQ6*(1+Справочники!$B$12),0))</f>
        <v>1322</v>
      </c>
      <c r="AS6" s="90" t="n">
        <f aca="false">IF(AR6="","",ROUND(AR6*(1-Справочники!$B$11),0))</f>
        <v>1216</v>
      </c>
      <c r="AT6" s="88" t="n">
        <v>750</v>
      </c>
      <c r="AU6" s="90" t="n">
        <f aca="false">IF(AT6="","",ROUND(AT6/(1+Справочники!$B$12),0))</f>
        <v>647</v>
      </c>
      <c r="AV6" s="90" t="n">
        <f aca="false">IF(AT6="","",ROUND(AT6*(1-Справочники!$B$15),0))</f>
        <v>728</v>
      </c>
      <c r="AW6" s="90" t="n">
        <f aca="false">IF(AT6="","",ROUND(AT6*(1-Справочники!$B$16),0))</f>
        <v>705</v>
      </c>
      <c r="AX6" s="90" t="n">
        <f aca="false">IF(AT6="","",ROUND(AT6*(1-Справочники!$B$17),0))</f>
        <v>683</v>
      </c>
      <c r="AY6" s="90" t="n">
        <f aca="false">IF(AT6="","",ROUND(AT6*(1-Справочники!$B$18),0))</f>
        <v>660</v>
      </c>
      <c r="AZ6" s="90" t="n">
        <f aca="false">IF(AT6="","",ROUND(AT6*(1-Справочники!$B$19),0))</f>
        <v>638</v>
      </c>
      <c r="BA6" s="81" t="n">
        <v>100</v>
      </c>
      <c r="BB6" s="81" t="s">
        <v>147</v>
      </c>
      <c r="BC6" s="81" t="s">
        <v>329</v>
      </c>
      <c r="BD6" s="81"/>
      <c r="BE6" s="91" t="n">
        <v>2.5</v>
      </c>
      <c r="BF6" s="81" t="s">
        <v>103</v>
      </c>
      <c r="BG6" s="89" t="n">
        <f aca="false" t="array" ref="BG6:BG6">IF(BF6="","",IFERROR(INDEX(Справочники!$B$4:$B$7,MATCH(BF6,Справочники!$A$4:$A$7,0)),""))</f>
        <v>68.5</v>
      </c>
      <c r="BH6" s="90" t="n">
        <f aca="false">IF(N(BN6)&gt;0,ROUND(SUMIF(ЗАКАЗЫ!$F$3:$F$500,$A6,ЗАКАЗЫ!$Y$3:$Y$500)/BN6,0),IF(OR(BE6="",BG6=""),"",ROUND(BE6*BG6*(1+Справочники!$B$10),0)))</f>
        <v>212</v>
      </c>
      <c r="BI6" s="92" t="n">
        <f aca="false">IF(OR(AU6="",BH6="",AU6=0),"",(AU6-BH6)/AU6)</f>
        <v>0.672333848531685</v>
      </c>
      <c r="BJ6" s="81" t="n">
        <v>14</v>
      </c>
      <c r="BK6" s="83" t="s">
        <v>800</v>
      </c>
      <c r="BL6" s="43" t="str">
        <f aca="false">IFERROR(INDEX(ЗАКАЗЫ!$N$3:$N$500,MATCH($A6,ЗАКАЗЫ!$F$3:$F$500,0)),"")</f>
        <v>7616 99 900 8</v>
      </c>
      <c r="BM6" s="8" t="n">
        <f aca="false">IF(BL6="","",IFERROR(VLOOKUP(BL6,'ТН ВЭД'!$A$4:$C$40,3,0),""))</f>
        <v>0.09</v>
      </c>
      <c r="BN6" s="7" t="n">
        <f aca="false">IF(COUNTIF(ЗАКАЗЫ!$F$3:$F$500,$A6)=0,"",SUMIF(ЗАКАЗЫ!$F$3:$F$500,$A6,ЗАКАЗЫ!$J$3:$J$500))</f>
        <v>100</v>
      </c>
      <c r="BO6" s="7" t="n">
        <f aca="false">IF(BN6="","",SUMIF(ЗАКАЗЫ!$F$3:$F$500,$A6,ЗАКАЗЫ!$AL$3:$AL$500))</f>
        <v>0</v>
      </c>
      <c r="BP6" s="7" t="n">
        <f aca="false">IF(BN6="","",BN6-BO6)</f>
        <v>100</v>
      </c>
      <c r="BQ6" s="55" t="str">
        <f aca="false">IF(BN6="","",IF(BO6&gt;=BN6,"На складе",IF(BO6&gt;0,"Частично","Ждём")))</f>
        <v>Ждём</v>
      </c>
      <c r="BR6" s="43" t="s">
        <v>801</v>
      </c>
      <c r="BS6" s="47" t="n">
        <f aca="false">IF(BN6="","",IF(_xlfn.MAXIFS(ЗАКАЗЫ!$AK$3:$AK$500,ЗАКАЗЫ!$F$3:$F$500,$A6)=0,"",_xlfn.MAXIFS(ЗАКАЗЫ!$AK$3:$AK$500,ЗАКАЗЫ!$F$3:$F$500,$A6)))</f>
        <v>46372</v>
      </c>
    </row>
    <row r="7" customFormat="false" ht="79.5" hidden="false" customHeight="true" outlineLevel="0" collapsed="false">
      <c r="A7" s="80" t="s">
        <v>330</v>
      </c>
      <c r="B7" s="81"/>
      <c r="C7" s="81"/>
      <c r="D7" s="81"/>
      <c r="E7" s="83" t="s">
        <v>802</v>
      </c>
      <c r="F7" s="81"/>
      <c r="G7" s="83" t="s">
        <v>803</v>
      </c>
      <c r="H7" s="83" t="s">
        <v>804</v>
      </c>
      <c r="I7" s="84" t="str">
        <f aca="false">IF(E7="","",A7&amp;"_1.jpg")</f>
        <v>AKO-GV-005_1.jpg</v>
      </c>
      <c r="J7" s="84" t="str">
        <f aca="false">IF(E7="","",A7&amp;"_2.jpg; "&amp;A7&amp;"_3.jpg")</f>
        <v>AKO-GV-005_2.jpg; AKO-GV-005_3.jpg</v>
      </c>
      <c r="K7" s="84" t="str">
        <f aca="false">IF(E7="","",A7&amp;"_schema.jpg")</f>
        <v>AKO-GV-005_schema.jpg</v>
      </c>
      <c r="L7" s="81"/>
      <c r="M7" s="81"/>
      <c r="N7" s="81" t="s">
        <v>85</v>
      </c>
      <c r="O7" s="81" t="n">
        <v>16</v>
      </c>
      <c r="P7" s="81"/>
      <c r="Q7" s="81"/>
      <c r="R7" s="81"/>
      <c r="S7" s="81"/>
      <c r="T7" s="81"/>
      <c r="U7" s="81"/>
      <c r="V7" s="81" t="s">
        <v>96</v>
      </c>
      <c r="W7" s="81"/>
      <c r="X7" s="81" t="s">
        <v>805</v>
      </c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 t="n">
        <v>100</v>
      </c>
      <c r="AJ7" s="85"/>
      <c r="AK7" s="86" t="n">
        <f aca="false">IF(SUM(Y7:AJ7)=0,"",SUM(Y7:AJ7))</f>
        <v>100</v>
      </c>
      <c r="AL7" s="84" t="str">
        <f aca="false">MID(IF(N(Y7)&gt;0,", "&amp;Y$2,"")&amp;IF(N(Z7)&gt;0,", "&amp;Z$2,"")&amp;IF(N(AA7)&gt;0,", "&amp;AA$2,"")&amp;IF(N(AB7)&gt;0,", "&amp;AB$2,"")&amp;IF(N(AC7)&gt;0,", "&amp;AC$2,"")&amp;IF(N(AD7)&gt;0,", "&amp;AD$2,"")&amp;IF(N(AE7)&gt;0,", "&amp;AE$2,"")&amp;IF(N(AF7)&gt;0,", "&amp;AF$2,"")&amp;IF(N(AG7)&gt;0,", "&amp;AG$2,"")&amp;IF(N(AH7)&gt;0,", "&amp;AH$2,"")&amp;IF(N(AI7)&gt;0,", "&amp;AI$2,"")&amp;IF(N(AJ7)&gt;0,", "&amp;AJ$2,""),3,999)</f>
        <v>NATURAL</v>
      </c>
      <c r="AM7" s="87" t="str">
        <f aca="false">IF(E7="","",MID(IF(N(Y7)&gt;0,", "&amp;A7&amp;"-"&amp;Y$2,"")&amp;IF(N(Z7)&gt;0,", "&amp;A7&amp;"-"&amp;Z$2,"")&amp;IF(N(AA7)&gt;0,", "&amp;A7&amp;"-"&amp;AA$2,"")&amp;IF(N(AB7)&gt;0,", "&amp;A7&amp;"-"&amp;AB$2,"")&amp;IF(N(AC7)&gt;0,", "&amp;A7&amp;"-"&amp;AC$2,"")&amp;IF(N(AD7)&gt;0,", "&amp;A7&amp;"-"&amp;AD$2,"")&amp;IF(N(AE7)&gt;0,", "&amp;A7&amp;"-"&amp;AE$2,"")&amp;IF(N(AF7)&gt;0,", "&amp;A7&amp;"-"&amp;AF$2,"")&amp;IF(N(AG7)&gt;0,", "&amp;A7&amp;"-"&amp;AG$2,"")&amp;IF(N(AH7)&gt;0,", "&amp;A7&amp;"-"&amp;AH$2,"")&amp;IF(N(AI7)&gt;0,", "&amp;A7&amp;"-"&amp;AI$2,"")&amp;IF(N(AJ7)&gt;0,", "&amp;A7&amp;"-"&amp;AJ$2,""),3,999))</f>
        <v>AKO-GV-005-NATURAL</v>
      </c>
      <c r="AN7" s="81" t="n">
        <v>1</v>
      </c>
      <c r="AO7" s="88" t="n">
        <v>235</v>
      </c>
      <c r="AP7" s="89" t="n">
        <f aca="false">IF(AO7="","",ROUND(AO7/(1+Справочники!$B$13),2))</f>
        <v>235</v>
      </c>
      <c r="AQ7" s="90" t="n">
        <f aca="false" t="array" ref="AQ7:AQ7">IF(AP7="","",AP7*INDEX(Справочники!$B$4:$B$7,MATCH("RUB",Справочники!$A$4:$A$7,0)))</f>
        <v>1245.5</v>
      </c>
      <c r="AR7" s="90" t="n">
        <f aca="false">IF(AQ7="","",ROUND(AQ7*(1+Справочники!$B$12),0))</f>
        <v>1445</v>
      </c>
      <c r="AS7" s="90" t="n">
        <f aca="false">IF(AR7="","",ROUND(AR7*(1-Справочники!$B$11),0))</f>
        <v>1329</v>
      </c>
      <c r="AT7" s="88" t="n">
        <v>850</v>
      </c>
      <c r="AU7" s="90" t="n">
        <f aca="false">IF(AT7="","",ROUND(AT7/(1+Справочники!$B$12),0))</f>
        <v>733</v>
      </c>
      <c r="AV7" s="90" t="n">
        <f aca="false">IF(AT7="","",ROUND(AT7*(1-Справочники!$B$15),0))</f>
        <v>825</v>
      </c>
      <c r="AW7" s="90" t="n">
        <f aca="false">IF(AT7="","",ROUND(AT7*(1-Справочники!$B$16),0))</f>
        <v>799</v>
      </c>
      <c r="AX7" s="90" t="n">
        <f aca="false">IF(AT7="","",ROUND(AT7*(1-Справочники!$B$17),0))</f>
        <v>774</v>
      </c>
      <c r="AY7" s="90" t="n">
        <f aca="false">IF(AT7="","",ROUND(AT7*(1-Справочники!$B$18),0))</f>
        <v>748</v>
      </c>
      <c r="AZ7" s="90" t="n">
        <f aca="false">IF(AT7="","",ROUND(AT7*(1-Справочники!$B$19),0))</f>
        <v>723</v>
      </c>
      <c r="BA7" s="81" t="n">
        <v>100</v>
      </c>
      <c r="BB7" s="81" t="s">
        <v>147</v>
      </c>
      <c r="BC7" s="81" t="s">
        <v>331</v>
      </c>
      <c r="BD7" s="81"/>
      <c r="BE7" s="91" t="n">
        <v>3</v>
      </c>
      <c r="BF7" s="81" t="s">
        <v>103</v>
      </c>
      <c r="BG7" s="89" t="n">
        <f aca="false" t="array" ref="BG7:BG7">IF(BF7="","",IFERROR(INDEX(Справочники!$B$4:$B$7,MATCH(BF7,Справочники!$A$4:$A$7,0)),""))</f>
        <v>68.5</v>
      </c>
      <c r="BH7" s="90" t="n">
        <f aca="false">IF(N(BN7)&gt;0,ROUND(SUMIF(ЗАКАЗЫ!$F$3:$F$500,$A7,ЗАКАЗЫ!$Y$3:$Y$500)/BN7,0),IF(OR(BE7="",BG7=""),"",ROUND(BE7*BG7*(1+Справочники!$B$10),0)))</f>
        <v>255</v>
      </c>
      <c r="BI7" s="92" t="n">
        <f aca="false">IF(OR(AU7="",BH7="",AU7=0),"",(AU7-BH7)/AU7)</f>
        <v>0.652114597544338</v>
      </c>
      <c r="BJ7" s="81" t="n">
        <v>14</v>
      </c>
      <c r="BK7" s="83" t="s">
        <v>800</v>
      </c>
      <c r="BL7" s="43" t="str">
        <f aca="false">IFERROR(INDEX(ЗАКАЗЫ!$N$3:$N$500,MATCH($A7,ЗАКАЗЫ!$F$3:$F$500,0)),"")</f>
        <v>7616 99 900 8</v>
      </c>
      <c r="BM7" s="8" t="n">
        <f aca="false">IF(BL7="","",IFERROR(VLOOKUP(BL7,'ТН ВЭД'!$A$4:$C$40,3,0),""))</f>
        <v>0.09</v>
      </c>
      <c r="BN7" s="7" t="n">
        <f aca="false">IF(COUNTIF(ЗАКАЗЫ!$F$3:$F$500,$A7)=0,"",SUMIF(ЗАКАЗЫ!$F$3:$F$500,$A7,ЗАКАЗЫ!$J$3:$J$500))</f>
        <v>100</v>
      </c>
      <c r="BO7" s="7" t="n">
        <f aca="false">IF(BN7="","",SUMIF(ЗАКАЗЫ!$F$3:$F$500,$A7,ЗАКАЗЫ!$AL$3:$AL$500))</f>
        <v>0</v>
      </c>
      <c r="BP7" s="7" t="n">
        <f aca="false">IF(BN7="","",BN7-BO7)</f>
        <v>100</v>
      </c>
      <c r="BQ7" s="55" t="str">
        <f aca="false">IF(BN7="","",IF(BO7&gt;=BN7,"На складе",IF(BO7&gt;0,"Частично","Ждём")))</f>
        <v>Ждём</v>
      </c>
      <c r="BR7" s="43" t="s">
        <v>806</v>
      </c>
      <c r="BS7" s="47" t="n">
        <f aca="false">IF(BN7="","",IF(_xlfn.MAXIFS(ЗАКАЗЫ!$AK$3:$AK$500,ЗАКАЗЫ!$F$3:$F$500,$A7)=0,"",_xlfn.MAXIFS(ЗАКАЗЫ!$AK$3:$AK$500,ЗАКАЗЫ!$F$3:$F$500,$A7)))</f>
        <v>46372</v>
      </c>
    </row>
    <row r="8" customFormat="false" ht="79.5" hidden="false" customHeight="true" outlineLevel="0" collapsed="false">
      <c r="A8" s="80" t="s">
        <v>332</v>
      </c>
      <c r="B8" s="81"/>
      <c r="C8" s="81"/>
      <c r="D8" s="81"/>
      <c r="E8" s="83" t="s">
        <v>807</v>
      </c>
      <c r="F8" s="81"/>
      <c r="G8" s="83" t="s">
        <v>808</v>
      </c>
      <c r="H8" s="83" t="s">
        <v>809</v>
      </c>
      <c r="I8" s="84" t="str">
        <f aca="false">IF(E8="","",A8&amp;"_1.jpg")</f>
        <v>AKO-GV-006_1.jpg</v>
      </c>
      <c r="J8" s="84" t="str">
        <f aca="false">IF(E8="","",A8&amp;"_2.jpg; "&amp;A8&amp;"_3.jpg")</f>
        <v>AKO-GV-006_2.jpg; AKO-GV-006_3.jpg</v>
      </c>
      <c r="K8" s="84" t="str">
        <f aca="false">IF(E8="","",A8&amp;"_schema.jpg")</f>
        <v>AKO-GV-006_schema.jpg</v>
      </c>
      <c r="L8" s="81"/>
      <c r="M8" s="81"/>
      <c r="N8" s="81" t="s">
        <v>85</v>
      </c>
      <c r="O8" s="81" t="n">
        <v>16</v>
      </c>
      <c r="P8" s="81"/>
      <c r="Q8" s="81"/>
      <c r="R8" s="81"/>
      <c r="S8" s="81"/>
      <c r="T8" s="81"/>
      <c r="U8" s="81"/>
      <c r="V8" s="81" t="s">
        <v>96</v>
      </c>
      <c r="W8" s="81"/>
      <c r="X8" s="81" t="s">
        <v>810</v>
      </c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 t="n">
        <v>4000</v>
      </c>
      <c r="AJ8" s="85"/>
      <c r="AK8" s="86" t="n">
        <f aca="false">IF(SUM(Y8:AJ8)=0,"",SUM(Y8:AJ8))</f>
        <v>4000</v>
      </c>
      <c r="AL8" s="84" t="str">
        <f aca="false">MID(IF(N(Y8)&gt;0,", "&amp;Y$2,"")&amp;IF(N(Z8)&gt;0,", "&amp;Z$2,"")&amp;IF(N(AA8)&gt;0,", "&amp;AA$2,"")&amp;IF(N(AB8)&gt;0,", "&amp;AB$2,"")&amp;IF(N(AC8)&gt;0,", "&amp;AC$2,"")&amp;IF(N(AD8)&gt;0,", "&amp;AD$2,"")&amp;IF(N(AE8)&gt;0,", "&amp;AE$2,"")&amp;IF(N(AF8)&gt;0,", "&amp;AF$2,"")&amp;IF(N(AG8)&gt;0,", "&amp;AG$2,"")&amp;IF(N(AH8)&gt;0,", "&amp;AH$2,"")&amp;IF(N(AI8)&gt;0,", "&amp;AI$2,"")&amp;IF(N(AJ8)&gt;0,", "&amp;AJ$2,""),3,999)</f>
        <v>NATURAL</v>
      </c>
      <c r="AM8" s="87" t="str">
        <f aca="false">IF(E8="","",MID(IF(N(Y8)&gt;0,", "&amp;A8&amp;"-"&amp;Y$2,"")&amp;IF(N(Z8)&gt;0,", "&amp;A8&amp;"-"&amp;Z$2,"")&amp;IF(N(AA8)&gt;0,", "&amp;A8&amp;"-"&amp;AA$2,"")&amp;IF(N(AB8)&gt;0,", "&amp;A8&amp;"-"&amp;AB$2,"")&amp;IF(N(AC8)&gt;0,", "&amp;A8&amp;"-"&amp;AC$2,"")&amp;IF(N(AD8)&gt;0,", "&amp;A8&amp;"-"&amp;AD$2,"")&amp;IF(N(AE8)&gt;0,", "&amp;A8&amp;"-"&amp;AE$2,"")&amp;IF(N(AF8)&gt;0,", "&amp;A8&amp;"-"&amp;AF$2,"")&amp;IF(N(AG8)&gt;0,", "&amp;A8&amp;"-"&amp;AG$2,"")&amp;IF(N(AH8)&gt;0,", "&amp;A8&amp;"-"&amp;AH$2,"")&amp;IF(N(AI8)&gt;0,", "&amp;A8&amp;"-"&amp;AI$2,"")&amp;IF(N(AJ8)&gt;0,", "&amp;A8&amp;"-"&amp;AJ$2,""),3,999))</f>
        <v>AKO-GV-006-NATURAL</v>
      </c>
      <c r="AN8" s="81" t="n">
        <v>1</v>
      </c>
      <c r="AO8" s="88" t="n">
        <v>295</v>
      </c>
      <c r="AP8" s="89" t="n">
        <f aca="false">IF(AO8="","",ROUND(AO8/(1+Справочники!$B$13),2))</f>
        <v>295</v>
      </c>
      <c r="AQ8" s="90" t="n">
        <f aca="false" t="array" ref="AQ8:AQ8">IF(AP8="","",AP8*INDEX(Справочники!$B$4:$B$7,MATCH("RUB",Справочники!$A$4:$A$7,0)))</f>
        <v>1563.5</v>
      </c>
      <c r="AR8" s="90" t="n">
        <f aca="false">IF(AQ8="","",ROUND(AQ8*(1+Справочники!$B$12),0))</f>
        <v>1814</v>
      </c>
      <c r="AS8" s="90" t="n">
        <f aca="false">IF(AR8="","",ROUND(AR8*(1-Справочники!$B$11),0))</f>
        <v>1669</v>
      </c>
      <c r="AT8" s="88" t="n">
        <v>950</v>
      </c>
      <c r="AU8" s="90" t="n">
        <f aca="false">IF(AT8="","",ROUND(AT8/(1+Справочники!$B$12),0))</f>
        <v>819</v>
      </c>
      <c r="AV8" s="90" t="n">
        <f aca="false">IF(AT8="","",ROUND(AT8*(1-Справочники!$B$15),0))</f>
        <v>922</v>
      </c>
      <c r="AW8" s="90" t="n">
        <f aca="false">IF(AT8="","",ROUND(AT8*(1-Справочники!$B$16),0))</f>
        <v>893</v>
      </c>
      <c r="AX8" s="90" t="n">
        <f aca="false">IF(AT8="","",ROUND(AT8*(1-Справочники!$B$17),0))</f>
        <v>865</v>
      </c>
      <c r="AY8" s="90" t="n">
        <f aca="false">IF(AT8="","",ROUND(AT8*(1-Справочники!$B$18),0))</f>
        <v>836</v>
      </c>
      <c r="AZ8" s="90" t="n">
        <f aca="false">IF(AT8="","",ROUND(AT8*(1-Справочники!$B$19),0))</f>
        <v>808</v>
      </c>
      <c r="BA8" s="81" t="n">
        <v>4000</v>
      </c>
      <c r="BB8" s="81" t="s">
        <v>147</v>
      </c>
      <c r="BC8" s="81" t="s">
        <v>333</v>
      </c>
      <c r="BD8" s="81"/>
      <c r="BE8" s="91" t="n">
        <v>3</v>
      </c>
      <c r="BF8" s="81" t="s">
        <v>103</v>
      </c>
      <c r="BG8" s="89" t="n">
        <f aca="false" t="array" ref="BG8:BG8">IF(BF8="","",IFERROR(INDEX(Справочники!$B$4:$B$7,MATCH(BF8,Справочники!$A$4:$A$7,0)),""))</f>
        <v>68.5</v>
      </c>
      <c r="BH8" s="90" t="n">
        <f aca="false">IF(N(BN8)&gt;0,ROUND(SUMIF(ЗАКАЗЫ!$F$3:$F$500,$A8,ЗАКАЗЫ!$Y$3:$Y$500)/BN8,0),IF(OR(BE8="",BG8=""),"",ROUND(BE8*BG8*(1+Справочники!$B$10),0)))</f>
        <v>255</v>
      </c>
      <c r="BI8" s="92" t="n">
        <f aca="false">IF(OR(AU8="",BH8="",AU8=0),"",(AU8-BH8)/AU8)</f>
        <v>0.688644688644689</v>
      </c>
      <c r="BJ8" s="81" t="n">
        <v>14</v>
      </c>
      <c r="BK8" s="83" t="s">
        <v>800</v>
      </c>
      <c r="BL8" s="43" t="str">
        <f aca="false">IFERROR(INDEX(ЗАКАЗЫ!$N$3:$N$500,MATCH($A8,ЗАКАЗЫ!$F$3:$F$500,0)),"")</f>
        <v>7616 99 900 8</v>
      </c>
      <c r="BM8" s="8" t="n">
        <f aca="false">IF(BL8="","",IFERROR(VLOOKUP(BL8,'ТН ВЭД'!$A$4:$C$40,3,0),""))</f>
        <v>0.09</v>
      </c>
      <c r="BN8" s="7" t="n">
        <f aca="false">IF(COUNTIF(ЗАКАЗЫ!$F$3:$F$500,$A8)=0,"",SUMIF(ЗАКАЗЫ!$F$3:$F$500,$A8,ЗАКАЗЫ!$J$3:$J$500))</f>
        <v>4000</v>
      </c>
      <c r="BO8" s="7" t="n">
        <f aca="false">IF(BN8="","",SUMIF(ЗАКАЗЫ!$F$3:$F$500,$A8,ЗАКАЗЫ!$AL$3:$AL$500))</f>
        <v>0</v>
      </c>
      <c r="BP8" s="7" t="n">
        <f aca="false">IF(BN8="","",BN8-BO8)</f>
        <v>4000</v>
      </c>
      <c r="BQ8" s="55" t="str">
        <f aca="false">IF(BN8="","",IF(BO8&gt;=BN8,"На складе",IF(BO8&gt;0,"Частично","Ждём")))</f>
        <v>Ждём</v>
      </c>
      <c r="BR8" s="43" t="s">
        <v>811</v>
      </c>
      <c r="BS8" s="47" t="n">
        <f aca="false">IF(BN8="","",IF(_xlfn.MAXIFS(ЗАКАЗЫ!$AK$3:$AK$500,ЗАКАЗЫ!$F$3:$F$500,$A8)=0,"",_xlfn.MAXIFS(ЗАКАЗЫ!$AK$3:$AK$500,ЗАКАЗЫ!$F$3:$F$500,$A8)))</f>
        <v>46372</v>
      </c>
    </row>
    <row r="9" customFormat="false" ht="79.5" hidden="false" customHeight="true" outlineLevel="0" collapsed="false">
      <c r="A9" s="80" t="s">
        <v>334</v>
      </c>
      <c r="B9" s="81"/>
      <c r="C9" s="81"/>
      <c r="D9" s="81"/>
      <c r="E9" s="83" t="s">
        <v>812</v>
      </c>
      <c r="F9" s="81"/>
      <c r="G9" s="83" t="s">
        <v>813</v>
      </c>
      <c r="H9" s="83" t="s">
        <v>814</v>
      </c>
      <c r="I9" s="84" t="str">
        <f aca="false">IF(E9="","",A9&amp;"_1.jpg")</f>
        <v>AKO-GV-007_1.jpg</v>
      </c>
      <c r="J9" s="84" t="str">
        <f aca="false">IF(E9="","",A9&amp;"_2.jpg; "&amp;A9&amp;"_3.jpg")</f>
        <v>AKO-GV-007_2.jpg; AKO-GV-007_3.jpg</v>
      </c>
      <c r="K9" s="84" t="str">
        <f aca="false">IF(E9="","",A9&amp;"_schema.jpg")</f>
        <v>AKO-GV-007_schema.jpg</v>
      </c>
      <c r="L9" s="81"/>
      <c r="M9" s="81"/>
      <c r="N9" s="81" t="s">
        <v>85</v>
      </c>
      <c r="O9" s="81" t="n">
        <v>16</v>
      </c>
      <c r="P9" s="81"/>
      <c r="Q9" s="81"/>
      <c r="R9" s="81"/>
      <c r="S9" s="81"/>
      <c r="T9" s="81"/>
      <c r="U9" s="81"/>
      <c r="V9" s="81" t="s">
        <v>96</v>
      </c>
      <c r="W9" s="81"/>
      <c r="X9" s="81" t="s">
        <v>810</v>
      </c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 t="n">
        <v>3000</v>
      </c>
      <c r="AJ9" s="85"/>
      <c r="AK9" s="86" t="n">
        <f aca="false">IF(SUM(Y9:AJ9)=0,"",SUM(Y9:AJ9))</f>
        <v>3000</v>
      </c>
      <c r="AL9" s="84" t="str">
        <f aca="false">MID(IF(N(Y9)&gt;0,", "&amp;Y$2,"")&amp;IF(N(Z9)&gt;0,", "&amp;Z$2,"")&amp;IF(N(AA9)&gt;0,", "&amp;AA$2,"")&amp;IF(N(AB9)&gt;0,", "&amp;AB$2,"")&amp;IF(N(AC9)&gt;0,", "&amp;AC$2,"")&amp;IF(N(AD9)&gt;0,", "&amp;AD$2,"")&amp;IF(N(AE9)&gt;0,", "&amp;AE$2,"")&amp;IF(N(AF9)&gt;0,", "&amp;AF$2,"")&amp;IF(N(AG9)&gt;0,", "&amp;AG$2,"")&amp;IF(N(AH9)&gt;0,", "&amp;AH$2,"")&amp;IF(N(AI9)&gt;0,", "&amp;AI$2,"")&amp;IF(N(AJ9)&gt;0,", "&amp;AJ$2,""),3,999)</f>
        <v>NATURAL</v>
      </c>
      <c r="AM9" s="87" t="str">
        <f aca="false">IF(E9="","",MID(IF(N(Y9)&gt;0,", "&amp;A9&amp;"-"&amp;Y$2,"")&amp;IF(N(Z9)&gt;0,", "&amp;A9&amp;"-"&amp;Z$2,"")&amp;IF(N(AA9)&gt;0,", "&amp;A9&amp;"-"&amp;AA$2,"")&amp;IF(N(AB9)&gt;0,", "&amp;A9&amp;"-"&amp;AB$2,"")&amp;IF(N(AC9)&gt;0,", "&amp;A9&amp;"-"&amp;AC$2,"")&amp;IF(N(AD9)&gt;0,", "&amp;A9&amp;"-"&amp;AD$2,"")&amp;IF(N(AE9)&gt;0,", "&amp;A9&amp;"-"&amp;AE$2,"")&amp;IF(N(AF9)&gt;0,", "&amp;A9&amp;"-"&amp;AF$2,"")&amp;IF(N(AG9)&gt;0,", "&amp;A9&amp;"-"&amp;AG$2,"")&amp;IF(N(AH9)&gt;0,", "&amp;A9&amp;"-"&amp;AH$2,"")&amp;IF(N(AI9)&gt;0,", "&amp;A9&amp;"-"&amp;AI$2,"")&amp;IF(N(AJ9)&gt;0,", "&amp;A9&amp;"-"&amp;AJ$2,""),3,999))</f>
        <v>AKO-GV-007-NATURAL</v>
      </c>
      <c r="AN9" s="81" t="n">
        <v>1</v>
      </c>
      <c r="AO9" s="88" t="n">
        <v>335</v>
      </c>
      <c r="AP9" s="89" t="n">
        <f aca="false">IF(AO9="","",ROUND(AO9/(1+Справочники!$B$13),2))</f>
        <v>335</v>
      </c>
      <c r="AQ9" s="90" t="n">
        <f aca="false" t="array" ref="AQ9:AQ9">IF(AP9="","",AP9*INDEX(Справочники!$B$4:$B$7,MATCH("RUB",Справочники!$A$4:$A$7,0)))</f>
        <v>1775.5</v>
      </c>
      <c r="AR9" s="90" t="n">
        <f aca="false">IF(AQ9="","",ROUND(AQ9*(1+Справочники!$B$12),0))</f>
        <v>2060</v>
      </c>
      <c r="AS9" s="90" t="n">
        <f aca="false">IF(AR9="","",ROUND(AR9*(1-Справочники!$B$11),0))</f>
        <v>1895</v>
      </c>
      <c r="AT9" s="88" t="n">
        <v>1100</v>
      </c>
      <c r="AU9" s="90" t="n">
        <f aca="false">IF(AT9="","",ROUND(AT9/(1+Справочники!$B$12),0))</f>
        <v>948</v>
      </c>
      <c r="AV9" s="90" t="n">
        <f aca="false">IF(AT9="","",ROUND(AT9*(1-Справочники!$B$15),0))</f>
        <v>1067</v>
      </c>
      <c r="AW9" s="90" t="n">
        <f aca="false">IF(AT9="","",ROUND(AT9*(1-Справочники!$B$16),0))</f>
        <v>1034</v>
      </c>
      <c r="AX9" s="90" t="n">
        <f aca="false">IF(AT9="","",ROUND(AT9*(1-Справочники!$B$17),0))</f>
        <v>1001</v>
      </c>
      <c r="AY9" s="90" t="n">
        <f aca="false">IF(AT9="","",ROUND(AT9*(1-Справочники!$B$18),0))</f>
        <v>968</v>
      </c>
      <c r="AZ9" s="90" t="n">
        <f aca="false">IF(AT9="","",ROUND(AT9*(1-Справочники!$B$19),0))</f>
        <v>935</v>
      </c>
      <c r="BA9" s="81" t="n">
        <v>3000</v>
      </c>
      <c r="BB9" s="81" t="s">
        <v>147</v>
      </c>
      <c r="BC9" s="81" t="s">
        <v>335</v>
      </c>
      <c r="BD9" s="81"/>
      <c r="BE9" s="91" t="n">
        <v>4.5</v>
      </c>
      <c r="BF9" s="81" t="s">
        <v>103</v>
      </c>
      <c r="BG9" s="89" t="n">
        <f aca="false" t="array" ref="BG9:BG9">IF(BF9="","",IFERROR(INDEX(Справочники!$B$4:$B$7,MATCH(BF9,Справочники!$A$4:$A$7,0)),""))</f>
        <v>68.5</v>
      </c>
      <c r="BH9" s="90" t="n">
        <f aca="false">IF(N(BN9)&gt;0,ROUND(SUMIF(ЗАКАЗЫ!$F$3:$F$500,$A9,ЗАКАЗЫ!$Y$3:$Y$500)/BN9,0),IF(OR(BE9="",BG9=""),"",ROUND(BE9*BG9*(1+Справочники!$B$10),0)))</f>
        <v>382</v>
      </c>
      <c r="BI9" s="92" t="n">
        <f aca="false">IF(OR(AU9="",BH9="",AU9=0),"",(AU9-BH9)/AU9)</f>
        <v>0.59704641350211</v>
      </c>
      <c r="BJ9" s="81" t="n">
        <v>14</v>
      </c>
      <c r="BK9" s="83" t="s">
        <v>800</v>
      </c>
      <c r="BL9" s="43" t="str">
        <f aca="false">IFERROR(INDEX(ЗАКАЗЫ!$N$3:$N$500,MATCH($A9,ЗАКАЗЫ!$F$3:$F$500,0)),"")</f>
        <v>7616 99 900 8</v>
      </c>
      <c r="BM9" s="8" t="n">
        <f aca="false">IF(BL9="","",IFERROR(VLOOKUP(BL9,'ТН ВЭД'!$A$4:$C$40,3,0),""))</f>
        <v>0.09</v>
      </c>
      <c r="BN9" s="7" t="n">
        <f aca="false">IF(COUNTIF(ЗАКАЗЫ!$F$3:$F$500,$A9)=0,"",SUMIF(ЗАКАЗЫ!$F$3:$F$500,$A9,ЗАКАЗЫ!$J$3:$J$500))</f>
        <v>3000</v>
      </c>
      <c r="BO9" s="7" t="n">
        <f aca="false">IF(BN9="","",SUMIF(ЗАКАЗЫ!$F$3:$F$500,$A9,ЗАКАЗЫ!$AL$3:$AL$500))</f>
        <v>0</v>
      </c>
      <c r="BP9" s="7" t="n">
        <f aca="false">IF(BN9="","",BN9-BO9)</f>
        <v>3000</v>
      </c>
      <c r="BQ9" s="55" t="str">
        <f aca="false">IF(BN9="","",IF(BO9&gt;=BN9,"На складе",IF(BO9&gt;0,"Частично","Ждём")))</f>
        <v>Ждём</v>
      </c>
      <c r="BR9" s="43" t="s">
        <v>815</v>
      </c>
      <c r="BS9" s="47" t="n">
        <f aca="false">IF(BN9="","",IF(_xlfn.MAXIFS(ЗАКАЗЫ!$AK$3:$AK$500,ЗАКАЗЫ!$F$3:$F$500,$A9)=0,"",_xlfn.MAXIFS(ЗАКАЗЫ!$AK$3:$AK$500,ЗАКАЗЫ!$F$3:$F$500,$A9)))</f>
        <v>46372</v>
      </c>
    </row>
    <row r="10" customFormat="false" ht="79.5" hidden="false" customHeight="true" outlineLevel="0" collapsed="false">
      <c r="A10" s="80" t="s">
        <v>336</v>
      </c>
      <c r="B10" s="81"/>
      <c r="C10" s="81"/>
      <c r="D10" s="81"/>
      <c r="E10" s="83" t="s">
        <v>816</v>
      </c>
      <c r="F10" s="81"/>
      <c r="G10" s="83" t="s">
        <v>817</v>
      </c>
      <c r="H10" s="83" t="s">
        <v>818</v>
      </c>
      <c r="I10" s="84" t="str">
        <f aca="false">IF(E10="","",A10&amp;"_1.jpg")</f>
        <v>AKO-GV-008_1.jpg</v>
      </c>
      <c r="J10" s="84" t="str">
        <f aca="false">IF(E10="","",A10&amp;"_2.jpg; "&amp;A10&amp;"_3.jpg")</f>
        <v>AKO-GV-008_2.jpg; AKO-GV-008_3.jpg</v>
      </c>
      <c r="K10" s="84" t="str">
        <f aca="false">IF(E10="","",A10&amp;"_schema.jpg")</f>
        <v>AKO-GV-008_schema.jpg</v>
      </c>
      <c r="L10" s="81"/>
      <c r="M10" s="81"/>
      <c r="N10" s="81" t="s">
        <v>85</v>
      </c>
      <c r="O10" s="81" t="n">
        <v>16</v>
      </c>
      <c r="P10" s="81"/>
      <c r="Q10" s="81"/>
      <c r="R10" s="81"/>
      <c r="S10" s="81"/>
      <c r="T10" s="81"/>
      <c r="U10" s="81"/>
      <c r="V10" s="81" t="s">
        <v>96</v>
      </c>
      <c r="W10" s="81"/>
      <c r="X10" s="81" t="s">
        <v>819</v>
      </c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 t="n">
        <v>500</v>
      </c>
      <c r="AJ10" s="85"/>
      <c r="AK10" s="86" t="n">
        <f aca="false">IF(SUM(Y10:AJ10)=0,"",SUM(Y10:AJ10))</f>
        <v>500</v>
      </c>
      <c r="AL10" s="84" t="str">
        <f aca="false">MID(IF(N(Y10)&gt;0,", "&amp;Y$2,"")&amp;IF(N(Z10)&gt;0,", "&amp;Z$2,"")&amp;IF(N(AA10)&gt;0,", "&amp;AA$2,"")&amp;IF(N(AB10)&gt;0,", "&amp;AB$2,"")&amp;IF(N(AC10)&gt;0,", "&amp;AC$2,"")&amp;IF(N(AD10)&gt;0,", "&amp;AD$2,"")&amp;IF(N(AE10)&gt;0,", "&amp;AE$2,"")&amp;IF(N(AF10)&gt;0,", "&amp;AF$2,"")&amp;IF(N(AG10)&gt;0,", "&amp;AG$2,"")&amp;IF(N(AH10)&gt;0,", "&amp;AH$2,"")&amp;IF(N(AI10)&gt;0,", "&amp;AI$2,"")&amp;IF(N(AJ10)&gt;0,", "&amp;AJ$2,""),3,999)</f>
        <v>NATURAL</v>
      </c>
      <c r="AM10" s="87" t="str">
        <f aca="false">IF(E10="","",MID(IF(N(Y10)&gt;0,", "&amp;A10&amp;"-"&amp;Y$2,"")&amp;IF(N(Z10)&gt;0,", "&amp;A10&amp;"-"&amp;Z$2,"")&amp;IF(N(AA10)&gt;0,", "&amp;A10&amp;"-"&amp;AA$2,"")&amp;IF(N(AB10)&gt;0,", "&amp;A10&amp;"-"&amp;AB$2,"")&amp;IF(N(AC10)&gt;0,", "&amp;A10&amp;"-"&amp;AC$2,"")&amp;IF(N(AD10)&gt;0,", "&amp;A10&amp;"-"&amp;AD$2,"")&amp;IF(N(AE10)&gt;0,", "&amp;A10&amp;"-"&amp;AE$2,"")&amp;IF(N(AF10)&gt;0,", "&amp;A10&amp;"-"&amp;AF$2,"")&amp;IF(N(AG10)&gt;0,", "&amp;A10&amp;"-"&amp;AG$2,"")&amp;IF(N(AH10)&gt;0,", "&amp;A10&amp;"-"&amp;AH$2,"")&amp;IF(N(AI10)&gt;0,", "&amp;A10&amp;"-"&amp;AI$2,"")&amp;IF(N(AJ10)&gt;0,", "&amp;A10&amp;"-"&amp;AJ$2,""),3,999))</f>
        <v>AKO-GV-008-NATURAL</v>
      </c>
      <c r="AN10" s="81" t="n">
        <v>1</v>
      </c>
      <c r="AO10" s="88" t="n">
        <v>455</v>
      </c>
      <c r="AP10" s="89" t="n">
        <f aca="false">IF(AO10="","",ROUND(AO10/(1+Справочники!$B$13),2))</f>
        <v>455</v>
      </c>
      <c r="AQ10" s="90" t="n">
        <f aca="false" t="array" ref="AQ10:AQ10">IF(AP10="","",AP10*INDEX(Справочники!$B$4:$B$7,MATCH("RUB",Справочники!$A$4:$A$7,0)))</f>
        <v>2411.5</v>
      </c>
      <c r="AR10" s="90" t="n">
        <f aca="false">IF(AQ10="","",ROUND(AQ10*(1+Справочники!$B$12),0))</f>
        <v>2797</v>
      </c>
      <c r="AS10" s="90" t="n">
        <f aca="false">IF(AR10="","",ROUND(AR10*(1-Справочники!$B$11),0))</f>
        <v>2573</v>
      </c>
      <c r="AT10" s="88" t="n">
        <v>1500</v>
      </c>
      <c r="AU10" s="90" t="n">
        <f aca="false">IF(AT10="","",ROUND(AT10/(1+Справочники!$B$12),0))</f>
        <v>1293</v>
      </c>
      <c r="AV10" s="90" t="n">
        <f aca="false">IF(AT10="","",ROUND(AT10*(1-Справочники!$B$15),0))</f>
        <v>1455</v>
      </c>
      <c r="AW10" s="90" t="n">
        <f aca="false">IF(AT10="","",ROUND(AT10*(1-Справочники!$B$16),0))</f>
        <v>1410</v>
      </c>
      <c r="AX10" s="90" t="n">
        <f aca="false">IF(AT10="","",ROUND(AT10*(1-Справочники!$B$17),0))</f>
        <v>1365</v>
      </c>
      <c r="AY10" s="90" t="n">
        <f aca="false">IF(AT10="","",ROUND(AT10*(1-Справочники!$B$18),0))</f>
        <v>1320</v>
      </c>
      <c r="AZ10" s="90" t="n">
        <f aca="false">IF(AT10="","",ROUND(AT10*(1-Справочники!$B$19),0))</f>
        <v>1275</v>
      </c>
      <c r="BA10" s="81" t="n">
        <v>500</v>
      </c>
      <c r="BB10" s="81" t="s">
        <v>147</v>
      </c>
      <c r="BC10" s="81" t="s">
        <v>337</v>
      </c>
      <c r="BD10" s="81"/>
      <c r="BE10" s="91" t="n">
        <v>6.8</v>
      </c>
      <c r="BF10" s="81" t="s">
        <v>103</v>
      </c>
      <c r="BG10" s="89" t="n">
        <f aca="false" t="array" ref="BG10:BG10">IF(BF10="","",IFERROR(INDEX(Справочники!$B$4:$B$7,MATCH(BF10,Справочники!$A$4:$A$7,0)),""))</f>
        <v>68.5</v>
      </c>
      <c r="BH10" s="90" t="n">
        <f aca="false">IF(N(BN10)&gt;0,ROUND(SUMIF(ЗАКАЗЫ!$F$3:$F$500,$A10,ЗАКАЗЫ!$Y$3:$Y$500)/BN10,0),IF(OR(BE10="",BG10=""),"",ROUND(BE10*BG10*(1+Справочники!$B$10),0)))</f>
        <v>578</v>
      </c>
      <c r="BI10" s="92" t="n">
        <f aca="false">IF(OR(AU10="",BH10="",AU10=0),"",(AU10-BH10)/AU10)</f>
        <v>0.552977571539057</v>
      </c>
      <c r="BJ10" s="81" t="n">
        <v>14</v>
      </c>
      <c r="BK10" s="83" t="s">
        <v>800</v>
      </c>
      <c r="BL10" s="43" t="str">
        <f aca="false">IFERROR(INDEX(ЗАКАЗЫ!$N$3:$N$500,MATCH($A10,ЗАКАЗЫ!$F$3:$F$500,0)),"")</f>
        <v>7616 99 900 8</v>
      </c>
      <c r="BM10" s="8" t="n">
        <f aca="false">IF(BL10="","",IFERROR(VLOOKUP(BL10,'ТН ВЭД'!$A$4:$C$40,3,0),""))</f>
        <v>0.09</v>
      </c>
      <c r="BN10" s="7" t="n">
        <f aca="false">IF(COUNTIF(ЗАКАЗЫ!$F$3:$F$500,$A10)=0,"",SUMIF(ЗАКАЗЫ!$F$3:$F$500,$A10,ЗАКАЗЫ!$J$3:$J$500))</f>
        <v>500</v>
      </c>
      <c r="BO10" s="7" t="n">
        <f aca="false">IF(BN10="","",SUMIF(ЗАКАЗЫ!$F$3:$F$500,$A10,ЗАКАЗЫ!$AL$3:$AL$500))</f>
        <v>0</v>
      </c>
      <c r="BP10" s="7" t="n">
        <f aca="false">IF(BN10="","",BN10-BO10)</f>
        <v>500</v>
      </c>
      <c r="BQ10" s="55" t="str">
        <f aca="false">IF(BN10="","",IF(BO10&gt;=BN10,"На складе",IF(BO10&gt;0,"Частично","Ждём")))</f>
        <v>Ждём</v>
      </c>
      <c r="BR10" s="43" t="s">
        <v>820</v>
      </c>
      <c r="BS10" s="47" t="n">
        <f aca="false">IF(BN10="","",IF(_xlfn.MAXIFS(ЗАКАЗЫ!$AK$3:$AK$500,ЗАКАЗЫ!$F$3:$F$500,$A10)=0,"",_xlfn.MAXIFS(ЗАКАЗЫ!$AK$3:$AK$500,ЗАКАЗЫ!$F$3:$F$500,$A10)))</f>
        <v>46372</v>
      </c>
    </row>
    <row r="11" customFormat="false" ht="79.5" hidden="false" customHeight="true" outlineLevel="0" collapsed="false">
      <c r="A11" s="80" t="s">
        <v>338</v>
      </c>
      <c r="B11" s="81"/>
      <c r="C11" s="81"/>
      <c r="D11" s="81"/>
      <c r="E11" s="83" t="s">
        <v>821</v>
      </c>
      <c r="F11" s="81"/>
      <c r="G11" s="83" t="s">
        <v>822</v>
      </c>
      <c r="H11" s="83" t="s">
        <v>823</v>
      </c>
      <c r="I11" s="84" t="str">
        <f aca="false">IF(E11="","",A11&amp;"_1.jpg")</f>
        <v>AKO-GV-009_1.jpg</v>
      </c>
      <c r="J11" s="84" t="str">
        <f aca="false">IF(E11="","",A11&amp;"_2.jpg; "&amp;A11&amp;"_3.jpg")</f>
        <v>AKO-GV-009_2.jpg; AKO-GV-009_3.jpg</v>
      </c>
      <c r="K11" s="84" t="str">
        <f aca="false">IF(E11="","",A11&amp;"_schema.jpg")</f>
        <v>AKO-GV-009_schema.jpg</v>
      </c>
      <c r="L11" s="81"/>
      <c r="M11" s="81"/>
      <c r="N11" s="81" t="s">
        <v>85</v>
      </c>
      <c r="O11" s="81" t="n">
        <v>16</v>
      </c>
      <c r="P11" s="81"/>
      <c r="Q11" s="81"/>
      <c r="R11" s="81"/>
      <c r="S11" s="81"/>
      <c r="T11" s="81"/>
      <c r="U11" s="81"/>
      <c r="V11" s="81" t="s">
        <v>96</v>
      </c>
      <c r="W11" s="81"/>
      <c r="X11" s="81" t="s">
        <v>824</v>
      </c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 t="n">
        <v>400</v>
      </c>
      <c r="AJ11" s="85"/>
      <c r="AK11" s="86" t="n">
        <f aca="false">IF(SUM(Y11:AJ11)=0,"",SUM(Y11:AJ11))</f>
        <v>400</v>
      </c>
      <c r="AL11" s="84" t="str">
        <f aca="false">MID(IF(N(Y11)&gt;0,", "&amp;Y$2,"")&amp;IF(N(Z11)&gt;0,", "&amp;Z$2,"")&amp;IF(N(AA11)&gt;0,", "&amp;AA$2,"")&amp;IF(N(AB11)&gt;0,", "&amp;AB$2,"")&amp;IF(N(AC11)&gt;0,", "&amp;AC$2,"")&amp;IF(N(AD11)&gt;0,", "&amp;AD$2,"")&amp;IF(N(AE11)&gt;0,", "&amp;AE$2,"")&amp;IF(N(AF11)&gt;0,", "&amp;AF$2,"")&amp;IF(N(AG11)&gt;0,", "&amp;AG$2,"")&amp;IF(N(AH11)&gt;0,", "&amp;AH$2,"")&amp;IF(N(AI11)&gt;0,", "&amp;AI$2,"")&amp;IF(N(AJ11)&gt;0,", "&amp;AJ$2,""),3,999)</f>
        <v>NATURAL</v>
      </c>
      <c r="AM11" s="87" t="str">
        <f aca="false">IF(E11="","",MID(IF(N(Y11)&gt;0,", "&amp;A11&amp;"-"&amp;Y$2,"")&amp;IF(N(Z11)&gt;0,", "&amp;A11&amp;"-"&amp;Z$2,"")&amp;IF(N(AA11)&gt;0,", "&amp;A11&amp;"-"&amp;AA$2,"")&amp;IF(N(AB11)&gt;0,", "&amp;A11&amp;"-"&amp;AB$2,"")&amp;IF(N(AC11)&gt;0,", "&amp;A11&amp;"-"&amp;AC$2,"")&amp;IF(N(AD11)&gt;0,", "&amp;A11&amp;"-"&amp;AD$2,"")&amp;IF(N(AE11)&gt;0,", "&amp;A11&amp;"-"&amp;AE$2,"")&amp;IF(N(AF11)&gt;0,", "&amp;A11&amp;"-"&amp;AF$2,"")&amp;IF(N(AG11)&gt;0,", "&amp;A11&amp;"-"&amp;AG$2,"")&amp;IF(N(AH11)&gt;0,", "&amp;A11&amp;"-"&amp;AH$2,"")&amp;IF(N(AI11)&gt;0,", "&amp;A11&amp;"-"&amp;AI$2,"")&amp;IF(N(AJ11)&gt;0,", "&amp;A11&amp;"-"&amp;AJ$2,""),3,999))</f>
        <v>AKO-GV-009-NATURAL</v>
      </c>
      <c r="AN11" s="81" t="n">
        <v>1</v>
      </c>
      <c r="AO11" s="88" t="n">
        <v>355</v>
      </c>
      <c r="AP11" s="89" t="n">
        <f aca="false">IF(AO11="","",ROUND(AO11/(1+Справочники!$B$13),2))</f>
        <v>355</v>
      </c>
      <c r="AQ11" s="90" t="n">
        <f aca="false" t="array" ref="AQ11:AQ11">IF(AP11="","",AP11*INDEX(Справочники!$B$4:$B$7,MATCH("RUB",Справочники!$A$4:$A$7,0)))</f>
        <v>1881.5</v>
      </c>
      <c r="AR11" s="90" t="n">
        <f aca="false">IF(AQ11="","",ROUND(AQ11*(1+Справочники!$B$12),0))</f>
        <v>2183</v>
      </c>
      <c r="AS11" s="90" t="n">
        <f aca="false">IF(AR11="","",ROUND(AR11*(1-Справочники!$B$11),0))</f>
        <v>2008</v>
      </c>
      <c r="AT11" s="88" t="n">
        <v>850</v>
      </c>
      <c r="AU11" s="90" t="n">
        <f aca="false">IF(AT11="","",ROUND(AT11/(1+Справочники!$B$12),0))</f>
        <v>733</v>
      </c>
      <c r="AV11" s="90" t="n">
        <f aca="false">IF(AT11="","",ROUND(AT11*(1-Справочники!$B$15),0))</f>
        <v>825</v>
      </c>
      <c r="AW11" s="90" t="n">
        <f aca="false">IF(AT11="","",ROUND(AT11*(1-Справочники!$B$16),0))</f>
        <v>799</v>
      </c>
      <c r="AX11" s="90" t="n">
        <f aca="false">IF(AT11="","",ROUND(AT11*(1-Справочники!$B$17),0))</f>
        <v>774</v>
      </c>
      <c r="AY11" s="90" t="n">
        <f aca="false">IF(AT11="","",ROUND(AT11*(1-Справочники!$B$18),0))</f>
        <v>748</v>
      </c>
      <c r="AZ11" s="90" t="n">
        <f aca="false">IF(AT11="","",ROUND(AT11*(1-Справочники!$B$19),0))</f>
        <v>723</v>
      </c>
      <c r="BA11" s="81" t="n">
        <v>400</v>
      </c>
      <c r="BB11" s="81" t="s">
        <v>147</v>
      </c>
      <c r="BC11" s="81" t="s">
        <v>339</v>
      </c>
      <c r="BD11" s="81"/>
      <c r="BE11" s="91" t="n">
        <v>4.5</v>
      </c>
      <c r="BF11" s="81" t="s">
        <v>103</v>
      </c>
      <c r="BG11" s="89" t="n">
        <f aca="false" t="array" ref="BG11:BG11">IF(BF11="","",IFERROR(INDEX(Справочники!$B$4:$B$7,MATCH(BF11,Справочники!$A$4:$A$7,0)),""))</f>
        <v>68.5</v>
      </c>
      <c r="BH11" s="90" t="n">
        <f aca="false">IF(N(BN11)&gt;0,ROUND(SUMIF(ЗАКАЗЫ!$F$3:$F$500,$A11,ЗАКАЗЫ!$Y$3:$Y$500)/BN11,0),IF(OR(BE11="",BG11=""),"",ROUND(BE11*BG11*(1+Справочники!$B$10),0)))</f>
        <v>382</v>
      </c>
      <c r="BI11" s="92" t="n">
        <f aca="false">IF(OR(AU11="",BH11="",AU11=0),"",(AU11-BH11)/AU11)</f>
        <v>0.478854024556617</v>
      </c>
      <c r="BJ11" s="81" t="n">
        <v>14</v>
      </c>
      <c r="BK11" s="83" t="s">
        <v>800</v>
      </c>
      <c r="BL11" s="43" t="str">
        <f aca="false">IFERROR(INDEX(ЗАКАЗЫ!$N$3:$N$500,MATCH($A11,ЗАКАЗЫ!$F$3:$F$500,0)),"")</f>
        <v>7616 99 900 8</v>
      </c>
      <c r="BM11" s="8" t="n">
        <f aca="false">IF(BL11="","",IFERROR(VLOOKUP(BL11,'ТН ВЭД'!$A$4:$C$40,3,0),""))</f>
        <v>0.09</v>
      </c>
      <c r="BN11" s="7" t="n">
        <f aca="false">IF(COUNTIF(ЗАКАЗЫ!$F$3:$F$500,$A11)=0,"",SUMIF(ЗАКАЗЫ!$F$3:$F$500,$A11,ЗАКАЗЫ!$J$3:$J$500))</f>
        <v>400</v>
      </c>
      <c r="BO11" s="7" t="n">
        <f aca="false">IF(BN11="","",SUMIF(ЗАКАЗЫ!$F$3:$F$500,$A11,ЗАКАЗЫ!$AL$3:$AL$500))</f>
        <v>0</v>
      </c>
      <c r="BP11" s="7" t="n">
        <f aca="false">IF(BN11="","",BN11-BO11)</f>
        <v>400</v>
      </c>
      <c r="BQ11" s="55" t="str">
        <f aca="false">IF(BN11="","",IF(BO11&gt;=BN11,"На складе",IF(BO11&gt;0,"Частично","Ждём")))</f>
        <v>Ждём</v>
      </c>
      <c r="BR11" s="43" t="s">
        <v>825</v>
      </c>
      <c r="BS11" s="47" t="n">
        <f aca="false">IF(BN11="","",IF(_xlfn.MAXIFS(ЗАКАЗЫ!$AK$3:$AK$500,ЗАКАЗЫ!$F$3:$F$500,$A11)=0,"",_xlfn.MAXIFS(ЗАКАЗЫ!$AK$3:$AK$500,ЗАКАЗЫ!$F$3:$F$500,$A11)))</f>
        <v>46372</v>
      </c>
    </row>
    <row r="12" customFormat="false" ht="79.5" hidden="false" customHeight="true" outlineLevel="0" collapsed="false">
      <c r="A12" s="80" t="s">
        <v>271</v>
      </c>
      <c r="B12" s="81"/>
      <c r="C12" s="81"/>
      <c r="D12" s="81"/>
      <c r="E12" s="83" t="s">
        <v>826</v>
      </c>
      <c r="F12" s="81"/>
      <c r="G12" s="83" t="s">
        <v>827</v>
      </c>
      <c r="H12" s="83" t="s">
        <v>828</v>
      </c>
      <c r="I12" s="84" t="str">
        <f aca="false">IF(E12="","",A12&amp;"_1.jpg")</f>
        <v>AKO-GV-010_1.jpg</v>
      </c>
      <c r="J12" s="84" t="str">
        <f aca="false">IF(E12="","",A12&amp;"_2.jpg; "&amp;A12&amp;"_3.jpg")</f>
        <v>AKO-GV-010_2.jpg; AKO-GV-010_3.jpg</v>
      </c>
      <c r="K12" s="84" t="str">
        <f aca="false">IF(E12="","",A12&amp;"_schema.jpg")</f>
        <v>AKO-GV-010_schema.jpg</v>
      </c>
      <c r="L12" s="81"/>
      <c r="M12" s="81"/>
      <c r="N12" s="81" t="s">
        <v>85</v>
      </c>
      <c r="O12" s="81" t="n">
        <v>16</v>
      </c>
      <c r="P12" s="81"/>
      <c r="Q12" s="81"/>
      <c r="R12" s="81"/>
      <c r="S12" s="81"/>
      <c r="T12" s="81"/>
      <c r="U12" s="81"/>
      <c r="V12" s="81" t="s">
        <v>96</v>
      </c>
      <c r="W12" s="81"/>
      <c r="X12" s="81" t="s">
        <v>829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 t="n">
        <v>500</v>
      </c>
      <c r="AJ12" s="85"/>
      <c r="AK12" s="86" t="n">
        <f aca="false">IF(SUM(Y12:AJ12)=0,"",SUM(Y12:AJ12))</f>
        <v>500</v>
      </c>
      <c r="AL12" s="84" t="str">
        <f aca="false">MID(IF(N(Y12)&gt;0,", "&amp;Y$2,"")&amp;IF(N(Z12)&gt;0,", "&amp;Z$2,"")&amp;IF(N(AA12)&gt;0,", "&amp;AA$2,"")&amp;IF(N(AB12)&gt;0,", "&amp;AB$2,"")&amp;IF(N(AC12)&gt;0,", "&amp;AC$2,"")&amp;IF(N(AD12)&gt;0,", "&amp;AD$2,"")&amp;IF(N(AE12)&gt;0,", "&amp;AE$2,"")&amp;IF(N(AF12)&gt;0,", "&amp;AF$2,"")&amp;IF(N(AG12)&gt;0,", "&amp;AG$2,"")&amp;IF(N(AH12)&gt;0,", "&amp;AH$2,"")&amp;IF(N(AI12)&gt;0,", "&amp;AI$2,"")&amp;IF(N(AJ12)&gt;0,", "&amp;AJ$2,""),3,999)</f>
        <v>NATURAL</v>
      </c>
      <c r="AM12" s="87" t="str">
        <f aca="false">IF(E12="","",MID(IF(N(Y12)&gt;0,", "&amp;A12&amp;"-"&amp;Y$2,"")&amp;IF(N(Z12)&gt;0,", "&amp;A12&amp;"-"&amp;Z$2,"")&amp;IF(N(AA12)&gt;0,", "&amp;A12&amp;"-"&amp;AA$2,"")&amp;IF(N(AB12)&gt;0,", "&amp;A12&amp;"-"&amp;AB$2,"")&amp;IF(N(AC12)&gt;0,", "&amp;A12&amp;"-"&amp;AC$2,"")&amp;IF(N(AD12)&gt;0,", "&amp;A12&amp;"-"&amp;AD$2,"")&amp;IF(N(AE12)&gt;0,", "&amp;A12&amp;"-"&amp;AE$2,"")&amp;IF(N(AF12)&gt;0,", "&amp;A12&amp;"-"&amp;AF$2,"")&amp;IF(N(AG12)&gt;0,", "&amp;A12&amp;"-"&amp;AG$2,"")&amp;IF(N(AH12)&gt;0,", "&amp;A12&amp;"-"&amp;AH$2,"")&amp;IF(N(AI12)&gt;0,", "&amp;A12&amp;"-"&amp;AI$2,"")&amp;IF(N(AJ12)&gt;0,", "&amp;A12&amp;"-"&amp;AJ$2,""),3,999))</f>
        <v>AKO-GV-010-NATURAL</v>
      </c>
      <c r="AN12" s="81" t="n">
        <v>1</v>
      </c>
      <c r="AO12" s="88" t="n">
        <v>485</v>
      </c>
      <c r="AP12" s="89" t="n">
        <f aca="false">IF(AO12="","",ROUND(AO12/(1+Справочники!$B$13),2))</f>
        <v>485</v>
      </c>
      <c r="AQ12" s="90" t="n">
        <f aca="false" t="array" ref="AQ12:AQ12">IF(AP12="","",AP12*INDEX(Справочники!$B$4:$B$7,MATCH("RUB",Справочники!$A$4:$A$7,0)))</f>
        <v>2570.5</v>
      </c>
      <c r="AR12" s="90" t="n">
        <f aca="false">IF(AQ12="","",ROUND(AQ12*(1+Справочники!$B$12),0))</f>
        <v>2982</v>
      </c>
      <c r="AS12" s="90" t="n">
        <f aca="false">IF(AR12="","",ROUND(AR12*(1-Справочники!$B$11),0))</f>
        <v>2743</v>
      </c>
      <c r="AT12" s="88" t="n">
        <v>2000</v>
      </c>
      <c r="AU12" s="90" t="n">
        <f aca="false">IF(AT12="","",ROUND(AT12/(1+Справочники!$B$12),0))</f>
        <v>1724</v>
      </c>
      <c r="AV12" s="90" t="n">
        <f aca="false">IF(AT12="","",ROUND(AT12*(1-Справочники!$B$15),0))</f>
        <v>1940</v>
      </c>
      <c r="AW12" s="90" t="n">
        <f aca="false">IF(AT12="","",ROUND(AT12*(1-Справочники!$B$16),0))</f>
        <v>1880</v>
      </c>
      <c r="AX12" s="90" t="n">
        <f aca="false">IF(AT12="","",ROUND(AT12*(1-Справочники!$B$17),0))</f>
        <v>1820</v>
      </c>
      <c r="AY12" s="90" t="n">
        <f aca="false">IF(AT12="","",ROUND(AT12*(1-Справочники!$B$18),0))</f>
        <v>1760</v>
      </c>
      <c r="AZ12" s="90" t="n">
        <f aca="false">IF(AT12="","",ROUND(AT12*(1-Справочники!$B$19),0))</f>
        <v>1700</v>
      </c>
      <c r="BA12" s="81" t="n">
        <v>500</v>
      </c>
      <c r="BB12" s="81" t="s">
        <v>147</v>
      </c>
      <c r="BC12" s="81" t="s">
        <v>272</v>
      </c>
      <c r="BD12" s="81"/>
      <c r="BE12" s="91" t="n">
        <v>5</v>
      </c>
      <c r="BF12" s="81" t="s">
        <v>103</v>
      </c>
      <c r="BG12" s="89" t="n">
        <f aca="false" t="array" ref="BG12:BG12">IF(BF12="","",IFERROR(INDEX(Справочники!$B$4:$B$7,MATCH(BF12,Справочники!$A$4:$A$7,0)),""))</f>
        <v>68.5</v>
      </c>
      <c r="BH12" s="90" t="n">
        <f aca="false">IF(N(BN12)&gt;0,ROUND(SUMIF(ЗАКАЗЫ!$F$3:$F$500,$A12,ЗАКАЗЫ!$Y$3:$Y$500)/BN12,0),IF(OR(BE12="",BG12=""),"",ROUND(BE12*BG12*(1+Справочники!$B$10),0)))</f>
        <v>425</v>
      </c>
      <c r="BI12" s="92" t="n">
        <f aca="false">IF(OR(AU12="",BH12="",AU12=0),"",(AU12-BH12)/AU12)</f>
        <v>0.753480278422274</v>
      </c>
      <c r="BJ12" s="81" t="n">
        <v>12</v>
      </c>
      <c r="BK12" s="83" t="s">
        <v>783</v>
      </c>
      <c r="BL12" s="43" t="str">
        <f aca="false">IFERROR(INDEX(ЗАКАЗЫ!$N$3:$N$500,MATCH($A12,ЗАКАЗЫ!$F$3:$F$500,0)),"")</f>
        <v>7616 99 900 8</v>
      </c>
      <c r="BM12" s="8" t="n">
        <f aca="false">IF(BL12="","",IFERROR(VLOOKUP(BL12,'ТН ВЭД'!$A$4:$C$40,3,0),""))</f>
        <v>0.09</v>
      </c>
      <c r="BN12" s="7" t="n">
        <f aca="false">IF(COUNTIF(ЗАКАЗЫ!$F$3:$F$500,$A12)=0,"",SUMIF(ЗАКАЗЫ!$F$3:$F$500,$A12,ЗАКАЗЫ!$J$3:$J$500))</f>
        <v>500</v>
      </c>
      <c r="BO12" s="7" t="n">
        <f aca="false">IF(BN12="","",SUMIF(ЗАКАЗЫ!$F$3:$F$500,$A12,ЗАКАЗЫ!$AL$3:$AL$500))</f>
        <v>0</v>
      </c>
      <c r="BP12" s="7" t="n">
        <f aca="false">IF(BN12="","",BN12-BO12)</f>
        <v>500</v>
      </c>
      <c r="BQ12" s="55" t="str">
        <f aca="false">IF(BN12="","",IF(BO12&gt;=BN12,"На складе",IF(BO12&gt;0,"Частично","Ждём")))</f>
        <v>Ждём</v>
      </c>
      <c r="BR12" s="43" t="s">
        <v>830</v>
      </c>
      <c r="BS12" s="47" t="n">
        <f aca="false">IF(BN12="","",IF(_xlfn.MAXIFS(ЗАКАЗЫ!$AK$3:$AK$500,ЗАКАЗЫ!$F$3:$F$500,$A12)=0,"",_xlfn.MAXIFS(ЗАКАЗЫ!$AK$3:$AK$500,ЗАКАЗЫ!$F$3:$F$500,$A12)))</f>
        <v>46346</v>
      </c>
    </row>
    <row r="13" customFormat="false" ht="79.5" hidden="false" customHeight="true" outlineLevel="0" collapsed="false">
      <c r="A13" s="80" t="s">
        <v>273</v>
      </c>
      <c r="B13" s="81"/>
      <c r="C13" s="81"/>
      <c r="D13" s="81"/>
      <c r="E13" s="83" t="s">
        <v>831</v>
      </c>
      <c r="F13" s="81"/>
      <c r="G13" s="83" t="s">
        <v>832</v>
      </c>
      <c r="H13" s="83" t="s">
        <v>833</v>
      </c>
      <c r="I13" s="84" t="str">
        <f aca="false">IF(E13="","",A13&amp;"_1.jpg")</f>
        <v>AKO-GV-011_1.jpg</v>
      </c>
      <c r="J13" s="84" t="str">
        <f aca="false">IF(E13="","",A13&amp;"_2.jpg; "&amp;A13&amp;"_3.jpg")</f>
        <v>AKO-GV-011_2.jpg; AKO-GV-011_3.jpg</v>
      </c>
      <c r="K13" s="84" t="str">
        <f aca="false">IF(E13="","",A13&amp;"_schema.jpg")</f>
        <v>AKO-GV-011_schema.jpg</v>
      </c>
      <c r="L13" s="81"/>
      <c r="M13" s="81"/>
      <c r="N13" s="81" t="s">
        <v>85</v>
      </c>
      <c r="O13" s="81" t="n">
        <v>16</v>
      </c>
      <c r="P13" s="81"/>
      <c r="Q13" s="81"/>
      <c r="R13" s="81"/>
      <c r="S13" s="81"/>
      <c r="T13" s="81"/>
      <c r="U13" s="81"/>
      <c r="V13" s="81" t="s">
        <v>96</v>
      </c>
      <c r="W13" s="81"/>
      <c r="X13" s="81" t="s">
        <v>834</v>
      </c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 t="n">
        <v>1000</v>
      </c>
      <c r="AJ13" s="85"/>
      <c r="AK13" s="86" t="n">
        <f aca="false">IF(SUM(Y13:AJ13)=0,"",SUM(Y13:AJ13))</f>
        <v>1000</v>
      </c>
      <c r="AL13" s="84" t="str">
        <f aca="false">MID(IF(N(Y13)&gt;0,", "&amp;Y$2,"")&amp;IF(N(Z13)&gt;0,", "&amp;Z$2,"")&amp;IF(N(AA13)&gt;0,", "&amp;AA$2,"")&amp;IF(N(AB13)&gt;0,", "&amp;AB$2,"")&amp;IF(N(AC13)&gt;0,", "&amp;AC$2,"")&amp;IF(N(AD13)&gt;0,", "&amp;AD$2,"")&amp;IF(N(AE13)&gt;0,", "&amp;AE$2,"")&amp;IF(N(AF13)&gt;0,", "&amp;AF$2,"")&amp;IF(N(AG13)&gt;0,", "&amp;AG$2,"")&amp;IF(N(AH13)&gt;0,", "&amp;AH$2,"")&amp;IF(N(AI13)&gt;0,", "&amp;AI$2,"")&amp;IF(N(AJ13)&gt;0,", "&amp;AJ$2,""),3,999)</f>
        <v>NATURAL</v>
      </c>
      <c r="AM13" s="87" t="str">
        <f aca="false">IF(E13="","",MID(IF(N(Y13)&gt;0,", "&amp;A13&amp;"-"&amp;Y$2,"")&amp;IF(N(Z13)&gt;0,", "&amp;A13&amp;"-"&amp;Z$2,"")&amp;IF(N(AA13)&gt;0,", "&amp;A13&amp;"-"&amp;AA$2,"")&amp;IF(N(AB13)&gt;0,", "&amp;A13&amp;"-"&amp;AB$2,"")&amp;IF(N(AC13)&gt;0,", "&amp;A13&amp;"-"&amp;AC$2,"")&amp;IF(N(AD13)&gt;0,", "&amp;A13&amp;"-"&amp;AD$2,"")&amp;IF(N(AE13)&gt;0,", "&amp;A13&amp;"-"&amp;AE$2,"")&amp;IF(N(AF13)&gt;0,", "&amp;A13&amp;"-"&amp;AF$2,"")&amp;IF(N(AG13)&gt;0,", "&amp;A13&amp;"-"&amp;AG$2,"")&amp;IF(N(AH13)&gt;0,", "&amp;A13&amp;"-"&amp;AH$2,"")&amp;IF(N(AI13)&gt;0,", "&amp;A13&amp;"-"&amp;AI$2,"")&amp;IF(N(AJ13)&gt;0,", "&amp;A13&amp;"-"&amp;AJ$2,""),3,999))</f>
        <v>AKO-GV-011-NATURAL</v>
      </c>
      <c r="AN13" s="81" t="n">
        <v>1</v>
      </c>
      <c r="AO13" s="88" t="n">
        <v>535</v>
      </c>
      <c r="AP13" s="89" t="n">
        <f aca="false">IF(AO13="","",ROUND(AO13/(1+Справочники!$B$13),2))</f>
        <v>535</v>
      </c>
      <c r="AQ13" s="90" t="n">
        <f aca="false" t="array" ref="AQ13:AQ13">IF(AP13="","",AP13*INDEX(Справочники!$B$4:$B$7,MATCH("RUB",Справочники!$A$4:$A$7,0)))</f>
        <v>2835.5</v>
      </c>
      <c r="AR13" s="90" t="n">
        <f aca="false">IF(AQ13="","",ROUND(AQ13*(1+Справочники!$B$12),0))</f>
        <v>3289</v>
      </c>
      <c r="AS13" s="90" t="n">
        <f aca="false">IF(AR13="","",ROUND(AR13*(1-Справочники!$B$11),0))</f>
        <v>3026</v>
      </c>
      <c r="AT13" s="88" t="n">
        <v>1600</v>
      </c>
      <c r="AU13" s="90" t="n">
        <f aca="false">IF(AT13="","",ROUND(AT13/(1+Справочники!$B$12),0))</f>
        <v>1379</v>
      </c>
      <c r="AV13" s="90" t="n">
        <f aca="false">IF(AT13="","",ROUND(AT13*(1-Справочники!$B$15),0))</f>
        <v>1552</v>
      </c>
      <c r="AW13" s="90" t="n">
        <f aca="false">IF(AT13="","",ROUND(AT13*(1-Справочники!$B$16),0))</f>
        <v>1504</v>
      </c>
      <c r="AX13" s="90" t="n">
        <f aca="false">IF(AT13="","",ROUND(AT13*(1-Справочники!$B$17),0))</f>
        <v>1456</v>
      </c>
      <c r="AY13" s="90" t="n">
        <f aca="false">IF(AT13="","",ROUND(AT13*(1-Справочники!$B$18),0))</f>
        <v>1408</v>
      </c>
      <c r="AZ13" s="90" t="n">
        <f aca="false">IF(AT13="","",ROUND(AT13*(1-Справочники!$B$19),0))</f>
        <v>1360</v>
      </c>
      <c r="BA13" s="81" t="n">
        <v>1000</v>
      </c>
      <c r="BB13" s="81" t="s">
        <v>147</v>
      </c>
      <c r="BC13" s="81" t="s">
        <v>274</v>
      </c>
      <c r="BD13" s="81"/>
      <c r="BE13" s="91" t="n">
        <v>4.5</v>
      </c>
      <c r="BF13" s="81" t="s">
        <v>103</v>
      </c>
      <c r="BG13" s="89" t="n">
        <f aca="false" t="array" ref="BG13:BG13">IF(BF13="","",IFERROR(INDEX(Справочники!$B$4:$B$7,MATCH(BF13,Справочники!$A$4:$A$7,0)),""))</f>
        <v>68.5</v>
      </c>
      <c r="BH13" s="90" t="n">
        <f aca="false">IF(N(BN13)&gt;0,ROUND(SUMIF(ЗАКАЗЫ!$F$3:$F$500,$A13,ЗАКАЗЫ!$Y$3:$Y$500)/BN13,0),IF(OR(BE13="",BG13=""),"",ROUND(BE13*BG13*(1+Справочники!$B$10),0)))</f>
        <v>382</v>
      </c>
      <c r="BI13" s="92" t="n">
        <f aca="false">IF(OR(AU13="",BH13="",AU13=0),"",(AU13-BH13)/AU13)</f>
        <v>0.722987672226251</v>
      </c>
      <c r="BJ13" s="81" t="n">
        <v>12</v>
      </c>
      <c r="BK13" s="83"/>
      <c r="BL13" s="43" t="str">
        <f aca="false">IFERROR(INDEX(ЗАКАЗЫ!$N$3:$N$500,MATCH($A13,ЗАКАЗЫ!$F$3:$F$500,0)),"")</f>
        <v>7616 99 900 8</v>
      </c>
      <c r="BM13" s="8" t="n">
        <f aca="false">IF(BL13="","",IFERROR(VLOOKUP(BL13,'ТН ВЭД'!$A$4:$C$40,3,0),""))</f>
        <v>0.09</v>
      </c>
      <c r="BN13" s="7" t="n">
        <f aca="false">IF(COUNTIF(ЗАКАЗЫ!$F$3:$F$500,$A13)=0,"",SUMIF(ЗАКАЗЫ!$F$3:$F$500,$A13,ЗАКАЗЫ!$J$3:$J$500))</f>
        <v>1000</v>
      </c>
      <c r="BO13" s="7" t="n">
        <f aca="false">IF(BN13="","",SUMIF(ЗАКАЗЫ!$F$3:$F$500,$A13,ЗАКАЗЫ!$AL$3:$AL$500))</f>
        <v>0</v>
      </c>
      <c r="BP13" s="7" t="n">
        <f aca="false">IF(BN13="","",BN13-BO13)</f>
        <v>1000</v>
      </c>
      <c r="BQ13" s="55" t="str">
        <f aca="false">IF(BN13="","",IF(BO13&gt;=BN13,"На складе",IF(BO13&gt;0,"Частично","Ждём")))</f>
        <v>Ждём</v>
      </c>
      <c r="BR13" s="43" t="s">
        <v>835</v>
      </c>
      <c r="BS13" s="47" t="n">
        <f aca="false">IF(BN13="","",IF(_xlfn.MAXIFS(ЗАКАЗЫ!$AK$3:$AK$500,ЗАКАЗЫ!$F$3:$F$500,$A13)=0,"",_xlfn.MAXIFS(ЗАКАЗЫ!$AK$3:$AK$500,ЗАКАЗЫ!$F$3:$F$500,$A13)))</f>
        <v>46346</v>
      </c>
    </row>
    <row r="14" customFormat="false" ht="79.5" hidden="false" customHeight="true" outlineLevel="0" collapsed="false">
      <c r="A14" s="80" t="s">
        <v>352</v>
      </c>
      <c r="B14" s="81"/>
      <c r="C14" s="81"/>
      <c r="D14" s="81"/>
      <c r="E14" s="83" t="s">
        <v>836</v>
      </c>
      <c r="F14" s="81"/>
      <c r="G14" s="83" t="s">
        <v>837</v>
      </c>
      <c r="H14" s="83" t="s">
        <v>838</v>
      </c>
      <c r="I14" s="84" t="str">
        <f aca="false">IF(E14="","",A14&amp;"_1.jpg")</f>
        <v>AKO-GV-012_1.jpg</v>
      </c>
      <c r="J14" s="84" t="str">
        <f aca="false">IF(E14="","",A14&amp;"_2.jpg; "&amp;A14&amp;"_3.jpg")</f>
        <v>AKO-GV-012_2.jpg; AKO-GV-012_3.jpg</v>
      </c>
      <c r="K14" s="84" t="str">
        <f aca="false">IF(E14="","",A14&amp;"_schema.jpg")</f>
        <v>AKO-GV-012_schema.jpg</v>
      </c>
      <c r="L14" s="81"/>
      <c r="M14" s="81"/>
      <c r="N14" s="81" t="s">
        <v>85</v>
      </c>
      <c r="O14" s="81" t="n">
        <v>16</v>
      </c>
      <c r="P14" s="81"/>
      <c r="Q14" s="81"/>
      <c r="R14" s="81"/>
      <c r="S14" s="81"/>
      <c r="T14" s="81"/>
      <c r="U14" s="81"/>
      <c r="V14" s="81" t="s">
        <v>96</v>
      </c>
      <c r="W14" s="81"/>
      <c r="X14" s="81" t="s">
        <v>839</v>
      </c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 t="n">
        <v>1000</v>
      </c>
      <c r="AJ14" s="85"/>
      <c r="AK14" s="86" t="n">
        <f aca="false">IF(SUM(Y14:AJ14)=0,"",SUM(Y14:AJ14))</f>
        <v>1000</v>
      </c>
      <c r="AL14" s="84" t="str">
        <f aca="false">MID(IF(N(Y14)&gt;0,", "&amp;Y$2,"")&amp;IF(N(Z14)&gt;0,", "&amp;Z$2,"")&amp;IF(N(AA14)&gt;0,", "&amp;AA$2,"")&amp;IF(N(AB14)&gt;0,", "&amp;AB$2,"")&amp;IF(N(AC14)&gt;0,", "&amp;AC$2,"")&amp;IF(N(AD14)&gt;0,", "&amp;AD$2,"")&amp;IF(N(AE14)&gt;0,", "&amp;AE$2,"")&amp;IF(N(AF14)&gt;0,", "&amp;AF$2,"")&amp;IF(N(AG14)&gt;0,", "&amp;AG$2,"")&amp;IF(N(AH14)&gt;0,", "&amp;AH$2,"")&amp;IF(N(AI14)&gt;0,", "&amp;AI$2,"")&amp;IF(N(AJ14)&gt;0,", "&amp;AJ$2,""),3,999)</f>
        <v>NATURAL</v>
      </c>
      <c r="AM14" s="87" t="str">
        <f aca="false">IF(E14="","",MID(IF(N(Y14)&gt;0,", "&amp;A14&amp;"-"&amp;Y$2,"")&amp;IF(N(Z14)&gt;0,", "&amp;A14&amp;"-"&amp;Z$2,"")&amp;IF(N(AA14)&gt;0,", "&amp;A14&amp;"-"&amp;AA$2,"")&amp;IF(N(AB14)&gt;0,", "&amp;A14&amp;"-"&amp;AB$2,"")&amp;IF(N(AC14)&gt;0,", "&amp;A14&amp;"-"&amp;AC$2,"")&amp;IF(N(AD14)&gt;0,", "&amp;A14&amp;"-"&amp;AD$2,"")&amp;IF(N(AE14)&gt;0,", "&amp;A14&amp;"-"&amp;AE$2,"")&amp;IF(N(AF14)&gt;0,", "&amp;A14&amp;"-"&amp;AF$2,"")&amp;IF(N(AG14)&gt;0,", "&amp;A14&amp;"-"&amp;AG$2,"")&amp;IF(N(AH14)&gt;0,", "&amp;A14&amp;"-"&amp;AH$2,"")&amp;IF(N(AI14)&gt;0,", "&amp;A14&amp;"-"&amp;AI$2,"")&amp;IF(N(AJ14)&gt;0,", "&amp;A14&amp;"-"&amp;AJ$2,""),3,999))</f>
        <v>AKO-GV-012-NATURAL</v>
      </c>
      <c r="AN14" s="81" t="n">
        <v>1</v>
      </c>
      <c r="AO14" s="88" t="n">
        <v>615</v>
      </c>
      <c r="AP14" s="89" t="n">
        <f aca="false">IF(AO14="","",ROUND(AO14/(1+Справочники!$B$13),2))</f>
        <v>615</v>
      </c>
      <c r="AQ14" s="90" t="n">
        <f aca="false" t="array" ref="AQ14:AQ14">IF(AP14="","",AP14*INDEX(Справочники!$B$4:$B$7,MATCH("RUB",Справочники!$A$4:$A$7,0)))</f>
        <v>3259.5</v>
      </c>
      <c r="AR14" s="90" t="n">
        <f aca="false">IF(AQ14="","",ROUND(AQ14*(1+Справочники!$B$12),0))</f>
        <v>3781</v>
      </c>
      <c r="AS14" s="90" t="n">
        <f aca="false">IF(AR14="","",ROUND(AR14*(1-Справочники!$B$11),0))</f>
        <v>3479</v>
      </c>
      <c r="AT14" s="88" t="n">
        <v>2000</v>
      </c>
      <c r="AU14" s="90" t="n">
        <f aca="false">IF(AT14="","",ROUND(AT14/(1+Справочники!$B$12),0))</f>
        <v>1724</v>
      </c>
      <c r="AV14" s="90" t="n">
        <f aca="false">IF(AT14="","",ROUND(AT14*(1-Справочники!$B$15),0))</f>
        <v>1940</v>
      </c>
      <c r="AW14" s="90" t="n">
        <f aca="false">IF(AT14="","",ROUND(AT14*(1-Справочники!$B$16),0))</f>
        <v>1880</v>
      </c>
      <c r="AX14" s="90" t="n">
        <f aca="false">IF(AT14="","",ROUND(AT14*(1-Справочники!$B$17),0))</f>
        <v>1820</v>
      </c>
      <c r="AY14" s="90" t="n">
        <f aca="false">IF(AT14="","",ROUND(AT14*(1-Справочники!$B$18),0))</f>
        <v>1760</v>
      </c>
      <c r="AZ14" s="90" t="n">
        <f aca="false">IF(AT14="","",ROUND(AT14*(1-Справочники!$B$19),0))</f>
        <v>1700</v>
      </c>
      <c r="BA14" s="81" t="n">
        <v>1000</v>
      </c>
      <c r="BB14" s="81" t="s">
        <v>100</v>
      </c>
      <c r="BC14" s="81" t="s">
        <v>353</v>
      </c>
      <c r="BD14" s="81"/>
      <c r="BE14" s="91" t="n">
        <v>5.5</v>
      </c>
      <c r="BF14" s="81" t="s">
        <v>103</v>
      </c>
      <c r="BG14" s="89" t="n">
        <f aca="false" t="array" ref="BG14:BG14">IF(BF14="","",IFERROR(INDEX(Справочники!$B$4:$B$7,MATCH(BF14,Справочники!$A$4:$A$7,0)),""))</f>
        <v>68.5</v>
      </c>
      <c r="BH14" s="90" t="n">
        <f aca="false">IF(N(BN14)&gt;0,ROUND(SUMIF(ЗАКАЗЫ!$F$3:$F$500,$A14,ЗАКАЗЫ!$Y$3:$Y$500)/BN14,0),IF(OR(BE14="",BG14=""),"",ROUND(BE14*BG14*(1+Справочники!$B$10),0)))</f>
        <v>467</v>
      </c>
      <c r="BI14" s="92" t="n">
        <f aca="false">IF(OR(AU14="",BH14="",AU14=0),"",(AU14-BH14)/AU14)</f>
        <v>0.729118329466357</v>
      </c>
      <c r="BJ14" s="81"/>
      <c r="BK14" s="83"/>
      <c r="BL14" s="43" t="str">
        <f aca="false">IFERROR(INDEX(ЗАКАЗЫ!$N$3:$N$500,MATCH($A14,ЗАКАЗЫ!$F$3:$F$500,0)),"")</f>
        <v>7616 99 900 8</v>
      </c>
      <c r="BM14" s="8" t="n">
        <f aca="false">IF(BL14="","",IFERROR(VLOOKUP(BL14,'ТН ВЭД'!$A$4:$C$40,3,0),""))</f>
        <v>0.09</v>
      </c>
      <c r="BN14" s="7" t="n">
        <f aca="false">IF(COUNTIF(ЗАКАЗЫ!$F$3:$F$500,$A14)=0,"",SUMIF(ЗАКАЗЫ!$F$3:$F$500,$A14,ЗАКАЗЫ!$J$3:$J$500))</f>
        <v>1000</v>
      </c>
      <c r="BO14" s="7" t="n">
        <f aca="false">IF(BN14="","",SUMIF(ЗАКАЗЫ!$F$3:$F$500,$A14,ЗАКАЗЫ!$AL$3:$AL$500))</f>
        <v>0</v>
      </c>
      <c r="BP14" s="7" t="n">
        <f aca="false">IF(BN14="","",BN14-BO14)</f>
        <v>1000</v>
      </c>
      <c r="BQ14" s="55" t="str">
        <f aca="false">IF(BN14="","",IF(BO14&gt;=BN14,"На складе",IF(BO14&gt;0,"Частично","Ждём")))</f>
        <v>Ждём</v>
      </c>
      <c r="BR14" s="43" t="s">
        <v>840</v>
      </c>
      <c r="BS14" s="47" t="str">
        <f aca="false">IF(BN14="","",IF(_xlfn.MAXIFS(ЗАКАЗЫ!$AK$3:$AK$500,ЗАКАЗЫ!$F$3:$F$500,$A14)=0,"",_xlfn.MAXIFS(ЗАКАЗЫ!$AK$3:$AK$500,ЗАКАЗЫ!$F$3:$F$500,$A14)))</f>
        <v/>
      </c>
    </row>
    <row r="15" customFormat="false" ht="79.5" hidden="false" customHeight="true" outlineLevel="0" collapsed="false">
      <c r="A15" s="80" t="s">
        <v>306</v>
      </c>
      <c r="B15" s="81" t="s">
        <v>841</v>
      </c>
      <c r="C15" s="81"/>
      <c r="D15" s="81"/>
      <c r="E15" s="83" t="s">
        <v>842</v>
      </c>
      <c r="F15" s="81" t="s">
        <v>843</v>
      </c>
      <c r="G15" s="83" t="s">
        <v>844</v>
      </c>
      <c r="H15" s="83" t="s">
        <v>845</v>
      </c>
      <c r="I15" s="84" t="str">
        <f aca="false">IF(E15="","",A15&amp;"_1.jpg")</f>
        <v>AKO-GV-013_1.jpg</v>
      </c>
      <c r="J15" s="84" t="str">
        <f aca="false">IF(E15="","",A15&amp;"_2.jpg; "&amp;A15&amp;"_3.jpg")</f>
        <v>AKO-GV-013_2.jpg; AKO-GV-013_3.jpg</v>
      </c>
      <c r="K15" s="84" t="str">
        <f aca="false">IF(E15="","",A15&amp;"_schema.jpg")</f>
        <v>AKO-GV-013_schema.jpg</v>
      </c>
      <c r="L15" s="81" t="s">
        <v>150</v>
      </c>
      <c r="M15" s="81"/>
      <c r="N15" s="81" t="s">
        <v>85</v>
      </c>
      <c r="O15" s="81" t="n">
        <v>16</v>
      </c>
      <c r="P15" s="81"/>
      <c r="Q15" s="81"/>
      <c r="R15" s="81"/>
      <c r="S15" s="81" t="s">
        <v>846</v>
      </c>
      <c r="T15" s="81"/>
      <c r="U15" s="81" t="n">
        <v>38</v>
      </c>
      <c r="V15" s="81" t="s">
        <v>96</v>
      </c>
      <c r="W15" s="81"/>
      <c r="X15" s="81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 t="n">
        <v>500</v>
      </c>
      <c r="AJ15" s="85"/>
      <c r="AK15" s="86" t="n">
        <f aca="false">IF(SUM(Y15:AJ15)=0,"",SUM(Y15:AJ15))</f>
        <v>500</v>
      </c>
      <c r="AL15" s="84" t="str">
        <f aca="false">MID(IF(N(Y15)&gt;0,", "&amp;Y$2,"")&amp;IF(N(Z15)&gt;0,", "&amp;Z$2,"")&amp;IF(N(AA15)&gt;0,", "&amp;AA$2,"")&amp;IF(N(AB15)&gt;0,", "&amp;AB$2,"")&amp;IF(N(AC15)&gt;0,", "&amp;AC$2,"")&amp;IF(N(AD15)&gt;0,", "&amp;AD$2,"")&amp;IF(N(AE15)&gt;0,", "&amp;AE$2,"")&amp;IF(N(AF15)&gt;0,", "&amp;AF$2,"")&amp;IF(N(AG15)&gt;0,", "&amp;AG$2,"")&amp;IF(N(AH15)&gt;0,", "&amp;AH$2,"")&amp;IF(N(AI15)&gt;0,", "&amp;AI$2,"")&amp;IF(N(AJ15)&gt;0,", "&amp;AJ$2,""),3,999)</f>
        <v>NATURAL</v>
      </c>
      <c r="AM15" s="87" t="str">
        <f aca="false">IF(E15="","",MID(IF(N(Y15)&gt;0,", "&amp;A15&amp;"-"&amp;Y$2,"")&amp;IF(N(Z15)&gt;0,", "&amp;A15&amp;"-"&amp;Z$2,"")&amp;IF(N(AA15)&gt;0,", "&amp;A15&amp;"-"&amp;AA$2,"")&amp;IF(N(AB15)&gt;0,", "&amp;A15&amp;"-"&amp;AB$2,"")&amp;IF(N(AC15)&gt;0,", "&amp;A15&amp;"-"&amp;AC$2,"")&amp;IF(N(AD15)&gt;0,", "&amp;A15&amp;"-"&amp;AD$2,"")&amp;IF(N(AE15)&gt;0,", "&amp;A15&amp;"-"&amp;AE$2,"")&amp;IF(N(AF15)&gt;0,", "&amp;A15&amp;"-"&amp;AF$2,"")&amp;IF(N(AG15)&gt;0,", "&amp;A15&amp;"-"&amp;AG$2,"")&amp;IF(N(AH15)&gt;0,", "&amp;A15&amp;"-"&amp;AH$2,"")&amp;IF(N(AI15)&gt;0,", "&amp;A15&amp;"-"&amp;AI$2,"")&amp;IF(N(AJ15)&gt;0,", "&amp;A15&amp;"-"&amp;AJ$2,""),3,999))</f>
        <v>AKO-GV-013-NATURAL</v>
      </c>
      <c r="AN15" s="81" t="n">
        <v>1</v>
      </c>
      <c r="AO15" s="88"/>
      <c r="AP15" s="89" t="str">
        <f aca="false">IF(AO15="","",ROUND(AO15/(1+Справочники!$B$13),2))</f>
        <v/>
      </c>
      <c r="AQ15" s="90" t="str">
        <f aca="false" t="array" ref="AQ15:AQ15">IF(AP15="","",AP15*INDEX(Справочники!$B$4:$B$7,MATCH("RUB",Справочники!$A$4:$A$7,0)))</f>
        <v/>
      </c>
      <c r="AR15" s="90" t="str">
        <f aca="false">IF(AQ15="","",ROUND(AQ15*(1+Справочники!$B$12),0))</f>
        <v/>
      </c>
      <c r="AS15" s="90" t="str">
        <f aca="false">IF(AR15="","",ROUND(AR15*(1-Справочники!$B$11),0))</f>
        <v/>
      </c>
      <c r="AT15" s="93" t="n">
        <f aca="false">IF(BH15="","",IF(AS15="",ROUNDUP(BH15/(1-Справочники!$B$23)*(1+Справочники!$B$12),-1),MAX(AS15,ROUNDUP(BH15/(1-Справочники!$B$24)*(1+Справочники!$B$12),-1))))</f>
        <v>500</v>
      </c>
      <c r="AU15" s="90" t="n">
        <f aca="false">IF(AT15="","",ROUND(AT15/(1+Справочники!$B$12),0))</f>
        <v>431</v>
      </c>
      <c r="AV15" s="90" t="n">
        <f aca="false">IF(AT15="","",ROUND(AT15*(1-Справочники!$B$15),0))</f>
        <v>485</v>
      </c>
      <c r="AW15" s="90" t="n">
        <f aca="false">IF(AT15="","",ROUND(AT15*(1-Справочники!$B$16),0))</f>
        <v>470</v>
      </c>
      <c r="AX15" s="90" t="n">
        <f aca="false">IF(AT15="","",ROUND(AT15*(1-Справочники!$B$17),0))</f>
        <v>455</v>
      </c>
      <c r="AY15" s="90" t="n">
        <f aca="false">IF(AT15="","",ROUND(AT15*(1-Справочники!$B$18),0))</f>
        <v>440</v>
      </c>
      <c r="AZ15" s="90" t="n">
        <f aca="false">IF(AT15="","",ROUND(AT15*(1-Справочники!$B$19),0))</f>
        <v>425</v>
      </c>
      <c r="BA15" s="81"/>
      <c r="BB15" s="81" t="s">
        <v>147</v>
      </c>
      <c r="BC15" s="81" t="s">
        <v>307</v>
      </c>
      <c r="BD15" s="81"/>
      <c r="BE15" s="91" t="n">
        <v>2.5</v>
      </c>
      <c r="BF15" s="81" t="s">
        <v>103</v>
      </c>
      <c r="BG15" s="89" t="n">
        <f aca="false" t="array" ref="BG15:BG15">IF(BF15="","",IFERROR(INDEX(Справочники!$B$4:$B$7,MATCH(BF15,Справочники!$A$4:$A$7,0)),""))</f>
        <v>68.5</v>
      </c>
      <c r="BH15" s="90" t="n">
        <f aca="false">IF(N(BN15)&gt;0,ROUND(SUMIF(ЗАКАЗЫ!$F$3:$F$500,$A15,ЗАКАЗЫ!$Y$3:$Y$500)/BN15,0),IF(OR(BE15="",BG15=""),"",ROUND(BE15*BG15*(1+Справочники!$B$10),0)))</f>
        <v>212</v>
      </c>
      <c r="BI15" s="92" t="n">
        <f aca="false">IF(OR(AU15="",BH15="",AU15=0),"",(AU15-BH15)/AU15)</f>
        <v>0.508120649651972</v>
      </c>
      <c r="BJ15" s="81" t="n">
        <v>12</v>
      </c>
      <c r="BK15" s="83"/>
      <c r="BL15" s="43" t="str">
        <f aca="false">IFERROR(INDEX(ЗАКАЗЫ!$N$3:$N$500,MATCH($A15,ЗАКАЗЫ!$F$3:$F$500,0)),"")</f>
        <v>7616 99 900 8</v>
      </c>
      <c r="BM15" s="8" t="n">
        <f aca="false">IF(BL15="","",IFERROR(VLOOKUP(BL15,'ТН ВЭД'!$A$4:$C$40,3,0),""))</f>
        <v>0.09</v>
      </c>
      <c r="BN15" s="7" t="n">
        <f aca="false">IF(COUNTIF(ЗАКАЗЫ!$F$3:$F$500,$A15)=0,"",SUMIF(ЗАКАЗЫ!$F$3:$F$500,$A15,ЗАКАЗЫ!$J$3:$J$500))</f>
        <v>500</v>
      </c>
      <c r="BO15" s="7" t="n">
        <f aca="false">IF(BN15="","",SUMIF(ЗАКАЗЫ!$F$3:$F$500,$A15,ЗАКАЗЫ!$AL$3:$AL$500))</f>
        <v>0</v>
      </c>
      <c r="BP15" s="7" t="n">
        <f aca="false">IF(BN15="","",BN15-BO15)</f>
        <v>500</v>
      </c>
      <c r="BQ15" s="55" t="str">
        <f aca="false">IF(BN15="","",IF(BO15&gt;=BN15,"На складе",IF(BO15&gt;0,"Частично","Ждём")))</f>
        <v>Ждём</v>
      </c>
      <c r="BR15" s="43" t="s">
        <v>847</v>
      </c>
      <c r="BS15" s="47" t="n">
        <f aca="false">IF(BN15="","",IF(_xlfn.MAXIFS(ЗАКАЗЫ!$AK$3:$AK$500,ЗАКАЗЫ!$F$3:$F$500,$A15)=0,"",_xlfn.MAXIFS(ЗАКАЗЫ!$AK$3:$AK$500,ЗАКАЗЫ!$F$3:$F$500,$A15)))</f>
        <v>46346</v>
      </c>
    </row>
    <row r="16" customFormat="false" ht="15.75" hidden="false" customHeight="true" outlineLevel="0" collapsed="false">
      <c r="A16" s="80" t="s">
        <v>848</v>
      </c>
      <c r="B16" s="81"/>
      <c r="C16" s="81"/>
      <c r="D16" s="81"/>
      <c r="E16" s="83"/>
      <c r="F16" s="81"/>
      <c r="G16" s="83"/>
      <c r="H16" s="83"/>
      <c r="I16" s="84" t="str">
        <f aca="false">IF(E16="","",A16&amp;"_1.jpg")</f>
        <v/>
      </c>
      <c r="J16" s="84" t="str">
        <f aca="false">IF(E16="","",A16&amp;"_2.jpg; "&amp;A16&amp;"_3.jpg")</f>
        <v/>
      </c>
      <c r="K16" s="84" t="str">
        <f aca="false">IF(E16="","",A16&amp;"_schema.jpg")</f>
        <v/>
      </c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 t="s">
        <v>96</v>
      </c>
      <c r="W16" s="81"/>
      <c r="X16" s="81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6" t="str">
        <f aca="false">IF(SUM(Y16:AJ16)=0,"",SUM(Y16:AJ16))</f>
        <v/>
      </c>
      <c r="AL16" s="84" t="str">
        <f aca="false">MID(IF(N(Y16)&gt;0,", "&amp;Y$2,"")&amp;IF(N(Z16)&gt;0,", "&amp;Z$2,"")&amp;IF(N(AA16)&gt;0,", "&amp;AA$2,"")&amp;IF(N(AB16)&gt;0,", "&amp;AB$2,"")&amp;IF(N(AC16)&gt;0,", "&amp;AC$2,"")&amp;IF(N(AD16)&gt;0,", "&amp;AD$2,"")&amp;IF(N(AE16)&gt;0,", "&amp;AE$2,"")&amp;IF(N(AF16)&gt;0,", "&amp;AF$2,"")&amp;IF(N(AG16)&gt;0,", "&amp;AG$2,"")&amp;IF(N(AH16)&gt;0,", "&amp;AH$2,"")&amp;IF(N(AI16)&gt;0,", "&amp;AI$2,"")&amp;IF(N(AJ16)&gt;0,", "&amp;AJ$2,""),3,999)</f>
        <v/>
      </c>
      <c r="AM16" s="87" t="str">
        <f aca="false">IF(E16="","",MID(IF(N(Y16)&gt;0,", "&amp;A16&amp;"-"&amp;Y$2,"")&amp;IF(N(Z16)&gt;0,", "&amp;A16&amp;"-"&amp;Z$2,"")&amp;IF(N(AA16)&gt;0,", "&amp;A16&amp;"-"&amp;AA$2,"")&amp;IF(N(AB16)&gt;0,", "&amp;A16&amp;"-"&amp;AB$2,"")&amp;IF(N(AC16)&gt;0,", "&amp;A16&amp;"-"&amp;AC$2,"")&amp;IF(N(AD16)&gt;0,", "&amp;A16&amp;"-"&amp;AD$2,"")&amp;IF(N(AE16)&gt;0,", "&amp;A16&amp;"-"&amp;AE$2,"")&amp;IF(N(AF16)&gt;0,", "&amp;A16&amp;"-"&amp;AF$2,"")&amp;IF(N(AG16)&gt;0,", "&amp;A16&amp;"-"&amp;AG$2,"")&amp;IF(N(AH16)&gt;0,", "&amp;A16&amp;"-"&amp;AH$2,"")&amp;IF(N(AI16)&gt;0,", "&amp;A16&amp;"-"&amp;AI$2,"")&amp;IF(N(AJ16)&gt;0,", "&amp;A16&amp;"-"&amp;AJ$2,""),3,999))</f>
        <v/>
      </c>
      <c r="AN16" s="81"/>
      <c r="AO16" s="88"/>
      <c r="AP16" s="89" t="str">
        <f aca="false">IF(AO16="","",ROUND(AO16/(1+Справочники!$B$13),2))</f>
        <v/>
      </c>
      <c r="AQ16" s="90" t="str">
        <f aca="false" t="array" ref="AQ16:AQ16">IF(AP16="","",AP16*INDEX(Справочники!$B$4:$B$7,MATCH("RUB",Справочники!$A$4:$A$7,0)))</f>
        <v/>
      </c>
      <c r="AR16" s="90" t="str">
        <f aca="false">IF(AQ16="","",ROUND(AQ16*(1+Справочники!$B$12),0))</f>
        <v/>
      </c>
      <c r="AS16" s="90" t="str">
        <f aca="false">IF(AR16="","",ROUND(AR16*(1-Справочники!$B$11),0))</f>
        <v/>
      </c>
      <c r="AT16" s="88"/>
      <c r="AU16" s="90" t="str">
        <f aca="false">IF(AT16="","",ROUND(AT16/(1+Справочники!$B$12),0))</f>
        <v/>
      </c>
      <c r="AV16" s="90" t="str">
        <f aca="false">IF(AT16="","",ROUND(AT16*(1-Справочники!$B$15),0))</f>
        <v/>
      </c>
      <c r="AW16" s="90" t="str">
        <f aca="false">IF(AT16="","",ROUND(AT16*(1-Справочники!$B$16),0))</f>
        <v/>
      </c>
      <c r="AX16" s="90" t="str">
        <f aca="false">IF(AT16="","",ROUND(AT16*(1-Справочники!$B$17),0))</f>
        <v/>
      </c>
      <c r="AY16" s="90" t="str">
        <f aca="false">IF(AT16="","",ROUND(AT16*(1-Справочники!$B$18),0))</f>
        <v/>
      </c>
      <c r="AZ16" s="90" t="str">
        <f aca="false">IF(AT16="","",ROUND(AT16*(1-Справочники!$B$19),0))</f>
        <v/>
      </c>
      <c r="BA16" s="81"/>
      <c r="BB16" s="81"/>
      <c r="BC16" s="81"/>
      <c r="BD16" s="81"/>
      <c r="BE16" s="91"/>
      <c r="BF16" s="81" t="s">
        <v>103</v>
      </c>
      <c r="BG16" s="89" t="n">
        <f aca="false" t="array" ref="BG16:BG16">IF(BF16="","",IFERROR(INDEX(Справочники!$B$4:$B$7,MATCH(BF16,Справочники!$A$4:$A$7,0)),""))</f>
        <v>68.5</v>
      </c>
      <c r="BH16" s="90" t="str">
        <f aca="false">IF(N(BN16)&gt;0,ROUND(SUMIF(ЗАКАЗЫ!$F$3:$F$500,$A16,ЗАКАЗЫ!$Y$3:$Y$500)/BN16,0),IF(OR(BE16="",BG16=""),"",ROUND(BE16*BG16*(1+Справочники!$B$10),0)))</f>
        <v/>
      </c>
      <c r="BI16" s="92" t="str">
        <f aca="false">IF(OR(AU16="",BH16="",AU16=0),"",(AU16-BH16)/AU16)</f>
        <v/>
      </c>
      <c r="BJ16" s="81"/>
      <c r="BK16" s="83"/>
      <c r="BL16" s="43" t="str">
        <f aca="false">IFERROR(INDEX(ЗАКАЗЫ!$N$3:$N$500,MATCH($A16,ЗАКАЗЫ!$F$3:$F$500,0)),"")</f>
        <v/>
      </c>
      <c r="BM16" s="8" t="str">
        <f aca="false">IF(BL16="","",IFERROR(VLOOKUP(BL16,'ТН ВЭД'!$A$4:$C$40,3,0),""))</f>
        <v/>
      </c>
      <c r="BN16" s="7" t="str">
        <f aca="false">IF(COUNTIF(ЗАКАЗЫ!$F$3:$F$500,$A16)=0,"",SUMIF(ЗАКАЗЫ!$F$3:$F$500,$A16,ЗАКАЗЫ!$J$3:$J$500))</f>
        <v/>
      </c>
      <c r="BO16" s="7" t="str">
        <f aca="false">IF(BN16="","",SUMIF(ЗАКАЗЫ!$F$3:$F$500,$A16,ЗАКАЗЫ!$AL$3:$AL$500))</f>
        <v/>
      </c>
      <c r="BP16" s="7" t="str">
        <f aca="false">IF(BN16="","",BN16-BO16)</f>
        <v/>
      </c>
      <c r="BQ16" s="55" t="str">
        <f aca="false">IF(BN16="","",IF(BO16&gt;=BN16,"На складе",IF(BO16&gt;0,"Частично","Ждём")))</f>
        <v/>
      </c>
      <c r="BR16" s="43"/>
      <c r="BS16" s="47" t="str">
        <f aca="false">IF(BN16="","",IF(_xlfn.MAXIFS(ЗАКАЗЫ!$AK$3:$AK$500,ЗАКАЗЫ!$F$3:$F$500,$A16)=0,"",_xlfn.MAXIFS(ЗАКАЗЫ!$AK$3:$AK$500,ЗАКАЗЫ!$F$3:$F$500,$A16)))</f>
        <v/>
      </c>
    </row>
    <row r="17" customFormat="false" ht="15.75" hidden="false" customHeight="true" outlineLevel="0" collapsed="false">
      <c r="A17" s="80" t="s">
        <v>849</v>
      </c>
      <c r="B17" s="81"/>
      <c r="C17" s="81"/>
      <c r="D17" s="81"/>
      <c r="E17" s="83"/>
      <c r="F17" s="81"/>
      <c r="G17" s="83"/>
      <c r="H17" s="83"/>
      <c r="I17" s="84" t="str">
        <f aca="false">IF(E17="","",A17&amp;"_1.jpg")</f>
        <v/>
      </c>
      <c r="J17" s="84" t="str">
        <f aca="false">IF(E17="","",A17&amp;"_2.jpg; "&amp;A17&amp;"_3.jpg")</f>
        <v/>
      </c>
      <c r="K17" s="84" t="str">
        <f aca="false">IF(E17="","",A17&amp;"_schema.jpg")</f>
        <v/>
      </c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 t="s">
        <v>96</v>
      </c>
      <c r="W17" s="81"/>
      <c r="X17" s="81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6" t="str">
        <f aca="false">IF(SUM(Y17:AJ17)=0,"",SUM(Y17:AJ17))</f>
        <v/>
      </c>
      <c r="AL17" s="84" t="str">
        <f aca="false">MID(IF(N(Y17)&gt;0,", "&amp;Y$2,"")&amp;IF(N(Z17)&gt;0,", "&amp;Z$2,"")&amp;IF(N(AA17)&gt;0,", "&amp;AA$2,"")&amp;IF(N(AB17)&gt;0,", "&amp;AB$2,"")&amp;IF(N(AC17)&gt;0,", "&amp;AC$2,"")&amp;IF(N(AD17)&gt;0,", "&amp;AD$2,"")&amp;IF(N(AE17)&gt;0,", "&amp;AE$2,"")&amp;IF(N(AF17)&gt;0,", "&amp;AF$2,"")&amp;IF(N(AG17)&gt;0,", "&amp;AG$2,"")&amp;IF(N(AH17)&gt;0,", "&amp;AH$2,"")&amp;IF(N(AI17)&gt;0,", "&amp;AI$2,"")&amp;IF(N(AJ17)&gt;0,", "&amp;AJ$2,""),3,999)</f>
        <v/>
      </c>
      <c r="AM17" s="87" t="str">
        <f aca="false">IF(E17="","",MID(IF(N(Y17)&gt;0,", "&amp;A17&amp;"-"&amp;Y$2,"")&amp;IF(N(Z17)&gt;0,", "&amp;A17&amp;"-"&amp;Z$2,"")&amp;IF(N(AA17)&gt;0,", "&amp;A17&amp;"-"&amp;AA$2,"")&amp;IF(N(AB17)&gt;0,", "&amp;A17&amp;"-"&amp;AB$2,"")&amp;IF(N(AC17)&gt;0,", "&amp;A17&amp;"-"&amp;AC$2,"")&amp;IF(N(AD17)&gt;0,", "&amp;A17&amp;"-"&amp;AD$2,"")&amp;IF(N(AE17)&gt;0,", "&amp;A17&amp;"-"&amp;AE$2,"")&amp;IF(N(AF17)&gt;0,", "&amp;A17&amp;"-"&amp;AF$2,"")&amp;IF(N(AG17)&gt;0,", "&amp;A17&amp;"-"&amp;AG$2,"")&amp;IF(N(AH17)&gt;0,", "&amp;A17&amp;"-"&amp;AH$2,"")&amp;IF(N(AI17)&gt;0,", "&amp;A17&amp;"-"&amp;AI$2,"")&amp;IF(N(AJ17)&gt;0,", "&amp;A17&amp;"-"&amp;AJ$2,""),3,999))</f>
        <v/>
      </c>
      <c r="AN17" s="81"/>
      <c r="AO17" s="88"/>
      <c r="AP17" s="89" t="str">
        <f aca="false">IF(AO17="","",ROUND(AO17/(1+Справочники!$B$13),2))</f>
        <v/>
      </c>
      <c r="AQ17" s="90" t="str">
        <f aca="false" t="array" ref="AQ17:AQ17">IF(AP17="","",AP17*INDEX(Справочники!$B$4:$B$7,MATCH("RUB",Справочники!$A$4:$A$7,0)))</f>
        <v/>
      </c>
      <c r="AR17" s="90" t="str">
        <f aca="false">IF(AQ17="","",ROUND(AQ17*(1+Справочники!$B$12),0))</f>
        <v/>
      </c>
      <c r="AS17" s="90" t="str">
        <f aca="false">IF(AR17="","",ROUND(AR17*(1-Справочники!$B$11),0))</f>
        <v/>
      </c>
      <c r="AT17" s="88"/>
      <c r="AU17" s="90" t="str">
        <f aca="false">IF(AT17="","",ROUND(AT17/(1+Справочники!$B$12),0))</f>
        <v/>
      </c>
      <c r="AV17" s="90" t="str">
        <f aca="false">IF(AT17="","",ROUND(AT17*(1-Справочники!$B$15),0))</f>
        <v/>
      </c>
      <c r="AW17" s="90" t="str">
        <f aca="false">IF(AT17="","",ROUND(AT17*(1-Справочники!$B$16),0))</f>
        <v/>
      </c>
      <c r="AX17" s="90" t="str">
        <f aca="false">IF(AT17="","",ROUND(AT17*(1-Справочники!$B$17),0))</f>
        <v/>
      </c>
      <c r="AY17" s="90" t="str">
        <f aca="false">IF(AT17="","",ROUND(AT17*(1-Справочники!$B$18),0))</f>
        <v/>
      </c>
      <c r="AZ17" s="90" t="str">
        <f aca="false">IF(AT17="","",ROUND(AT17*(1-Справочники!$B$19),0))</f>
        <v/>
      </c>
      <c r="BA17" s="81"/>
      <c r="BB17" s="81"/>
      <c r="BC17" s="81"/>
      <c r="BD17" s="81"/>
      <c r="BE17" s="91"/>
      <c r="BF17" s="81" t="s">
        <v>103</v>
      </c>
      <c r="BG17" s="89" t="n">
        <f aca="false" t="array" ref="BG17:BG17">IF(BF17="","",IFERROR(INDEX(Справочники!$B$4:$B$7,MATCH(BF17,Справочники!$A$4:$A$7,0)),""))</f>
        <v>68.5</v>
      </c>
      <c r="BH17" s="90" t="str">
        <f aca="false">IF(N(BN17)&gt;0,ROUND(SUMIF(ЗАКАЗЫ!$F$3:$F$500,$A17,ЗАКАЗЫ!$Y$3:$Y$500)/BN17,0),IF(OR(BE17="",BG17=""),"",ROUND(BE17*BG17*(1+Справочники!$B$10),0)))</f>
        <v/>
      </c>
      <c r="BI17" s="92" t="str">
        <f aca="false">IF(OR(AU17="",BH17="",AU17=0),"",(AU17-BH17)/AU17)</f>
        <v/>
      </c>
      <c r="BJ17" s="81"/>
      <c r="BK17" s="83"/>
      <c r="BL17" s="43" t="str">
        <f aca="false">IFERROR(INDEX(ЗАКАЗЫ!$N$3:$N$500,MATCH($A17,ЗАКАЗЫ!$F$3:$F$500,0)),"")</f>
        <v/>
      </c>
      <c r="BM17" s="8" t="str">
        <f aca="false">IF(BL17="","",IFERROR(VLOOKUP(BL17,'ТН ВЭД'!$A$4:$C$40,3,0),""))</f>
        <v/>
      </c>
      <c r="BN17" s="7" t="str">
        <f aca="false">IF(COUNTIF(ЗАКАЗЫ!$F$3:$F$500,$A17)=0,"",SUMIF(ЗАКАЗЫ!$F$3:$F$500,$A17,ЗАКАЗЫ!$J$3:$J$500))</f>
        <v/>
      </c>
      <c r="BO17" s="7" t="str">
        <f aca="false">IF(BN17="","",SUMIF(ЗАКАЗЫ!$F$3:$F$500,$A17,ЗАКАЗЫ!$AL$3:$AL$500))</f>
        <v/>
      </c>
      <c r="BP17" s="7" t="str">
        <f aca="false">IF(BN17="","",BN17-BO17)</f>
        <v/>
      </c>
      <c r="BQ17" s="55" t="str">
        <f aca="false">IF(BN17="","",IF(BO17&gt;=BN17,"На складе",IF(BO17&gt;0,"Частично","Ждём")))</f>
        <v/>
      </c>
      <c r="BR17" s="43"/>
      <c r="BS17" s="47" t="str">
        <f aca="false">IF(BN17="","",IF(_xlfn.MAXIFS(ЗАКАЗЫ!$AK$3:$AK$500,ЗАКАЗЫ!$F$3:$F$500,$A17)=0,"",_xlfn.MAXIFS(ЗАКАЗЫ!$AK$3:$AK$500,ЗАКАЗЫ!$F$3:$F$500,$A17)))</f>
        <v/>
      </c>
    </row>
    <row r="18" customFormat="false" ht="15.75" hidden="false" customHeight="true" outlineLevel="0" collapsed="false">
      <c r="A18" s="80" t="s">
        <v>850</v>
      </c>
      <c r="B18" s="81"/>
      <c r="C18" s="81"/>
      <c r="D18" s="81"/>
      <c r="E18" s="83"/>
      <c r="F18" s="81"/>
      <c r="G18" s="83"/>
      <c r="H18" s="83"/>
      <c r="I18" s="84" t="str">
        <f aca="false">IF(E18="","",A18&amp;"_1.jpg")</f>
        <v/>
      </c>
      <c r="J18" s="84" t="str">
        <f aca="false">IF(E18="","",A18&amp;"_2.jpg; "&amp;A18&amp;"_3.jpg")</f>
        <v/>
      </c>
      <c r="K18" s="84" t="str">
        <f aca="false">IF(E18="","",A18&amp;"_schema.jpg")</f>
        <v/>
      </c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 t="s">
        <v>96</v>
      </c>
      <c r="W18" s="81"/>
      <c r="X18" s="81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6" t="str">
        <f aca="false">IF(SUM(Y18:AJ18)=0,"",SUM(Y18:AJ18))</f>
        <v/>
      </c>
      <c r="AL18" s="84" t="str">
        <f aca="false">MID(IF(N(Y18)&gt;0,", "&amp;Y$2,"")&amp;IF(N(Z18)&gt;0,", "&amp;Z$2,"")&amp;IF(N(AA18)&gt;0,", "&amp;AA$2,"")&amp;IF(N(AB18)&gt;0,", "&amp;AB$2,"")&amp;IF(N(AC18)&gt;0,", "&amp;AC$2,"")&amp;IF(N(AD18)&gt;0,", "&amp;AD$2,"")&amp;IF(N(AE18)&gt;0,", "&amp;AE$2,"")&amp;IF(N(AF18)&gt;0,", "&amp;AF$2,"")&amp;IF(N(AG18)&gt;0,", "&amp;AG$2,"")&amp;IF(N(AH18)&gt;0,", "&amp;AH$2,"")&amp;IF(N(AI18)&gt;0,", "&amp;AI$2,"")&amp;IF(N(AJ18)&gt;0,", "&amp;AJ$2,""),3,999)</f>
        <v/>
      </c>
      <c r="AM18" s="87" t="str">
        <f aca="false">IF(E18="","",MID(IF(N(Y18)&gt;0,", "&amp;A18&amp;"-"&amp;Y$2,"")&amp;IF(N(Z18)&gt;0,", "&amp;A18&amp;"-"&amp;Z$2,"")&amp;IF(N(AA18)&gt;0,", "&amp;A18&amp;"-"&amp;AA$2,"")&amp;IF(N(AB18)&gt;0,", "&amp;A18&amp;"-"&amp;AB$2,"")&amp;IF(N(AC18)&gt;0,", "&amp;A18&amp;"-"&amp;AC$2,"")&amp;IF(N(AD18)&gt;0,", "&amp;A18&amp;"-"&amp;AD$2,"")&amp;IF(N(AE18)&gt;0,", "&amp;A18&amp;"-"&amp;AE$2,"")&amp;IF(N(AF18)&gt;0,", "&amp;A18&amp;"-"&amp;AF$2,"")&amp;IF(N(AG18)&gt;0,", "&amp;A18&amp;"-"&amp;AG$2,"")&amp;IF(N(AH18)&gt;0,", "&amp;A18&amp;"-"&amp;AH$2,"")&amp;IF(N(AI18)&gt;0,", "&amp;A18&amp;"-"&amp;AI$2,"")&amp;IF(N(AJ18)&gt;0,", "&amp;A18&amp;"-"&amp;AJ$2,""),3,999))</f>
        <v/>
      </c>
      <c r="AN18" s="81"/>
      <c r="AO18" s="88"/>
      <c r="AP18" s="89" t="str">
        <f aca="false">IF(AO18="","",ROUND(AO18/(1+Справочники!$B$13),2))</f>
        <v/>
      </c>
      <c r="AQ18" s="90" t="str">
        <f aca="false" t="array" ref="AQ18:AQ18">IF(AP18="","",AP18*INDEX(Справочники!$B$4:$B$7,MATCH("RUB",Справочники!$A$4:$A$7,0)))</f>
        <v/>
      </c>
      <c r="AR18" s="90" t="str">
        <f aca="false">IF(AQ18="","",ROUND(AQ18*(1+Справочники!$B$12),0))</f>
        <v/>
      </c>
      <c r="AS18" s="90" t="str">
        <f aca="false">IF(AR18="","",ROUND(AR18*(1-Справочники!$B$11),0))</f>
        <v/>
      </c>
      <c r="AT18" s="88"/>
      <c r="AU18" s="90" t="str">
        <f aca="false">IF(AT18="","",ROUND(AT18/(1+Справочники!$B$12),0))</f>
        <v/>
      </c>
      <c r="AV18" s="90" t="str">
        <f aca="false">IF(AT18="","",ROUND(AT18*(1-Справочники!$B$15),0))</f>
        <v/>
      </c>
      <c r="AW18" s="90" t="str">
        <f aca="false">IF(AT18="","",ROUND(AT18*(1-Справочники!$B$16),0))</f>
        <v/>
      </c>
      <c r="AX18" s="90" t="str">
        <f aca="false">IF(AT18="","",ROUND(AT18*(1-Справочники!$B$17),0))</f>
        <v/>
      </c>
      <c r="AY18" s="90" t="str">
        <f aca="false">IF(AT18="","",ROUND(AT18*(1-Справочники!$B$18),0))</f>
        <v/>
      </c>
      <c r="AZ18" s="90" t="str">
        <f aca="false">IF(AT18="","",ROUND(AT18*(1-Справочники!$B$19),0))</f>
        <v/>
      </c>
      <c r="BA18" s="81"/>
      <c r="BB18" s="81"/>
      <c r="BC18" s="81"/>
      <c r="BD18" s="81"/>
      <c r="BE18" s="91"/>
      <c r="BF18" s="81" t="s">
        <v>103</v>
      </c>
      <c r="BG18" s="89" t="n">
        <f aca="false" t="array" ref="BG18:BG18">IF(BF18="","",IFERROR(INDEX(Справочники!$B$4:$B$7,MATCH(BF18,Справочники!$A$4:$A$7,0)),""))</f>
        <v>68.5</v>
      </c>
      <c r="BH18" s="90" t="str">
        <f aca="false">IF(N(BN18)&gt;0,ROUND(SUMIF(ЗАКАЗЫ!$F$3:$F$500,$A18,ЗАКАЗЫ!$Y$3:$Y$500)/BN18,0),IF(OR(BE18="",BG18=""),"",ROUND(BE18*BG18*(1+Справочники!$B$10),0)))</f>
        <v/>
      </c>
      <c r="BI18" s="92" t="str">
        <f aca="false">IF(OR(AU18="",BH18="",AU18=0),"",(AU18-BH18)/AU18)</f>
        <v/>
      </c>
      <c r="BJ18" s="81"/>
      <c r="BK18" s="83"/>
      <c r="BL18" s="43" t="str">
        <f aca="false">IFERROR(INDEX(ЗАКАЗЫ!$N$3:$N$500,MATCH($A18,ЗАКАЗЫ!$F$3:$F$500,0)),"")</f>
        <v/>
      </c>
      <c r="BM18" s="8" t="str">
        <f aca="false">IF(BL18="","",IFERROR(VLOOKUP(BL18,'ТН ВЭД'!$A$4:$C$40,3,0),""))</f>
        <v/>
      </c>
      <c r="BN18" s="7" t="str">
        <f aca="false">IF(COUNTIF(ЗАКАЗЫ!$F$3:$F$500,$A18)=0,"",SUMIF(ЗАКАЗЫ!$F$3:$F$500,$A18,ЗАКАЗЫ!$J$3:$J$500))</f>
        <v/>
      </c>
      <c r="BO18" s="7" t="str">
        <f aca="false">IF(BN18="","",SUMIF(ЗАКАЗЫ!$F$3:$F$500,$A18,ЗАКАЗЫ!$AL$3:$AL$500))</f>
        <v/>
      </c>
      <c r="BP18" s="7" t="str">
        <f aca="false">IF(BN18="","",BN18-BO18)</f>
        <v/>
      </c>
      <c r="BQ18" s="55" t="str">
        <f aca="false">IF(BN18="","",IF(BO18&gt;=BN18,"На складе",IF(BO18&gt;0,"Частично","Ждём")))</f>
        <v/>
      </c>
      <c r="BR18" s="43"/>
      <c r="BS18" s="47" t="str">
        <f aca="false">IF(BN18="","",IF(_xlfn.MAXIFS(ЗАКАЗЫ!$AK$3:$AK$500,ЗАКАЗЫ!$F$3:$F$500,$A18)=0,"",_xlfn.MAXIFS(ЗАКАЗЫ!$AK$3:$AK$500,ЗАКАЗЫ!$F$3:$F$500,$A18)))</f>
        <v/>
      </c>
    </row>
    <row r="19" customFormat="false" ht="15.75" hidden="false" customHeight="true" outlineLevel="0" collapsed="false">
      <c r="A19" s="80" t="s">
        <v>851</v>
      </c>
      <c r="B19" s="81"/>
      <c r="C19" s="81"/>
      <c r="D19" s="81"/>
      <c r="E19" s="83"/>
      <c r="F19" s="81"/>
      <c r="G19" s="83"/>
      <c r="H19" s="83"/>
      <c r="I19" s="84" t="str">
        <f aca="false">IF(E19="","",A19&amp;"_1.jpg")</f>
        <v/>
      </c>
      <c r="J19" s="84" t="str">
        <f aca="false">IF(E19="","",A19&amp;"_2.jpg; "&amp;A19&amp;"_3.jpg")</f>
        <v/>
      </c>
      <c r="K19" s="84" t="str">
        <f aca="false">IF(E19="","",A19&amp;"_schema.jpg")</f>
        <v/>
      </c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 t="s">
        <v>96</v>
      </c>
      <c r="W19" s="81"/>
      <c r="X19" s="81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6" t="str">
        <f aca="false">IF(SUM(Y19:AJ19)=0,"",SUM(Y19:AJ19))</f>
        <v/>
      </c>
      <c r="AL19" s="84" t="str">
        <f aca="false">MID(IF(N(Y19)&gt;0,", "&amp;Y$2,"")&amp;IF(N(Z19)&gt;0,", "&amp;Z$2,"")&amp;IF(N(AA19)&gt;0,", "&amp;AA$2,"")&amp;IF(N(AB19)&gt;0,", "&amp;AB$2,"")&amp;IF(N(AC19)&gt;0,", "&amp;AC$2,"")&amp;IF(N(AD19)&gt;0,", "&amp;AD$2,"")&amp;IF(N(AE19)&gt;0,", "&amp;AE$2,"")&amp;IF(N(AF19)&gt;0,", "&amp;AF$2,"")&amp;IF(N(AG19)&gt;0,", "&amp;AG$2,"")&amp;IF(N(AH19)&gt;0,", "&amp;AH$2,"")&amp;IF(N(AI19)&gt;0,", "&amp;AI$2,"")&amp;IF(N(AJ19)&gt;0,", "&amp;AJ$2,""),3,999)</f>
        <v/>
      </c>
      <c r="AM19" s="87" t="str">
        <f aca="false">IF(E19="","",MID(IF(N(Y19)&gt;0,", "&amp;A19&amp;"-"&amp;Y$2,"")&amp;IF(N(Z19)&gt;0,", "&amp;A19&amp;"-"&amp;Z$2,"")&amp;IF(N(AA19)&gt;0,", "&amp;A19&amp;"-"&amp;AA$2,"")&amp;IF(N(AB19)&gt;0,", "&amp;A19&amp;"-"&amp;AB$2,"")&amp;IF(N(AC19)&gt;0,", "&amp;A19&amp;"-"&amp;AC$2,"")&amp;IF(N(AD19)&gt;0,", "&amp;A19&amp;"-"&amp;AD$2,"")&amp;IF(N(AE19)&gt;0,", "&amp;A19&amp;"-"&amp;AE$2,"")&amp;IF(N(AF19)&gt;0,", "&amp;A19&amp;"-"&amp;AF$2,"")&amp;IF(N(AG19)&gt;0,", "&amp;A19&amp;"-"&amp;AG$2,"")&amp;IF(N(AH19)&gt;0,", "&amp;A19&amp;"-"&amp;AH$2,"")&amp;IF(N(AI19)&gt;0,", "&amp;A19&amp;"-"&amp;AI$2,"")&amp;IF(N(AJ19)&gt;0,", "&amp;A19&amp;"-"&amp;AJ$2,""),3,999))</f>
        <v/>
      </c>
      <c r="AN19" s="81"/>
      <c r="AO19" s="88"/>
      <c r="AP19" s="89" t="str">
        <f aca="false">IF(AO19="","",ROUND(AO19/(1+Справочники!$B$13),2))</f>
        <v/>
      </c>
      <c r="AQ19" s="90" t="str">
        <f aca="false" t="array" ref="AQ19:AQ19">IF(AP19="","",AP19*INDEX(Справочники!$B$4:$B$7,MATCH("RUB",Справочники!$A$4:$A$7,0)))</f>
        <v/>
      </c>
      <c r="AR19" s="90" t="str">
        <f aca="false">IF(AQ19="","",ROUND(AQ19*(1+Справочники!$B$12),0))</f>
        <v/>
      </c>
      <c r="AS19" s="90" t="str">
        <f aca="false">IF(AR19="","",ROUND(AR19*(1-Справочники!$B$11),0))</f>
        <v/>
      </c>
      <c r="AT19" s="88"/>
      <c r="AU19" s="90" t="str">
        <f aca="false">IF(AT19="","",ROUND(AT19/(1+Справочники!$B$12),0))</f>
        <v/>
      </c>
      <c r="AV19" s="90" t="str">
        <f aca="false">IF(AT19="","",ROUND(AT19*(1-Справочники!$B$15),0))</f>
        <v/>
      </c>
      <c r="AW19" s="90" t="str">
        <f aca="false">IF(AT19="","",ROUND(AT19*(1-Справочники!$B$16),0))</f>
        <v/>
      </c>
      <c r="AX19" s="90" t="str">
        <f aca="false">IF(AT19="","",ROUND(AT19*(1-Справочники!$B$17),0))</f>
        <v/>
      </c>
      <c r="AY19" s="90" t="str">
        <f aca="false">IF(AT19="","",ROUND(AT19*(1-Справочники!$B$18),0))</f>
        <v/>
      </c>
      <c r="AZ19" s="90" t="str">
        <f aca="false">IF(AT19="","",ROUND(AT19*(1-Справочники!$B$19),0))</f>
        <v/>
      </c>
      <c r="BA19" s="81"/>
      <c r="BB19" s="81"/>
      <c r="BC19" s="81"/>
      <c r="BD19" s="81"/>
      <c r="BE19" s="91"/>
      <c r="BF19" s="81" t="s">
        <v>103</v>
      </c>
      <c r="BG19" s="89" t="n">
        <f aca="false" t="array" ref="BG19:BG19">IF(BF19="","",IFERROR(INDEX(Справочники!$B$4:$B$7,MATCH(BF19,Справочники!$A$4:$A$7,0)),""))</f>
        <v>68.5</v>
      </c>
      <c r="BH19" s="90" t="str">
        <f aca="false">IF(N(BN19)&gt;0,ROUND(SUMIF(ЗАКАЗЫ!$F$3:$F$500,$A19,ЗАКАЗЫ!$Y$3:$Y$500)/BN19,0),IF(OR(BE19="",BG19=""),"",ROUND(BE19*BG19*(1+Справочники!$B$10),0)))</f>
        <v/>
      </c>
      <c r="BI19" s="92" t="str">
        <f aca="false">IF(OR(AU19="",BH19="",AU19=0),"",(AU19-BH19)/AU19)</f>
        <v/>
      </c>
      <c r="BJ19" s="81"/>
      <c r="BK19" s="83"/>
      <c r="BL19" s="43" t="str">
        <f aca="false">IFERROR(INDEX(ЗАКАЗЫ!$N$3:$N$500,MATCH($A19,ЗАКАЗЫ!$F$3:$F$500,0)),"")</f>
        <v/>
      </c>
      <c r="BM19" s="8" t="str">
        <f aca="false">IF(BL19="","",IFERROR(VLOOKUP(BL19,'ТН ВЭД'!$A$4:$C$40,3,0),""))</f>
        <v/>
      </c>
      <c r="BN19" s="7" t="str">
        <f aca="false">IF(COUNTIF(ЗАКАЗЫ!$F$3:$F$500,$A19)=0,"",SUMIF(ЗАКАЗЫ!$F$3:$F$500,$A19,ЗАКАЗЫ!$J$3:$J$500))</f>
        <v/>
      </c>
      <c r="BO19" s="7" t="str">
        <f aca="false">IF(BN19="","",SUMIF(ЗАКАЗЫ!$F$3:$F$500,$A19,ЗАКАЗЫ!$AL$3:$AL$500))</f>
        <v/>
      </c>
      <c r="BP19" s="7" t="str">
        <f aca="false">IF(BN19="","",BN19-BO19)</f>
        <v/>
      </c>
      <c r="BQ19" s="55" t="str">
        <f aca="false">IF(BN19="","",IF(BO19&gt;=BN19,"На складе",IF(BO19&gt;0,"Частично","Ждём")))</f>
        <v/>
      </c>
      <c r="BR19" s="43"/>
      <c r="BS19" s="47" t="str">
        <f aca="false">IF(BN19="","",IF(_xlfn.MAXIFS(ЗАКАЗЫ!$AK$3:$AK$500,ЗАКАЗЫ!$F$3:$F$500,$A19)=0,"",_xlfn.MAXIFS(ЗАКАЗЫ!$AK$3:$AK$500,ЗАКАЗЫ!$F$3:$F$500,$A19)))</f>
        <v/>
      </c>
    </row>
    <row r="20" customFormat="false" ht="15.75" hidden="false" customHeight="true" outlineLevel="0" collapsed="false">
      <c r="A20" s="80" t="s">
        <v>852</v>
      </c>
      <c r="B20" s="81"/>
      <c r="C20" s="81"/>
      <c r="D20" s="81"/>
      <c r="E20" s="83"/>
      <c r="F20" s="81"/>
      <c r="G20" s="83"/>
      <c r="H20" s="83"/>
      <c r="I20" s="84" t="str">
        <f aca="false">IF(E20="","",A20&amp;"_1.jpg")</f>
        <v/>
      </c>
      <c r="J20" s="84" t="str">
        <f aca="false">IF(E20="","",A20&amp;"_2.jpg; "&amp;A20&amp;"_3.jpg")</f>
        <v/>
      </c>
      <c r="K20" s="84" t="str">
        <f aca="false">IF(E20="","",A20&amp;"_schema.jpg")</f>
        <v/>
      </c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 t="s">
        <v>96</v>
      </c>
      <c r="W20" s="81"/>
      <c r="X20" s="81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6" t="str">
        <f aca="false">IF(SUM(Y20:AJ20)=0,"",SUM(Y20:AJ20))</f>
        <v/>
      </c>
      <c r="AL20" s="84" t="str">
        <f aca="false">MID(IF(N(Y20)&gt;0,", "&amp;Y$2,"")&amp;IF(N(Z20)&gt;0,", "&amp;Z$2,"")&amp;IF(N(AA20)&gt;0,", "&amp;AA$2,"")&amp;IF(N(AB20)&gt;0,", "&amp;AB$2,"")&amp;IF(N(AC20)&gt;0,", "&amp;AC$2,"")&amp;IF(N(AD20)&gt;0,", "&amp;AD$2,"")&amp;IF(N(AE20)&gt;0,", "&amp;AE$2,"")&amp;IF(N(AF20)&gt;0,", "&amp;AF$2,"")&amp;IF(N(AG20)&gt;0,", "&amp;AG$2,"")&amp;IF(N(AH20)&gt;0,", "&amp;AH$2,"")&amp;IF(N(AI20)&gt;0,", "&amp;AI$2,"")&amp;IF(N(AJ20)&gt;0,", "&amp;AJ$2,""),3,999)</f>
        <v/>
      </c>
      <c r="AM20" s="87" t="str">
        <f aca="false">IF(E20="","",MID(IF(N(Y20)&gt;0,", "&amp;A20&amp;"-"&amp;Y$2,"")&amp;IF(N(Z20)&gt;0,", "&amp;A20&amp;"-"&amp;Z$2,"")&amp;IF(N(AA20)&gt;0,", "&amp;A20&amp;"-"&amp;AA$2,"")&amp;IF(N(AB20)&gt;0,", "&amp;A20&amp;"-"&amp;AB$2,"")&amp;IF(N(AC20)&gt;0,", "&amp;A20&amp;"-"&amp;AC$2,"")&amp;IF(N(AD20)&gt;0,", "&amp;A20&amp;"-"&amp;AD$2,"")&amp;IF(N(AE20)&gt;0,", "&amp;A20&amp;"-"&amp;AE$2,"")&amp;IF(N(AF20)&gt;0,", "&amp;A20&amp;"-"&amp;AF$2,"")&amp;IF(N(AG20)&gt;0,", "&amp;A20&amp;"-"&amp;AG$2,"")&amp;IF(N(AH20)&gt;0,", "&amp;A20&amp;"-"&amp;AH$2,"")&amp;IF(N(AI20)&gt;0,", "&amp;A20&amp;"-"&amp;AI$2,"")&amp;IF(N(AJ20)&gt;0,", "&amp;A20&amp;"-"&amp;AJ$2,""),3,999))</f>
        <v/>
      </c>
      <c r="AN20" s="81"/>
      <c r="AO20" s="88"/>
      <c r="AP20" s="89" t="str">
        <f aca="false">IF(AO20="","",ROUND(AO20/(1+Справочники!$B$13),2))</f>
        <v/>
      </c>
      <c r="AQ20" s="90" t="str">
        <f aca="false" t="array" ref="AQ20:AQ20">IF(AP20="","",AP20*INDEX(Справочники!$B$4:$B$7,MATCH("RUB",Справочники!$A$4:$A$7,0)))</f>
        <v/>
      </c>
      <c r="AR20" s="90" t="str">
        <f aca="false">IF(AQ20="","",ROUND(AQ20*(1+Справочники!$B$12),0))</f>
        <v/>
      </c>
      <c r="AS20" s="90" t="str">
        <f aca="false">IF(AR20="","",ROUND(AR20*(1-Справочники!$B$11),0))</f>
        <v/>
      </c>
      <c r="AT20" s="88"/>
      <c r="AU20" s="90" t="str">
        <f aca="false">IF(AT20="","",ROUND(AT20/(1+Справочники!$B$12),0))</f>
        <v/>
      </c>
      <c r="AV20" s="90" t="str">
        <f aca="false">IF(AT20="","",ROUND(AT20*(1-Справочники!$B$15),0))</f>
        <v/>
      </c>
      <c r="AW20" s="90" t="str">
        <f aca="false">IF(AT20="","",ROUND(AT20*(1-Справочники!$B$16),0))</f>
        <v/>
      </c>
      <c r="AX20" s="90" t="str">
        <f aca="false">IF(AT20="","",ROUND(AT20*(1-Справочники!$B$17),0))</f>
        <v/>
      </c>
      <c r="AY20" s="90" t="str">
        <f aca="false">IF(AT20="","",ROUND(AT20*(1-Справочники!$B$18),0))</f>
        <v/>
      </c>
      <c r="AZ20" s="90" t="str">
        <f aca="false">IF(AT20="","",ROUND(AT20*(1-Справочники!$B$19),0))</f>
        <v/>
      </c>
      <c r="BA20" s="81"/>
      <c r="BB20" s="81"/>
      <c r="BC20" s="81"/>
      <c r="BD20" s="81"/>
      <c r="BE20" s="91"/>
      <c r="BF20" s="81" t="s">
        <v>103</v>
      </c>
      <c r="BG20" s="89" t="n">
        <f aca="false" t="array" ref="BG20:BG20">IF(BF20="","",IFERROR(INDEX(Справочники!$B$4:$B$7,MATCH(BF20,Справочники!$A$4:$A$7,0)),""))</f>
        <v>68.5</v>
      </c>
      <c r="BH20" s="90" t="str">
        <f aca="false">IF(N(BN20)&gt;0,ROUND(SUMIF(ЗАКАЗЫ!$F$3:$F$500,$A20,ЗАКАЗЫ!$Y$3:$Y$500)/BN20,0),IF(OR(BE20="",BG20=""),"",ROUND(BE20*BG20*(1+Справочники!$B$10),0)))</f>
        <v/>
      </c>
      <c r="BI20" s="92" t="str">
        <f aca="false">IF(OR(AU20="",BH20="",AU20=0),"",(AU20-BH20)/AU20)</f>
        <v/>
      </c>
      <c r="BJ20" s="81"/>
      <c r="BK20" s="83"/>
      <c r="BL20" s="43" t="str">
        <f aca="false">IFERROR(INDEX(ЗАКАЗЫ!$N$3:$N$500,MATCH($A20,ЗАКАЗЫ!$F$3:$F$500,0)),"")</f>
        <v/>
      </c>
      <c r="BM20" s="8" t="str">
        <f aca="false">IF(BL20="","",IFERROR(VLOOKUP(BL20,'ТН ВЭД'!$A$4:$C$40,3,0),""))</f>
        <v/>
      </c>
      <c r="BN20" s="7" t="str">
        <f aca="false">IF(COUNTIF(ЗАКАЗЫ!$F$3:$F$500,$A20)=0,"",SUMIF(ЗАКАЗЫ!$F$3:$F$500,$A20,ЗАКАЗЫ!$J$3:$J$500))</f>
        <v/>
      </c>
      <c r="BO20" s="7" t="str">
        <f aca="false">IF(BN20="","",SUMIF(ЗАКАЗЫ!$F$3:$F$500,$A20,ЗАКАЗЫ!$AL$3:$AL$500))</f>
        <v/>
      </c>
      <c r="BP20" s="7" t="str">
        <f aca="false">IF(BN20="","",BN20-BO20)</f>
        <v/>
      </c>
      <c r="BQ20" s="55" t="str">
        <f aca="false">IF(BN20="","",IF(BO20&gt;=BN20,"На складе",IF(BO20&gt;0,"Частично","Ждём")))</f>
        <v/>
      </c>
      <c r="BR20" s="43"/>
      <c r="BS20" s="47" t="str">
        <f aca="false">IF(BN20="","",IF(_xlfn.MAXIFS(ЗАКАЗЫ!$AK$3:$AK$500,ЗАКАЗЫ!$F$3:$F$500,$A20)=0,"",_xlfn.MAXIFS(ЗАКАЗЫ!$AK$3:$AK$500,ЗАКАЗЫ!$F$3:$F$500,$A20)))</f>
        <v/>
      </c>
    </row>
    <row r="21" customFormat="false" ht="15.75" hidden="false" customHeight="true" outlineLevel="0" collapsed="false">
      <c r="A21" s="80" t="s">
        <v>853</v>
      </c>
      <c r="B21" s="81"/>
      <c r="C21" s="81"/>
      <c r="D21" s="81"/>
      <c r="E21" s="83"/>
      <c r="F21" s="81"/>
      <c r="G21" s="83"/>
      <c r="H21" s="83"/>
      <c r="I21" s="84" t="str">
        <f aca="false">IF(E21="","",A21&amp;"_1.jpg")</f>
        <v/>
      </c>
      <c r="J21" s="84" t="str">
        <f aca="false">IF(E21="","",A21&amp;"_2.jpg; "&amp;A21&amp;"_3.jpg")</f>
        <v/>
      </c>
      <c r="K21" s="84" t="str">
        <f aca="false">IF(E21="","",A21&amp;"_schema.jpg")</f>
        <v/>
      </c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 t="s">
        <v>96</v>
      </c>
      <c r="W21" s="81"/>
      <c r="X21" s="81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6" t="str">
        <f aca="false">IF(SUM(Y21:AJ21)=0,"",SUM(Y21:AJ21))</f>
        <v/>
      </c>
      <c r="AL21" s="84" t="str">
        <f aca="false">MID(IF(N(Y21)&gt;0,", "&amp;Y$2,"")&amp;IF(N(Z21)&gt;0,", "&amp;Z$2,"")&amp;IF(N(AA21)&gt;0,", "&amp;AA$2,"")&amp;IF(N(AB21)&gt;0,", "&amp;AB$2,"")&amp;IF(N(AC21)&gt;0,", "&amp;AC$2,"")&amp;IF(N(AD21)&gt;0,", "&amp;AD$2,"")&amp;IF(N(AE21)&gt;0,", "&amp;AE$2,"")&amp;IF(N(AF21)&gt;0,", "&amp;AF$2,"")&amp;IF(N(AG21)&gt;0,", "&amp;AG$2,"")&amp;IF(N(AH21)&gt;0,", "&amp;AH$2,"")&amp;IF(N(AI21)&gt;0,", "&amp;AI$2,"")&amp;IF(N(AJ21)&gt;0,", "&amp;AJ$2,""),3,999)</f>
        <v/>
      </c>
      <c r="AM21" s="87" t="str">
        <f aca="false">IF(E21="","",MID(IF(N(Y21)&gt;0,", "&amp;A21&amp;"-"&amp;Y$2,"")&amp;IF(N(Z21)&gt;0,", "&amp;A21&amp;"-"&amp;Z$2,"")&amp;IF(N(AA21)&gt;0,", "&amp;A21&amp;"-"&amp;AA$2,"")&amp;IF(N(AB21)&gt;0,", "&amp;A21&amp;"-"&amp;AB$2,"")&amp;IF(N(AC21)&gt;0,", "&amp;A21&amp;"-"&amp;AC$2,"")&amp;IF(N(AD21)&gt;0,", "&amp;A21&amp;"-"&amp;AD$2,"")&amp;IF(N(AE21)&gt;0,", "&amp;A21&amp;"-"&amp;AE$2,"")&amp;IF(N(AF21)&gt;0,", "&amp;A21&amp;"-"&amp;AF$2,"")&amp;IF(N(AG21)&gt;0,", "&amp;A21&amp;"-"&amp;AG$2,"")&amp;IF(N(AH21)&gt;0,", "&amp;A21&amp;"-"&amp;AH$2,"")&amp;IF(N(AI21)&gt;0,", "&amp;A21&amp;"-"&amp;AI$2,"")&amp;IF(N(AJ21)&gt;0,", "&amp;A21&amp;"-"&amp;AJ$2,""),3,999))</f>
        <v/>
      </c>
      <c r="AN21" s="81"/>
      <c r="AO21" s="88"/>
      <c r="AP21" s="89" t="str">
        <f aca="false">IF(AO21="","",ROUND(AO21/(1+Справочники!$B$13),2))</f>
        <v/>
      </c>
      <c r="AQ21" s="90" t="str">
        <f aca="false" t="array" ref="AQ21:AQ21">IF(AP21="","",AP21*INDEX(Справочники!$B$4:$B$7,MATCH("RUB",Справочники!$A$4:$A$7,0)))</f>
        <v/>
      </c>
      <c r="AR21" s="90" t="str">
        <f aca="false">IF(AQ21="","",ROUND(AQ21*(1+Справочники!$B$12),0))</f>
        <v/>
      </c>
      <c r="AS21" s="90" t="str">
        <f aca="false">IF(AR21="","",ROUND(AR21*(1-Справочники!$B$11),0))</f>
        <v/>
      </c>
      <c r="AT21" s="88"/>
      <c r="AU21" s="90" t="str">
        <f aca="false">IF(AT21="","",ROUND(AT21/(1+Справочники!$B$12),0))</f>
        <v/>
      </c>
      <c r="AV21" s="90" t="str">
        <f aca="false">IF(AT21="","",ROUND(AT21*(1-Справочники!$B$15),0))</f>
        <v/>
      </c>
      <c r="AW21" s="90" t="str">
        <f aca="false">IF(AT21="","",ROUND(AT21*(1-Справочники!$B$16),0))</f>
        <v/>
      </c>
      <c r="AX21" s="90" t="str">
        <f aca="false">IF(AT21="","",ROUND(AT21*(1-Справочники!$B$17),0))</f>
        <v/>
      </c>
      <c r="AY21" s="90" t="str">
        <f aca="false">IF(AT21="","",ROUND(AT21*(1-Справочники!$B$18),0))</f>
        <v/>
      </c>
      <c r="AZ21" s="90" t="str">
        <f aca="false">IF(AT21="","",ROUND(AT21*(1-Справочники!$B$19),0))</f>
        <v/>
      </c>
      <c r="BA21" s="81"/>
      <c r="BB21" s="81"/>
      <c r="BC21" s="81"/>
      <c r="BD21" s="81"/>
      <c r="BE21" s="91"/>
      <c r="BF21" s="81" t="s">
        <v>103</v>
      </c>
      <c r="BG21" s="89" t="n">
        <f aca="false" t="array" ref="BG21:BG21">IF(BF21="","",IFERROR(INDEX(Справочники!$B$4:$B$7,MATCH(BF21,Справочники!$A$4:$A$7,0)),""))</f>
        <v>68.5</v>
      </c>
      <c r="BH21" s="90" t="str">
        <f aca="false">IF(N(BN21)&gt;0,ROUND(SUMIF(ЗАКАЗЫ!$F$3:$F$500,$A21,ЗАКАЗЫ!$Y$3:$Y$500)/BN21,0),IF(OR(BE21="",BG21=""),"",ROUND(BE21*BG21*(1+Справочники!$B$10),0)))</f>
        <v/>
      </c>
      <c r="BI21" s="92" t="str">
        <f aca="false">IF(OR(AU21="",BH21="",AU21=0),"",(AU21-BH21)/AU21)</f>
        <v/>
      </c>
      <c r="BJ21" s="81"/>
      <c r="BK21" s="83"/>
      <c r="BL21" s="43" t="str">
        <f aca="false">IFERROR(INDEX(ЗАКАЗЫ!$N$3:$N$500,MATCH($A21,ЗАКАЗЫ!$F$3:$F$500,0)),"")</f>
        <v/>
      </c>
      <c r="BM21" s="8" t="str">
        <f aca="false">IF(BL21="","",IFERROR(VLOOKUP(BL21,'ТН ВЭД'!$A$4:$C$40,3,0),""))</f>
        <v/>
      </c>
      <c r="BN21" s="7" t="str">
        <f aca="false">IF(COUNTIF(ЗАКАЗЫ!$F$3:$F$500,$A21)=0,"",SUMIF(ЗАКАЗЫ!$F$3:$F$500,$A21,ЗАКАЗЫ!$J$3:$J$500))</f>
        <v/>
      </c>
      <c r="BO21" s="7" t="str">
        <f aca="false">IF(BN21="","",SUMIF(ЗАКАЗЫ!$F$3:$F$500,$A21,ЗАКАЗЫ!$AL$3:$AL$500))</f>
        <v/>
      </c>
      <c r="BP21" s="7" t="str">
        <f aca="false">IF(BN21="","",BN21-BO21)</f>
        <v/>
      </c>
      <c r="BQ21" s="55" t="str">
        <f aca="false">IF(BN21="","",IF(BO21&gt;=BN21,"На складе",IF(BO21&gt;0,"Частично","Ждём")))</f>
        <v/>
      </c>
      <c r="BR21" s="43"/>
      <c r="BS21" s="47" t="str">
        <f aca="false">IF(BN21="","",IF(_xlfn.MAXIFS(ЗАКАЗЫ!$AK$3:$AK$500,ЗАКАЗЫ!$F$3:$F$500,$A21)=0,"",_xlfn.MAXIFS(ЗАКАЗЫ!$AK$3:$AK$500,ЗАКАЗЫ!$F$3:$F$500,$A21)))</f>
        <v/>
      </c>
    </row>
    <row r="22" customFormat="false" ht="15.75" hidden="false" customHeight="true" outlineLevel="0" collapsed="false">
      <c r="A22" s="80" t="s">
        <v>854</v>
      </c>
      <c r="B22" s="81"/>
      <c r="C22" s="81"/>
      <c r="D22" s="81"/>
      <c r="E22" s="83"/>
      <c r="F22" s="81"/>
      <c r="G22" s="83"/>
      <c r="H22" s="83"/>
      <c r="I22" s="84" t="str">
        <f aca="false">IF(E22="","",A22&amp;"_1.jpg")</f>
        <v/>
      </c>
      <c r="J22" s="84" t="str">
        <f aca="false">IF(E22="","",A22&amp;"_2.jpg; "&amp;A22&amp;"_3.jpg")</f>
        <v/>
      </c>
      <c r="K22" s="84" t="str">
        <f aca="false">IF(E22="","",A22&amp;"_schema.jpg")</f>
        <v/>
      </c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 t="s">
        <v>96</v>
      </c>
      <c r="W22" s="81"/>
      <c r="X22" s="81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6" t="str">
        <f aca="false">IF(SUM(Y22:AJ22)=0,"",SUM(Y22:AJ22))</f>
        <v/>
      </c>
      <c r="AL22" s="84" t="str">
        <f aca="false">MID(IF(N(Y22)&gt;0,", "&amp;Y$2,"")&amp;IF(N(Z22)&gt;0,", "&amp;Z$2,"")&amp;IF(N(AA22)&gt;0,", "&amp;AA$2,"")&amp;IF(N(AB22)&gt;0,", "&amp;AB$2,"")&amp;IF(N(AC22)&gt;0,", "&amp;AC$2,"")&amp;IF(N(AD22)&gt;0,", "&amp;AD$2,"")&amp;IF(N(AE22)&gt;0,", "&amp;AE$2,"")&amp;IF(N(AF22)&gt;0,", "&amp;AF$2,"")&amp;IF(N(AG22)&gt;0,", "&amp;AG$2,"")&amp;IF(N(AH22)&gt;0,", "&amp;AH$2,"")&amp;IF(N(AI22)&gt;0,", "&amp;AI$2,"")&amp;IF(N(AJ22)&gt;0,", "&amp;AJ$2,""),3,999)</f>
        <v/>
      </c>
      <c r="AM22" s="87" t="str">
        <f aca="false">IF(E22="","",MID(IF(N(Y22)&gt;0,", "&amp;A22&amp;"-"&amp;Y$2,"")&amp;IF(N(Z22)&gt;0,", "&amp;A22&amp;"-"&amp;Z$2,"")&amp;IF(N(AA22)&gt;0,", "&amp;A22&amp;"-"&amp;AA$2,"")&amp;IF(N(AB22)&gt;0,", "&amp;A22&amp;"-"&amp;AB$2,"")&amp;IF(N(AC22)&gt;0,", "&amp;A22&amp;"-"&amp;AC$2,"")&amp;IF(N(AD22)&gt;0,", "&amp;A22&amp;"-"&amp;AD$2,"")&amp;IF(N(AE22)&gt;0,", "&amp;A22&amp;"-"&amp;AE$2,"")&amp;IF(N(AF22)&gt;0,", "&amp;A22&amp;"-"&amp;AF$2,"")&amp;IF(N(AG22)&gt;0,", "&amp;A22&amp;"-"&amp;AG$2,"")&amp;IF(N(AH22)&gt;0,", "&amp;A22&amp;"-"&amp;AH$2,"")&amp;IF(N(AI22)&gt;0,", "&amp;A22&amp;"-"&amp;AI$2,"")&amp;IF(N(AJ22)&gt;0,", "&amp;A22&amp;"-"&amp;AJ$2,""),3,999))</f>
        <v/>
      </c>
      <c r="AN22" s="81"/>
      <c r="AO22" s="88"/>
      <c r="AP22" s="89" t="str">
        <f aca="false">IF(AO22="","",ROUND(AO22/(1+Справочники!$B$13),2))</f>
        <v/>
      </c>
      <c r="AQ22" s="90" t="str">
        <f aca="false" t="array" ref="AQ22:AQ22">IF(AP22="","",AP22*INDEX(Справочники!$B$4:$B$7,MATCH("RUB",Справочники!$A$4:$A$7,0)))</f>
        <v/>
      </c>
      <c r="AR22" s="90" t="str">
        <f aca="false">IF(AQ22="","",ROUND(AQ22*(1+Справочники!$B$12),0))</f>
        <v/>
      </c>
      <c r="AS22" s="90" t="str">
        <f aca="false">IF(AR22="","",ROUND(AR22*(1-Справочники!$B$11),0))</f>
        <v/>
      </c>
      <c r="AT22" s="88"/>
      <c r="AU22" s="90" t="str">
        <f aca="false">IF(AT22="","",ROUND(AT22/(1+Справочники!$B$12),0))</f>
        <v/>
      </c>
      <c r="AV22" s="90" t="str">
        <f aca="false">IF(AT22="","",ROUND(AT22*(1-Справочники!$B$15),0))</f>
        <v/>
      </c>
      <c r="AW22" s="90" t="str">
        <f aca="false">IF(AT22="","",ROUND(AT22*(1-Справочники!$B$16),0))</f>
        <v/>
      </c>
      <c r="AX22" s="90" t="str">
        <f aca="false">IF(AT22="","",ROUND(AT22*(1-Справочники!$B$17),0))</f>
        <v/>
      </c>
      <c r="AY22" s="90" t="str">
        <f aca="false">IF(AT22="","",ROUND(AT22*(1-Справочники!$B$18),0))</f>
        <v/>
      </c>
      <c r="AZ22" s="90" t="str">
        <f aca="false">IF(AT22="","",ROUND(AT22*(1-Справочники!$B$19),0))</f>
        <v/>
      </c>
      <c r="BA22" s="81"/>
      <c r="BB22" s="81"/>
      <c r="BC22" s="81"/>
      <c r="BD22" s="81"/>
      <c r="BE22" s="91"/>
      <c r="BF22" s="81" t="s">
        <v>103</v>
      </c>
      <c r="BG22" s="89" t="n">
        <f aca="false" t="array" ref="BG22:BG22">IF(BF22="","",IFERROR(INDEX(Справочники!$B$4:$B$7,MATCH(BF22,Справочники!$A$4:$A$7,0)),""))</f>
        <v>68.5</v>
      </c>
      <c r="BH22" s="90" t="str">
        <f aca="false">IF(N(BN22)&gt;0,ROUND(SUMIF(ЗАКАЗЫ!$F$3:$F$500,$A22,ЗАКАЗЫ!$Y$3:$Y$500)/BN22,0),IF(OR(BE22="",BG22=""),"",ROUND(BE22*BG22*(1+Справочники!$B$10),0)))</f>
        <v/>
      </c>
      <c r="BI22" s="92" t="str">
        <f aca="false">IF(OR(AU22="",BH22="",AU22=0),"",(AU22-BH22)/AU22)</f>
        <v/>
      </c>
      <c r="BJ22" s="81"/>
      <c r="BK22" s="83"/>
      <c r="BL22" s="43" t="str">
        <f aca="false">IFERROR(INDEX(ЗАКАЗЫ!$N$3:$N$500,MATCH($A22,ЗАКАЗЫ!$F$3:$F$500,0)),"")</f>
        <v/>
      </c>
      <c r="BM22" s="8" t="str">
        <f aca="false">IF(BL22="","",IFERROR(VLOOKUP(BL22,'ТН ВЭД'!$A$4:$C$40,3,0),""))</f>
        <v/>
      </c>
      <c r="BN22" s="7" t="str">
        <f aca="false">IF(COUNTIF(ЗАКАЗЫ!$F$3:$F$500,$A22)=0,"",SUMIF(ЗАКАЗЫ!$F$3:$F$500,$A22,ЗАКАЗЫ!$J$3:$J$500))</f>
        <v/>
      </c>
      <c r="BO22" s="7" t="str">
        <f aca="false">IF(BN22="","",SUMIF(ЗАКАЗЫ!$F$3:$F$500,$A22,ЗАКАЗЫ!$AL$3:$AL$500))</f>
        <v/>
      </c>
      <c r="BP22" s="7" t="str">
        <f aca="false">IF(BN22="","",BN22-BO22)</f>
        <v/>
      </c>
      <c r="BQ22" s="55" t="str">
        <f aca="false">IF(BN22="","",IF(BO22&gt;=BN22,"На складе",IF(BO22&gt;0,"Частично","Ждём")))</f>
        <v/>
      </c>
      <c r="BR22" s="43"/>
      <c r="BS22" s="47" t="str">
        <f aca="false">IF(BN22="","",IF(_xlfn.MAXIFS(ЗАКАЗЫ!$AK$3:$AK$500,ЗАКАЗЫ!$F$3:$F$500,$A22)=0,"",_xlfn.MAXIFS(ЗАКАЗЫ!$AK$3:$AK$500,ЗАКАЗЫ!$F$3:$F$500,$A22)))</f>
        <v/>
      </c>
    </row>
    <row r="23" customFormat="false" ht="15.75" hidden="false" customHeight="true" outlineLevel="0" collapsed="false">
      <c r="A23" s="80" t="s">
        <v>855</v>
      </c>
      <c r="B23" s="81"/>
      <c r="C23" s="81"/>
      <c r="D23" s="81"/>
      <c r="E23" s="83"/>
      <c r="F23" s="81"/>
      <c r="G23" s="83"/>
      <c r="H23" s="83"/>
      <c r="I23" s="84" t="str">
        <f aca="false">IF(E23="","",A23&amp;"_1.jpg")</f>
        <v/>
      </c>
      <c r="J23" s="84" t="str">
        <f aca="false">IF(E23="","",A23&amp;"_2.jpg; "&amp;A23&amp;"_3.jpg")</f>
        <v/>
      </c>
      <c r="K23" s="84" t="str">
        <f aca="false">IF(E23="","",A23&amp;"_schema.jpg")</f>
        <v/>
      </c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 t="s">
        <v>96</v>
      </c>
      <c r="W23" s="81"/>
      <c r="X23" s="81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6" t="str">
        <f aca="false">IF(SUM(Y23:AJ23)=0,"",SUM(Y23:AJ23))</f>
        <v/>
      </c>
      <c r="AL23" s="84" t="str">
        <f aca="false">MID(IF(N(Y23)&gt;0,", "&amp;Y$2,"")&amp;IF(N(Z23)&gt;0,", "&amp;Z$2,"")&amp;IF(N(AA23)&gt;0,", "&amp;AA$2,"")&amp;IF(N(AB23)&gt;0,", "&amp;AB$2,"")&amp;IF(N(AC23)&gt;0,", "&amp;AC$2,"")&amp;IF(N(AD23)&gt;0,", "&amp;AD$2,"")&amp;IF(N(AE23)&gt;0,", "&amp;AE$2,"")&amp;IF(N(AF23)&gt;0,", "&amp;AF$2,"")&amp;IF(N(AG23)&gt;0,", "&amp;AG$2,"")&amp;IF(N(AH23)&gt;0,", "&amp;AH$2,"")&amp;IF(N(AI23)&gt;0,", "&amp;AI$2,"")&amp;IF(N(AJ23)&gt;0,", "&amp;AJ$2,""),3,999)</f>
        <v/>
      </c>
      <c r="AM23" s="87" t="str">
        <f aca="false">IF(E23="","",MID(IF(N(Y23)&gt;0,", "&amp;A23&amp;"-"&amp;Y$2,"")&amp;IF(N(Z23)&gt;0,", "&amp;A23&amp;"-"&amp;Z$2,"")&amp;IF(N(AA23)&gt;0,", "&amp;A23&amp;"-"&amp;AA$2,"")&amp;IF(N(AB23)&gt;0,", "&amp;A23&amp;"-"&amp;AB$2,"")&amp;IF(N(AC23)&gt;0,", "&amp;A23&amp;"-"&amp;AC$2,"")&amp;IF(N(AD23)&gt;0,", "&amp;A23&amp;"-"&amp;AD$2,"")&amp;IF(N(AE23)&gt;0,", "&amp;A23&amp;"-"&amp;AE$2,"")&amp;IF(N(AF23)&gt;0,", "&amp;A23&amp;"-"&amp;AF$2,"")&amp;IF(N(AG23)&gt;0,", "&amp;A23&amp;"-"&amp;AG$2,"")&amp;IF(N(AH23)&gt;0,", "&amp;A23&amp;"-"&amp;AH$2,"")&amp;IF(N(AI23)&gt;0,", "&amp;A23&amp;"-"&amp;AI$2,"")&amp;IF(N(AJ23)&gt;0,", "&amp;A23&amp;"-"&amp;AJ$2,""),3,999))</f>
        <v/>
      </c>
      <c r="AN23" s="81"/>
      <c r="AO23" s="88"/>
      <c r="AP23" s="89" t="str">
        <f aca="false">IF(AO23="","",ROUND(AO23/(1+Справочники!$B$13),2))</f>
        <v/>
      </c>
      <c r="AQ23" s="90" t="str">
        <f aca="false" t="array" ref="AQ23:AQ23">IF(AP23="","",AP23*INDEX(Справочники!$B$4:$B$7,MATCH("RUB",Справочники!$A$4:$A$7,0)))</f>
        <v/>
      </c>
      <c r="AR23" s="90" t="str">
        <f aca="false">IF(AQ23="","",ROUND(AQ23*(1+Справочники!$B$12),0))</f>
        <v/>
      </c>
      <c r="AS23" s="90" t="str">
        <f aca="false">IF(AR23="","",ROUND(AR23*(1-Справочники!$B$11),0))</f>
        <v/>
      </c>
      <c r="AT23" s="88"/>
      <c r="AU23" s="90" t="str">
        <f aca="false">IF(AT23="","",ROUND(AT23/(1+Справочники!$B$12),0))</f>
        <v/>
      </c>
      <c r="AV23" s="90" t="str">
        <f aca="false">IF(AT23="","",ROUND(AT23*(1-Справочники!$B$15),0))</f>
        <v/>
      </c>
      <c r="AW23" s="90" t="str">
        <f aca="false">IF(AT23="","",ROUND(AT23*(1-Справочники!$B$16),0))</f>
        <v/>
      </c>
      <c r="AX23" s="90" t="str">
        <f aca="false">IF(AT23="","",ROUND(AT23*(1-Справочники!$B$17),0))</f>
        <v/>
      </c>
      <c r="AY23" s="90" t="str">
        <f aca="false">IF(AT23="","",ROUND(AT23*(1-Справочники!$B$18),0))</f>
        <v/>
      </c>
      <c r="AZ23" s="90" t="str">
        <f aca="false">IF(AT23="","",ROUND(AT23*(1-Справочники!$B$19),0))</f>
        <v/>
      </c>
      <c r="BA23" s="81"/>
      <c r="BB23" s="81"/>
      <c r="BC23" s="81"/>
      <c r="BD23" s="81"/>
      <c r="BE23" s="91"/>
      <c r="BF23" s="81" t="s">
        <v>103</v>
      </c>
      <c r="BG23" s="89" t="n">
        <f aca="false" t="array" ref="BG23:BG23">IF(BF23="","",IFERROR(INDEX(Справочники!$B$4:$B$7,MATCH(BF23,Справочники!$A$4:$A$7,0)),""))</f>
        <v>68.5</v>
      </c>
      <c r="BH23" s="90" t="str">
        <f aca="false">IF(N(BN23)&gt;0,ROUND(SUMIF(ЗАКАЗЫ!$F$3:$F$500,$A23,ЗАКАЗЫ!$Y$3:$Y$500)/BN23,0),IF(OR(BE23="",BG23=""),"",ROUND(BE23*BG23*(1+Справочники!$B$10),0)))</f>
        <v/>
      </c>
      <c r="BI23" s="92" t="str">
        <f aca="false">IF(OR(AU23="",BH23="",AU23=0),"",(AU23-BH23)/AU23)</f>
        <v/>
      </c>
      <c r="BJ23" s="81"/>
      <c r="BK23" s="83"/>
      <c r="BL23" s="43" t="str">
        <f aca="false">IFERROR(INDEX(ЗАКАЗЫ!$N$3:$N$500,MATCH($A23,ЗАКАЗЫ!$F$3:$F$500,0)),"")</f>
        <v/>
      </c>
      <c r="BM23" s="8" t="str">
        <f aca="false">IF(BL23="","",IFERROR(VLOOKUP(BL23,'ТН ВЭД'!$A$4:$C$40,3,0),""))</f>
        <v/>
      </c>
      <c r="BN23" s="7" t="str">
        <f aca="false">IF(COUNTIF(ЗАКАЗЫ!$F$3:$F$500,$A23)=0,"",SUMIF(ЗАКАЗЫ!$F$3:$F$500,$A23,ЗАКАЗЫ!$J$3:$J$500))</f>
        <v/>
      </c>
      <c r="BO23" s="7" t="str">
        <f aca="false">IF(BN23="","",SUMIF(ЗАКАЗЫ!$F$3:$F$500,$A23,ЗАКАЗЫ!$AL$3:$AL$500))</f>
        <v/>
      </c>
      <c r="BP23" s="7" t="str">
        <f aca="false">IF(BN23="","",BN23-BO23)</f>
        <v/>
      </c>
      <c r="BQ23" s="55" t="str">
        <f aca="false">IF(BN23="","",IF(BO23&gt;=BN23,"На складе",IF(BO23&gt;0,"Частично","Ждём")))</f>
        <v/>
      </c>
      <c r="BR23" s="43"/>
      <c r="BS23" s="47" t="str">
        <f aca="false">IF(BN23="","",IF(_xlfn.MAXIFS(ЗАКАЗЫ!$AK$3:$AK$500,ЗАКАЗЫ!$F$3:$F$500,$A23)=0,"",_xlfn.MAXIFS(ЗАКАЗЫ!$AK$3:$AK$500,ЗАКАЗЫ!$F$3:$F$500,$A23)))</f>
        <v/>
      </c>
    </row>
    <row r="24" customFormat="false" ht="15.75" hidden="false" customHeight="true" outlineLevel="0" collapsed="false">
      <c r="A24" s="80" t="s">
        <v>856</v>
      </c>
      <c r="B24" s="81"/>
      <c r="C24" s="81"/>
      <c r="D24" s="81"/>
      <c r="E24" s="83"/>
      <c r="F24" s="81"/>
      <c r="G24" s="83"/>
      <c r="H24" s="83"/>
      <c r="I24" s="84" t="str">
        <f aca="false">IF(E24="","",A24&amp;"_1.jpg")</f>
        <v/>
      </c>
      <c r="J24" s="84" t="str">
        <f aca="false">IF(E24="","",A24&amp;"_2.jpg; "&amp;A24&amp;"_3.jpg")</f>
        <v/>
      </c>
      <c r="K24" s="84" t="str">
        <f aca="false">IF(E24="","",A24&amp;"_schema.jpg")</f>
        <v/>
      </c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 t="s">
        <v>96</v>
      </c>
      <c r="W24" s="81"/>
      <c r="X24" s="81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6" t="str">
        <f aca="false">IF(SUM(Y24:AJ24)=0,"",SUM(Y24:AJ24))</f>
        <v/>
      </c>
      <c r="AL24" s="84" t="str">
        <f aca="false">MID(IF(N(Y24)&gt;0,", "&amp;Y$2,"")&amp;IF(N(Z24)&gt;0,", "&amp;Z$2,"")&amp;IF(N(AA24)&gt;0,", "&amp;AA$2,"")&amp;IF(N(AB24)&gt;0,", "&amp;AB$2,"")&amp;IF(N(AC24)&gt;0,", "&amp;AC$2,"")&amp;IF(N(AD24)&gt;0,", "&amp;AD$2,"")&amp;IF(N(AE24)&gt;0,", "&amp;AE$2,"")&amp;IF(N(AF24)&gt;0,", "&amp;AF$2,"")&amp;IF(N(AG24)&gt;0,", "&amp;AG$2,"")&amp;IF(N(AH24)&gt;0,", "&amp;AH$2,"")&amp;IF(N(AI24)&gt;0,", "&amp;AI$2,"")&amp;IF(N(AJ24)&gt;0,", "&amp;AJ$2,""),3,999)</f>
        <v/>
      </c>
      <c r="AM24" s="87" t="str">
        <f aca="false">IF(E24="","",MID(IF(N(Y24)&gt;0,", "&amp;A24&amp;"-"&amp;Y$2,"")&amp;IF(N(Z24)&gt;0,", "&amp;A24&amp;"-"&amp;Z$2,"")&amp;IF(N(AA24)&gt;0,", "&amp;A24&amp;"-"&amp;AA$2,"")&amp;IF(N(AB24)&gt;0,", "&amp;A24&amp;"-"&amp;AB$2,"")&amp;IF(N(AC24)&gt;0,", "&amp;A24&amp;"-"&amp;AC$2,"")&amp;IF(N(AD24)&gt;0,", "&amp;A24&amp;"-"&amp;AD$2,"")&amp;IF(N(AE24)&gt;0,", "&amp;A24&amp;"-"&amp;AE$2,"")&amp;IF(N(AF24)&gt;0,", "&amp;A24&amp;"-"&amp;AF$2,"")&amp;IF(N(AG24)&gt;0,", "&amp;A24&amp;"-"&amp;AG$2,"")&amp;IF(N(AH24)&gt;0,", "&amp;A24&amp;"-"&amp;AH$2,"")&amp;IF(N(AI24)&gt;0,", "&amp;A24&amp;"-"&amp;AI$2,"")&amp;IF(N(AJ24)&gt;0,", "&amp;A24&amp;"-"&amp;AJ$2,""),3,999))</f>
        <v/>
      </c>
      <c r="AN24" s="81"/>
      <c r="AO24" s="88"/>
      <c r="AP24" s="89" t="str">
        <f aca="false">IF(AO24="","",ROUND(AO24/(1+Справочники!$B$13),2))</f>
        <v/>
      </c>
      <c r="AQ24" s="90" t="str">
        <f aca="false" t="array" ref="AQ24:AQ24">IF(AP24="","",AP24*INDEX(Справочники!$B$4:$B$7,MATCH("RUB",Справочники!$A$4:$A$7,0)))</f>
        <v/>
      </c>
      <c r="AR24" s="90" t="str">
        <f aca="false">IF(AQ24="","",ROUND(AQ24*(1+Справочники!$B$12),0))</f>
        <v/>
      </c>
      <c r="AS24" s="90" t="str">
        <f aca="false">IF(AR24="","",ROUND(AR24*(1-Справочники!$B$11),0))</f>
        <v/>
      </c>
      <c r="AT24" s="88"/>
      <c r="AU24" s="90" t="str">
        <f aca="false">IF(AT24="","",ROUND(AT24/(1+Справочники!$B$12),0))</f>
        <v/>
      </c>
      <c r="AV24" s="90" t="str">
        <f aca="false">IF(AT24="","",ROUND(AT24*(1-Справочники!$B$15),0))</f>
        <v/>
      </c>
      <c r="AW24" s="90" t="str">
        <f aca="false">IF(AT24="","",ROUND(AT24*(1-Справочники!$B$16),0))</f>
        <v/>
      </c>
      <c r="AX24" s="90" t="str">
        <f aca="false">IF(AT24="","",ROUND(AT24*(1-Справочники!$B$17),0))</f>
        <v/>
      </c>
      <c r="AY24" s="90" t="str">
        <f aca="false">IF(AT24="","",ROUND(AT24*(1-Справочники!$B$18),0))</f>
        <v/>
      </c>
      <c r="AZ24" s="90" t="str">
        <f aca="false">IF(AT24="","",ROUND(AT24*(1-Справочники!$B$19),0))</f>
        <v/>
      </c>
      <c r="BA24" s="81"/>
      <c r="BB24" s="81"/>
      <c r="BC24" s="81"/>
      <c r="BD24" s="81"/>
      <c r="BE24" s="91"/>
      <c r="BF24" s="81" t="s">
        <v>103</v>
      </c>
      <c r="BG24" s="89" t="n">
        <f aca="false" t="array" ref="BG24:BG24">IF(BF24="","",IFERROR(INDEX(Справочники!$B$4:$B$7,MATCH(BF24,Справочники!$A$4:$A$7,0)),""))</f>
        <v>68.5</v>
      </c>
      <c r="BH24" s="90" t="str">
        <f aca="false">IF(N(BN24)&gt;0,ROUND(SUMIF(ЗАКАЗЫ!$F$3:$F$500,$A24,ЗАКАЗЫ!$Y$3:$Y$500)/BN24,0),IF(OR(BE24="",BG24=""),"",ROUND(BE24*BG24*(1+Справочники!$B$10),0)))</f>
        <v/>
      </c>
      <c r="BI24" s="92" t="str">
        <f aca="false">IF(OR(AU24="",BH24="",AU24=0),"",(AU24-BH24)/AU24)</f>
        <v/>
      </c>
      <c r="BJ24" s="81"/>
      <c r="BK24" s="83"/>
      <c r="BL24" s="43" t="str">
        <f aca="false">IFERROR(INDEX(ЗАКАЗЫ!$N$3:$N$500,MATCH($A24,ЗАКАЗЫ!$F$3:$F$500,0)),"")</f>
        <v/>
      </c>
      <c r="BM24" s="8" t="str">
        <f aca="false">IF(BL24="","",IFERROR(VLOOKUP(BL24,'ТН ВЭД'!$A$4:$C$40,3,0),""))</f>
        <v/>
      </c>
      <c r="BN24" s="7" t="str">
        <f aca="false">IF(COUNTIF(ЗАКАЗЫ!$F$3:$F$500,$A24)=0,"",SUMIF(ЗАКАЗЫ!$F$3:$F$500,$A24,ЗАКАЗЫ!$J$3:$J$500))</f>
        <v/>
      </c>
      <c r="BO24" s="7" t="str">
        <f aca="false">IF(BN24="","",SUMIF(ЗАКАЗЫ!$F$3:$F$500,$A24,ЗАКАЗЫ!$AL$3:$AL$500))</f>
        <v/>
      </c>
      <c r="BP24" s="7" t="str">
        <f aca="false">IF(BN24="","",BN24-BO24)</f>
        <v/>
      </c>
      <c r="BQ24" s="55" t="str">
        <f aca="false">IF(BN24="","",IF(BO24&gt;=BN24,"На складе",IF(BO24&gt;0,"Частично","Ждём")))</f>
        <v/>
      </c>
      <c r="BR24" s="43"/>
      <c r="BS24" s="47" t="str">
        <f aca="false">IF(BN24="","",IF(_xlfn.MAXIFS(ЗАКАЗЫ!$AK$3:$AK$500,ЗАКАЗЫ!$F$3:$F$500,$A24)=0,"",_xlfn.MAXIFS(ЗАКАЗЫ!$AK$3:$AK$500,ЗАКАЗЫ!$F$3:$F$500,$A24)))</f>
        <v/>
      </c>
    </row>
    <row r="25" customFormat="false" ht="15.75" hidden="false" customHeight="true" outlineLevel="0" collapsed="false">
      <c r="A25" s="80" t="s">
        <v>857</v>
      </c>
      <c r="B25" s="81"/>
      <c r="C25" s="81"/>
      <c r="D25" s="81"/>
      <c r="E25" s="83"/>
      <c r="F25" s="81"/>
      <c r="G25" s="83"/>
      <c r="H25" s="83"/>
      <c r="I25" s="84" t="str">
        <f aca="false">IF(E25="","",A25&amp;"_1.jpg")</f>
        <v/>
      </c>
      <c r="J25" s="84" t="str">
        <f aca="false">IF(E25="","",A25&amp;"_2.jpg; "&amp;A25&amp;"_3.jpg")</f>
        <v/>
      </c>
      <c r="K25" s="84" t="str">
        <f aca="false">IF(E25="","",A25&amp;"_schema.jpg")</f>
        <v/>
      </c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 t="s">
        <v>96</v>
      </c>
      <c r="W25" s="81"/>
      <c r="X25" s="81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6" t="str">
        <f aca="false">IF(SUM(Y25:AJ25)=0,"",SUM(Y25:AJ25))</f>
        <v/>
      </c>
      <c r="AL25" s="84" t="str">
        <f aca="false">MID(IF(N(Y25)&gt;0,", "&amp;Y$2,"")&amp;IF(N(Z25)&gt;0,", "&amp;Z$2,"")&amp;IF(N(AA25)&gt;0,", "&amp;AA$2,"")&amp;IF(N(AB25)&gt;0,", "&amp;AB$2,"")&amp;IF(N(AC25)&gt;0,", "&amp;AC$2,"")&amp;IF(N(AD25)&gt;0,", "&amp;AD$2,"")&amp;IF(N(AE25)&gt;0,", "&amp;AE$2,"")&amp;IF(N(AF25)&gt;0,", "&amp;AF$2,"")&amp;IF(N(AG25)&gt;0,", "&amp;AG$2,"")&amp;IF(N(AH25)&gt;0,", "&amp;AH$2,"")&amp;IF(N(AI25)&gt;0,", "&amp;AI$2,"")&amp;IF(N(AJ25)&gt;0,", "&amp;AJ$2,""),3,999)</f>
        <v/>
      </c>
      <c r="AM25" s="87" t="str">
        <f aca="false">IF(E25="","",MID(IF(N(Y25)&gt;0,", "&amp;A25&amp;"-"&amp;Y$2,"")&amp;IF(N(Z25)&gt;0,", "&amp;A25&amp;"-"&amp;Z$2,"")&amp;IF(N(AA25)&gt;0,", "&amp;A25&amp;"-"&amp;AA$2,"")&amp;IF(N(AB25)&gt;0,", "&amp;A25&amp;"-"&amp;AB$2,"")&amp;IF(N(AC25)&gt;0,", "&amp;A25&amp;"-"&amp;AC$2,"")&amp;IF(N(AD25)&gt;0,", "&amp;A25&amp;"-"&amp;AD$2,"")&amp;IF(N(AE25)&gt;0,", "&amp;A25&amp;"-"&amp;AE$2,"")&amp;IF(N(AF25)&gt;0,", "&amp;A25&amp;"-"&amp;AF$2,"")&amp;IF(N(AG25)&gt;0,", "&amp;A25&amp;"-"&amp;AG$2,"")&amp;IF(N(AH25)&gt;0,", "&amp;A25&amp;"-"&amp;AH$2,"")&amp;IF(N(AI25)&gt;0,", "&amp;A25&amp;"-"&amp;AI$2,"")&amp;IF(N(AJ25)&gt;0,", "&amp;A25&amp;"-"&amp;AJ$2,""),3,999))</f>
        <v/>
      </c>
      <c r="AN25" s="81"/>
      <c r="AO25" s="88"/>
      <c r="AP25" s="89" t="str">
        <f aca="false">IF(AO25="","",ROUND(AO25/(1+Справочники!$B$13),2))</f>
        <v/>
      </c>
      <c r="AQ25" s="90" t="str">
        <f aca="false" t="array" ref="AQ25:AQ25">IF(AP25="","",AP25*INDEX(Справочники!$B$4:$B$7,MATCH("RUB",Справочники!$A$4:$A$7,0)))</f>
        <v/>
      </c>
      <c r="AR25" s="90" t="str">
        <f aca="false">IF(AQ25="","",ROUND(AQ25*(1+Справочники!$B$12),0))</f>
        <v/>
      </c>
      <c r="AS25" s="90" t="str">
        <f aca="false">IF(AR25="","",ROUND(AR25*(1-Справочники!$B$11),0))</f>
        <v/>
      </c>
      <c r="AT25" s="88"/>
      <c r="AU25" s="90" t="str">
        <f aca="false">IF(AT25="","",ROUND(AT25/(1+Справочники!$B$12),0))</f>
        <v/>
      </c>
      <c r="AV25" s="90" t="str">
        <f aca="false">IF(AT25="","",ROUND(AT25*(1-Справочники!$B$15),0))</f>
        <v/>
      </c>
      <c r="AW25" s="90" t="str">
        <f aca="false">IF(AT25="","",ROUND(AT25*(1-Справочники!$B$16),0))</f>
        <v/>
      </c>
      <c r="AX25" s="90" t="str">
        <f aca="false">IF(AT25="","",ROUND(AT25*(1-Справочники!$B$17),0))</f>
        <v/>
      </c>
      <c r="AY25" s="90" t="str">
        <f aca="false">IF(AT25="","",ROUND(AT25*(1-Справочники!$B$18),0))</f>
        <v/>
      </c>
      <c r="AZ25" s="90" t="str">
        <f aca="false">IF(AT25="","",ROUND(AT25*(1-Справочники!$B$19),0))</f>
        <v/>
      </c>
      <c r="BA25" s="81"/>
      <c r="BB25" s="81"/>
      <c r="BC25" s="81"/>
      <c r="BD25" s="81"/>
      <c r="BE25" s="91"/>
      <c r="BF25" s="81" t="s">
        <v>103</v>
      </c>
      <c r="BG25" s="89" t="n">
        <f aca="false" t="array" ref="BG25:BG25">IF(BF25="","",IFERROR(INDEX(Справочники!$B$4:$B$7,MATCH(BF25,Справочники!$A$4:$A$7,0)),""))</f>
        <v>68.5</v>
      </c>
      <c r="BH25" s="90" t="str">
        <f aca="false">IF(N(BN25)&gt;0,ROUND(SUMIF(ЗАКАЗЫ!$F$3:$F$500,$A25,ЗАКАЗЫ!$Y$3:$Y$500)/BN25,0),IF(OR(BE25="",BG25=""),"",ROUND(BE25*BG25*(1+Справочники!$B$10),0)))</f>
        <v/>
      </c>
      <c r="BI25" s="92" t="str">
        <f aca="false">IF(OR(AU25="",BH25="",AU25=0),"",(AU25-BH25)/AU25)</f>
        <v/>
      </c>
      <c r="BJ25" s="81"/>
      <c r="BK25" s="83"/>
      <c r="BL25" s="43" t="str">
        <f aca="false">IFERROR(INDEX(ЗАКАЗЫ!$N$3:$N$500,MATCH($A25,ЗАКАЗЫ!$F$3:$F$500,0)),"")</f>
        <v/>
      </c>
      <c r="BM25" s="8" t="str">
        <f aca="false">IF(BL25="","",IFERROR(VLOOKUP(BL25,'ТН ВЭД'!$A$4:$C$40,3,0),""))</f>
        <v/>
      </c>
      <c r="BN25" s="7" t="str">
        <f aca="false">IF(COUNTIF(ЗАКАЗЫ!$F$3:$F$500,$A25)=0,"",SUMIF(ЗАКАЗЫ!$F$3:$F$500,$A25,ЗАКАЗЫ!$J$3:$J$500))</f>
        <v/>
      </c>
      <c r="BO25" s="7" t="str">
        <f aca="false">IF(BN25="","",SUMIF(ЗАКАЗЫ!$F$3:$F$500,$A25,ЗАКАЗЫ!$AL$3:$AL$500))</f>
        <v/>
      </c>
      <c r="BP25" s="7" t="str">
        <f aca="false">IF(BN25="","",BN25-BO25)</f>
        <v/>
      </c>
      <c r="BQ25" s="55" t="str">
        <f aca="false">IF(BN25="","",IF(BO25&gt;=BN25,"На складе",IF(BO25&gt;0,"Частично","Ждём")))</f>
        <v/>
      </c>
      <c r="BR25" s="43"/>
      <c r="BS25" s="47" t="str">
        <f aca="false">IF(BN25="","",IF(_xlfn.MAXIFS(ЗАКАЗЫ!$AK$3:$AK$500,ЗАКАЗЫ!$F$3:$F$500,$A25)=0,"",_xlfn.MAXIFS(ЗАКАЗЫ!$AK$3:$AK$500,ЗАКАЗЫ!$F$3:$F$500,$A25)))</f>
        <v/>
      </c>
    </row>
    <row r="26" customFormat="false" ht="15.75" hidden="false" customHeight="true" outlineLevel="0" collapsed="false">
      <c r="A26" s="80" t="s">
        <v>858</v>
      </c>
      <c r="B26" s="81"/>
      <c r="C26" s="81"/>
      <c r="D26" s="81"/>
      <c r="E26" s="83"/>
      <c r="F26" s="81"/>
      <c r="G26" s="83"/>
      <c r="H26" s="83"/>
      <c r="I26" s="84" t="str">
        <f aca="false">IF(E26="","",A26&amp;"_1.jpg")</f>
        <v/>
      </c>
      <c r="J26" s="84" t="str">
        <f aca="false">IF(E26="","",A26&amp;"_2.jpg; "&amp;A26&amp;"_3.jpg")</f>
        <v/>
      </c>
      <c r="K26" s="84" t="str">
        <f aca="false">IF(E26="","",A26&amp;"_schema.jpg")</f>
        <v/>
      </c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 t="s">
        <v>96</v>
      </c>
      <c r="W26" s="81"/>
      <c r="X26" s="81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6" t="str">
        <f aca="false">IF(SUM(Y26:AJ26)=0,"",SUM(Y26:AJ26))</f>
        <v/>
      </c>
      <c r="AL26" s="84" t="str">
        <f aca="false">MID(IF(N(Y26)&gt;0,", "&amp;Y$2,"")&amp;IF(N(Z26)&gt;0,", "&amp;Z$2,"")&amp;IF(N(AA26)&gt;0,", "&amp;AA$2,"")&amp;IF(N(AB26)&gt;0,", "&amp;AB$2,"")&amp;IF(N(AC26)&gt;0,", "&amp;AC$2,"")&amp;IF(N(AD26)&gt;0,", "&amp;AD$2,"")&amp;IF(N(AE26)&gt;0,", "&amp;AE$2,"")&amp;IF(N(AF26)&gt;0,", "&amp;AF$2,"")&amp;IF(N(AG26)&gt;0,", "&amp;AG$2,"")&amp;IF(N(AH26)&gt;0,", "&amp;AH$2,"")&amp;IF(N(AI26)&gt;0,", "&amp;AI$2,"")&amp;IF(N(AJ26)&gt;0,", "&amp;AJ$2,""),3,999)</f>
        <v/>
      </c>
      <c r="AM26" s="87" t="str">
        <f aca="false">IF(E26="","",MID(IF(N(Y26)&gt;0,", "&amp;A26&amp;"-"&amp;Y$2,"")&amp;IF(N(Z26)&gt;0,", "&amp;A26&amp;"-"&amp;Z$2,"")&amp;IF(N(AA26)&gt;0,", "&amp;A26&amp;"-"&amp;AA$2,"")&amp;IF(N(AB26)&gt;0,", "&amp;A26&amp;"-"&amp;AB$2,"")&amp;IF(N(AC26)&gt;0,", "&amp;A26&amp;"-"&amp;AC$2,"")&amp;IF(N(AD26)&gt;0,", "&amp;A26&amp;"-"&amp;AD$2,"")&amp;IF(N(AE26)&gt;0,", "&amp;A26&amp;"-"&amp;AE$2,"")&amp;IF(N(AF26)&gt;0,", "&amp;A26&amp;"-"&amp;AF$2,"")&amp;IF(N(AG26)&gt;0,", "&amp;A26&amp;"-"&amp;AG$2,"")&amp;IF(N(AH26)&gt;0,", "&amp;A26&amp;"-"&amp;AH$2,"")&amp;IF(N(AI26)&gt;0,", "&amp;A26&amp;"-"&amp;AI$2,"")&amp;IF(N(AJ26)&gt;0,", "&amp;A26&amp;"-"&amp;AJ$2,""),3,999))</f>
        <v/>
      </c>
      <c r="AN26" s="81"/>
      <c r="AO26" s="88"/>
      <c r="AP26" s="89" t="str">
        <f aca="false">IF(AO26="","",ROUND(AO26/(1+Справочники!$B$13),2))</f>
        <v/>
      </c>
      <c r="AQ26" s="90" t="str">
        <f aca="false" t="array" ref="AQ26:AQ26">IF(AP26="","",AP26*INDEX(Справочники!$B$4:$B$7,MATCH("RUB",Справочники!$A$4:$A$7,0)))</f>
        <v/>
      </c>
      <c r="AR26" s="90" t="str">
        <f aca="false">IF(AQ26="","",ROUND(AQ26*(1+Справочники!$B$12),0))</f>
        <v/>
      </c>
      <c r="AS26" s="90" t="str">
        <f aca="false">IF(AR26="","",ROUND(AR26*(1-Справочники!$B$11),0))</f>
        <v/>
      </c>
      <c r="AT26" s="88"/>
      <c r="AU26" s="90" t="str">
        <f aca="false">IF(AT26="","",ROUND(AT26/(1+Справочники!$B$12),0))</f>
        <v/>
      </c>
      <c r="AV26" s="90" t="str">
        <f aca="false">IF(AT26="","",ROUND(AT26*(1-Справочники!$B$15),0))</f>
        <v/>
      </c>
      <c r="AW26" s="90" t="str">
        <f aca="false">IF(AT26="","",ROUND(AT26*(1-Справочники!$B$16),0))</f>
        <v/>
      </c>
      <c r="AX26" s="90" t="str">
        <f aca="false">IF(AT26="","",ROUND(AT26*(1-Справочники!$B$17),0))</f>
        <v/>
      </c>
      <c r="AY26" s="90" t="str">
        <f aca="false">IF(AT26="","",ROUND(AT26*(1-Справочники!$B$18),0))</f>
        <v/>
      </c>
      <c r="AZ26" s="90" t="str">
        <f aca="false">IF(AT26="","",ROUND(AT26*(1-Справочники!$B$19),0))</f>
        <v/>
      </c>
      <c r="BA26" s="81"/>
      <c r="BB26" s="81"/>
      <c r="BC26" s="81"/>
      <c r="BD26" s="81"/>
      <c r="BE26" s="91"/>
      <c r="BF26" s="81" t="s">
        <v>103</v>
      </c>
      <c r="BG26" s="89" t="n">
        <f aca="false" t="array" ref="BG26:BG26">IF(BF26="","",IFERROR(INDEX(Справочники!$B$4:$B$7,MATCH(BF26,Справочники!$A$4:$A$7,0)),""))</f>
        <v>68.5</v>
      </c>
      <c r="BH26" s="90" t="str">
        <f aca="false">IF(N(BN26)&gt;0,ROUND(SUMIF(ЗАКАЗЫ!$F$3:$F$500,$A26,ЗАКАЗЫ!$Y$3:$Y$500)/BN26,0),IF(OR(BE26="",BG26=""),"",ROUND(BE26*BG26*(1+Справочники!$B$10),0)))</f>
        <v/>
      </c>
      <c r="BI26" s="92" t="str">
        <f aca="false">IF(OR(AU26="",BH26="",AU26=0),"",(AU26-BH26)/AU26)</f>
        <v/>
      </c>
      <c r="BJ26" s="81"/>
      <c r="BK26" s="83"/>
      <c r="BL26" s="43" t="str">
        <f aca="false">IFERROR(INDEX(ЗАКАЗЫ!$N$3:$N$500,MATCH($A26,ЗАКАЗЫ!$F$3:$F$500,0)),"")</f>
        <v/>
      </c>
      <c r="BM26" s="8" t="str">
        <f aca="false">IF(BL26="","",IFERROR(VLOOKUP(BL26,'ТН ВЭД'!$A$4:$C$40,3,0),""))</f>
        <v/>
      </c>
      <c r="BN26" s="7" t="str">
        <f aca="false">IF(COUNTIF(ЗАКАЗЫ!$F$3:$F$500,$A26)=0,"",SUMIF(ЗАКАЗЫ!$F$3:$F$500,$A26,ЗАКАЗЫ!$J$3:$J$500))</f>
        <v/>
      </c>
      <c r="BO26" s="7" t="str">
        <f aca="false">IF(BN26="","",SUMIF(ЗАКАЗЫ!$F$3:$F$500,$A26,ЗАКАЗЫ!$AL$3:$AL$500))</f>
        <v/>
      </c>
      <c r="BP26" s="7" t="str">
        <f aca="false">IF(BN26="","",BN26-BO26)</f>
        <v/>
      </c>
      <c r="BQ26" s="55" t="str">
        <f aca="false">IF(BN26="","",IF(BO26&gt;=BN26,"На складе",IF(BO26&gt;0,"Частично","Ждём")))</f>
        <v/>
      </c>
      <c r="BR26" s="43"/>
      <c r="BS26" s="47" t="str">
        <f aca="false">IF(BN26="","",IF(_xlfn.MAXIFS(ЗАКАЗЫ!$AK$3:$AK$500,ЗАКАЗЫ!$F$3:$F$500,$A26)=0,"",_xlfn.MAXIFS(ЗАКАЗЫ!$AK$3:$AK$500,ЗАКАЗЫ!$F$3:$F$500,$A26)))</f>
        <v/>
      </c>
    </row>
    <row r="27" customFormat="false" ht="15.75" hidden="false" customHeight="true" outlineLevel="0" collapsed="false">
      <c r="A27" s="80" t="s">
        <v>859</v>
      </c>
      <c r="B27" s="81"/>
      <c r="C27" s="81"/>
      <c r="D27" s="81"/>
      <c r="E27" s="83"/>
      <c r="F27" s="81"/>
      <c r="G27" s="83"/>
      <c r="H27" s="83"/>
      <c r="I27" s="84" t="str">
        <f aca="false">IF(E27="","",A27&amp;"_1.jpg")</f>
        <v/>
      </c>
      <c r="J27" s="84" t="str">
        <f aca="false">IF(E27="","",A27&amp;"_2.jpg; "&amp;A27&amp;"_3.jpg")</f>
        <v/>
      </c>
      <c r="K27" s="84" t="str">
        <f aca="false">IF(E27="","",A27&amp;"_schema.jpg")</f>
        <v/>
      </c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 t="s">
        <v>96</v>
      </c>
      <c r="W27" s="81"/>
      <c r="X27" s="81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6" t="str">
        <f aca="false">IF(SUM(Y27:AJ27)=0,"",SUM(Y27:AJ27))</f>
        <v/>
      </c>
      <c r="AL27" s="84" t="str">
        <f aca="false">MID(IF(N(Y27)&gt;0,", "&amp;Y$2,"")&amp;IF(N(Z27)&gt;0,", "&amp;Z$2,"")&amp;IF(N(AA27)&gt;0,", "&amp;AA$2,"")&amp;IF(N(AB27)&gt;0,", "&amp;AB$2,"")&amp;IF(N(AC27)&gt;0,", "&amp;AC$2,"")&amp;IF(N(AD27)&gt;0,", "&amp;AD$2,"")&amp;IF(N(AE27)&gt;0,", "&amp;AE$2,"")&amp;IF(N(AF27)&gt;0,", "&amp;AF$2,"")&amp;IF(N(AG27)&gt;0,", "&amp;AG$2,"")&amp;IF(N(AH27)&gt;0,", "&amp;AH$2,"")&amp;IF(N(AI27)&gt;0,", "&amp;AI$2,"")&amp;IF(N(AJ27)&gt;0,", "&amp;AJ$2,""),3,999)</f>
        <v/>
      </c>
      <c r="AM27" s="87" t="str">
        <f aca="false">IF(E27="","",MID(IF(N(Y27)&gt;0,", "&amp;A27&amp;"-"&amp;Y$2,"")&amp;IF(N(Z27)&gt;0,", "&amp;A27&amp;"-"&amp;Z$2,"")&amp;IF(N(AA27)&gt;0,", "&amp;A27&amp;"-"&amp;AA$2,"")&amp;IF(N(AB27)&gt;0,", "&amp;A27&amp;"-"&amp;AB$2,"")&amp;IF(N(AC27)&gt;0,", "&amp;A27&amp;"-"&amp;AC$2,"")&amp;IF(N(AD27)&gt;0,", "&amp;A27&amp;"-"&amp;AD$2,"")&amp;IF(N(AE27)&gt;0,", "&amp;A27&amp;"-"&amp;AE$2,"")&amp;IF(N(AF27)&gt;0,", "&amp;A27&amp;"-"&amp;AF$2,"")&amp;IF(N(AG27)&gt;0,", "&amp;A27&amp;"-"&amp;AG$2,"")&amp;IF(N(AH27)&gt;0,", "&amp;A27&amp;"-"&amp;AH$2,"")&amp;IF(N(AI27)&gt;0,", "&amp;A27&amp;"-"&amp;AI$2,"")&amp;IF(N(AJ27)&gt;0,", "&amp;A27&amp;"-"&amp;AJ$2,""),3,999))</f>
        <v/>
      </c>
      <c r="AN27" s="81"/>
      <c r="AO27" s="88"/>
      <c r="AP27" s="89" t="str">
        <f aca="false">IF(AO27="","",ROUND(AO27/(1+Справочники!$B$13),2))</f>
        <v/>
      </c>
      <c r="AQ27" s="90" t="str">
        <f aca="false" t="array" ref="AQ27:AQ27">IF(AP27="","",AP27*INDEX(Справочники!$B$4:$B$7,MATCH("RUB",Справочники!$A$4:$A$7,0)))</f>
        <v/>
      </c>
      <c r="AR27" s="90" t="str">
        <f aca="false">IF(AQ27="","",ROUND(AQ27*(1+Справочники!$B$12),0))</f>
        <v/>
      </c>
      <c r="AS27" s="90" t="str">
        <f aca="false">IF(AR27="","",ROUND(AR27*(1-Справочники!$B$11),0))</f>
        <v/>
      </c>
      <c r="AT27" s="88"/>
      <c r="AU27" s="90" t="str">
        <f aca="false">IF(AT27="","",ROUND(AT27/(1+Справочники!$B$12),0))</f>
        <v/>
      </c>
      <c r="AV27" s="90" t="str">
        <f aca="false">IF(AT27="","",ROUND(AT27*(1-Справочники!$B$15),0))</f>
        <v/>
      </c>
      <c r="AW27" s="90" t="str">
        <f aca="false">IF(AT27="","",ROUND(AT27*(1-Справочники!$B$16),0))</f>
        <v/>
      </c>
      <c r="AX27" s="90" t="str">
        <f aca="false">IF(AT27="","",ROUND(AT27*(1-Справочники!$B$17),0))</f>
        <v/>
      </c>
      <c r="AY27" s="90" t="str">
        <f aca="false">IF(AT27="","",ROUND(AT27*(1-Справочники!$B$18),0))</f>
        <v/>
      </c>
      <c r="AZ27" s="90" t="str">
        <f aca="false">IF(AT27="","",ROUND(AT27*(1-Справочники!$B$19),0))</f>
        <v/>
      </c>
      <c r="BA27" s="81"/>
      <c r="BB27" s="81"/>
      <c r="BC27" s="81"/>
      <c r="BD27" s="81"/>
      <c r="BE27" s="91"/>
      <c r="BF27" s="81" t="s">
        <v>103</v>
      </c>
      <c r="BG27" s="89" t="n">
        <f aca="false" t="array" ref="BG27:BG27">IF(BF27="","",IFERROR(INDEX(Справочники!$B$4:$B$7,MATCH(BF27,Справочники!$A$4:$A$7,0)),""))</f>
        <v>68.5</v>
      </c>
      <c r="BH27" s="90" t="str">
        <f aca="false">IF(N(BN27)&gt;0,ROUND(SUMIF(ЗАКАЗЫ!$F$3:$F$500,$A27,ЗАКАЗЫ!$Y$3:$Y$500)/BN27,0),IF(OR(BE27="",BG27=""),"",ROUND(BE27*BG27*(1+Справочники!$B$10),0)))</f>
        <v/>
      </c>
      <c r="BI27" s="92" t="str">
        <f aca="false">IF(OR(AU27="",BH27="",AU27=0),"",(AU27-BH27)/AU27)</f>
        <v/>
      </c>
      <c r="BJ27" s="81"/>
      <c r="BK27" s="83"/>
      <c r="BL27" s="43" t="str">
        <f aca="false">IFERROR(INDEX(ЗАКАЗЫ!$N$3:$N$500,MATCH($A27,ЗАКАЗЫ!$F$3:$F$500,0)),"")</f>
        <v/>
      </c>
      <c r="BM27" s="8" t="str">
        <f aca="false">IF(BL27="","",IFERROR(VLOOKUP(BL27,'ТН ВЭД'!$A$4:$C$40,3,0),""))</f>
        <v/>
      </c>
      <c r="BN27" s="7" t="str">
        <f aca="false">IF(COUNTIF(ЗАКАЗЫ!$F$3:$F$500,$A27)=0,"",SUMIF(ЗАКАЗЫ!$F$3:$F$500,$A27,ЗАКАЗЫ!$J$3:$J$500))</f>
        <v/>
      </c>
      <c r="BO27" s="7" t="str">
        <f aca="false">IF(BN27="","",SUMIF(ЗАКАЗЫ!$F$3:$F$500,$A27,ЗАКАЗЫ!$AL$3:$AL$500))</f>
        <v/>
      </c>
      <c r="BP27" s="7" t="str">
        <f aca="false">IF(BN27="","",BN27-BO27)</f>
        <v/>
      </c>
      <c r="BQ27" s="55" t="str">
        <f aca="false">IF(BN27="","",IF(BO27&gt;=BN27,"На складе",IF(BO27&gt;0,"Частично","Ждём")))</f>
        <v/>
      </c>
      <c r="BR27" s="43"/>
      <c r="BS27" s="47" t="str">
        <f aca="false">IF(BN27="","",IF(_xlfn.MAXIFS(ЗАКАЗЫ!$AK$3:$AK$500,ЗАКАЗЫ!$F$3:$F$500,$A27)=0,"",_xlfn.MAXIFS(ЗАКАЗЫ!$AK$3:$AK$500,ЗАКАЗЫ!$F$3:$F$500,$A27)))</f>
        <v/>
      </c>
    </row>
    <row r="28" customFormat="false" ht="15.75" hidden="false" customHeight="true" outlineLevel="0" collapsed="false">
      <c r="A28" s="80" t="s">
        <v>860</v>
      </c>
      <c r="B28" s="81"/>
      <c r="C28" s="81"/>
      <c r="D28" s="81"/>
      <c r="E28" s="83"/>
      <c r="F28" s="81"/>
      <c r="G28" s="83"/>
      <c r="H28" s="83"/>
      <c r="I28" s="84" t="str">
        <f aca="false">IF(E28="","",A28&amp;"_1.jpg")</f>
        <v/>
      </c>
      <c r="J28" s="84" t="str">
        <f aca="false">IF(E28="","",A28&amp;"_2.jpg; "&amp;A28&amp;"_3.jpg")</f>
        <v/>
      </c>
      <c r="K28" s="84" t="str">
        <f aca="false">IF(E28="","",A28&amp;"_schema.jpg")</f>
        <v/>
      </c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 t="s">
        <v>96</v>
      </c>
      <c r="W28" s="81"/>
      <c r="X28" s="81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6" t="str">
        <f aca="false">IF(SUM(Y28:AJ28)=0,"",SUM(Y28:AJ28))</f>
        <v/>
      </c>
      <c r="AL28" s="84" t="str">
        <f aca="false">MID(IF(N(Y28)&gt;0,", "&amp;Y$2,"")&amp;IF(N(Z28)&gt;0,", "&amp;Z$2,"")&amp;IF(N(AA28)&gt;0,", "&amp;AA$2,"")&amp;IF(N(AB28)&gt;0,", "&amp;AB$2,"")&amp;IF(N(AC28)&gt;0,", "&amp;AC$2,"")&amp;IF(N(AD28)&gt;0,", "&amp;AD$2,"")&amp;IF(N(AE28)&gt;0,", "&amp;AE$2,"")&amp;IF(N(AF28)&gt;0,", "&amp;AF$2,"")&amp;IF(N(AG28)&gt;0,", "&amp;AG$2,"")&amp;IF(N(AH28)&gt;0,", "&amp;AH$2,"")&amp;IF(N(AI28)&gt;0,", "&amp;AI$2,"")&amp;IF(N(AJ28)&gt;0,", "&amp;AJ$2,""),3,999)</f>
        <v/>
      </c>
      <c r="AM28" s="87" t="str">
        <f aca="false">IF(E28="","",MID(IF(N(Y28)&gt;0,", "&amp;A28&amp;"-"&amp;Y$2,"")&amp;IF(N(Z28)&gt;0,", "&amp;A28&amp;"-"&amp;Z$2,"")&amp;IF(N(AA28)&gt;0,", "&amp;A28&amp;"-"&amp;AA$2,"")&amp;IF(N(AB28)&gt;0,", "&amp;A28&amp;"-"&amp;AB$2,"")&amp;IF(N(AC28)&gt;0,", "&amp;A28&amp;"-"&amp;AC$2,"")&amp;IF(N(AD28)&gt;0,", "&amp;A28&amp;"-"&amp;AD$2,"")&amp;IF(N(AE28)&gt;0,", "&amp;A28&amp;"-"&amp;AE$2,"")&amp;IF(N(AF28)&gt;0,", "&amp;A28&amp;"-"&amp;AF$2,"")&amp;IF(N(AG28)&gt;0,", "&amp;A28&amp;"-"&amp;AG$2,"")&amp;IF(N(AH28)&gt;0,", "&amp;A28&amp;"-"&amp;AH$2,"")&amp;IF(N(AI28)&gt;0,", "&amp;A28&amp;"-"&amp;AI$2,"")&amp;IF(N(AJ28)&gt;0,", "&amp;A28&amp;"-"&amp;AJ$2,""),3,999))</f>
        <v/>
      </c>
      <c r="AN28" s="81"/>
      <c r="AO28" s="88"/>
      <c r="AP28" s="89" t="str">
        <f aca="false">IF(AO28="","",ROUND(AO28/(1+Справочники!$B$13),2))</f>
        <v/>
      </c>
      <c r="AQ28" s="90" t="str">
        <f aca="false" t="array" ref="AQ28:AQ28">IF(AP28="","",AP28*INDEX(Справочники!$B$4:$B$7,MATCH("RUB",Справочники!$A$4:$A$7,0)))</f>
        <v/>
      </c>
      <c r="AR28" s="90" t="str">
        <f aca="false">IF(AQ28="","",ROUND(AQ28*(1+Справочники!$B$12),0))</f>
        <v/>
      </c>
      <c r="AS28" s="90" t="str">
        <f aca="false">IF(AR28="","",ROUND(AR28*(1-Справочники!$B$11),0))</f>
        <v/>
      </c>
      <c r="AT28" s="88"/>
      <c r="AU28" s="90" t="str">
        <f aca="false">IF(AT28="","",ROUND(AT28/(1+Справочники!$B$12),0))</f>
        <v/>
      </c>
      <c r="AV28" s="90" t="str">
        <f aca="false">IF(AT28="","",ROUND(AT28*(1-Справочники!$B$15),0))</f>
        <v/>
      </c>
      <c r="AW28" s="90" t="str">
        <f aca="false">IF(AT28="","",ROUND(AT28*(1-Справочники!$B$16),0))</f>
        <v/>
      </c>
      <c r="AX28" s="90" t="str">
        <f aca="false">IF(AT28="","",ROUND(AT28*(1-Справочники!$B$17),0))</f>
        <v/>
      </c>
      <c r="AY28" s="90" t="str">
        <f aca="false">IF(AT28="","",ROUND(AT28*(1-Справочники!$B$18),0))</f>
        <v/>
      </c>
      <c r="AZ28" s="90" t="str">
        <f aca="false">IF(AT28="","",ROUND(AT28*(1-Справочники!$B$19),0))</f>
        <v/>
      </c>
      <c r="BA28" s="81"/>
      <c r="BB28" s="81"/>
      <c r="BC28" s="81"/>
      <c r="BD28" s="81"/>
      <c r="BE28" s="91"/>
      <c r="BF28" s="81" t="s">
        <v>103</v>
      </c>
      <c r="BG28" s="89" t="n">
        <f aca="false" t="array" ref="BG28:BG28">IF(BF28="","",IFERROR(INDEX(Справочники!$B$4:$B$7,MATCH(BF28,Справочники!$A$4:$A$7,0)),""))</f>
        <v>68.5</v>
      </c>
      <c r="BH28" s="90" t="str">
        <f aca="false">IF(N(BN28)&gt;0,ROUND(SUMIF(ЗАКАЗЫ!$F$3:$F$500,$A28,ЗАКАЗЫ!$Y$3:$Y$500)/BN28,0),IF(OR(BE28="",BG28=""),"",ROUND(BE28*BG28*(1+Справочники!$B$10),0)))</f>
        <v/>
      </c>
      <c r="BI28" s="92" t="str">
        <f aca="false">IF(OR(AU28="",BH28="",AU28=0),"",(AU28-BH28)/AU28)</f>
        <v/>
      </c>
      <c r="BJ28" s="81"/>
      <c r="BK28" s="83"/>
      <c r="BL28" s="43" t="str">
        <f aca="false">IFERROR(INDEX(ЗАКАЗЫ!$N$3:$N$500,MATCH($A28,ЗАКАЗЫ!$F$3:$F$500,0)),"")</f>
        <v/>
      </c>
      <c r="BM28" s="8" t="str">
        <f aca="false">IF(BL28="","",IFERROR(VLOOKUP(BL28,'ТН ВЭД'!$A$4:$C$40,3,0),""))</f>
        <v/>
      </c>
      <c r="BN28" s="7" t="str">
        <f aca="false">IF(COUNTIF(ЗАКАЗЫ!$F$3:$F$500,$A28)=0,"",SUMIF(ЗАКАЗЫ!$F$3:$F$500,$A28,ЗАКАЗЫ!$J$3:$J$500))</f>
        <v/>
      </c>
      <c r="BO28" s="7" t="str">
        <f aca="false">IF(BN28="","",SUMIF(ЗАКАЗЫ!$F$3:$F$500,$A28,ЗАКАЗЫ!$AL$3:$AL$500))</f>
        <v/>
      </c>
      <c r="BP28" s="7" t="str">
        <f aca="false">IF(BN28="","",BN28-BO28)</f>
        <v/>
      </c>
      <c r="BQ28" s="55" t="str">
        <f aca="false">IF(BN28="","",IF(BO28&gt;=BN28,"На складе",IF(BO28&gt;0,"Частично","Ждём")))</f>
        <v/>
      </c>
      <c r="BR28" s="43"/>
      <c r="BS28" s="47" t="str">
        <f aca="false">IF(BN28="","",IF(_xlfn.MAXIFS(ЗАКАЗЫ!$AK$3:$AK$500,ЗАКАЗЫ!$F$3:$F$500,$A28)=0,"",_xlfn.MAXIFS(ЗАКАЗЫ!$AK$3:$AK$500,ЗАКАЗЫ!$F$3:$F$500,$A28)))</f>
        <v/>
      </c>
    </row>
    <row r="29" customFormat="false" ht="15.75" hidden="false" customHeight="true" outlineLevel="0" collapsed="false">
      <c r="A29" s="80" t="s">
        <v>861</v>
      </c>
      <c r="B29" s="81"/>
      <c r="C29" s="81"/>
      <c r="D29" s="81"/>
      <c r="E29" s="83"/>
      <c r="F29" s="81"/>
      <c r="G29" s="83"/>
      <c r="H29" s="83"/>
      <c r="I29" s="84" t="str">
        <f aca="false">IF(E29="","",A29&amp;"_1.jpg")</f>
        <v/>
      </c>
      <c r="J29" s="84" t="str">
        <f aca="false">IF(E29="","",A29&amp;"_2.jpg; "&amp;A29&amp;"_3.jpg")</f>
        <v/>
      </c>
      <c r="K29" s="84" t="str">
        <f aca="false">IF(E29="","",A29&amp;"_schema.jpg")</f>
        <v/>
      </c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 t="s">
        <v>96</v>
      </c>
      <c r="W29" s="81"/>
      <c r="X29" s="81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6" t="str">
        <f aca="false">IF(SUM(Y29:AJ29)=0,"",SUM(Y29:AJ29))</f>
        <v/>
      </c>
      <c r="AL29" s="84" t="str">
        <f aca="false">MID(IF(N(Y29)&gt;0,", "&amp;Y$2,"")&amp;IF(N(Z29)&gt;0,", "&amp;Z$2,"")&amp;IF(N(AA29)&gt;0,", "&amp;AA$2,"")&amp;IF(N(AB29)&gt;0,", "&amp;AB$2,"")&amp;IF(N(AC29)&gt;0,", "&amp;AC$2,"")&amp;IF(N(AD29)&gt;0,", "&amp;AD$2,"")&amp;IF(N(AE29)&gt;0,", "&amp;AE$2,"")&amp;IF(N(AF29)&gt;0,", "&amp;AF$2,"")&amp;IF(N(AG29)&gt;0,", "&amp;AG$2,"")&amp;IF(N(AH29)&gt;0,", "&amp;AH$2,"")&amp;IF(N(AI29)&gt;0,", "&amp;AI$2,"")&amp;IF(N(AJ29)&gt;0,", "&amp;AJ$2,""),3,999)</f>
        <v/>
      </c>
      <c r="AM29" s="87" t="str">
        <f aca="false">IF(E29="","",MID(IF(N(Y29)&gt;0,", "&amp;A29&amp;"-"&amp;Y$2,"")&amp;IF(N(Z29)&gt;0,", "&amp;A29&amp;"-"&amp;Z$2,"")&amp;IF(N(AA29)&gt;0,", "&amp;A29&amp;"-"&amp;AA$2,"")&amp;IF(N(AB29)&gt;0,", "&amp;A29&amp;"-"&amp;AB$2,"")&amp;IF(N(AC29)&gt;0,", "&amp;A29&amp;"-"&amp;AC$2,"")&amp;IF(N(AD29)&gt;0,", "&amp;A29&amp;"-"&amp;AD$2,"")&amp;IF(N(AE29)&gt;0,", "&amp;A29&amp;"-"&amp;AE$2,"")&amp;IF(N(AF29)&gt;0,", "&amp;A29&amp;"-"&amp;AF$2,"")&amp;IF(N(AG29)&gt;0,", "&amp;A29&amp;"-"&amp;AG$2,"")&amp;IF(N(AH29)&gt;0,", "&amp;A29&amp;"-"&amp;AH$2,"")&amp;IF(N(AI29)&gt;0,", "&amp;A29&amp;"-"&amp;AI$2,"")&amp;IF(N(AJ29)&gt;0,", "&amp;A29&amp;"-"&amp;AJ$2,""),3,999))</f>
        <v/>
      </c>
      <c r="AN29" s="81"/>
      <c r="AO29" s="88"/>
      <c r="AP29" s="89" t="str">
        <f aca="false">IF(AO29="","",ROUND(AO29/(1+Справочники!$B$13),2))</f>
        <v/>
      </c>
      <c r="AQ29" s="90" t="str">
        <f aca="false" t="array" ref="AQ29:AQ29">IF(AP29="","",AP29*INDEX(Справочники!$B$4:$B$7,MATCH("RUB",Справочники!$A$4:$A$7,0)))</f>
        <v/>
      </c>
      <c r="AR29" s="90" t="str">
        <f aca="false">IF(AQ29="","",ROUND(AQ29*(1+Справочники!$B$12),0))</f>
        <v/>
      </c>
      <c r="AS29" s="90" t="str">
        <f aca="false">IF(AR29="","",ROUND(AR29*(1-Справочники!$B$11),0))</f>
        <v/>
      </c>
      <c r="AT29" s="88"/>
      <c r="AU29" s="90" t="str">
        <f aca="false">IF(AT29="","",ROUND(AT29/(1+Справочники!$B$12),0))</f>
        <v/>
      </c>
      <c r="AV29" s="90" t="str">
        <f aca="false">IF(AT29="","",ROUND(AT29*(1-Справочники!$B$15),0))</f>
        <v/>
      </c>
      <c r="AW29" s="90" t="str">
        <f aca="false">IF(AT29="","",ROUND(AT29*(1-Справочники!$B$16),0))</f>
        <v/>
      </c>
      <c r="AX29" s="90" t="str">
        <f aca="false">IF(AT29="","",ROUND(AT29*(1-Справочники!$B$17),0))</f>
        <v/>
      </c>
      <c r="AY29" s="90" t="str">
        <f aca="false">IF(AT29="","",ROUND(AT29*(1-Справочники!$B$18),0))</f>
        <v/>
      </c>
      <c r="AZ29" s="90" t="str">
        <f aca="false">IF(AT29="","",ROUND(AT29*(1-Справочники!$B$19),0))</f>
        <v/>
      </c>
      <c r="BA29" s="81"/>
      <c r="BB29" s="81"/>
      <c r="BC29" s="81"/>
      <c r="BD29" s="81"/>
      <c r="BE29" s="91"/>
      <c r="BF29" s="81" t="s">
        <v>103</v>
      </c>
      <c r="BG29" s="89" t="n">
        <f aca="false" t="array" ref="BG29:BG29">IF(BF29="","",IFERROR(INDEX(Справочники!$B$4:$B$7,MATCH(BF29,Справочники!$A$4:$A$7,0)),""))</f>
        <v>68.5</v>
      </c>
      <c r="BH29" s="90" t="str">
        <f aca="false">IF(N(BN29)&gt;0,ROUND(SUMIF(ЗАКАЗЫ!$F$3:$F$500,$A29,ЗАКАЗЫ!$Y$3:$Y$500)/BN29,0),IF(OR(BE29="",BG29=""),"",ROUND(BE29*BG29*(1+Справочники!$B$10),0)))</f>
        <v/>
      </c>
      <c r="BI29" s="92" t="str">
        <f aca="false">IF(OR(AU29="",BH29="",AU29=0),"",(AU29-BH29)/AU29)</f>
        <v/>
      </c>
      <c r="BJ29" s="81"/>
      <c r="BK29" s="83"/>
      <c r="BL29" s="43" t="str">
        <f aca="false">IFERROR(INDEX(ЗАКАЗЫ!$N$3:$N$500,MATCH($A29,ЗАКАЗЫ!$F$3:$F$500,0)),"")</f>
        <v/>
      </c>
      <c r="BM29" s="8" t="str">
        <f aca="false">IF(BL29="","",IFERROR(VLOOKUP(BL29,'ТН ВЭД'!$A$4:$C$40,3,0),""))</f>
        <v/>
      </c>
      <c r="BN29" s="7" t="str">
        <f aca="false">IF(COUNTIF(ЗАКАЗЫ!$F$3:$F$500,$A29)=0,"",SUMIF(ЗАКАЗЫ!$F$3:$F$500,$A29,ЗАКАЗЫ!$J$3:$J$500))</f>
        <v/>
      </c>
      <c r="BO29" s="7" t="str">
        <f aca="false">IF(BN29="","",SUMIF(ЗАКАЗЫ!$F$3:$F$500,$A29,ЗАКАЗЫ!$AL$3:$AL$500))</f>
        <v/>
      </c>
      <c r="BP29" s="7" t="str">
        <f aca="false">IF(BN29="","",BN29-BO29)</f>
        <v/>
      </c>
      <c r="BQ29" s="55" t="str">
        <f aca="false">IF(BN29="","",IF(BO29&gt;=BN29,"На складе",IF(BO29&gt;0,"Частично","Ждём")))</f>
        <v/>
      </c>
      <c r="BR29" s="43"/>
      <c r="BS29" s="47" t="str">
        <f aca="false">IF(BN29="","",IF(_xlfn.MAXIFS(ЗАКАЗЫ!$AK$3:$AK$500,ЗАКАЗЫ!$F$3:$F$500,$A29)=0,"",_xlfn.MAXIFS(ЗАКАЗЫ!$AK$3:$AK$500,ЗАКАЗЫ!$F$3:$F$500,$A29)))</f>
        <v/>
      </c>
    </row>
    <row r="30" customFormat="false" ht="15.75" hidden="false" customHeight="true" outlineLevel="0" collapsed="false">
      <c r="A30" s="80" t="s">
        <v>862</v>
      </c>
      <c r="B30" s="81"/>
      <c r="C30" s="81"/>
      <c r="D30" s="81"/>
      <c r="E30" s="83"/>
      <c r="F30" s="81"/>
      <c r="G30" s="83"/>
      <c r="H30" s="83"/>
      <c r="I30" s="84" t="str">
        <f aca="false">IF(E30="","",A30&amp;"_1.jpg")</f>
        <v/>
      </c>
      <c r="J30" s="84" t="str">
        <f aca="false">IF(E30="","",A30&amp;"_2.jpg; "&amp;A30&amp;"_3.jpg")</f>
        <v/>
      </c>
      <c r="K30" s="84" t="str">
        <f aca="false">IF(E30="","",A30&amp;"_schema.jpg")</f>
        <v/>
      </c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 t="s">
        <v>96</v>
      </c>
      <c r="W30" s="81"/>
      <c r="X30" s="81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6" t="str">
        <f aca="false">IF(SUM(Y30:AJ30)=0,"",SUM(Y30:AJ30))</f>
        <v/>
      </c>
      <c r="AL30" s="84" t="str">
        <f aca="false">MID(IF(N(Y30)&gt;0,", "&amp;Y$2,"")&amp;IF(N(Z30)&gt;0,", "&amp;Z$2,"")&amp;IF(N(AA30)&gt;0,", "&amp;AA$2,"")&amp;IF(N(AB30)&gt;0,", "&amp;AB$2,"")&amp;IF(N(AC30)&gt;0,", "&amp;AC$2,"")&amp;IF(N(AD30)&gt;0,", "&amp;AD$2,"")&amp;IF(N(AE30)&gt;0,", "&amp;AE$2,"")&amp;IF(N(AF30)&gt;0,", "&amp;AF$2,"")&amp;IF(N(AG30)&gt;0,", "&amp;AG$2,"")&amp;IF(N(AH30)&gt;0,", "&amp;AH$2,"")&amp;IF(N(AI30)&gt;0,", "&amp;AI$2,"")&amp;IF(N(AJ30)&gt;0,", "&amp;AJ$2,""),3,999)</f>
        <v/>
      </c>
      <c r="AM30" s="87" t="str">
        <f aca="false">IF(E30="","",MID(IF(N(Y30)&gt;0,", "&amp;A30&amp;"-"&amp;Y$2,"")&amp;IF(N(Z30)&gt;0,", "&amp;A30&amp;"-"&amp;Z$2,"")&amp;IF(N(AA30)&gt;0,", "&amp;A30&amp;"-"&amp;AA$2,"")&amp;IF(N(AB30)&gt;0,", "&amp;A30&amp;"-"&amp;AB$2,"")&amp;IF(N(AC30)&gt;0,", "&amp;A30&amp;"-"&amp;AC$2,"")&amp;IF(N(AD30)&gt;0,", "&amp;A30&amp;"-"&amp;AD$2,"")&amp;IF(N(AE30)&gt;0,", "&amp;A30&amp;"-"&amp;AE$2,"")&amp;IF(N(AF30)&gt;0,", "&amp;A30&amp;"-"&amp;AF$2,"")&amp;IF(N(AG30)&gt;0,", "&amp;A30&amp;"-"&amp;AG$2,"")&amp;IF(N(AH30)&gt;0,", "&amp;A30&amp;"-"&amp;AH$2,"")&amp;IF(N(AI30)&gt;0,", "&amp;A30&amp;"-"&amp;AI$2,"")&amp;IF(N(AJ30)&gt;0,", "&amp;A30&amp;"-"&amp;AJ$2,""),3,999))</f>
        <v/>
      </c>
      <c r="AN30" s="81"/>
      <c r="AO30" s="88"/>
      <c r="AP30" s="89" t="str">
        <f aca="false">IF(AO30="","",ROUND(AO30/(1+Справочники!$B$13),2))</f>
        <v/>
      </c>
      <c r="AQ30" s="90" t="str">
        <f aca="false" t="array" ref="AQ30:AQ30">IF(AP30="","",AP30*INDEX(Справочники!$B$4:$B$7,MATCH("RUB",Справочники!$A$4:$A$7,0)))</f>
        <v/>
      </c>
      <c r="AR30" s="90" t="str">
        <f aca="false">IF(AQ30="","",ROUND(AQ30*(1+Справочники!$B$12),0))</f>
        <v/>
      </c>
      <c r="AS30" s="90" t="str">
        <f aca="false">IF(AR30="","",ROUND(AR30*(1-Справочники!$B$11),0))</f>
        <v/>
      </c>
      <c r="AT30" s="88"/>
      <c r="AU30" s="90" t="str">
        <f aca="false">IF(AT30="","",ROUND(AT30/(1+Справочники!$B$12),0))</f>
        <v/>
      </c>
      <c r="AV30" s="90" t="str">
        <f aca="false">IF(AT30="","",ROUND(AT30*(1-Справочники!$B$15),0))</f>
        <v/>
      </c>
      <c r="AW30" s="90" t="str">
        <f aca="false">IF(AT30="","",ROUND(AT30*(1-Справочники!$B$16),0))</f>
        <v/>
      </c>
      <c r="AX30" s="90" t="str">
        <f aca="false">IF(AT30="","",ROUND(AT30*(1-Справочники!$B$17),0))</f>
        <v/>
      </c>
      <c r="AY30" s="90" t="str">
        <f aca="false">IF(AT30="","",ROUND(AT30*(1-Справочники!$B$18),0))</f>
        <v/>
      </c>
      <c r="AZ30" s="90" t="str">
        <f aca="false">IF(AT30="","",ROUND(AT30*(1-Справочники!$B$19),0))</f>
        <v/>
      </c>
      <c r="BA30" s="81"/>
      <c r="BB30" s="81"/>
      <c r="BC30" s="81"/>
      <c r="BD30" s="81"/>
      <c r="BE30" s="91"/>
      <c r="BF30" s="81" t="s">
        <v>103</v>
      </c>
      <c r="BG30" s="89" t="n">
        <f aca="false" t="array" ref="BG30:BG30">IF(BF30="","",IFERROR(INDEX(Справочники!$B$4:$B$7,MATCH(BF30,Справочники!$A$4:$A$7,0)),""))</f>
        <v>68.5</v>
      </c>
      <c r="BH30" s="90" t="str">
        <f aca="false">IF(N(BN30)&gt;0,ROUND(SUMIF(ЗАКАЗЫ!$F$3:$F$500,$A30,ЗАКАЗЫ!$Y$3:$Y$500)/BN30,0),IF(OR(BE30="",BG30=""),"",ROUND(BE30*BG30*(1+Справочники!$B$10),0)))</f>
        <v/>
      </c>
      <c r="BI30" s="92" t="str">
        <f aca="false">IF(OR(AU30="",BH30="",AU30=0),"",(AU30-BH30)/AU30)</f>
        <v/>
      </c>
      <c r="BJ30" s="81"/>
      <c r="BK30" s="83"/>
      <c r="BL30" s="43" t="str">
        <f aca="false">IFERROR(INDEX(ЗАКАЗЫ!$N$3:$N$500,MATCH($A30,ЗАКАЗЫ!$F$3:$F$500,0)),"")</f>
        <v/>
      </c>
      <c r="BM30" s="8" t="str">
        <f aca="false">IF(BL30="","",IFERROR(VLOOKUP(BL30,'ТН ВЭД'!$A$4:$C$40,3,0),""))</f>
        <v/>
      </c>
      <c r="BN30" s="7" t="str">
        <f aca="false">IF(COUNTIF(ЗАКАЗЫ!$F$3:$F$500,$A30)=0,"",SUMIF(ЗАКАЗЫ!$F$3:$F$500,$A30,ЗАКАЗЫ!$J$3:$J$500))</f>
        <v/>
      </c>
      <c r="BO30" s="7" t="str">
        <f aca="false">IF(BN30="","",SUMIF(ЗАКАЗЫ!$F$3:$F$500,$A30,ЗАКАЗЫ!$AL$3:$AL$500))</f>
        <v/>
      </c>
      <c r="BP30" s="7" t="str">
        <f aca="false">IF(BN30="","",BN30-BO30)</f>
        <v/>
      </c>
      <c r="BQ30" s="55" t="str">
        <f aca="false">IF(BN30="","",IF(BO30&gt;=BN30,"На складе",IF(BO30&gt;0,"Частично","Ждём")))</f>
        <v/>
      </c>
      <c r="BR30" s="43"/>
      <c r="BS30" s="47" t="str">
        <f aca="false">IF(BN30="","",IF(_xlfn.MAXIFS(ЗАКАЗЫ!$AK$3:$AK$500,ЗАКАЗЫ!$F$3:$F$500,$A30)=0,"",_xlfn.MAXIFS(ЗАКАЗЫ!$AK$3:$AK$500,ЗАКАЗЫ!$F$3:$F$500,$A30)))</f>
        <v/>
      </c>
    </row>
    <row r="31" customFormat="false" ht="15.75" hidden="false" customHeight="true" outlineLevel="0" collapsed="false">
      <c r="A31" s="80" t="s">
        <v>863</v>
      </c>
      <c r="B31" s="81"/>
      <c r="C31" s="81"/>
      <c r="D31" s="81"/>
      <c r="E31" s="83"/>
      <c r="F31" s="81"/>
      <c r="G31" s="83"/>
      <c r="H31" s="83"/>
      <c r="I31" s="84" t="str">
        <f aca="false">IF(E31="","",A31&amp;"_1.jpg")</f>
        <v/>
      </c>
      <c r="J31" s="84" t="str">
        <f aca="false">IF(E31="","",A31&amp;"_2.jpg; "&amp;A31&amp;"_3.jpg")</f>
        <v/>
      </c>
      <c r="K31" s="84" t="str">
        <f aca="false">IF(E31="","",A31&amp;"_schema.jpg")</f>
        <v/>
      </c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 t="s">
        <v>96</v>
      </c>
      <c r="W31" s="81"/>
      <c r="X31" s="81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6" t="str">
        <f aca="false">IF(SUM(Y31:AJ31)=0,"",SUM(Y31:AJ31))</f>
        <v/>
      </c>
      <c r="AL31" s="84" t="str">
        <f aca="false">MID(IF(N(Y31)&gt;0,", "&amp;Y$2,"")&amp;IF(N(Z31)&gt;0,", "&amp;Z$2,"")&amp;IF(N(AA31)&gt;0,", "&amp;AA$2,"")&amp;IF(N(AB31)&gt;0,", "&amp;AB$2,"")&amp;IF(N(AC31)&gt;0,", "&amp;AC$2,"")&amp;IF(N(AD31)&gt;0,", "&amp;AD$2,"")&amp;IF(N(AE31)&gt;0,", "&amp;AE$2,"")&amp;IF(N(AF31)&gt;0,", "&amp;AF$2,"")&amp;IF(N(AG31)&gt;0,", "&amp;AG$2,"")&amp;IF(N(AH31)&gt;0,", "&amp;AH$2,"")&amp;IF(N(AI31)&gt;0,", "&amp;AI$2,"")&amp;IF(N(AJ31)&gt;0,", "&amp;AJ$2,""),3,999)</f>
        <v/>
      </c>
      <c r="AM31" s="87" t="str">
        <f aca="false">IF(E31="","",MID(IF(N(Y31)&gt;0,", "&amp;A31&amp;"-"&amp;Y$2,"")&amp;IF(N(Z31)&gt;0,", "&amp;A31&amp;"-"&amp;Z$2,"")&amp;IF(N(AA31)&gt;0,", "&amp;A31&amp;"-"&amp;AA$2,"")&amp;IF(N(AB31)&gt;0,", "&amp;A31&amp;"-"&amp;AB$2,"")&amp;IF(N(AC31)&gt;0,", "&amp;A31&amp;"-"&amp;AC$2,"")&amp;IF(N(AD31)&gt;0,", "&amp;A31&amp;"-"&amp;AD$2,"")&amp;IF(N(AE31)&gt;0,", "&amp;A31&amp;"-"&amp;AE$2,"")&amp;IF(N(AF31)&gt;0,", "&amp;A31&amp;"-"&amp;AF$2,"")&amp;IF(N(AG31)&gt;0,", "&amp;A31&amp;"-"&amp;AG$2,"")&amp;IF(N(AH31)&gt;0,", "&amp;A31&amp;"-"&amp;AH$2,"")&amp;IF(N(AI31)&gt;0,", "&amp;A31&amp;"-"&amp;AI$2,"")&amp;IF(N(AJ31)&gt;0,", "&amp;A31&amp;"-"&amp;AJ$2,""),3,999))</f>
        <v/>
      </c>
      <c r="AN31" s="81"/>
      <c r="AO31" s="88"/>
      <c r="AP31" s="89" t="str">
        <f aca="false">IF(AO31="","",ROUND(AO31/(1+Справочники!$B$13),2))</f>
        <v/>
      </c>
      <c r="AQ31" s="90" t="str">
        <f aca="false" t="array" ref="AQ31:AQ31">IF(AP31="","",AP31*INDEX(Справочники!$B$4:$B$7,MATCH("RUB",Справочники!$A$4:$A$7,0)))</f>
        <v/>
      </c>
      <c r="AR31" s="90" t="str">
        <f aca="false">IF(AQ31="","",ROUND(AQ31*(1+Справочники!$B$12),0))</f>
        <v/>
      </c>
      <c r="AS31" s="90" t="str">
        <f aca="false">IF(AR31="","",ROUND(AR31*(1-Справочники!$B$11),0))</f>
        <v/>
      </c>
      <c r="AT31" s="88"/>
      <c r="AU31" s="90" t="str">
        <f aca="false">IF(AT31="","",ROUND(AT31/(1+Справочники!$B$12),0))</f>
        <v/>
      </c>
      <c r="AV31" s="90" t="str">
        <f aca="false">IF(AT31="","",ROUND(AT31*(1-Справочники!$B$15),0))</f>
        <v/>
      </c>
      <c r="AW31" s="90" t="str">
        <f aca="false">IF(AT31="","",ROUND(AT31*(1-Справочники!$B$16),0))</f>
        <v/>
      </c>
      <c r="AX31" s="90" t="str">
        <f aca="false">IF(AT31="","",ROUND(AT31*(1-Справочники!$B$17),0))</f>
        <v/>
      </c>
      <c r="AY31" s="90" t="str">
        <f aca="false">IF(AT31="","",ROUND(AT31*(1-Справочники!$B$18),0))</f>
        <v/>
      </c>
      <c r="AZ31" s="90" t="str">
        <f aca="false">IF(AT31="","",ROUND(AT31*(1-Справочники!$B$19),0))</f>
        <v/>
      </c>
      <c r="BA31" s="81"/>
      <c r="BB31" s="81"/>
      <c r="BC31" s="81"/>
      <c r="BD31" s="81"/>
      <c r="BE31" s="91"/>
      <c r="BF31" s="81" t="s">
        <v>103</v>
      </c>
      <c r="BG31" s="89" t="n">
        <f aca="false" t="array" ref="BG31:BG31">IF(BF31="","",IFERROR(INDEX(Справочники!$B$4:$B$7,MATCH(BF31,Справочники!$A$4:$A$7,0)),""))</f>
        <v>68.5</v>
      </c>
      <c r="BH31" s="90" t="str">
        <f aca="false">IF(N(BN31)&gt;0,ROUND(SUMIF(ЗАКАЗЫ!$F$3:$F$500,$A31,ЗАКАЗЫ!$Y$3:$Y$500)/BN31,0),IF(OR(BE31="",BG31=""),"",ROUND(BE31*BG31*(1+Справочники!$B$10),0)))</f>
        <v/>
      </c>
      <c r="BI31" s="92" t="str">
        <f aca="false">IF(OR(AU31="",BH31="",AU31=0),"",(AU31-BH31)/AU31)</f>
        <v/>
      </c>
      <c r="BJ31" s="81"/>
      <c r="BK31" s="83"/>
      <c r="BL31" s="43" t="str">
        <f aca="false">IFERROR(INDEX(ЗАКАЗЫ!$N$3:$N$500,MATCH($A31,ЗАКАЗЫ!$F$3:$F$500,0)),"")</f>
        <v/>
      </c>
      <c r="BM31" s="8" t="str">
        <f aca="false">IF(BL31="","",IFERROR(VLOOKUP(BL31,'ТН ВЭД'!$A$4:$C$40,3,0),""))</f>
        <v/>
      </c>
      <c r="BN31" s="7" t="str">
        <f aca="false">IF(COUNTIF(ЗАКАЗЫ!$F$3:$F$500,$A31)=0,"",SUMIF(ЗАКАЗЫ!$F$3:$F$500,$A31,ЗАКАЗЫ!$J$3:$J$500))</f>
        <v/>
      </c>
      <c r="BO31" s="7" t="str">
        <f aca="false">IF(BN31="","",SUMIF(ЗАКАЗЫ!$F$3:$F$500,$A31,ЗАКАЗЫ!$AL$3:$AL$500))</f>
        <v/>
      </c>
      <c r="BP31" s="7" t="str">
        <f aca="false">IF(BN31="","",BN31-BO31)</f>
        <v/>
      </c>
      <c r="BQ31" s="55" t="str">
        <f aca="false">IF(BN31="","",IF(BO31&gt;=BN31,"На складе",IF(BO31&gt;0,"Частично","Ждём")))</f>
        <v/>
      </c>
      <c r="BR31" s="43"/>
      <c r="BS31" s="47" t="str">
        <f aca="false">IF(BN31="","",IF(_xlfn.MAXIFS(ЗАКАЗЫ!$AK$3:$AK$500,ЗАКАЗЫ!$F$3:$F$500,$A31)=0,"",_xlfn.MAXIFS(ЗАКАЗЫ!$AK$3:$AK$500,ЗАКАЗЫ!$F$3:$F$500,$A31)))</f>
        <v/>
      </c>
    </row>
    <row r="32" customFormat="false" ht="15.75" hidden="false" customHeight="true" outlineLevel="0" collapsed="false">
      <c r="A32" s="80" t="s">
        <v>864</v>
      </c>
      <c r="B32" s="81"/>
      <c r="C32" s="81"/>
      <c r="D32" s="81"/>
      <c r="E32" s="83"/>
      <c r="F32" s="81"/>
      <c r="G32" s="83"/>
      <c r="H32" s="83"/>
      <c r="I32" s="84" t="str">
        <f aca="false">IF(E32="","",A32&amp;"_1.jpg")</f>
        <v/>
      </c>
      <c r="J32" s="84" t="str">
        <f aca="false">IF(E32="","",A32&amp;"_2.jpg; "&amp;A32&amp;"_3.jpg")</f>
        <v/>
      </c>
      <c r="K32" s="84" t="str">
        <f aca="false">IF(E32="","",A32&amp;"_schema.jpg")</f>
        <v/>
      </c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 t="s">
        <v>96</v>
      </c>
      <c r="W32" s="81"/>
      <c r="X32" s="81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6" t="str">
        <f aca="false">IF(SUM(Y32:AJ32)=0,"",SUM(Y32:AJ32))</f>
        <v/>
      </c>
      <c r="AL32" s="84" t="str">
        <f aca="false">MID(IF(N(Y32)&gt;0,", "&amp;Y$2,"")&amp;IF(N(Z32)&gt;0,", "&amp;Z$2,"")&amp;IF(N(AA32)&gt;0,", "&amp;AA$2,"")&amp;IF(N(AB32)&gt;0,", "&amp;AB$2,"")&amp;IF(N(AC32)&gt;0,", "&amp;AC$2,"")&amp;IF(N(AD32)&gt;0,", "&amp;AD$2,"")&amp;IF(N(AE32)&gt;0,", "&amp;AE$2,"")&amp;IF(N(AF32)&gt;0,", "&amp;AF$2,"")&amp;IF(N(AG32)&gt;0,", "&amp;AG$2,"")&amp;IF(N(AH32)&gt;0,", "&amp;AH$2,"")&amp;IF(N(AI32)&gt;0,", "&amp;AI$2,"")&amp;IF(N(AJ32)&gt;0,", "&amp;AJ$2,""),3,999)</f>
        <v/>
      </c>
      <c r="AM32" s="87" t="str">
        <f aca="false">IF(E32="","",MID(IF(N(Y32)&gt;0,", "&amp;A32&amp;"-"&amp;Y$2,"")&amp;IF(N(Z32)&gt;0,", "&amp;A32&amp;"-"&amp;Z$2,"")&amp;IF(N(AA32)&gt;0,", "&amp;A32&amp;"-"&amp;AA$2,"")&amp;IF(N(AB32)&gt;0,", "&amp;A32&amp;"-"&amp;AB$2,"")&amp;IF(N(AC32)&gt;0,", "&amp;A32&amp;"-"&amp;AC$2,"")&amp;IF(N(AD32)&gt;0,", "&amp;A32&amp;"-"&amp;AD$2,"")&amp;IF(N(AE32)&gt;0,", "&amp;A32&amp;"-"&amp;AE$2,"")&amp;IF(N(AF32)&gt;0,", "&amp;A32&amp;"-"&amp;AF$2,"")&amp;IF(N(AG32)&gt;0,", "&amp;A32&amp;"-"&amp;AG$2,"")&amp;IF(N(AH32)&gt;0,", "&amp;A32&amp;"-"&amp;AH$2,"")&amp;IF(N(AI32)&gt;0,", "&amp;A32&amp;"-"&amp;AI$2,"")&amp;IF(N(AJ32)&gt;0,", "&amp;A32&amp;"-"&amp;AJ$2,""),3,999))</f>
        <v/>
      </c>
      <c r="AN32" s="81"/>
      <c r="AO32" s="88"/>
      <c r="AP32" s="89" t="str">
        <f aca="false">IF(AO32="","",ROUND(AO32/(1+Справочники!$B$13),2))</f>
        <v/>
      </c>
      <c r="AQ32" s="90" t="str">
        <f aca="false" t="array" ref="AQ32:AQ32">IF(AP32="","",AP32*INDEX(Справочники!$B$4:$B$7,MATCH("RUB",Справочники!$A$4:$A$7,0)))</f>
        <v/>
      </c>
      <c r="AR32" s="90" t="str">
        <f aca="false">IF(AQ32="","",ROUND(AQ32*(1+Справочники!$B$12),0))</f>
        <v/>
      </c>
      <c r="AS32" s="90" t="str">
        <f aca="false">IF(AR32="","",ROUND(AR32*(1-Справочники!$B$11),0))</f>
        <v/>
      </c>
      <c r="AT32" s="88"/>
      <c r="AU32" s="90" t="str">
        <f aca="false">IF(AT32="","",ROUND(AT32/(1+Справочники!$B$12),0))</f>
        <v/>
      </c>
      <c r="AV32" s="90" t="str">
        <f aca="false">IF(AT32="","",ROUND(AT32*(1-Справочники!$B$15),0))</f>
        <v/>
      </c>
      <c r="AW32" s="90" t="str">
        <f aca="false">IF(AT32="","",ROUND(AT32*(1-Справочники!$B$16),0))</f>
        <v/>
      </c>
      <c r="AX32" s="90" t="str">
        <f aca="false">IF(AT32="","",ROUND(AT32*(1-Справочники!$B$17),0))</f>
        <v/>
      </c>
      <c r="AY32" s="90" t="str">
        <f aca="false">IF(AT32="","",ROUND(AT32*(1-Справочники!$B$18),0))</f>
        <v/>
      </c>
      <c r="AZ32" s="90" t="str">
        <f aca="false">IF(AT32="","",ROUND(AT32*(1-Справочники!$B$19),0))</f>
        <v/>
      </c>
      <c r="BA32" s="81"/>
      <c r="BB32" s="81"/>
      <c r="BC32" s="81"/>
      <c r="BD32" s="81"/>
      <c r="BE32" s="91"/>
      <c r="BF32" s="81" t="s">
        <v>103</v>
      </c>
      <c r="BG32" s="89" t="n">
        <f aca="false" t="array" ref="BG32:BG32">IF(BF32="","",IFERROR(INDEX(Справочники!$B$4:$B$7,MATCH(BF32,Справочники!$A$4:$A$7,0)),""))</f>
        <v>68.5</v>
      </c>
      <c r="BH32" s="90" t="str">
        <f aca="false">IF(N(BN32)&gt;0,ROUND(SUMIF(ЗАКАЗЫ!$F$3:$F$500,$A32,ЗАКАЗЫ!$Y$3:$Y$500)/BN32,0),IF(OR(BE32="",BG32=""),"",ROUND(BE32*BG32*(1+Справочники!$B$10),0)))</f>
        <v/>
      </c>
      <c r="BI32" s="92" t="str">
        <f aca="false">IF(OR(AU32="",BH32="",AU32=0),"",(AU32-BH32)/AU32)</f>
        <v/>
      </c>
      <c r="BJ32" s="81"/>
      <c r="BK32" s="83"/>
      <c r="BL32" s="43" t="str">
        <f aca="false">IFERROR(INDEX(ЗАКАЗЫ!$N$3:$N$500,MATCH($A32,ЗАКАЗЫ!$F$3:$F$500,0)),"")</f>
        <v/>
      </c>
      <c r="BM32" s="8" t="str">
        <f aca="false">IF(BL32="","",IFERROR(VLOOKUP(BL32,'ТН ВЭД'!$A$4:$C$40,3,0),""))</f>
        <v/>
      </c>
      <c r="BN32" s="7" t="str">
        <f aca="false">IF(COUNTIF(ЗАКАЗЫ!$F$3:$F$500,$A32)=0,"",SUMIF(ЗАКАЗЫ!$F$3:$F$500,$A32,ЗАКАЗЫ!$J$3:$J$500))</f>
        <v/>
      </c>
      <c r="BO32" s="7" t="str">
        <f aca="false">IF(BN32="","",SUMIF(ЗАКАЗЫ!$F$3:$F$500,$A32,ЗАКАЗЫ!$AL$3:$AL$500))</f>
        <v/>
      </c>
      <c r="BP32" s="7" t="str">
        <f aca="false">IF(BN32="","",BN32-BO32)</f>
        <v/>
      </c>
      <c r="BQ32" s="55" t="str">
        <f aca="false">IF(BN32="","",IF(BO32&gt;=BN32,"На складе",IF(BO32&gt;0,"Частично","Ждём")))</f>
        <v/>
      </c>
      <c r="BR32" s="43"/>
      <c r="BS32" s="47" t="str">
        <f aca="false">IF(BN32="","",IF(_xlfn.MAXIFS(ЗАКАЗЫ!$AK$3:$AK$500,ЗАКАЗЫ!$F$3:$F$500,$A32)=0,"",_xlfn.MAXIFS(ЗАКАЗЫ!$AK$3:$AK$500,ЗАКАЗЫ!$F$3:$F$500,$A32)))</f>
        <v/>
      </c>
    </row>
    <row r="33" customFormat="false" ht="15.75" hidden="false" customHeight="true" outlineLevel="0" collapsed="false">
      <c r="A33" s="80" t="s">
        <v>865</v>
      </c>
      <c r="B33" s="81"/>
      <c r="C33" s="81"/>
      <c r="D33" s="81"/>
      <c r="E33" s="83"/>
      <c r="F33" s="81"/>
      <c r="G33" s="83"/>
      <c r="H33" s="83"/>
      <c r="I33" s="84" t="str">
        <f aca="false">IF(E33="","",A33&amp;"_1.jpg")</f>
        <v/>
      </c>
      <c r="J33" s="84" t="str">
        <f aca="false">IF(E33="","",A33&amp;"_2.jpg; "&amp;A33&amp;"_3.jpg")</f>
        <v/>
      </c>
      <c r="K33" s="84" t="str">
        <f aca="false">IF(E33="","",A33&amp;"_schema.jpg")</f>
        <v/>
      </c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 t="s">
        <v>96</v>
      </c>
      <c r="W33" s="81"/>
      <c r="X33" s="81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6" t="str">
        <f aca="false">IF(SUM(Y33:AJ33)=0,"",SUM(Y33:AJ33))</f>
        <v/>
      </c>
      <c r="AL33" s="84" t="str">
        <f aca="false">MID(IF(N(Y33)&gt;0,", "&amp;Y$2,"")&amp;IF(N(Z33)&gt;0,", "&amp;Z$2,"")&amp;IF(N(AA33)&gt;0,", "&amp;AA$2,"")&amp;IF(N(AB33)&gt;0,", "&amp;AB$2,"")&amp;IF(N(AC33)&gt;0,", "&amp;AC$2,"")&amp;IF(N(AD33)&gt;0,", "&amp;AD$2,"")&amp;IF(N(AE33)&gt;0,", "&amp;AE$2,"")&amp;IF(N(AF33)&gt;0,", "&amp;AF$2,"")&amp;IF(N(AG33)&gt;0,", "&amp;AG$2,"")&amp;IF(N(AH33)&gt;0,", "&amp;AH$2,"")&amp;IF(N(AI33)&gt;0,", "&amp;AI$2,"")&amp;IF(N(AJ33)&gt;0,", "&amp;AJ$2,""),3,999)</f>
        <v/>
      </c>
      <c r="AM33" s="87" t="str">
        <f aca="false">IF(E33="","",MID(IF(N(Y33)&gt;0,", "&amp;A33&amp;"-"&amp;Y$2,"")&amp;IF(N(Z33)&gt;0,", "&amp;A33&amp;"-"&amp;Z$2,"")&amp;IF(N(AA33)&gt;0,", "&amp;A33&amp;"-"&amp;AA$2,"")&amp;IF(N(AB33)&gt;0,", "&amp;A33&amp;"-"&amp;AB$2,"")&amp;IF(N(AC33)&gt;0,", "&amp;A33&amp;"-"&amp;AC$2,"")&amp;IF(N(AD33)&gt;0,", "&amp;A33&amp;"-"&amp;AD$2,"")&amp;IF(N(AE33)&gt;0,", "&amp;A33&amp;"-"&amp;AE$2,"")&amp;IF(N(AF33)&gt;0,", "&amp;A33&amp;"-"&amp;AF$2,"")&amp;IF(N(AG33)&gt;0,", "&amp;A33&amp;"-"&amp;AG$2,"")&amp;IF(N(AH33)&gt;0,", "&amp;A33&amp;"-"&amp;AH$2,"")&amp;IF(N(AI33)&gt;0,", "&amp;A33&amp;"-"&amp;AI$2,"")&amp;IF(N(AJ33)&gt;0,", "&amp;A33&amp;"-"&amp;AJ$2,""),3,999))</f>
        <v/>
      </c>
      <c r="AN33" s="81"/>
      <c r="AO33" s="88"/>
      <c r="AP33" s="89" t="str">
        <f aca="false">IF(AO33="","",ROUND(AO33/(1+Справочники!$B$13),2))</f>
        <v/>
      </c>
      <c r="AQ33" s="90" t="str">
        <f aca="false" t="array" ref="AQ33:AQ33">IF(AP33="","",AP33*INDEX(Справочники!$B$4:$B$7,MATCH("RUB",Справочники!$A$4:$A$7,0)))</f>
        <v/>
      </c>
      <c r="AR33" s="90" t="str">
        <f aca="false">IF(AQ33="","",ROUND(AQ33*(1+Справочники!$B$12),0))</f>
        <v/>
      </c>
      <c r="AS33" s="90" t="str">
        <f aca="false">IF(AR33="","",ROUND(AR33*(1-Справочники!$B$11),0))</f>
        <v/>
      </c>
      <c r="AT33" s="88"/>
      <c r="AU33" s="90" t="str">
        <f aca="false">IF(AT33="","",ROUND(AT33/(1+Справочники!$B$12),0))</f>
        <v/>
      </c>
      <c r="AV33" s="90" t="str">
        <f aca="false">IF(AT33="","",ROUND(AT33*(1-Справочники!$B$15),0))</f>
        <v/>
      </c>
      <c r="AW33" s="90" t="str">
        <f aca="false">IF(AT33="","",ROUND(AT33*(1-Справочники!$B$16),0))</f>
        <v/>
      </c>
      <c r="AX33" s="90" t="str">
        <f aca="false">IF(AT33="","",ROUND(AT33*(1-Справочники!$B$17),0))</f>
        <v/>
      </c>
      <c r="AY33" s="90" t="str">
        <f aca="false">IF(AT33="","",ROUND(AT33*(1-Справочники!$B$18),0))</f>
        <v/>
      </c>
      <c r="AZ33" s="90" t="str">
        <f aca="false">IF(AT33="","",ROUND(AT33*(1-Справочники!$B$19),0))</f>
        <v/>
      </c>
      <c r="BA33" s="81"/>
      <c r="BB33" s="81"/>
      <c r="BC33" s="81"/>
      <c r="BD33" s="81"/>
      <c r="BE33" s="91"/>
      <c r="BF33" s="81" t="s">
        <v>103</v>
      </c>
      <c r="BG33" s="89" t="n">
        <f aca="false" t="array" ref="BG33:BG33">IF(BF33="","",IFERROR(INDEX(Справочники!$B$4:$B$7,MATCH(BF33,Справочники!$A$4:$A$7,0)),""))</f>
        <v>68.5</v>
      </c>
      <c r="BH33" s="90" t="str">
        <f aca="false">IF(N(BN33)&gt;0,ROUND(SUMIF(ЗАКАЗЫ!$F$3:$F$500,$A33,ЗАКАЗЫ!$Y$3:$Y$500)/BN33,0),IF(OR(BE33="",BG33=""),"",ROUND(BE33*BG33*(1+Справочники!$B$10),0)))</f>
        <v/>
      </c>
      <c r="BI33" s="92" t="str">
        <f aca="false">IF(OR(AU33="",BH33="",AU33=0),"",(AU33-BH33)/AU33)</f>
        <v/>
      </c>
      <c r="BJ33" s="81"/>
      <c r="BK33" s="83"/>
      <c r="BL33" s="43" t="str">
        <f aca="false">IFERROR(INDEX(ЗАКАЗЫ!$N$3:$N$500,MATCH($A33,ЗАКАЗЫ!$F$3:$F$500,0)),"")</f>
        <v/>
      </c>
      <c r="BM33" s="8" t="str">
        <f aca="false">IF(BL33="","",IFERROR(VLOOKUP(BL33,'ТН ВЭД'!$A$4:$C$40,3,0),""))</f>
        <v/>
      </c>
      <c r="BN33" s="7" t="str">
        <f aca="false">IF(COUNTIF(ЗАКАЗЫ!$F$3:$F$500,$A33)=0,"",SUMIF(ЗАКАЗЫ!$F$3:$F$500,$A33,ЗАКАЗЫ!$J$3:$J$500))</f>
        <v/>
      </c>
      <c r="BO33" s="7" t="str">
        <f aca="false">IF(BN33="","",SUMIF(ЗАКАЗЫ!$F$3:$F$500,$A33,ЗАКАЗЫ!$AL$3:$AL$500))</f>
        <v/>
      </c>
      <c r="BP33" s="7" t="str">
        <f aca="false">IF(BN33="","",BN33-BO33)</f>
        <v/>
      </c>
      <c r="BQ33" s="55" t="str">
        <f aca="false">IF(BN33="","",IF(BO33&gt;=BN33,"На складе",IF(BO33&gt;0,"Частично","Ждём")))</f>
        <v/>
      </c>
      <c r="BR33" s="43"/>
      <c r="BS33" s="47" t="str">
        <f aca="false">IF(BN33="","",IF(_xlfn.MAXIFS(ЗАКАЗЫ!$AK$3:$AK$500,ЗАКАЗЫ!$F$3:$F$500,$A33)=0,"",_xlfn.MAXIFS(ЗАКАЗЫ!$AK$3:$AK$500,ЗАКАЗЫ!$F$3:$F$500,$A33)))</f>
        <v/>
      </c>
    </row>
    <row r="34" customFormat="false" ht="15.75" hidden="false" customHeight="true" outlineLevel="0" collapsed="false">
      <c r="A34" s="80" t="s">
        <v>866</v>
      </c>
      <c r="B34" s="81"/>
      <c r="C34" s="81"/>
      <c r="D34" s="81"/>
      <c r="E34" s="83"/>
      <c r="F34" s="81"/>
      <c r="G34" s="83"/>
      <c r="H34" s="83"/>
      <c r="I34" s="84" t="str">
        <f aca="false">IF(E34="","",A34&amp;"_1.jpg")</f>
        <v/>
      </c>
      <c r="J34" s="84" t="str">
        <f aca="false">IF(E34="","",A34&amp;"_2.jpg; "&amp;A34&amp;"_3.jpg")</f>
        <v/>
      </c>
      <c r="K34" s="84" t="str">
        <f aca="false">IF(E34="","",A34&amp;"_schema.jpg")</f>
        <v/>
      </c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 t="s">
        <v>96</v>
      </c>
      <c r="W34" s="81"/>
      <c r="X34" s="81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6" t="str">
        <f aca="false">IF(SUM(Y34:AJ34)=0,"",SUM(Y34:AJ34))</f>
        <v/>
      </c>
      <c r="AL34" s="84" t="str">
        <f aca="false">MID(IF(N(Y34)&gt;0,", "&amp;Y$2,"")&amp;IF(N(Z34)&gt;0,", "&amp;Z$2,"")&amp;IF(N(AA34)&gt;0,", "&amp;AA$2,"")&amp;IF(N(AB34)&gt;0,", "&amp;AB$2,"")&amp;IF(N(AC34)&gt;0,", "&amp;AC$2,"")&amp;IF(N(AD34)&gt;0,", "&amp;AD$2,"")&amp;IF(N(AE34)&gt;0,", "&amp;AE$2,"")&amp;IF(N(AF34)&gt;0,", "&amp;AF$2,"")&amp;IF(N(AG34)&gt;0,", "&amp;AG$2,"")&amp;IF(N(AH34)&gt;0,", "&amp;AH$2,"")&amp;IF(N(AI34)&gt;0,", "&amp;AI$2,"")&amp;IF(N(AJ34)&gt;0,", "&amp;AJ$2,""),3,999)</f>
        <v/>
      </c>
      <c r="AM34" s="87" t="str">
        <f aca="false">IF(E34="","",MID(IF(N(Y34)&gt;0,", "&amp;A34&amp;"-"&amp;Y$2,"")&amp;IF(N(Z34)&gt;0,", "&amp;A34&amp;"-"&amp;Z$2,"")&amp;IF(N(AA34)&gt;0,", "&amp;A34&amp;"-"&amp;AA$2,"")&amp;IF(N(AB34)&gt;0,", "&amp;A34&amp;"-"&amp;AB$2,"")&amp;IF(N(AC34)&gt;0,", "&amp;A34&amp;"-"&amp;AC$2,"")&amp;IF(N(AD34)&gt;0,", "&amp;A34&amp;"-"&amp;AD$2,"")&amp;IF(N(AE34)&gt;0,", "&amp;A34&amp;"-"&amp;AE$2,"")&amp;IF(N(AF34)&gt;0,", "&amp;A34&amp;"-"&amp;AF$2,"")&amp;IF(N(AG34)&gt;0,", "&amp;A34&amp;"-"&amp;AG$2,"")&amp;IF(N(AH34)&gt;0,", "&amp;A34&amp;"-"&amp;AH$2,"")&amp;IF(N(AI34)&gt;0,", "&amp;A34&amp;"-"&amp;AI$2,"")&amp;IF(N(AJ34)&gt;0,", "&amp;A34&amp;"-"&amp;AJ$2,""),3,999))</f>
        <v/>
      </c>
      <c r="AN34" s="81"/>
      <c r="AO34" s="88"/>
      <c r="AP34" s="89" t="str">
        <f aca="false">IF(AO34="","",ROUND(AO34/(1+Справочники!$B$13),2))</f>
        <v/>
      </c>
      <c r="AQ34" s="90" t="str">
        <f aca="false" t="array" ref="AQ34:AQ34">IF(AP34="","",AP34*INDEX(Справочники!$B$4:$B$7,MATCH("RUB",Справочники!$A$4:$A$7,0)))</f>
        <v/>
      </c>
      <c r="AR34" s="90" t="str">
        <f aca="false">IF(AQ34="","",ROUND(AQ34*(1+Справочники!$B$12),0))</f>
        <v/>
      </c>
      <c r="AS34" s="90" t="str">
        <f aca="false">IF(AR34="","",ROUND(AR34*(1-Справочники!$B$11),0))</f>
        <v/>
      </c>
      <c r="AT34" s="88"/>
      <c r="AU34" s="90" t="str">
        <f aca="false">IF(AT34="","",ROUND(AT34/(1+Справочники!$B$12),0))</f>
        <v/>
      </c>
      <c r="AV34" s="90" t="str">
        <f aca="false">IF(AT34="","",ROUND(AT34*(1-Справочники!$B$15),0))</f>
        <v/>
      </c>
      <c r="AW34" s="90" t="str">
        <f aca="false">IF(AT34="","",ROUND(AT34*(1-Справочники!$B$16),0))</f>
        <v/>
      </c>
      <c r="AX34" s="90" t="str">
        <f aca="false">IF(AT34="","",ROUND(AT34*(1-Справочники!$B$17),0))</f>
        <v/>
      </c>
      <c r="AY34" s="90" t="str">
        <f aca="false">IF(AT34="","",ROUND(AT34*(1-Справочники!$B$18),0))</f>
        <v/>
      </c>
      <c r="AZ34" s="90" t="str">
        <f aca="false">IF(AT34="","",ROUND(AT34*(1-Справочники!$B$19),0))</f>
        <v/>
      </c>
      <c r="BA34" s="81"/>
      <c r="BB34" s="81"/>
      <c r="BC34" s="81"/>
      <c r="BD34" s="81"/>
      <c r="BE34" s="91"/>
      <c r="BF34" s="81" t="s">
        <v>103</v>
      </c>
      <c r="BG34" s="89" t="n">
        <f aca="false" t="array" ref="BG34:BG34">IF(BF34="","",IFERROR(INDEX(Справочники!$B$4:$B$7,MATCH(BF34,Справочники!$A$4:$A$7,0)),""))</f>
        <v>68.5</v>
      </c>
      <c r="BH34" s="90" t="str">
        <f aca="false">IF(N(BN34)&gt;0,ROUND(SUMIF(ЗАКАЗЫ!$F$3:$F$500,$A34,ЗАКАЗЫ!$Y$3:$Y$500)/BN34,0),IF(OR(BE34="",BG34=""),"",ROUND(BE34*BG34*(1+Справочники!$B$10),0)))</f>
        <v/>
      </c>
      <c r="BI34" s="92" t="str">
        <f aca="false">IF(OR(AU34="",BH34="",AU34=0),"",(AU34-BH34)/AU34)</f>
        <v/>
      </c>
      <c r="BJ34" s="81"/>
      <c r="BK34" s="83"/>
      <c r="BL34" s="43" t="str">
        <f aca="false">IFERROR(INDEX(ЗАКАЗЫ!$N$3:$N$500,MATCH($A34,ЗАКАЗЫ!$F$3:$F$500,0)),"")</f>
        <v/>
      </c>
      <c r="BM34" s="8" t="str">
        <f aca="false">IF(BL34="","",IFERROR(VLOOKUP(BL34,'ТН ВЭД'!$A$4:$C$40,3,0),""))</f>
        <v/>
      </c>
      <c r="BN34" s="7" t="str">
        <f aca="false">IF(COUNTIF(ЗАКАЗЫ!$F$3:$F$500,$A34)=0,"",SUMIF(ЗАКАЗЫ!$F$3:$F$500,$A34,ЗАКАЗЫ!$J$3:$J$500))</f>
        <v/>
      </c>
      <c r="BO34" s="7" t="str">
        <f aca="false">IF(BN34="","",SUMIF(ЗАКАЗЫ!$F$3:$F$500,$A34,ЗАКАЗЫ!$AL$3:$AL$500))</f>
        <v/>
      </c>
      <c r="BP34" s="7" t="str">
        <f aca="false">IF(BN34="","",BN34-BO34)</f>
        <v/>
      </c>
      <c r="BQ34" s="55" t="str">
        <f aca="false">IF(BN34="","",IF(BO34&gt;=BN34,"На складе",IF(BO34&gt;0,"Частично","Ждём")))</f>
        <v/>
      </c>
      <c r="BR34" s="43"/>
      <c r="BS34" s="47" t="str">
        <f aca="false">IF(BN34="","",IF(_xlfn.MAXIFS(ЗАКАЗЫ!$AK$3:$AK$500,ЗАКАЗЫ!$F$3:$F$500,$A34)=0,"",_xlfn.MAXIFS(ЗАКАЗЫ!$AK$3:$AK$500,ЗАКАЗЫ!$F$3:$F$500,$A34)))</f>
        <v/>
      </c>
    </row>
    <row r="35" customFormat="false" ht="15.75" hidden="false" customHeight="true" outlineLevel="0" collapsed="false">
      <c r="A35" s="80" t="s">
        <v>867</v>
      </c>
      <c r="B35" s="81"/>
      <c r="C35" s="81"/>
      <c r="D35" s="81"/>
      <c r="E35" s="83"/>
      <c r="F35" s="81"/>
      <c r="G35" s="83"/>
      <c r="H35" s="83"/>
      <c r="I35" s="84" t="str">
        <f aca="false">IF(E35="","",A35&amp;"_1.jpg")</f>
        <v/>
      </c>
      <c r="J35" s="84" t="str">
        <f aca="false">IF(E35="","",A35&amp;"_2.jpg; "&amp;A35&amp;"_3.jpg")</f>
        <v/>
      </c>
      <c r="K35" s="84" t="str">
        <f aca="false">IF(E35="","",A35&amp;"_schema.jpg")</f>
        <v/>
      </c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 t="s">
        <v>96</v>
      </c>
      <c r="W35" s="81"/>
      <c r="X35" s="81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6" t="str">
        <f aca="false">IF(SUM(Y35:AJ35)=0,"",SUM(Y35:AJ35))</f>
        <v/>
      </c>
      <c r="AL35" s="84" t="str">
        <f aca="false">MID(IF(N(Y35)&gt;0,", "&amp;Y$2,"")&amp;IF(N(Z35)&gt;0,", "&amp;Z$2,"")&amp;IF(N(AA35)&gt;0,", "&amp;AA$2,"")&amp;IF(N(AB35)&gt;0,", "&amp;AB$2,"")&amp;IF(N(AC35)&gt;0,", "&amp;AC$2,"")&amp;IF(N(AD35)&gt;0,", "&amp;AD$2,"")&amp;IF(N(AE35)&gt;0,", "&amp;AE$2,"")&amp;IF(N(AF35)&gt;0,", "&amp;AF$2,"")&amp;IF(N(AG35)&gt;0,", "&amp;AG$2,"")&amp;IF(N(AH35)&gt;0,", "&amp;AH$2,"")&amp;IF(N(AI35)&gt;0,", "&amp;AI$2,"")&amp;IF(N(AJ35)&gt;0,", "&amp;AJ$2,""),3,999)</f>
        <v/>
      </c>
      <c r="AM35" s="87" t="str">
        <f aca="false">IF(E35="","",MID(IF(N(Y35)&gt;0,", "&amp;A35&amp;"-"&amp;Y$2,"")&amp;IF(N(Z35)&gt;0,", "&amp;A35&amp;"-"&amp;Z$2,"")&amp;IF(N(AA35)&gt;0,", "&amp;A35&amp;"-"&amp;AA$2,"")&amp;IF(N(AB35)&gt;0,", "&amp;A35&amp;"-"&amp;AB$2,"")&amp;IF(N(AC35)&gt;0,", "&amp;A35&amp;"-"&amp;AC$2,"")&amp;IF(N(AD35)&gt;0,", "&amp;A35&amp;"-"&amp;AD$2,"")&amp;IF(N(AE35)&gt;0,", "&amp;A35&amp;"-"&amp;AE$2,"")&amp;IF(N(AF35)&gt;0,", "&amp;A35&amp;"-"&amp;AF$2,"")&amp;IF(N(AG35)&gt;0,", "&amp;A35&amp;"-"&amp;AG$2,"")&amp;IF(N(AH35)&gt;0,", "&amp;A35&amp;"-"&amp;AH$2,"")&amp;IF(N(AI35)&gt;0,", "&amp;A35&amp;"-"&amp;AI$2,"")&amp;IF(N(AJ35)&gt;0,", "&amp;A35&amp;"-"&amp;AJ$2,""),3,999))</f>
        <v/>
      </c>
      <c r="AN35" s="81"/>
      <c r="AO35" s="88"/>
      <c r="AP35" s="89" t="str">
        <f aca="false">IF(AO35="","",ROUND(AO35/(1+Справочники!$B$13),2))</f>
        <v/>
      </c>
      <c r="AQ35" s="90" t="str">
        <f aca="false" t="array" ref="AQ35:AQ35">IF(AP35="","",AP35*INDEX(Справочники!$B$4:$B$7,MATCH("RUB",Справочники!$A$4:$A$7,0)))</f>
        <v/>
      </c>
      <c r="AR35" s="90" t="str">
        <f aca="false">IF(AQ35="","",ROUND(AQ35*(1+Справочники!$B$12),0))</f>
        <v/>
      </c>
      <c r="AS35" s="90" t="str">
        <f aca="false">IF(AR35="","",ROUND(AR35*(1-Справочники!$B$11),0))</f>
        <v/>
      </c>
      <c r="AT35" s="88"/>
      <c r="AU35" s="90" t="str">
        <f aca="false">IF(AT35="","",ROUND(AT35/(1+Справочники!$B$12),0))</f>
        <v/>
      </c>
      <c r="AV35" s="90" t="str">
        <f aca="false">IF(AT35="","",ROUND(AT35*(1-Справочники!$B$15),0))</f>
        <v/>
      </c>
      <c r="AW35" s="90" t="str">
        <f aca="false">IF(AT35="","",ROUND(AT35*(1-Справочники!$B$16),0))</f>
        <v/>
      </c>
      <c r="AX35" s="90" t="str">
        <f aca="false">IF(AT35="","",ROUND(AT35*(1-Справочники!$B$17),0))</f>
        <v/>
      </c>
      <c r="AY35" s="90" t="str">
        <f aca="false">IF(AT35="","",ROUND(AT35*(1-Справочники!$B$18),0))</f>
        <v/>
      </c>
      <c r="AZ35" s="90" t="str">
        <f aca="false">IF(AT35="","",ROUND(AT35*(1-Справочники!$B$19),0))</f>
        <v/>
      </c>
      <c r="BA35" s="81"/>
      <c r="BB35" s="81"/>
      <c r="BC35" s="81"/>
      <c r="BD35" s="81"/>
      <c r="BE35" s="91"/>
      <c r="BF35" s="81" t="s">
        <v>103</v>
      </c>
      <c r="BG35" s="89" t="n">
        <f aca="false" t="array" ref="BG35:BG35">IF(BF35="","",IFERROR(INDEX(Справочники!$B$4:$B$7,MATCH(BF35,Справочники!$A$4:$A$7,0)),""))</f>
        <v>68.5</v>
      </c>
      <c r="BH35" s="90" t="str">
        <f aca="false">IF(N(BN35)&gt;0,ROUND(SUMIF(ЗАКАЗЫ!$F$3:$F$500,$A35,ЗАКАЗЫ!$Y$3:$Y$500)/BN35,0),IF(OR(BE35="",BG35=""),"",ROUND(BE35*BG35*(1+Справочники!$B$10),0)))</f>
        <v/>
      </c>
      <c r="BI35" s="92" t="str">
        <f aca="false">IF(OR(AU35="",BH35="",AU35=0),"",(AU35-BH35)/AU35)</f>
        <v/>
      </c>
      <c r="BJ35" s="81"/>
      <c r="BK35" s="83"/>
      <c r="BL35" s="43" t="str">
        <f aca="false">IFERROR(INDEX(ЗАКАЗЫ!$N$3:$N$500,MATCH($A35,ЗАКАЗЫ!$F$3:$F$500,0)),"")</f>
        <v/>
      </c>
      <c r="BM35" s="8" t="str">
        <f aca="false">IF(BL35="","",IFERROR(VLOOKUP(BL35,'ТН ВЭД'!$A$4:$C$40,3,0),""))</f>
        <v/>
      </c>
      <c r="BN35" s="7" t="str">
        <f aca="false">IF(COUNTIF(ЗАКАЗЫ!$F$3:$F$500,$A35)=0,"",SUMIF(ЗАКАЗЫ!$F$3:$F$500,$A35,ЗАКАЗЫ!$J$3:$J$500))</f>
        <v/>
      </c>
      <c r="BO35" s="7" t="str">
        <f aca="false">IF(BN35="","",SUMIF(ЗАКАЗЫ!$F$3:$F$500,$A35,ЗАКАЗЫ!$AL$3:$AL$500))</f>
        <v/>
      </c>
      <c r="BP35" s="7" t="str">
        <f aca="false">IF(BN35="","",BN35-BO35)</f>
        <v/>
      </c>
      <c r="BQ35" s="55" t="str">
        <f aca="false">IF(BN35="","",IF(BO35&gt;=BN35,"На складе",IF(BO35&gt;0,"Частично","Ждём")))</f>
        <v/>
      </c>
      <c r="BR35" s="43"/>
      <c r="BS35" s="47" t="str">
        <f aca="false">IF(BN35="","",IF(_xlfn.MAXIFS(ЗАКАЗЫ!$AK$3:$AK$500,ЗАКАЗЫ!$F$3:$F$500,$A35)=0,"",_xlfn.MAXIFS(ЗАКАЗЫ!$AK$3:$AK$500,ЗАКАЗЫ!$F$3:$F$500,$A35)))</f>
        <v/>
      </c>
    </row>
    <row r="36" customFormat="false" ht="15.75" hidden="false" customHeight="true" outlineLevel="0" collapsed="false">
      <c r="A36" s="80" t="s">
        <v>868</v>
      </c>
      <c r="B36" s="81"/>
      <c r="C36" s="81"/>
      <c r="D36" s="81"/>
      <c r="E36" s="83"/>
      <c r="F36" s="81"/>
      <c r="G36" s="83"/>
      <c r="H36" s="83"/>
      <c r="I36" s="84" t="str">
        <f aca="false">IF(E36="","",A36&amp;"_1.jpg")</f>
        <v/>
      </c>
      <c r="J36" s="84" t="str">
        <f aca="false">IF(E36="","",A36&amp;"_2.jpg; "&amp;A36&amp;"_3.jpg")</f>
        <v/>
      </c>
      <c r="K36" s="84" t="str">
        <f aca="false">IF(E36="","",A36&amp;"_schema.jpg")</f>
        <v/>
      </c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 t="s">
        <v>96</v>
      </c>
      <c r="W36" s="81"/>
      <c r="X36" s="81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6" t="str">
        <f aca="false">IF(SUM(Y36:AJ36)=0,"",SUM(Y36:AJ36))</f>
        <v/>
      </c>
      <c r="AL36" s="84" t="str">
        <f aca="false">MID(IF(N(Y36)&gt;0,", "&amp;Y$2,"")&amp;IF(N(Z36)&gt;0,", "&amp;Z$2,"")&amp;IF(N(AA36)&gt;0,", "&amp;AA$2,"")&amp;IF(N(AB36)&gt;0,", "&amp;AB$2,"")&amp;IF(N(AC36)&gt;0,", "&amp;AC$2,"")&amp;IF(N(AD36)&gt;0,", "&amp;AD$2,"")&amp;IF(N(AE36)&gt;0,", "&amp;AE$2,"")&amp;IF(N(AF36)&gt;0,", "&amp;AF$2,"")&amp;IF(N(AG36)&gt;0,", "&amp;AG$2,"")&amp;IF(N(AH36)&gt;0,", "&amp;AH$2,"")&amp;IF(N(AI36)&gt;0,", "&amp;AI$2,"")&amp;IF(N(AJ36)&gt;0,", "&amp;AJ$2,""),3,999)</f>
        <v/>
      </c>
      <c r="AM36" s="87" t="str">
        <f aca="false">IF(E36="","",MID(IF(N(Y36)&gt;0,", "&amp;A36&amp;"-"&amp;Y$2,"")&amp;IF(N(Z36)&gt;0,", "&amp;A36&amp;"-"&amp;Z$2,"")&amp;IF(N(AA36)&gt;0,", "&amp;A36&amp;"-"&amp;AA$2,"")&amp;IF(N(AB36)&gt;0,", "&amp;A36&amp;"-"&amp;AB$2,"")&amp;IF(N(AC36)&gt;0,", "&amp;A36&amp;"-"&amp;AC$2,"")&amp;IF(N(AD36)&gt;0,", "&amp;A36&amp;"-"&amp;AD$2,"")&amp;IF(N(AE36)&gt;0,", "&amp;A36&amp;"-"&amp;AE$2,"")&amp;IF(N(AF36)&gt;0,", "&amp;A36&amp;"-"&amp;AF$2,"")&amp;IF(N(AG36)&gt;0,", "&amp;A36&amp;"-"&amp;AG$2,"")&amp;IF(N(AH36)&gt;0,", "&amp;A36&amp;"-"&amp;AH$2,"")&amp;IF(N(AI36)&gt;0,", "&amp;A36&amp;"-"&amp;AI$2,"")&amp;IF(N(AJ36)&gt;0,", "&amp;A36&amp;"-"&amp;AJ$2,""),3,999))</f>
        <v/>
      </c>
      <c r="AN36" s="81"/>
      <c r="AO36" s="88"/>
      <c r="AP36" s="89" t="str">
        <f aca="false">IF(AO36="","",ROUND(AO36/(1+Справочники!$B$13),2))</f>
        <v/>
      </c>
      <c r="AQ36" s="90" t="str">
        <f aca="false" t="array" ref="AQ36:AQ36">IF(AP36="","",AP36*INDEX(Справочники!$B$4:$B$7,MATCH("RUB",Справочники!$A$4:$A$7,0)))</f>
        <v/>
      </c>
      <c r="AR36" s="90" t="str">
        <f aca="false">IF(AQ36="","",ROUND(AQ36*(1+Справочники!$B$12),0))</f>
        <v/>
      </c>
      <c r="AS36" s="90" t="str">
        <f aca="false">IF(AR36="","",ROUND(AR36*(1-Справочники!$B$11),0))</f>
        <v/>
      </c>
      <c r="AT36" s="88"/>
      <c r="AU36" s="90" t="str">
        <f aca="false">IF(AT36="","",ROUND(AT36/(1+Справочники!$B$12),0))</f>
        <v/>
      </c>
      <c r="AV36" s="90" t="str">
        <f aca="false">IF(AT36="","",ROUND(AT36*(1-Справочники!$B$15),0))</f>
        <v/>
      </c>
      <c r="AW36" s="90" t="str">
        <f aca="false">IF(AT36="","",ROUND(AT36*(1-Справочники!$B$16),0))</f>
        <v/>
      </c>
      <c r="AX36" s="90" t="str">
        <f aca="false">IF(AT36="","",ROUND(AT36*(1-Справочники!$B$17),0))</f>
        <v/>
      </c>
      <c r="AY36" s="90" t="str">
        <f aca="false">IF(AT36="","",ROUND(AT36*(1-Справочники!$B$18),0))</f>
        <v/>
      </c>
      <c r="AZ36" s="90" t="str">
        <f aca="false">IF(AT36="","",ROUND(AT36*(1-Справочники!$B$19),0))</f>
        <v/>
      </c>
      <c r="BA36" s="81"/>
      <c r="BB36" s="81"/>
      <c r="BC36" s="81"/>
      <c r="BD36" s="81"/>
      <c r="BE36" s="91"/>
      <c r="BF36" s="81" t="s">
        <v>103</v>
      </c>
      <c r="BG36" s="89" t="n">
        <f aca="false" t="array" ref="BG36:BG36">IF(BF36="","",IFERROR(INDEX(Справочники!$B$4:$B$7,MATCH(BF36,Справочники!$A$4:$A$7,0)),""))</f>
        <v>68.5</v>
      </c>
      <c r="BH36" s="90" t="str">
        <f aca="false">IF(N(BN36)&gt;0,ROUND(SUMIF(ЗАКАЗЫ!$F$3:$F$500,$A36,ЗАКАЗЫ!$Y$3:$Y$500)/BN36,0),IF(OR(BE36="",BG36=""),"",ROUND(BE36*BG36*(1+Справочники!$B$10),0)))</f>
        <v/>
      </c>
      <c r="BI36" s="92" t="str">
        <f aca="false">IF(OR(AU36="",BH36="",AU36=0),"",(AU36-BH36)/AU36)</f>
        <v/>
      </c>
      <c r="BJ36" s="81"/>
      <c r="BK36" s="83"/>
      <c r="BL36" s="43" t="str">
        <f aca="false">IFERROR(INDEX(ЗАКАЗЫ!$N$3:$N$500,MATCH($A36,ЗАКАЗЫ!$F$3:$F$500,0)),"")</f>
        <v/>
      </c>
      <c r="BM36" s="8" t="str">
        <f aca="false">IF(BL36="","",IFERROR(VLOOKUP(BL36,'ТН ВЭД'!$A$4:$C$40,3,0),""))</f>
        <v/>
      </c>
      <c r="BN36" s="7" t="str">
        <f aca="false">IF(COUNTIF(ЗАКАЗЫ!$F$3:$F$500,$A36)=0,"",SUMIF(ЗАКАЗЫ!$F$3:$F$500,$A36,ЗАКАЗЫ!$J$3:$J$500))</f>
        <v/>
      </c>
      <c r="BO36" s="7" t="str">
        <f aca="false">IF(BN36="","",SUMIF(ЗАКАЗЫ!$F$3:$F$500,$A36,ЗАКАЗЫ!$AL$3:$AL$500))</f>
        <v/>
      </c>
      <c r="BP36" s="7" t="str">
        <f aca="false">IF(BN36="","",BN36-BO36)</f>
        <v/>
      </c>
      <c r="BQ36" s="55" t="str">
        <f aca="false">IF(BN36="","",IF(BO36&gt;=BN36,"На складе",IF(BO36&gt;0,"Частично","Ждём")))</f>
        <v/>
      </c>
      <c r="BR36" s="43"/>
      <c r="BS36" s="47" t="str">
        <f aca="false">IF(BN36="","",IF(_xlfn.MAXIFS(ЗАКАЗЫ!$AK$3:$AK$500,ЗАКАЗЫ!$F$3:$F$500,$A36)=0,"",_xlfn.MAXIFS(ЗАКАЗЫ!$AK$3:$AK$500,ЗАКАЗЫ!$F$3:$F$500,$A36)))</f>
        <v/>
      </c>
    </row>
    <row r="37" customFormat="false" ht="15.75" hidden="false" customHeight="true" outlineLevel="0" collapsed="false">
      <c r="A37" s="80" t="s">
        <v>869</v>
      </c>
      <c r="B37" s="81"/>
      <c r="C37" s="81"/>
      <c r="D37" s="81"/>
      <c r="E37" s="83"/>
      <c r="F37" s="81"/>
      <c r="G37" s="83"/>
      <c r="H37" s="83"/>
      <c r="I37" s="84" t="str">
        <f aca="false">IF(E37="","",A37&amp;"_1.jpg")</f>
        <v/>
      </c>
      <c r="J37" s="84" t="str">
        <f aca="false">IF(E37="","",A37&amp;"_2.jpg; "&amp;A37&amp;"_3.jpg")</f>
        <v/>
      </c>
      <c r="K37" s="84" t="str">
        <f aca="false">IF(E37="","",A37&amp;"_schema.jpg")</f>
        <v/>
      </c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 t="s">
        <v>96</v>
      </c>
      <c r="W37" s="81"/>
      <c r="X37" s="81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6" t="str">
        <f aca="false">IF(SUM(Y37:AJ37)=0,"",SUM(Y37:AJ37))</f>
        <v/>
      </c>
      <c r="AL37" s="84" t="str">
        <f aca="false">MID(IF(N(Y37)&gt;0,", "&amp;Y$2,"")&amp;IF(N(Z37)&gt;0,", "&amp;Z$2,"")&amp;IF(N(AA37)&gt;0,", "&amp;AA$2,"")&amp;IF(N(AB37)&gt;0,", "&amp;AB$2,"")&amp;IF(N(AC37)&gt;0,", "&amp;AC$2,"")&amp;IF(N(AD37)&gt;0,", "&amp;AD$2,"")&amp;IF(N(AE37)&gt;0,", "&amp;AE$2,"")&amp;IF(N(AF37)&gt;0,", "&amp;AF$2,"")&amp;IF(N(AG37)&gt;0,", "&amp;AG$2,"")&amp;IF(N(AH37)&gt;0,", "&amp;AH$2,"")&amp;IF(N(AI37)&gt;0,", "&amp;AI$2,"")&amp;IF(N(AJ37)&gt;0,", "&amp;AJ$2,""),3,999)</f>
        <v/>
      </c>
      <c r="AM37" s="87" t="str">
        <f aca="false">IF(E37="","",MID(IF(N(Y37)&gt;0,", "&amp;A37&amp;"-"&amp;Y$2,"")&amp;IF(N(Z37)&gt;0,", "&amp;A37&amp;"-"&amp;Z$2,"")&amp;IF(N(AA37)&gt;0,", "&amp;A37&amp;"-"&amp;AA$2,"")&amp;IF(N(AB37)&gt;0,", "&amp;A37&amp;"-"&amp;AB$2,"")&amp;IF(N(AC37)&gt;0,", "&amp;A37&amp;"-"&amp;AC$2,"")&amp;IF(N(AD37)&gt;0,", "&amp;A37&amp;"-"&amp;AD$2,"")&amp;IF(N(AE37)&gt;0,", "&amp;A37&amp;"-"&amp;AE$2,"")&amp;IF(N(AF37)&gt;0,", "&amp;A37&amp;"-"&amp;AF$2,"")&amp;IF(N(AG37)&gt;0,", "&amp;A37&amp;"-"&amp;AG$2,"")&amp;IF(N(AH37)&gt;0,", "&amp;A37&amp;"-"&amp;AH$2,"")&amp;IF(N(AI37)&gt;0,", "&amp;A37&amp;"-"&amp;AI$2,"")&amp;IF(N(AJ37)&gt;0,", "&amp;A37&amp;"-"&amp;AJ$2,""),3,999))</f>
        <v/>
      </c>
      <c r="AN37" s="81"/>
      <c r="AO37" s="88"/>
      <c r="AP37" s="89" t="str">
        <f aca="false">IF(AO37="","",ROUND(AO37/(1+Справочники!$B$13),2))</f>
        <v/>
      </c>
      <c r="AQ37" s="90" t="str">
        <f aca="false" t="array" ref="AQ37:AQ37">IF(AP37="","",AP37*INDEX(Справочники!$B$4:$B$7,MATCH("RUB",Справочники!$A$4:$A$7,0)))</f>
        <v/>
      </c>
      <c r="AR37" s="90" t="str">
        <f aca="false">IF(AQ37="","",ROUND(AQ37*(1+Справочники!$B$12),0))</f>
        <v/>
      </c>
      <c r="AS37" s="90" t="str">
        <f aca="false">IF(AR37="","",ROUND(AR37*(1-Справочники!$B$11),0))</f>
        <v/>
      </c>
      <c r="AT37" s="88"/>
      <c r="AU37" s="90" t="str">
        <f aca="false">IF(AT37="","",ROUND(AT37/(1+Справочники!$B$12),0))</f>
        <v/>
      </c>
      <c r="AV37" s="90" t="str">
        <f aca="false">IF(AT37="","",ROUND(AT37*(1-Справочники!$B$15),0))</f>
        <v/>
      </c>
      <c r="AW37" s="90" t="str">
        <f aca="false">IF(AT37="","",ROUND(AT37*(1-Справочники!$B$16),0))</f>
        <v/>
      </c>
      <c r="AX37" s="90" t="str">
        <f aca="false">IF(AT37="","",ROUND(AT37*(1-Справочники!$B$17),0))</f>
        <v/>
      </c>
      <c r="AY37" s="90" t="str">
        <f aca="false">IF(AT37="","",ROUND(AT37*(1-Справочники!$B$18),0))</f>
        <v/>
      </c>
      <c r="AZ37" s="90" t="str">
        <f aca="false">IF(AT37="","",ROUND(AT37*(1-Справочники!$B$19),0))</f>
        <v/>
      </c>
      <c r="BA37" s="81"/>
      <c r="BB37" s="81"/>
      <c r="BC37" s="81"/>
      <c r="BD37" s="81"/>
      <c r="BE37" s="91"/>
      <c r="BF37" s="81" t="s">
        <v>103</v>
      </c>
      <c r="BG37" s="89" t="n">
        <f aca="false" t="array" ref="BG37:BG37">IF(BF37="","",IFERROR(INDEX(Справочники!$B$4:$B$7,MATCH(BF37,Справочники!$A$4:$A$7,0)),""))</f>
        <v>68.5</v>
      </c>
      <c r="BH37" s="90" t="str">
        <f aca="false">IF(N(BN37)&gt;0,ROUND(SUMIF(ЗАКАЗЫ!$F$3:$F$500,$A37,ЗАКАЗЫ!$Y$3:$Y$500)/BN37,0),IF(OR(BE37="",BG37=""),"",ROUND(BE37*BG37*(1+Справочники!$B$10),0)))</f>
        <v/>
      </c>
      <c r="BI37" s="92" t="str">
        <f aca="false">IF(OR(AU37="",BH37="",AU37=0),"",(AU37-BH37)/AU37)</f>
        <v/>
      </c>
      <c r="BJ37" s="81"/>
      <c r="BK37" s="83"/>
      <c r="BL37" s="43" t="str">
        <f aca="false">IFERROR(INDEX(ЗАКАЗЫ!$N$3:$N$500,MATCH($A37,ЗАКАЗЫ!$F$3:$F$500,0)),"")</f>
        <v/>
      </c>
      <c r="BM37" s="8" t="str">
        <f aca="false">IF(BL37="","",IFERROR(VLOOKUP(BL37,'ТН ВЭД'!$A$4:$C$40,3,0),""))</f>
        <v/>
      </c>
      <c r="BN37" s="7" t="str">
        <f aca="false">IF(COUNTIF(ЗАКАЗЫ!$F$3:$F$500,$A37)=0,"",SUMIF(ЗАКАЗЫ!$F$3:$F$500,$A37,ЗАКАЗЫ!$J$3:$J$500))</f>
        <v/>
      </c>
      <c r="BO37" s="7" t="str">
        <f aca="false">IF(BN37="","",SUMIF(ЗАКАЗЫ!$F$3:$F$500,$A37,ЗАКАЗЫ!$AL$3:$AL$500))</f>
        <v/>
      </c>
      <c r="BP37" s="7" t="str">
        <f aca="false">IF(BN37="","",BN37-BO37)</f>
        <v/>
      </c>
      <c r="BQ37" s="55" t="str">
        <f aca="false">IF(BN37="","",IF(BO37&gt;=BN37,"На складе",IF(BO37&gt;0,"Частично","Ждём")))</f>
        <v/>
      </c>
      <c r="BR37" s="43"/>
      <c r="BS37" s="47" t="str">
        <f aca="false">IF(BN37="","",IF(_xlfn.MAXIFS(ЗАКАЗЫ!$AK$3:$AK$500,ЗАКАЗЫ!$F$3:$F$500,$A37)=0,"",_xlfn.MAXIFS(ЗАКАЗЫ!$AK$3:$AK$500,ЗАКАЗЫ!$F$3:$F$500,$A37)))</f>
        <v/>
      </c>
    </row>
    <row r="38" customFormat="false" ht="15.75" hidden="false" customHeight="true" outlineLevel="0" collapsed="false">
      <c r="A38" s="80" t="s">
        <v>870</v>
      </c>
      <c r="B38" s="81"/>
      <c r="C38" s="81"/>
      <c r="D38" s="81"/>
      <c r="E38" s="83"/>
      <c r="F38" s="81"/>
      <c r="G38" s="83"/>
      <c r="H38" s="83"/>
      <c r="I38" s="84" t="str">
        <f aca="false">IF(E38="","",A38&amp;"_1.jpg")</f>
        <v/>
      </c>
      <c r="J38" s="84" t="str">
        <f aca="false">IF(E38="","",A38&amp;"_2.jpg; "&amp;A38&amp;"_3.jpg")</f>
        <v/>
      </c>
      <c r="K38" s="84" t="str">
        <f aca="false">IF(E38="","",A38&amp;"_schema.jpg")</f>
        <v/>
      </c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 t="s">
        <v>96</v>
      </c>
      <c r="W38" s="81"/>
      <c r="X38" s="81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6" t="str">
        <f aca="false">IF(SUM(Y38:AJ38)=0,"",SUM(Y38:AJ38))</f>
        <v/>
      </c>
      <c r="AL38" s="84" t="str">
        <f aca="false">MID(IF(N(Y38)&gt;0,", "&amp;Y$2,"")&amp;IF(N(Z38)&gt;0,", "&amp;Z$2,"")&amp;IF(N(AA38)&gt;0,", "&amp;AA$2,"")&amp;IF(N(AB38)&gt;0,", "&amp;AB$2,"")&amp;IF(N(AC38)&gt;0,", "&amp;AC$2,"")&amp;IF(N(AD38)&gt;0,", "&amp;AD$2,"")&amp;IF(N(AE38)&gt;0,", "&amp;AE$2,"")&amp;IF(N(AF38)&gt;0,", "&amp;AF$2,"")&amp;IF(N(AG38)&gt;0,", "&amp;AG$2,"")&amp;IF(N(AH38)&gt;0,", "&amp;AH$2,"")&amp;IF(N(AI38)&gt;0,", "&amp;AI$2,"")&amp;IF(N(AJ38)&gt;0,", "&amp;AJ$2,""),3,999)</f>
        <v/>
      </c>
      <c r="AM38" s="87" t="str">
        <f aca="false">IF(E38="","",MID(IF(N(Y38)&gt;0,", "&amp;A38&amp;"-"&amp;Y$2,"")&amp;IF(N(Z38)&gt;0,", "&amp;A38&amp;"-"&amp;Z$2,"")&amp;IF(N(AA38)&gt;0,", "&amp;A38&amp;"-"&amp;AA$2,"")&amp;IF(N(AB38)&gt;0,", "&amp;A38&amp;"-"&amp;AB$2,"")&amp;IF(N(AC38)&gt;0,", "&amp;A38&amp;"-"&amp;AC$2,"")&amp;IF(N(AD38)&gt;0,", "&amp;A38&amp;"-"&amp;AD$2,"")&amp;IF(N(AE38)&gt;0,", "&amp;A38&amp;"-"&amp;AE$2,"")&amp;IF(N(AF38)&gt;0,", "&amp;A38&amp;"-"&amp;AF$2,"")&amp;IF(N(AG38)&gt;0,", "&amp;A38&amp;"-"&amp;AG$2,"")&amp;IF(N(AH38)&gt;0,", "&amp;A38&amp;"-"&amp;AH$2,"")&amp;IF(N(AI38)&gt;0,", "&amp;A38&amp;"-"&amp;AI$2,"")&amp;IF(N(AJ38)&gt;0,", "&amp;A38&amp;"-"&amp;AJ$2,""),3,999))</f>
        <v/>
      </c>
      <c r="AN38" s="81"/>
      <c r="AO38" s="88"/>
      <c r="AP38" s="89" t="str">
        <f aca="false">IF(AO38="","",ROUND(AO38/(1+Справочники!$B$13),2))</f>
        <v/>
      </c>
      <c r="AQ38" s="90" t="str">
        <f aca="false" t="array" ref="AQ38:AQ38">IF(AP38="","",AP38*INDEX(Справочники!$B$4:$B$7,MATCH("RUB",Справочники!$A$4:$A$7,0)))</f>
        <v/>
      </c>
      <c r="AR38" s="90" t="str">
        <f aca="false">IF(AQ38="","",ROUND(AQ38*(1+Справочники!$B$12),0))</f>
        <v/>
      </c>
      <c r="AS38" s="90" t="str">
        <f aca="false">IF(AR38="","",ROUND(AR38*(1-Справочники!$B$11),0))</f>
        <v/>
      </c>
      <c r="AT38" s="88"/>
      <c r="AU38" s="90" t="str">
        <f aca="false">IF(AT38="","",ROUND(AT38/(1+Справочники!$B$12),0))</f>
        <v/>
      </c>
      <c r="AV38" s="90" t="str">
        <f aca="false">IF(AT38="","",ROUND(AT38*(1-Справочники!$B$15),0))</f>
        <v/>
      </c>
      <c r="AW38" s="90" t="str">
        <f aca="false">IF(AT38="","",ROUND(AT38*(1-Справочники!$B$16),0))</f>
        <v/>
      </c>
      <c r="AX38" s="90" t="str">
        <f aca="false">IF(AT38="","",ROUND(AT38*(1-Справочники!$B$17),0))</f>
        <v/>
      </c>
      <c r="AY38" s="90" t="str">
        <f aca="false">IF(AT38="","",ROUND(AT38*(1-Справочники!$B$18),0))</f>
        <v/>
      </c>
      <c r="AZ38" s="90" t="str">
        <f aca="false">IF(AT38="","",ROUND(AT38*(1-Справочники!$B$19),0))</f>
        <v/>
      </c>
      <c r="BA38" s="81"/>
      <c r="BB38" s="81"/>
      <c r="BC38" s="81"/>
      <c r="BD38" s="81"/>
      <c r="BE38" s="91"/>
      <c r="BF38" s="81" t="s">
        <v>103</v>
      </c>
      <c r="BG38" s="89" t="n">
        <f aca="false" t="array" ref="BG38:BG38">IF(BF38="","",IFERROR(INDEX(Справочники!$B$4:$B$7,MATCH(BF38,Справочники!$A$4:$A$7,0)),""))</f>
        <v>68.5</v>
      </c>
      <c r="BH38" s="90" t="str">
        <f aca="false">IF(N(BN38)&gt;0,ROUND(SUMIF(ЗАКАЗЫ!$F$3:$F$500,$A38,ЗАКАЗЫ!$Y$3:$Y$500)/BN38,0),IF(OR(BE38="",BG38=""),"",ROUND(BE38*BG38*(1+Справочники!$B$10),0)))</f>
        <v/>
      </c>
      <c r="BI38" s="92" t="str">
        <f aca="false">IF(OR(AU38="",BH38="",AU38=0),"",(AU38-BH38)/AU38)</f>
        <v/>
      </c>
      <c r="BJ38" s="81"/>
      <c r="BK38" s="83"/>
      <c r="BL38" s="43" t="str">
        <f aca="false">IFERROR(INDEX(ЗАКАЗЫ!$N$3:$N$500,MATCH($A38,ЗАКАЗЫ!$F$3:$F$500,0)),"")</f>
        <v/>
      </c>
      <c r="BM38" s="8" t="str">
        <f aca="false">IF(BL38="","",IFERROR(VLOOKUP(BL38,'ТН ВЭД'!$A$4:$C$40,3,0),""))</f>
        <v/>
      </c>
      <c r="BN38" s="7" t="str">
        <f aca="false">IF(COUNTIF(ЗАКАЗЫ!$F$3:$F$500,$A38)=0,"",SUMIF(ЗАКАЗЫ!$F$3:$F$500,$A38,ЗАКАЗЫ!$J$3:$J$500))</f>
        <v/>
      </c>
      <c r="BO38" s="7" t="str">
        <f aca="false">IF(BN38="","",SUMIF(ЗАКАЗЫ!$F$3:$F$500,$A38,ЗАКАЗЫ!$AL$3:$AL$500))</f>
        <v/>
      </c>
      <c r="BP38" s="7" t="str">
        <f aca="false">IF(BN38="","",BN38-BO38)</f>
        <v/>
      </c>
      <c r="BQ38" s="55" t="str">
        <f aca="false">IF(BN38="","",IF(BO38&gt;=BN38,"На складе",IF(BO38&gt;0,"Частично","Ждём")))</f>
        <v/>
      </c>
      <c r="BR38" s="43"/>
      <c r="BS38" s="47" t="str">
        <f aca="false">IF(BN38="","",IF(_xlfn.MAXIFS(ЗАКАЗЫ!$AK$3:$AK$500,ЗАКАЗЫ!$F$3:$F$500,$A38)=0,"",_xlfn.MAXIFS(ЗАКАЗЫ!$AK$3:$AK$500,ЗАКАЗЫ!$F$3:$F$500,$A38)))</f>
        <v/>
      </c>
    </row>
    <row r="39" customFormat="false" ht="15.75" hidden="false" customHeight="true" outlineLevel="0" collapsed="false">
      <c r="A39" s="80" t="s">
        <v>871</v>
      </c>
      <c r="B39" s="81"/>
      <c r="C39" s="81"/>
      <c r="D39" s="81"/>
      <c r="E39" s="83"/>
      <c r="F39" s="81"/>
      <c r="G39" s="83"/>
      <c r="H39" s="83"/>
      <c r="I39" s="84" t="str">
        <f aca="false">IF(E39="","",A39&amp;"_1.jpg")</f>
        <v/>
      </c>
      <c r="J39" s="84" t="str">
        <f aca="false">IF(E39="","",A39&amp;"_2.jpg; "&amp;A39&amp;"_3.jpg")</f>
        <v/>
      </c>
      <c r="K39" s="84" t="str">
        <f aca="false">IF(E39="","",A39&amp;"_schema.jpg")</f>
        <v/>
      </c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 t="s">
        <v>96</v>
      </c>
      <c r="W39" s="81"/>
      <c r="X39" s="81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6" t="str">
        <f aca="false">IF(SUM(Y39:AJ39)=0,"",SUM(Y39:AJ39))</f>
        <v/>
      </c>
      <c r="AL39" s="84" t="str">
        <f aca="false">MID(IF(N(Y39)&gt;0,", "&amp;Y$2,"")&amp;IF(N(Z39)&gt;0,", "&amp;Z$2,"")&amp;IF(N(AA39)&gt;0,", "&amp;AA$2,"")&amp;IF(N(AB39)&gt;0,", "&amp;AB$2,"")&amp;IF(N(AC39)&gt;0,", "&amp;AC$2,"")&amp;IF(N(AD39)&gt;0,", "&amp;AD$2,"")&amp;IF(N(AE39)&gt;0,", "&amp;AE$2,"")&amp;IF(N(AF39)&gt;0,", "&amp;AF$2,"")&amp;IF(N(AG39)&gt;0,", "&amp;AG$2,"")&amp;IF(N(AH39)&gt;0,", "&amp;AH$2,"")&amp;IF(N(AI39)&gt;0,", "&amp;AI$2,"")&amp;IF(N(AJ39)&gt;0,", "&amp;AJ$2,""),3,999)</f>
        <v/>
      </c>
      <c r="AM39" s="87" t="str">
        <f aca="false">IF(E39="","",MID(IF(N(Y39)&gt;0,", "&amp;A39&amp;"-"&amp;Y$2,"")&amp;IF(N(Z39)&gt;0,", "&amp;A39&amp;"-"&amp;Z$2,"")&amp;IF(N(AA39)&gt;0,", "&amp;A39&amp;"-"&amp;AA$2,"")&amp;IF(N(AB39)&gt;0,", "&amp;A39&amp;"-"&amp;AB$2,"")&amp;IF(N(AC39)&gt;0,", "&amp;A39&amp;"-"&amp;AC$2,"")&amp;IF(N(AD39)&gt;0,", "&amp;A39&amp;"-"&amp;AD$2,"")&amp;IF(N(AE39)&gt;0,", "&amp;A39&amp;"-"&amp;AE$2,"")&amp;IF(N(AF39)&gt;0,", "&amp;A39&amp;"-"&amp;AF$2,"")&amp;IF(N(AG39)&gt;0,", "&amp;A39&amp;"-"&amp;AG$2,"")&amp;IF(N(AH39)&gt;0,", "&amp;A39&amp;"-"&amp;AH$2,"")&amp;IF(N(AI39)&gt;0,", "&amp;A39&amp;"-"&amp;AI$2,"")&amp;IF(N(AJ39)&gt;0,", "&amp;A39&amp;"-"&amp;AJ$2,""),3,999))</f>
        <v/>
      </c>
      <c r="AN39" s="81"/>
      <c r="AO39" s="88"/>
      <c r="AP39" s="89" t="str">
        <f aca="false">IF(AO39="","",ROUND(AO39/(1+Справочники!$B$13),2))</f>
        <v/>
      </c>
      <c r="AQ39" s="90" t="str">
        <f aca="false" t="array" ref="AQ39:AQ39">IF(AP39="","",AP39*INDEX(Справочники!$B$4:$B$7,MATCH("RUB",Справочники!$A$4:$A$7,0)))</f>
        <v/>
      </c>
      <c r="AR39" s="90" t="str">
        <f aca="false">IF(AQ39="","",ROUND(AQ39*(1+Справочники!$B$12),0))</f>
        <v/>
      </c>
      <c r="AS39" s="90" t="str">
        <f aca="false">IF(AR39="","",ROUND(AR39*(1-Справочники!$B$11),0))</f>
        <v/>
      </c>
      <c r="AT39" s="88"/>
      <c r="AU39" s="90" t="str">
        <f aca="false">IF(AT39="","",ROUND(AT39/(1+Справочники!$B$12),0))</f>
        <v/>
      </c>
      <c r="AV39" s="90" t="str">
        <f aca="false">IF(AT39="","",ROUND(AT39*(1-Справочники!$B$15),0))</f>
        <v/>
      </c>
      <c r="AW39" s="90" t="str">
        <f aca="false">IF(AT39="","",ROUND(AT39*(1-Справочники!$B$16),0))</f>
        <v/>
      </c>
      <c r="AX39" s="90" t="str">
        <f aca="false">IF(AT39="","",ROUND(AT39*(1-Справочники!$B$17),0))</f>
        <v/>
      </c>
      <c r="AY39" s="90" t="str">
        <f aca="false">IF(AT39="","",ROUND(AT39*(1-Справочники!$B$18),0))</f>
        <v/>
      </c>
      <c r="AZ39" s="90" t="str">
        <f aca="false">IF(AT39="","",ROUND(AT39*(1-Справочники!$B$19),0))</f>
        <v/>
      </c>
      <c r="BA39" s="81"/>
      <c r="BB39" s="81"/>
      <c r="BC39" s="81"/>
      <c r="BD39" s="81"/>
      <c r="BE39" s="91"/>
      <c r="BF39" s="81" t="s">
        <v>103</v>
      </c>
      <c r="BG39" s="89" t="n">
        <f aca="false" t="array" ref="BG39:BG39">IF(BF39="","",IFERROR(INDEX(Справочники!$B$4:$B$7,MATCH(BF39,Справочники!$A$4:$A$7,0)),""))</f>
        <v>68.5</v>
      </c>
      <c r="BH39" s="90" t="str">
        <f aca="false">IF(N(BN39)&gt;0,ROUND(SUMIF(ЗАКАЗЫ!$F$3:$F$500,$A39,ЗАКАЗЫ!$Y$3:$Y$500)/BN39,0),IF(OR(BE39="",BG39=""),"",ROUND(BE39*BG39*(1+Справочники!$B$10),0)))</f>
        <v/>
      </c>
      <c r="BI39" s="92" t="str">
        <f aca="false">IF(OR(AU39="",BH39="",AU39=0),"",(AU39-BH39)/AU39)</f>
        <v/>
      </c>
      <c r="BJ39" s="81"/>
      <c r="BK39" s="83"/>
      <c r="BL39" s="43" t="str">
        <f aca="false">IFERROR(INDEX(ЗАКАЗЫ!$N$3:$N$500,MATCH($A39,ЗАКАЗЫ!$F$3:$F$500,0)),"")</f>
        <v/>
      </c>
      <c r="BM39" s="8" t="str">
        <f aca="false">IF(BL39="","",IFERROR(VLOOKUP(BL39,'ТН ВЭД'!$A$4:$C$40,3,0),""))</f>
        <v/>
      </c>
      <c r="BN39" s="7" t="str">
        <f aca="false">IF(COUNTIF(ЗАКАЗЫ!$F$3:$F$500,$A39)=0,"",SUMIF(ЗАКАЗЫ!$F$3:$F$500,$A39,ЗАКАЗЫ!$J$3:$J$500))</f>
        <v/>
      </c>
      <c r="BO39" s="7" t="str">
        <f aca="false">IF(BN39="","",SUMIF(ЗАКАЗЫ!$F$3:$F$500,$A39,ЗАКАЗЫ!$AL$3:$AL$500))</f>
        <v/>
      </c>
      <c r="BP39" s="7" t="str">
        <f aca="false">IF(BN39="","",BN39-BO39)</f>
        <v/>
      </c>
      <c r="BQ39" s="55" t="str">
        <f aca="false">IF(BN39="","",IF(BO39&gt;=BN39,"На складе",IF(BO39&gt;0,"Частично","Ждём")))</f>
        <v/>
      </c>
      <c r="BR39" s="43"/>
      <c r="BS39" s="47" t="str">
        <f aca="false">IF(BN39="","",IF(_xlfn.MAXIFS(ЗАКАЗЫ!$AK$3:$AK$500,ЗАКАЗЫ!$F$3:$F$500,$A39)=0,"",_xlfn.MAXIFS(ЗАКАЗЫ!$AK$3:$AK$500,ЗАКАЗЫ!$F$3:$F$500,$A39)))</f>
        <v/>
      </c>
    </row>
    <row r="40" customFormat="false" ht="15.75" hidden="false" customHeight="true" outlineLevel="0" collapsed="false">
      <c r="A40" s="80" t="s">
        <v>872</v>
      </c>
      <c r="B40" s="81"/>
      <c r="C40" s="81"/>
      <c r="D40" s="81"/>
      <c r="E40" s="83"/>
      <c r="F40" s="81"/>
      <c r="G40" s="83"/>
      <c r="H40" s="83"/>
      <c r="I40" s="84" t="str">
        <f aca="false">IF(E40="","",A40&amp;"_1.jpg")</f>
        <v/>
      </c>
      <c r="J40" s="84" t="str">
        <f aca="false">IF(E40="","",A40&amp;"_2.jpg; "&amp;A40&amp;"_3.jpg")</f>
        <v/>
      </c>
      <c r="K40" s="84" t="str">
        <f aca="false">IF(E40="","",A40&amp;"_schema.jpg")</f>
        <v/>
      </c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 t="s">
        <v>96</v>
      </c>
      <c r="W40" s="81"/>
      <c r="X40" s="81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6" t="str">
        <f aca="false">IF(SUM(Y40:AJ40)=0,"",SUM(Y40:AJ40))</f>
        <v/>
      </c>
      <c r="AL40" s="84" t="str">
        <f aca="false">MID(IF(N(Y40)&gt;0,", "&amp;Y$2,"")&amp;IF(N(Z40)&gt;0,", "&amp;Z$2,"")&amp;IF(N(AA40)&gt;0,", "&amp;AA$2,"")&amp;IF(N(AB40)&gt;0,", "&amp;AB$2,"")&amp;IF(N(AC40)&gt;0,", "&amp;AC$2,"")&amp;IF(N(AD40)&gt;0,", "&amp;AD$2,"")&amp;IF(N(AE40)&gt;0,", "&amp;AE$2,"")&amp;IF(N(AF40)&gt;0,", "&amp;AF$2,"")&amp;IF(N(AG40)&gt;0,", "&amp;AG$2,"")&amp;IF(N(AH40)&gt;0,", "&amp;AH$2,"")&amp;IF(N(AI40)&gt;0,", "&amp;AI$2,"")&amp;IF(N(AJ40)&gt;0,", "&amp;AJ$2,""),3,999)</f>
        <v/>
      </c>
      <c r="AM40" s="87" t="str">
        <f aca="false">IF(E40="","",MID(IF(N(Y40)&gt;0,", "&amp;A40&amp;"-"&amp;Y$2,"")&amp;IF(N(Z40)&gt;0,", "&amp;A40&amp;"-"&amp;Z$2,"")&amp;IF(N(AA40)&gt;0,", "&amp;A40&amp;"-"&amp;AA$2,"")&amp;IF(N(AB40)&gt;0,", "&amp;A40&amp;"-"&amp;AB$2,"")&amp;IF(N(AC40)&gt;0,", "&amp;A40&amp;"-"&amp;AC$2,"")&amp;IF(N(AD40)&gt;0,", "&amp;A40&amp;"-"&amp;AD$2,"")&amp;IF(N(AE40)&gt;0,", "&amp;A40&amp;"-"&amp;AE$2,"")&amp;IF(N(AF40)&gt;0,", "&amp;A40&amp;"-"&amp;AF$2,"")&amp;IF(N(AG40)&gt;0,", "&amp;A40&amp;"-"&amp;AG$2,"")&amp;IF(N(AH40)&gt;0,", "&amp;A40&amp;"-"&amp;AH$2,"")&amp;IF(N(AI40)&gt;0,", "&amp;A40&amp;"-"&amp;AI$2,"")&amp;IF(N(AJ40)&gt;0,", "&amp;A40&amp;"-"&amp;AJ$2,""),3,999))</f>
        <v/>
      </c>
      <c r="AN40" s="81"/>
      <c r="AO40" s="88"/>
      <c r="AP40" s="89" t="str">
        <f aca="false">IF(AO40="","",ROUND(AO40/(1+Справочники!$B$13),2))</f>
        <v/>
      </c>
      <c r="AQ40" s="90" t="str">
        <f aca="false" t="array" ref="AQ40:AQ40">IF(AP40="","",AP40*INDEX(Справочники!$B$4:$B$7,MATCH("RUB",Справочники!$A$4:$A$7,0)))</f>
        <v/>
      </c>
      <c r="AR40" s="90" t="str">
        <f aca="false">IF(AQ40="","",ROUND(AQ40*(1+Справочники!$B$12),0))</f>
        <v/>
      </c>
      <c r="AS40" s="90" t="str">
        <f aca="false">IF(AR40="","",ROUND(AR40*(1-Справочники!$B$11),0))</f>
        <v/>
      </c>
      <c r="AT40" s="88"/>
      <c r="AU40" s="90" t="str">
        <f aca="false">IF(AT40="","",ROUND(AT40/(1+Справочники!$B$12),0))</f>
        <v/>
      </c>
      <c r="AV40" s="90" t="str">
        <f aca="false">IF(AT40="","",ROUND(AT40*(1-Справочники!$B$15),0))</f>
        <v/>
      </c>
      <c r="AW40" s="90" t="str">
        <f aca="false">IF(AT40="","",ROUND(AT40*(1-Справочники!$B$16),0))</f>
        <v/>
      </c>
      <c r="AX40" s="90" t="str">
        <f aca="false">IF(AT40="","",ROUND(AT40*(1-Справочники!$B$17),0))</f>
        <v/>
      </c>
      <c r="AY40" s="90" t="str">
        <f aca="false">IF(AT40="","",ROUND(AT40*(1-Справочники!$B$18),0))</f>
        <v/>
      </c>
      <c r="AZ40" s="90" t="str">
        <f aca="false">IF(AT40="","",ROUND(AT40*(1-Справочники!$B$19),0))</f>
        <v/>
      </c>
      <c r="BA40" s="81"/>
      <c r="BB40" s="81"/>
      <c r="BC40" s="81"/>
      <c r="BD40" s="81"/>
      <c r="BE40" s="91"/>
      <c r="BF40" s="81" t="s">
        <v>103</v>
      </c>
      <c r="BG40" s="89" t="n">
        <f aca="false" t="array" ref="BG40:BG40">IF(BF40="","",IFERROR(INDEX(Справочники!$B$4:$B$7,MATCH(BF40,Справочники!$A$4:$A$7,0)),""))</f>
        <v>68.5</v>
      </c>
      <c r="BH40" s="90" t="str">
        <f aca="false">IF(N(BN40)&gt;0,ROUND(SUMIF(ЗАКАЗЫ!$F$3:$F$500,$A40,ЗАКАЗЫ!$Y$3:$Y$500)/BN40,0),IF(OR(BE40="",BG40=""),"",ROUND(BE40*BG40*(1+Справочники!$B$10),0)))</f>
        <v/>
      </c>
      <c r="BI40" s="92" t="str">
        <f aca="false">IF(OR(AU40="",BH40="",AU40=0),"",(AU40-BH40)/AU40)</f>
        <v/>
      </c>
      <c r="BJ40" s="81"/>
      <c r="BK40" s="83"/>
      <c r="BL40" s="43" t="str">
        <f aca="false">IFERROR(INDEX(ЗАКАЗЫ!$N$3:$N$500,MATCH($A40,ЗАКАЗЫ!$F$3:$F$500,0)),"")</f>
        <v/>
      </c>
      <c r="BM40" s="8" t="str">
        <f aca="false">IF(BL40="","",IFERROR(VLOOKUP(BL40,'ТН ВЭД'!$A$4:$C$40,3,0),""))</f>
        <v/>
      </c>
      <c r="BN40" s="7" t="str">
        <f aca="false">IF(COUNTIF(ЗАКАЗЫ!$F$3:$F$500,$A40)=0,"",SUMIF(ЗАКАЗЫ!$F$3:$F$500,$A40,ЗАКАЗЫ!$J$3:$J$500))</f>
        <v/>
      </c>
      <c r="BO40" s="7" t="str">
        <f aca="false">IF(BN40="","",SUMIF(ЗАКАЗЫ!$F$3:$F$500,$A40,ЗАКАЗЫ!$AL$3:$AL$500))</f>
        <v/>
      </c>
      <c r="BP40" s="7" t="str">
        <f aca="false">IF(BN40="","",BN40-BO40)</f>
        <v/>
      </c>
      <c r="BQ40" s="55" t="str">
        <f aca="false">IF(BN40="","",IF(BO40&gt;=BN40,"На складе",IF(BO40&gt;0,"Частично","Ждём")))</f>
        <v/>
      </c>
      <c r="BR40" s="43"/>
      <c r="BS40" s="47" t="str">
        <f aca="false">IF(BN40="","",IF(_xlfn.MAXIFS(ЗАКАЗЫ!$AK$3:$AK$500,ЗАКАЗЫ!$F$3:$F$500,$A40)=0,"",_xlfn.MAXIFS(ЗАКАЗЫ!$AK$3:$AK$500,ЗАКАЗЫ!$F$3:$F$500,$A40)))</f>
        <v/>
      </c>
    </row>
    <row r="41" customFormat="false" ht="15.75" hidden="false" customHeight="true" outlineLevel="0" collapsed="false">
      <c r="A41" s="80" t="s">
        <v>873</v>
      </c>
      <c r="B41" s="81"/>
      <c r="C41" s="81"/>
      <c r="D41" s="81"/>
      <c r="E41" s="83"/>
      <c r="F41" s="81"/>
      <c r="G41" s="83"/>
      <c r="H41" s="83"/>
      <c r="I41" s="84" t="str">
        <f aca="false">IF(E41="","",A41&amp;"_1.jpg")</f>
        <v/>
      </c>
      <c r="J41" s="84" t="str">
        <f aca="false">IF(E41="","",A41&amp;"_2.jpg; "&amp;A41&amp;"_3.jpg")</f>
        <v/>
      </c>
      <c r="K41" s="84" t="str">
        <f aca="false">IF(E41="","",A41&amp;"_schema.jpg")</f>
        <v/>
      </c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 t="s">
        <v>96</v>
      </c>
      <c r="W41" s="81"/>
      <c r="X41" s="81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6" t="str">
        <f aca="false">IF(SUM(Y41:AJ41)=0,"",SUM(Y41:AJ41))</f>
        <v/>
      </c>
      <c r="AL41" s="84" t="str">
        <f aca="false">MID(IF(N(Y41)&gt;0,", "&amp;Y$2,"")&amp;IF(N(Z41)&gt;0,", "&amp;Z$2,"")&amp;IF(N(AA41)&gt;0,", "&amp;AA$2,"")&amp;IF(N(AB41)&gt;0,", "&amp;AB$2,"")&amp;IF(N(AC41)&gt;0,", "&amp;AC$2,"")&amp;IF(N(AD41)&gt;0,", "&amp;AD$2,"")&amp;IF(N(AE41)&gt;0,", "&amp;AE$2,"")&amp;IF(N(AF41)&gt;0,", "&amp;AF$2,"")&amp;IF(N(AG41)&gt;0,", "&amp;AG$2,"")&amp;IF(N(AH41)&gt;0,", "&amp;AH$2,"")&amp;IF(N(AI41)&gt;0,", "&amp;AI$2,"")&amp;IF(N(AJ41)&gt;0,", "&amp;AJ$2,""),3,999)</f>
        <v/>
      </c>
      <c r="AM41" s="87" t="str">
        <f aca="false">IF(E41="","",MID(IF(N(Y41)&gt;0,", "&amp;A41&amp;"-"&amp;Y$2,"")&amp;IF(N(Z41)&gt;0,", "&amp;A41&amp;"-"&amp;Z$2,"")&amp;IF(N(AA41)&gt;0,", "&amp;A41&amp;"-"&amp;AA$2,"")&amp;IF(N(AB41)&gt;0,", "&amp;A41&amp;"-"&amp;AB$2,"")&amp;IF(N(AC41)&gt;0,", "&amp;A41&amp;"-"&amp;AC$2,"")&amp;IF(N(AD41)&gt;0,", "&amp;A41&amp;"-"&amp;AD$2,"")&amp;IF(N(AE41)&gt;0,", "&amp;A41&amp;"-"&amp;AE$2,"")&amp;IF(N(AF41)&gt;0,", "&amp;A41&amp;"-"&amp;AF$2,"")&amp;IF(N(AG41)&gt;0,", "&amp;A41&amp;"-"&amp;AG$2,"")&amp;IF(N(AH41)&gt;0,", "&amp;A41&amp;"-"&amp;AH$2,"")&amp;IF(N(AI41)&gt;0,", "&amp;A41&amp;"-"&amp;AI$2,"")&amp;IF(N(AJ41)&gt;0,", "&amp;A41&amp;"-"&amp;AJ$2,""),3,999))</f>
        <v/>
      </c>
      <c r="AN41" s="81"/>
      <c r="AO41" s="88"/>
      <c r="AP41" s="89" t="str">
        <f aca="false">IF(AO41="","",ROUND(AO41/(1+Справочники!$B$13),2))</f>
        <v/>
      </c>
      <c r="AQ41" s="90" t="str">
        <f aca="false" t="array" ref="AQ41:AQ41">IF(AP41="","",AP41*INDEX(Справочники!$B$4:$B$7,MATCH("RUB",Справочники!$A$4:$A$7,0)))</f>
        <v/>
      </c>
      <c r="AR41" s="90" t="str">
        <f aca="false">IF(AQ41="","",ROUND(AQ41*(1+Справочники!$B$12),0))</f>
        <v/>
      </c>
      <c r="AS41" s="90" t="str">
        <f aca="false">IF(AR41="","",ROUND(AR41*(1-Справочники!$B$11),0))</f>
        <v/>
      </c>
      <c r="AT41" s="88"/>
      <c r="AU41" s="90" t="str">
        <f aca="false">IF(AT41="","",ROUND(AT41/(1+Справочники!$B$12),0))</f>
        <v/>
      </c>
      <c r="AV41" s="90" t="str">
        <f aca="false">IF(AT41="","",ROUND(AT41*(1-Справочники!$B$15),0))</f>
        <v/>
      </c>
      <c r="AW41" s="90" t="str">
        <f aca="false">IF(AT41="","",ROUND(AT41*(1-Справочники!$B$16),0))</f>
        <v/>
      </c>
      <c r="AX41" s="90" t="str">
        <f aca="false">IF(AT41="","",ROUND(AT41*(1-Справочники!$B$17),0))</f>
        <v/>
      </c>
      <c r="AY41" s="90" t="str">
        <f aca="false">IF(AT41="","",ROUND(AT41*(1-Справочники!$B$18),0))</f>
        <v/>
      </c>
      <c r="AZ41" s="90" t="str">
        <f aca="false">IF(AT41="","",ROUND(AT41*(1-Справочники!$B$19),0))</f>
        <v/>
      </c>
      <c r="BA41" s="81"/>
      <c r="BB41" s="81"/>
      <c r="BC41" s="81"/>
      <c r="BD41" s="81"/>
      <c r="BE41" s="91"/>
      <c r="BF41" s="81" t="s">
        <v>103</v>
      </c>
      <c r="BG41" s="89" t="n">
        <f aca="false" t="array" ref="BG41:BG41">IF(BF41="","",IFERROR(INDEX(Справочники!$B$4:$B$7,MATCH(BF41,Справочники!$A$4:$A$7,0)),""))</f>
        <v>68.5</v>
      </c>
      <c r="BH41" s="90" t="str">
        <f aca="false">IF(N(BN41)&gt;0,ROUND(SUMIF(ЗАКАЗЫ!$F$3:$F$500,$A41,ЗАКАЗЫ!$Y$3:$Y$500)/BN41,0),IF(OR(BE41="",BG41=""),"",ROUND(BE41*BG41*(1+Справочники!$B$10),0)))</f>
        <v/>
      </c>
      <c r="BI41" s="92" t="str">
        <f aca="false">IF(OR(AU41="",BH41="",AU41=0),"",(AU41-BH41)/AU41)</f>
        <v/>
      </c>
      <c r="BJ41" s="81"/>
      <c r="BK41" s="83"/>
      <c r="BL41" s="43" t="str">
        <f aca="false">IFERROR(INDEX(ЗАКАЗЫ!$N$3:$N$500,MATCH($A41,ЗАКАЗЫ!$F$3:$F$500,0)),"")</f>
        <v/>
      </c>
      <c r="BM41" s="8" t="str">
        <f aca="false">IF(BL41="","",IFERROR(VLOOKUP(BL41,'ТН ВЭД'!$A$4:$C$40,3,0),""))</f>
        <v/>
      </c>
      <c r="BN41" s="7" t="str">
        <f aca="false">IF(COUNTIF(ЗАКАЗЫ!$F$3:$F$500,$A41)=0,"",SUMIF(ЗАКАЗЫ!$F$3:$F$500,$A41,ЗАКАЗЫ!$J$3:$J$500))</f>
        <v/>
      </c>
      <c r="BO41" s="7" t="str">
        <f aca="false">IF(BN41="","",SUMIF(ЗАКАЗЫ!$F$3:$F$500,$A41,ЗАКАЗЫ!$AL$3:$AL$500))</f>
        <v/>
      </c>
      <c r="BP41" s="7" t="str">
        <f aca="false">IF(BN41="","",BN41-BO41)</f>
        <v/>
      </c>
      <c r="BQ41" s="55" t="str">
        <f aca="false">IF(BN41="","",IF(BO41&gt;=BN41,"На складе",IF(BO41&gt;0,"Частично","Ждём")))</f>
        <v/>
      </c>
      <c r="BR41" s="43"/>
      <c r="BS41" s="47" t="str">
        <f aca="false">IF(BN41="","",IF(_xlfn.MAXIFS(ЗАКАЗЫ!$AK$3:$AK$500,ЗАКАЗЫ!$F$3:$F$500,$A41)=0,"",_xlfn.MAXIFS(ЗАКАЗЫ!$AK$3:$AK$500,ЗАКАЗЫ!$F$3:$F$500,$A41)))</f>
        <v/>
      </c>
    </row>
    <row r="42" customFormat="false" ht="15.75" hidden="false" customHeight="true" outlineLevel="0" collapsed="false">
      <c r="A42" s="80" t="s">
        <v>874</v>
      </c>
      <c r="B42" s="81"/>
      <c r="C42" s="81"/>
      <c r="D42" s="81"/>
      <c r="E42" s="83"/>
      <c r="F42" s="81"/>
      <c r="G42" s="83"/>
      <c r="H42" s="83"/>
      <c r="I42" s="84" t="str">
        <f aca="false">IF(E42="","",A42&amp;"_1.jpg")</f>
        <v/>
      </c>
      <c r="J42" s="84" t="str">
        <f aca="false">IF(E42="","",A42&amp;"_2.jpg; "&amp;A42&amp;"_3.jpg")</f>
        <v/>
      </c>
      <c r="K42" s="84" t="str">
        <f aca="false">IF(E42="","",A42&amp;"_schema.jpg")</f>
        <v/>
      </c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 t="s">
        <v>96</v>
      </c>
      <c r="W42" s="81"/>
      <c r="X42" s="81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6" t="str">
        <f aca="false">IF(SUM(Y42:AJ42)=0,"",SUM(Y42:AJ42))</f>
        <v/>
      </c>
      <c r="AL42" s="84" t="str">
        <f aca="false">MID(IF(N(Y42)&gt;0,", "&amp;Y$2,"")&amp;IF(N(Z42)&gt;0,", "&amp;Z$2,"")&amp;IF(N(AA42)&gt;0,", "&amp;AA$2,"")&amp;IF(N(AB42)&gt;0,", "&amp;AB$2,"")&amp;IF(N(AC42)&gt;0,", "&amp;AC$2,"")&amp;IF(N(AD42)&gt;0,", "&amp;AD$2,"")&amp;IF(N(AE42)&gt;0,", "&amp;AE$2,"")&amp;IF(N(AF42)&gt;0,", "&amp;AF$2,"")&amp;IF(N(AG42)&gt;0,", "&amp;AG$2,"")&amp;IF(N(AH42)&gt;0,", "&amp;AH$2,"")&amp;IF(N(AI42)&gt;0,", "&amp;AI$2,"")&amp;IF(N(AJ42)&gt;0,", "&amp;AJ$2,""),3,999)</f>
        <v/>
      </c>
      <c r="AM42" s="87" t="str">
        <f aca="false">IF(E42="","",MID(IF(N(Y42)&gt;0,", "&amp;A42&amp;"-"&amp;Y$2,"")&amp;IF(N(Z42)&gt;0,", "&amp;A42&amp;"-"&amp;Z$2,"")&amp;IF(N(AA42)&gt;0,", "&amp;A42&amp;"-"&amp;AA$2,"")&amp;IF(N(AB42)&gt;0,", "&amp;A42&amp;"-"&amp;AB$2,"")&amp;IF(N(AC42)&gt;0,", "&amp;A42&amp;"-"&amp;AC$2,"")&amp;IF(N(AD42)&gt;0,", "&amp;A42&amp;"-"&amp;AD$2,"")&amp;IF(N(AE42)&gt;0,", "&amp;A42&amp;"-"&amp;AE$2,"")&amp;IF(N(AF42)&gt;0,", "&amp;A42&amp;"-"&amp;AF$2,"")&amp;IF(N(AG42)&gt;0,", "&amp;A42&amp;"-"&amp;AG$2,"")&amp;IF(N(AH42)&gt;0,", "&amp;A42&amp;"-"&amp;AH$2,"")&amp;IF(N(AI42)&gt;0,", "&amp;A42&amp;"-"&amp;AI$2,"")&amp;IF(N(AJ42)&gt;0,", "&amp;A42&amp;"-"&amp;AJ$2,""),3,999))</f>
        <v/>
      </c>
      <c r="AN42" s="81"/>
      <c r="AO42" s="88"/>
      <c r="AP42" s="89" t="str">
        <f aca="false">IF(AO42="","",ROUND(AO42/(1+Справочники!$B$13),2))</f>
        <v/>
      </c>
      <c r="AQ42" s="90" t="str">
        <f aca="false" t="array" ref="AQ42:AQ42">IF(AP42="","",AP42*INDEX(Справочники!$B$4:$B$7,MATCH("RUB",Справочники!$A$4:$A$7,0)))</f>
        <v/>
      </c>
      <c r="AR42" s="90" t="str">
        <f aca="false">IF(AQ42="","",ROUND(AQ42*(1+Справочники!$B$12),0))</f>
        <v/>
      </c>
      <c r="AS42" s="90" t="str">
        <f aca="false">IF(AR42="","",ROUND(AR42*(1-Справочники!$B$11),0))</f>
        <v/>
      </c>
      <c r="AT42" s="88"/>
      <c r="AU42" s="90" t="str">
        <f aca="false">IF(AT42="","",ROUND(AT42/(1+Справочники!$B$12),0))</f>
        <v/>
      </c>
      <c r="AV42" s="90" t="str">
        <f aca="false">IF(AT42="","",ROUND(AT42*(1-Справочники!$B$15),0))</f>
        <v/>
      </c>
      <c r="AW42" s="90" t="str">
        <f aca="false">IF(AT42="","",ROUND(AT42*(1-Справочники!$B$16),0))</f>
        <v/>
      </c>
      <c r="AX42" s="90" t="str">
        <f aca="false">IF(AT42="","",ROUND(AT42*(1-Справочники!$B$17),0))</f>
        <v/>
      </c>
      <c r="AY42" s="90" t="str">
        <f aca="false">IF(AT42="","",ROUND(AT42*(1-Справочники!$B$18),0))</f>
        <v/>
      </c>
      <c r="AZ42" s="90" t="str">
        <f aca="false">IF(AT42="","",ROUND(AT42*(1-Справочники!$B$19),0))</f>
        <v/>
      </c>
      <c r="BA42" s="81"/>
      <c r="BB42" s="81"/>
      <c r="BC42" s="81"/>
      <c r="BD42" s="81"/>
      <c r="BE42" s="91"/>
      <c r="BF42" s="81" t="s">
        <v>103</v>
      </c>
      <c r="BG42" s="89" t="n">
        <f aca="false" t="array" ref="BG42:BG42">IF(BF42="","",IFERROR(INDEX(Справочники!$B$4:$B$7,MATCH(BF42,Справочники!$A$4:$A$7,0)),""))</f>
        <v>68.5</v>
      </c>
      <c r="BH42" s="90" t="str">
        <f aca="false">IF(N(BN42)&gt;0,ROUND(SUMIF(ЗАКАЗЫ!$F$3:$F$500,$A42,ЗАКАЗЫ!$Y$3:$Y$500)/BN42,0),IF(OR(BE42="",BG42=""),"",ROUND(BE42*BG42*(1+Справочники!$B$10),0)))</f>
        <v/>
      </c>
      <c r="BI42" s="92" t="str">
        <f aca="false">IF(OR(AU42="",BH42="",AU42=0),"",(AU42-BH42)/AU42)</f>
        <v/>
      </c>
      <c r="BJ42" s="81"/>
      <c r="BK42" s="83"/>
      <c r="BL42" s="43" t="str">
        <f aca="false">IFERROR(INDEX(ЗАКАЗЫ!$N$3:$N$500,MATCH($A42,ЗАКАЗЫ!$F$3:$F$500,0)),"")</f>
        <v/>
      </c>
      <c r="BM42" s="8" t="str">
        <f aca="false">IF(BL42="","",IFERROR(VLOOKUP(BL42,'ТН ВЭД'!$A$4:$C$40,3,0),""))</f>
        <v/>
      </c>
      <c r="BN42" s="7" t="str">
        <f aca="false">IF(COUNTIF(ЗАКАЗЫ!$F$3:$F$500,$A42)=0,"",SUMIF(ЗАКАЗЫ!$F$3:$F$500,$A42,ЗАКАЗЫ!$J$3:$J$500))</f>
        <v/>
      </c>
      <c r="BO42" s="7" t="str">
        <f aca="false">IF(BN42="","",SUMIF(ЗАКАЗЫ!$F$3:$F$500,$A42,ЗАКАЗЫ!$AL$3:$AL$500))</f>
        <v/>
      </c>
      <c r="BP42" s="7" t="str">
        <f aca="false">IF(BN42="","",BN42-BO42)</f>
        <v/>
      </c>
      <c r="BQ42" s="55" t="str">
        <f aca="false">IF(BN42="","",IF(BO42&gt;=BN42,"На складе",IF(BO42&gt;0,"Частично","Ждём")))</f>
        <v/>
      </c>
      <c r="BR42" s="43"/>
      <c r="BS42" s="47" t="str">
        <f aca="false">IF(BN42="","",IF(_xlfn.MAXIFS(ЗАКАЗЫ!$AK$3:$AK$500,ЗАКАЗЫ!$F$3:$F$500,$A42)=0,"",_xlfn.MAXIFS(ЗАКАЗЫ!$AK$3:$AK$500,ЗАКАЗЫ!$F$3:$F$500,$A42)))</f>
        <v/>
      </c>
    </row>
    <row r="43" customFormat="false" ht="15.75" hidden="false" customHeight="true" outlineLevel="0" collapsed="false">
      <c r="A43" s="80" t="s">
        <v>875</v>
      </c>
      <c r="B43" s="81"/>
      <c r="C43" s="81"/>
      <c r="D43" s="81"/>
      <c r="E43" s="83"/>
      <c r="F43" s="81"/>
      <c r="G43" s="83"/>
      <c r="H43" s="83"/>
      <c r="I43" s="84" t="str">
        <f aca="false">IF(E43="","",A43&amp;"_1.jpg")</f>
        <v/>
      </c>
      <c r="J43" s="84" t="str">
        <f aca="false">IF(E43="","",A43&amp;"_2.jpg; "&amp;A43&amp;"_3.jpg")</f>
        <v/>
      </c>
      <c r="K43" s="84" t="str">
        <f aca="false">IF(E43="","",A43&amp;"_schema.jpg")</f>
        <v/>
      </c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 t="s">
        <v>96</v>
      </c>
      <c r="W43" s="81"/>
      <c r="X43" s="81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6" t="str">
        <f aca="false">IF(SUM(Y43:AJ43)=0,"",SUM(Y43:AJ43))</f>
        <v/>
      </c>
      <c r="AL43" s="84" t="str">
        <f aca="false">MID(IF(N(Y43)&gt;0,", "&amp;Y$2,"")&amp;IF(N(Z43)&gt;0,", "&amp;Z$2,"")&amp;IF(N(AA43)&gt;0,", "&amp;AA$2,"")&amp;IF(N(AB43)&gt;0,", "&amp;AB$2,"")&amp;IF(N(AC43)&gt;0,", "&amp;AC$2,"")&amp;IF(N(AD43)&gt;0,", "&amp;AD$2,"")&amp;IF(N(AE43)&gt;0,", "&amp;AE$2,"")&amp;IF(N(AF43)&gt;0,", "&amp;AF$2,"")&amp;IF(N(AG43)&gt;0,", "&amp;AG$2,"")&amp;IF(N(AH43)&gt;0,", "&amp;AH$2,"")&amp;IF(N(AI43)&gt;0,", "&amp;AI$2,"")&amp;IF(N(AJ43)&gt;0,", "&amp;AJ$2,""),3,999)</f>
        <v/>
      </c>
      <c r="AM43" s="87" t="str">
        <f aca="false">IF(E43="","",MID(IF(N(Y43)&gt;0,", "&amp;A43&amp;"-"&amp;Y$2,"")&amp;IF(N(Z43)&gt;0,", "&amp;A43&amp;"-"&amp;Z$2,"")&amp;IF(N(AA43)&gt;0,", "&amp;A43&amp;"-"&amp;AA$2,"")&amp;IF(N(AB43)&gt;0,", "&amp;A43&amp;"-"&amp;AB$2,"")&amp;IF(N(AC43)&gt;0,", "&amp;A43&amp;"-"&amp;AC$2,"")&amp;IF(N(AD43)&gt;0,", "&amp;A43&amp;"-"&amp;AD$2,"")&amp;IF(N(AE43)&gt;0,", "&amp;A43&amp;"-"&amp;AE$2,"")&amp;IF(N(AF43)&gt;0,", "&amp;A43&amp;"-"&amp;AF$2,"")&amp;IF(N(AG43)&gt;0,", "&amp;A43&amp;"-"&amp;AG$2,"")&amp;IF(N(AH43)&gt;0,", "&amp;A43&amp;"-"&amp;AH$2,"")&amp;IF(N(AI43)&gt;0,", "&amp;A43&amp;"-"&amp;AI$2,"")&amp;IF(N(AJ43)&gt;0,", "&amp;A43&amp;"-"&amp;AJ$2,""),3,999))</f>
        <v/>
      </c>
      <c r="AN43" s="81"/>
      <c r="AO43" s="88"/>
      <c r="AP43" s="89" t="str">
        <f aca="false">IF(AO43="","",ROUND(AO43/(1+Справочники!$B$13),2))</f>
        <v/>
      </c>
      <c r="AQ43" s="90" t="str">
        <f aca="false" t="array" ref="AQ43:AQ43">IF(AP43="","",AP43*INDEX(Справочники!$B$4:$B$7,MATCH("RUB",Справочники!$A$4:$A$7,0)))</f>
        <v/>
      </c>
      <c r="AR43" s="90" t="str">
        <f aca="false">IF(AQ43="","",ROUND(AQ43*(1+Справочники!$B$12),0))</f>
        <v/>
      </c>
      <c r="AS43" s="90" t="str">
        <f aca="false">IF(AR43="","",ROUND(AR43*(1-Справочники!$B$11),0))</f>
        <v/>
      </c>
      <c r="AT43" s="88"/>
      <c r="AU43" s="90" t="str">
        <f aca="false">IF(AT43="","",ROUND(AT43/(1+Справочники!$B$12),0))</f>
        <v/>
      </c>
      <c r="AV43" s="90" t="str">
        <f aca="false">IF(AT43="","",ROUND(AT43*(1-Справочники!$B$15),0))</f>
        <v/>
      </c>
      <c r="AW43" s="90" t="str">
        <f aca="false">IF(AT43="","",ROUND(AT43*(1-Справочники!$B$16),0))</f>
        <v/>
      </c>
      <c r="AX43" s="90" t="str">
        <f aca="false">IF(AT43="","",ROUND(AT43*(1-Справочники!$B$17),0))</f>
        <v/>
      </c>
      <c r="AY43" s="90" t="str">
        <f aca="false">IF(AT43="","",ROUND(AT43*(1-Справочники!$B$18),0))</f>
        <v/>
      </c>
      <c r="AZ43" s="90" t="str">
        <f aca="false">IF(AT43="","",ROUND(AT43*(1-Справочники!$B$19),0))</f>
        <v/>
      </c>
      <c r="BA43" s="81"/>
      <c r="BB43" s="81"/>
      <c r="BC43" s="81"/>
      <c r="BD43" s="81"/>
      <c r="BE43" s="91"/>
      <c r="BF43" s="81" t="s">
        <v>103</v>
      </c>
      <c r="BG43" s="89" t="n">
        <f aca="false" t="array" ref="BG43:BG43">IF(BF43="","",IFERROR(INDEX(Справочники!$B$4:$B$7,MATCH(BF43,Справочники!$A$4:$A$7,0)),""))</f>
        <v>68.5</v>
      </c>
      <c r="BH43" s="90" t="str">
        <f aca="false">IF(N(BN43)&gt;0,ROUND(SUMIF(ЗАКАЗЫ!$F$3:$F$500,$A43,ЗАКАЗЫ!$Y$3:$Y$500)/BN43,0),IF(OR(BE43="",BG43=""),"",ROUND(BE43*BG43*(1+Справочники!$B$10),0)))</f>
        <v/>
      </c>
      <c r="BI43" s="92" t="str">
        <f aca="false">IF(OR(AU43="",BH43="",AU43=0),"",(AU43-BH43)/AU43)</f>
        <v/>
      </c>
      <c r="BJ43" s="81"/>
      <c r="BK43" s="83"/>
      <c r="BL43" s="43" t="str">
        <f aca="false">IFERROR(INDEX(ЗАКАЗЫ!$N$3:$N$500,MATCH($A43,ЗАКАЗЫ!$F$3:$F$500,0)),"")</f>
        <v/>
      </c>
      <c r="BM43" s="8" t="str">
        <f aca="false">IF(BL43="","",IFERROR(VLOOKUP(BL43,'ТН ВЭД'!$A$4:$C$40,3,0),""))</f>
        <v/>
      </c>
      <c r="BN43" s="7" t="str">
        <f aca="false">IF(COUNTIF(ЗАКАЗЫ!$F$3:$F$500,$A43)=0,"",SUMIF(ЗАКАЗЫ!$F$3:$F$500,$A43,ЗАКАЗЫ!$J$3:$J$500))</f>
        <v/>
      </c>
      <c r="BO43" s="7" t="str">
        <f aca="false">IF(BN43="","",SUMIF(ЗАКАЗЫ!$F$3:$F$500,$A43,ЗАКАЗЫ!$AL$3:$AL$500))</f>
        <v/>
      </c>
      <c r="BP43" s="7" t="str">
        <f aca="false">IF(BN43="","",BN43-BO43)</f>
        <v/>
      </c>
      <c r="BQ43" s="55" t="str">
        <f aca="false">IF(BN43="","",IF(BO43&gt;=BN43,"На складе",IF(BO43&gt;0,"Частично","Ждём")))</f>
        <v/>
      </c>
      <c r="BR43" s="43"/>
      <c r="BS43" s="47" t="str">
        <f aca="false">IF(BN43="","",IF(_xlfn.MAXIFS(ЗАКАЗЫ!$AK$3:$AK$500,ЗАКАЗЫ!$F$3:$F$500,$A43)=0,"",_xlfn.MAXIFS(ЗАКАЗЫ!$AK$3:$AK$500,ЗАКАЗЫ!$F$3:$F$500,$A43)))</f>
        <v/>
      </c>
    </row>
    <row r="44" customFormat="false" ht="15.75" hidden="false" customHeight="true" outlineLevel="0" collapsed="false">
      <c r="A44" s="80" t="s">
        <v>876</v>
      </c>
      <c r="B44" s="81"/>
      <c r="C44" s="81"/>
      <c r="D44" s="81"/>
      <c r="E44" s="83"/>
      <c r="F44" s="81"/>
      <c r="G44" s="83"/>
      <c r="H44" s="83"/>
      <c r="I44" s="84" t="str">
        <f aca="false">IF(E44="","",A44&amp;"_1.jpg")</f>
        <v/>
      </c>
      <c r="J44" s="84" t="str">
        <f aca="false">IF(E44="","",A44&amp;"_2.jpg; "&amp;A44&amp;"_3.jpg")</f>
        <v/>
      </c>
      <c r="K44" s="84" t="str">
        <f aca="false">IF(E44="","",A44&amp;"_schema.jpg")</f>
        <v/>
      </c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 t="s">
        <v>96</v>
      </c>
      <c r="W44" s="81"/>
      <c r="X44" s="81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6" t="str">
        <f aca="false">IF(SUM(Y44:AJ44)=0,"",SUM(Y44:AJ44))</f>
        <v/>
      </c>
      <c r="AL44" s="84" t="str">
        <f aca="false">MID(IF(N(Y44)&gt;0,", "&amp;Y$2,"")&amp;IF(N(Z44)&gt;0,", "&amp;Z$2,"")&amp;IF(N(AA44)&gt;0,", "&amp;AA$2,"")&amp;IF(N(AB44)&gt;0,", "&amp;AB$2,"")&amp;IF(N(AC44)&gt;0,", "&amp;AC$2,"")&amp;IF(N(AD44)&gt;0,", "&amp;AD$2,"")&amp;IF(N(AE44)&gt;0,", "&amp;AE$2,"")&amp;IF(N(AF44)&gt;0,", "&amp;AF$2,"")&amp;IF(N(AG44)&gt;0,", "&amp;AG$2,"")&amp;IF(N(AH44)&gt;0,", "&amp;AH$2,"")&amp;IF(N(AI44)&gt;0,", "&amp;AI$2,"")&amp;IF(N(AJ44)&gt;0,", "&amp;AJ$2,""),3,999)</f>
        <v/>
      </c>
      <c r="AM44" s="87" t="str">
        <f aca="false">IF(E44="","",MID(IF(N(Y44)&gt;0,", "&amp;A44&amp;"-"&amp;Y$2,"")&amp;IF(N(Z44)&gt;0,", "&amp;A44&amp;"-"&amp;Z$2,"")&amp;IF(N(AA44)&gt;0,", "&amp;A44&amp;"-"&amp;AA$2,"")&amp;IF(N(AB44)&gt;0,", "&amp;A44&amp;"-"&amp;AB$2,"")&amp;IF(N(AC44)&gt;0,", "&amp;A44&amp;"-"&amp;AC$2,"")&amp;IF(N(AD44)&gt;0,", "&amp;A44&amp;"-"&amp;AD$2,"")&amp;IF(N(AE44)&gt;0,", "&amp;A44&amp;"-"&amp;AE$2,"")&amp;IF(N(AF44)&gt;0,", "&amp;A44&amp;"-"&amp;AF$2,"")&amp;IF(N(AG44)&gt;0,", "&amp;A44&amp;"-"&amp;AG$2,"")&amp;IF(N(AH44)&gt;0,", "&amp;A44&amp;"-"&amp;AH$2,"")&amp;IF(N(AI44)&gt;0,", "&amp;A44&amp;"-"&amp;AI$2,"")&amp;IF(N(AJ44)&gt;0,", "&amp;A44&amp;"-"&amp;AJ$2,""),3,999))</f>
        <v/>
      </c>
      <c r="AN44" s="81"/>
      <c r="AO44" s="88"/>
      <c r="AP44" s="89" t="str">
        <f aca="false">IF(AO44="","",ROUND(AO44/(1+Справочники!$B$13),2))</f>
        <v/>
      </c>
      <c r="AQ44" s="90" t="str">
        <f aca="false" t="array" ref="AQ44:AQ44">IF(AP44="","",AP44*INDEX(Справочники!$B$4:$B$7,MATCH("RUB",Справочники!$A$4:$A$7,0)))</f>
        <v/>
      </c>
      <c r="AR44" s="90" t="str">
        <f aca="false">IF(AQ44="","",ROUND(AQ44*(1+Справочники!$B$12),0))</f>
        <v/>
      </c>
      <c r="AS44" s="90" t="str">
        <f aca="false">IF(AR44="","",ROUND(AR44*(1-Справочники!$B$11),0))</f>
        <v/>
      </c>
      <c r="AT44" s="88"/>
      <c r="AU44" s="90" t="str">
        <f aca="false">IF(AT44="","",ROUND(AT44/(1+Справочники!$B$12),0))</f>
        <v/>
      </c>
      <c r="AV44" s="90" t="str">
        <f aca="false">IF(AT44="","",ROUND(AT44*(1-Справочники!$B$15),0))</f>
        <v/>
      </c>
      <c r="AW44" s="90" t="str">
        <f aca="false">IF(AT44="","",ROUND(AT44*(1-Справочники!$B$16),0))</f>
        <v/>
      </c>
      <c r="AX44" s="90" t="str">
        <f aca="false">IF(AT44="","",ROUND(AT44*(1-Справочники!$B$17),0))</f>
        <v/>
      </c>
      <c r="AY44" s="90" t="str">
        <f aca="false">IF(AT44="","",ROUND(AT44*(1-Справочники!$B$18),0))</f>
        <v/>
      </c>
      <c r="AZ44" s="90" t="str">
        <f aca="false">IF(AT44="","",ROUND(AT44*(1-Справочники!$B$19),0))</f>
        <v/>
      </c>
      <c r="BA44" s="81"/>
      <c r="BB44" s="81"/>
      <c r="BC44" s="81"/>
      <c r="BD44" s="81"/>
      <c r="BE44" s="91"/>
      <c r="BF44" s="81" t="s">
        <v>103</v>
      </c>
      <c r="BG44" s="89" t="n">
        <f aca="false" t="array" ref="BG44:BG44">IF(BF44="","",IFERROR(INDEX(Справочники!$B$4:$B$7,MATCH(BF44,Справочники!$A$4:$A$7,0)),""))</f>
        <v>68.5</v>
      </c>
      <c r="BH44" s="90" t="str">
        <f aca="false">IF(N(BN44)&gt;0,ROUND(SUMIF(ЗАКАЗЫ!$F$3:$F$500,$A44,ЗАКАЗЫ!$Y$3:$Y$500)/BN44,0),IF(OR(BE44="",BG44=""),"",ROUND(BE44*BG44*(1+Справочники!$B$10),0)))</f>
        <v/>
      </c>
      <c r="BI44" s="92" t="str">
        <f aca="false">IF(OR(AU44="",BH44="",AU44=0),"",(AU44-BH44)/AU44)</f>
        <v/>
      </c>
      <c r="BJ44" s="81"/>
      <c r="BK44" s="83"/>
      <c r="BL44" s="43" t="str">
        <f aca="false">IFERROR(INDEX(ЗАКАЗЫ!$N$3:$N$500,MATCH($A44,ЗАКАЗЫ!$F$3:$F$500,0)),"")</f>
        <v/>
      </c>
      <c r="BM44" s="8" t="str">
        <f aca="false">IF(BL44="","",IFERROR(VLOOKUP(BL44,'ТН ВЭД'!$A$4:$C$40,3,0),""))</f>
        <v/>
      </c>
      <c r="BN44" s="7" t="str">
        <f aca="false">IF(COUNTIF(ЗАКАЗЫ!$F$3:$F$500,$A44)=0,"",SUMIF(ЗАКАЗЫ!$F$3:$F$500,$A44,ЗАКАЗЫ!$J$3:$J$500))</f>
        <v/>
      </c>
      <c r="BO44" s="7" t="str">
        <f aca="false">IF(BN44="","",SUMIF(ЗАКАЗЫ!$F$3:$F$500,$A44,ЗАКАЗЫ!$AL$3:$AL$500))</f>
        <v/>
      </c>
      <c r="BP44" s="7" t="str">
        <f aca="false">IF(BN44="","",BN44-BO44)</f>
        <v/>
      </c>
      <c r="BQ44" s="55" t="str">
        <f aca="false">IF(BN44="","",IF(BO44&gt;=BN44,"На складе",IF(BO44&gt;0,"Частично","Ждём")))</f>
        <v/>
      </c>
      <c r="BR44" s="43"/>
      <c r="BS44" s="47" t="str">
        <f aca="false">IF(BN44="","",IF(_xlfn.MAXIFS(ЗАКАЗЫ!$AK$3:$AK$500,ЗАКАЗЫ!$F$3:$F$500,$A44)=0,"",_xlfn.MAXIFS(ЗАКАЗЫ!$AK$3:$AK$500,ЗАКАЗЫ!$F$3:$F$500,$A44)))</f>
        <v/>
      </c>
    </row>
    <row r="45" customFormat="false" ht="15.75" hidden="false" customHeight="true" outlineLevel="0" collapsed="false">
      <c r="A45" s="80" t="s">
        <v>877</v>
      </c>
      <c r="B45" s="81"/>
      <c r="C45" s="81"/>
      <c r="D45" s="81"/>
      <c r="E45" s="83"/>
      <c r="F45" s="81"/>
      <c r="G45" s="83"/>
      <c r="H45" s="83"/>
      <c r="I45" s="84" t="str">
        <f aca="false">IF(E45="","",A45&amp;"_1.jpg")</f>
        <v/>
      </c>
      <c r="J45" s="84" t="str">
        <f aca="false">IF(E45="","",A45&amp;"_2.jpg; "&amp;A45&amp;"_3.jpg")</f>
        <v/>
      </c>
      <c r="K45" s="84" t="str">
        <f aca="false">IF(E45="","",A45&amp;"_schema.jpg")</f>
        <v/>
      </c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 t="s">
        <v>96</v>
      </c>
      <c r="W45" s="81"/>
      <c r="X45" s="81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6" t="str">
        <f aca="false">IF(SUM(Y45:AJ45)=0,"",SUM(Y45:AJ45))</f>
        <v/>
      </c>
      <c r="AL45" s="84" t="str">
        <f aca="false">MID(IF(N(Y45)&gt;0,", "&amp;Y$2,"")&amp;IF(N(Z45)&gt;0,", "&amp;Z$2,"")&amp;IF(N(AA45)&gt;0,", "&amp;AA$2,"")&amp;IF(N(AB45)&gt;0,", "&amp;AB$2,"")&amp;IF(N(AC45)&gt;0,", "&amp;AC$2,"")&amp;IF(N(AD45)&gt;0,", "&amp;AD$2,"")&amp;IF(N(AE45)&gt;0,", "&amp;AE$2,"")&amp;IF(N(AF45)&gt;0,", "&amp;AF$2,"")&amp;IF(N(AG45)&gt;0,", "&amp;AG$2,"")&amp;IF(N(AH45)&gt;0,", "&amp;AH$2,"")&amp;IF(N(AI45)&gt;0,", "&amp;AI$2,"")&amp;IF(N(AJ45)&gt;0,", "&amp;AJ$2,""),3,999)</f>
        <v/>
      </c>
      <c r="AM45" s="87" t="str">
        <f aca="false">IF(E45="","",MID(IF(N(Y45)&gt;0,", "&amp;A45&amp;"-"&amp;Y$2,"")&amp;IF(N(Z45)&gt;0,", "&amp;A45&amp;"-"&amp;Z$2,"")&amp;IF(N(AA45)&gt;0,", "&amp;A45&amp;"-"&amp;AA$2,"")&amp;IF(N(AB45)&gt;0,", "&amp;A45&amp;"-"&amp;AB$2,"")&amp;IF(N(AC45)&gt;0,", "&amp;A45&amp;"-"&amp;AC$2,"")&amp;IF(N(AD45)&gt;0,", "&amp;A45&amp;"-"&amp;AD$2,"")&amp;IF(N(AE45)&gt;0,", "&amp;A45&amp;"-"&amp;AE$2,"")&amp;IF(N(AF45)&gt;0,", "&amp;A45&amp;"-"&amp;AF$2,"")&amp;IF(N(AG45)&gt;0,", "&amp;A45&amp;"-"&amp;AG$2,"")&amp;IF(N(AH45)&gt;0,", "&amp;A45&amp;"-"&amp;AH$2,"")&amp;IF(N(AI45)&gt;0,", "&amp;A45&amp;"-"&amp;AI$2,"")&amp;IF(N(AJ45)&gt;0,", "&amp;A45&amp;"-"&amp;AJ$2,""),3,999))</f>
        <v/>
      </c>
      <c r="AN45" s="81"/>
      <c r="AO45" s="88"/>
      <c r="AP45" s="89" t="str">
        <f aca="false">IF(AO45="","",ROUND(AO45/(1+Справочники!$B$13),2))</f>
        <v/>
      </c>
      <c r="AQ45" s="90" t="str">
        <f aca="false" t="array" ref="AQ45:AQ45">IF(AP45="","",AP45*INDEX(Справочники!$B$4:$B$7,MATCH("RUB",Справочники!$A$4:$A$7,0)))</f>
        <v/>
      </c>
      <c r="AR45" s="90" t="str">
        <f aca="false">IF(AQ45="","",ROUND(AQ45*(1+Справочники!$B$12),0))</f>
        <v/>
      </c>
      <c r="AS45" s="90" t="str">
        <f aca="false">IF(AR45="","",ROUND(AR45*(1-Справочники!$B$11),0))</f>
        <v/>
      </c>
      <c r="AT45" s="88"/>
      <c r="AU45" s="90" t="str">
        <f aca="false">IF(AT45="","",ROUND(AT45/(1+Справочники!$B$12),0))</f>
        <v/>
      </c>
      <c r="AV45" s="90" t="str">
        <f aca="false">IF(AT45="","",ROUND(AT45*(1-Справочники!$B$15),0))</f>
        <v/>
      </c>
      <c r="AW45" s="90" t="str">
        <f aca="false">IF(AT45="","",ROUND(AT45*(1-Справочники!$B$16),0))</f>
        <v/>
      </c>
      <c r="AX45" s="90" t="str">
        <f aca="false">IF(AT45="","",ROUND(AT45*(1-Справочники!$B$17),0))</f>
        <v/>
      </c>
      <c r="AY45" s="90" t="str">
        <f aca="false">IF(AT45="","",ROUND(AT45*(1-Справочники!$B$18),0))</f>
        <v/>
      </c>
      <c r="AZ45" s="90" t="str">
        <f aca="false">IF(AT45="","",ROUND(AT45*(1-Справочники!$B$19),0))</f>
        <v/>
      </c>
      <c r="BA45" s="81"/>
      <c r="BB45" s="81"/>
      <c r="BC45" s="81"/>
      <c r="BD45" s="81"/>
      <c r="BE45" s="91"/>
      <c r="BF45" s="81" t="s">
        <v>103</v>
      </c>
      <c r="BG45" s="89" t="n">
        <f aca="false" t="array" ref="BG45:BG45">IF(BF45="","",IFERROR(INDEX(Справочники!$B$4:$B$7,MATCH(BF45,Справочники!$A$4:$A$7,0)),""))</f>
        <v>68.5</v>
      </c>
      <c r="BH45" s="90" t="str">
        <f aca="false">IF(N(BN45)&gt;0,ROUND(SUMIF(ЗАКАЗЫ!$F$3:$F$500,$A45,ЗАКАЗЫ!$Y$3:$Y$500)/BN45,0),IF(OR(BE45="",BG45=""),"",ROUND(BE45*BG45*(1+Справочники!$B$10),0)))</f>
        <v/>
      </c>
      <c r="BI45" s="92" t="str">
        <f aca="false">IF(OR(AU45="",BH45="",AU45=0),"",(AU45-BH45)/AU45)</f>
        <v/>
      </c>
      <c r="BJ45" s="81"/>
      <c r="BK45" s="83"/>
      <c r="BL45" s="43" t="str">
        <f aca="false">IFERROR(INDEX(ЗАКАЗЫ!$N$3:$N$500,MATCH($A45,ЗАКАЗЫ!$F$3:$F$500,0)),"")</f>
        <v/>
      </c>
      <c r="BM45" s="8" t="str">
        <f aca="false">IF(BL45="","",IFERROR(VLOOKUP(BL45,'ТН ВЭД'!$A$4:$C$40,3,0),""))</f>
        <v/>
      </c>
      <c r="BN45" s="7" t="str">
        <f aca="false">IF(COUNTIF(ЗАКАЗЫ!$F$3:$F$500,$A45)=0,"",SUMIF(ЗАКАЗЫ!$F$3:$F$500,$A45,ЗАКАЗЫ!$J$3:$J$500))</f>
        <v/>
      </c>
      <c r="BO45" s="7" t="str">
        <f aca="false">IF(BN45="","",SUMIF(ЗАКАЗЫ!$F$3:$F$500,$A45,ЗАКАЗЫ!$AL$3:$AL$500))</f>
        <v/>
      </c>
      <c r="BP45" s="7" t="str">
        <f aca="false">IF(BN45="","",BN45-BO45)</f>
        <v/>
      </c>
      <c r="BQ45" s="55" t="str">
        <f aca="false">IF(BN45="","",IF(BO45&gt;=BN45,"На складе",IF(BO45&gt;0,"Частично","Ждём")))</f>
        <v/>
      </c>
      <c r="BR45" s="43"/>
      <c r="BS45" s="47" t="str">
        <f aca="false">IF(BN45="","",IF(_xlfn.MAXIFS(ЗАКАЗЫ!$AK$3:$AK$500,ЗАКАЗЫ!$F$3:$F$500,$A45)=0,"",_xlfn.MAXIFS(ЗАКАЗЫ!$AK$3:$AK$500,ЗАКАЗЫ!$F$3:$F$500,$A45)))</f>
        <v/>
      </c>
    </row>
    <row r="46" customFormat="false" ht="15.75" hidden="false" customHeight="true" outlineLevel="0" collapsed="false">
      <c r="A46" s="80" t="s">
        <v>878</v>
      </c>
      <c r="B46" s="81"/>
      <c r="C46" s="81"/>
      <c r="D46" s="81"/>
      <c r="E46" s="83"/>
      <c r="F46" s="81"/>
      <c r="G46" s="83"/>
      <c r="H46" s="83"/>
      <c r="I46" s="84" t="str">
        <f aca="false">IF(E46="","",A46&amp;"_1.jpg")</f>
        <v/>
      </c>
      <c r="J46" s="84" t="str">
        <f aca="false">IF(E46="","",A46&amp;"_2.jpg; "&amp;A46&amp;"_3.jpg")</f>
        <v/>
      </c>
      <c r="K46" s="84" t="str">
        <f aca="false">IF(E46="","",A46&amp;"_schema.jpg")</f>
        <v/>
      </c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 t="s">
        <v>96</v>
      </c>
      <c r="W46" s="81"/>
      <c r="X46" s="81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6" t="str">
        <f aca="false">IF(SUM(Y46:AJ46)=0,"",SUM(Y46:AJ46))</f>
        <v/>
      </c>
      <c r="AL46" s="84" t="str">
        <f aca="false">MID(IF(N(Y46)&gt;0,", "&amp;Y$2,"")&amp;IF(N(Z46)&gt;0,", "&amp;Z$2,"")&amp;IF(N(AA46)&gt;0,", "&amp;AA$2,"")&amp;IF(N(AB46)&gt;0,", "&amp;AB$2,"")&amp;IF(N(AC46)&gt;0,", "&amp;AC$2,"")&amp;IF(N(AD46)&gt;0,", "&amp;AD$2,"")&amp;IF(N(AE46)&gt;0,", "&amp;AE$2,"")&amp;IF(N(AF46)&gt;0,", "&amp;AF$2,"")&amp;IF(N(AG46)&gt;0,", "&amp;AG$2,"")&amp;IF(N(AH46)&gt;0,", "&amp;AH$2,"")&amp;IF(N(AI46)&gt;0,", "&amp;AI$2,"")&amp;IF(N(AJ46)&gt;0,", "&amp;AJ$2,""),3,999)</f>
        <v/>
      </c>
      <c r="AM46" s="87" t="str">
        <f aca="false">IF(E46="","",MID(IF(N(Y46)&gt;0,", "&amp;A46&amp;"-"&amp;Y$2,"")&amp;IF(N(Z46)&gt;0,", "&amp;A46&amp;"-"&amp;Z$2,"")&amp;IF(N(AA46)&gt;0,", "&amp;A46&amp;"-"&amp;AA$2,"")&amp;IF(N(AB46)&gt;0,", "&amp;A46&amp;"-"&amp;AB$2,"")&amp;IF(N(AC46)&gt;0,", "&amp;A46&amp;"-"&amp;AC$2,"")&amp;IF(N(AD46)&gt;0,", "&amp;A46&amp;"-"&amp;AD$2,"")&amp;IF(N(AE46)&gt;0,", "&amp;A46&amp;"-"&amp;AE$2,"")&amp;IF(N(AF46)&gt;0,", "&amp;A46&amp;"-"&amp;AF$2,"")&amp;IF(N(AG46)&gt;0,", "&amp;A46&amp;"-"&amp;AG$2,"")&amp;IF(N(AH46)&gt;0,", "&amp;A46&amp;"-"&amp;AH$2,"")&amp;IF(N(AI46)&gt;0,", "&amp;A46&amp;"-"&amp;AI$2,"")&amp;IF(N(AJ46)&gt;0,", "&amp;A46&amp;"-"&amp;AJ$2,""),3,999))</f>
        <v/>
      </c>
      <c r="AN46" s="81"/>
      <c r="AO46" s="88"/>
      <c r="AP46" s="89" t="str">
        <f aca="false">IF(AO46="","",ROUND(AO46/(1+Справочники!$B$13),2))</f>
        <v/>
      </c>
      <c r="AQ46" s="90" t="str">
        <f aca="false" t="array" ref="AQ46:AQ46">IF(AP46="","",AP46*INDEX(Справочники!$B$4:$B$7,MATCH("RUB",Справочники!$A$4:$A$7,0)))</f>
        <v/>
      </c>
      <c r="AR46" s="90" t="str">
        <f aca="false">IF(AQ46="","",ROUND(AQ46*(1+Справочники!$B$12),0))</f>
        <v/>
      </c>
      <c r="AS46" s="90" t="str">
        <f aca="false">IF(AR46="","",ROUND(AR46*(1-Справочники!$B$11),0))</f>
        <v/>
      </c>
      <c r="AT46" s="88"/>
      <c r="AU46" s="90" t="str">
        <f aca="false">IF(AT46="","",ROUND(AT46/(1+Справочники!$B$12),0))</f>
        <v/>
      </c>
      <c r="AV46" s="90" t="str">
        <f aca="false">IF(AT46="","",ROUND(AT46*(1-Справочники!$B$15),0))</f>
        <v/>
      </c>
      <c r="AW46" s="90" t="str">
        <f aca="false">IF(AT46="","",ROUND(AT46*(1-Справочники!$B$16),0))</f>
        <v/>
      </c>
      <c r="AX46" s="90" t="str">
        <f aca="false">IF(AT46="","",ROUND(AT46*(1-Справочники!$B$17),0))</f>
        <v/>
      </c>
      <c r="AY46" s="90" t="str">
        <f aca="false">IF(AT46="","",ROUND(AT46*(1-Справочники!$B$18),0))</f>
        <v/>
      </c>
      <c r="AZ46" s="90" t="str">
        <f aca="false">IF(AT46="","",ROUND(AT46*(1-Справочники!$B$19),0))</f>
        <v/>
      </c>
      <c r="BA46" s="81"/>
      <c r="BB46" s="81"/>
      <c r="BC46" s="81"/>
      <c r="BD46" s="81"/>
      <c r="BE46" s="91"/>
      <c r="BF46" s="81" t="s">
        <v>103</v>
      </c>
      <c r="BG46" s="89" t="n">
        <f aca="false" t="array" ref="BG46:BG46">IF(BF46="","",IFERROR(INDEX(Справочники!$B$4:$B$7,MATCH(BF46,Справочники!$A$4:$A$7,0)),""))</f>
        <v>68.5</v>
      </c>
      <c r="BH46" s="90" t="str">
        <f aca="false">IF(N(BN46)&gt;0,ROUND(SUMIF(ЗАКАЗЫ!$F$3:$F$500,$A46,ЗАКАЗЫ!$Y$3:$Y$500)/BN46,0),IF(OR(BE46="",BG46=""),"",ROUND(BE46*BG46*(1+Справочники!$B$10),0)))</f>
        <v/>
      </c>
      <c r="BI46" s="92" t="str">
        <f aca="false">IF(OR(AU46="",BH46="",AU46=0),"",(AU46-BH46)/AU46)</f>
        <v/>
      </c>
      <c r="BJ46" s="81"/>
      <c r="BK46" s="83"/>
      <c r="BL46" s="43" t="str">
        <f aca="false">IFERROR(INDEX(ЗАКАЗЫ!$N$3:$N$500,MATCH($A46,ЗАКАЗЫ!$F$3:$F$500,0)),"")</f>
        <v/>
      </c>
      <c r="BM46" s="8" t="str">
        <f aca="false">IF(BL46="","",IFERROR(VLOOKUP(BL46,'ТН ВЭД'!$A$4:$C$40,3,0),""))</f>
        <v/>
      </c>
      <c r="BN46" s="7" t="str">
        <f aca="false">IF(COUNTIF(ЗАКАЗЫ!$F$3:$F$500,$A46)=0,"",SUMIF(ЗАКАЗЫ!$F$3:$F$500,$A46,ЗАКАЗЫ!$J$3:$J$500))</f>
        <v/>
      </c>
      <c r="BO46" s="7" t="str">
        <f aca="false">IF(BN46="","",SUMIF(ЗАКАЗЫ!$F$3:$F$500,$A46,ЗАКАЗЫ!$AL$3:$AL$500))</f>
        <v/>
      </c>
      <c r="BP46" s="7" t="str">
        <f aca="false">IF(BN46="","",BN46-BO46)</f>
        <v/>
      </c>
      <c r="BQ46" s="55" t="str">
        <f aca="false">IF(BN46="","",IF(BO46&gt;=BN46,"На складе",IF(BO46&gt;0,"Частично","Ждём")))</f>
        <v/>
      </c>
      <c r="BR46" s="43"/>
      <c r="BS46" s="47" t="str">
        <f aca="false">IF(BN46="","",IF(_xlfn.MAXIFS(ЗАКАЗЫ!$AK$3:$AK$500,ЗАКАЗЫ!$F$3:$F$500,$A46)=0,"",_xlfn.MAXIFS(ЗАКАЗЫ!$AK$3:$AK$500,ЗАКАЗЫ!$F$3:$F$500,$A46)))</f>
        <v/>
      </c>
    </row>
    <row r="47" customFormat="false" ht="15.75" hidden="false" customHeight="true" outlineLevel="0" collapsed="false">
      <c r="A47" s="80" t="s">
        <v>879</v>
      </c>
      <c r="B47" s="81"/>
      <c r="C47" s="81"/>
      <c r="D47" s="81"/>
      <c r="E47" s="83"/>
      <c r="F47" s="81"/>
      <c r="G47" s="83"/>
      <c r="H47" s="83"/>
      <c r="I47" s="84" t="str">
        <f aca="false">IF(E47="","",A47&amp;"_1.jpg")</f>
        <v/>
      </c>
      <c r="J47" s="84" t="str">
        <f aca="false">IF(E47="","",A47&amp;"_2.jpg; "&amp;A47&amp;"_3.jpg")</f>
        <v/>
      </c>
      <c r="K47" s="84" t="str">
        <f aca="false">IF(E47="","",A47&amp;"_schema.jpg")</f>
        <v/>
      </c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 t="s">
        <v>96</v>
      </c>
      <c r="W47" s="81"/>
      <c r="X47" s="81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6" t="str">
        <f aca="false">IF(SUM(Y47:AJ47)=0,"",SUM(Y47:AJ47))</f>
        <v/>
      </c>
      <c r="AL47" s="84" t="str">
        <f aca="false">MID(IF(N(Y47)&gt;0,", "&amp;Y$2,"")&amp;IF(N(Z47)&gt;0,", "&amp;Z$2,"")&amp;IF(N(AA47)&gt;0,", "&amp;AA$2,"")&amp;IF(N(AB47)&gt;0,", "&amp;AB$2,"")&amp;IF(N(AC47)&gt;0,", "&amp;AC$2,"")&amp;IF(N(AD47)&gt;0,", "&amp;AD$2,"")&amp;IF(N(AE47)&gt;0,", "&amp;AE$2,"")&amp;IF(N(AF47)&gt;0,", "&amp;AF$2,"")&amp;IF(N(AG47)&gt;0,", "&amp;AG$2,"")&amp;IF(N(AH47)&gt;0,", "&amp;AH$2,"")&amp;IF(N(AI47)&gt;0,", "&amp;AI$2,"")&amp;IF(N(AJ47)&gt;0,", "&amp;AJ$2,""),3,999)</f>
        <v/>
      </c>
      <c r="AM47" s="87" t="str">
        <f aca="false">IF(E47="","",MID(IF(N(Y47)&gt;0,", "&amp;A47&amp;"-"&amp;Y$2,"")&amp;IF(N(Z47)&gt;0,", "&amp;A47&amp;"-"&amp;Z$2,"")&amp;IF(N(AA47)&gt;0,", "&amp;A47&amp;"-"&amp;AA$2,"")&amp;IF(N(AB47)&gt;0,", "&amp;A47&amp;"-"&amp;AB$2,"")&amp;IF(N(AC47)&gt;0,", "&amp;A47&amp;"-"&amp;AC$2,"")&amp;IF(N(AD47)&gt;0,", "&amp;A47&amp;"-"&amp;AD$2,"")&amp;IF(N(AE47)&gt;0,", "&amp;A47&amp;"-"&amp;AE$2,"")&amp;IF(N(AF47)&gt;0,", "&amp;A47&amp;"-"&amp;AF$2,"")&amp;IF(N(AG47)&gt;0,", "&amp;A47&amp;"-"&amp;AG$2,"")&amp;IF(N(AH47)&gt;0,", "&amp;A47&amp;"-"&amp;AH$2,"")&amp;IF(N(AI47)&gt;0,", "&amp;A47&amp;"-"&amp;AI$2,"")&amp;IF(N(AJ47)&gt;0,", "&amp;A47&amp;"-"&amp;AJ$2,""),3,999))</f>
        <v/>
      </c>
      <c r="AN47" s="81"/>
      <c r="AO47" s="88"/>
      <c r="AP47" s="89" t="str">
        <f aca="false">IF(AO47="","",ROUND(AO47/(1+Справочники!$B$13),2))</f>
        <v/>
      </c>
      <c r="AQ47" s="90" t="str">
        <f aca="false" t="array" ref="AQ47:AQ47">IF(AP47="","",AP47*INDEX(Справочники!$B$4:$B$7,MATCH("RUB",Справочники!$A$4:$A$7,0)))</f>
        <v/>
      </c>
      <c r="AR47" s="90" t="str">
        <f aca="false">IF(AQ47="","",ROUND(AQ47*(1+Справочники!$B$12),0))</f>
        <v/>
      </c>
      <c r="AS47" s="90" t="str">
        <f aca="false">IF(AR47="","",ROUND(AR47*(1-Справочники!$B$11),0))</f>
        <v/>
      </c>
      <c r="AT47" s="88"/>
      <c r="AU47" s="90" t="str">
        <f aca="false">IF(AT47="","",ROUND(AT47/(1+Справочники!$B$12),0))</f>
        <v/>
      </c>
      <c r="AV47" s="90" t="str">
        <f aca="false">IF(AT47="","",ROUND(AT47*(1-Справочники!$B$15),0))</f>
        <v/>
      </c>
      <c r="AW47" s="90" t="str">
        <f aca="false">IF(AT47="","",ROUND(AT47*(1-Справочники!$B$16),0))</f>
        <v/>
      </c>
      <c r="AX47" s="90" t="str">
        <f aca="false">IF(AT47="","",ROUND(AT47*(1-Справочники!$B$17),0))</f>
        <v/>
      </c>
      <c r="AY47" s="90" t="str">
        <f aca="false">IF(AT47="","",ROUND(AT47*(1-Справочники!$B$18),0))</f>
        <v/>
      </c>
      <c r="AZ47" s="90" t="str">
        <f aca="false">IF(AT47="","",ROUND(AT47*(1-Справочники!$B$19),0))</f>
        <v/>
      </c>
      <c r="BA47" s="81"/>
      <c r="BB47" s="81"/>
      <c r="BC47" s="81"/>
      <c r="BD47" s="81"/>
      <c r="BE47" s="91"/>
      <c r="BF47" s="81" t="s">
        <v>103</v>
      </c>
      <c r="BG47" s="89" t="n">
        <f aca="false" t="array" ref="BG47:BG47">IF(BF47="","",IFERROR(INDEX(Справочники!$B$4:$B$7,MATCH(BF47,Справочники!$A$4:$A$7,0)),""))</f>
        <v>68.5</v>
      </c>
      <c r="BH47" s="90" t="str">
        <f aca="false">IF(N(BN47)&gt;0,ROUND(SUMIF(ЗАКАЗЫ!$F$3:$F$500,$A47,ЗАКАЗЫ!$Y$3:$Y$500)/BN47,0),IF(OR(BE47="",BG47=""),"",ROUND(BE47*BG47*(1+Справочники!$B$10),0)))</f>
        <v/>
      </c>
      <c r="BI47" s="92" t="str">
        <f aca="false">IF(OR(AU47="",BH47="",AU47=0),"",(AU47-BH47)/AU47)</f>
        <v/>
      </c>
      <c r="BJ47" s="81"/>
      <c r="BK47" s="83"/>
      <c r="BL47" s="43" t="str">
        <f aca="false">IFERROR(INDEX(ЗАКАЗЫ!$N$3:$N$500,MATCH($A47,ЗАКАЗЫ!$F$3:$F$500,0)),"")</f>
        <v/>
      </c>
      <c r="BM47" s="8" t="str">
        <f aca="false">IF(BL47="","",IFERROR(VLOOKUP(BL47,'ТН ВЭД'!$A$4:$C$40,3,0),""))</f>
        <v/>
      </c>
      <c r="BN47" s="7" t="str">
        <f aca="false">IF(COUNTIF(ЗАКАЗЫ!$F$3:$F$500,$A47)=0,"",SUMIF(ЗАКАЗЫ!$F$3:$F$500,$A47,ЗАКАЗЫ!$J$3:$J$500))</f>
        <v/>
      </c>
      <c r="BO47" s="7" t="str">
        <f aca="false">IF(BN47="","",SUMIF(ЗАКАЗЫ!$F$3:$F$500,$A47,ЗАКАЗЫ!$AL$3:$AL$500))</f>
        <v/>
      </c>
      <c r="BP47" s="7" t="str">
        <f aca="false">IF(BN47="","",BN47-BO47)</f>
        <v/>
      </c>
      <c r="BQ47" s="55" t="str">
        <f aca="false">IF(BN47="","",IF(BO47&gt;=BN47,"На складе",IF(BO47&gt;0,"Частично","Ждём")))</f>
        <v/>
      </c>
      <c r="BR47" s="43"/>
      <c r="BS47" s="47" t="str">
        <f aca="false">IF(BN47="","",IF(_xlfn.MAXIFS(ЗАКАЗЫ!$AK$3:$AK$500,ЗАКАЗЫ!$F$3:$F$500,$A47)=0,"",_xlfn.MAXIFS(ЗАКАЗЫ!$AK$3:$AK$500,ЗАКАЗЫ!$F$3:$F$500,$A47)))</f>
        <v/>
      </c>
    </row>
    <row r="48" customFormat="false" ht="15.75" hidden="false" customHeight="true" outlineLevel="0" collapsed="false">
      <c r="A48" s="80" t="s">
        <v>880</v>
      </c>
      <c r="B48" s="81"/>
      <c r="C48" s="81"/>
      <c r="D48" s="81"/>
      <c r="E48" s="83"/>
      <c r="F48" s="81"/>
      <c r="G48" s="83"/>
      <c r="H48" s="83"/>
      <c r="I48" s="84" t="str">
        <f aca="false">IF(E48="","",A48&amp;"_1.jpg")</f>
        <v/>
      </c>
      <c r="J48" s="84" t="str">
        <f aca="false">IF(E48="","",A48&amp;"_2.jpg; "&amp;A48&amp;"_3.jpg")</f>
        <v/>
      </c>
      <c r="K48" s="84" t="str">
        <f aca="false">IF(E48="","",A48&amp;"_schema.jpg")</f>
        <v/>
      </c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 t="s">
        <v>96</v>
      </c>
      <c r="W48" s="81"/>
      <c r="X48" s="81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6" t="str">
        <f aca="false">IF(SUM(Y48:AJ48)=0,"",SUM(Y48:AJ48))</f>
        <v/>
      </c>
      <c r="AL48" s="84" t="str">
        <f aca="false">MID(IF(N(Y48)&gt;0,", "&amp;Y$2,"")&amp;IF(N(Z48)&gt;0,", "&amp;Z$2,"")&amp;IF(N(AA48)&gt;0,", "&amp;AA$2,"")&amp;IF(N(AB48)&gt;0,", "&amp;AB$2,"")&amp;IF(N(AC48)&gt;0,", "&amp;AC$2,"")&amp;IF(N(AD48)&gt;0,", "&amp;AD$2,"")&amp;IF(N(AE48)&gt;0,", "&amp;AE$2,"")&amp;IF(N(AF48)&gt;0,", "&amp;AF$2,"")&amp;IF(N(AG48)&gt;0,", "&amp;AG$2,"")&amp;IF(N(AH48)&gt;0,", "&amp;AH$2,"")&amp;IF(N(AI48)&gt;0,", "&amp;AI$2,"")&amp;IF(N(AJ48)&gt;0,", "&amp;AJ$2,""),3,999)</f>
        <v/>
      </c>
      <c r="AM48" s="87" t="str">
        <f aca="false">IF(E48="","",MID(IF(N(Y48)&gt;0,", "&amp;A48&amp;"-"&amp;Y$2,"")&amp;IF(N(Z48)&gt;0,", "&amp;A48&amp;"-"&amp;Z$2,"")&amp;IF(N(AA48)&gt;0,", "&amp;A48&amp;"-"&amp;AA$2,"")&amp;IF(N(AB48)&gt;0,", "&amp;A48&amp;"-"&amp;AB$2,"")&amp;IF(N(AC48)&gt;0,", "&amp;A48&amp;"-"&amp;AC$2,"")&amp;IF(N(AD48)&gt;0,", "&amp;A48&amp;"-"&amp;AD$2,"")&amp;IF(N(AE48)&gt;0,", "&amp;A48&amp;"-"&amp;AE$2,"")&amp;IF(N(AF48)&gt;0,", "&amp;A48&amp;"-"&amp;AF$2,"")&amp;IF(N(AG48)&gt;0,", "&amp;A48&amp;"-"&amp;AG$2,"")&amp;IF(N(AH48)&gt;0,", "&amp;A48&amp;"-"&amp;AH$2,"")&amp;IF(N(AI48)&gt;0,", "&amp;A48&amp;"-"&amp;AI$2,"")&amp;IF(N(AJ48)&gt;0,", "&amp;A48&amp;"-"&amp;AJ$2,""),3,999))</f>
        <v/>
      </c>
      <c r="AN48" s="81"/>
      <c r="AO48" s="88"/>
      <c r="AP48" s="89" t="str">
        <f aca="false">IF(AO48="","",ROUND(AO48/(1+Справочники!$B$13),2))</f>
        <v/>
      </c>
      <c r="AQ48" s="90" t="str">
        <f aca="false" t="array" ref="AQ48:AQ48">IF(AP48="","",AP48*INDEX(Справочники!$B$4:$B$7,MATCH("RUB",Справочники!$A$4:$A$7,0)))</f>
        <v/>
      </c>
      <c r="AR48" s="90" t="str">
        <f aca="false">IF(AQ48="","",ROUND(AQ48*(1+Справочники!$B$12),0))</f>
        <v/>
      </c>
      <c r="AS48" s="90" t="str">
        <f aca="false">IF(AR48="","",ROUND(AR48*(1-Справочники!$B$11),0))</f>
        <v/>
      </c>
      <c r="AT48" s="88"/>
      <c r="AU48" s="90" t="str">
        <f aca="false">IF(AT48="","",ROUND(AT48/(1+Справочники!$B$12),0))</f>
        <v/>
      </c>
      <c r="AV48" s="90" t="str">
        <f aca="false">IF(AT48="","",ROUND(AT48*(1-Справочники!$B$15),0))</f>
        <v/>
      </c>
      <c r="AW48" s="90" t="str">
        <f aca="false">IF(AT48="","",ROUND(AT48*(1-Справочники!$B$16),0))</f>
        <v/>
      </c>
      <c r="AX48" s="90" t="str">
        <f aca="false">IF(AT48="","",ROUND(AT48*(1-Справочники!$B$17),0))</f>
        <v/>
      </c>
      <c r="AY48" s="90" t="str">
        <f aca="false">IF(AT48="","",ROUND(AT48*(1-Справочники!$B$18),0))</f>
        <v/>
      </c>
      <c r="AZ48" s="90" t="str">
        <f aca="false">IF(AT48="","",ROUND(AT48*(1-Справочники!$B$19),0))</f>
        <v/>
      </c>
      <c r="BA48" s="81"/>
      <c r="BB48" s="81"/>
      <c r="BC48" s="81"/>
      <c r="BD48" s="81"/>
      <c r="BE48" s="91"/>
      <c r="BF48" s="81" t="s">
        <v>103</v>
      </c>
      <c r="BG48" s="89" t="n">
        <f aca="false" t="array" ref="BG48:BG48">IF(BF48="","",IFERROR(INDEX(Справочники!$B$4:$B$7,MATCH(BF48,Справочники!$A$4:$A$7,0)),""))</f>
        <v>68.5</v>
      </c>
      <c r="BH48" s="90" t="str">
        <f aca="false">IF(N(BN48)&gt;0,ROUND(SUMIF(ЗАКАЗЫ!$F$3:$F$500,$A48,ЗАКАЗЫ!$Y$3:$Y$500)/BN48,0),IF(OR(BE48="",BG48=""),"",ROUND(BE48*BG48*(1+Справочники!$B$10),0)))</f>
        <v/>
      </c>
      <c r="BI48" s="92" t="str">
        <f aca="false">IF(OR(AU48="",BH48="",AU48=0),"",(AU48-BH48)/AU48)</f>
        <v/>
      </c>
      <c r="BJ48" s="81"/>
      <c r="BK48" s="83"/>
      <c r="BL48" s="43" t="str">
        <f aca="false">IFERROR(INDEX(ЗАКАЗЫ!$N$3:$N$500,MATCH($A48,ЗАКАЗЫ!$F$3:$F$500,0)),"")</f>
        <v/>
      </c>
      <c r="BM48" s="8" t="str">
        <f aca="false">IF(BL48="","",IFERROR(VLOOKUP(BL48,'ТН ВЭД'!$A$4:$C$40,3,0),""))</f>
        <v/>
      </c>
      <c r="BN48" s="7" t="str">
        <f aca="false">IF(COUNTIF(ЗАКАЗЫ!$F$3:$F$500,$A48)=0,"",SUMIF(ЗАКАЗЫ!$F$3:$F$500,$A48,ЗАКАЗЫ!$J$3:$J$500))</f>
        <v/>
      </c>
      <c r="BO48" s="7" t="str">
        <f aca="false">IF(BN48="","",SUMIF(ЗАКАЗЫ!$F$3:$F$500,$A48,ЗАКАЗЫ!$AL$3:$AL$500))</f>
        <v/>
      </c>
      <c r="BP48" s="7" t="str">
        <f aca="false">IF(BN48="","",BN48-BO48)</f>
        <v/>
      </c>
      <c r="BQ48" s="55" t="str">
        <f aca="false">IF(BN48="","",IF(BO48&gt;=BN48,"На складе",IF(BO48&gt;0,"Частично","Ждём")))</f>
        <v/>
      </c>
      <c r="BR48" s="43"/>
      <c r="BS48" s="47" t="str">
        <f aca="false">IF(BN48="","",IF(_xlfn.MAXIFS(ЗАКАЗЫ!$AK$3:$AK$500,ЗАКАЗЫ!$F$3:$F$500,$A48)=0,"",_xlfn.MAXIFS(ЗАКАЗЫ!$AK$3:$AK$500,ЗАКАЗЫ!$F$3:$F$500,$A48)))</f>
        <v/>
      </c>
    </row>
    <row r="49" customFormat="false" ht="15.75" hidden="false" customHeight="true" outlineLevel="0" collapsed="false">
      <c r="A49" s="80" t="s">
        <v>881</v>
      </c>
      <c r="B49" s="81"/>
      <c r="C49" s="81"/>
      <c r="D49" s="81"/>
      <c r="E49" s="83"/>
      <c r="F49" s="81"/>
      <c r="G49" s="83"/>
      <c r="H49" s="83"/>
      <c r="I49" s="84" t="str">
        <f aca="false">IF(E49="","",A49&amp;"_1.jpg")</f>
        <v/>
      </c>
      <c r="J49" s="84" t="str">
        <f aca="false">IF(E49="","",A49&amp;"_2.jpg; "&amp;A49&amp;"_3.jpg")</f>
        <v/>
      </c>
      <c r="K49" s="84" t="str">
        <f aca="false">IF(E49="","",A49&amp;"_schema.jpg")</f>
        <v/>
      </c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 t="s">
        <v>96</v>
      </c>
      <c r="W49" s="81"/>
      <c r="X49" s="81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6" t="str">
        <f aca="false">IF(SUM(Y49:AJ49)=0,"",SUM(Y49:AJ49))</f>
        <v/>
      </c>
      <c r="AL49" s="84" t="str">
        <f aca="false">MID(IF(N(Y49)&gt;0,", "&amp;Y$2,"")&amp;IF(N(Z49)&gt;0,", "&amp;Z$2,"")&amp;IF(N(AA49)&gt;0,", "&amp;AA$2,"")&amp;IF(N(AB49)&gt;0,", "&amp;AB$2,"")&amp;IF(N(AC49)&gt;0,", "&amp;AC$2,"")&amp;IF(N(AD49)&gt;0,", "&amp;AD$2,"")&amp;IF(N(AE49)&gt;0,", "&amp;AE$2,"")&amp;IF(N(AF49)&gt;0,", "&amp;AF$2,"")&amp;IF(N(AG49)&gt;0,", "&amp;AG$2,"")&amp;IF(N(AH49)&gt;0,", "&amp;AH$2,"")&amp;IF(N(AI49)&gt;0,", "&amp;AI$2,"")&amp;IF(N(AJ49)&gt;0,", "&amp;AJ$2,""),3,999)</f>
        <v/>
      </c>
      <c r="AM49" s="87" t="str">
        <f aca="false">IF(E49="","",MID(IF(N(Y49)&gt;0,", "&amp;A49&amp;"-"&amp;Y$2,"")&amp;IF(N(Z49)&gt;0,", "&amp;A49&amp;"-"&amp;Z$2,"")&amp;IF(N(AA49)&gt;0,", "&amp;A49&amp;"-"&amp;AA$2,"")&amp;IF(N(AB49)&gt;0,", "&amp;A49&amp;"-"&amp;AB$2,"")&amp;IF(N(AC49)&gt;0,", "&amp;A49&amp;"-"&amp;AC$2,"")&amp;IF(N(AD49)&gt;0,", "&amp;A49&amp;"-"&amp;AD$2,"")&amp;IF(N(AE49)&gt;0,", "&amp;A49&amp;"-"&amp;AE$2,"")&amp;IF(N(AF49)&gt;0,", "&amp;A49&amp;"-"&amp;AF$2,"")&amp;IF(N(AG49)&gt;0,", "&amp;A49&amp;"-"&amp;AG$2,"")&amp;IF(N(AH49)&gt;0,", "&amp;A49&amp;"-"&amp;AH$2,"")&amp;IF(N(AI49)&gt;0,", "&amp;A49&amp;"-"&amp;AI$2,"")&amp;IF(N(AJ49)&gt;0,", "&amp;A49&amp;"-"&amp;AJ$2,""),3,999))</f>
        <v/>
      </c>
      <c r="AN49" s="81"/>
      <c r="AO49" s="88"/>
      <c r="AP49" s="89" t="str">
        <f aca="false">IF(AO49="","",ROUND(AO49/(1+Справочники!$B$13),2))</f>
        <v/>
      </c>
      <c r="AQ49" s="90" t="str">
        <f aca="false" t="array" ref="AQ49:AQ49">IF(AP49="","",AP49*INDEX(Справочники!$B$4:$B$7,MATCH("RUB",Справочники!$A$4:$A$7,0)))</f>
        <v/>
      </c>
      <c r="AR49" s="90" t="str">
        <f aca="false">IF(AQ49="","",ROUND(AQ49*(1+Справочники!$B$12),0))</f>
        <v/>
      </c>
      <c r="AS49" s="90" t="str">
        <f aca="false">IF(AR49="","",ROUND(AR49*(1-Справочники!$B$11),0))</f>
        <v/>
      </c>
      <c r="AT49" s="88"/>
      <c r="AU49" s="90" t="str">
        <f aca="false">IF(AT49="","",ROUND(AT49/(1+Справочники!$B$12),0))</f>
        <v/>
      </c>
      <c r="AV49" s="90" t="str">
        <f aca="false">IF(AT49="","",ROUND(AT49*(1-Справочники!$B$15),0))</f>
        <v/>
      </c>
      <c r="AW49" s="90" t="str">
        <f aca="false">IF(AT49="","",ROUND(AT49*(1-Справочники!$B$16),0))</f>
        <v/>
      </c>
      <c r="AX49" s="90" t="str">
        <f aca="false">IF(AT49="","",ROUND(AT49*(1-Справочники!$B$17),0))</f>
        <v/>
      </c>
      <c r="AY49" s="90" t="str">
        <f aca="false">IF(AT49="","",ROUND(AT49*(1-Справочники!$B$18),0))</f>
        <v/>
      </c>
      <c r="AZ49" s="90" t="str">
        <f aca="false">IF(AT49="","",ROUND(AT49*(1-Справочники!$B$19),0))</f>
        <v/>
      </c>
      <c r="BA49" s="81"/>
      <c r="BB49" s="81"/>
      <c r="BC49" s="81"/>
      <c r="BD49" s="81"/>
      <c r="BE49" s="91"/>
      <c r="BF49" s="81" t="s">
        <v>103</v>
      </c>
      <c r="BG49" s="89" t="n">
        <f aca="false" t="array" ref="BG49:BG49">IF(BF49="","",IFERROR(INDEX(Справочники!$B$4:$B$7,MATCH(BF49,Справочники!$A$4:$A$7,0)),""))</f>
        <v>68.5</v>
      </c>
      <c r="BH49" s="90" t="str">
        <f aca="false">IF(N(BN49)&gt;0,ROUND(SUMIF(ЗАКАЗЫ!$F$3:$F$500,$A49,ЗАКАЗЫ!$Y$3:$Y$500)/BN49,0),IF(OR(BE49="",BG49=""),"",ROUND(BE49*BG49*(1+Справочники!$B$10),0)))</f>
        <v/>
      </c>
      <c r="BI49" s="92" t="str">
        <f aca="false">IF(OR(AU49="",BH49="",AU49=0),"",(AU49-BH49)/AU49)</f>
        <v/>
      </c>
      <c r="BJ49" s="81"/>
      <c r="BK49" s="83"/>
      <c r="BL49" s="43" t="str">
        <f aca="false">IFERROR(INDEX(ЗАКАЗЫ!$N$3:$N$500,MATCH($A49,ЗАКАЗЫ!$F$3:$F$500,0)),"")</f>
        <v/>
      </c>
      <c r="BM49" s="8" t="str">
        <f aca="false">IF(BL49="","",IFERROR(VLOOKUP(BL49,'ТН ВЭД'!$A$4:$C$40,3,0),""))</f>
        <v/>
      </c>
      <c r="BN49" s="7" t="str">
        <f aca="false">IF(COUNTIF(ЗАКАЗЫ!$F$3:$F$500,$A49)=0,"",SUMIF(ЗАКАЗЫ!$F$3:$F$500,$A49,ЗАКАЗЫ!$J$3:$J$500))</f>
        <v/>
      </c>
      <c r="BO49" s="7" t="str">
        <f aca="false">IF(BN49="","",SUMIF(ЗАКАЗЫ!$F$3:$F$500,$A49,ЗАКАЗЫ!$AL$3:$AL$500))</f>
        <v/>
      </c>
      <c r="BP49" s="7" t="str">
        <f aca="false">IF(BN49="","",BN49-BO49)</f>
        <v/>
      </c>
      <c r="BQ49" s="55" t="str">
        <f aca="false">IF(BN49="","",IF(BO49&gt;=BN49,"На складе",IF(BO49&gt;0,"Частично","Ждём")))</f>
        <v/>
      </c>
      <c r="BR49" s="43"/>
      <c r="BS49" s="47" t="str">
        <f aca="false">IF(BN49="","",IF(_xlfn.MAXIFS(ЗАКАЗЫ!$AK$3:$AK$500,ЗАКАЗЫ!$F$3:$F$500,$A49)=0,"",_xlfn.MAXIFS(ЗАКАЗЫ!$AK$3:$AK$500,ЗАКАЗЫ!$F$3:$F$500,$A49)))</f>
        <v/>
      </c>
    </row>
    <row r="50" customFormat="false" ht="15.75" hidden="false" customHeight="true" outlineLevel="0" collapsed="false">
      <c r="A50" s="80" t="s">
        <v>882</v>
      </c>
      <c r="B50" s="81"/>
      <c r="C50" s="81"/>
      <c r="D50" s="81"/>
      <c r="E50" s="83"/>
      <c r="F50" s="81"/>
      <c r="G50" s="83"/>
      <c r="H50" s="83"/>
      <c r="I50" s="84" t="str">
        <f aca="false">IF(E50="","",A50&amp;"_1.jpg")</f>
        <v/>
      </c>
      <c r="J50" s="84" t="str">
        <f aca="false">IF(E50="","",A50&amp;"_2.jpg; "&amp;A50&amp;"_3.jpg")</f>
        <v/>
      </c>
      <c r="K50" s="84" t="str">
        <f aca="false">IF(E50="","",A50&amp;"_schema.jpg")</f>
        <v/>
      </c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 t="s">
        <v>96</v>
      </c>
      <c r="W50" s="81"/>
      <c r="X50" s="81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6" t="str">
        <f aca="false">IF(SUM(Y50:AJ50)=0,"",SUM(Y50:AJ50))</f>
        <v/>
      </c>
      <c r="AL50" s="84" t="str">
        <f aca="false">MID(IF(N(Y50)&gt;0,", "&amp;Y$2,"")&amp;IF(N(Z50)&gt;0,", "&amp;Z$2,"")&amp;IF(N(AA50)&gt;0,", "&amp;AA$2,"")&amp;IF(N(AB50)&gt;0,", "&amp;AB$2,"")&amp;IF(N(AC50)&gt;0,", "&amp;AC$2,"")&amp;IF(N(AD50)&gt;0,", "&amp;AD$2,"")&amp;IF(N(AE50)&gt;0,", "&amp;AE$2,"")&amp;IF(N(AF50)&gt;0,", "&amp;AF$2,"")&amp;IF(N(AG50)&gt;0,", "&amp;AG$2,"")&amp;IF(N(AH50)&gt;0,", "&amp;AH$2,"")&amp;IF(N(AI50)&gt;0,", "&amp;AI$2,"")&amp;IF(N(AJ50)&gt;0,", "&amp;AJ$2,""),3,999)</f>
        <v/>
      </c>
      <c r="AM50" s="87" t="str">
        <f aca="false">IF(E50="","",MID(IF(N(Y50)&gt;0,", "&amp;A50&amp;"-"&amp;Y$2,"")&amp;IF(N(Z50)&gt;0,", "&amp;A50&amp;"-"&amp;Z$2,"")&amp;IF(N(AA50)&gt;0,", "&amp;A50&amp;"-"&amp;AA$2,"")&amp;IF(N(AB50)&gt;0,", "&amp;A50&amp;"-"&amp;AB$2,"")&amp;IF(N(AC50)&gt;0,", "&amp;A50&amp;"-"&amp;AC$2,"")&amp;IF(N(AD50)&gt;0,", "&amp;A50&amp;"-"&amp;AD$2,"")&amp;IF(N(AE50)&gt;0,", "&amp;A50&amp;"-"&amp;AE$2,"")&amp;IF(N(AF50)&gt;0,", "&amp;A50&amp;"-"&amp;AF$2,"")&amp;IF(N(AG50)&gt;0,", "&amp;A50&amp;"-"&amp;AG$2,"")&amp;IF(N(AH50)&gt;0,", "&amp;A50&amp;"-"&amp;AH$2,"")&amp;IF(N(AI50)&gt;0,", "&amp;A50&amp;"-"&amp;AI$2,"")&amp;IF(N(AJ50)&gt;0,", "&amp;A50&amp;"-"&amp;AJ$2,""),3,999))</f>
        <v/>
      </c>
      <c r="AN50" s="81"/>
      <c r="AO50" s="88"/>
      <c r="AP50" s="89" t="str">
        <f aca="false">IF(AO50="","",ROUND(AO50/(1+Справочники!$B$13),2))</f>
        <v/>
      </c>
      <c r="AQ50" s="90" t="str">
        <f aca="false" t="array" ref="AQ50:AQ50">IF(AP50="","",AP50*INDEX(Справочники!$B$4:$B$7,MATCH("RUB",Справочники!$A$4:$A$7,0)))</f>
        <v/>
      </c>
      <c r="AR50" s="90" t="str">
        <f aca="false">IF(AQ50="","",ROUND(AQ50*(1+Справочники!$B$12),0))</f>
        <v/>
      </c>
      <c r="AS50" s="90" t="str">
        <f aca="false">IF(AR50="","",ROUND(AR50*(1-Справочники!$B$11),0))</f>
        <v/>
      </c>
      <c r="AT50" s="88"/>
      <c r="AU50" s="90" t="str">
        <f aca="false">IF(AT50="","",ROUND(AT50/(1+Справочники!$B$12),0))</f>
        <v/>
      </c>
      <c r="AV50" s="90" t="str">
        <f aca="false">IF(AT50="","",ROUND(AT50*(1-Справочники!$B$15),0))</f>
        <v/>
      </c>
      <c r="AW50" s="90" t="str">
        <f aca="false">IF(AT50="","",ROUND(AT50*(1-Справочники!$B$16),0))</f>
        <v/>
      </c>
      <c r="AX50" s="90" t="str">
        <f aca="false">IF(AT50="","",ROUND(AT50*(1-Справочники!$B$17),0))</f>
        <v/>
      </c>
      <c r="AY50" s="90" t="str">
        <f aca="false">IF(AT50="","",ROUND(AT50*(1-Справочники!$B$18),0))</f>
        <v/>
      </c>
      <c r="AZ50" s="90" t="str">
        <f aca="false">IF(AT50="","",ROUND(AT50*(1-Справочники!$B$19),0))</f>
        <v/>
      </c>
      <c r="BA50" s="81"/>
      <c r="BB50" s="81"/>
      <c r="BC50" s="81"/>
      <c r="BD50" s="81"/>
      <c r="BE50" s="91"/>
      <c r="BF50" s="81" t="s">
        <v>103</v>
      </c>
      <c r="BG50" s="89" t="n">
        <f aca="false" t="array" ref="BG50:BG50">IF(BF50="","",IFERROR(INDEX(Справочники!$B$4:$B$7,MATCH(BF50,Справочники!$A$4:$A$7,0)),""))</f>
        <v>68.5</v>
      </c>
      <c r="BH50" s="90" t="str">
        <f aca="false">IF(N(BN50)&gt;0,ROUND(SUMIF(ЗАКАЗЫ!$F$3:$F$500,$A50,ЗАКАЗЫ!$Y$3:$Y$500)/BN50,0),IF(OR(BE50="",BG50=""),"",ROUND(BE50*BG50*(1+Справочники!$B$10),0)))</f>
        <v/>
      </c>
      <c r="BI50" s="92" t="str">
        <f aca="false">IF(OR(AU50="",BH50="",AU50=0),"",(AU50-BH50)/AU50)</f>
        <v/>
      </c>
      <c r="BJ50" s="81"/>
      <c r="BK50" s="83"/>
      <c r="BL50" s="43" t="str">
        <f aca="false">IFERROR(INDEX(ЗАКАЗЫ!$N$3:$N$500,MATCH($A50,ЗАКАЗЫ!$F$3:$F$500,0)),"")</f>
        <v/>
      </c>
      <c r="BM50" s="8" t="str">
        <f aca="false">IF(BL50="","",IFERROR(VLOOKUP(BL50,'ТН ВЭД'!$A$4:$C$40,3,0),""))</f>
        <v/>
      </c>
      <c r="BN50" s="7" t="str">
        <f aca="false">IF(COUNTIF(ЗАКАЗЫ!$F$3:$F$500,$A50)=0,"",SUMIF(ЗАКАЗЫ!$F$3:$F$500,$A50,ЗАКАЗЫ!$J$3:$J$500))</f>
        <v/>
      </c>
      <c r="BO50" s="7" t="str">
        <f aca="false">IF(BN50="","",SUMIF(ЗАКАЗЫ!$F$3:$F$500,$A50,ЗАКАЗЫ!$AL$3:$AL$500))</f>
        <v/>
      </c>
      <c r="BP50" s="7" t="str">
        <f aca="false">IF(BN50="","",BN50-BO50)</f>
        <v/>
      </c>
      <c r="BQ50" s="55" t="str">
        <f aca="false">IF(BN50="","",IF(BO50&gt;=BN50,"На складе",IF(BO50&gt;0,"Частично","Ждём")))</f>
        <v/>
      </c>
      <c r="BR50" s="43"/>
      <c r="BS50" s="47" t="str">
        <f aca="false">IF(BN50="","",IF(_xlfn.MAXIFS(ЗАКАЗЫ!$AK$3:$AK$500,ЗАКАЗЫ!$F$3:$F$500,$A50)=0,"",_xlfn.MAXIFS(ЗАКАЗЫ!$AK$3:$AK$500,ЗАКАЗЫ!$F$3:$F$500,$A50)))</f>
        <v/>
      </c>
    </row>
    <row r="51" customFormat="false" ht="15.75" hidden="false" customHeight="true" outlineLevel="0" collapsed="false">
      <c r="A51" s="80" t="s">
        <v>883</v>
      </c>
      <c r="B51" s="81"/>
      <c r="C51" s="81"/>
      <c r="D51" s="81"/>
      <c r="E51" s="83"/>
      <c r="F51" s="81"/>
      <c r="G51" s="83"/>
      <c r="H51" s="83"/>
      <c r="I51" s="84" t="str">
        <f aca="false">IF(E51="","",A51&amp;"_1.jpg")</f>
        <v/>
      </c>
      <c r="J51" s="84" t="str">
        <f aca="false">IF(E51="","",A51&amp;"_2.jpg; "&amp;A51&amp;"_3.jpg")</f>
        <v/>
      </c>
      <c r="K51" s="84" t="str">
        <f aca="false">IF(E51="","",A51&amp;"_schema.jpg")</f>
        <v/>
      </c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 t="s">
        <v>96</v>
      </c>
      <c r="W51" s="81"/>
      <c r="X51" s="81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6" t="str">
        <f aca="false">IF(SUM(Y51:AJ51)=0,"",SUM(Y51:AJ51))</f>
        <v/>
      </c>
      <c r="AL51" s="84" t="str">
        <f aca="false">MID(IF(N(Y51)&gt;0,", "&amp;Y$2,"")&amp;IF(N(Z51)&gt;0,", "&amp;Z$2,"")&amp;IF(N(AA51)&gt;0,", "&amp;AA$2,"")&amp;IF(N(AB51)&gt;0,", "&amp;AB$2,"")&amp;IF(N(AC51)&gt;0,", "&amp;AC$2,"")&amp;IF(N(AD51)&gt;0,", "&amp;AD$2,"")&amp;IF(N(AE51)&gt;0,", "&amp;AE$2,"")&amp;IF(N(AF51)&gt;0,", "&amp;AF$2,"")&amp;IF(N(AG51)&gt;0,", "&amp;AG$2,"")&amp;IF(N(AH51)&gt;0,", "&amp;AH$2,"")&amp;IF(N(AI51)&gt;0,", "&amp;AI$2,"")&amp;IF(N(AJ51)&gt;0,", "&amp;AJ$2,""),3,999)</f>
        <v/>
      </c>
      <c r="AM51" s="87" t="str">
        <f aca="false">IF(E51="","",MID(IF(N(Y51)&gt;0,", "&amp;A51&amp;"-"&amp;Y$2,"")&amp;IF(N(Z51)&gt;0,", "&amp;A51&amp;"-"&amp;Z$2,"")&amp;IF(N(AA51)&gt;0,", "&amp;A51&amp;"-"&amp;AA$2,"")&amp;IF(N(AB51)&gt;0,", "&amp;A51&amp;"-"&amp;AB$2,"")&amp;IF(N(AC51)&gt;0,", "&amp;A51&amp;"-"&amp;AC$2,"")&amp;IF(N(AD51)&gt;0,", "&amp;A51&amp;"-"&amp;AD$2,"")&amp;IF(N(AE51)&gt;0,", "&amp;A51&amp;"-"&amp;AE$2,"")&amp;IF(N(AF51)&gt;0,", "&amp;A51&amp;"-"&amp;AF$2,"")&amp;IF(N(AG51)&gt;0,", "&amp;A51&amp;"-"&amp;AG$2,"")&amp;IF(N(AH51)&gt;0,", "&amp;A51&amp;"-"&amp;AH$2,"")&amp;IF(N(AI51)&gt;0,", "&amp;A51&amp;"-"&amp;AI$2,"")&amp;IF(N(AJ51)&gt;0,", "&amp;A51&amp;"-"&amp;AJ$2,""),3,999))</f>
        <v/>
      </c>
      <c r="AN51" s="81"/>
      <c r="AO51" s="88"/>
      <c r="AP51" s="89" t="str">
        <f aca="false">IF(AO51="","",ROUND(AO51/(1+Справочники!$B$13),2))</f>
        <v/>
      </c>
      <c r="AQ51" s="90" t="str">
        <f aca="false" t="array" ref="AQ51:AQ51">IF(AP51="","",AP51*INDEX(Справочники!$B$4:$B$7,MATCH("RUB",Справочники!$A$4:$A$7,0)))</f>
        <v/>
      </c>
      <c r="AR51" s="90" t="str">
        <f aca="false">IF(AQ51="","",ROUND(AQ51*(1+Справочники!$B$12),0))</f>
        <v/>
      </c>
      <c r="AS51" s="90" t="str">
        <f aca="false">IF(AR51="","",ROUND(AR51*(1-Справочники!$B$11),0))</f>
        <v/>
      </c>
      <c r="AT51" s="88"/>
      <c r="AU51" s="90" t="str">
        <f aca="false">IF(AT51="","",ROUND(AT51/(1+Справочники!$B$12),0))</f>
        <v/>
      </c>
      <c r="AV51" s="90" t="str">
        <f aca="false">IF(AT51="","",ROUND(AT51*(1-Справочники!$B$15),0))</f>
        <v/>
      </c>
      <c r="AW51" s="90" t="str">
        <f aca="false">IF(AT51="","",ROUND(AT51*(1-Справочники!$B$16),0))</f>
        <v/>
      </c>
      <c r="AX51" s="90" t="str">
        <f aca="false">IF(AT51="","",ROUND(AT51*(1-Справочники!$B$17),0))</f>
        <v/>
      </c>
      <c r="AY51" s="90" t="str">
        <f aca="false">IF(AT51="","",ROUND(AT51*(1-Справочники!$B$18),0))</f>
        <v/>
      </c>
      <c r="AZ51" s="90" t="str">
        <f aca="false">IF(AT51="","",ROUND(AT51*(1-Справочники!$B$19),0))</f>
        <v/>
      </c>
      <c r="BA51" s="81"/>
      <c r="BB51" s="81"/>
      <c r="BC51" s="81"/>
      <c r="BD51" s="81"/>
      <c r="BE51" s="91"/>
      <c r="BF51" s="81" t="s">
        <v>103</v>
      </c>
      <c r="BG51" s="89" t="n">
        <f aca="false" t="array" ref="BG51:BG51">IF(BF51="","",IFERROR(INDEX(Справочники!$B$4:$B$7,MATCH(BF51,Справочники!$A$4:$A$7,0)),""))</f>
        <v>68.5</v>
      </c>
      <c r="BH51" s="90" t="str">
        <f aca="false">IF(N(BN51)&gt;0,ROUND(SUMIF(ЗАКАЗЫ!$F$3:$F$500,$A51,ЗАКАЗЫ!$Y$3:$Y$500)/BN51,0),IF(OR(BE51="",BG51=""),"",ROUND(BE51*BG51*(1+Справочники!$B$10),0)))</f>
        <v/>
      </c>
      <c r="BI51" s="92" t="str">
        <f aca="false">IF(OR(AU51="",BH51="",AU51=0),"",(AU51-BH51)/AU51)</f>
        <v/>
      </c>
      <c r="BJ51" s="81"/>
      <c r="BK51" s="83"/>
      <c r="BL51" s="43" t="str">
        <f aca="false">IFERROR(INDEX(ЗАКАЗЫ!$N$3:$N$500,MATCH($A51,ЗАКАЗЫ!$F$3:$F$500,0)),"")</f>
        <v/>
      </c>
      <c r="BM51" s="8" t="str">
        <f aca="false">IF(BL51="","",IFERROR(VLOOKUP(BL51,'ТН ВЭД'!$A$4:$C$40,3,0),""))</f>
        <v/>
      </c>
      <c r="BN51" s="7" t="str">
        <f aca="false">IF(COUNTIF(ЗАКАЗЫ!$F$3:$F$500,$A51)=0,"",SUMIF(ЗАКАЗЫ!$F$3:$F$500,$A51,ЗАКАЗЫ!$J$3:$J$500))</f>
        <v/>
      </c>
      <c r="BO51" s="7" t="str">
        <f aca="false">IF(BN51="","",SUMIF(ЗАКАЗЫ!$F$3:$F$500,$A51,ЗАКАЗЫ!$AL$3:$AL$500))</f>
        <v/>
      </c>
      <c r="BP51" s="7" t="str">
        <f aca="false">IF(BN51="","",BN51-BO51)</f>
        <v/>
      </c>
      <c r="BQ51" s="55" t="str">
        <f aca="false">IF(BN51="","",IF(BO51&gt;=BN51,"На складе",IF(BO51&gt;0,"Частично","Ждём")))</f>
        <v/>
      </c>
      <c r="BR51" s="43"/>
      <c r="BS51" s="47" t="str">
        <f aca="false">IF(BN51="","",IF(_xlfn.MAXIFS(ЗАКАЗЫ!$AK$3:$AK$500,ЗАКАЗЫ!$F$3:$F$500,$A51)=0,"",_xlfn.MAXIFS(ЗАКАЗЫ!$AK$3:$AK$500,ЗАКАЗЫ!$F$3:$F$500,$A51)))</f>
        <v/>
      </c>
    </row>
    <row r="52" customFormat="false" ht="15.75" hidden="false" customHeight="true" outlineLevel="0" collapsed="false">
      <c r="A52" s="80" t="s">
        <v>884</v>
      </c>
      <c r="B52" s="81"/>
      <c r="C52" s="81"/>
      <c r="D52" s="81"/>
      <c r="E52" s="83"/>
      <c r="F52" s="81"/>
      <c r="G52" s="83"/>
      <c r="H52" s="83"/>
      <c r="I52" s="84" t="str">
        <f aca="false">IF(E52="","",A52&amp;"_1.jpg")</f>
        <v/>
      </c>
      <c r="J52" s="84" t="str">
        <f aca="false">IF(E52="","",A52&amp;"_2.jpg; "&amp;A52&amp;"_3.jpg")</f>
        <v/>
      </c>
      <c r="K52" s="84" t="str">
        <f aca="false">IF(E52="","",A52&amp;"_schema.jpg")</f>
        <v/>
      </c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 t="s">
        <v>96</v>
      </c>
      <c r="W52" s="81"/>
      <c r="X52" s="81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6" t="str">
        <f aca="false">IF(SUM(Y52:AJ52)=0,"",SUM(Y52:AJ52))</f>
        <v/>
      </c>
      <c r="AL52" s="84" t="str">
        <f aca="false">MID(IF(N(Y52)&gt;0,", "&amp;Y$2,"")&amp;IF(N(Z52)&gt;0,", "&amp;Z$2,"")&amp;IF(N(AA52)&gt;0,", "&amp;AA$2,"")&amp;IF(N(AB52)&gt;0,", "&amp;AB$2,"")&amp;IF(N(AC52)&gt;0,", "&amp;AC$2,"")&amp;IF(N(AD52)&gt;0,", "&amp;AD$2,"")&amp;IF(N(AE52)&gt;0,", "&amp;AE$2,"")&amp;IF(N(AF52)&gt;0,", "&amp;AF$2,"")&amp;IF(N(AG52)&gt;0,", "&amp;AG$2,"")&amp;IF(N(AH52)&gt;0,", "&amp;AH$2,"")&amp;IF(N(AI52)&gt;0,", "&amp;AI$2,"")&amp;IF(N(AJ52)&gt;0,", "&amp;AJ$2,""),3,999)</f>
        <v/>
      </c>
      <c r="AM52" s="87" t="str">
        <f aca="false">IF(E52="","",MID(IF(N(Y52)&gt;0,", "&amp;A52&amp;"-"&amp;Y$2,"")&amp;IF(N(Z52)&gt;0,", "&amp;A52&amp;"-"&amp;Z$2,"")&amp;IF(N(AA52)&gt;0,", "&amp;A52&amp;"-"&amp;AA$2,"")&amp;IF(N(AB52)&gt;0,", "&amp;A52&amp;"-"&amp;AB$2,"")&amp;IF(N(AC52)&gt;0,", "&amp;A52&amp;"-"&amp;AC$2,"")&amp;IF(N(AD52)&gt;0,", "&amp;A52&amp;"-"&amp;AD$2,"")&amp;IF(N(AE52)&gt;0,", "&amp;A52&amp;"-"&amp;AE$2,"")&amp;IF(N(AF52)&gt;0,", "&amp;A52&amp;"-"&amp;AF$2,"")&amp;IF(N(AG52)&gt;0,", "&amp;A52&amp;"-"&amp;AG$2,"")&amp;IF(N(AH52)&gt;0,", "&amp;A52&amp;"-"&amp;AH$2,"")&amp;IF(N(AI52)&gt;0,", "&amp;A52&amp;"-"&amp;AI$2,"")&amp;IF(N(AJ52)&gt;0,", "&amp;A52&amp;"-"&amp;AJ$2,""),3,999))</f>
        <v/>
      </c>
      <c r="AN52" s="81"/>
      <c r="AO52" s="88"/>
      <c r="AP52" s="89" t="str">
        <f aca="false">IF(AO52="","",ROUND(AO52/(1+Справочники!$B$13),2))</f>
        <v/>
      </c>
      <c r="AQ52" s="90" t="str">
        <f aca="false" t="array" ref="AQ52:AQ52">IF(AP52="","",AP52*INDEX(Справочники!$B$4:$B$7,MATCH("RUB",Справочники!$A$4:$A$7,0)))</f>
        <v/>
      </c>
      <c r="AR52" s="90" t="str">
        <f aca="false">IF(AQ52="","",ROUND(AQ52*(1+Справочники!$B$12),0))</f>
        <v/>
      </c>
      <c r="AS52" s="90" t="str">
        <f aca="false">IF(AR52="","",ROUND(AR52*(1-Справочники!$B$11),0))</f>
        <v/>
      </c>
      <c r="AT52" s="88"/>
      <c r="AU52" s="90" t="str">
        <f aca="false">IF(AT52="","",ROUND(AT52/(1+Справочники!$B$12),0))</f>
        <v/>
      </c>
      <c r="AV52" s="90" t="str">
        <f aca="false">IF(AT52="","",ROUND(AT52*(1-Справочники!$B$15),0))</f>
        <v/>
      </c>
      <c r="AW52" s="90" t="str">
        <f aca="false">IF(AT52="","",ROUND(AT52*(1-Справочники!$B$16),0))</f>
        <v/>
      </c>
      <c r="AX52" s="90" t="str">
        <f aca="false">IF(AT52="","",ROUND(AT52*(1-Справочники!$B$17),0))</f>
        <v/>
      </c>
      <c r="AY52" s="90" t="str">
        <f aca="false">IF(AT52="","",ROUND(AT52*(1-Справочники!$B$18),0))</f>
        <v/>
      </c>
      <c r="AZ52" s="90" t="str">
        <f aca="false">IF(AT52="","",ROUND(AT52*(1-Справочники!$B$19),0))</f>
        <v/>
      </c>
      <c r="BA52" s="81"/>
      <c r="BB52" s="81"/>
      <c r="BC52" s="81"/>
      <c r="BD52" s="81"/>
      <c r="BE52" s="91"/>
      <c r="BF52" s="81" t="s">
        <v>103</v>
      </c>
      <c r="BG52" s="89" t="n">
        <f aca="false" t="array" ref="BG52:BG52">IF(BF52="","",IFERROR(INDEX(Справочники!$B$4:$B$7,MATCH(BF52,Справочники!$A$4:$A$7,0)),""))</f>
        <v>68.5</v>
      </c>
      <c r="BH52" s="90" t="str">
        <f aca="false">IF(N(BN52)&gt;0,ROUND(SUMIF(ЗАКАЗЫ!$F$3:$F$500,$A52,ЗАКАЗЫ!$Y$3:$Y$500)/BN52,0),IF(OR(BE52="",BG52=""),"",ROUND(BE52*BG52*(1+Справочники!$B$10),0)))</f>
        <v/>
      </c>
      <c r="BI52" s="92" t="str">
        <f aca="false">IF(OR(AU52="",BH52="",AU52=0),"",(AU52-BH52)/AU52)</f>
        <v/>
      </c>
      <c r="BJ52" s="81"/>
      <c r="BK52" s="83"/>
      <c r="BL52" s="43" t="str">
        <f aca="false">IFERROR(INDEX(ЗАКАЗЫ!$N$3:$N$500,MATCH($A52,ЗАКАЗЫ!$F$3:$F$500,0)),"")</f>
        <v/>
      </c>
      <c r="BM52" s="8" t="str">
        <f aca="false">IF(BL52="","",IFERROR(VLOOKUP(BL52,'ТН ВЭД'!$A$4:$C$40,3,0),""))</f>
        <v/>
      </c>
      <c r="BN52" s="7" t="str">
        <f aca="false">IF(COUNTIF(ЗАКАЗЫ!$F$3:$F$500,$A52)=0,"",SUMIF(ЗАКАЗЫ!$F$3:$F$500,$A52,ЗАКАЗЫ!$J$3:$J$500))</f>
        <v/>
      </c>
      <c r="BO52" s="7" t="str">
        <f aca="false">IF(BN52="","",SUMIF(ЗАКАЗЫ!$F$3:$F$500,$A52,ЗАКАЗЫ!$AL$3:$AL$500))</f>
        <v/>
      </c>
      <c r="BP52" s="7" t="str">
        <f aca="false">IF(BN52="","",BN52-BO52)</f>
        <v/>
      </c>
      <c r="BQ52" s="55" t="str">
        <f aca="false">IF(BN52="","",IF(BO52&gt;=BN52,"На складе",IF(BO52&gt;0,"Частично","Ждём")))</f>
        <v/>
      </c>
      <c r="BR52" s="43"/>
      <c r="BS52" s="47" t="str">
        <f aca="false">IF(BN52="","",IF(_xlfn.MAXIFS(ЗАКАЗЫ!$AK$3:$AK$500,ЗАКАЗЫ!$F$3:$F$500,$A52)=0,"",_xlfn.MAXIFS(ЗАКАЗЫ!$AK$3:$AK$500,ЗАКАЗЫ!$F$3:$F$500,$A52)))</f>
        <v/>
      </c>
    </row>
    <row r="53" customFormat="false" ht="15.75" hidden="false" customHeight="true" outlineLevel="0" collapsed="false">
      <c r="A53" s="80" t="s">
        <v>885</v>
      </c>
      <c r="B53" s="81"/>
      <c r="C53" s="81"/>
      <c r="D53" s="81"/>
      <c r="E53" s="83"/>
      <c r="F53" s="81"/>
      <c r="G53" s="83"/>
      <c r="H53" s="83"/>
      <c r="I53" s="84" t="str">
        <f aca="false">IF(E53="","",A53&amp;"_1.jpg")</f>
        <v/>
      </c>
      <c r="J53" s="84" t="str">
        <f aca="false">IF(E53="","",A53&amp;"_2.jpg; "&amp;A53&amp;"_3.jpg")</f>
        <v/>
      </c>
      <c r="K53" s="84" t="str">
        <f aca="false">IF(E53="","",A53&amp;"_schema.jpg")</f>
        <v/>
      </c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 t="s">
        <v>96</v>
      </c>
      <c r="W53" s="81"/>
      <c r="X53" s="81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6" t="str">
        <f aca="false">IF(SUM(Y53:AJ53)=0,"",SUM(Y53:AJ53))</f>
        <v/>
      </c>
      <c r="AL53" s="84" t="str">
        <f aca="false">MID(IF(N(Y53)&gt;0,", "&amp;Y$2,"")&amp;IF(N(Z53)&gt;0,", "&amp;Z$2,"")&amp;IF(N(AA53)&gt;0,", "&amp;AA$2,"")&amp;IF(N(AB53)&gt;0,", "&amp;AB$2,"")&amp;IF(N(AC53)&gt;0,", "&amp;AC$2,"")&amp;IF(N(AD53)&gt;0,", "&amp;AD$2,"")&amp;IF(N(AE53)&gt;0,", "&amp;AE$2,"")&amp;IF(N(AF53)&gt;0,", "&amp;AF$2,"")&amp;IF(N(AG53)&gt;0,", "&amp;AG$2,"")&amp;IF(N(AH53)&gt;0,", "&amp;AH$2,"")&amp;IF(N(AI53)&gt;0,", "&amp;AI$2,"")&amp;IF(N(AJ53)&gt;0,", "&amp;AJ$2,""),3,999)</f>
        <v/>
      </c>
      <c r="AM53" s="87" t="str">
        <f aca="false">IF(E53="","",MID(IF(N(Y53)&gt;0,", "&amp;A53&amp;"-"&amp;Y$2,"")&amp;IF(N(Z53)&gt;0,", "&amp;A53&amp;"-"&amp;Z$2,"")&amp;IF(N(AA53)&gt;0,", "&amp;A53&amp;"-"&amp;AA$2,"")&amp;IF(N(AB53)&gt;0,", "&amp;A53&amp;"-"&amp;AB$2,"")&amp;IF(N(AC53)&gt;0,", "&amp;A53&amp;"-"&amp;AC$2,"")&amp;IF(N(AD53)&gt;0,", "&amp;A53&amp;"-"&amp;AD$2,"")&amp;IF(N(AE53)&gt;0,", "&amp;A53&amp;"-"&amp;AE$2,"")&amp;IF(N(AF53)&gt;0,", "&amp;A53&amp;"-"&amp;AF$2,"")&amp;IF(N(AG53)&gt;0,", "&amp;A53&amp;"-"&amp;AG$2,"")&amp;IF(N(AH53)&gt;0,", "&amp;A53&amp;"-"&amp;AH$2,"")&amp;IF(N(AI53)&gt;0,", "&amp;A53&amp;"-"&amp;AI$2,"")&amp;IF(N(AJ53)&gt;0,", "&amp;A53&amp;"-"&amp;AJ$2,""),3,999))</f>
        <v/>
      </c>
      <c r="AN53" s="81"/>
      <c r="AO53" s="88"/>
      <c r="AP53" s="89" t="str">
        <f aca="false">IF(AO53="","",ROUND(AO53/(1+Справочники!$B$13),2))</f>
        <v/>
      </c>
      <c r="AQ53" s="90" t="str">
        <f aca="false" t="array" ref="AQ53:AQ53">IF(AP53="","",AP53*INDEX(Справочники!$B$4:$B$7,MATCH("RUB",Справочники!$A$4:$A$7,0)))</f>
        <v/>
      </c>
      <c r="AR53" s="90" t="str">
        <f aca="false">IF(AQ53="","",ROUND(AQ53*(1+Справочники!$B$12),0))</f>
        <v/>
      </c>
      <c r="AS53" s="90" t="str">
        <f aca="false">IF(AR53="","",ROUND(AR53*(1-Справочники!$B$11),0))</f>
        <v/>
      </c>
      <c r="AT53" s="88"/>
      <c r="AU53" s="90" t="str">
        <f aca="false">IF(AT53="","",ROUND(AT53/(1+Справочники!$B$12),0))</f>
        <v/>
      </c>
      <c r="AV53" s="90" t="str">
        <f aca="false">IF(AT53="","",ROUND(AT53*(1-Справочники!$B$15),0))</f>
        <v/>
      </c>
      <c r="AW53" s="90" t="str">
        <f aca="false">IF(AT53="","",ROUND(AT53*(1-Справочники!$B$16),0))</f>
        <v/>
      </c>
      <c r="AX53" s="90" t="str">
        <f aca="false">IF(AT53="","",ROUND(AT53*(1-Справочники!$B$17),0))</f>
        <v/>
      </c>
      <c r="AY53" s="90" t="str">
        <f aca="false">IF(AT53="","",ROUND(AT53*(1-Справочники!$B$18),0))</f>
        <v/>
      </c>
      <c r="AZ53" s="90" t="str">
        <f aca="false">IF(AT53="","",ROUND(AT53*(1-Справочники!$B$19),0))</f>
        <v/>
      </c>
      <c r="BA53" s="81"/>
      <c r="BB53" s="81"/>
      <c r="BC53" s="81"/>
      <c r="BD53" s="81"/>
      <c r="BE53" s="91"/>
      <c r="BF53" s="81" t="s">
        <v>103</v>
      </c>
      <c r="BG53" s="89" t="n">
        <f aca="false" t="array" ref="BG53:BG53">IF(BF53="","",IFERROR(INDEX(Справочники!$B$4:$B$7,MATCH(BF53,Справочники!$A$4:$A$7,0)),""))</f>
        <v>68.5</v>
      </c>
      <c r="BH53" s="90" t="str">
        <f aca="false">IF(N(BN53)&gt;0,ROUND(SUMIF(ЗАКАЗЫ!$F$3:$F$500,$A53,ЗАКАЗЫ!$Y$3:$Y$500)/BN53,0),IF(OR(BE53="",BG53=""),"",ROUND(BE53*BG53*(1+Справочники!$B$10),0)))</f>
        <v/>
      </c>
      <c r="BI53" s="92" t="str">
        <f aca="false">IF(OR(AU53="",BH53="",AU53=0),"",(AU53-BH53)/AU53)</f>
        <v/>
      </c>
      <c r="BJ53" s="81"/>
      <c r="BK53" s="83"/>
      <c r="BL53" s="43" t="str">
        <f aca="false">IFERROR(INDEX(ЗАКАЗЫ!$N$3:$N$500,MATCH($A53,ЗАКАЗЫ!$F$3:$F$500,0)),"")</f>
        <v/>
      </c>
      <c r="BM53" s="8" t="str">
        <f aca="false">IF(BL53="","",IFERROR(VLOOKUP(BL53,'ТН ВЭД'!$A$4:$C$40,3,0),""))</f>
        <v/>
      </c>
      <c r="BN53" s="7" t="str">
        <f aca="false">IF(COUNTIF(ЗАКАЗЫ!$F$3:$F$500,$A53)=0,"",SUMIF(ЗАКАЗЫ!$F$3:$F$500,$A53,ЗАКАЗЫ!$J$3:$J$500))</f>
        <v/>
      </c>
      <c r="BO53" s="7" t="str">
        <f aca="false">IF(BN53="","",SUMIF(ЗАКАЗЫ!$F$3:$F$500,$A53,ЗАКАЗЫ!$AL$3:$AL$500))</f>
        <v/>
      </c>
      <c r="BP53" s="7" t="str">
        <f aca="false">IF(BN53="","",BN53-BO53)</f>
        <v/>
      </c>
      <c r="BQ53" s="55" t="str">
        <f aca="false">IF(BN53="","",IF(BO53&gt;=BN53,"На складе",IF(BO53&gt;0,"Частично","Ждём")))</f>
        <v/>
      </c>
      <c r="BR53" s="43"/>
      <c r="BS53" s="47" t="str">
        <f aca="false">IF(BN53="","",IF(_xlfn.MAXIFS(ЗАКАЗЫ!$AK$3:$AK$500,ЗАКАЗЫ!$F$3:$F$500,$A53)=0,"",_xlfn.MAXIFS(ЗАКАЗЫ!$AK$3:$AK$500,ЗАКАЗЫ!$F$3:$F$500,$A53)))</f>
        <v/>
      </c>
    </row>
    <row r="54" customFormat="false" ht="15.75" hidden="false" customHeight="true" outlineLevel="0" collapsed="false">
      <c r="A54" s="80" t="s">
        <v>886</v>
      </c>
      <c r="B54" s="81"/>
      <c r="C54" s="81"/>
      <c r="D54" s="81"/>
      <c r="E54" s="83"/>
      <c r="F54" s="81"/>
      <c r="G54" s="83"/>
      <c r="H54" s="83"/>
      <c r="I54" s="84" t="str">
        <f aca="false">IF(E54="","",A54&amp;"_1.jpg")</f>
        <v/>
      </c>
      <c r="J54" s="84" t="str">
        <f aca="false">IF(E54="","",A54&amp;"_2.jpg; "&amp;A54&amp;"_3.jpg")</f>
        <v/>
      </c>
      <c r="K54" s="84" t="str">
        <f aca="false">IF(E54="","",A54&amp;"_schema.jpg")</f>
        <v/>
      </c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 t="s">
        <v>96</v>
      </c>
      <c r="W54" s="81"/>
      <c r="X54" s="81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6" t="str">
        <f aca="false">IF(SUM(Y54:AJ54)=0,"",SUM(Y54:AJ54))</f>
        <v/>
      </c>
      <c r="AL54" s="84" t="str">
        <f aca="false">MID(IF(N(Y54)&gt;0,", "&amp;Y$2,"")&amp;IF(N(Z54)&gt;0,", "&amp;Z$2,"")&amp;IF(N(AA54)&gt;0,", "&amp;AA$2,"")&amp;IF(N(AB54)&gt;0,", "&amp;AB$2,"")&amp;IF(N(AC54)&gt;0,", "&amp;AC$2,"")&amp;IF(N(AD54)&gt;0,", "&amp;AD$2,"")&amp;IF(N(AE54)&gt;0,", "&amp;AE$2,"")&amp;IF(N(AF54)&gt;0,", "&amp;AF$2,"")&amp;IF(N(AG54)&gt;0,", "&amp;AG$2,"")&amp;IF(N(AH54)&gt;0,", "&amp;AH$2,"")&amp;IF(N(AI54)&gt;0,", "&amp;AI$2,"")&amp;IF(N(AJ54)&gt;0,", "&amp;AJ$2,""),3,999)</f>
        <v/>
      </c>
      <c r="AM54" s="87" t="str">
        <f aca="false">IF(E54="","",MID(IF(N(Y54)&gt;0,", "&amp;A54&amp;"-"&amp;Y$2,"")&amp;IF(N(Z54)&gt;0,", "&amp;A54&amp;"-"&amp;Z$2,"")&amp;IF(N(AA54)&gt;0,", "&amp;A54&amp;"-"&amp;AA$2,"")&amp;IF(N(AB54)&gt;0,", "&amp;A54&amp;"-"&amp;AB$2,"")&amp;IF(N(AC54)&gt;0,", "&amp;A54&amp;"-"&amp;AC$2,"")&amp;IF(N(AD54)&gt;0,", "&amp;A54&amp;"-"&amp;AD$2,"")&amp;IF(N(AE54)&gt;0,", "&amp;A54&amp;"-"&amp;AE$2,"")&amp;IF(N(AF54)&gt;0,", "&amp;A54&amp;"-"&amp;AF$2,"")&amp;IF(N(AG54)&gt;0,", "&amp;A54&amp;"-"&amp;AG$2,"")&amp;IF(N(AH54)&gt;0,", "&amp;A54&amp;"-"&amp;AH$2,"")&amp;IF(N(AI54)&gt;0,", "&amp;A54&amp;"-"&amp;AI$2,"")&amp;IF(N(AJ54)&gt;0,", "&amp;A54&amp;"-"&amp;AJ$2,""),3,999))</f>
        <v/>
      </c>
      <c r="AN54" s="81"/>
      <c r="AO54" s="88"/>
      <c r="AP54" s="89" t="str">
        <f aca="false">IF(AO54="","",ROUND(AO54/(1+Справочники!$B$13),2))</f>
        <v/>
      </c>
      <c r="AQ54" s="90" t="str">
        <f aca="false" t="array" ref="AQ54:AQ54">IF(AP54="","",AP54*INDEX(Справочники!$B$4:$B$7,MATCH("RUB",Справочники!$A$4:$A$7,0)))</f>
        <v/>
      </c>
      <c r="AR54" s="90" t="str">
        <f aca="false">IF(AQ54="","",ROUND(AQ54*(1+Справочники!$B$12),0))</f>
        <v/>
      </c>
      <c r="AS54" s="90" t="str">
        <f aca="false">IF(AR54="","",ROUND(AR54*(1-Справочники!$B$11),0))</f>
        <v/>
      </c>
      <c r="AT54" s="88"/>
      <c r="AU54" s="90" t="str">
        <f aca="false">IF(AT54="","",ROUND(AT54/(1+Справочники!$B$12),0))</f>
        <v/>
      </c>
      <c r="AV54" s="90" t="str">
        <f aca="false">IF(AT54="","",ROUND(AT54*(1-Справочники!$B$15),0))</f>
        <v/>
      </c>
      <c r="AW54" s="90" t="str">
        <f aca="false">IF(AT54="","",ROUND(AT54*(1-Справочники!$B$16),0))</f>
        <v/>
      </c>
      <c r="AX54" s="90" t="str">
        <f aca="false">IF(AT54="","",ROUND(AT54*(1-Справочники!$B$17),0))</f>
        <v/>
      </c>
      <c r="AY54" s="90" t="str">
        <f aca="false">IF(AT54="","",ROUND(AT54*(1-Справочники!$B$18),0))</f>
        <v/>
      </c>
      <c r="AZ54" s="90" t="str">
        <f aca="false">IF(AT54="","",ROUND(AT54*(1-Справочники!$B$19),0))</f>
        <v/>
      </c>
      <c r="BA54" s="81"/>
      <c r="BB54" s="81"/>
      <c r="BC54" s="81"/>
      <c r="BD54" s="81"/>
      <c r="BE54" s="91"/>
      <c r="BF54" s="81" t="s">
        <v>103</v>
      </c>
      <c r="BG54" s="89" t="n">
        <f aca="false" t="array" ref="BG54:BG54">IF(BF54="","",IFERROR(INDEX(Справочники!$B$4:$B$7,MATCH(BF54,Справочники!$A$4:$A$7,0)),""))</f>
        <v>68.5</v>
      </c>
      <c r="BH54" s="90" t="str">
        <f aca="false">IF(N(BN54)&gt;0,ROUND(SUMIF(ЗАКАЗЫ!$F$3:$F$500,$A54,ЗАКАЗЫ!$Y$3:$Y$500)/BN54,0),IF(OR(BE54="",BG54=""),"",ROUND(BE54*BG54*(1+Справочники!$B$10),0)))</f>
        <v/>
      </c>
      <c r="BI54" s="92" t="str">
        <f aca="false">IF(OR(AU54="",BH54="",AU54=0),"",(AU54-BH54)/AU54)</f>
        <v/>
      </c>
      <c r="BJ54" s="81"/>
      <c r="BK54" s="83"/>
      <c r="BL54" s="43" t="str">
        <f aca="false">IFERROR(INDEX(ЗАКАЗЫ!$N$3:$N$500,MATCH($A54,ЗАКАЗЫ!$F$3:$F$500,0)),"")</f>
        <v/>
      </c>
      <c r="BM54" s="8" t="str">
        <f aca="false">IF(BL54="","",IFERROR(VLOOKUP(BL54,'ТН ВЭД'!$A$4:$C$40,3,0),""))</f>
        <v/>
      </c>
      <c r="BN54" s="7" t="str">
        <f aca="false">IF(COUNTIF(ЗАКАЗЫ!$F$3:$F$500,$A54)=0,"",SUMIF(ЗАКАЗЫ!$F$3:$F$500,$A54,ЗАКАЗЫ!$J$3:$J$500))</f>
        <v/>
      </c>
      <c r="BO54" s="7" t="str">
        <f aca="false">IF(BN54="","",SUMIF(ЗАКАЗЫ!$F$3:$F$500,$A54,ЗАКАЗЫ!$AL$3:$AL$500))</f>
        <v/>
      </c>
      <c r="BP54" s="7" t="str">
        <f aca="false">IF(BN54="","",BN54-BO54)</f>
        <v/>
      </c>
      <c r="BQ54" s="55" t="str">
        <f aca="false">IF(BN54="","",IF(BO54&gt;=BN54,"На складе",IF(BO54&gt;0,"Частично","Ждём")))</f>
        <v/>
      </c>
      <c r="BR54" s="43"/>
      <c r="BS54" s="47" t="str">
        <f aca="false">IF(BN54="","",IF(_xlfn.MAXIFS(ЗАКАЗЫ!$AK$3:$AK$500,ЗАКАЗЫ!$F$3:$F$500,$A54)=0,"",_xlfn.MAXIFS(ЗАКАЗЫ!$AK$3:$AK$500,ЗАКАЗЫ!$F$3:$F$500,$A54)))</f>
        <v/>
      </c>
    </row>
    <row r="55" customFormat="false" ht="15.75" hidden="false" customHeight="true" outlineLevel="0" collapsed="false">
      <c r="A55" s="80" t="s">
        <v>887</v>
      </c>
      <c r="B55" s="81"/>
      <c r="C55" s="81"/>
      <c r="D55" s="81"/>
      <c r="E55" s="83"/>
      <c r="F55" s="81"/>
      <c r="G55" s="83"/>
      <c r="H55" s="83"/>
      <c r="I55" s="84" t="str">
        <f aca="false">IF(E55="","",A55&amp;"_1.jpg")</f>
        <v/>
      </c>
      <c r="J55" s="84" t="str">
        <f aca="false">IF(E55="","",A55&amp;"_2.jpg; "&amp;A55&amp;"_3.jpg")</f>
        <v/>
      </c>
      <c r="K55" s="84" t="str">
        <f aca="false">IF(E55="","",A55&amp;"_schema.jpg")</f>
        <v/>
      </c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 t="s">
        <v>96</v>
      </c>
      <c r="W55" s="81"/>
      <c r="X55" s="81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6" t="str">
        <f aca="false">IF(SUM(Y55:AJ55)=0,"",SUM(Y55:AJ55))</f>
        <v/>
      </c>
      <c r="AL55" s="84" t="str">
        <f aca="false">MID(IF(N(Y55)&gt;0,", "&amp;Y$2,"")&amp;IF(N(Z55)&gt;0,", "&amp;Z$2,"")&amp;IF(N(AA55)&gt;0,", "&amp;AA$2,"")&amp;IF(N(AB55)&gt;0,", "&amp;AB$2,"")&amp;IF(N(AC55)&gt;0,", "&amp;AC$2,"")&amp;IF(N(AD55)&gt;0,", "&amp;AD$2,"")&amp;IF(N(AE55)&gt;0,", "&amp;AE$2,"")&amp;IF(N(AF55)&gt;0,", "&amp;AF$2,"")&amp;IF(N(AG55)&gt;0,", "&amp;AG$2,"")&amp;IF(N(AH55)&gt;0,", "&amp;AH$2,"")&amp;IF(N(AI55)&gt;0,", "&amp;AI$2,"")&amp;IF(N(AJ55)&gt;0,", "&amp;AJ$2,""),3,999)</f>
        <v/>
      </c>
      <c r="AM55" s="87" t="str">
        <f aca="false">IF(E55="","",MID(IF(N(Y55)&gt;0,", "&amp;A55&amp;"-"&amp;Y$2,"")&amp;IF(N(Z55)&gt;0,", "&amp;A55&amp;"-"&amp;Z$2,"")&amp;IF(N(AA55)&gt;0,", "&amp;A55&amp;"-"&amp;AA$2,"")&amp;IF(N(AB55)&gt;0,", "&amp;A55&amp;"-"&amp;AB$2,"")&amp;IF(N(AC55)&gt;0,", "&amp;A55&amp;"-"&amp;AC$2,"")&amp;IF(N(AD55)&gt;0,", "&amp;A55&amp;"-"&amp;AD$2,"")&amp;IF(N(AE55)&gt;0,", "&amp;A55&amp;"-"&amp;AE$2,"")&amp;IF(N(AF55)&gt;0,", "&amp;A55&amp;"-"&amp;AF$2,"")&amp;IF(N(AG55)&gt;0,", "&amp;A55&amp;"-"&amp;AG$2,"")&amp;IF(N(AH55)&gt;0,", "&amp;A55&amp;"-"&amp;AH$2,"")&amp;IF(N(AI55)&gt;0,", "&amp;A55&amp;"-"&amp;AI$2,"")&amp;IF(N(AJ55)&gt;0,", "&amp;A55&amp;"-"&amp;AJ$2,""),3,999))</f>
        <v/>
      </c>
      <c r="AN55" s="81"/>
      <c r="AO55" s="88"/>
      <c r="AP55" s="89" t="str">
        <f aca="false">IF(AO55="","",ROUND(AO55/(1+Справочники!$B$13),2))</f>
        <v/>
      </c>
      <c r="AQ55" s="90" t="str">
        <f aca="false" t="array" ref="AQ55:AQ55">IF(AP55="","",AP55*INDEX(Справочники!$B$4:$B$7,MATCH("RUB",Справочники!$A$4:$A$7,0)))</f>
        <v/>
      </c>
      <c r="AR55" s="90" t="str">
        <f aca="false">IF(AQ55="","",ROUND(AQ55*(1+Справочники!$B$12),0))</f>
        <v/>
      </c>
      <c r="AS55" s="90" t="str">
        <f aca="false">IF(AR55="","",ROUND(AR55*(1-Справочники!$B$11),0))</f>
        <v/>
      </c>
      <c r="AT55" s="88"/>
      <c r="AU55" s="90" t="str">
        <f aca="false">IF(AT55="","",ROUND(AT55/(1+Справочники!$B$12),0))</f>
        <v/>
      </c>
      <c r="AV55" s="90" t="str">
        <f aca="false">IF(AT55="","",ROUND(AT55*(1-Справочники!$B$15),0))</f>
        <v/>
      </c>
      <c r="AW55" s="90" t="str">
        <f aca="false">IF(AT55="","",ROUND(AT55*(1-Справочники!$B$16),0))</f>
        <v/>
      </c>
      <c r="AX55" s="90" t="str">
        <f aca="false">IF(AT55="","",ROUND(AT55*(1-Справочники!$B$17),0))</f>
        <v/>
      </c>
      <c r="AY55" s="90" t="str">
        <f aca="false">IF(AT55="","",ROUND(AT55*(1-Справочники!$B$18),0))</f>
        <v/>
      </c>
      <c r="AZ55" s="90" t="str">
        <f aca="false">IF(AT55="","",ROUND(AT55*(1-Справочники!$B$19),0))</f>
        <v/>
      </c>
      <c r="BA55" s="81"/>
      <c r="BB55" s="81"/>
      <c r="BC55" s="81"/>
      <c r="BD55" s="81"/>
      <c r="BE55" s="91"/>
      <c r="BF55" s="81" t="s">
        <v>103</v>
      </c>
      <c r="BG55" s="89" t="n">
        <f aca="false" t="array" ref="BG55:BG55">IF(BF55="","",IFERROR(INDEX(Справочники!$B$4:$B$7,MATCH(BF55,Справочники!$A$4:$A$7,0)),""))</f>
        <v>68.5</v>
      </c>
      <c r="BH55" s="90" t="str">
        <f aca="false">IF(N(BN55)&gt;0,ROUND(SUMIF(ЗАКАЗЫ!$F$3:$F$500,$A55,ЗАКАЗЫ!$Y$3:$Y$500)/BN55,0),IF(OR(BE55="",BG55=""),"",ROUND(BE55*BG55*(1+Справочники!$B$10),0)))</f>
        <v/>
      </c>
      <c r="BI55" s="92" t="str">
        <f aca="false">IF(OR(AU55="",BH55="",AU55=0),"",(AU55-BH55)/AU55)</f>
        <v/>
      </c>
      <c r="BJ55" s="81"/>
      <c r="BK55" s="83"/>
      <c r="BL55" s="43" t="str">
        <f aca="false">IFERROR(INDEX(ЗАКАЗЫ!$N$3:$N$500,MATCH($A55,ЗАКАЗЫ!$F$3:$F$500,0)),"")</f>
        <v/>
      </c>
      <c r="BM55" s="8" t="str">
        <f aca="false">IF(BL55="","",IFERROR(VLOOKUP(BL55,'ТН ВЭД'!$A$4:$C$40,3,0),""))</f>
        <v/>
      </c>
      <c r="BN55" s="7" t="str">
        <f aca="false">IF(COUNTIF(ЗАКАЗЫ!$F$3:$F$500,$A55)=0,"",SUMIF(ЗАКАЗЫ!$F$3:$F$500,$A55,ЗАКАЗЫ!$J$3:$J$500))</f>
        <v/>
      </c>
      <c r="BO55" s="7" t="str">
        <f aca="false">IF(BN55="","",SUMIF(ЗАКАЗЫ!$F$3:$F$500,$A55,ЗАКАЗЫ!$AL$3:$AL$500))</f>
        <v/>
      </c>
      <c r="BP55" s="7" t="str">
        <f aca="false">IF(BN55="","",BN55-BO55)</f>
        <v/>
      </c>
      <c r="BQ55" s="55" t="str">
        <f aca="false">IF(BN55="","",IF(BO55&gt;=BN55,"На складе",IF(BO55&gt;0,"Частично","Ждём")))</f>
        <v/>
      </c>
      <c r="BR55" s="43"/>
      <c r="BS55" s="47" t="str">
        <f aca="false">IF(BN55="","",IF(_xlfn.MAXIFS(ЗАКАЗЫ!$AK$3:$AK$500,ЗАКАЗЫ!$F$3:$F$500,$A55)=0,"",_xlfn.MAXIFS(ЗАКАЗЫ!$AK$3:$AK$500,ЗАКАЗЫ!$F$3:$F$500,$A55)))</f>
        <v/>
      </c>
    </row>
    <row r="56" customFormat="false" ht="15.75" hidden="false" customHeight="true" outlineLevel="0" collapsed="false">
      <c r="A56" s="80" t="s">
        <v>888</v>
      </c>
      <c r="B56" s="81"/>
      <c r="C56" s="81"/>
      <c r="D56" s="81"/>
      <c r="E56" s="83"/>
      <c r="F56" s="81"/>
      <c r="G56" s="83"/>
      <c r="H56" s="83"/>
      <c r="I56" s="84" t="str">
        <f aca="false">IF(E56="","",A56&amp;"_1.jpg")</f>
        <v/>
      </c>
      <c r="J56" s="84" t="str">
        <f aca="false">IF(E56="","",A56&amp;"_2.jpg; "&amp;A56&amp;"_3.jpg")</f>
        <v/>
      </c>
      <c r="K56" s="84" t="str">
        <f aca="false">IF(E56="","",A56&amp;"_schema.jpg")</f>
        <v/>
      </c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 t="s">
        <v>96</v>
      </c>
      <c r="W56" s="81"/>
      <c r="X56" s="81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6" t="str">
        <f aca="false">IF(SUM(Y56:AJ56)=0,"",SUM(Y56:AJ56))</f>
        <v/>
      </c>
      <c r="AL56" s="84" t="str">
        <f aca="false">MID(IF(N(Y56)&gt;0,", "&amp;Y$2,"")&amp;IF(N(Z56)&gt;0,", "&amp;Z$2,"")&amp;IF(N(AA56)&gt;0,", "&amp;AA$2,"")&amp;IF(N(AB56)&gt;0,", "&amp;AB$2,"")&amp;IF(N(AC56)&gt;0,", "&amp;AC$2,"")&amp;IF(N(AD56)&gt;0,", "&amp;AD$2,"")&amp;IF(N(AE56)&gt;0,", "&amp;AE$2,"")&amp;IF(N(AF56)&gt;0,", "&amp;AF$2,"")&amp;IF(N(AG56)&gt;0,", "&amp;AG$2,"")&amp;IF(N(AH56)&gt;0,", "&amp;AH$2,"")&amp;IF(N(AI56)&gt;0,", "&amp;AI$2,"")&amp;IF(N(AJ56)&gt;0,", "&amp;AJ$2,""),3,999)</f>
        <v/>
      </c>
      <c r="AM56" s="87" t="str">
        <f aca="false">IF(E56="","",MID(IF(N(Y56)&gt;0,", "&amp;A56&amp;"-"&amp;Y$2,"")&amp;IF(N(Z56)&gt;0,", "&amp;A56&amp;"-"&amp;Z$2,"")&amp;IF(N(AA56)&gt;0,", "&amp;A56&amp;"-"&amp;AA$2,"")&amp;IF(N(AB56)&gt;0,", "&amp;A56&amp;"-"&amp;AB$2,"")&amp;IF(N(AC56)&gt;0,", "&amp;A56&amp;"-"&amp;AC$2,"")&amp;IF(N(AD56)&gt;0,", "&amp;A56&amp;"-"&amp;AD$2,"")&amp;IF(N(AE56)&gt;0,", "&amp;A56&amp;"-"&amp;AE$2,"")&amp;IF(N(AF56)&gt;0,", "&amp;A56&amp;"-"&amp;AF$2,"")&amp;IF(N(AG56)&gt;0,", "&amp;A56&amp;"-"&amp;AG$2,"")&amp;IF(N(AH56)&gt;0,", "&amp;A56&amp;"-"&amp;AH$2,"")&amp;IF(N(AI56)&gt;0,", "&amp;A56&amp;"-"&amp;AI$2,"")&amp;IF(N(AJ56)&gt;0,", "&amp;A56&amp;"-"&amp;AJ$2,""),3,999))</f>
        <v/>
      </c>
      <c r="AN56" s="81"/>
      <c r="AO56" s="88"/>
      <c r="AP56" s="89" t="str">
        <f aca="false">IF(AO56="","",ROUND(AO56/(1+Справочники!$B$13),2))</f>
        <v/>
      </c>
      <c r="AQ56" s="90" t="str">
        <f aca="false" t="array" ref="AQ56:AQ56">IF(AP56="","",AP56*INDEX(Справочники!$B$4:$B$7,MATCH("RUB",Справочники!$A$4:$A$7,0)))</f>
        <v/>
      </c>
      <c r="AR56" s="90" t="str">
        <f aca="false">IF(AQ56="","",ROUND(AQ56*(1+Справочники!$B$12),0))</f>
        <v/>
      </c>
      <c r="AS56" s="90" t="str">
        <f aca="false">IF(AR56="","",ROUND(AR56*(1-Справочники!$B$11),0))</f>
        <v/>
      </c>
      <c r="AT56" s="88"/>
      <c r="AU56" s="90" t="str">
        <f aca="false">IF(AT56="","",ROUND(AT56/(1+Справочники!$B$12),0))</f>
        <v/>
      </c>
      <c r="AV56" s="90" t="str">
        <f aca="false">IF(AT56="","",ROUND(AT56*(1-Справочники!$B$15),0))</f>
        <v/>
      </c>
      <c r="AW56" s="90" t="str">
        <f aca="false">IF(AT56="","",ROUND(AT56*(1-Справочники!$B$16),0))</f>
        <v/>
      </c>
      <c r="AX56" s="90" t="str">
        <f aca="false">IF(AT56="","",ROUND(AT56*(1-Справочники!$B$17),0))</f>
        <v/>
      </c>
      <c r="AY56" s="90" t="str">
        <f aca="false">IF(AT56="","",ROUND(AT56*(1-Справочники!$B$18),0))</f>
        <v/>
      </c>
      <c r="AZ56" s="90" t="str">
        <f aca="false">IF(AT56="","",ROUND(AT56*(1-Справочники!$B$19),0))</f>
        <v/>
      </c>
      <c r="BA56" s="81"/>
      <c r="BB56" s="81"/>
      <c r="BC56" s="81"/>
      <c r="BD56" s="81"/>
      <c r="BE56" s="91"/>
      <c r="BF56" s="81" t="s">
        <v>103</v>
      </c>
      <c r="BG56" s="89" t="n">
        <f aca="false" t="array" ref="BG56:BG56">IF(BF56="","",IFERROR(INDEX(Справочники!$B$4:$B$7,MATCH(BF56,Справочники!$A$4:$A$7,0)),""))</f>
        <v>68.5</v>
      </c>
      <c r="BH56" s="90" t="str">
        <f aca="false">IF(N(BN56)&gt;0,ROUND(SUMIF(ЗАКАЗЫ!$F$3:$F$500,$A56,ЗАКАЗЫ!$Y$3:$Y$500)/BN56,0),IF(OR(BE56="",BG56=""),"",ROUND(BE56*BG56*(1+Справочники!$B$10),0)))</f>
        <v/>
      </c>
      <c r="BI56" s="92" t="str">
        <f aca="false">IF(OR(AU56="",BH56="",AU56=0),"",(AU56-BH56)/AU56)</f>
        <v/>
      </c>
      <c r="BJ56" s="81"/>
      <c r="BK56" s="83"/>
      <c r="BL56" s="43" t="str">
        <f aca="false">IFERROR(INDEX(ЗАКАЗЫ!$N$3:$N$500,MATCH($A56,ЗАКАЗЫ!$F$3:$F$500,0)),"")</f>
        <v/>
      </c>
      <c r="BM56" s="8" t="str">
        <f aca="false">IF(BL56="","",IFERROR(VLOOKUP(BL56,'ТН ВЭД'!$A$4:$C$40,3,0),""))</f>
        <v/>
      </c>
      <c r="BN56" s="7" t="str">
        <f aca="false">IF(COUNTIF(ЗАКАЗЫ!$F$3:$F$500,$A56)=0,"",SUMIF(ЗАКАЗЫ!$F$3:$F$500,$A56,ЗАКАЗЫ!$J$3:$J$500))</f>
        <v/>
      </c>
      <c r="BO56" s="7" t="str">
        <f aca="false">IF(BN56="","",SUMIF(ЗАКАЗЫ!$F$3:$F$500,$A56,ЗАКАЗЫ!$AL$3:$AL$500))</f>
        <v/>
      </c>
      <c r="BP56" s="7" t="str">
        <f aca="false">IF(BN56="","",BN56-BO56)</f>
        <v/>
      </c>
      <c r="BQ56" s="55" t="str">
        <f aca="false">IF(BN56="","",IF(BO56&gt;=BN56,"На складе",IF(BO56&gt;0,"Частично","Ждём")))</f>
        <v/>
      </c>
      <c r="BR56" s="43"/>
      <c r="BS56" s="47" t="str">
        <f aca="false">IF(BN56="","",IF(_xlfn.MAXIFS(ЗАКАЗЫ!$AK$3:$AK$500,ЗАКАЗЫ!$F$3:$F$500,$A56)=0,"",_xlfn.MAXIFS(ЗАКАЗЫ!$AK$3:$AK$500,ЗАКАЗЫ!$F$3:$F$500,$A56)))</f>
        <v/>
      </c>
    </row>
    <row r="57" customFormat="false" ht="15.75" hidden="false" customHeight="true" outlineLevel="0" collapsed="false">
      <c r="A57" s="80" t="s">
        <v>889</v>
      </c>
      <c r="B57" s="81"/>
      <c r="C57" s="81"/>
      <c r="D57" s="81"/>
      <c r="E57" s="83"/>
      <c r="F57" s="81"/>
      <c r="G57" s="83"/>
      <c r="H57" s="83"/>
      <c r="I57" s="84" t="str">
        <f aca="false">IF(E57="","",A57&amp;"_1.jpg")</f>
        <v/>
      </c>
      <c r="J57" s="84" t="str">
        <f aca="false">IF(E57="","",A57&amp;"_2.jpg; "&amp;A57&amp;"_3.jpg")</f>
        <v/>
      </c>
      <c r="K57" s="84" t="str">
        <f aca="false">IF(E57="","",A57&amp;"_schema.jpg")</f>
        <v/>
      </c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 t="s">
        <v>96</v>
      </c>
      <c r="W57" s="81"/>
      <c r="X57" s="81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6" t="str">
        <f aca="false">IF(SUM(Y57:AJ57)=0,"",SUM(Y57:AJ57))</f>
        <v/>
      </c>
      <c r="AL57" s="84" t="str">
        <f aca="false">MID(IF(N(Y57)&gt;0,", "&amp;Y$2,"")&amp;IF(N(Z57)&gt;0,", "&amp;Z$2,"")&amp;IF(N(AA57)&gt;0,", "&amp;AA$2,"")&amp;IF(N(AB57)&gt;0,", "&amp;AB$2,"")&amp;IF(N(AC57)&gt;0,", "&amp;AC$2,"")&amp;IF(N(AD57)&gt;0,", "&amp;AD$2,"")&amp;IF(N(AE57)&gt;0,", "&amp;AE$2,"")&amp;IF(N(AF57)&gt;0,", "&amp;AF$2,"")&amp;IF(N(AG57)&gt;0,", "&amp;AG$2,"")&amp;IF(N(AH57)&gt;0,", "&amp;AH$2,"")&amp;IF(N(AI57)&gt;0,", "&amp;AI$2,"")&amp;IF(N(AJ57)&gt;0,", "&amp;AJ$2,""),3,999)</f>
        <v/>
      </c>
      <c r="AM57" s="87" t="str">
        <f aca="false">IF(E57="","",MID(IF(N(Y57)&gt;0,", "&amp;A57&amp;"-"&amp;Y$2,"")&amp;IF(N(Z57)&gt;0,", "&amp;A57&amp;"-"&amp;Z$2,"")&amp;IF(N(AA57)&gt;0,", "&amp;A57&amp;"-"&amp;AA$2,"")&amp;IF(N(AB57)&gt;0,", "&amp;A57&amp;"-"&amp;AB$2,"")&amp;IF(N(AC57)&gt;0,", "&amp;A57&amp;"-"&amp;AC$2,"")&amp;IF(N(AD57)&gt;0,", "&amp;A57&amp;"-"&amp;AD$2,"")&amp;IF(N(AE57)&gt;0,", "&amp;A57&amp;"-"&amp;AE$2,"")&amp;IF(N(AF57)&gt;0,", "&amp;A57&amp;"-"&amp;AF$2,"")&amp;IF(N(AG57)&gt;0,", "&amp;A57&amp;"-"&amp;AG$2,"")&amp;IF(N(AH57)&gt;0,", "&amp;A57&amp;"-"&amp;AH$2,"")&amp;IF(N(AI57)&gt;0,", "&amp;A57&amp;"-"&amp;AI$2,"")&amp;IF(N(AJ57)&gt;0,", "&amp;A57&amp;"-"&amp;AJ$2,""),3,999))</f>
        <v/>
      </c>
      <c r="AN57" s="81"/>
      <c r="AO57" s="88"/>
      <c r="AP57" s="89" t="str">
        <f aca="false">IF(AO57="","",ROUND(AO57/(1+Справочники!$B$13),2))</f>
        <v/>
      </c>
      <c r="AQ57" s="90" t="str">
        <f aca="false" t="array" ref="AQ57:AQ57">IF(AP57="","",AP57*INDEX(Справочники!$B$4:$B$7,MATCH("RUB",Справочники!$A$4:$A$7,0)))</f>
        <v/>
      </c>
      <c r="AR57" s="90" t="str">
        <f aca="false">IF(AQ57="","",ROUND(AQ57*(1+Справочники!$B$12),0))</f>
        <v/>
      </c>
      <c r="AS57" s="90" t="str">
        <f aca="false">IF(AR57="","",ROUND(AR57*(1-Справочники!$B$11),0))</f>
        <v/>
      </c>
      <c r="AT57" s="88"/>
      <c r="AU57" s="90" t="str">
        <f aca="false">IF(AT57="","",ROUND(AT57/(1+Справочники!$B$12),0))</f>
        <v/>
      </c>
      <c r="AV57" s="90" t="str">
        <f aca="false">IF(AT57="","",ROUND(AT57*(1-Справочники!$B$15),0))</f>
        <v/>
      </c>
      <c r="AW57" s="90" t="str">
        <f aca="false">IF(AT57="","",ROUND(AT57*(1-Справочники!$B$16),0))</f>
        <v/>
      </c>
      <c r="AX57" s="90" t="str">
        <f aca="false">IF(AT57="","",ROUND(AT57*(1-Справочники!$B$17),0))</f>
        <v/>
      </c>
      <c r="AY57" s="90" t="str">
        <f aca="false">IF(AT57="","",ROUND(AT57*(1-Справочники!$B$18),0))</f>
        <v/>
      </c>
      <c r="AZ57" s="90" t="str">
        <f aca="false">IF(AT57="","",ROUND(AT57*(1-Справочники!$B$19),0))</f>
        <v/>
      </c>
      <c r="BA57" s="81"/>
      <c r="BB57" s="81"/>
      <c r="BC57" s="81"/>
      <c r="BD57" s="81"/>
      <c r="BE57" s="91"/>
      <c r="BF57" s="81" t="s">
        <v>103</v>
      </c>
      <c r="BG57" s="89" t="n">
        <f aca="false" t="array" ref="BG57:BG57">IF(BF57="","",IFERROR(INDEX(Справочники!$B$4:$B$7,MATCH(BF57,Справочники!$A$4:$A$7,0)),""))</f>
        <v>68.5</v>
      </c>
      <c r="BH57" s="90" t="str">
        <f aca="false">IF(N(BN57)&gt;0,ROUND(SUMIF(ЗАКАЗЫ!$F$3:$F$500,$A57,ЗАКАЗЫ!$Y$3:$Y$500)/BN57,0),IF(OR(BE57="",BG57=""),"",ROUND(BE57*BG57*(1+Справочники!$B$10),0)))</f>
        <v/>
      </c>
      <c r="BI57" s="92" t="str">
        <f aca="false">IF(OR(AU57="",BH57="",AU57=0),"",(AU57-BH57)/AU57)</f>
        <v/>
      </c>
      <c r="BJ57" s="81"/>
      <c r="BK57" s="83"/>
      <c r="BL57" s="43" t="str">
        <f aca="false">IFERROR(INDEX(ЗАКАЗЫ!$N$3:$N$500,MATCH($A57,ЗАКАЗЫ!$F$3:$F$500,0)),"")</f>
        <v/>
      </c>
      <c r="BM57" s="8" t="str">
        <f aca="false">IF(BL57="","",IFERROR(VLOOKUP(BL57,'ТН ВЭД'!$A$4:$C$40,3,0),""))</f>
        <v/>
      </c>
      <c r="BN57" s="7" t="str">
        <f aca="false">IF(COUNTIF(ЗАКАЗЫ!$F$3:$F$500,$A57)=0,"",SUMIF(ЗАКАЗЫ!$F$3:$F$500,$A57,ЗАКАЗЫ!$J$3:$J$500))</f>
        <v/>
      </c>
      <c r="BO57" s="7" t="str">
        <f aca="false">IF(BN57="","",SUMIF(ЗАКАЗЫ!$F$3:$F$500,$A57,ЗАКАЗЫ!$AL$3:$AL$500))</f>
        <v/>
      </c>
      <c r="BP57" s="7" t="str">
        <f aca="false">IF(BN57="","",BN57-BO57)</f>
        <v/>
      </c>
      <c r="BQ57" s="55" t="str">
        <f aca="false">IF(BN57="","",IF(BO57&gt;=BN57,"На складе",IF(BO57&gt;0,"Частично","Ждём")))</f>
        <v/>
      </c>
      <c r="BR57" s="43"/>
      <c r="BS57" s="47" t="str">
        <f aca="false">IF(BN57="","",IF(_xlfn.MAXIFS(ЗАКАЗЫ!$AK$3:$AK$500,ЗАКАЗЫ!$F$3:$F$500,$A57)=0,"",_xlfn.MAXIFS(ЗАКАЗЫ!$AK$3:$AK$500,ЗАКАЗЫ!$F$3:$F$500,$A57)))</f>
        <v/>
      </c>
    </row>
    <row r="58" customFormat="false" ht="15.75" hidden="false" customHeight="true" outlineLevel="0" collapsed="false">
      <c r="A58" s="80" t="s">
        <v>890</v>
      </c>
      <c r="B58" s="81"/>
      <c r="C58" s="81"/>
      <c r="D58" s="81"/>
      <c r="E58" s="83"/>
      <c r="F58" s="81"/>
      <c r="G58" s="83"/>
      <c r="H58" s="83"/>
      <c r="I58" s="84" t="str">
        <f aca="false">IF(E58="","",A58&amp;"_1.jpg")</f>
        <v/>
      </c>
      <c r="J58" s="84" t="str">
        <f aca="false">IF(E58="","",A58&amp;"_2.jpg; "&amp;A58&amp;"_3.jpg")</f>
        <v/>
      </c>
      <c r="K58" s="84" t="str">
        <f aca="false">IF(E58="","",A58&amp;"_schema.jpg")</f>
        <v/>
      </c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 t="s">
        <v>96</v>
      </c>
      <c r="W58" s="81"/>
      <c r="X58" s="81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6" t="str">
        <f aca="false">IF(SUM(Y58:AJ58)=0,"",SUM(Y58:AJ58))</f>
        <v/>
      </c>
      <c r="AL58" s="84" t="str">
        <f aca="false">MID(IF(N(Y58)&gt;0,", "&amp;Y$2,"")&amp;IF(N(Z58)&gt;0,", "&amp;Z$2,"")&amp;IF(N(AA58)&gt;0,", "&amp;AA$2,"")&amp;IF(N(AB58)&gt;0,", "&amp;AB$2,"")&amp;IF(N(AC58)&gt;0,", "&amp;AC$2,"")&amp;IF(N(AD58)&gt;0,", "&amp;AD$2,"")&amp;IF(N(AE58)&gt;0,", "&amp;AE$2,"")&amp;IF(N(AF58)&gt;0,", "&amp;AF$2,"")&amp;IF(N(AG58)&gt;0,", "&amp;AG$2,"")&amp;IF(N(AH58)&gt;0,", "&amp;AH$2,"")&amp;IF(N(AI58)&gt;0,", "&amp;AI$2,"")&amp;IF(N(AJ58)&gt;0,", "&amp;AJ$2,""),3,999)</f>
        <v/>
      </c>
      <c r="AM58" s="87" t="str">
        <f aca="false">IF(E58="","",MID(IF(N(Y58)&gt;0,", "&amp;A58&amp;"-"&amp;Y$2,"")&amp;IF(N(Z58)&gt;0,", "&amp;A58&amp;"-"&amp;Z$2,"")&amp;IF(N(AA58)&gt;0,", "&amp;A58&amp;"-"&amp;AA$2,"")&amp;IF(N(AB58)&gt;0,", "&amp;A58&amp;"-"&amp;AB$2,"")&amp;IF(N(AC58)&gt;0,", "&amp;A58&amp;"-"&amp;AC$2,"")&amp;IF(N(AD58)&gt;0,", "&amp;A58&amp;"-"&amp;AD$2,"")&amp;IF(N(AE58)&gt;0,", "&amp;A58&amp;"-"&amp;AE$2,"")&amp;IF(N(AF58)&gt;0,", "&amp;A58&amp;"-"&amp;AF$2,"")&amp;IF(N(AG58)&gt;0,", "&amp;A58&amp;"-"&amp;AG$2,"")&amp;IF(N(AH58)&gt;0,", "&amp;A58&amp;"-"&amp;AH$2,"")&amp;IF(N(AI58)&gt;0,", "&amp;A58&amp;"-"&amp;AI$2,"")&amp;IF(N(AJ58)&gt;0,", "&amp;A58&amp;"-"&amp;AJ$2,""),3,999))</f>
        <v/>
      </c>
      <c r="AN58" s="81"/>
      <c r="AO58" s="88"/>
      <c r="AP58" s="89" t="str">
        <f aca="false">IF(AO58="","",ROUND(AO58/(1+Справочники!$B$13),2))</f>
        <v/>
      </c>
      <c r="AQ58" s="90" t="str">
        <f aca="false" t="array" ref="AQ58:AQ58">IF(AP58="","",AP58*INDEX(Справочники!$B$4:$B$7,MATCH("RUB",Справочники!$A$4:$A$7,0)))</f>
        <v/>
      </c>
      <c r="AR58" s="90" t="str">
        <f aca="false">IF(AQ58="","",ROUND(AQ58*(1+Справочники!$B$12),0))</f>
        <v/>
      </c>
      <c r="AS58" s="90" t="str">
        <f aca="false">IF(AR58="","",ROUND(AR58*(1-Справочники!$B$11),0))</f>
        <v/>
      </c>
      <c r="AT58" s="88"/>
      <c r="AU58" s="90" t="str">
        <f aca="false">IF(AT58="","",ROUND(AT58/(1+Справочники!$B$12),0))</f>
        <v/>
      </c>
      <c r="AV58" s="90" t="str">
        <f aca="false">IF(AT58="","",ROUND(AT58*(1-Справочники!$B$15),0))</f>
        <v/>
      </c>
      <c r="AW58" s="90" t="str">
        <f aca="false">IF(AT58="","",ROUND(AT58*(1-Справочники!$B$16),0))</f>
        <v/>
      </c>
      <c r="AX58" s="90" t="str">
        <f aca="false">IF(AT58="","",ROUND(AT58*(1-Справочники!$B$17),0))</f>
        <v/>
      </c>
      <c r="AY58" s="90" t="str">
        <f aca="false">IF(AT58="","",ROUND(AT58*(1-Справочники!$B$18),0))</f>
        <v/>
      </c>
      <c r="AZ58" s="90" t="str">
        <f aca="false">IF(AT58="","",ROUND(AT58*(1-Справочники!$B$19),0))</f>
        <v/>
      </c>
      <c r="BA58" s="81"/>
      <c r="BB58" s="81"/>
      <c r="BC58" s="81"/>
      <c r="BD58" s="81"/>
      <c r="BE58" s="91"/>
      <c r="BF58" s="81" t="s">
        <v>103</v>
      </c>
      <c r="BG58" s="89" t="n">
        <f aca="false" t="array" ref="BG58:BG58">IF(BF58="","",IFERROR(INDEX(Справочники!$B$4:$B$7,MATCH(BF58,Справочники!$A$4:$A$7,0)),""))</f>
        <v>68.5</v>
      </c>
      <c r="BH58" s="90" t="str">
        <f aca="false">IF(N(BN58)&gt;0,ROUND(SUMIF(ЗАКАЗЫ!$F$3:$F$500,$A58,ЗАКАЗЫ!$Y$3:$Y$500)/BN58,0),IF(OR(BE58="",BG58=""),"",ROUND(BE58*BG58*(1+Справочники!$B$10),0)))</f>
        <v/>
      </c>
      <c r="BI58" s="92" t="str">
        <f aca="false">IF(OR(AU58="",BH58="",AU58=0),"",(AU58-BH58)/AU58)</f>
        <v/>
      </c>
      <c r="BJ58" s="81"/>
      <c r="BK58" s="83"/>
      <c r="BL58" s="43" t="str">
        <f aca="false">IFERROR(INDEX(ЗАКАЗЫ!$N$3:$N$500,MATCH($A58,ЗАКАЗЫ!$F$3:$F$500,0)),"")</f>
        <v/>
      </c>
      <c r="BM58" s="8" t="str">
        <f aca="false">IF(BL58="","",IFERROR(VLOOKUP(BL58,'ТН ВЭД'!$A$4:$C$40,3,0),""))</f>
        <v/>
      </c>
      <c r="BN58" s="7" t="str">
        <f aca="false">IF(COUNTIF(ЗАКАЗЫ!$F$3:$F$500,$A58)=0,"",SUMIF(ЗАКАЗЫ!$F$3:$F$500,$A58,ЗАКАЗЫ!$J$3:$J$500))</f>
        <v/>
      </c>
      <c r="BO58" s="7" t="str">
        <f aca="false">IF(BN58="","",SUMIF(ЗАКАЗЫ!$F$3:$F$500,$A58,ЗАКАЗЫ!$AL$3:$AL$500))</f>
        <v/>
      </c>
      <c r="BP58" s="7" t="str">
        <f aca="false">IF(BN58="","",BN58-BO58)</f>
        <v/>
      </c>
      <c r="BQ58" s="55" t="str">
        <f aca="false">IF(BN58="","",IF(BO58&gt;=BN58,"На складе",IF(BO58&gt;0,"Частично","Ждём")))</f>
        <v/>
      </c>
      <c r="BR58" s="43"/>
      <c r="BS58" s="47" t="str">
        <f aca="false">IF(BN58="","",IF(_xlfn.MAXIFS(ЗАКАЗЫ!$AK$3:$AK$500,ЗАКАЗЫ!$F$3:$F$500,$A58)=0,"",_xlfn.MAXIFS(ЗАКАЗЫ!$AK$3:$AK$500,ЗАКАЗЫ!$F$3:$F$500,$A58)))</f>
        <v/>
      </c>
    </row>
    <row r="59" customFormat="false" ht="15.75" hidden="false" customHeight="true" outlineLevel="0" collapsed="false">
      <c r="A59" s="80" t="s">
        <v>891</v>
      </c>
      <c r="B59" s="81"/>
      <c r="C59" s="81"/>
      <c r="D59" s="81"/>
      <c r="E59" s="83"/>
      <c r="F59" s="81"/>
      <c r="G59" s="83"/>
      <c r="H59" s="83"/>
      <c r="I59" s="84" t="str">
        <f aca="false">IF(E59="","",A59&amp;"_1.jpg")</f>
        <v/>
      </c>
      <c r="J59" s="84" t="str">
        <f aca="false">IF(E59="","",A59&amp;"_2.jpg; "&amp;A59&amp;"_3.jpg")</f>
        <v/>
      </c>
      <c r="K59" s="84" t="str">
        <f aca="false">IF(E59="","",A59&amp;"_schema.jpg")</f>
        <v/>
      </c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 t="s">
        <v>96</v>
      </c>
      <c r="W59" s="81"/>
      <c r="X59" s="81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6" t="str">
        <f aca="false">IF(SUM(Y59:AJ59)=0,"",SUM(Y59:AJ59))</f>
        <v/>
      </c>
      <c r="AL59" s="84" t="str">
        <f aca="false">MID(IF(N(Y59)&gt;0,", "&amp;Y$2,"")&amp;IF(N(Z59)&gt;0,", "&amp;Z$2,"")&amp;IF(N(AA59)&gt;0,", "&amp;AA$2,"")&amp;IF(N(AB59)&gt;0,", "&amp;AB$2,"")&amp;IF(N(AC59)&gt;0,", "&amp;AC$2,"")&amp;IF(N(AD59)&gt;0,", "&amp;AD$2,"")&amp;IF(N(AE59)&gt;0,", "&amp;AE$2,"")&amp;IF(N(AF59)&gt;0,", "&amp;AF$2,"")&amp;IF(N(AG59)&gt;0,", "&amp;AG$2,"")&amp;IF(N(AH59)&gt;0,", "&amp;AH$2,"")&amp;IF(N(AI59)&gt;0,", "&amp;AI$2,"")&amp;IF(N(AJ59)&gt;0,", "&amp;AJ$2,""),3,999)</f>
        <v/>
      </c>
      <c r="AM59" s="87" t="str">
        <f aca="false">IF(E59="","",MID(IF(N(Y59)&gt;0,", "&amp;A59&amp;"-"&amp;Y$2,"")&amp;IF(N(Z59)&gt;0,", "&amp;A59&amp;"-"&amp;Z$2,"")&amp;IF(N(AA59)&gt;0,", "&amp;A59&amp;"-"&amp;AA$2,"")&amp;IF(N(AB59)&gt;0,", "&amp;A59&amp;"-"&amp;AB$2,"")&amp;IF(N(AC59)&gt;0,", "&amp;A59&amp;"-"&amp;AC$2,"")&amp;IF(N(AD59)&gt;0,", "&amp;A59&amp;"-"&amp;AD$2,"")&amp;IF(N(AE59)&gt;0,", "&amp;A59&amp;"-"&amp;AE$2,"")&amp;IF(N(AF59)&gt;0,", "&amp;A59&amp;"-"&amp;AF$2,"")&amp;IF(N(AG59)&gt;0,", "&amp;A59&amp;"-"&amp;AG$2,"")&amp;IF(N(AH59)&gt;0,", "&amp;A59&amp;"-"&amp;AH$2,"")&amp;IF(N(AI59)&gt;0,", "&amp;A59&amp;"-"&amp;AI$2,"")&amp;IF(N(AJ59)&gt;0,", "&amp;A59&amp;"-"&amp;AJ$2,""),3,999))</f>
        <v/>
      </c>
      <c r="AN59" s="81"/>
      <c r="AO59" s="88"/>
      <c r="AP59" s="89" t="str">
        <f aca="false">IF(AO59="","",ROUND(AO59/(1+Справочники!$B$13),2))</f>
        <v/>
      </c>
      <c r="AQ59" s="90" t="str">
        <f aca="false" t="array" ref="AQ59:AQ59">IF(AP59="","",AP59*INDEX(Справочники!$B$4:$B$7,MATCH("RUB",Справочники!$A$4:$A$7,0)))</f>
        <v/>
      </c>
      <c r="AR59" s="90" t="str">
        <f aca="false">IF(AQ59="","",ROUND(AQ59*(1+Справочники!$B$12),0))</f>
        <v/>
      </c>
      <c r="AS59" s="90" t="str">
        <f aca="false">IF(AR59="","",ROUND(AR59*(1-Справочники!$B$11),0))</f>
        <v/>
      </c>
      <c r="AT59" s="88"/>
      <c r="AU59" s="90" t="str">
        <f aca="false">IF(AT59="","",ROUND(AT59/(1+Справочники!$B$12),0))</f>
        <v/>
      </c>
      <c r="AV59" s="90" t="str">
        <f aca="false">IF(AT59="","",ROUND(AT59*(1-Справочники!$B$15),0))</f>
        <v/>
      </c>
      <c r="AW59" s="90" t="str">
        <f aca="false">IF(AT59="","",ROUND(AT59*(1-Справочники!$B$16),0))</f>
        <v/>
      </c>
      <c r="AX59" s="90" t="str">
        <f aca="false">IF(AT59="","",ROUND(AT59*(1-Справочники!$B$17),0))</f>
        <v/>
      </c>
      <c r="AY59" s="90" t="str">
        <f aca="false">IF(AT59="","",ROUND(AT59*(1-Справочники!$B$18),0))</f>
        <v/>
      </c>
      <c r="AZ59" s="90" t="str">
        <f aca="false">IF(AT59="","",ROUND(AT59*(1-Справочники!$B$19),0))</f>
        <v/>
      </c>
      <c r="BA59" s="81"/>
      <c r="BB59" s="81"/>
      <c r="BC59" s="81"/>
      <c r="BD59" s="81"/>
      <c r="BE59" s="91"/>
      <c r="BF59" s="81" t="s">
        <v>103</v>
      </c>
      <c r="BG59" s="89" t="n">
        <f aca="false" t="array" ref="BG59:BG59">IF(BF59="","",IFERROR(INDEX(Справочники!$B$4:$B$7,MATCH(BF59,Справочники!$A$4:$A$7,0)),""))</f>
        <v>68.5</v>
      </c>
      <c r="BH59" s="90" t="str">
        <f aca="false">IF(N(BN59)&gt;0,ROUND(SUMIF(ЗАКАЗЫ!$F$3:$F$500,$A59,ЗАКАЗЫ!$Y$3:$Y$500)/BN59,0),IF(OR(BE59="",BG59=""),"",ROUND(BE59*BG59*(1+Справочники!$B$10),0)))</f>
        <v/>
      </c>
      <c r="BI59" s="92" t="str">
        <f aca="false">IF(OR(AU59="",BH59="",AU59=0),"",(AU59-BH59)/AU59)</f>
        <v/>
      </c>
      <c r="BJ59" s="81"/>
      <c r="BK59" s="83"/>
      <c r="BL59" s="43" t="str">
        <f aca="false">IFERROR(INDEX(ЗАКАЗЫ!$N$3:$N$500,MATCH($A59,ЗАКАЗЫ!$F$3:$F$500,0)),"")</f>
        <v/>
      </c>
      <c r="BM59" s="8" t="str">
        <f aca="false">IF(BL59="","",IFERROR(VLOOKUP(BL59,'ТН ВЭД'!$A$4:$C$40,3,0),""))</f>
        <v/>
      </c>
      <c r="BN59" s="7" t="str">
        <f aca="false">IF(COUNTIF(ЗАКАЗЫ!$F$3:$F$500,$A59)=0,"",SUMIF(ЗАКАЗЫ!$F$3:$F$500,$A59,ЗАКАЗЫ!$J$3:$J$500))</f>
        <v/>
      </c>
      <c r="BO59" s="7" t="str">
        <f aca="false">IF(BN59="","",SUMIF(ЗАКАЗЫ!$F$3:$F$500,$A59,ЗАКАЗЫ!$AL$3:$AL$500))</f>
        <v/>
      </c>
      <c r="BP59" s="7" t="str">
        <f aca="false">IF(BN59="","",BN59-BO59)</f>
        <v/>
      </c>
      <c r="BQ59" s="55" t="str">
        <f aca="false">IF(BN59="","",IF(BO59&gt;=BN59,"На складе",IF(BO59&gt;0,"Частично","Ждём")))</f>
        <v/>
      </c>
      <c r="BR59" s="43"/>
      <c r="BS59" s="47" t="str">
        <f aca="false">IF(BN59="","",IF(_xlfn.MAXIFS(ЗАКАЗЫ!$AK$3:$AK$500,ЗАКАЗЫ!$F$3:$F$500,$A59)=0,"",_xlfn.MAXIFS(ЗАКАЗЫ!$AK$3:$AK$500,ЗАКАЗЫ!$F$3:$F$500,$A59)))</f>
        <v/>
      </c>
    </row>
    <row r="60" customFormat="false" ht="15.75" hidden="false" customHeight="true" outlineLevel="0" collapsed="false">
      <c r="A60" s="80" t="s">
        <v>892</v>
      </c>
      <c r="B60" s="81"/>
      <c r="C60" s="81"/>
      <c r="D60" s="81"/>
      <c r="E60" s="83"/>
      <c r="F60" s="81"/>
      <c r="G60" s="83"/>
      <c r="H60" s="83"/>
      <c r="I60" s="84" t="str">
        <f aca="false">IF(E60="","",A60&amp;"_1.jpg")</f>
        <v/>
      </c>
      <c r="J60" s="84" t="str">
        <f aca="false">IF(E60="","",A60&amp;"_2.jpg; "&amp;A60&amp;"_3.jpg")</f>
        <v/>
      </c>
      <c r="K60" s="84" t="str">
        <f aca="false">IF(E60="","",A60&amp;"_schema.jpg")</f>
        <v/>
      </c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 t="s">
        <v>96</v>
      </c>
      <c r="W60" s="81"/>
      <c r="X60" s="81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6" t="str">
        <f aca="false">IF(SUM(Y60:AJ60)=0,"",SUM(Y60:AJ60))</f>
        <v/>
      </c>
      <c r="AL60" s="84" t="str">
        <f aca="false">MID(IF(N(Y60)&gt;0,", "&amp;Y$2,"")&amp;IF(N(Z60)&gt;0,", "&amp;Z$2,"")&amp;IF(N(AA60)&gt;0,", "&amp;AA$2,"")&amp;IF(N(AB60)&gt;0,", "&amp;AB$2,"")&amp;IF(N(AC60)&gt;0,", "&amp;AC$2,"")&amp;IF(N(AD60)&gt;0,", "&amp;AD$2,"")&amp;IF(N(AE60)&gt;0,", "&amp;AE$2,"")&amp;IF(N(AF60)&gt;0,", "&amp;AF$2,"")&amp;IF(N(AG60)&gt;0,", "&amp;AG$2,"")&amp;IF(N(AH60)&gt;0,", "&amp;AH$2,"")&amp;IF(N(AI60)&gt;0,", "&amp;AI$2,"")&amp;IF(N(AJ60)&gt;0,", "&amp;AJ$2,""),3,999)</f>
        <v/>
      </c>
      <c r="AM60" s="87" t="str">
        <f aca="false">IF(E60="","",MID(IF(N(Y60)&gt;0,", "&amp;A60&amp;"-"&amp;Y$2,"")&amp;IF(N(Z60)&gt;0,", "&amp;A60&amp;"-"&amp;Z$2,"")&amp;IF(N(AA60)&gt;0,", "&amp;A60&amp;"-"&amp;AA$2,"")&amp;IF(N(AB60)&gt;0,", "&amp;A60&amp;"-"&amp;AB$2,"")&amp;IF(N(AC60)&gt;0,", "&amp;A60&amp;"-"&amp;AC$2,"")&amp;IF(N(AD60)&gt;0,", "&amp;A60&amp;"-"&amp;AD$2,"")&amp;IF(N(AE60)&gt;0,", "&amp;A60&amp;"-"&amp;AE$2,"")&amp;IF(N(AF60)&gt;0,", "&amp;A60&amp;"-"&amp;AF$2,"")&amp;IF(N(AG60)&gt;0,", "&amp;A60&amp;"-"&amp;AG$2,"")&amp;IF(N(AH60)&gt;0,", "&amp;A60&amp;"-"&amp;AH$2,"")&amp;IF(N(AI60)&gt;0,", "&amp;A60&amp;"-"&amp;AI$2,"")&amp;IF(N(AJ60)&gt;0,", "&amp;A60&amp;"-"&amp;AJ$2,""),3,999))</f>
        <v/>
      </c>
      <c r="AN60" s="81"/>
      <c r="AO60" s="88"/>
      <c r="AP60" s="89" t="str">
        <f aca="false">IF(AO60="","",ROUND(AO60/(1+Справочники!$B$13),2))</f>
        <v/>
      </c>
      <c r="AQ60" s="90" t="str">
        <f aca="false" t="array" ref="AQ60:AQ60">IF(AP60="","",AP60*INDEX(Справочники!$B$4:$B$7,MATCH("RUB",Справочники!$A$4:$A$7,0)))</f>
        <v/>
      </c>
      <c r="AR60" s="90" t="str">
        <f aca="false">IF(AQ60="","",ROUND(AQ60*(1+Справочники!$B$12),0))</f>
        <v/>
      </c>
      <c r="AS60" s="90" t="str">
        <f aca="false">IF(AR60="","",ROUND(AR60*(1-Справочники!$B$11),0))</f>
        <v/>
      </c>
      <c r="AT60" s="88"/>
      <c r="AU60" s="90" t="str">
        <f aca="false">IF(AT60="","",ROUND(AT60/(1+Справочники!$B$12),0))</f>
        <v/>
      </c>
      <c r="AV60" s="90" t="str">
        <f aca="false">IF(AT60="","",ROUND(AT60*(1-Справочники!$B$15),0))</f>
        <v/>
      </c>
      <c r="AW60" s="90" t="str">
        <f aca="false">IF(AT60="","",ROUND(AT60*(1-Справочники!$B$16),0))</f>
        <v/>
      </c>
      <c r="AX60" s="90" t="str">
        <f aca="false">IF(AT60="","",ROUND(AT60*(1-Справочники!$B$17),0))</f>
        <v/>
      </c>
      <c r="AY60" s="90" t="str">
        <f aca="false">IF(AT60="","",ROUND(AT60*(1-Справочники!$B$18),0))</f>
        <v/>
      </c>
      <c r="AZ60" s="90" t="str">
        <f aca="false">IF(AT60="","",ROUND(AT60*(1-Справочники!$B$19),0))</f>
        <v/>
      </c>
      <c r="BA60" s="81"/>
      <c r="BB60" s="81"/>
      <c r="BC60" s="81"/>
      <c r="BD60" s="81"/>
      <c r="BE60" s="91"/>
      <c r="BF60" s="81" t="s">
        <v>103</v>
      </c>
      <c r="BG60" s="89" t="n">
        <f aca="false" t="array" ref="BG60:BG60">IF(BF60="","",IFERROR(INDEX(Справочники!$B$4:$B$7,MATCH(BF60,Справочники!$A$4:$A$7,0)),""))</f>
        <v>68.5</v>
      </c>
      <c r="BH60" s="90" t="str">
        <f aca="false">IF(N(BN60)&gt;0,ROUND(SUMIF(ЗАКАЗЫ!$F$3:$F$500,$A60,ЗАКАЗЫ!$Y$3:$Y$500)/BN60,0),IF(OR(BE60="",BG60=""),"",ROUND(BE60*BG60*(1+Справочники!$B$10),0)))</f>
        <v/>
      </c>
      <c r="BI60" s="92" t="str">
        <f aca="false">IF(OR(AU60="",BH60="",AU60=0),"",(AU60-BH60)/AU60)</f>
        <v/>
      </c>
      <c r="BJ60" s="81"/>
      <c r="BK60" s="83"/>
      <c r="BL60" s="43" t="str">
        <f aca="false">IFERROR(INDEX(ЗАКАЗЫ!$N$3:$N$500,MATCH($A60,ЗАКАЗЫ!$F$3:$F$500,0)),"")</f>
        <v/>
      </c>
      <c r="BM60" s="8" t="str">
        <f aca="false">IF(BL60="","",IFERROR(VLOOKUP(BL60,'ТН ВЭД'!$A$4:$C$40,3,0),""))</f>
        <v/>
      </c>
      <c r="BN60" s="7" t="str">
        <f aca="false">IF(COUNTIF(ЗАКАЗЫ!$F$3:$F$500,$A60)=0,"",SUMIF(ЗАКАЗЫ!$F$3:$F$500,$A60,ЗАКАЗЫ!$J$3:$J$500))</f>
        <v/>
      </c>
      <c r="BO60" s="7" t="str">
        <f aca="false">IF(BN60="","",SUMIF(ЗАКАЗЫ!$F$3:$F$500,$A60,ЗАКАЗЫ!$AL$3:$AL$500))</f>
        <v/>
      </c>
      <c r="BP60" s="7" t="str">
        <f aca="false">IF(BN60="","",BN60-BO60)</f>
        <v/>
      </c>
      <c r="BQ60" s="55" t="str">
        <f aca="false">IF(BN60="","",IF(BO60&gt;=BN60,"На складе",IF(BO60&gt;0,"Частично","Ждём")))</f>
        <v/>
      </c>
      <c r="BR60" s="43"/>
      <c r="BS60" s="47" t="str">
        <f aca="false">IF(BN60="","",IF(_xlfn.MAXIFS(ЗАКАЗЫ!$AK$3:$AK$500,ЗАКАЗЫ!$F$3:$F$500,$A60)=0,"",_xlfn.MAXIFS(ЗАКАЗЫ!$AK$3:$AK$500,ЗАКАЗЫ!$F$3:$F$500,$A60)))</f>
        <v/>
      </c>
    </row>
    <row r="61" customFormat="false" ht="15.75" hidden="false" customHeight="true" outlineLevel="0" collapsed="false">
      <c r="A61" s="80" t="s">
        <v>893</v>
      </c>
      <c r="B61" s="81"/>
      <c r="C61" s="81"/>
      <c r="D61" s="81"/>
      <c r="E61" s="83"/>
      <c r="F61" s="81"/>
      <c r="G61" s="83"/>
      <c r="H61" s="83"/>
      <c r="I61" s="84" t="str">
        <f aca="false">IF(E61="","",A61&amp;"_1.jpg")</f>
        <v/>
      </c>
      <c r="J61" s="84" t="str">
        <f aca="false">IF(E61="","",A61&amp;"_2.jpg; "&amp;A61&amp;"_3.jpg")</f>
        <v/>
      </c>
      <c r="K61" s="84" t="str">
        <f aca="false">IF(E61="","",A61&amp;"_schema.jpg")</f>
        <v/>
      </c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 t="s">
        <v>96</v>
      </c>
      <c r="W61" s="81"/>
      <c r="X61" s="81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6" t="str">
        <f aca="false">IF(SUM(Y61:AJ61)=0,"",SUM(Y61:AJ61))</f>
        <v/>
      </c>
      <c r="AL61" s="84" t="str">
        <f aca="false">MID(IF(N(Y61)&gt;0,", "&amp;Y$2,"")&amp;IF(N(Z61)&gt;0,", "&amp;Z$2,"")&amp;IF(N(AA61)&gt;0,", "&amp;AA$2,"")&amp;IF(N(AB61)&gt;0,", "&amp;AB$2,"")&amp;IF(N(AC61)&gt;0,", "&amp;AC$2,"")&amp;IF(N(AD61)&gt;0,", "&amp;AD$2,"")&amp;IF(N(AE61)&gt;0,", "&amp;AE$2,"")&amp;IF(N(AF61)&gt;0,", "&amp;AF$2,"")&amp;IF(N(AG61)&gt;0,", "&amp;AG$2,"")&amp;IF(N(AH61)&gt;0,", "&amp;AH$2,"")&amp;IF(N(AI61)&gt;0,", "&amp;AI$2,"")&amp;IF(N(AJ61)&gt;0,", "&amp;AJ$2,""),3,999)</f>
        <v/>
      </c>
      <c r="AM61" s="87" t="str">
        <f aca="false">IF(E61="","",MID(IF(N(Y61)&gt;0,", "&amp;A61&amp;"-"&amp;Y$2,"")&amp;IF(N(Z61)&gt;0,", "&amp;A61&amp;"-"&amp;Z$2,"")&amp;IF(N(AA61)&gt;0,", "&amp;A61&amp;"-"&amp;AA$2,"")&amp;IF(N(AB61)&gt;0,", "&amp;A61&amp;"-"&amp;AB$2,"")&amp;IF(N(AC61)&gt;0,", "&amp;A61&amp;"-"&amp;AC$2,"")&amp;IF(N(AD61)&gt;0,", "&amp;A61&amp;"-"&amp;AD$2,"")&amp;IF(N(AE61)&gt;0,", "&amp;A61&amp;"-"&amp;AE$2,"")&amp;IF(N(AF61)&gt;0,", "&amp;A61&amp;"-"&amp;AF$2,"")&amp;IF(N(AG61)&gt;0,", "&amp;A61&amp;"-"&amp;AG$2,"")&amp;IF(N(AH61)&gt;0,", "&amp;A61&amp;"-"&amp;AH$2,"")&amp;IF(N(AI61)&gt;0,", "&amp;A61&amp;"-"&amp;AI$2,"")&amp;IF(N(AJ61)&gt;0,", "&amp;A61&amp;"-"&amp;AJ$2,""),3,999))</f>
        <v/>
      </c>
      <c r="AN61" s="81"/>
      <c r="AO61" s="88"/>
      <c r="AP61" s="89" t="str">
        <f aca="false">IF(AO61="","",ROUND(AO61/(1+Справочники!$B$13),2))</f>
        <v/>
      </c>
      <c r="AQ61" s="90" t="str">
        <f aca="false" t="array" ref="AQ61:AQ61">IF(AP61="","",AP61*INDEX(Справочники!$B$4:$B$7,MATCH("RUB",Справочники!$A$4:$A$7,0)))</f>
        <v/>
      </c>
      <c r="AR61" s="90" t="str">
        <f aca="false">IF(AQ61="","",ROUND(AQ61*(1+Справочники!$B$12),0))</f>
        <v/>
      </c>
      <c r="AS61" s="90" t="str">
        <f aca="false">IF(AR61="","",ROUND(AR61*(1-Справочники!$B$11),0))</f>
        <v/>
      </c>
      <c r="AT61" s="88"/>
      <c r="AU61" s="90" t="str">
        <f aca="false">IF(AT61="","",ROUND(AT61/(1+Справочники!$B$12),0))</f>
        <v/>
      </c>
      <c r="AV61" s="90" t="str">
        <f aca="false">IF(AT61="","",ROUND(AT61*(1-Справочники!$B$15),0))</f>
        <v/>
      </c>
      <c r="AW61" s="90" t="str">
        <f aca="false">IF(AT61="","",ROUND(AT61*(1-Справочники!$B$16),0))</f>
        <v/>
      </c>
      <c r="AX61" s="90" t="str">
        <f aca="false">IF(AT61="","",ROUND(AT61*(1-Справочники!$B$17),0))</f>
        <v/>
      </c>
      <c r="AY61" s="90" t="str">
        <f aca="false">IF(AT61="","",ROUND(AT61*(1-Справочники!$B$18),0))</f>
        <v/>
      </c>
      <c r="AZ61" s="90" t="str">
        <f aca="false">IF(AT61="","",ROUND(AT61*(1-Справочники!$B$19),0))</f>
        <v/>
      </c>
      <c r="BA61" s="81"/>
      <c r="BB61" s="81"/>
      <c r="BC61" s="81"/>
      <c r="BD61" s="81"/>
      <c r="BE61" s="91"/>
      <c r="BF61" s="81" t="s">
        <v>103</v>
      </c>
      <c r="BG61" s="89" t="n">
        <f aca="false" t="array" ref="BG61:BG61">IF(BF61="","",IFERROR(INDEX(Справочники!$B$4:$B$7,MATCH(BF61,Справочники!$A$4:$A$7,0)),""))</f>
        <v>68.5</v>
      </c>
      <c r="BH61" s="90" t="str">
        <f aca="false">IF(N(BN61)&gt;0,ROUND(SUMIF(ЗАКАЗЫ!$F$3:$F$500,$A61,ЗАКАЗЫ!$Y$3:$Y$500)/BN61,0),IF(OR(BE61="",BG61=""),"",ROUND(BE61*BG61*(1+Справочники!$B$10),0)))</f>
        <v/>
      </c>
      <c r="BI61" s="92" t="str">
        <f aca="false">IF(OR(AU61="",BH61="",AU61=0),"",(AU61-BH61)/AU61)</f>
        <v/>
      </c>
      <c r="BJ61" s="81"/>
      <c r="BK61" s="83"/>
      <c r="BL61" s="43" t="str">
        <f aca="false">IFERROR(INDEX(ЗАКАЗЫ!$N$3:$N$500,MATCH($A61,ЗАКАЗЫ!$F$3:$F$500,0)),"")</f>
        <v/>
      </c>
      <c r="BM61" s="8" t="str">
        <f aca="false">IF(BL61="","",IFERROR(VLOOKUP(BL61,'ТН ВЭД'!$A$4:$C$40,3,0),""))</f>
        <v/>
      </c>
      <c r="BN61" s="7" t="str">
        <f aca="false">IF(COUNTIF(ЗАКАЗЫ!$F$3:$F$500,$A61)=0,"",SUMIF(ЗАКАЗЫ!$F$3:$F$500,$A61,ЗАКАЗЫ!$J$3:$J$500))</f>
        <v/>
      </c>
      <c r="BO61" s="7" t="str">
        <f aca="false">IF(BN61="","",SUMIF(ЗАКАЗЫ!$F$3:$F$500,$A61,ЗАКАЗЫ!$AL$3:$AL$500))</f>
        <v/>
      </c>
      <c r="BP61" s="7" t="str">
        <f aca="false">IF(BN61="","",BN61-BO61)</f>
        <v/>
      </c>
      <c r="BQ61" s="55" t="str">
        <f aca="false">IF(BN61="","",IF(BO61&gt;=BN61,"На складе",IF(BO61&gt;0,"Частично","Ждём")))</f>
        <v/>
      </c>
      <c r="BR61" s="43"/>
      <c r="BS61" s="47" t="str">
        <f aca="false">IF(BN61="","",IF(_xlfn.MAXIFS(ЗАКАЗЫ!$AK$3:$AK$500,ЗАКАЗЫ!$F$3:$F$500,$A61)=0,"",_xlfn.MAXIFS(ЗАКАЗЫ!$AK$3:$AK$500,ЗАКАЗЫ!$F$3:$F$500,$A61)))</f>
        <v/>
      </c>
    </row>
    <row r="62" customFormat="false" ht="15.75" hidden="false" customHeight="true" outlineLevel="0" collapsed="false">
      <c r="A62" s="80" t="s">
        <v>894</v>
      </c>
      <c r="B62" s="81"/>
      <c r="C62" s="81"/>
      <c r="D62" s="81"/>
      <c r="E62" s="83"/>
      <c r="F62" s="81"/>
      <c r="G62" s="83"/>
      <c r="H62" s="83"/>
      <c r="I62" s="84" t="str">
        <f aca="false">IF(E62="","",A62&amp;"_1.jpg")</f>
        <v/>
      </c>
      <c r="J62" s="84" t="str">
        <f aca="false">IF(E62="","",A62&amp;"_2.jpg; "&amp;A62&amp;"_3.jpg")</f>
        <v/>
      </c>
      <c r="K62" s="84" t="str">
        <f aca="false">IF(E62="","",A62&amp;"_schema.jpg")</f>
        <v/>
      </c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 t="s">
        <v>96</v>
      </c>
      <c r="W62" s="81"/>
      <c r="X62" s="81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6" t="str">
        <f aca="false">IF(SUM(Y62:AJ62)=0,"",SUM(Y62:AJ62))</f>
        <v/>
      </c>
      <c r="AL62" s="84" t="str">
        <f aca="false">MID(IF(N(Y62)&gt;0,", "&amp;Y$2,"")&amp;IF(N(Z62)&gt;0,", "&amp;Z$2,"")&amp;IF(N(AA62)&gt;0,", "&amp;AA$2,"")&amp;IF(N(AB62)&gt;0,", "&amp;AB$2,"")&amp;IF(N(AC62)&gt;0,", "&amp;AC$2,"")&amp;IF(N(AD62)&gt;0,", "&amp;AD$2,"")&amp;IF(N(AE62)&gt;0,", "&amp;AE$2,"")&amp;IF(N(AF62)&gt;0,", "&amp;AF$2,"")&amp;IF(N(AG62)&gt;0,", "&amp;AG$2,"")&amp;IF(N(AH62)&gt;0,", "&amp;AH$2,"")&amp;IF(N(AI62)&gt;0,", "&amp;AI$2,"")&amp;IF(N(AJ62)&gt;0,", "&amp;AJ$2,""),3,999)</f>
        <v/>
      </c>
      <c r="AM62" s="87" t="str">
        <f aca="false">IF(E62="","",MID(IF(N(Y62)&gt;0,", "&amp;A62&amp;"-"&amp;Y$2,"")&amp;IF(N(Z62)&gt;0,", "&amp;A62&amp;"-"&amp;Z$2,"")&amp;IF(N(AA62)&gt;0,", "&amp;A62&amp;"-"&amp;AA$2,"")&amp;IF(N(AB62)&gt;0,", "&amp;A62&amp;"-"&amp;AB$2,"")&amp;IF(N(AC62)&gt;0,", "&amp;A62&amp;"-"&amp;AC$2,"")&amp;IF(N(AD62)&gt;0,", "&amp;A62&amp;"-"&amp;AD$2,"")&amp;IF(N(AE62)&gt;0,", "&amp;A62&amp;"-"&amp;AE$2,"")&amp;IF(N(AF62)&gt;0,", "&amp;A62&amp;"-"&amp;AF$2,"")&amp;IF(N(AG62)&gt;0,", "&amp;A62&amp;"-"&amp;AG$2,"")&amp;IF(N(AH62)&gt;0,", "&amp;A62&amp;"-"&amp;AH$2,"")&amp;IF(N(AI62)&gt;0,", "&amp;A62&amp;"-"&amp;AI$2,"")&amp;IF(N(AJ62)&gt;0,", "&amp;A62&amp;"-"&amp;AJ$2,""),3,999))</f>
        <v/>
      </c>
      <c r="AN62" s="81"/>
      <c r="AO62" s="88"/>
      <c r="AP62" s="89" t="str">
        <f aca="false">IF(AO62="","",ROUND(AO62/(1+Справочники!$B$13),2))</f>
        <v/>
      </c>
      <c r="AQ62" s="90" t="str">
        <f aca="false" t="array" ref="AQ62:AQ62">IF(AP62="","",AP62*INDEX(Справочники!$B$4:$B$7,MATCH("RUB",Справочники!$A$4:$A$7,0)))</f>
        <v/>
      </c>
      <c r="AR62" s="90" t="str">
        <f aca="false">IF(AQ62="","",ROUND(AQ62*(1+Справочники!$B$12),0))</f>
        <v/>
      </c>
      <c r="AS62" s="90" t="str">
        <f aca="false">IF(AR62="","",ROUND(AR62*(1-Справочники!$B$11),0))</f>
        <v/>
      </c>
      <c r="AT62" s="88"/>
      <c r="AU62" s="90" t="str">
        <f aca="false">IF(AT62="","",ROUND(AT62/(1+Справочники!$B$12),0))</f>
        <v/>
      </c>
      <c r="AV62" s="90" t="str">
        <f aca="false">IF(AT62="","",ROUND(AT62*(1-Справочники!$B$15),0))</f>
        <v/>
      </c>
      <c r="AW62" s="90" t="str">
        <f aca="false">IF(AT62="","",ROUND(AT62*(1-Справочники!$B$16),0))</f>
        <v/>
      </c>
      <c r="AX62" s="90" t="str">
        <f aca="false">IF(AT62="","",ROUND(AT62*(1-Справочники!$B$17),0))</f>
        <v/>
      </c>
      <c r="AY62" s="90" t="str">
        <f aca="false">IF(AT62="","",ROUND(AT62*(1-Справочники!$B$18),0))</f>
        <v/>
      </c>
      <c r="AZ62" s="90" t="str">
        <f aca="false">IF(AT62="","",ROUND(AT62*(1-Справочники!$B$19),0))</f>
        <v/>
      </c>
      <c r="BA62" s="81"/>
      <c r="BB62" s="81"/>
      <c r="BC62" s="81"/>
      <c r="BD62" s="81"/>
      <c r="BE62" s="91"/>
      <c r="BF62" s="81" t="s">
        <v>103</v>
      </c>
      <c r="BG62" s="89" t="n">
        <f aca="false" t="array" ref="BG62:BG62">IF(BF62="","",IFERROR(INDEX(Справочники!$B$4:$B$7,MATCH(BF62,Справочники!$A$4:$A$7,0)),""))</f>
        <v>68.5</v>
      </c>
      <c r="BH62" s="90" t="str">
        <f aca="false">IF(N(BN62)&gt;0,ROUND(SUMIF(ЗАКАЗЫ!$F$3:$F$500,$A62,ЗАКАЗЫ!$Y$3:$Y$500)/BN62,0),IF(OR(BE62="",BG62=""),"",ROUND(BE62*BG62*(1+Справочники!$B$10),0)))</f>
        <v/>
      </c>
      <c r="BI62" s="92" t="str">
        <f aca="false">IF(OR(AU62="",BH62="",AU62=0),"",(AU62-BH62)/AU62)</f>
        <v/>
      </c>
      <c r="BJ62" s="81"/>
      <c r="BK62" s="83"/>
      <c r="BL62" s="43" t="str">
        <f aca="false">IFERROR(INDEX(ЗАКАЗЫ!$N$3:$N$500,MATCH($A62,ЗАКАЗЫ!$F$3:$F$500,0)),"")</f>
        <v/>
      </c>
      <c r="BM62" s="8" t="str">
        <f aca="false">IF(BL62="","",IFERROR(VLOOKUP(BL62,'ТН ВЭД'!$A$4:$C$40,3,0),""))</f>
        <v/>
      </c>
      <c r="BN62" s="7" t="str">
        <f aca="false">IF(COUNTIF(ЗАКАЗЫ!$F$3:$F$500,$A62)=0,"",SUMIF(ЗАКАЗЫ!$F$3:$F$500,$A62,ЗАКАЗЫ!$J$3:$J$500))</f>
        <v/>
      </c>
      <c r="BO62" s="7" t="str">
        <f aca="false">IF(BN62="","",SUMIF(ЗАКАЗЫ!$F$3:$F$500,$A62,ЗАКАЗЫ!$AL$3:$AL$500))</f>
        <v/>
      </c>
      <c r="BP62" s="7" t="str">
        <f aca="false">IF(BN62="","",BN62-BO62)</f>
        <v/>
      </c>
      <c r="BQ62" s="55" t="str">
        <f aca="false">IF(BN62="","",IF(BO62&gt;=BN62,"На складе",IF(BO62&gt;0,"Частично","Ждём")))</f>
        <v/>
      </c>
      <c r="BR62" s="43"/>
      <c r="BS62" s="47" t="str">
        <f aca="false">IF(BN62="","",IF(_xlfn.MAXIFS(ЗАКАЗЫ!$AK$3:$AK$500,ЗАКАЗЫ!$F$3:$F$500,$A62)=0,"",_xlfn.MAXIFS(ЗАКАЗЫ!$AK$3:$AK$500,ЗАКАЗЫ!$F$3:$F$500,$A62)))</f>
        <v/>
      </c>
    </row>
    <row r="63" customFormat="false" ht="15.75" hidden="false" customHeight="true" outlineLevel="0" collapsed="false">
      <c r="A63" s="80" t="s">
        <v>895</v>
      </c>
      <c r="B63" s="81"/>
      <c r="C63" s="81"/>
      <c r="D63" s="81"/>
      <c r="E63" s="83"/>
      <c r="F63" s="81"/>
      <c r="G63" s="83"/>
      <c r="H63" s="83"/>
      <c r="I63" s="84" t="str">
        <f aca="false">IF(E63="","",A63&amp;"_1.jpg")</f>
        <v/>
      </c>
      <c r="J63" s="84" t="str">
        <f aca="false">IF(E63="","",A63&amp;"_2.jpg; "&amp;A63&amp;"_3.jpg")</f>
        <v/>
      </c>
      <c r="K63" s="84" t="str">
        <f aca="false">IF(E63="","",A63&amp;"_schema.jpg")</f>
        <v/>
      </c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 t="s">
        <v>96</v>
      </c>
      <c r="W63" s="81"/>
      <c r="X63" s="81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6" t="str">
        <f aca="false">IF(SUM(Y63:AJ63)=0,"",SUM(Y63:AJ63))</f>
        <v/>
      </c>
      <c r="AL63" s="84" t="str">
        <f aca="false">MID(IF(N(Y63)&gt;0,", "&amp;Y$2,"")&amp;IF(N(Z63)&gt;0,", "&amp;Z$2,"")&amp;IF(N(AA63)&gt;0,", "&amp;AA$2,"")&amp;IF(N(AB63)&gt;0,", "&amp;AB$2,"")&amp;IF(N(AC63)&gt;0,", "&amp;AC$2,"")&amp;IF(N(AD63)&gt;0,", "&amp;AD$2,"")&amp;IF(N(AE63)&gt;0,", "&amp;AE$2,"")&amp;IF(N(AF63)&gt;0,", "&amp;AF$2,"")&amp;IF(N(AG63)&gt;0,", "&amp;AG$2,"")&amp;IF(N(AH63)&gt;0,", "&amp;AH$2,"")&amp;IF(N(AI63)&gt;0,", "&amp;AI$2,"")&amp;IF(N(AJ63)&gt;0,", "&amp;AJ$2,""),3,999)</f>
        <v/>
      </c>
      <c r="AM63" s="87" t="str">
        <f aca="false">IF(E63="","",MID(IF(N(Y63)&gt;0,", "&amp;A63&amp;"-"&amp;Y$2,"")&amp;IF(N(Z63)&gt;0,", "&amp;A63&amp;"-"&amp;Z$2,"")&amp;IF(N(AA63)&gt;0,", "&amp;A63&amp;"-"&amp;AA$2,"")&amp;IF(N(AB63)&gt;0,", "&amp;A63&amp;"-"&amp;AB$2,"")&amp;IF(N(AC63)&gt;0,", "&amp;A63&amp;"-"&amp;AC$2,"")&amp;IF(N(AD63)&gt;0,", "&amp;A63&amp;"-"&amp;AD$2,"")&amp;IF(N(AE63)&gt;0,", "&amp;A63&amp;"-"&amp;AE$2,"")&amp;IF(N(AF63)&gt;0,", "&amp;A63&amp;"-"&amp;AF$2,"")&amp;IF(N(AG63)&gt;0,", "&amp;A63&amp;"-"&amp;AG$2,"")&amp;IF(N(AH63)&gt;0,", "&amp;A63&amp;"-"&amp;AH$2,"")&amp;IF(N(AI63)&gt;0,", "&amp;A63&amp;"-"&amp;AI$2,"")&amp;IF(N(AJ63)&gt;0,", "&amp;A63&amp;"-"&amp;AJ$2,""),3,999))</f>
        <v/>
      </c>
      <c r="AN63" s="81"/>
      <c r="AO63" s="88"/>
      <c r="AP63" s="89" t="str">
        <f aca="false">IF(AO63="","",ROUND(AO63/(1+Справочники!$B$13),2))</f>
        <v/>
      </c>
      <c r="AQ63" s="90" t="str">
        <f aca="false" t="array" ref="AQ63:AQ63">IF(AP63="","",AP63*INDEX(Справочники!$B$4:$B$7,MATCH("RUB",Справочники!$A$4:$A$7,0)))</f>
        <v/>
      </c>
      <c r="AR63" s="90" t="str">
        <f aca="false">IF(AQ63="","",ROUND(AQ63*(1+Справочники!$B$12),0))</f>
        <v/>
      </c>
      <c r="AS63" s="90" t="str">
        <f aca="false">IF(AR63="","",ROUND(AR63*(1-Справочники!$B$11),0))</f>
        <v/>
      </c>
      <c r="AT63" s="88"/>
      <c r="AU63" s="90" t="str">
        <f aca="false">IF(AT63="","",ROUND(AT63/(1+Справочники!$B$12),0))</f>
        <v/>
      </c>
      <c r="AV63" s="90" t="str">
        <f aca="false">IF(AT63="","",ROUND(AT63*(1-Справочники!$B$15),0))</f>
        <v/>
      </c>
      <c r="AW63" s="90" t="str">
        <f aca="false">IF(AT63="","",ROUND(AT63*(1-Справочники!$B$16),0))</f>
        <v/>
      </c>
      <c r="AX63" s="90" t="str">
        <f aca="false">IF(AT63="","",ROUND(AT63*(1-Справочники!$B$17),0))</f>
        <v/>
      </c>
      <c r="AY63" s="90" t="str">
        <f aca="false">IF(AT63="","",ROUND(AT63*(1-Справочники!$B$18),0))</f>
        <v/>
      </c>
      <c r="AZ63" s="90" t="str">
        <f aca="false">IF(AT63="","",ROUND(AT63*(1-Справочники!$B$19),0))</f>
        <v/>
      </c>
      <c r="BA63" s="81"/>
      <c r="BB63" s="81"/>
      <c r="BC63" s="81"/>
      <c r="BD63" s="81"/>
      <c r="BE63" s="91"/>
      <c r="BF63" s="81" t="s">
        <v>103</v>
      </c>
      <c r="BG63" s="89" t="n">
        <f aca="false" t="array" ref="BG63:BG63">IF(BF63="","",IFERROR(INDEX(Справочники!$B$4:$B$7,MATCH(BF63,Справочники!$A$4:$A$7,0)),""))</f>
        <v>68.5</v>
      </c>
      <c r="BH63" s="90" t="str">
        <f aca="false">IF(N(BN63)&gt;0,ROUND(SUMIF(ЗАКАЗЫ!$F$3:$F$500,$A63,ЗАКАЗЫ!$Y$3:$Y$500)/BN63,0),IF(OR(BE63="",BG63=""),"",ROUND(BE63*BG63*(1+Справочники!$B$10),0)))</f>
        <v/>
      </c>
      <c r="BI63" s="92" t="str">
        <f aca="false">IF(OR(AU63="",BH63="",AU63=0),"",(AU63-BH63)/AU63)</f>
        <v/>
      </c>
      <c r="BJ63" s="81"/>
      <c r="BK63" s="83"/>
      <c r="BL63" s="43" t="str">
        <f aca="false">IFERROR(INDEX(ЗАКАЗЫ!$N$3:$N$500,MATCH($A63,ЗАКАЗЫ!$F$3:$F$500,0)),"")</f>
        <v/>
      </c>
      <c r="BM63" s="8" t="str">
        <f aca="false">IF(BL63="","",IFERROR(VLOOKUP(BL63,'ТН ВЭД'!$A$4:$C$40,3,0),""))</f>
        <v/>
      </c>
      <c r="BN63" s="7" t="str">
        <f aca="false">IF(COUNTIF(ЗАКАЗЫ!$F$3:$F$500,$A63)=0,"",SUMIF(ЗАКАЗЫ!$F$3:$F$500,$A63,ЗАКАЗЫ!$J$3:$J$500))</f>
        <v/>
      </c>
      <c r="BO63" s="7" t="str">
        <f aca="false">IF(BN63="","",SUMIF(ЗАКАЗЫ!$F$3:$F$500,$A63,ЗАКАЗЫ!$AL$3:$AL$500))</f>
        <v/>
      </c>
      <c r="BP63" s="7" t="str">
        <f aca="false">IF(BN63="","",BN63-BO63)</f>
        <v/>
      </c>
      <c r="BQ63" s="55" t="str">
        <f aca="false">IF(BN63="","",IF(BO63&gt;=BN63,"На складе",IF(BO63&gt;0,"Частично","Ждём")))</f>
        <v/>
      </c>
      <c r="BR63" s="43"/>
      <c r="BS63" s="47" t="str">
        <f aca="false">IF(BN63="","",IF(_xlfn.MAXIFS(ЗАКАЗЫ!$AK$3:$AK$500,ЗАКАЗЫ!$F$3:$F$500,$A63)=0,"",_xlfn.MAXIFS(ЗАКАЗЫ!$AK$3:$AK$500,ЗАКАЗЫ!$F$3:$F$500,$A63)))</f>
        <v/>
      </c>
    </row>
    <row r="64" customFormat="false" ht="15.75" hidden="false" customHeight="true" outlineLevel="0" collapsed="false">
      <c r="A64" s="80" t="s">
        <v>896</v>
      </c>
      <c r="B64" s="81"/>
      <c r="C64" s="81"/>
      <c r="D64" s="81"/>
      <c r="E64" s="83"/>
      <c r="F64" s="81"/>
      <c r="G64" s="83"/>
      <c r="H64" s="83"/>
      <c r="I64" s="84" t="str">
        <f aca="false">IF(E64="","",A64&amp;"_1.jpg")</f>
        <v/>
      </c>
      <c r="J64" s="84" t="str">
        <f aca="false">IF(E64="","",A64&amp;"_2.jpg; "&amp;A64&amp;"_3.jpg")</f>
        <v/>
      </c>
      <c r="K64" s="84" t="str">
        <f aca="false">IF(E64="","",A64&amp;"_schema.jpg")</f>
        <v/>
      </c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 t="s">
        <v>96</v>
      </c>
      <c r="W64" s="81"/>
      <c r="X64" s="81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6" t="str">
        <f aca="false">IF(SUM(Y64:AJ64)=0,"",SUM(Y64:AJ64))</f>
        <v/>
      </c>
      <c r="AL64" s="84" t="str">
        <f aca="false">MID(IF(N(Y64)&gt;0,", "&amp;Y$2,"")&amp;IF(N(Z64)&gt;0,", "&amp;Z$2,"")&amp;IF(N(AA64)&gt;0,", "&amp;AA$2,"")&amp;IF(N(AB64)&gt;0,", "&amp;AB$2,"")&amp;IF(N(AC64)&gt;0,", "&amp;AC$2,"")&amp;IF(N(AD64)&gt;0,", "&amp;AD$2,"")&amp;IF(N(AE64)&gt;0,", "&amp;AE$2,"")&amp;IF(N(AF64)&gt;0,", "&amp;AF$2,"")&amp;IF(N(AG64)&gt;0,", "&amp;AG$2,"")&amp;IF(N(AH64)&gt;0,", "&amp;AH$2,"")&amp;IF(N(AI64)&gt;0,", "&amp;AI$2,"")&amp;IF(N(AJ64)&gt;0,", "&amp;AJ$2,""),3,999)</f>
        <v/>
      </c>
      <c r="AM64" s="87" t="str">
        <f aca="false">IF(E64="","",MID(IF(N(Y64)&gt;0,", "&amp;A64&amp;"-"&amp;Y$2,"")&amp;IF(N(Z64)&gt;0,", "&amp;A64&amp;"-"&amp;Z$2,"")&amp;IF(N(AA64)&gt;0,", "&amp;A64&amp;"-"&amp;AA$2,"")&amp;IF(N(AB64)&gt;0,", "&amp;A64&amp;"-"&amp;AB$2,"")&amp;IF(N(AC64)&gt;0,", "&amp;A64&amp;"-"&amp;AC$2,"")&amp;IF(N(AD64)&gt;0,", "&amp;A64&amp;"-"&amp;AD$2,"")&amp;IF(N(AE64)&gt;0,", "&amp;A64&amp;"-"&amp;AE$2,"")&amp;IF(N(AF64)&gt;0,", "&amp;A64&amp;"-"&amp;AF$2,"")&amp;IF(N(AG64)&gt;0,", "&amp;A64&amp;"-"&amp;AG$2,"")&amp;IF(N(AH64)&gt;0,", "&amp;A64&amp;"-"&amp;AH$2,"")&amp;IF(N(AI64)&gt;0,", "&amp;A64&amp;"-"&amp;AI$2,"")&amp;IF(N(AJ64)&gt;0,", "&amp;A64&amp;"-"&amp;AJ$2,""),3,999))</f>
        <v/>
      </c>
      <c r="AN64" s="81"/>
      <c r="AO64" s="88"/>
      <c r="AP64" s="89" t="str">
        <f aca="false">IF(AO64="","",ROUND(AO64/(1+Справочники!$B$13),2))</f>
        <v/>
      </c>
      <c r="AQ64" s="90" t="str">
        <f aca="false" t="array" ref="AQ64:AQ64">IF(AP64="","",AP64*INDEX(Справочники!$B$4:$B$7,MATCH("RUB",Справочники!$A$4:$A$7,0)))</f>
        <v/>
      </c>
      <c r="AR64" s="90" t="str">
        <f aca="false">IF(AQ64="","",ROUND(AQ64*(1+Справочники!$B$12),0))</f>
        <v/>
      </c>
      <c r="AS64" s="90" t="str">
        <f aca="false">IF(AR64="","",ROUND(AR64*(1-Справочники!$B$11),0))</f>
        <v/>
      </c>
      <c r="AT64" s="88"/>
      <c r="AU64" s="90" t="str">
        <f aca="false">IF(AT64="","",ROUND(AT64/(1+Справочники!$B$12),0))</f>
        <v/>
      </c>
      <c r="AV64" s="90" t="str">
        <f aca="false">IF(AT64="","",ROUND(AT64*(1-Справочники!$B$15),0))</f>
        <v/>
      </c>
      <c r="AW64" s="90" t="str">
        <f aca="false">IF(AT64="","",ROUND(AT64*(1-Справочники!$B$16),0))</f>
        <v/>
      </c>
      <c r="AX64" s="90" t="str">
        <f aca="false">IF(AT64="","",ROUND(AT64*(1-Справочники!$B$17),0))</f>
        <v/>
      </c>
      <c r="AY64" s="90" t="str">
        <f aca="false">IF(AT64="","",ROUND(AT64*(1-Справочники!$B$18),0))</f>
        <v/>
      </c>
      <c r="AZ64" s="90" t="str">
        <f aca="false">IF(AT64="","",ROUND(AT64*(1-Справочники!$B$19),0))</f>
        <v/>
      </c>
      <c r="BA64" s="81"/>
      <c r="BB64" s="81"/>
      <c r="BC64" s="81"/>
      <c r="BD64" s="81"/>
      <c r="BE64" s="91"/>
      <c r="BF64" s="81" t="s">
        <v>103</v>
      </c>
      <c r="BG64" s="89" t="n">
        <f aca="false" t="array" ref="BG64:BG64">IF(BF64="","",IFERROR(INDEX(Справочники!$B$4:$B$7,MATCH(BF64,Справочники!$A$4:$A$7,0)),""))</f>
        <v>68.5</v>
      </c>
      <c r="BH64" s="90" t="str">
        <f aca="false">IF(N(BN64)&gt;0,ROUND(SUMIF(ЗАКАЗЫ!$F$3:$F$500,$A64,ЗАКАЗЫ!$Y$3:$Y$500)/BN64,0),IF(OR(BE64="",BG64=""),"",ROUND(BE64*BG64*(1+Справочники!$B$10),0)))</f>
        <v/>
      </c>
      <c r="BI64" s="92" t="str">
        <f aca="false">IF(OR(AU64="",BH64="",AU64=0),"",(AU64-BH64)/AU64)</f>
        <v/>
      </c>
      <c r="BJ64" s="81"/>
      <c r="BK64" s="83"/>
      <c r="BL64" s="43" t="str">
        <f aca="false">IFERROR(INDEX(ЗАКАЗЫ!$N$3:$N$500,MATCH($A64,ЗАКАЗЫ!$F$3:$F$500,0)),"")</f>
        <v/>
      </c>
      <c r="BM64" s="8" t="str">
        <f aca="false">IF(BL64="","",IFERROR(VLOOKUP(BL64,'ТН ВЭД'!$A$4:$C$40,3,0),""))</f>
        <v/>
      </c>
      <c r="BN64" s="7" t="str">
        <f aca="false">IF(COUNTIF(ЗАКАЗЫ!$F$3:$F$500,$A64)=0,"",SUMIF(ЗАКАЗЫ!$F$3:$F$500,$A64,ЗАКАЗЫ!$J$3:$J$500))</f>
        <v/>
      </c>
      <c r="BO64" s="7" t="str">
        <f aca="false">IF(BN64="","",SUMIF(ЗАКАЗЫ!$F$3:$F$500,$A64,ЗАКАЗЫ!$AL$3:$AL$500))</f>
        <v/>
      </c>
      <c r="BP64" s="7" t="str">
        <f aca="false">IF(BN64="","",BN64-BO64)</f>
        <v/>
      </c>
      <c r="BQ64" s="55" t="str">
        <f aca="false">IF(BN64="","",IF(BO64&gt;=BN64,"На складе",IF(BO64&gt;0,"Частично","Ждём")))</f>
        <v/>
      </c>
      <c r="BR64" s="43"/>
      <c r="BS64" s="47" t="str">
        <f aca="false">IF(BN64="","",IF(_xlfn.MAXIFS(ЗАКАЗЫ!$AK$3:$AK$500,ЗАКАЗЫ!$F$3:$F$500,$A64)=0,"",_xlfn.MAXIFS(ЗАКАЗЫ!$AK$3:$AK$500,ЗАКАЗЫ!$F$3:$F$500,$A64)))</f>
        <v/>
      </c>
    </row>
    <row r="65" customFormat="false" ht="15.75" hidden="false" customHeight="true" outlineLevel="0" collapsed="false">
      <c r="A65" s="80" t="s">
        <v>897</v>
      </c>
      <c r="B65" s="81"/>
      <c r="C65" s="81"/>
      <c r="D65" s="81"/>
      <c r="E65" s="83"/>
      <c r="F65" s="81"/>
      <c r="G65" s="83"/>
      <c r="H65" s="83"/>
      <c r="I65" s="84" t="str">
        <f aca="false">IF(E65="","",A65&amp;"_1.jpg")</f>
        <v/>
      </c>
      <c r="J65" s="84" t="str">
        <f aca="false">IF(E65="","",A65&amp;"_2.jpg; "&amp;A65&amp;"_3.jpg")</f>
        <v/>
      </c>
      <c r="K65" s="84" t="str">
        <f aca="false">IF(E65="","",A65&amp;"_schema.jpg")</f>
        <v/>
      </c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 t="s">
        <v>96</v>
      </c>
      <c r="W65" s="81"/>
      <c r="X65" s="81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6" t="str">
        <f aca="false">IF(SUM(Y65:AJ65)=0,"",SUM(Y65:AJ65))</f>
        <v/>
      </c>
      <c r="AL65" s="84" t="str">
        <f aca="false">MID(IF(N(Y65)&gt;0,", "&amp;Y$2,"")&amp;IF(N(Z65)&gt;0,", "&amp;Z$2,"")&amp;IF(N(AA65)&gt;0,", "&amp;AA$2,"")&amp;IF(N(AB65)&gt;0,", "&amp;AB$2,"")&amp;IF(N(AC65)&gt;0,", "&amp;AC$2,"")&amp;IF(N(AD65)&gt;0,", "&amp;AD$2,"")&amp;IF(N(AE65)&gt;0,", "&amp;AE$2,"")&amp;IF(N(AF65)&gt;0,", "&amp;AF$2,"")&amp;IF(N(AG65)&gt;0,", "&amp;AG$2,"")&amp;IF(N(AH65)&gt;0,", "&amp;AH$2,"")&amp;IF(N(AI65)&gt;0,", "&amp;AI$2,"")&amp;IF(N(AJ65)&gt;0,", "&amp;AJ$2,""),3,999)</f>
        <v/>
      </c>
      <c r="AM65" s="87" t="str">
        <f aca="false">IF(E65="","",MID(IF(N(Y65)&gt;0,", "&amp;A65&amp;"-"&amp;Y$2,"")&amp;IF(N(Z65)&gt;0,", "&amp;A65&amp;"-"&amp;Z$2,"")&amp;IF(N(AA65)&gt;0,", "&amp;A65&amp;"-"&amp;AA$2,"")&amp;IF(N(AB65)&gt;0,", "&amp;A65&amp;"-"&amp;AB$2,"")&amp;IF(N(AC65)&gt;0,", "&amp;A65&amp;"-"&amp;AC$2,"")&amp;IF(N(AD65)&gt;0,", "&amp;A65&amp;"-"&amp;AD$2,"")&amp;IF(N(AE65)&gt;0,", "&amp;A65&amp;"-"&amp;AE$2,"")&amp;IF(N(AF65)&gt;0,", "&amp;A65&amp;"-"&amp;AF$2,"")&amp;IF(N(AG65)&gt;0,", "&amp;A65&amp;"-"&amp;AG$2,"")&amp;IF(N(AH65)&gt;0,", "&amp;A65&amp;"-"&amp;AH$2,"")&amp;IF(N(AI65)&gt;0,", "&amp;A65&amp;"-"&amp;AI$2,"")&amp;IF(N(AJ65)&gt;0,", "&amp;A65&amp;"-"&amp;AJ$2,""),3,999))</f>
        <v/>
      </c>
      <c r="AN65" s="81"/>
      <c r="AO65" s="88"/>
      <c r="AP65" s="89" t="str">
        <f aca="false">IF(AO65="","",ROUND(AO65/(1+Справочники!$B$13),2))</f>
        <v/>
      </c>
      <c r="AQ65" s="90" t="str">
        <f aca="false" t="array" ref="AQ65:AQ65">IF(AP65="","",AP65*INDEX(Справочники!$B$4:$B$7,MATCH("RUB",Справочники!$A$4:$A$7,0)))</f>
        <v/>
      </c>
      <c r="AR65" s="90" t="str">
        <f aca="false">IF(AQ65="","",ROUND(AQ65*(1+Справочники!$B$12),0))</f>
        <v/>
      </c>
      <c r="AS65" s="90" t="str">
        <f aca="false">IF(AR65="","",ROUND(AR65*(1-Справочники!$B$11),0))</f>
        <v/>
      </c>
      <c r="AT65" s="88"/>
      <c r="AU65" s="90" t="str">
        <f aca="false">IF(AT65="","",ROUND(AT65/(1+Справочники!$B$12),0))</f>
        <v/>
      </c>
      <c r="AV65" s="90" t="str">
        <f aca="false">IF(AT65="","",ROUND(AT65*(1-Справочники!$B$15),0))</f>
        <v/>
      </c>
      <c r="AW65" s="90" t="str">
        <f aca="false">IF(AT65="","",ROUND(AT65*(1-Справочники!$B$16),0))</f>
        <v/>
      </c>
      <c r="AX65" s="90" t="str">
        <f aca="false">IF(AT65="","",ROUND(AT65*(1-Справочники!$B$17),0))</f>
        <v/>
      </c>
      <c r="AY65" s="90" t="str">
        <f aca="false">IF(AT65="","",ROUND(AT65*(1-Справочники!$B$18),0))</f>
        <v/>
      </c>
      <c r="AZ65" s="90" t="str">
        <f aca="false">IF(AT65="","",ROUND(AT65*(1-Справочники!$B$19),0))</f>
        <v/>
      </c>
      <c r="BA65" s="81"/>
      <c r="BB65" s="81"/>
      <c r="BC65" s="81"/>
      <c r="BD65" s="81"/>
      <c r="BE65" s="91"/>
      <c r="BF65" s="81" t="s">
        <v>103</v>
      </c>
      <c r="BG65" s="89" t="n">
        <f aca="false" t="array" ref="BG65:BG65">IF(BF65="","",IFERROR(INDEX(Справочники!$B$4:$B$7,MATCH(BF65,Справочники!$A$4:$A$7,0)),""))</f>
        <v>68.5</v>
      </c>
      <c r="BH65" s="90" t="str">
        <f aca="false">IF(N(BN65)&gt;0,ROUND(SUMIF(ЗАКАЗЫ!$F$3:$F$500,$A65,ЗАКАЗЫ!$Y$3:$Y$500)/BN65,0),IF(OR(BE65="",BG65=""),"",ROUND(BE65*BG65*(1+Справочники!$B$10),0)))</f>
        <v/>
      </c>
      <c r="BI65" s="92" t="str">
        <f aca="false">IF(OR(AU65="",BH65="",AU65=0),"",(AU65-BH65)/AU65)</f>
        <v/>
      </c>
      <c r="BJ65" s="81"/>
      <c r="BK65" s="83"/>
      <c r="BL65" s="43" t="str">
        <f aca="false">IFERROR(INDEX(ЗАКАЗЫ!$N$3:$N$500,MATCH($A65,ЗАКАЗЫ!$F$3:$F$500,0)),"")</f>
        <v/>
      </c>
      <c r="BM65" s="8" t="str">
        <f aca="false">IF(BL65="","",IFERROR(VLOOKUP(BL65,'ТН ВЭД'!$A$4:$C$40,3,0),""))</f>
        <v/>
      </c>
      <c r="BN65" s="7" t="str">
        <f aca="false">IF(COUNTIF(ЗАКАЗЫ!$F$3:$F$500,$A65)=0,"",SUMIF(ЗАКАЗЫ!$F$3:$F$500,$A65,ЗАКАЗЫ!$J$3:$J$500))</f>
        <v/>
      </c>
      <c r="BO65" s="7" t="str">
        <f aca="false">IF(BN65="","",SUMIF(ЗАКАЗЫ!$F$3:$F$500,$A65,ЗАКАЗЫ!$AL$3:$AL$500))</f>
        <v/>
      </c>
      <c r="BP65" s="7" t="str">
        <f aca="false">IF(BN65="","",BN65-BO65)</f>
        <v/>
      </c>
      <c r="BQ65" s="55" t="str">
        <f aca="false">IF(BN65="","",IF(BO65&gt;=BN65,"На складе",IF(BO65&gt;0,"Частично","Ждём")))</f>
        <v/>
      </c>
      <c r="BR65" s="43"/>
      <c r="BS65" s="47" t="str">
        <f aca="false">IF(BN65="","",IF(_xlfn.MAXIFS(ЗАКАЗЫ!$AK$3:$AK$500,ЗАКАЗЫ!$F$3:$F$500,$A65)=0,"",_xlfn.MAXIFS(ЗАКАЗЫ!$AK$3:$AK$500,ЗАКАЗЫ!$F$3:$F$500,$A65)))</f>
        <v/>
      </c>
    </row>
    <row r="66" customFormat="false" ht="15.75" hidden="false" customHeight="true" outlineLevel="0" collapsed="false">
      <c r="A66" s="80" t="s">
        <v>898</v>
      </c>
      <c r="B66" s="81"/>
      <c r="C66" s="81"/>
      <c r="D66" s="81"/>
      <c r="E66" s="83"/>
      <c r="F66" s="81"/>
      <c r="G66" s="83"/>
      <c r="H66" s="83"/>
      <c r="I66" s="84" t="str">
        <f aca="false">IF(E66="","",A66&amp;"_1.jpg")</f>
        <v/>
      </c>
      <c r="J66" s="84" t="str">
        <f aca="false">IF(E66="","",A66&amp;"_2.jpg; "&amp;A66&amp;"_3.jpg")</f>
        <v/>
      </c>
      <c r="K66" s="84" t="str">
        <f aca="false">IF(E66="","",A66&amp;"_schema.jpg")</f>
        <v/>
      </c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 t="s">
        <v>96</v>
      </c>
      <c r="W66" s="81"/>
      <c r="X66" s="81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6" t="str">
        <f aca="false">IF(SUM(Y66:AJ66)=0,"",SUM(Y66:AJ66))</f>
        <v/>
      </c>
      <c r="AL66" s="84" t="str">
        <f aca="false">MID(IF(N(Y66)&gt;0,", "&amp;Y$2,"")&amp;IF(N(Z66)&gt;0,", "&amp;Z$2,"")&amp;IF(N(AA66)&gt;0,", "&amp;AA$2,"")&amp;IF(N(AB66)&gt;0,", "&amp;AB$2,"")&amp;IF(N(AC66)&gt;0,", "&amp;AC$2,"")&amp;IF(N(AD66)&gt;0,", "&amp;AD$2,"")&amp;IF(N(AE66)&gt;0,", "&amp;AE$2,"")&amp;IF(N(AF66)&gt;0,", "&amp;AF$2,"")&amp;IF(N(AG66)&gt;0,", "&amp;AG$2,"")&amp;IF(N(AH66)&gt;0,", "&amp;AH$2,"")&amp;IF(N(AI66)&gt;0,", "&amp;AI$2,"")&amp;IF(N(AJ66)&gt;0,", "&amp;AJ$2,""),3,999)</f>
        <v/>
      </c>
      <c r="AM66" s="87" t="str">
        <f aca="false">IF(E66="","",MID(IF(N(Y66)&gt;0,", "&amp;A66&amp;"-"&amp;Y$2,"")&amp;IF(N(Z66)&gt;0,", "&amp;A66&amp;"-"&amp;Z$2,"")&amp;IF(N(AA66)&gt;0,", "&amp;A66&amp;"-"&amp;AA$2,"")&amp;IF(N(AB66)&gt;0,", "&amp;A66&amp;"-"&amp;AB$2,"")&amp;IF(N(AC66)&gt;0,", "&amp;A66&amp;"-"&amp;AC$2,"")&amp;IF(N(AD66)&gt;0,", "&amp;A66&amp;"-"&amp;AD$2,"")&amp;IF(N(AE66)&gt;0,", "&amp;A66&amp;"-"&amp;AE$2,"")&amp;IF(N(AF66)&gt;0,", "&amp;A66&amp;"-"&amp;AF$2,"")&amp;IF(N(AG66)&gt;0,", "&amp;A66&amp;"-"&amp;AG$2,"")&amp;IF(N(AH66)&gt;0,", "&amp;A66&amp;"-"&amp;AH$2,"")&amp;IF(N(AI66)&gt;0,", "&amp;A66&amp;"-"&amp;AI$2,"")&amp;IF(N(AJ66)&gt;0,", "&amp;A66&amp;"-"&amp;AJ$2,""),3,999))</f>
        <v/>
      </c>
      <c r="AN66" s="81"/>
      <c r="AO66" s="88"/>
      <c r="AP66" s="89" t="str">
        <f aca="false">IF(AO66="","",ROUND(AO66/(1+Справочники!$B$13),2))</f>
        <v/>
      </c>
      <c r="AQ66" s="90" t="str">
        <f aca="false" t="array" ref="AQ66:AQ66">IF(AP66="","",AP66*INDEX(Справочники!$B$4:$B$7,MATCH("RUB",Справочники!$A$4:$A$7,0)))</f>
        <v/>
      </c>
      <c r="AR66" s="90" t="str">
        <f aca="false">IF(AQ66="","",ROUND(AQ66*(1+Справочники!$B$12),0))</f>
        <v/>
      </c>
      <c r="AS66" s="90" t="str">
        <f aca="false">IF(AR66="","",ROUND(AR66*(1-Справочники!$B$11),0))</f>
        <v/>
      </c>
      <c r="AT66" s="88"/>
      <c r="AU66" s="90" t="str">
        <f aca="false">IF(AT66="","",ROUND(AT66/(1+Справочники!$B$12),0))</f>
        <v/>
      </c>
      <c r="AV66" s="90" t="str">
        <f aca="false">IF(AT66="","",ROUND(AT66*(1-Справочники!$B$15),0))</f>
        <v/>
      </c>
      <c r="AW66" s="90" t="str">
        <f aca="false">IF(AT66="","",ROUND(AT66*(1-Справочники!$B$16),0))</f>
        <v/>
      </c>
      <c r="AX66" s="90" t="str">
        <f aca="false">IF(AT66="","",ROUND(AT66*(1-Справочники!$B$17),0))</f>
        <v/>
      </c>
      <c r="AY66" s="90" t="str">
        <f aca="false">IF(AT66="","",ROUND(AT66*(1-Справочники!$B$18),0))</f>
        <v/>
      </c>
      <c r="AZ66" s="90" t="str">
        <f aca="false">IF(AT66="","",ROUND(AT66*(1-Справочники!$B$19),0))</f>
        <v/>
      </c>
      <c r="BA66" s="81"/>
      <c r="BB66" s="81"/>
      <c r="BC66" s="81"/>
      <c r="BD66" s="81"/>
      <c r="BE66" s="91"/>
      <c r="BF66" s="81" t="s">
        <v>103</v>
      </c>
      <c r="BG66" s="89" t="n">
        <f aca="false" t="array" ref="BG66:BG66">IF(BF66="","",IFERROR(INDEX(Справочники!$B$4:$B$7,MATCH(BF66,Справочники!$A$4:$A$7,0)),""))</f>
        <v>68.5</v>
      </c>
      <c r="BH66" s="90" t="str">
        <f aca="false">IF(N(BN66)&gt;0,ROUND(SUMIF(ЗАКАЗЫ!$F$3:$F$500,$A66,ЗАКАЗЫ!$Y$3:$Y$500)/BN66,0),IF(OR(BE66="",BG66=""),"",ROUND(BE66*BG66*(1+Справочники!$B$10),0)))</f>
        <v/>
      </c>
      <c r="BI66" s="92" t="str">
        <f aca="false">IF(OR(AU66="",BH66="",AU66=0),"",(AU66-BH66)/AU66)</f>
        <v/>
      </c>
      <c r="BJ66" s="81"/>
      <c r="BK66" s="83"/>
      <c r="BL66" s="43" t="str">
        <f aca="false">IFERROR(INDEX(ЗАКАЗЫ!$N$3:$N$500,MATCH($A66,ЗАКАЗЫ!$F$3:$F$500,0)),"")</f>
        <v/>
      </c>
      <c r="BM66" s="8" t="str">
        <f aca="false">IF(BL66="","",IFERROR(VLOOKUP(BL66,'ТН ВЭД'!$A$4:$C$40,3,0),""))</f>
        <v/>
      </c>
      <c r="BN66" s="7" t="str">
        <f aca="false">IF(COUNTIF(ЗАКАЗЫ!$F$3:$F$500,$A66)=0,"",SUMIF(ЗАКАЗЫ!$F$3:$F$500,$A66,ЗАКАЗЫ!$J$3:$J$500))</f>
        <v/>
      </c>
      <c r="BO66" s="7" t="str">
        <f aca="false">IF(BN66="","",SUMIF(ЗАКАЗЫ!$F$3:$F$500,$A66,ЗАКАЗЫ!$AL$3:$AL$500))</f>
        <v/>
      </c>
      <c r="BP66" s="7" t="str">
        <f aca="false">IF(BN66="","",BN66-BO66)</f>
        <v/>
      </c>
      <c r="BQ66" s="55" t="str">
        <f aca="false">IF(BN66="","",IF(BO66&gt;=BN66,"На складе",IF(BO66&gt;0,"Частично","Ждём")))</f>
        <v/>
      </c>
      <c r="BR66" s="43"/>
      <c r="BS66" s="47" t="str">
        <f aca="false">IF(BN66="","",IF(_xlfn.MAXIFS(ЗАКАЗЫ!$AK$3:$AK$500,ЗАКАЗЫ!$F$3:$F$500,$A66)=0,"",_xlfn.MAXIFS(ЗАКАЗЫ!$AK$3:$AK$500,ЗАКАЗЫ!$F$3:$F$500,$A66)))</f>
        <v/>
      </c>
    </row>
    <row r="67" customFormat="false" ht="15.75" hidden="false" customHeight="true" outlineLevel="0" collapsed="false">
      <c r="A67" s="80" t="s">
        <v>899</v>
      </c>
      <c r="B67" s="81"/>
      <c r="C67" s="81"/>
      <c r="D67" s="81"/>
      <c r="E67" s="83"/>
      <c r="F67" s="81"/>
      <c r="G67" s="83"/>
      <c r="H67" s="83"/>
      <c r="I67" s="84" t="str">
        <f aca="false">IF(E67="","",A67&amp;"_1.jpg")</f>
        <v/>
      </c>
      <c r="J67" s="84" t="str">
        <f aca="false">IF(E67="","",A67&amp;"_2.jpg; "&amp;A67&amp;"_3.jpg")</f>
        <v/>
      </c>
      <c r="K67" s="84" t="str">
        <f aca="false">IF(E67="","",A67&amp;"_schema.jpg")</f>
        <v/>
      </c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 t="s">
        <v>96</v>
      </c>
      <c r="W67" s="81"/>
      <c r="X67" s="81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6" t="str">
        <f aca="false">IF(SUM(Y67:AJ67)=0,"",SUM(Y67:AJ67))</f>
        <v/>
      </c>
      <c r="AL67" s="84" t="str">
        <f aca="false">MID(IF(N(Y67)&gt;0,", "&amp;Y$2,"")&amp;IF(N(Z67)&gt;0,", "&amp;Z$2,"")&amp;IF(N(AA67)&gt;0,", "&amp;AA$2,"")&amp;IF(N(AB67)&gt;0,", "&amp;AB$2,"")&amp;IF(N(AC67)&gt;0,", "&amp;AC$2,"")&amp;IF(N(AD67)&gt;0,", "&amp;AD$2,"")&amp;IF(N(AE67)&gt;0,", "&amp;AE$2,"")&amp;IF(N(AF67)&gt;0,", "&amp;AF$2,"")&amp;IF(N(AG67)&gt;0,", "&amp;AG$2,"")&amp;IF(N(AH67)&gt;0,", "&amp;AH$2,"")&amp;IF(N(AI67)&gt;0,", "&amp;AI$2,"")&amp;IF(N(AJ67)&gt;0,", "&amp;AJ$2,""),3,999)</f>
        <v/>
      </c>
      <c r="AM67" s="87" t="str">
        <f aca="false">IF(E67="","",MID(IF(N(Y67)&gt;0,", "&amp;A67&amp;"-"&amp;Y$2,"")&amp;IF(N(Z67)&gt;0,", "&amp;A67&amp;"-"&amp;Z$2,"")&amp;IF(N(AA67)&gt;0,", "&amp;A67&amp;"-"&amp;AA$2,"")&amp;IF(N(AB67)&gt;0,", "&amp;A67&amp;"-"&amp;AB$2,"")&amp;IF(N(AC67)&gt;0,", "&amp;A67&amp;"-"&amp;AC$2,"")&amp;IF(N(AD67)&gt;0,", "&amp;A67&amp;"-"&amp;AD$2,"")&amp;IF(N(AE67)&gt;0,", "&amp;A67&amp;"-"&amp;AE$2,"")&amp;IF(N(AF67)&gt;0,", "&amp;A67&amp;"-"&amp;AF$2,"")&amp;IF(N(AG67)&gt;0,", "&amp;A67&amp;"-"&amp;AG$2,"")&amp;IF(N(AH67)&gt;0,", "&amp;A67&amp;"-"&amp;AH$2,"")&amp;IF(N(AI67)&gt;0,", "&amp;A67&amp;"-"&amp;AI$2,"")&amp;IF(N(AJ67)&gt;0,", "&amp;A67&amp;"-"&amp;AJ$2,""),3,999))</f>
        <v/>
      </c>
      <c r="AN67" s="81"/>
      <c r="AO67" s="88"/>
      <c r="AP67" s="89" t="str">
        <f aca="false">IF(AO67="","",ROUND(AO67/(1+Справочники!$B$13),2))</f>
        <v/>
      </c>
      <c r="AQ67" s="90" t="str">
        <f aca="false" t="array" ref="AQ67:AQ67">IF(AP67="","",AP67*INDEX(Справочники!$B$4:$B$7,MATCH("RUB",Справочники!$A$4:$A$7,0)))</f>
        <v/>
      </c>
      <c r="AR67" s="90" t="str">
        <f aca="false">IF(AQ67="","",ROUND(AQ67*(1+Справочники!$B$12),0))</f>
        <v/>
      </c>
      <c r="AS67" s="90" t="str">
        <f aca="false">IF(AR67="","",ROUND(AR67*(1-Справочники!$B$11),0))</f>
        <v/>
      </c>
      <c r="AT67" s="88"/>
      <c r="AU67" s="90" t="str">
        <f aca="false">IF(AT67="","",ROUND(AT67/(1+Справочники!$B$12),0))</f>
        <v/>
      </c>
      <c r="AV67" s="90" t="str">
        <f aca="false">IF(AT67="","",ROUND(AT67*(1-Справочники!$B$15),0))</f>
        <v/>
      </c>
      <c r="AW67" s="90" t="str">
        <f aca="false">IF(AT67="","",ROUND(AT67*(1-Справочники!$B$16),0))</f>
        <v/>
      </c>
      <c r="AX67" s="90" t="str">
        <f aca="false">IF(AT67="","",ROUND(AT67*(1-Справочники!$B$17),0))</f>
        <v/>
      </c>
      <c r="AY67" s="90" t="str">
        <f aca="false">IF(AT67="","",ROUND(AT67*(1-Справочники!$B$18),0))</f>
        <v/>
      </c>
      <c r="AZ67" s="90" t="str">
        <f aca="false">IF(AT67="","",ROUND(AT67*(1-Справочники!$B$19),0))</f>
        <v/>
      </c>
      <c r="BA67" s="81"/>
      <c r="BB67" s="81"/>
      <c r="BC67" s="81"/>
      <c r="BD67" s="81"/>
      <c r="BE67" s="91"/>
      <c r="BF67" s="81" t="s">
        <v>103</v>
      </c>
      <c r="BG67" s="89" t="n">
        <f aca="false" t="array" ref="BG67:BG67">IF(BF67="","",IFERROR(INDEX(Справочники!$B$4:$B$7,MATCH(BF67,Справочники!$A$4:$A$7,0)),""))</f>
        <v>68.5</v>
      </c>
      <c r="BH67" s="90" t="str">
        <f aca="false">IF(N(BN67)&gt;0,ROUND(SUMIF(ЗАКАЗЫ!$F$3:$F$500,$A67,ЗАКАЗЫ!$Y$3:$Y$500)/BN67,0),IF(OR(BE67="",BG67=""),"",ROUND(BE67*BG67*(1+Справочники!$B$10),0)))</f>
        <v/>
      </c>
      <c r="BI67" s="92" t="str">
        <f aca="false">IF(OR(AU67="",BH67="",AU67=0),"",(AU67-BH67)/AU67)</f>
        <v/>
      </c>
      <c r="BJ67" s="81"/>
      <c r="BK67" s="83"/>
      <c r="BL67" s="43" t="str">
        <f aca="false">IFERROR(INDEX(ЗАКАЗЫ!$N$3:$N$500,MATCH($A67,ЗАКАЗЫ!$F$3:$F$500,0)),"")</f>
        <v/>
      </c>
      <c r="BM67" s="8" t="str">
        <f aca="false">IF(BL67="","",IFERROR(VLOOKUP(BL67,'ТН ВЭД'!$A$4:$C$40,3,0),""))</f>
        <v/>
      </c>
      <c r="BN67" s="7" t="str">
        <f aca="false">IF(COUNTIF(ЗАКАЗЫ!$F$3:$F$500,$A67)=0,"",SUMIF(ЗАКАЗЫ!$F$3:$F$500,$A67,ЗАКАЗЫ!$J$3:$J$500))</f>
        <v/>
      </c>
      <c r="BO67" s="7" t="str">
        <f aca="false">IF(BN67="","",SUMIF(ЗАКАЗЫ!$F$3:$F$500,$A67,ЗАКАЗЫ!$AL$3:$AL$500))</f>
        <v/>
      </c>
      <c r="BP67" s="7" t="str">
        <f aca="false">IF(BN67="","",BN67-BO67)</f>
        <v/>
      </c>
      <c r="BQ67" s="55" t="str">
        <f aca="false">IF(BN67="","",IF(BO67&gt;=BN67,"На складе",IF(BO67&gt;0,"Частично","Ждём")))</f>
        <v/>
      </c>
      <c r="BR67" s="43"/>
      <c r="BS67" s="47" t="str">
        <f aca="false">IF(BN67="","",IF(_xlfn.MAXIFS(ЗАКАЗЫ!$AK$3:$AK$500,ЗАКАЗЫ!$F$3:$F$500,$A67)=0,"",_xlfn.MAXIFS(ЗАКАЗЫ!$AK$3:$AK$500,ЗАКАЗЫ!$F$3:$F$500,$A67)))</f>
        <v/>
      </c>
    </row>
    <row r="68" customFormat="false" ht="15.75" hidden="false" customHeight="true" outlineLevel="0" collapsed="false">
      <c r="A68" s="80" t="s">
        <v>900</v>
      </c>
      <c r="B68" s="81"/>
      <c r="C68" s="81"/>
      <c r="D68" s="81"/>
      <c r="E68" s="83"/>
      <c r="F68" s="81"/>
      <c r="G68" s="83"/>
      <c r="H68" s="83"/>
      <c r="I68" s="84" t="str">
        <f aca="false">IF(E68="","",A68&amp;"_1.jpg")</f>
        <v/>
      </c>
      <c r="J68" s="84" t="str">
        <f aca="false">IF(E68="","",A68&amp;"_2.jpg; "&amp;A68&amp;"_3.jpg")</f>
        <v/>
      </c>
      <c r="K68" s="84" t="str">
        <f aca="false">IF(E68="","",A68&amp;"_schema.jpg")</f>
        <v/>
      </c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 t="s">
        <v>96</v>
      </c>
      <c r="W68" s="81"/>
      <c r="X68" s="81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6" t="str">
        <f aca="false">IF(SUM(Y68:AJ68)=0,"",SUM(Y68:AJ68))</f>
        <v/>
      </c>
      <c r="AL68" s="84" t="str">
        <f aca="false">MID(IF(N(Y68)&gt;0,", "&amp;Y$2,"")&amp;IF(N(Z68)&gt;0,", "&amp;Z$2,"")&amp;IF(N(AA68)&gt;0,", "&amp;AA$2,"")&amp;IF(N(AB68)&gt;0,", "&amp;AB$2,"")&amp;IF(N(AC68)&gt;0,", "&amp;AC$2,"")&amp;IF(N(AD68)&gt;0,", "&amp;AD$2,"")&amp;IF(N(AE68)&gt;0,", "&amp;AE$2,"")&amp;IF(N(AF68)&gt;0,", "&amp;AF$2,"")&amp;IF(N(AG68)&gt;0,", "&amp;AG$2,"")&amp;IF(N(AH68)&gt;0,", "&amp;AH$2,"")&amp;IF(N(AI68)&gt;0,", "&amp;AI$2,"")&amp;IF(N(AJ68)&gt;0,", "&amp;AJ$2,""),3,999)</f>
        <v/>
      </c>
      <c r="AM68" s="87" t="str">
        <f aca="false">IF(E68="","",MID(IF(N(Y68)&gt;0,", "&amp;A68&amp;"-"&amp;Y$2,"")&amp;IF(N(Z68)&gt;0,", "&amp;A68&amp;"-"&amp;Z$2,"")&amp;IF(N(AA68)&gt;0,", "&amp;A68&amp;"-"&amp;AA$2,"")&amp;IF(N(AB68)&gt;0,", "&amp;A68&amp;"-"&amp;AB$2,"")&amp;IF(N(AC68)&gt;0,", "&amp;A68&amp;"-"&amp;AC$2,"")&amp;IF(N(AD68)&gt;0,", "&amp;A68&amp;"-"&amp;AD$2,"")&amp;IF(N(AE68)&gt;0,", "&amp;A68&amp;"-"&amp;AE$2,"")&amp;IF(N(AF68)&gt;0,", "&amp;A68&amp;"-"&amp;AF$2,"")&amp;IF(N(AG68)&gt;0,", "&amp;A68&amp;"-"&amp;AG$2,"")&amp;IF(N(AH68)&gt;0,", "&amp;A68&amp;"-"&amp;AH$2,"")&amp;IF(N(AI68)&gt;0,", "&amp;A68&amp;"-"&amp;AI$2,"")&amp;IF(N(AJ68)&gt;0,", "&amp;A68&amp;"-"&amp;AJ$2,""),3,999))</f>
        <v/>
      </c>
      <c r="AN68" s="81"/>
      <c r="AO68" s="88"/>
      <c r="AP68" s="89" t="str">
        <f aca="false">IF(AO68="","",ROUND(AO68/(1+Справочники!$B$13),2))</f>
        <v/>
      </c>
      <c r="AQ68" s="90" t="str">
        <f aca="false" t="array" ref="AQ68:AQ68">IF(AP68="","",AP68*INDEX(Справочники!$B$4:$B$7,MATCH("RUB",Справочники!$A$4:$A$7,0)))</f>
        <v/>
      </c>
      <c r="AR68" s="90" t="str">
        <f aca="false">IF(AQ68="","",ROUND(AQ68*(1+Справочники!$B$12),0))</f>
        <v/>
      </c>
      <c r="AS68" s="90" t="str">
        <f aca="false">IF(AR68="","",ROUND(AR68*(1-Справочники!$B$11),0))</f>
        <v/>
      </c>
      <c r="AT68" s="88"/>
      <c r="AU68" s="90" t="str">
        <f aca="false">IF(AT68="","",ROUND(AT68/(1+Справочники!$B$12),0))</f>
        <v/>
      </c>
      <c r="AV68" s="90" t="str">
        <f aca="false">IF(AT68="","",ROUND(AT68*(1-Справочники!$B$15),0))</f>
        <v/>
      </c>
      <c r="AW68" s="90" t="str">
        <f aca="false">IF(AT68="","",ROUND(AT68*(1-Справочники!$B$16),0))</f>
        <v/>
      </c>
      <c r="AX68" s="90" t="str">
        <f aca="false">IF(AT68="","",ROUND(AT68*(1-Справочники!$B$17),0))</f>
        <v/>
      </c>
      <c r="AY68" s="90" t="str">
        <f aca="false">IF(AT68="","",ROUND(AT68*(1-Справочники!$B$18),0))</f>
        <v/>
      </c>
      <c r="AZ68" s="90" t="str">
        <f aca="false">IF(AT68="","",ROUND(AT68*(1-Справочники!$B$19),0))</f>
        <v/>
      </c>
      <c r="BA68" s="81"/>
      <c r="BB68" s="81"/>
      <c r="BC68" s="81"/>
      <c r="BD68" s="81"/>
      <c r="BE68" s="91"/>
      <c r="BF68" s="81" t="s">
        <v>103</v>
      </c>
      <c r="BG68" s="89" t="n">
        <f aca="false" t="array" ref="BG68:BG68">IF(BF68="","",IFERROR(INDEX(Справочники!$B$4:$B$7,MATCH(BF68,Справочники!$A$4:$A$7,0)),""))</f>
        <v>68.5</v>
      </c>
      <c r="BH68" s="90" t="str">
        <f aca="false">IF(N(BN68)&gt;0,ROUND(SUMIF(ЗАКАЗЫ!$F$3:$F$500,$A68,ЗАКАЗЫ!$Y$3:$Y$500)/BN68,0),IF(OR(BE68="",BG68=""),"",ROUND(BE68*BG68*(1+Справочники!$B$10),0)))</f>
        <v/>
      </c>
      <c r="BI68" s="92" t="str">
        <f aca="false">IF(OR(AU68="",BH68="",AU68=0),"",(AU68-BH68)/AU68)</f>
        <v/>
      </c>
      <c r="BJ68" s="81"/>
      <c r="BK68" s="83"/>
      <c r="BL68" s="43" t="str">
        <f aca="false">IFERROR(INDEX(ЗАКАЗЫ!$N$3:$N$500,MATCH($A68,ЗАКАЗЫ!$F$3:$F$500,0)),"")</f>
        <v/>
      </c>
      <c r="BM68" s="8" t="str">
        <f aca="false">IF(BL68="","",IFERROR(VLOOKUP(BL68,'ТН ВЭД'!$A$4:$C$40,3,0),""))</f>
        <v/>
      </c>
      <c r="BN68" s="7" t="str">
        <f aca="false">IF(COUNTIF(ЗАКАЗЫ!$F$3:$F$500,$A68)=0,"",SUMIF(ЗАКАЗЫ!$F$3:$F$500,$A68,ЗАКАЗЫ!$J$3:$J$500))</f>
        <v/>
      </c>
      <c r="BO68" s="7" t="str">
        <f aca="false">IF(BN68="","",SUMIF(ЗАКАЗЫ!$F$3:$F$500,$A68,ЗАКАЗЫ!$AL$3:$AL$500))</f>
        <v/>
      </c>
      <c r="BP68" s="7" t="str">
        <f aca="false">IF(BN68="","",BN68-BO68)</f>
        <v/>
      </c>
      <c r="BQ68" s="55" t="str">
        <f aca="false">IF(BN68="","",IF(BO68&gt;=BN68,"На складе",IF(BO68&gt;0,"Частично","Ждём")))</f>
        <v/>
      </c>
      <c r="BR68" s="43"/>
      <c r="BS68" s="47" t="str">
        <f aca="false">IF(BN68="","",IF(_xlfn.MAXIFS(ЗАКАЗЫ!$AK$3:$AK$500,ЗАКАЗЫ!$F$3:$F$500,$A68)=0,"",_xlfn.MAXIFS(ЗАКАЗЫ!$AK$3:$AK$500,ЗАКАЗЫ!$F$3:$F$500,$A68)))</f>
        <v/>
      </c>
    </row>
    <row r="69" customFormat="false" ht="15.75" hidden="false" customHeight="true" outlineLevel="0" collapsed="false">
      <c r="A69" s="80" t="s">
        <v>901</v>
      </c>
      <c r="B69" s="81"/>
      <c r="C69" s="81"/>
      <c r="D69" s="81"/>
      <c r="E69" s="83"/>
      <c r="F69" s="81"/>
      <c r="G69" s="83"/>
      <c r="H69" s="83"/>
      <c r="I69" s="84" t="str">
        <f aca="false">IF(E69="","",A69&amp;"_1.jpg")</f>
        <v/>
      </c>
      <c r="J69" s="84" t="str">
        <f aca="false">IF(E69="","",A69&amp;"_2.jpg; "&amp;A69&amp;"_3.jpg")</f>
        <v/>
      </c>
      <c r="K69" s="84" t="str">
        <f aca="false">IF(E69="","",A69&amp;"_schema.jpg")</f>
        <v/>
      </c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 t="s">
        <v>96</v>
      </c>
      <c r="W69" s="81"/>
      <c r="X69" s="81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6" t="str">
        <f aca="false">IF(SUM(Y69:AJ69)=0,"",SUM(Y69:AJ69))</f>
        <v/>
      </c>
      <c r="AL69" s="84" t="str">
        <f aca="false">MID(IF(N(Y69)&gt;0,", "&amp;Y$2,"")&amp;IF(N(Z69)&gt;0,", "&amp;Z$2,"")&amp;IF(N(AA69)&gt;0,", "&amp;AA$2,"")&amp;IF(N(AB69)&gt;0,", "&amp;AB$2,"")&amp;IF(N(AC69)&gt;0,", "&amp;AC$2,"")&amp;IF(N(AD69)&gt;0,", "&amp;AD$2,"")&amp;IF(N(AE69)&gt;0,", "&amp;AE$2,"")&amp;IF(N(AF69)&gt;0,", "&amp;AF$2,"")&amp;IF(N(AG69)&gt;0,", "&amp;AG$2,"")&amp;IF(N(AH69)&gt;0,", "&amp;AH$2,"")&amp;IF(N(AI69)&gt;0,", "&amp;AI$2,"")&amp;IF(N(AJ69)&gt;0,", "&amp;AJ$2,""),3,999)</f>
        <v/>
      </c>
      <c r="AM69" s="87" t="str">
        <f aca="false">IF(E69="","",MID(IF(N(Y69)&gt;0,", "&amp;A69&amp;"-"&amp;Y$2,"")&amp;IF(N(Z69)&gt;0,", "&amp;A69&amp;"-"&amp;Z$2,"")&amp;IF(N(AA69)&gt;0,", "&amp;A69&amp;"-"&amp;AA$2,"")&amp;IF(N(AB69)&gt;0,", "&amp;A69&amp;"-"&amp;AB$2,"")&amp;IF(N(AC69)&gt;0,", "&amp;A69&amp;"-"&amp;AC$2,"")&amp;IF(N(AD69)&gt;0,", "&amp;A69&amp;"-"&amp;AD$2,"")&amp;IF(N(AE69)&gt;0,", "&amp;A69&amp;"-"&amp;AE$2,"")&amp;IF(N(AF69)&gt;0,", "&amp;A69&amp;"-"&amp;AF$2,"")&amp;IF(N(AG69)&gt;0,", "&amp;A69&amp;"-"&amp;AG$2,"")&amp;IF(N(AH69)&gt;0,", "&amp;A69&amp;"-"&amp;AH$2,"")&amp;IF(N(AI69)&gt;0,", "&amp;A69&amp;"-"&amp;AI$2,"")&amp;IF(N(AJ69)&gt;0,", "&amp;A69&amp;"-"&amp;AJ$2,""),3,999))</f>
        <v/>
      </c>
      <c r="AN69" s="81"/>
      <c r="AO69" s="88"/>
      <c r="AP69" s="89" t="str">
        <f aca="false">IF(AO69="","",ROUND(AO69/(1+Справочники!$B$13),2))</f>
        <v/>
      </c>
      <c r="AQ69" s="90" t="str">
        <f aca="false" t="array" ref="AQ69:AQ69">IF(AP69="","",AP69*INDEX(Справочники!$B$4:$B$7,MATCH("RUB",Справочники!$A$4:$A$7,0)))</f>
        <v/>
      </c>
      <c r="AR69" s="90" t="str">
        <f aca="false">IF(AQ69="","",ROUND(AQ69*(1+Справочники!$B$12),0))</f>
        <v/>
      </c>
      <c r="AS69" s="90" t="str">
        <f aca="false">IF(AR69="","",ROUND(AR69*(1-Справочники!$B$11),0))</f>
        <v/>
      </c>
      <c r="AT69" s="88"/>
      <c r="AU69" s="90" t="str">
        <f aca="false">IF(AT69="","",ROUND(AT69/(1+Справочники!$B$12),0))</f>
        <v/>
      </c>
      <c r="AV69" s="90" t="str">
        <f aca="false">IF(AT69="","",ROUND(AT69*(1-Справочники!$B$15),0))</f>
        <v/>
      </c>
      <c r="AW69" s="90" t="str">
        <f aca="false">IF(AT69="","",ROUND(AT69*(1-Справочники!$B$16),0))</f>
        <v/>
      </c>
      <c r="AX69" s="90" t="str">
        <f aca="false">IF(AT69="","",ROUND(AT69*(1-Справочники!$B$17),0))</f>
        <v/>
      </c>
      <c r="AY69" s="90" t="str">
        <f aca="false">IF(AT69="","",ROUND(AT69*(1-Справочники!$B$18),0))</f>
        <v/>
      </c>
      <c r="AZ69" s="90" t="str">
        <f aca="false">IF(AT69="","",ROUND(AT69*(1-Справочники!$B$19),0))</f>
        <v/>
      </c>
      <c r="BA69" s="81"/>
      <c r="BB69" s="81"/>
      <c r="BC69" s="81"/>
      <c r="BD69" s="81"/>
      <c r="BE69" s="91"/>
      <c r="BF69" s="81" t="s">
        <v>103</v>
      </c>
      <c r="BG69" s="89" t="n">
        <f aca="false" t="array" ref="BG69:BG69">IF(BF69="","",IFERROR(INDEX(Справочники!$B$4:$B$7,MATCH(BF69,Справочники!$A$4:$A$7,0)),""))</f>
        <v>68.5</v>
      </c>
      <c r="BH69" s="90" t="str">
        <f aca="false">IF(N(BN69)&gt;0,ROUND(SUMIF(ЗАКАЗЫ!$F$3:$F$500,$A69,ЗАКАЗЫ!$Y$3:$Y$500)/BN69,0),IF(OR(BE69="",BG69=""),"",ROUND(BE69*BG69*(1+Справочники!$B$10),0)))</f>
        <v/>
      </c>
      <c r="BI69" s="92" t="str">
        <f aca="false">IF(OR(AU69="",BH69="",AU69=0),"",(AU69-BH69)/AU69)</f>
        <v/>
      </c>
      <c r="BJ69" s="81"/>
      <c r="BK69" s="83"/>
      <c r="BL69" s="43" t="str">
        <f aca="false">IFERROR(INDEX(ЗАКАЗЫ!$N$3:$N$500,MATCH($A69,ЗАКАЗЫ!$F$3:$F$500,0)),"")</f>
        <v/>
      </c>
      <c r="BM69" s="8" t="str">
        <f aca="false">IF(BL69="","",IFERROR(VLOOKUP(BL69,'ТН ВЭД'!$A$4:$C$40,3,0),""))</f>
        <v/>
      </c>
      <c r="BN69" s="7" t="str">
        <f aca="false">IF(COUNTIF(ЗАКАЗЫ!$F$3:$F$500,$A69)=0,"",SUMIF(ЗАКАЗЫ!$F$3:$F$500,$A69,ЗАКАЗЫ!$J$3:$J$500))</f>
        <v/>
      </c>
      <c r="BO69" s="7" t="str">
        <f aca="false">IF(BN69="","",SUMIF(ЗАКАЗЫ!$F$3:$F$500,$A69,ЗАКАЗЫ!$AL$3:$AL$500))</f>
        <v/>
      </c>
      <c r="BP69" s="7" t="str">
        <f aca="false">IF(BN69="","",BN69-BO69)</f>
        <v/>
      </c>
      <c r="BQ69" s="55" t="str">
        <f aca="false">IF(BN69="","",IF(BO69&gt;=BN69,"На складе",IF(BO69&gt;0,"Частично","Ждём")))</f>
        <v/>
      </c>
      <c r="BR69" s="43"/>
      <c r="BS69" s="47" t="str">
        <f aca="false">IF(BN69="","",IF(_xlfn.MAXIFS(ЗАКАЗЫ!$AK$3:$AK$500,ЗАКАЗЫ!$F$3:$F$500,$A69)=0,"",_xlfn.MAXIFS(ЗАКАЗЫ!$AK$3:$AK$500,ЗАКАЗЫ!$F$3:$F$500,$A69)))</f>
        <v/>
      </c>
    </row>
    <row r="70" customFormat="false" ht="15.75" hidden="false" customHeight="true" outlineLevel="0" collapsed="false">
      <c r="A70" s="80" t="s">
        <v>902</v>
      </c>
      <c r="B70" s="81"/>
      <c r="C70" s="81"/>
      <c r="D70" s="81"/>
      <c r="E70" s="83"/>
      <c r="F70" s="81"/>
      <c r="G70" s="83"/>
      <c r="H70" s="83"/>
      <c r="I70" s="84" t="str">
        <f aca="false">IF(E70="","",A70&amp;"_1.jpg")</f>
        <v/>
      </c>
      <c r="J70" s="84" t="str">
        <f aca="false">IF(E70="","",A70&amp;"_2.jpg; "&amp;A70&amp;"_3.jpg")</f>
        <v/>
      </c>
      <c r="K70" s="84" t="str">
        <f aca="false">IF(E70="","",A70&amp;"_schema.jpg")</f>
        <v/>
      </c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 t="s">
        <v>96</v>
      </c>
      <c r="W70" s="81"/>
      <c r="X70" s="81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6" t="str">
        <f aca="false">IF(SUM(Y70:AJ70)=0,"",SUM(Y70:AJ70))</f>
        <v/>
      </c>
      <c r="AL70" s="84" t="str">
        <f aca="false">MID(IF(N(Y70)&gt;0,", "&amp;Y$2,"")&amp;IF(N(Z70)&gt;0,", "&amp;Z$2,"")&amp;IF(N(AA70)&gt;0,", "&amp;AA$2,"")&amp;IF(N(AB70)&gt;0,", "&amp;AB$2,"")&amp;IF(N(AC70)&gt;0,", "&amp;AC$2,"")&amp;IF(N(AD70)&gt;0,", "&amp;AD$2,"")&amp;IF(N(AE70)&gt;0,", "&amp;AE$2,"")&amp;IF(N(AF70)&gt;0,", "&amp;AF$2,"")&amp;IF(N(AG70)&gt;0,", "&amp;AG$2,"")&amp;IF(N(AH70)&gt;0,", "&amp;AH$2,"")&amp;IF(N(AI70)&gt;0,", "&amp;AI$2,"")&amp;IF(N(AJ70)&gt;0,", "&amp;AJ$2,""),3,999)</f>
        <v/>
      </c>
      <c r="AM70" s="87" t="str">
        <f aca="false">IF(E70="","",MID(IF(N(Y70)&gt;0,", "&amp;A70&amp;"-"&amp;Y$2,"")&amp;IF(N(Z70)&gt;0,", "&amp;A70&amp;"-"&amp;Z$2,"")&amp;IF(N(AA70)&gt;0,", "&amp;A70&amp;"-"&amp;AA$2,"")&amp;IF(N(AB70)&gt;0,", "&amp;A70&amp;"-"&amp;AB$2,"")&amp;IF(N(AC70)&gt;0,", "&amp;A70&amp;"-"&amp;AC$2,"")&amp;IF(N(AD70)&gt;0,", "&amp;A70&amp;"-"&amp;AD$2,"")&amp;IF(N(AE70)&gt;0,", "&amp;A70&amp;"-"&amp;AE$2,"")&amp;IF(N(AF70)&gt;0,", "&amp;A70&amp;"-"&amp;AF$2,"")&amp;IF(N(AG70)&gt;0,", "&amp;A70&amp;"-"&amp;AG$2,"")&amp;IF(N(AH70)&gt;0,", "&amp;A70&amp;"-"&amp;AH$2,"")&amp;IF(N(AI70)&gt;0,", "&amp;A70&amp;"-"&amp;AI$2,"")&amp;IF(N(AJ70)&gt;0,", "&amp;A70&amp;"-"&amp;AJ$2,""),3,999))</f>
        <v/>
      </c>
      <c r="AN70" s="81"/>
      <c r="AO70" s="88"/>
      <c r="AP70" s="89" t="str">
        <f aca="false">IF(AO70="","",ROUND(AO70/(1+Справочники!$B$13),2))</f>
        <v/>
      </c>
      <c r="AQ70" s="90" t="str">
        <f aca="false" t="array" ref="AQ70:AQ70">IF(AP70="","",AP70*INDEX(Справочники!$B$4:$B$7,MATCH("RUB",Справочники!$A$4:$A$7,0)))</f>
        <v/>
      </c>
      <c r="AR70" s="90" t="str">
        <f aca="false">IF(AQ70="","",ROUND(AQ70*(1+Справочники!$B$12),0))</f>
        <v/>
      </c>
      <c r="AS70" s="90" t="str">
        <f aca="false">IF(AR70="","",ROUND(AR70*(1-Справочники!$B$11),0))</f>
        <v/>
      </c>
      <c r="AT70" s="88"/>
      <c r="AU70" s="90" t="str">
        <f aca="false">IF(AT70="","",ROUND(AT70/(1+Справочники!$B$12),0))</f>
        <v/>
      </c>
      <c r="AV70" s="90" t="str">
        <f aca="false">IF(AT70="","",ROUND(AT70*(1-Справочники!$B$15),0))</f>
        <v/>
      </c>
      <c r="AW70" s="90" t="str">
        <f aca="false">IF(AT70="","",ROUND(AT70*(1-Справочники!$B$16),0))</f>
        <v/>
      </c>
      <c r="AX70" s="90" t="str">
        <f aca="false">IF(AT70="","",ROUND(AT70*(1-Справочники!$B$17),0))</f>
        <v/>
      </c>
      <c r="AY70" s="90" t="str">
        <f aca="false">IF(AT70="","",ROUND(AT70*(1-Справочники!$B$18),0))</f>
        <v/>
      </c>
      <c r="AZ70" s="90" t="str">
        <f aca="false">IF(AT70="","",ROUND(AT70*(1-Справочники!$B$19),0))</f>
        <v/>
      </c>
      <c r="BA70" s="81"/>
      <c r="BB70" s="81"/>
      <c r="BC70" s="81"/>
      <c r="BD70" s="81"/>
      <c r="BE70" s="91"/>
      <c r="BF70" s="81" t="s">
        <v>103</v>
      </c>
      <c r="BG70" s="89" t="n">
        <f aca="false" t="array" ref="BG70:BG70">IF(BF70="","",IFERROR(INDEX(Справочники!$B$4:$B$7,MATCH(BF70,Справочники!$A$4:$A$7,0)),""))</f>
        <v>68.5</v>
      </c>
      <c r="BH70" s="90" t="str">
        <f aca="false">IF(N(BN70)&gt;0,ROUND(SUMIF(ЗАКАЗЫ!$F$3:$F$500,$A70,ЗАКАЗЫ!$Y$3:$Y$500)/BN70,0),IF(OR(BE70="",BG70=""),"",ROUND(BE70*BG70*(1+Справочники!$B$10),0)))</f>
        <v/>
      </c>
      <c r="BI70" s="92" t="str">
        <f aca="false">IF(OR(AU70="",BH70="",AU70=0),"",(AU70-BH70)/AU70)</f>
        <v/>
      </c>
      <c r="BJ70" s="81"/>
      <c r="BK70" s="83"/>
      <c r="BL70" s="43" t="str">
        <f aca="false">IFERROR(INDEX(ЗАКАЗЫ!$N$3:$N$500,MATCH($A70,ЗАКАЗЫ!$F$3:$F$500,0)),"")</f>
        <v/>
      </c>
      <c r="BM70" s="8" t="str">
        <f aca="false">IF(BL70="","",IFERROR(VLOOKUP(BL70,'ТН ВЭД'!$A$4:$C$40,3,0),""))</f>
        <v/>
      </c>
      <c r="BN70" s="7" t="str">
        <f aca="false">IF(COUNTIF(ЗАКАЗЫ!$F$3:$F$500,$A70)=0,"",SUMIF(ЗАКАЗЫ!$F$3:$F$500,$A70,ЗАКАЗЫ!$J$3:$J$500))</f>
        <v/>
      </c>
      <c r="BO70" s="7" t="str">
        <f aca="false">IF(BN70="","",SUMIF(ЗАКАЗЫ!$F$3:$F$500,$A70,ЗАКАЗЫ!$AL$3:$AL$500))</f>
        <v/>
      </c>
      <c r="BP70" s="7" t="str">
        <f aca="false">IF(BN70="","",BN70-BO70)</f>
        <v/>
      </c>
      <c r="BQ70" s="55" t="str">
        <f aca="false">IF(BN70="","",IF(BO70&gt;=BN70,"На складе",IF(BO70&gt;0,"Частично","Ждём")))</f>
        <v/>
      </c>
      <c r="BR70" s="43"/>
      <c r="BS70" s="47" t="str">
        <f aca="false">IF(BN70="","",IF(_xlfn.MAXIFS(ЗАКАЗЫ!$AK$3:$AK$500,ЗАКАЗЫ!$F$3:$F$500,$A70)=0,"",_xlfn.MAXIFS(ЗАКАЗЫ!$AK$3:$AK$500,ЗАКАЗЫ!$F$3:$F$500,$A70)))</f>
        <v/>
      </c>
    </row>
    <row r="71" customFormat="false" ht="15.75" hidden="false" customHeight="true" outlineLevel="0" collapsed="false">
      <c r="A71" s="80" t="s">
        <v>903</v>
      </c>
      <c r="B71" s="81"/>
      <c r="C71" s="81"/>
      <c r="D71" s="81"/>
      <c r="E71" s="83"/>
      <c r="F71" s="81"/>
      <c r="G71" s="83"/>
      <c r="H71" s="83"/>
      <c r="I71" s="84" t="str">
        <f aca="false">IF(E71="","",A71&amp;"_1.jpg")</f>
        <v/>
      </c>
      <c r="J71" s="84" t="str">
        <f aca="false">IF(E71="","",A71&amp;"_2.jpg; "&amp;A71&amp;"_3.jpg")</f>
        <v/>
      </c>
      <c r="K71" s="84" t="str">
        <f aca="false">IF(E71="","",A71&amp;"_schema.jpg")</f>
        <v/>
      </c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 t="s">
        <v>96</v>
      </c>
      <c r="W71" s="81"/>
      <c r="X71" s="81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6" t="str">
        <f aca="false">IF(SUM(Y71:AJ71)=0,"",SUM(Y71:AJ71))</f>
        <v/>
      </c>
      <c r="AL71" s="84" t="str">
        <f aca="false">MID(IF(N(Y71)&gt;0,", "&amp;Y$2,"")&amp;IF(N(Z71)&gt;0,", "&amp;Z$2,"")&amp;IF(N(AA71)&gt;0,", "&amp;AA$2,"")&amp;IF(N(AB71)&gt;0,", "&amp;AB$2,"")&amp;IF(N(AC71)&gt;0,", "&amp;AC$2,"")&amp;IF(N(AD71)&gt;0,", "&amp;AD$2,"")&amp;IF(N(AE71)&gt;0,", "&amp;AE$2,"")&amp;IF(N(AF71)&gt;0,", "&amp;AF$2,"")&amp;IF(N(AG71)&gt;0,", "&amp;AG$2,"")&amp;IF(N(AH71)&gt;0,", "&amp;AH$2,"")&amp;IF(N(AI71)&gt;0,", "&amp;AI$2,"")&amp;IF(N(AJ71)&gt;0,", "&amp;AJ$2,""),3,999)</f>
        <v/>
      </c>
      <c r="AM71" s="87" t="str">
        <f aca="false">IF(E71="","",MID(IF(N(Y71)&gt;0,", "&amp;A71&amp;"-"&amp;Y$2,"")&amp;IF(N(Z71)&gt;0,", "&amp;A71&amp;"-"&amp;Z$2,"")&amp;IF(N(AA71)&gt;0,", "&amp;A71&amp;"-"&amp;AA$2,"")&amp;IF(N(AB71)&gt;0,", "&amp;A71&amp;"-"&amp;AB$2,"")&amp;IF(N(AC71)&gt;0,", "&amp;A71&amp;"-"&amp;AC$2,"")&amp;IF(N(AD71)&gt;0,", "&amp;A71&amp;"-"&amp;AD$2,"")&amp;IF(N(AE71)&gt;0,", "&amp;A71&amp;"-"&amp;AE$2,"")&amp;IF(N(AF71)&gt;0,", "&amp;A71&amp;"-"&amp;AF$2,"")&amp;IF(N(AG71)&gt;0,", "&amp;A71&amp;"-"&amp;AG$2,"")&amp;IF(N(AH71)&gt;0,", "&amp;A71&amp;"-"&amp;AH$2,"")&amp;IF(N(AI71)&gt;0,", "&amp;A71&amp;"-"&amp;AI$2,"")&amp;IF(N(AJ71)&gt;0,", "&amp;A71&amp;"-"&amp;AJ$2,""),3,999))</f>
        <v/>
      </c>
      <c r="AN71" s="81"/>
      <c r="AO71" s="88"/>
      <c r="AP71" s="89" t="str">
        <f aca="false">IF(AO71="","",ROUND(AO71/(1+Справочники!$B$13),2))</f>
        <v/>
      </c>
      <c r="AQ71" s="90" t="str">
        <f aca="false" t="array" ref="AQ71:AQ71">IF(AP71="","",AP71*INDEX(Справочники!$B$4:$B$7,MATCH("RUB",Справочники!$A$4:$A$7,0)))</f>
        <v/>
      </c>
      <c r="AR71" s="90" t="str">
        <f aca="false">IF(AQ71="","",ROUND(AQ71*(1+Справочники!$B$12),0))</f>
        <v/>
      </c>
      <c r="AS71" s="90" t="str">
        <f aca="false">IF(AR71="","",ROUND(AR71*(1-Справочники!$B$11),0))</f>
        <v/>
      </c>
      <c r="AT71" s="88"/>
      <c r="AU71" s="90" t="str">
        <f aca="false">IF(AT71="","",ROUND(AT71/(1+Справочники!$B$12),0))</f>
        <v/>
      </c>
      <c r="AV71" s="90" t="str">
        <f aca="false">IF(AT71="","",ROUND(AT71*(1-Справочники!$B$15),0))</f>
        <v/>
      </c>
      <c r="AW71" s="90" t="str">
        <f aca="false">IF(AT71="","",ROUND(AT71*(1-Справочники!$B$16),0))</f>
        <v/>
      </c>
      <c r="AX71" s="90" t="str">
        <f aca="false">IF(AT71="","",ROUND(AT71*(1-Справочники!$B$17),0))</f>
        <v/>
      </c>
      <c r="AY71" s="90" t="str">
        <f aca="false">IF(AT71="","",ROUND(AT71*(1-Справочники!$B$18),0))</f>
        <v/>
      </c>
      <c r="AZ71" s="90" t="str">
        <f aca="false">IF(AT71="","",ROUND(AT71*(1-Справочники!$B$19),0))</f>
        <v/>
      </c>
      <c r="BA71" s="81"/>
      <c r="BB71" s="81"/>
      <c r="BC71" s="81"/>
      <c r="BD71" s="81"/>
      <c r="BE71" s="91"/>
      <c r="BF71" s="81" t="s">
        <v>103</v>
      </c>
      <c r="BG71" s="89" t="n">
        <f aca="false" t="array" ref="BG71:BG71">IF(BF71="","",IFERROR(INDEX(Справочники!$B$4:$B$7,MATCH(BF71,Справочники!$A$4:$A$7,0)),""))</f>
        <v>68.5</v>
      </c>
      <c r="BH71" s="90" t="str">
        <f aca="false">IF(N(BN71)&gt;0,ROUND(SUMIF(ЗАКАЗЫ!$F$3:$F$500,$A71,ЗАКАЗЫ!$Y$3:$Y$500)/BN71,0),IF(OR(BE71="",BG71=""),"",ROUND(BE71*BG71*(1+Справочники!$B$10),0)))</f>
        <v/>
      </c>
      <c r="BI71" s="92" t="str">
        <f aca="false">IF(OR(AU71="",BH71="",AU71=0),"",(AU71-BH71)/AU71)</f>
        <v/>
      </c>
      <c r="BJ71" s="81"/>
      <c r="BK71" s="83"/>
      <c r="BL71" s="43" t="str">
        <f aca="false">IFERROR(INDEX(ЗАКАЗЫ!$N$3:$N$500,MATCH($A71,ЗАКАЗЫ!$F$3:$F$500,0)),"")</f>
        <v/>
      </c>
      <c r="BM71" s="8" t="str">
        <f aca="false">IF(BL71="","",IFERROR(VLOOKUP(BL71,'ТН ВЭД'!$A$4:$C$40,3,0),""))</f>
        <v/>
      </c>
      <c r="BN71" s="7" t="str">
        <f aca="false">IF(COUNTIF(ЗАКАЗЫ!$F$3:$F$500,$A71)=0,"",SUMIF(ЗАКАЗЫ!$F$3:$F$500,$A71,ЗАКАЗЫ!$J$3:$J$500))</f>
        <v/>
      </c>
      <c r="BO71" s="7" t="str">
        <f aca="false">IF(BN71="","",SUMIF(ЗАКАЗЫ!$F$3:$F$500,$A71,ЗАКАЗЫ!$AL$3:$AL$500))</f>
        <v/>
      </c>
      <c r="BP71" s="7" t="str">
        <f aca="false">IF(BN71="","",BN71-BO71)</f>
        <v/>
      </c>
      <c r="BQ71" s="55" t="str">
        <f aca="false">IF(BN71="","",IF(BO71&gt;=BN71,"На складе",IF(BO71&gt;0,"Частично","Ждём")))</f>
        <v/>
      </c>
      <c r="BR71" s="43"/>
      <c r="BS71" s="47" t="str">
        <f aca="false">IF(BN71="","",IF(_xlfn.MAXIFS(ЗАКАЗЫ!$AK$3:$AK$500,ЗАКАЗЫ!$F$3:$F$500,$A71)=0,"",_xlfn.MAXIFS(ЗАКАЗЫ!$AK$3:$AK$500,ЗАКАЗЫ!$F$3:$F$500,$A71)))</f>
        <v/>
      </c>
    </row>
    <row r="72" customFormat="false" ht="15.75" hidden="false" customHeight="true" outlineLevel="0" collapsed="false">
      <c r="A72" s="80" t="s">
        <v>904</v>
      </c>
      <c r="B72" s="81"/>
      <c r="C72" s="81"/>
      <c r="D72" s="81"/>
      <c r="E72" s="83"/>
      <c r="F72" s="81"/>
      <c r="G72" s="83"/>
      <c r="H72" s="83"/>
      <c r="I72" s="84" t="str">
        <f aca="false">IF(E72="","",A72&amp;"_1.jpg")</f>
        <v/>
      </c>
      <c r="J72" s="84" t="str">
        <f aca="false">IF(E72="","",A72&amp;"_2.jpg; "&amp;A72&amp;"_3.jpg")</f>
        <v/>
      </c>
      <c r="K72" s="84" t="str">
        <f aca="false">IF(E72="","",A72&amp;"_schema.jpg")</f>
        <v/>
      </c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 t="s">
        <v>96</v>
      </c>
      <c r="W72" s="81"/>
      <c r="X72" s="81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6" t="str">
        <f aca="false">IF(SUM(Y72:AJ72)=0,"",SUM(Y72:AJ72))</f>
        <v/>
      </c>
      <c r="AL72" s="84" t="str">
        <f aca="false">MID(IF(N(Y72)&gt;0,", "&amp;Y$2,"")&amp;IF(N(Z72)&gt;0,", "&amp;Z$2,"")&amp;IF(N(AA72)&gt;0,", "&amp;AA$2,"")&amp;IF(N(AB72)&gt;0,", "&amp;AB$2,"")&amp;IF(N(AC72)&gt;0,", "&amp;AC$2,"")&amp;IF(N(AD72)&gt;0,", "&amp;AD$2,"")&amp;IF(N(AE72)&gt;0,", "&amp;AE$2,"")&amp;IF(N(AF72)&gt;0,", "&amp;AF$2,"")&amp;IF(N(AG72)&gt;0,", "&amp;AG$2,"")&amp;IF(N(AH72)&gt;0,", "&amp;AH$2,"")&amp;IF(N(AI72)&gt;0,", "&amp;AI$2,"")&amp;IF(N(AJ72)&gt;0,", "&amp;AJ$2,""),3,999)</f>
        <v/>
      </c>
      <c r="AM72" s="87" t="str">
        <f aca="false">IF(E72="","",MID(IF(N(Y72)&gt;0,", "&amp;A72&amp;"-"&amp;Y$2,"")&amp;IF(N(Z72)&gt;0,", "&amp;A72&amp;"-"&amp;Z$2,"")&amp;IF(N(AA72)&gt;0,", "&amp;A72&amp;"-"&amp;AA$2,"")&amp;IF(N(AB72)&gt;0,", "&amp;A72&amp;"-"&amp;AB$2,"")&amp;IF(N(AC72)&gt;0,", "&amp;A72&amp;"-"&amp;AC$2,"")&amp;IF(N(AD72)&gt;0,", "&amp;A72&amp;"-"&amp;AD$2,"")&amp;IF(N(AE72)&gt;0,", "&amp;A72&amp;"-"&amp;AE$2,"")&amp;IF(N(AF72)&gt;0,", "&amp;A72&amp;"-"&amp;AF$2,"")&amp;IF(N(AG72)&gt;0,", "&amp;A72&amp;"-"&amp;AG$2,"")&amp;IF(N(AH72)&gt;0,", "&amp;A72&amp;"-"&amp;AH$2,"")&amp;IF(N(AI72)&gt;0,", "&amp;A72&amp;"-"&amp;AI$2,"")&amp;IF(N(AJ72)&gt;0,", "&amp;A72&amp;"-"&amp;AJ$2,""),3,999))</f>
        <v/>
      </c>
      <c r="AN72" s="81"/>
      <c r="AO72" s="88"/>
      <c r="AP72" s="89" t="str">
        <f aca="false">IF(AO72="","",ROUND(AO72/(1+Справочники!$B$13),2))</f>
        <v/>
      </c>
      <c r="AQ72" s="90" t="str">
        <f aca="false" t="array" ref="AQ72:AQ72">IF(AP72="","",AP72*INDEX(Справочники!$B$4:$B$7,MATCH("RUB",Справочники!$A$4:$A$7,0)))</f>
        <v/>
      </c>
      <c r="AR72" s="90" t="str">
        <f aca="false">IF(AQ72="","",ROUND(AQ72*(1+Справочники!$B$12),0))</f>
        <v/>
      </c>
      <c r="AS72" s="90" t="str">
        <f aca="false">IF(AR72="","",ROUND(AR72*(1-Справочники!$B$11),0))</f>
        <v/>
      </c>
      <c r="AT72" s="88"/>
      <c r="AU72" s="90" t="str">
        <f aca="false">IF(AT72="","",ROUND(AT72/(1+Справочники!$B$12),0))</f>
        <v/>
      </c>
      <c r="AV72" s="90" t="str">
        <f aca="false">IF(AT72="","",ROUND(AT72*(1-Справочники!$B$15),0))</f>
        <v/>
      </c>
      <c r="AW72" s="90" t="str">
        <f aca="false">IF(AT72="","",ROUND(AT72*(1-Справочники!$B$16),0))</f>
        <v/>
      </c>
      <c r="AX72" s="90" t="str">
        <f aca="false">IF(AT72="","",ROUND(AT72*(1-Справочники!$B$17),0))</f>
        <v/>
      </c>
      <c r="AY72" s="90" t="str">
        <f aca="false">IF(AT72="","",ROUND(AT72*(1-Справочники!$B$18),0))</f>
        <v/>
      </c>
      <c r="AZ72" s="90" t="str">
        <f aca="false">IF(AT72="","",ROUND(AT72*(1-Справочники!$B$19),0))</f>
        <v/>
      </c>
      <c r="BA72" s="81"/>
      <c r="BB72" s="81"/>
      <c r="BC72" s="81"/>
      <c r="BD72" s="81"/>
      <c r="BE72" s="91"/>
      <c r="BF72" s="81" t="s">
        <v>103</v>
      </c>
      <c r="BG72" s="89" t="n">
        <f aca="false" t="array" ref="BG72:BG72">IF(BF72="","",IFERROR(INDEX(Справочники!$B$4:$B$7,MATCH(BF72,Справочники!$A$4:$A$7,0)),""))</f>
        <v>68.5</v>
      </c>
      <c r="BH72" s="90" t="str">
        <f aca="false">IF(N(BN72)&gt;0,ROUND(SUMIF(ЗАКАЗЫ!$F$3:$F$500,$A72,ЗАКАЗЫ!$Y$3:$Y$500)/BN72,0),IF(OR(BE72="",BG72=""),"",ROUND(BE72*BG72*(1+Справочники!$B$10),0)))</f>
        <v/>
      </c>
      <c r="BI72" s="92" t="str">
        <f aca="false">IF(OR(AU72="",BH72="",AU72=0),"",(AU72-BH72)/AU72)</f>
        <v/>
      </c>
      <c r="BJ72" s="81"/>
      <c r="BK72" s="83"/>
      <c r="BL72" s="43" t="str">
        <f aca="false">IFERROR(INDEX(ЗАКАЗЫ!$N$3:$N$500,MATCH($A72,ЗАКАЗЫ!$F$3:$F$500,0)),"")</f>
        <v/>
      </c>
      <c r="BM72" s="8" t="str">
        <f aca="false">IF(BL72="","",IFERROR(VLOOKUP(BL72,'ТН ВЭД'!$A$4:$C$40,3,0),""))</f>
        <v/>
      </c>
      <c r="BN72" s="7" t="str">
        <f aca="false">IF(COUNTIF(ЗАКАЗЫ!$F$3:$F$500,$A72)=0,"",SUMIF(ЗАКАЗЫ!$F$3:$F$500,$A72,ЗАКАЗЫ!$J$3:$J$500))</f>
        <v/>
      </c>
      <c r="BO72" s="7" t="str">
        <f aca="false">IF(BN72="","",SUMIF(ЗАКАЗЫ!$F$3:$F$500,$A72,ЗАКАЗЫ!$AL$3:$AL$500))</f>
        <v/>
      </c>
      <c r="BP72" s="7" t="str">
        <f aca="false">IF(BN72="","",BN72-BO72)</f>
        <v/>
      </c>
      <c r="BQ72" s="55" t="str">
        <f aca="false">IF(BN72="","",IF(BO72&gt;=BN72,"На складе",IF(BO72&gt;0,"Частично","Ждём")))</f>
        <v/>
      </c>
      <c r="BR72" s="43"/>
      <c r="BS72" s="47" t="str">
        <f aca="false">IF(BN72="","",IF(_xlfn.MAXIFS(ЗАКАЗЫ!$AK$3:$AK$500,ЗАКАЗЫ!$F$3:$F$500,$A72)=0,"",_xlfn.MAXIFS(ЗАКАЗЫ!$AK$3:$AK$500,ЗАКАЗЫ!$F$3:$F$500,$A72)))</f>
        <v/>
      </c>
    </row>
    <row r="73" customFormat="false" ht="15.75" hidden="false" customHeight="true" outlineLevel="0" collapsed="false">
      <c r="A73" s="80" t="s">
        <v>905</v>
      </c>
      <c r="B73" s="81"/>
      <c r="C73" s="81"/>
      <c r="D73" s="81"/>
      <c r="E73" s="83"/>
      <c r="F73" s="81"/>
      <c r="G73" s="83"/>
      <c r="H73" s="83"/>
      <c r="I73" s="84" t="str">
        <f aca="false">IF(E73="","",A73&amp;"_1.jpg")</f>
        <v/>
      </c>
      <c r="J73" s="84" t="str">
        <f aca="false">IF(E73="","",A73&amp;"_2.jpg; "&amp;A73&amp;"_3.jpg")</f>
        <v/>
      </c>
      <c r="K73" s="84" t="str">
        <f aca="false">IF(E73="","",A73&amp;"_schema.jpg")</f>
        <v/>
      </c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 t="s">
        <v>96</v>
      </c>
      <c r="W73" s="81"/>
      <c r="X73" s="81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6" t="str">
        <f aca="false">IF(SUM(Y73:AJ73)=0,"",SUM(Y73:AJ73))</f>
        <v/>
      </c>
      <c r="AL73" s="84" t="str">
        <f aca="false">MID(IF(N(Y73)&gt;0,", "&amp;Y$2,"")&amp;IF(N(Z73)&gt;0,", "&amp;Z$2,"")&amp;IF(N(AA73)&gt;0,", "&amp;AA$2,"")&amp;IF(N(AB73)&gt;0,", "&amp;AB$2,"")&amp;IF(N(AC73)&gt;0,", "&amp;AC$2,"")&amp;IF(N(AD73)&gt;0,", "&amp;AD$2,"")&amp;IF(N(AE73)&gt;0,", "&amp;AE$2,"")&amp;IF(N(AF73)&gt;0,", "&amp;AF$2,"")&amp;IF(N(AG73)&gt;0,", "&amp;AG$2,"")&amp;IF(N(AH73)&gt;0,", "&amp;AH$2,"")&amp;IF(N(AI73)&gt;0,", "&amp;AI$2,"")&amp;IF(N(AJ73)&gt;0,", "&amp;AJ$2,""),3,999)</f>
        <v/>
      </c>
      <c r="AM73" s="87" t="str">
        <f aca="false">IF(E73="","",MID(IF(N(Y73)&gt;0,", "&amp;A73&amp;"-"&amp;Y$2,"")&amp;IF(N(Z73)&gt;0,", "&amp;A73&amp;"-"&amp;Z$2,"")&amp;IF(N(AA73)&gt;0,", "&amp;A73&amp;"-"&amp;AA$2,"")&amp;IF(N(AB73)&gt;0,", "&amp;A73&amp;"-"&amp;AB$2,"")&amp;IF(N(AC73)&gt;0,", "&amp;A73&amp;"-"&amp;AC$2,"")&amp;IF(N(AD73)&gt;0,", "&amp;A73&amp;"-"&amp;AD$2,"")&amp;IF(N(AE73)&gt;0,", "&amp;A73&amp;"-"&amp;AE$2,"")&amp;IF(N(AF73)&gt;0,", "&amp;A73&amp;"-"&amp;AF$2,"")&amp;IF(N(AG73)&gt;0,", "&amp;A73&amp;"-"&amp;AG$2,"")&amp;IF(N(AH73)&gt;0,", "&amp;A73&amp;"-"&amp;AH$2,"")&amp;IF(N(AI73)&gt;0,", "&amp;A73&amp;"-"&amp;AI$2,"")&amp;IF(N(AJ73)&gt;0,", "&amp;A73&amp;"-"&amp;AJ$2,""),3,999))</f>
        <v/>
      </c>
      <c r="AN73" s="81"/>
      <c r="AO73" s="88"/>
      <c r="AP73" s="89" t="str">
        <f aca="false">IF(AO73="","",ROUND(AO73/(1+Справочники!$B$13),2))</f>
        <v/>
      </c>
      <c r="AQ73" s="90" t="str">
        <f aca="false" t="array" ref="AQ73:AQ73">IF(AP73="","",AP73*INDEX(Справочники!$B$4:$B$7,MATCH("RUB",Справочники!$A$4:$A$7,0)))</f>
        <v/>
      </c>
      <c r="AR73" s="90" t="str">
        <f aca="false">IF(AQ73="","",ROUND(AQ73*(1+Справочники!$B$12),0))</f>
        <v/>
      </c>
      <c r="AS73" s="90" t="str">
        <f aca="false">IF(AR73="","",ROUND(AR73*(1-Справочники!$B$11),0))</f>
        <v/>
      </c>
      <c r="AT73" s="88"/>
      <c r="AU73" s="90" t="str">
        <f aca="false">IF(AT73="","",ROUND(AT73/(1+Справочники!$B$12),0))</f>
        <v/>
      </c>
      <c r="AV73" s="90" t="str">
        <f aca="false">IF(AT73="","",ROUND(AT73*(1-Справочники!$B$15),0))</f>
        <v/>
      </c>
      <c r="AW73" s="90" t="str">
        <f aca="false">IF(AT73="","",ROUND(AT73*(1-Справочники!$B$16),0))</f>
        <v/>
      </c>
      <c r="AX73" s="90" t="str">
        <f aca="false">IF(AT73="","",ROUND(AT73*(1-Справочники!$B$17),0))</f>
        <v/>
      </c>
      <c r="AY73" s="90" t="str">
        <f aca="false">IF(AT73="","",ROUND(AT73*(1-Справочники!$B$18),0))</f>
        <v/>
      </c>
      <c r="AZ73" s="90" t="str">
        <f aca="false">IF(AT73="","",ROUND(AT73*(1-Справочники!$B$19),0))</f>
        <v/>
      </c>
      <c r="BA73" s="81"/>
      <c r="BB73" s="81"/>
      <c r="BC73" s="81"/>
      <c r="BD73" s="81"/>
      <c r="BE73" s="91"/>
      <c r="BF73" s="81" t="s">
        <v>103</v>
      </c>
      <c r="BG73" s="89" t="n">
        <f aca="false" t="array" ref="BG73:BG73">IF(BF73="","",IFERROR(INDEX(Справочники!$B$4:$B$7,MATCH(BF73,Справочники!$A$4:$A$7,0)),""))</f>
        <v>68.5</v>
      </c>
      <c r="BH73" s="90" t="str">
        <f aca="false">IF(N(BN73)&gt;0,ROUND(SUMIF(ЗАКАЗЫ!$F$3:$F$500,$A73,ЗАКАЗЫ!$Y$3:$Y$500)/BN73,0),IF(OR(BE73="",BG73=""),"",ROUND(BE73*BG73*(1+Справочники!$B$10),0)))</f>
        <v/>
      </c>
      <c r="BI73" s="92" t="str">
        <f aca="false">IF(OR(AU73="",BH73="",AU73=0),"",(AU73-BH73)/AU73)</f>
        <v/>
      </c>
      <c r="BJ73" s="81"/>
      <c r="BK73" s="83"/>
      <c r="BL73" s="43" t="str">
        <f aca="false">IFERROR(INDEX(ЗАКАЗЫ!$N$3:$N$500,MATCH($A73,ЗАКАЗЫ!$F$3:$F$500,0)),"")</f>
        <v/>
      </c>
      <c r="BM73" s="8" t="str">
        <f aca="false">IF(BL73="","",IFERROR(VLOOKUP(BL73,'ТН ВЭД'!$A$4:$C$40,3,0),""))</f>
        <v/>
      </c>
      <c r="BN73" s="7" t="str">
        <f aca="false">IF(COUNTIF(ЗАКАЗЫ!$F$3:$F$500,$A73)=0,"",SUMIF(ЗАКАЗЫ!$F$3:$F$500,$A73,ЗАКАЗЫ!$J$3:$J$500))</f>
        <v/>
      </c>
      <c r="BO73" s="7" t="str">
        <f aca="false">IF(BN73="","",SUMIF(ЗАКАЗЫ!$F$3:$F$500,$A73,ЗАКАЗЫ!$AL$3:$AL$500))</f>
        <v/>
      </c>
      <c r="BP73" s="7" t="str">
        <f aca="false">IF(BN73="","",BN73-BO73)</f>
        <v/>
      </c>
      <c r="BQ73" s="55" t="str">
        <f aca="false">IF(BN73="","",IF(BO73&gt;=BN73,"На складе",IF(BO73&gt;0,"Частично","Ждём")))</f>
        <v/>
      </c>
      <c r="BR73" s="43"/>
      <c r="BS73" s="47" t="str">
        <f aca="false">IF(BN73="","",IF(_xlfn.MAXIFS(ЗАКАЗЫ!$AK$3:$AK$500,ЗАКАЗЫ!$F$3:$F$500,$A73)=0,"",_xlfn.MAXIFS(ЗАКАЗЫ!$AK$3:$AK$500,ЗАКАЗЫ!$F$3:$F$500,$A73)))</f>
        <v/>
      </c>
    </row>
    <row r="74" customFormat="false" ht="15.75" hidden="false" customHeight="true" outlineLevel="0" collapsed="false">
      <c r="A74" s="80" t="s">
        <v>906</v>
      </c>
      <c r="B74" s="81"/>
      <c r="C74" s="81"/>
      <c r="D74" s="81"/>
      <c r="E74" s="83"/>
      <c r="F74" s="81"/>
      <c r="G74" s="83"/>
      <c r="H74" s="83"/>
      <c r="I74" s="84" t="str">
        <f aca="false">IF(E74="","",A74&amp;"_1.jpg")</f>
        <v/>
      </c>
      <c r="J74" s="84" t="str">
        <f aca="false">IF(E74="","",A74&amp;"_2.jpg; "&amp;A74&amp;"_3.jpg")</f>
        <v/>
      </c>
      <c r="K74" s="84" t="str">
        <f aca="false">IF(E74="","",A74&amp;"_schema.jpg")</f>
        <v/>
      </c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 t="s">
        <v>96</v>
      </c>
      <c r="W74" s="81"/>
      <c r="X74" s="81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6" t="str">
        <f aca="false">IF(SUM(Y74:AJ74)=0,"",SUM(Y74:AJ74))</f>
        <v/>
      </c>
      <c r="AL74" s="84" t="str">
        <f aca="false">MID(IF(N(Y74)&gt;0,", "&amp;Y$2,"")&amp;IF(N(Z74)&gt;0,", "&amp;Z$2,"")&amp;IF(N(AA74)&gt;0,", "&amp;AA$2,"")&amp;IF(N(AB74)&gt;0,", "&amp;AB$2,"")&amp;IF(N(AC74)&gt;0,", "&amp;AC$2,"")&amp;IF(N(AD74)&gt;0,", "&amp;AD$2,"")&amp;IF(N(AE74)&gt;0,", "&amp;AE$2,"")&amp;IF(N(AF74)&gt;0,", "&amp;AF$2,"")&amp;IF(N(AG74)&gt;0,", "&amp;AG$2,"")&amp;IF(N(AH74)&gt;0,", "&amp;AH$2,"")&amp;IF(N(AI74)&gt;0,", "&amp;AI$2,"")&amp;IF(N(AJ74)&gt;0,", "&amp;AJ$2,""),3,999)</f>
        <v/>
      </c>
      <c r="AM74" s="87" t="str">
        <f aca="false">IF(E74="","",MID(IF(N(Y74)&gt;0,", "&amp;A74&amp;"-"&amp;Y$2,"")&amp;IF(N(Z74)&gt;0,", "&amp;A74&amp;"-"&amp;Z$2,"")&amp;IF(N(AA74)&gt;0,", "&amp;A74&amp;"-"&amp;AA$2,"")&amp;IF(N(AB74)&gt;0,", "&amp;A74&amp;"-"&amp;AB$2,"")&amp;IF(N(AC74)&gt;0,", "&amp;A74&amp;"-"&amp;AC$2,"")&amp;IF(N(AD74)&gt;0,", "&amp;A74&amp;"-"&amp;AD$2,"")&amp;IF(N(AE74)&gt;0,", "&amp;A74&amp;"-"&amp;AE$2,"")&amp;IF(N(AF74)&gt;0,", "&amp;A74&amp;"-"&amp;AF$2,"")&amp;IF(N(AG74)&gt;0,", "&amp;A74&amp;"-"&amp;AG$2,"")&amp;IF(N(AH74)&gt;0,", "&amp;A74&amp;"-"&amp;AH$2,"")&amp;IF(N(AI74)&gt;0,", "&amp;A74&amp;"-"&amp;AI$2,"")&amp;IF(N(AJ74)&gt;0,", "&amp;A74&amp;"-"&amp;AJ$2,""),3,999))</f>
        <v/>
      </c>
      <c r="AN74" s="81"/>
      <c r="AO74" s="88"/>
      <c r="AP74" s="89" t="str">
        <f aca="false">IF(AO74="","",ROUND(AO74/(1+Справочники!$B$13),2))</f>
        <v/>
      </c>
      <c r="AQ74" s="90" t="str">
        <f aca="false" t="array" ref="AQ74:AQ74">IF(AP74="","",AP74*INDEX(Справочники!$B$4:$B$7,MATCH("RUB",Справочники!$A$4:$A$7,0)))</f>
        <v/>
      </c>
      <c r="AR74" s="90" t="str">
        <f aca="false">IF(AQ74="","",ROUND(AQ74*(1+Справочники!$B$12),0))</f>
        <v/>
      </c>
      <c r="AS74" s="90" t="str">
        <f aca="false">IF(AR74="","",ROUND(AR74*(1-Справочники!$B$11),0))</f>
        <v/>
      </c>
      <c r="AT74" s="88"/>
      <c r="AU74" s="90" t="str">
        <f aca="false">IF(AT74="","",ROUND(AT74/(1+Справочники!$B$12),0))</f>
        <v/>
      </c>
      <c r="AV74" s="90" t="str">
        <f aca="false">IF(AT74="","",ROUND(AT74*(1-Справочники!$B$15),0))</f>
        <v/>
      </c>
      <c r="AW74" s="90" t="str">
        <f aca="false">IF(AT74="","",ROUND(AT74*(1-Справочники!$B$16),0))</f>
        <v/>
      </c>
      <c r="AX74" s="90" t="str">
        <f aca="false">IF(AT74="","",ROUND(AT74*(1-Справочники!$B$17),0))</f>
        <v/>
      </c>
      <c r="AY74" s="90" t="str">
        <f aca="false">IF(AT74="","",ROUND(AT74*(1-Справочники!$B$18),0))</f>
        <v/>
      </c>
      <c r="AZ74" s="90" t="str">
        <f aca="false">IF(AT74="","",ROUND(AT74*(1-Справочники!$B$19),0))</f>
        <v/>
      </c>
      <c r="BA74" s="81"/>
      <c r="BB74" s="81"/>
      <c r="BC74" s="81"/>
      <c r="BD74" s="81"/>
      <c r="BE74" s="91"/>
      <c r="BF74" s="81" t="s">
        <v>103</v>
      </c>
      <c r="BG74" s="89" t="n">
        <f aca="false" t="array" ref="BG74:BG74">IF(BF74="","",IFERROR(INDEX(Справочники!$B$4:$B$7,MATCH(BF74,Справочники!$A$4:$A$7,0)),""))</f>
        <v>68.5</v>
      </c>
      <c r="BH74" s="90" t="str">
        <f aca="false">IF(N(BN74)&gt;0,ROUND(SUMIF(ЗАКАЗЫ!$F$3:$F$500,$A74,ЗАКАЗЫ!$Y$3:$Y$500)/BN74,0),IF(OR(BE74="",BG74=""),"",ROUND(BE74*BG74*(1+Справочники!$B$10),0)))</f>
        <v/>
      </c>
      <c r="BI74" s="92" t="str">
        <f aca="false">IF(OR(AU74="",BH74="",AU74=0),"",(AU74-BH74)/AU74)</f>
        <v/>
      </c>
      <c r="BJ74" s="81"/>
      <c r="BK74" s="83"/>
      <c r="BL74" s="43" t="str">
        <f aca="false">IFERROR(INDEX(ЗАКАЗЫ!$N$3:$N$500,MATCH($A74,ЗАКАЗЫ!$F$3:$F$500,0)),"")</f>
        <v/>
      </c>
      <c r="BM74" s="8" t="str">
        <f aca="false">IF(BL74="","",IFERROR(VLOOKUP(BL74,'ТН ВЭД'!$A$4:$C$40,3,0),""))</f>
        <v/>
      </c>
      <c r="BN74" s="7" t="str">
        <f aca="false">IF(COUNTIF(ЗАКАЗЫ!$F$3:$F$500,$A74)=0,"",SUMIF(ЗАКАЗЫ!$F$3:$F$500,$A74,ЗАКАЗЫ!$J$3:$J$500))</f>
        <v/>
      </c>
      <c r="BO74" s="7" t="str">
        <f aca="false">IF(BN74="","",SUMIF(ЗАКАЗЫ!$F$3:$F$500,$A74,ЗАКАЗЫ!$AL$3:$AL$500))</f>
        <v/>
      </c>
      <c r="BP74" s="7" t="str">
        <f aca="false">IF(BN74="","",BN74-BO74)</f>
        <v/>
      </c>
      <c r="BQ74" s="55" t="str">
        <f aca="false">IF(BN74="","",IF(BO74&gt;=BN74,"На складе",IF(BO74&gt;0,"Частично","Ждём")))</f>
        <v/>
      </c>
      <c r="BR74" s="43"/>
      <c r="BS74" s="47" t="str">
        <f aca="false">IF(BN74="","",IF(_xlfn.MAXIFS(ЗАКАЗЫ!$AK$3:$AK$500,ЗАКАЗЫ!$F$3:$F$500,$A74)=0,"",_xlfn.MAXIFS(ЗАКАЗЫ!$AK$3:$AK$500,ЗАКАЗЫ!$F$3:$F$500,$A74)))</f>
        <v/>
      </c>
    </row>
    <row r="75" customFormat="false" ht="15.75" hidden="false" customHeight="true" outlineLevel="0" collapsed="false">
      <c r="A75" s="80" t="s">
        <v>907</v>
      </c>
      <c r="B75" s="81"/>
      <c r="C75" s="81"/>
      <c r="D75" s="81"/>
      <c r="E75" s="83"/>
      <c r="F75" s="81"/>
      <c r="G75" s="83"/>
      <c r="H75" s="83"/>
      <c r="I75" s="84" t="str">
        <f aca="false">IF(E75="","",A75&amp;"_1.jpg")</f>
        <v/>
      </c>
      <c r="J75" s="84" t="str">
        <f aca="false">IF(E75="","",A75&amp;"_2.jpg; "&amp;A75&amp;"_3.jpg")</f>
        <v/>
      </c>
      <c r="K75" s="84" t="str">
        <f aca="false">IF(E75="","",A75&amp;"_schema.jpg")</f>
        <v/>
      </c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 t="s">
        <v>96</v>
      </c>
      <c r="W75" s="81"/>
      <c r="X75" s="81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6" t="str">
        <f aca="false">IF(SUM(Y75:AJ75)=0,"",SUM(Y75:AJ75))</f>
        <v/>
      </c>
      <c r="AL75" s="84" t="str">
        <f aca="false">MID(IF(N(Y75)&gt;0,", "&amp;Y$2,"")&amp;IF(N(Z75)&gt;0,", "&amp;Z$2,"")&amp;IF(N(AA75)&gt;0,", "&amp;AA$2,"")&amp;IF(N(AB75)&gt;0,", "&amp;AB$2,"")&amp;IF(N(AC75)&gt;0,", "&amp;AC$2,"")&amp;IF(N(AD75)&gt;0,", "&amp;AD$2,"")&amp;IF(N(AE75)&gt;0,", "&amp;AE$2,"")&amp;IF(N(AF75)&gt;0,", "&amp;AF$2,"")&amp;IF(N(AG75)&gt;0,", "&amp;AG$2,"")&amp;IF(N(AH75)&gt;0,", "&amp;AH$2,"")&amp;IF(N(AI75)&gt;0,", "&amp;AI$2,"")&amp;IF(N(AJ75)&gt;0,", "&amp;AJ$2,""),3,999)</f>
        <v/>
      </c>
      <c r="AM75" s="87" t="str">
        <f aca="false">IF(E75="","",MID(IF(N(Y75)&gt;0,", "&amp;A75&amp;"-"&amp;Y$2,"")&amp;IF(N(Z75)&gt;0,", "&amp;A75&amp;"-"&amp;Z$2,"")&amp;IF(N(AA75)&gt;0,", "&amp;A75&amp;"-"&amp;AA$2,"")&amp;IF(N(AB75)&gt;0,", "&amp;A75&amp;"-"&amp;AB$2,"")&amp;IF(N(AC75)&gt;0,", "&amp;A75&amp;"-"&amp;AC$2,"")&amp;IF(N(AD75)&gt;0,", "&amp;A75&amp;"-"&amp;AD$2,"")&amp;IF(N(AE75)&gt;0,", "&amp;A75&amp;"-"&amp;AE$2,"")&amp;IF(N(AF75)&gt;0,", "&amp;A75&amp;"-"&amp;AF$2,"")&amp;IF(N(AG75)&gt;0,", "&amp;A75&amp;"-"&amp;AG$2,"")&amp;IF(N(AH75)&gt;0,", "&amp;A75&amp;"-"&amp;AH$2,"")&amp;IF(N(AI75)&gt;0,", "&amp;A75&amp;"-"&amp;AI$2,"")&amp;IF(N(AJ75)&gt;0,", "&amp;A75&amp;"-"&amp;AJ$2,""),3,999))</f>
        <v/>
      </c>
      <c r="AN75" s="81"/>
      <c r="AO75" s="88"/>
      <c r="AP75" s="89" t="str">
        <f aca="false">IF(AO75="","",ROUND(AO75/(1+Справочники!$B$13),2))</f>
        <v/>
      </c>
      <c r="AQ75" s="90" t="str">
        <f aca="false" t="array" ref="AQ75:AQ75">IF(AP75="","",AP75*INDEX(Справочники!$B$4:$B$7,MATCH("RUB",Справочники!$A$4:$A$7,0)))</f>
        <v/>
      </c>
      <c r="AR75" s="90" t="str">
        <f aca="false">IF(AQ75="","",ROUND(AQ75*(1+Справочники!$B$12),0))</f>
        <v/>
      </c>
      <c r="AS75" s="90" t="str">
        <f aca="false">IF(AR75="","",ROUND(AR75*(1-Справочники!$B$11),0))</f>
        <v/>
      </c>
      <c r="AT75" s="88"/>
      <c r="AU75" s="90" t="str">
        <f aca="false">IF(AT75="","",ROUND(AT75/(1+Справочники!$B$12),0))</f>
        <v/>
      </c>
      <c r="AV75" s="90" t="str">
        <f aca="false">IF(AT75="","",ROUND(AT75*(1-Справочники!$B$15),0))</f>
        <v/>
      </c>
      <c r="AW75" s="90" t="str">
        <f aca="false">IF(AT75="","",ROUND(AT75*(1-Справочники!$B$16),0))</f>
        <v/>
      </c>
      <c r="AX75" s="90" t="str">
        <f aca="false">IF(AT75="","",ROUND(AT75*(1-Справочники!$B$17),0))</f>
        <v/>
      </c>
      <c r="AY75" s="90" t="str">
        <f aca="false">IF(AT75="","",ROUND(AT75*(1-Справочники!$B$18),0))</f>
        <v/>
      </c>
      <c r="AZ75" s="90" t="str">
        <f aca="false">IF(AT75="","",ROUND(AT75*(1-Справочники!$B$19),0))</f>
        <v/>
      </c>
      <c r="BA75" s="81"/>
      <c r="BB75" s="81"/>
      <c r="BC75" s="81"/>
      <c r="BD75" s="81"/>
      <c r="BE75" s="91"/>
      <c r="BF75" s="81" t="s">
        <v>103</v>
      </c>
      <c r="BG75" s="89" t="n">
        <f aca="false" t="array" ref="BG75:BG75">IF(BF75="","",IFERROR(INDEX(Справочники!$B$4:$B$7,MATCH(BF75,Справочники!$A$4:$A$7,0)),""))</f>
        <v>68.5</v>
      </c>
      <c r="BH75" s="90" t="str">
        <f aca="false">IF(N(BN75)&gt;0,ROUND(SUMIF(ЗАКАЗЫ!$F$3:$F$500,$A75,ЗАКАЗЫ!$Y$3:$Y$500)/BN75,0),IF(OR(BE75="",BG75=""),"",ROUND(BE75*BG75*(1+Справочники!$B$10),0)))</f>
        <v/>
      </c>
      <c r="BI75" s="92" t="str">
        <f aca="false">IF(OR(AU75="",BH75="",AU75=0),"",(AU75-BH75)/AU75)</f>
        <v/>
      </c>
      <c r="BJ75" s="81"/>
      <c r="BK75" s="83"/>
      <c r="BL75" s="43" t="str">
        <f aca="false">IFERROR(INDEX(ЗАКАЗЫ!$N$3:$N$500,MATCH($A75,ЗАКАЗЫ!$F$3:$F$500,0)),"")</f>
        <v/>
      </c>
      <c r="BM75" s="8" t="str">
        <f aca="false">IF(BL75="","",IFERROR(VLOOKUP(BL75,'ТН ВЭД'!$A$4:$C$40,3,0),""))</f>
        <v/>
      </c>
      <c r="BN75" s="7" t="str">
        <f aca="false">IF(COUNTIF(ЗАКАЗЫ!$F$3:$F$500,$A75)=0,"",SUMIF(ЗАКАЗЫ!$F$3:$F$500,$A75,ЗАКАЗЫ!$J$3:$J$500))</f>
        <v/>
      </c>
      <c r="BO75" s="7" t="str">
        <f aca="false">IF(BN75="","",SUMIF(ЗАКАЗЫ!$F$3:$F$500,$A75,ЗАКАЗЫ!$AL$3:$AL$500))</f>
        <v/>
      </c>
      <c r="BP75" s="7" t="str">
        <f aca="false">IF(BN75="","",BN75-BO75)</f>
        <v/>
      </c>
      <c r="BQ75" s="55" t="str">
        <f aca="false">IF(BN75="","",IF(BO75&gt;=BN75,"На складе",IF(BO75&gt;0,"Частично","Ждём")))</f>
        <v/>
      </c>
      <c r="BR75" s="43"/>
      <c r="BS75" s="47" t="str">
        <f aca="false">IF(BN75="","",IF(_xlfn.MAXIFS(ЗАКАЗЫ!$AK$3:$AK$500,ЗАКАЗЫ!$F$3:$F$500,$A75)=0,"",_xlfn.MAXIFS(ЗАКАЗЫ!$AK$3:$AK$500,ЗАКАЗЫ!$F$3:$F$500,$A75)))</f>
        <v/>
      </c>
    </row>
    <row r="76" customFormat="false" ht="15.75" hidden="false" customHeight="true" outlineLevel="0" collapsed="false">
      <c r="A76" s="80" t="s">
        <v>908</v>
      </c>
      <c r="B76" s="81"/>
      <c r="C76" s="81"/>
      <c r="D76" s="81"/>
      <c r="E76" s="83"/>
      <c r="F76" s="81"/>
      <c r="G76" s="83"/>
      <c r="H76" s="83"/>
      <c r="I76" s="84" t="str">
        <f aca="false">IF(E76="","",A76&amp;"_1.jpg")</f>
        <v/>
      </c>
      <c r="J76" s="84" t="str">
        <f aca="false">IF(E76="","",A76&amp;"_2.jpg; "&amp;A76&amp;"_3.jpg")</f>
        <v/>
      </c>
      <c r="K76" s="84" t="str">
        <f aca="false">IF(E76="","",A76&amp;"_schema.jpg")</f>
        <v/>
      </c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 t="s">
        <v>96</v>
      </c>
      <c r="W76" s="81"/>
      <c r="X76" s="81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6" t="str">
        <f aca="false">IF(SUM(Y76:AJ76)=0,"",SUM(Y76:AJ76))</f>
        <v/>
      </c>
      <c r="AL76" s="84" t="str">
        <f aca="false">MID(IF(N(Y76)&gt;0,", "&amp;Y$2,"")&amp;IF(N(Z76)&gt;0,", "&amp;Z$2,"")&amp;IF(N(AA76)&gt;0,", "&amp;AA$2,"")&amp;IF(N(AB76)&gt;0,", "&amp;AB$2,"")&amp;IF(N(AC76)&gt;0,", "&amp;AC$2,"")&amp;IF(N(AD76)&gt;0,", "&amp;AD$2,"")&amp;IF(N(AE76)&gt;0,", "&amp;AE$2,"")&amp;IF(N(AF76)&gt;0,", "&amp;AF$2,"")&amp;IF(N(AG76)&gt;0,", "&amp;AG$2,"")&amp;IF(N(AH76)&gt;0,", "&amp;AH$2,"")&amp;IF(N(AI76)&gt;0,", "&amp;AI$2,"")&amp;IF(N(AJ76)&gt;0,", "&amp;AJ$2,""),3,999)</f>
        <v/>
      </c>
      <c r="AM76" s="87" t="str">
        <f aca="false">IF(E76="","",MID(IF(N(Y76)&gt;0,", "&amp;A76&amp;"-"&amp;Y$2,"")&amp;IF(N(Z76)&gt;0,", "&amp;A76&amp;"-"&amp;Z$2,"")&amp;IF(N(AA76)&gt;0,", "&amp;A76&amp;"-"&amp;AA$2,"")&amp;IF(N(AB76)&gt;0,", "&amp;A76&amp;"-"&amp;AB$2,"")&amp;IF(N(AC76)&gt;0,", "&amp;A76&amp;"-"&amp;AC$2,"")&amp;IF(N(AD76)&gt;0,", "&amp;A76&amp;"-"&amp;AD$2,"")&amp;IF(N(AE76)&gt;0,", "&amp;A76&amp;"-"&amp;AE$2,"")&amp;IF(N(AF76)&gt;0,", "&amp;A76&amp;"-"&amp;AF$2,"")&amp;IF(N(AG76)&gt;0,", "&amp;A76&amp;"-"&amp;AG$2,"")&amp;IF(N(AH76)&gt;0,", "&amp;A76&amp;"-"&amp;AH$2,"")&amp;IF(N(AI76)&gt;0,", "&amp;A76&amp;"-"&amp;AI$2,"")&amp;IF(N(AJ76)&gt;0,", "&amp;A76&amp;"-"&amp;AJ$2,""),3,999))</f>
        <v/>
      </c>
      <c r="AN76" s="81"/>
      <c r="AO76" s="88"/>
      <c r="AP76" s="89" t="str">
        <f aca="false">IF(AO76="","",ROUND(AO76/(1+Справочники!$B$13),2))</f>
        <v/>
      </c>
      <c r="AQ76" s="90" t="str">
        <f aca="false" t="array" ref="AQ76:AQ76">IF(AP76="","",AP76*INDEX(Справочники!$B$4:$B$7,MATCH("RUB",Справочники!$A$4:$A$7,0)))</f>
        <v/>
      </c>
      <c r="AR76" s="90" t="str">
        <f aca="false">IF(AQ76="","",ROUND(AQ76*(1+Справочники!$B$12),0))</f>
        <v/>
      </c>
      <c r="AS76" s="90" t="str">
        <f aca="false">IF(AR76="","",ROUND(AR76*(1-Справочники!$B$11),0))</f>
        <v/>
      </c>
      <c r="AT76" s="88"/>
      <c r="AU76" s="90" t="str">
        <f aca="false">IF(AT76="","",ROUND(AT76/(1+Справочники!$B$12),0))</f>
        <v/>
      </c>
      <c r="AV76" s="90" t="str">
        <f aca="false">IF(AT76="","",ROUND(AT76*(1-Справочники!$B$15),0))</f>
        <v/>
      </c>
      <c r="AW76" s="90" t="str">
        <f aca="false">IF(AT76="","",ROUND(AT76*(1-Справочники!$B$16),0))</f>
        <v/>
      </c>
      <c r="AX76" s="90" t="str">
        <f aca="false">IF(AT76="","",ROUND(AT76*(1-Справочники!$B$17),0))</f>
        <v/>
      </c>
      <c r="AY76" s="90" t="str">
        <f aca="false">IF(AT76="","",ROUND(AT76*(1-Справочники!$B$18),0))</f>
        <v/>
      </c>
      <c r="AZ76" s="90" t="str">
        <f aca="false">IF(AT76="","",ROUND(AT76*(1-Справочники!$B$19),0))</f>
        <v/>
      </c>
      <c r="BA76" s="81"/>
      <c r="BB76" s="81"/>
      <c r="BC76" s="81"/>
      <c r="BD76" s="81"/>
      <c r="BE76" s="91"/>
      <c r="BF76" s="81" t="s">
        <v>103</v>
      </c>
      <c r="BG76" s="89" t="n">
        <f aca="false" t="array" ref="BG76:BG76">IF(BF76="","",IFERROR(INDEX(Справочники!$B$4:$B$7,MATCH(BF76,Справочники!$A$4:$A$7,0)),""))</f>
        <v>68.5</v>
      </c>
      <c r="BH76" s="90" t="str">
        <f aca="false">IF(N(BN76)&gt;0,ROUND(SUMIF(ЗАКАЗЫ!$F$3:$F$500,$A76,ЗАКАЗЫ!$Y$3:$Y$500)/BN76,0),IF(OR(BE76="",BG76=""),"",ROUND(BE76*BG76*(1+Справочники!$B$10),0)))</f>
        <v/>
      </c>
      <c r="BI76" s="92" t="str">
        <f aca="false">IF(OR(AU76="",BH76="",AU76=0),"",(AU76-BH76)/AU76)</f>
        <v/>
      </c>
      <c r="BJ76" s="81"/>
      <c r="BK76" s="83"/>
      <c r="BL76" s="43" t="str">
        <f aca="false">IFERROR(INDEX(ЗАКАЗЫ!$N$3:$N$500,MATCH($A76,ЗАКАЗЫ!$F$3:$F$500,0)),"")</f>
        <v/>
      </c>
      <c r="BM76" s="8" t="str">
        <f aca="false">IF(BL76="","",IFERROR(VLOOKUP(BL76,'ТН ВЭД'!$A$4:$C$40,3,0),""))</f>
        <v/>
      </c>
      <c r="BN76" s="7" t="str">
        <f aca="false">IF(COUNTIF(ЗАКАЗЫ!$F$3:$F$500,$A76)=0,"",SUMIF(ЗАКАЗЫ!$F$3:$F$500,$A76,ЗАКАЗЫ!$J$3:$J$500))</f>
        <v/>
      </c>
      <c r="BO76" s="7" t="str">
        <f aca="false">IF(BN76="","",SUMIF(ЗАКАЗЫ!$F$3:$F$500,$A76,ЗАКАЗЫ!$AL$3:$AL$500))</f>
        <v/>
      </c>
      <c r="BP76" s="7" t="str">
        <f aca="false">IF(BN76="","",BN76-BO76)</f>
        <v/>
      </c>
      <c r="BQ76" s="55" t="str">
        <f aca="false">IF(BN76="","",IF(BO76&gt;=BN76,"На складе",IF(BO76&gt;0,"Частично","Ждём")))</f>
        <v/>
      </c>
      <c r="BR76" s="43"/>
      <c r="BS76" s="47" t="str">
        <f aca="false">IF(BN76="","",IF(_xlfn.MAXIFS(ЗАКАЗЫ!$AK$3:$AK$500,ЗАКАЗЫ!$F$3:$F$500,$A76)=0,"",_xlfn.MAXIFS(ЗАКАЗЫ!$AK$3:$AK$500,ЗАКАЗЫ!$F$3:$F$500,$A76)))</f>
        <v/>
      </c>
    </row>
    <row r="77" customFormat="false" ht="15.75" hidden="false" customHeight="true" outlineLevel="0" collapsed="false">
      <c r="A77" s="80" t="s">
        <v>909</v>
      </c>
      <c r="B77" s="81"/>
      <c r="C77" s="81"/>
      <c r="D77" s="81"/>
      <c r="E77" s="83"/>
      <c r="F77" s="81"/>
      <c r="G77" s="83"/>
      <c r="H77" s="83"/>
      <c r="I77" s="84" t="str">
        <f aca="false">IF(E77="","",A77&amp;"_1.jpg")</f>
        <v/>
      </c>
      <c r="J77" s="84" t="str">
        <f aca="false">IF(E77="","",A77&amp;"_2.jpg; "&amp;A77&amp;"_3.jpg")</f>
        <v/>
      </c>
      <c r="K77" s="84" t="str">
        <f aca="false">IF(E77="","",A77&amp;"_schema.jpg")</f>
        <v/>
      </c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 t="s">
        <v>96</v>
      </c>
      <c r="W77" s="81"/>
      <c r="X77" s="81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6" t="str">
        <f aca="false">IF(SUM(Y77:AJ77)=0,"",SUM(Y77:AJ77))</f>
        <v/>
      </c>
      <c r="AL77" s="84" t="str">
        <f aca="false">MID(IF(N(Y77)&gt;0,", "&amp;Y$2,"")&amp;IF(N(Z77)&gt;0,", "&amp;Z$2,"")&amp;IF(N(AA77)&gt;0,", "&amp;AA$2,"")&amp;IF(N(AB77)&gt;0,", "&amp;AB$2,"")&amp;IF(N(AC77)&gt;0,", "&amp;AC$2,"")&amp;IF(N(AD77)&gt;0,", "&amp;AD$2,"")&amp;IF(N(AE77)&gt;0,", "&amp;AE$2,"")&amp;IF(N(AF77)&gt;0,", "&amp;AF$2,"")&amp;IF(N(AG77)&gt;0,", "&amp;AG$2,"")&amp;IF(N(AH77)&gt;0,", "&amp;AH$2,"")&amp;IF(N(AI77)&gt;0,", "&amp;AI$2,"")&amp;IF(N(AJ77)&gt;0,", "&amp;AJ$2,""),3,999)</f>
        <v/>
      </c>
      <c r="AM77" s="87" t="str">
        <f aca="false">IF(E77="","",MID(IF(N(Y77)&gt;0,", "&amp;A77&amp;"-"&amp;Y$2,"")&amp;IF(N(Z77)&gt;0,", "&amp;A77&amp;"-"&amp;Z$2,"")&amp;IF(N(AA77)&gt;0,", "&amp;A77&amp;"-"&amp;AA$2,"")&amp;IF(N(AB77)&gt;0,", "&amp;A77&amp;"-"&amp;AB$2,"")&amp;IF(N(AC77)&gt;0,", "&amp;A77&amp;"-"&amp;AC$2,"")&amp;IF(N(AD77)&gt;0,", "&amp;A77&amp;"-"&amp;AD$2,"")&amp;IF(N(AE77)&gt;0,", "&amp;A77&amp;"-"&amp;AE$2,"")&amp;IF(N(AF77)&gt;0,", "&amp;A77&amp;"-"&amp;AF$2,"")&amp;IF(N(AG77)&gt;0,", "&amp;A77&amp;"-"&amp;AG$2,"")&amp;IF(N(AH77)&gt;0,", "&amp;A77&amp;"-"&amp;AH$2,"")&amp;IF(N(AI77)&gt;0,", "&amp;A77&amp;"-"&amp;AI$2,"")&amp;IF(N(AJ77)&gt;0,", "&amp;A77&amp;"-"&amp;AJ$2,""),3,999))</f>
        <v/>
      </c>
      <c r="AN77" s="81"/>
      <c r="AO77" s="88"/>
      <c r="AP77" s="89" t="str">
        <f aca="false">IF(AO77="","",ROUND(AO77/(1+Справочники!$B$13),2))</f>
        <v/>
      </c>
      <c r="AQ77" s="90" t="str">
        <f aca="false" t="array" ref="AQ77:AQ77">IF(AP77="","",AP77*INDEX(Справочники!$B$4:$B$7,MATCH("RUB",Справочники!$A$4:$A$7,0)))</f>
        <v/>
      </c>
      <c r="AR77" s="90" t="str">
        <f aca="false">IF(AQ77="","",ROUND(AQ77*(1+Справочники!$B$12),0))</f>
        <v/>
      </c>
      <c r="AS77" s="90" t="str">
        <f aca="false">IF(AR77="","",ROUND(AR77*(1-Справочники!$B$11),0))</f>
        <v/>
      </c>
      <c r="AT77" s="88"/>
      <c r="AU77" s="90" t="str">
        <f aca="false">IF(AT77="","",ROUND(AT77/(1+Справочники!$B$12),0))</f>
        <v/>
      </c>
      <c r="AV77" s="90" t="str">
        <f aca="false">IF(AT77="","",ROUND(AT77*(1-Справочники!$B$15),0))</f>
        <v/>
      </c>
      <c r="AW77" s="90" t="str">
        <f aca="false">IF(AT77="","",ROUND(AT77*(1-Справочники!$B$16),0))</f>
        <v/>
      </c>
      <c r="AX77" s="90" t="str">
        <f aca="false">IF(AT77="","",ROUND(AT77*(1-Справочники!$B$17),0))</f>
        <v/>
      </c>
      <c r="AY77" s="90" t="str">
        <f aca="false">IF(AT77="","",ROUND(AT77*(1-Справочники!$B$18),0))</f>
        <v/>
      </c>
      <c r="AZ77" s="90" t="str">
        <f aca="false">IF(AT77="","",ROUND(AT77*(1-Справочники!$B$19),0))</f>
        <v/>
      </c>
      <c r="BA77" s="81"/>
      <c r="BB77" s="81"/>
      <c r="BC77" s="81"/>
      <c r="BD77" s="81"/>
      <c r="BE77" s="91"/>
      <c r="BF77" s="81" t="s">
        <v>103</v>
      </c>
      <c r="BG77" s="89" t="n">
        <f aca="false" t="array" ref="BG77:BG77">IF(BF77="","",IFERROR(INDEX(Справочники!$B$4:$B$7,MATCH(BF77,Справочники!$A$4:$A$7,0)),""))</f>
        <v>68.5</v>
      </c>
      <c r="BH77" s="90" t="str">
        <f aca="false">IF(N(BN77)&gt;0,ROUND(SUMIF(ЗАКАЗЫ!$F$3:$F$500,$A77,ЗАКАЗЫ!$Y$3:$Y$500)/BN77,0),IF(OR(BE77="",BG77=""),"",ROUND(BE77*BG77*(1+Справочники!$B$10),0)))</f>
        <v/>
      </c>
      <c r="BI77" s="92" t="str">
        <f aca="false">IF(OR(AU77="",BH77="",AU77=0),"",(AU77-BH77)/AU77)</f>
        <v/>
      </c>
      <c r="BJ77" s="81"/>
      <c r="BK77" s="83"/>
      <c r="BL77" s="43" t="str">
        <f aca="false">IFERROR(INDEX(ЗАКАЗЫ!$N$3:$N$500,MATCH($A77,ЗАКАЗЫ!$F$3:$F$500,0)),"")</f>
        <v/>
      </c>
      <c r="BM77" s="8" t="str">
        <f aca="false">IF(BL77="","",IFERROR(VLOOKUP(BL77,'ТН ВЭД'!$A$4:$C$40,3,0),""))</f>
        <v/>
      </c>
      <c r="BN77" s="7" t="str">
        <f aca="false">IF(COUNTIF(ЗАКАЗЫ!$F$3:$F$500,$A77)=0,"",SUMIF(ЗАКАЗЫ!$F$3:$F$500,$A77,ЗАКАЗЫ!$J$3:$J$500))</f>
        <v/>
      </c>
      <c r="BO77" s="7" t="str">
        <f aca="false">IF(BN77="","",SUMIF(ЗАКАЗЫ!$F$3:$F$500,$A77,ЗАКАЗЫ!$AL$3:$AL$500))</f>
        <v/>
      </c>
      <c r="BP77" s="7" t="str">
        <f aca="false">IF(BN77="","",BN77-BO77)</f>
        <v/>
      </c>
      <c r="BQ77" s="55" t="str">
        <f aca="false">IF(BN77="","",IF(BO77&gt;=BN77,"На складе",IF(BO77&gt;0,"Частично","Ждём")))</f>
        <v/>
      </c>
      <c r="BR77" s="43"/>
      <c r="BS77" s="47" t="str">
        <f aca="false">IF(BN77="","",IF(_xlfn.MAXIFS(ЗАКАЗЫ!$AK$3:$AK$500,ЗАКАЗЫ!$F$3:$F$500,$A77)=0,"",_xlfn.MAXIFS(ЗАКАЗЫ!$AK$3:$AK$500,ЗАКАЗЫ!$F$3:$F$500,$A77)))</f>
        <v/>
      </c>
    </row>
    <row r="78" customFormat="false" ht="15.75" hidden="false" customHeight="true" outlineLevel="0" collapsed="false">
      <c r="A78" s="80" t="s">
        <v>910</v>
      </c>
      <c r="B78" s="81"/>
      <c r="C78" s="81"/>
      <c r="D78" s="81"/>
      <c r="E78" s="83"/>
      <c r="F78" s="81"/>
      <c r="G78" s="83"/>
      <c r="H78" s="83"/>
      <c r="I78" s="84" t="str">
        <f aca="false">IF(E78="","",A78&amp;"_1.jpg")</f>
        <v/>
      </c>
      <c r="J78" s="84" t="str">
        <f aca="false">IF(E78="","",A78&amp;"_2.jpg; "&amp;A78&amp;"_3.jpg")</f>
        <v/>
      </c>
      <c r="K78" s="84" t="str">
        <f aca="false">IF(E78="","",A78&amp;"_schema.jpg")</f>
        <v/>
      </c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 t="s">
        <v>96</v>
      </c>
      <c r="W78" s="81"/>
      <c r="X78" s="81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6" t="str">
        <f aca="false">IF(SUM(Y78:AJ78)=0,"",SUM(Y78:AJ78))</f>
        <v/>
      </c>
      <c r="AL78" s="84" t="str">
        <f aca="false">MID(IF(N(Y78)&gt;0,", "&amp;Y$2,"")&amp;IF(N(Z78)&gt;0,", "&amp;Z$2,"")&amp;IF(N(AA78)&gt;0,", "&amp;AA$2,"")&amp;IF(N(AB78)&gt;0,", "&amp;AB$2,"")&amp;IF(N(AC78)&gt;0,", "&amp;AC$2,"")&amp;IF(N(AD78)&gt;0,", "&amp;AD$2,"")&amp;IF(N(AE78)&gt;0,", "&amp;AE$2,"")&amp;IF(N(AF78)&gt;0,", "&amp;AF$2,"")&amp;IF(N(AG78)&gt;0,", "&amp;AG$2,"")&amp;IF(N(AH78)&gt;0,", "&amp;AH$2,"")&amp;IF(N(AI78)&gt;0,", "&amp;AI$2,"")&amp;IF(N(AJ78)&gt;0,", "&amp;AJ$2,""),3,999)</f>
        <v/>
      </c>
      <c r="AM78" s="87" t="str">
        <f aca="false">IF(E78="","",MID(IF(N(Y78)&gt;0,", "&amp;A78&amp;"-"&amp;Y$2,"")&amp;IF(N(Z78)&gt;0,", "&amp;A78&amp;"-"&amp;Z$2,"")&amp;IF(N(AA78)&gt;0,", "&amp;A78&amp;"-"&amp;AA$2,"")&amp;IF(N(AB78)&gt;0,", "&amp;A78&amp;"-"&amp;AB$2,"")&amp;IF(N(AC78)&gt;0,", "&amp;A78&amp;"-"&amp;AC$2,"")&amp;IF(N(AD78)&gt;0,", "&amp;A78&amp;"-"&amp;AD$2,"")&amp;IF(N(AE78)&gt;0,", "&amp;A78&amp;"-"&amp;AE$2,"")&amp;IF(N(AF78)&gt;0,", "&amp;A78&amp;"-"&amp;AF$2,"")&amp;IF(N(AG78)&gt;0,", "&amp;A78&amp;"-"&amp;AG$2,"")&amp;IF(N(AH78)&gt;0,", "&amp;A78&amp;"-"&amp;AH$2,"")&amp;IF(N(AI78)&gt;0,", "&amp;A78&amp;"-"&amp;AI$2,"")&amp;IF(N(AJ78)&gt;0,", "&amp;A78&amp;"-"&amp;AJ$2,""),3,999))</f>
        <v/>
      </c>
      <c r="AN78" s="81"/>
      <c r="AO78" s="88"/>
      <c r="AP78" s="89" t="str">
        <f aca="false">IF(AO78="","",ROUND(AO78/(1+Справочники!$B$13),2))</f>
        <v/>
      </c>
      <c r="AQ78" s="90" t="str">
        <f aca="false" t="array" ref="AQ78:AQ78">IF(AP78="","",AP78*INDEX(Справочники!$B$4:$B$7,MATCH("RUB",Справочники!$A$4:$A$7,0)))</f>
        <v/>
      </c>
      <c r="AR78" s="90" t="str">
        <f aca="false">IF(AQ78="","",ROUND(AQ78*(1+Справочники!$B$12),0))</f>
        <v/>
      </c>
      <c r="AS78" s="90" t="str">
        <f aca="false">IF(AR78="","",ROUND(AR78*(1-Справочники!$B$11),0))</f>
        <v/>
      </c>
      <c r="AT78" s="88"/>
      <c r="AU78" s="90" t="str">
        <f aca="false">IF(AT78="","",ROUND(AT78/(1+Справочники!$B$12),0))</f>
        <v/>
      </c>
      <c r="AV78" s="90" t="str">
        <f aca="false">IF(AT78="","",ROUND(AT78*(1-Справочники!$B$15),0))</f>
        <v/>
      </c>
      <c r="AW78" s="90" t="str">
        <f aca="false">IF(AT78="","",ROUND(AT78*(1-Справочники!$B$16),0))</f>
        <v/>
      </c>
      <c r="AX78" s="90" t="str">
        <f aca="false">IF(AT78="","",ROUND(AT78*(1-Справочники!$B$17),0))</f>
        <v/>
      </c>
      <c r="AY78" s="90" t="str">
        <f aca="false">IF(AT78="","",ROUND(AT78*(1-Справочники!$B$18),0))</f>
        <v/>
      </c>
      <c r="AZ78" s="90" t="str">
        <f aca="false">IF(AT78="","",ROUND(AT78*(1-Справочники!$B$19),0))</f>
        <v/>
      </c>
      <c r="BA78" s="81"/>
      <c r="BB78" s="81"/>
      <c r="BC78" s="81"/>
      <c r="BD78" s="81"/>
      <c r="BE78" s="91"/>
      <c r="BF78" s="81" t="s">
        <v>103</v>
      </c>
      <c r="BG78" s="89" t="n">
        <f aca="false" t="array" ref="BG78:BG78">IF(BF78="","",IFERROR(INDEX(Справочники!$B$4:$B$7,MATCH(BF78,Справочники!$A$4:$A$7,0)),""))</f>
        <v>68.5</v>
      </c>
      <c r="BH78" s="90" t="str">
        <f aca="false">IF(N(BN78)&gt;0,ROUND(SUMIF(ЗАКАЗЫ!$F$3:$F$500,$A78,ЗАКАЗЫ!$Y$3:$Y$500)/BN78,0),IF(OR(BE78="",BG78=""),"",ROUND(BE78*BG78*(1+Справочники!$B$10),0)))</f>
        <v/>
      </c>
      <c r="BI78" s="92" t="str">
        <f aca="false">IF(OR(AU78="",BH78="",AU78=0),"",(AU78-BH78)/AU78)</f>
        <v/>
      </c>
      <c r="BJ78" s="81"/>
      <c r="BK78" s="83"/>
      <c r="BL78" s="43" t="str">
        <f aca="false">IFERROR(INDEX(ЗАКАЗЫ!$N$3:$N$500,MATCH($A78,ЗАКАЗЫ!$F$3:$F$500,0)),"")</f>
        <v/>
      </c>
      <c r="BM78" s="8" t="str">
        <f aca="false">IF(BL78="","",IFERROR(VLOOKUP(BL78,'ТН ВЭД'!$A$4:$C$40,3,0),""))</f>
        <v/>
      </c>
      <c r="BN78" s="7" t="str">
        <f aca="false">IF(COUNTIF(ЗАКАЗЫ!$F$3:$F$500,$A78)=0,"",SUMIF(ЗАКАЗЫ!$F$3:$F$500,$A78,ЗАКАЗЫ!$J$3:$J$500))</f>
        <v/>
      </c>
      <c r="BO78" s="7" t="str">
        <f aca="false">IF(BN78="","",SUMIF(ЗАКАЗЫ!$F$3:$F$500,$A78,ЗАКАЗЫ!$AL$3:$AL$500))</f>
        <v/>
      </c>
      <c r="BP78" s="7" t="str">
        <f aca="false">IF(BN78="","",BN78-BO78)</f>
        <v/>
      </c>
      <c r="BQ78" s="55" t="str">
        <f aca="false">IF(BN78="","",IF(BO78&gt;=BN78,"На складе",IF(BO78&gt;0,"Частично","Ждём")))</f>
        <v/>
      </c>
      <c r="BR78" s="43"/>
      <c r="BS78" s="47" t="str">
        <f aca="false">IF(BN78="","",IF(_xlfn.MAXIFS(ЗАКАЗЫ!$AK$3:$AK$500,ЗАКАЗЫ!$F$3:$F$500,$A78)=0,"",_xlfn.MAXIFS(ЗАКАЗЫ!$AK$3:$AK$500,ЗАКАЗЫ!$F$3:$F$500,$A78)))</f>
        <v/>
      </c>
    </row>
    <row r="79" customFormat="false" ht="15.75" hidden="false" customHeight="true" outlineLevel="0" collapsed="false">
      <c r="A79" s="80" t="s">
        <v>911</v>
      </c>
      <c r="B79" s="81"/>
      <c r="C79" s="81"/>
      <c r="D79" s="81"/>
      <c r="E79" s="83"/>
      <c r="F79" s="81"/>
      <c r="G79" s="83"/>
      <c r="H79" s="83"/>
      <c r="I79" s="84" t="str">
        <f aca="false">IF(E79="","",A79&amp;"_1.jpg")</f>
        <v/>
      </c>
      <c r="J79" s="84" t="str">
        <f aca="false">IF(E79="","",A79&amp;"_2.jpg; "&amp;A79&amp;"_3.jpg")</f>
        <v/>
      </c>
      <c r="K79" s="84" t="str">
        <f aca="false">IF(E79="","",A79&amp;"_schema.jpg")</f>
        <v/>
      </c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 t="s">
        <v>96</v>
      </c>
      <c r="W79" s="81"/>
      <c r="X79" s="81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6" t="str">
        <f aca="false">IF(SUM(Y79:AJ79)=0,"",SUM(Y79:AJ79))</f>
        <v/>
      </c>
      <c r="AL79" s="84" t="str">
        <f aca="false">MID(IF(N(Y79)&gt;0,", "&amp;Y$2,"")&amp;IF(N(Z79)&gt;0,", "&amp;Z$2,"")&amp;IF(N(AA79)&gt;0,", "&amp;AA$2,"")&amp;IF(N(AB79)&gt;0,", "&amp;AB$2,"")&amp;IF(N(AC79)&gt;0,", "&amp;AC$2,"")&amp;IF(N(AD79)&gt;0,", "&amp;AD$2,"")&amp;IF(N(AE79)&gt;0,", "&amp;AE$2,"")&amp;IF(N(AF79)&gt;0,", "&amp;AF$2,"")&amp;IF(N(AG79)&gt;0,", "&amp;AG$2,"")&amp;IF(N(AH79)&gt;0,", "&amp;AH$2,"")&amp;IF(N(AI79)&gt;0,", "&amp;AI$2,"")&amp;IF(N(AJ79)&gt;0,", "&amp;AJ$2,""),3,999)</f>
        <v/>
      </c>
      <c r="AM79" s="87" t="str">
        <f aca="false">IF(E79="","",MID(IF(N(Y79)&gt;0,", "&amp;A79&amp;"-"&amp;Y$2,"")&amp;IF(N(Z79)&gt;0,", "&amp;A79&amp;"-"&amp;Z$2,"")&amp;IF(N(AA79)&gt;0,", "&amp;A79&amp;"-"&amp;AA$2,"")&amp;IF(N(AB79)&gt;0,", "&amp;A79&amp;"-"&amp;AB$2,"")&amp;IF(N(AC79)&gt;0,", "&amp;A79&amp;"-"&amp;AC$2,"")&amp;IF(N(AD79)&gt;0,", "&amp;A79&amp;"-"&amp;AD$2,"")&amp;IF(N(AE79)&gt;0,", "&amp;A79&amp;"-"&amp;AE$2,"")&amp;IF(N(AF79)&gt;0,", "&amp;A79&amp;"-"&amp;AF$2,"")&amp;IF(N(AG79)&gt;0,", "&amp;A79&amp;"-"&amp;AG$2,"")&amp;IF(N(AH79)&gt;0,", "&amp;A79&amp;"-"&amp;AH$2,"")&amp;IF(N(AI79)&gt;0,", "&amp;A79&amp;"-"&amp;AI$2,"")&amp;IF(N(AJ79)&gt;0,", "&amp;A79&amp;"-"&amp;AJ$2,""),3,999))</f>
        <v/>
      </c>
      <c r="AN79" s="81"/>
      <c r="AO79" s="88"/>
      <c r="AP79" s="89" t="str">
        <f aca="false">IF(AO79="","",ROUND(AO79/(1+Справочники!$B$13),2))</f>
        <v/>
      </c>
      <c r="AQ79" s="90" t="str">
        <f aca="false" t="array" ref="AQ79:AQ79">IF(AP79="","",AP79*INDEX(Справочники!$B$4:$B$7,MATCH("RUB",Справочники!$A$4:$A$7,0)))</f>
        <v/>
      </c>
      <c r="AR79" s="90" t="str">
        <f aca="false">IF(AQ79="","",ROUND(AQ79*(1+Справочники!$B$12),0))</f>
        <v/>
      </c>
      <c r="AS79" s="90" t="str">
        <f aca="false">IF(AR79="","",ROUND(AR79*(1-Справочники!$B$11),0))</f>
        <v/>
      </c>
      <c r="AT79" s="88"/>
      <c r="AU79" s="90" t="str">
        <f aca="false">IF(AT79="","",ROUND(AT79/(1+Справочники!$B$12),0))</f>
        <v/>
      </c>
      <c r="AV79" s="90" t="str">
        <f aca="false">IF(AT79="","",ROUND(AT79*(1-Справочники!$B$15),0))</f>
        <v/>
      </c>
      <c r="AW79" s="90" t="str">
        <f aca="false">IF(AT79="","",ROUND(AT79*(1-Справочники!$B$16),0))</f>
        <v/>
      </c>
      <c r="AX79" s="90" t="str">
        <f aca="false">IF(AT79="","",ROUND(AT79*(1-Справочники!$B$17),0))</f>
        <v/>
      </c>
      <c r="AY79" s="90" t="str">
        <f aca="false">IF(AT79="","",ROUND(AT79*(1-Справочники!$B$18),0))</f>
        <v/>
      </c>
      <c r="AZ79" s="90" t="str">
        <f aca="false">IF(AT79="","",ROUND(AT79*(1-Справочники!$B$19),0))</f>
        <v/>
      </c>
      <c r="BA79" s="81"/>
      <c r="BB79" s="81"/>
      <c r="BC79" s="81"/>
      <c r="BD79" s="81"/>
      <c r="BE79" s="91"/>
      <c r="BF79" s="81" t="s">
        <v>103</v>
      </c>
      <c r="BG79" s="89" t="n">
        <f aca="false" t="array" ref="BG79:BG79">IF(BF79="","",IFERROR(INDEX(Справочники!$B$4:$B$7,MATCH(BF79,Справочники!$A$4:$A$7,0)),""))</f>
        <v>68.5</v>
      </c>
      <c r="BH79" s="90" t="str">
        <f aca="false">IF(N(BN79)&gt;0,ROUND(SUMIF(ЗАКАЗЫ!$F$3:$F$500,$A79,ЗАКАЗЫ!$Y$3:$Y$500)/BN79,0),IF(OR(BE79="",BG79=""),"",ROUND(BE79*BG79*(1+Справочники!$B$10),0)))</f>
        <v/>
      </c>
      <c r="BI79" s="92" t="str">
        <f aca="false">IF(OR(AU79="",BH79="",AU79=0),"",(AU79-BH79)/AU79)</f>
        <v/>
      </c>
      <c r="BJ79" s="81"/>
      <c r="BK79" s="83"/>
      <c r="BL79" s="43" t="str">
        <f aca="false">IFERROR(INDEX(ЗАКАЗЫ!$N$3:$N$500,MATCH($A79,ЗАКАЗЫ!$F$3:$F$500,0)),"")</f>
        <v/>
      </c>
      <c r="BM79" s="8" t="str">
        <f aca="false">IF(BL79="","",IFERROR(VLOOKUP(BL79,'ТН ВЭД'!$A$4:$C$40,3,0),""))</f>
        <v/>
      </c>
      <c r="BN79" s="7" t="str">
        <f aca="false">IF(COUNTIF(ЗАКАЗЫ!$F$3:$F$500,$A79)=0,"",SUMIF(ЗАКАЗЫ!$F$3:$F$500,$A79,ЗАКАЗЫ!$J$3:$J$500))</f>
        <v/>
      </c>
      <c r="BO79" s="7" t="str">
        <f aca="false">IF(BN79="","",SUMIF(ЗАКАЗЫ!$F$3:$F$500,$A79,ЗАКАЗЫ!$AL$3:$AL$500))</f>
        <v/>
      </c>
      <c r="BP79" s="7" t="str">
        <f aca="false">IF(BN79="","",BN79-BO79)</f>
        <v/>
      </c>
      <c r="BQ79" s="55" t="str">
        <f aca="false">IF(BN79="","",IF(BO79&gt;=BN79,"На складе",IF(BO79&gt;0,"Частично","Ждём")))</f>
        <v/>
      </c>
      <c r="BR79" s="43"/>
      <c r="BS79" s="47" t="str">
        <f aca="false">IF(BN79="","",IF(_xlfn.MAXIFS(ЗАКАЗЫ!$AK$3:$AK$500,ЗАКАЗЫ!$F$3:$F$500,$A79)=0,"",_xlfn.MAXIFS(ЗАКАЗЫ!$AK$3:$AK$500,ЗАКАЗЫ!$F$3:$F$500,$A79)))</f>
        <v/>
      </c>
    </row>
    <row r="80" customFormat="false" ht="15.75" hidden="false" customHeight="true" outlineLevel="0" collapsed="false">
      <c r="A80" s="80" t="s">
        <v>912</v>
      </c>
      <c r="B80" s="81"/>
      <c r="C80" s="81"/>
      <c r="D80" s="81"/>
      <c r="E80" s="83"/>
      <c r="F80" s="81"/>
      <c r="G80" s="83"/>
      <c r="H80" s="83"/>
      <c r="I80" s="84" t="str">
        <f aca="false">IF(E80="","",A80&amp;"_1.jpg")</f>
        <v/>
      </c>
      <c r="J80" s="84" t="str">
        <f aca="false">IF(E80="","",A80&amp;"_2.jpg; "&amp;A80&amp;"_3.jpg")</f>
        <v/>
      </c>
      <c r="K80" s="84" t="str">
        <f aca="false">IF(E80="","",A80&amp;"_schema.jpg")</f>
        <v/>
      </c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 t="s">
        <v>96</v>
      </c>
      <c r="W80" s="81"/>
      <c r="X80" s="81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6" t="str">
        <f aca="false">IF(SUM(Y80:AJ80)=0,"",SUM(Y80:AJ80))</f>
        <v/>
      </c>
      <c r="AL80" s="84" t="str">
        <f aca="false">MID(IF(N(Y80)&gt;0,", "&amp;Y$2,"")&amp;IF(N(Z80)&gt;0,", "&amp;Z$2,"")&amp;IF(N(AA80)&gt;0,", "&amp;AA$2,"")&amp;IF(N(AB80)&gt;0,", "&amp;AB$2,"")&amp;IF(N(AC80)&gt;0,", "&amp;AC$2,"")&amp;IF(N(AD80)&gt;0,", "&amp;AD$2,"")&amp;IF(N(AE80)&gt;0,", "&amp;AE$2,"")&amp;IF(N(AF80)&gt;0,", "&amp;AF$2,"")&amp;IF(N(AG80)&gt;0,", "&amp;AG$2,"")&amp;IF(N(AH80)&gt;0,", "&amp;AH$2,"")&amp;IF(N(AI80)&gt;0,", "&amp;AI$2,"")&amp;IF(N(AJ80)&gt;0,", "&amp;AJ$2,""),3,999)</f>
        <v/>
      </c>
      <c r="AM80" s="87" t="str">
        <f aca="false">IF(E80="","",MID(IF(N(Y80)&gt;0,", "&amp;A80&amp;"-"&amp;Y$2,"")&amp;IF(N(Z80)&gt;0,", "&amp;A80&amp;"-"&amp;Z$2,"")&amp;IF(N(AA80)&gt;0,", "&amp;A80&amp;"-"&amp;AA$2,"")&amp;IF(N(AB80)&gt;0,", "&amp;A80&amp;"-"&amp;AB$2,"")&amp;IF(N(AC80)&gt;0,", "&amp;A80&amp;"-"&amp;AC$2,"")&amp;IF(N(AD80)&gt;0,", "&amp;A80&amp;"-"&amp;AD$2,"")&amp;IF(N(AE80)&gt;0,", "&amp;A80&amp;"-"&amp;AE$2,"")&amp;IF(N(AF80)&gt;0,", "&amp;A80&amp;"-"&amp;AF$2,"")&amp;IF(N(AG80)&gt;0,", "&amp;A80&amp;"-"&amp;AG$2,"")&amp;IF(N(AH80)&gt;0,", "&amp;A80&amp;"-"&amp;AH$2,"")&amp;IF(N(AI80)&gt;0,", "&amp;A80&amp;"-"&amp;AI$2,"")&amp;IF(N(AJ80)&gt;0,", "&amp;A80&amp;"-"&amp;AJ$2,""),3,999))</f>
        <v/>
      </c>
      <c r="AN80" s="81"/>
      <c r="AO80" s="88"/>
      <c r="AP80" s="89" t="str">
        <f aca="false">IF(AO80="","",ROUND(AO80/(1+Справочники!$B$13),2))</f>
        <v/>
      </c>
      <c r="AQ80" s="90" t="str">
        <f aca="false" t="array" ref="AQ80:AQ80">IF(AP80="","",AP80*INDEX(Справочники!$B$4:$B$7,MATCH("RUB",Справочники!$A$4:$A$7,0)))</f>
        <v/>
      </c>
      <c r="AR80" s="90" t="str">
        <f aca="false">IF(AQ80="","",ROUND(AQ80*(1+Справочники!$B$12),0))</f>
        <v/>
      </c>
      <c r="AS80" s="90" t="str">
        <f aca="false">IF(AR80="","",ROUND(AR80*(1-Справочники!$B$11),0))</f>
        <v/>
      </c>
      <c r="AT80" s="88"/>
      <c r="AU80" s="90" t="str">
        <f aca="false">IF(AT80="","",ROUND(AT80/(1+Справочники!$B$12),0))</f>
        <v/>
      </c>
      <c r="AV80" s="90" t="str">
        <f aca="false">IF(AT80="","",ROUND(AT80*(1-Справочники!$B$15),0))</f>
        <v/>
      </c>
      <c r="AW80" s="90" t="str">
        <f aca="false">IF(AT80="","",ROUND(AT80*(1-Справочники!$B$16),0))</f>
        <v/>
      </c>
      <c r="AX80" s="90" t="str">
        <f aca="false">IF(AT80="","",ROUND(AT80*(1-Справочники!$B$17),0))</f>
        <v/>
      </c>
      <c r="AY80" s="90" t="str">
        <f aca="false">IF(AT80="","",ROUND(AT80*(1-Справочники!$B$18),0))</f>
        <v/>
      </c>
      <c r="AZ80" s="90" t="str">
        <f aca="false">IF(AT80="","",ROUND(AT80*(1-Справочники!$B$19),0))</f>
        <v/>
      </c>
      <c r="BA80" s="81"/>
      <c r="BB80" s="81"/>
      <c r="BC80" s="81"/>
      <c r="BD80" s="81"/>
      <c r="BE80" s="91"/>
      <c r="BF80" s="81" t="s">
        <v>103</v>
      </c>
      <c r="BG80" s="89" t="n">
        <f aca="false" t="array" ref="BG80:BG80">IF(BF80="","",IFERROR(INDEX(Справочники!$B$4:$B$7,MATCH(BF80,Справочники!$A$4:$A$7,0)),""))</f>
        <v>68.5</v>
      </c>
      <c r="BH80" s="90" t="str">
        <f aca="false">IF(N(BN80)&gt;0,ROUND(SUMIF(ЗАКАЗЫ!$F$3:$F$500,$A80,ЗАКАЗЫ!$Y$3:$Y$500)/BN80,0),IF(OR(BE80="",BG80=""),"",ROUND(BE80*BG80*(1+Справочники!$B$10),0)))</f>
        <v/>
      </c>
      <c r="BI80" s="92" t="str">
        <f aca="false">IF(OR(AU80="",BH80="",AU80=0),"",(AU80-BH80)/AU80)</f>
        <v/>
      </c>
      <c r="BJ80" s="81"/>
      <c r="BK80" s="83"/>
      <c r="BL80" s="43" t="str">
        <f aca="false">IFERROR(INDEX(ЗАКАЗЫ!$N$3:$N$500,MATCH($A80,ЗАКАЗЫ!$F$3:$F$500,0)),"")</f>
        <v/>
      </c>
      <c r="BM80" s="8" t="str">
        <f aca="false">IF(BL80="","",IFERROR(VLOOKUP(BL80,'ТН ВЭД'!$A$4:$C$40,3,0),""))</f>
        <v/>
      </c>
      <c r="BN80" s="7" t="str">
        <f aca="false">IF(COUNTIF(ЗАКАЗЫ!$F$3:$F$500,$A80)=0,"",SUMIF(ЗАКАЗЫ!$F$3:$F$500,$A80,ЗАКАЗЫ!$J$3:$J$500))</f>
        <v/>
      </c>
      <c r="BO80" s="7" t="str">
        <f aca="false">IF(BN80="","",SUMIF(ЗАКАЗЫ!$F$3:$F$500,$A80,ЗАКАЗЫ!$AL$3:$AL$500))</f>
        <v/>
      </c>
      <c r="BP80" s="7" t="str">
        <f aca="false">IF(BN80="","",BN80-BO80)</f>
        <v/>
      </c>
      <c r="BQ80" s="55" t="str">
        <f aca="false">IF(BN80="","",IF(BO80&gt;=BN80,"На складе",IF(BO80&gt;0,"Частично","Ждём")))</f>
        <v/>
      </c>
      <c r="BR80" s="43"/>
      <c r="BS80" s="47" t="str">
        <f aca="false">IF(BN80="","",IF(_xlfn.MAXIFS(ЗАКАЗЫ!$AK$3:$AK$500,ЗАКАЗЫ!$F$3:$F$500,$A80)=0,"",_xlfn.MAXIFS(ЗАКАЗЫ!$AK$3:$AK$500,ЗАКАЗЫ!$F$3:$F$500,$A80)))</f>
        <v/>
      </c>
    </row>
    <row r="81" customFormat="false" ht="15.75" hidden="false" customHeight="true" outlineLevel="0" collapsed="false">
      <c r="A81" s="80" t="s">
        <v>913</v>
      </c>
      <c r="B81" s="81"/>
      <c r="C81" s="81"/>
      <c r="D81" s="81"/>
      <c r="E81" s="83"/>
      <c r="F81" s="81"/>
      <c r="G81" s="83"/>
      <c r="H81" s="83"/>
      <c r="I81" s="84" t="str">
        <f aca="false">IF(E81="","",A81&amp;"_1.jpg")</f>
        <v/>
      </c>
      <c r="J81" s="84" t="str">
        <f aca="false">IF(E81="","",A81&amp;"_2.jpg; "&amp;A81&amp;"_3.jpg")</f>
        <v/>
      </c>
      <c r="K81" s="84" t="str">
        <f aca="false">IF(E81="","",A81&amp;"_schema.jpg")</f>
        <v/>
      </c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 t="s">
        <v>96</v>
      </c>
      <c r="W81" s="81"/>
      <c r="X81" s="81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6" t="str">
        <f aca="false">IF(SUM(Y81:AJ81)=0,"",SUM(Y81:AJ81))</f>
        <v/>
      </c>
      <c r="AL81" s="84" t="str">
        <f aca="false">MID(IF(N(Y81)&gt;0,", "&amp;Y$2,"")&amp;IF(N(Z81)&gt;0,", "&amp;Z$2,"")&amp;IF(N(AA81)&gt;0,", "&amp;AA$2,"")&amp;IF(N(AB81)&gt;0,", "&amp;AB$2,"")&amp;IF(N(AC81)&gt;0,", "&amp;AC$2,"")&amp;IF(N(AD81)&gt;0,", "&amp;AD$2,"")&amp;IF(N(AE81)&gt;0,", "&amp;AE$2,"")&amp;IF(N(AF81)&gt;0,", "&amp;AF$2,"")&amp;IF(N(AG81)&gt;0,", "&amp;AG$2,"")&amp;IF(N(AH81)&gt;0,", "&amp;AH$2,"")&amp;IF(N(AI81)&gt;0,", "&amp;AI$2,"")&amp;IF(N(AJ81)&gt;0,", "&amp;AJ$2,""),3,999)</f>
        <v/>
      </c>
      <c r="AM81" s="87" t="str">
        <f aca="false">IF(E81="","",MID(IF(N(Y81)&gt;0,", "&amp;A81&amp;"-"&amp;Y$2,"")&amp;IF(N(Z81)&gt;0,", "&amp;A81&amp;"-"&amp;Z$2,"")&amp;IF(N(AA81)&gt;0,", "&amp;A81&amp;"-"&amp;AA$2,"")&amp;IF(N(AB81)&gt;0,", "&amp;A81&amp;"-"&amp;AB$2,"")&amp;IF(N(AC81)&gt;0,", "&amp;A81&amp;"-"&amp;AC$2,"")&amp;IF(N(AD81)&gt;0,", "&amp;A81&amp;"-"&amp;AD$2,"")&amp;IF(N(AE81)&gt;0,", "&amp;A81&amp;"-"&amp;AE$2,"")&amp;IF(N(AF81)&gt;0,", "&amp;A81&amp;"-"&amp;AF$2,"")&amp;IF(N(AG81)&gt;0,", "&amp;A81&amp;"-"&amp;AG$2,"")&amp;IF(N(AH81)&gt;0,", "&amp;A81&amp;"-"&amp;AH$2,"")&amp;IF(N(AI81)&gt;0,", "&amp;A81&amp;"-"&amp;AI$2,"")&amp;IF(N(AJ81)&gt;0,", "&amp;A81&amp;"-"&amp;AJ$2,""),3,999))</f>
        <v/>
      </c>
      <c r="AN81" s="81"/>
      <c r="AO81" s="88"/>
      <c r="AP81" s="89" t="str">
        <f aca="false">IF(AO81="","",ROUND(AO81/(1+Справочники!$B$13),2))</f>
        <v/>
      </c>
      <c r="AQ81" s="90" t="str">
        <f aca="false" t="array" ref="AQ81:AQ81">IF(AP81="","",AP81*INDEX(Справочники!$B$4:$B$7,MATCH("RUB",Справочники!$A$4:$A$7,0)))</f>
        <v/>
      </c>
      <c r="AR81" s="90" t="str">
        <f aca="false">IF(AQ81="","",ROUND(AQ81*(1+Справочники!$B$12),0))</f>
        <v/>
      </c>
      <c r="AS81" s="90" t="str">
        <f aca="false">IF(AR81="","",ROUND(AR81*(1-Справочники!$B$11),0))</f>
        <v/>
      </c>
      <c r="AT81" s="88"/>
      <c r="AU81" s="90" t="str">
        <f aca="false">IF(AT81="","",ROUND(AT81/(1+Справочники!$B$12),0))</f>
        <v/>
      </c>
      <c r="AV81" s="90" t="str">
        <f aca="false">IF(AT81="","",ROUND(AT81*(1-Справочники!$B$15),0))</f>
        <v/>
      </c>
      <c r="AW81" s="90" t="str">
        <f aca="false">IF(AT81="","",ROUND(AT81*(1-Справочники!$B$16),0))</f>
        <v/>
      </c>
      <c r="AX81" s="90" t="str">
        <f aca="false">IF(AT81="","",ROUND(AT81*(1-Справочники!$B$17),0))</f>
        <v/>
      </c>
      <c r="AY81" s="90" t="str">
        <f aca="false">IF(AT81="","",ROUND(AT81*(1-Справочники!$B$18),0))</f>
        <v/>
      </c>
      <c r="AZ81" s="90" t="str">
        <f aca="false">IF(AT81="","",ROUND(AT81*(1-Справочники!$B$19),0))</f>
        <v/>
      </c>
      <c r="BA81" s="81"/>
      <c r="BB81" s="81"/>
      <c r="BC81" s="81"/>
      <c r="BD81" s="81"/>
      <c r="BE81" s="91"/>
      <c r="BF81" s="81" t="s">
        <v>103</v>
      </c>
      <c r="BG81" s="89" t="n">
        <f aca="false" t="array" ref="BG81:BG81">IF(BF81="","",IFERROR(INDEX(Справочники!$B$4:$B$7,MATCH(BF81,Справочники!$A$4:$A$7,0)),""))</f>
        <v>68.5</v>
      </c>
      <c r="BH81" s="90" t="str">
        <f aca="false">IF(N(BN81)&gt;0,ROUND(SUMIF(ЗАКАЗЫ!$F$3:$F$500,$A81,ЗАКАЗЫ!$Y$3:$Y$500)/BN81,0),IF(OR(BE81="",BG81=""),"",ROUND(BE81*BG81*(1+Справочники!$B$10),0)))</f>
        <v/>
      </c>
      <c r="BI81" s="92" t="str">
        <f aca="false">IF(OR(AU81="",BH81="",AU81=0),"",(AU81-BH81)/AU81)</f>
        <v/>
      </c>
      <c r="BJ81" s="81"/>
      <c r="BK81" s="83"/>
      <c r="BL81" s="43" t="str">
        <f aca="false">IFERROR(INDEX(ЗАКАЗЫ!$N$3:$N$500,MATCH($A81,ЗАКАЗЫ!$F$3:$F$500,0)),"")</f>
        <v/>
      </c>
      <c r="BM81" s="8" t="str">
        <f aca="false">IF(BL81="","",IFERROR(VLOOKUP(BL81,'ТН ВЭД'!$A$4:$C$40,3,0),""))</f>
        <v/>
      </c>
      <c r="BN81" s="7" t="str">
        <f aca="false">IF(COUNTIF(ЗАКАЗЫ!$F$3:$F$500,$A81)=0,"",SUMIF(ЗАКАЗЫ!$F$3:$F$500,$A81,ЗАКАЗЫ!$J$3:$J$500))</f>
        <v/>
      </c>
      <c r="BO81" s="7" t="str">
        <f aca="false">IF(BN81="","",SUMIF(ЗАКАЗЫ!$F$3:$F$500,$A81,ЗАКАЗЫ!$AL$3:$AL$500))</f>
        <v/>
      </c>
      <c r="BP81" s="7" t="str">
        <f aca="false">IF(BN81="","",BN81-BO81)</f>
        <v/>
      </c>
      <c r="BQ81" s="55" t="str">
        <f aca="false">IF(BN81="","",IF(BO81&gt;=BN81,"На складе",IF(BO81&gt;0,"Частично","Ждём")))</f>
        <v/>
      </c>
      <c r="BR81" s="43"/>
      <c r="BS81" s="47" t="str">
        <f aca="false">IF(BN81="","",IF(_xlfn.MAXIFS(ЗАКАЗЫ!$AK$3:$AK$500,ЗАКАЗЫ!$F$3:$F$500,$A81)=0,"",_xlfn.MAXIFS(ЗАКАЗЫ!$AK$3:$AK$500,ЗАКАЗЫ!$F$3:$F$500,$A81)))</f>
        <v/>
      </c>
    </row>
    <row r="82" customFormat="false" ht="15.75" hidden="false" customHeight="true" outlineLevel="0" collapsed="false">
      <c r="A82" s="80" t="s">
        <v>914</v>
      </c>
      <c r="B82" s="81"/>
      <c r="C82" s="81"/>
      <c r="D82" s="81"/>
      <c r="E82" s="83"/>
      <c r="F82" s="81"/>
      <c r="G82" s="83"/>
      <c r="H82" s="83"/>
      <c r="I82" s="84" t="str">
        <f aca="false">IF(E82="","",A82&amp;"_1.jpg")</f>
        <v/>
      </c>
      <c r="J82" s="84" t="str">
        <f aca="false">IF(E82="","",A82&amp;"_2.jpg; "&amp;A82&amp;"_3.jpg")</f>
        <v/>
      </c>
      <c r="K82" s="84" t="str">
        <f aca="false">IF(E82="","",A82&amp;"_schema.jpg")</f>
        <v/>
      </c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 t="s">
        <v>96</v>
      </c>
      <c r="W82" s="81"/>
      <c r="X82" s="81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6" t="str">
        <f aca="false">IF(SUM(Y82:AJ82)=0,"",SUM(Y82:AJ82))</f>
        <v/>
      </c>
      <c r="AL82" s="84" t="str">
        <f aca="false">MID(IF(N(Y82)&gt;0,", "&amp;Y$2,"")&amp;IF(N(Z82)&gt;0,", "&amp;Z$2,"")&amp;IF(N(AA82)&gt;0,", "&amp;AA$2,"")&amp;IF(N(AB82)&gt;0,", "&amp;AB$2,"")&amp;IF(N(AC82)&gt;0,", "&amp;AC$2,"")&amp;IF(N(AD82)&gt;0,", "&amp;AD$2,"")&amp;IF(N(AE82)&gt;0,", "&amp;AE$2,"")&amp;IF(N(AF82)&gt;0,", "&amp;AF$2,"")&amp;IF(N(AG82)&gt;0,", "&amp;AG$2,"")&amp;IF(N(AH82)&gt;0,", "&amp;AH$2,"")&amp;IF(N(AI82)&gt;0,", "&amp;AI$2,"")&amp;IF(N(AJ82)&gt;0,", "&amp;AJ$2,""),3,999)</f>
        <v/>
      </c>
      <c r="AM82" s="87" t="str">
        <f aca="false">IF(E82="","",MID(IF(N(Y82)&gt;0,", "&amp;A82&amp;"-"&amp;Y$2,"")&amp;IF(N(Z82)&gt;0,", "&amp;A82&amp;"-"&amp;Z$2,"")&amp;IF(N(AA82)&gt;0,", "&amp;A82&amp;"-"&amp;AA$2,"")&amp;IF(N(AB82)&gt;0,", "&amp;A82&amp;"-"&amp;AB$2,"")&amp;IF(N(AC82)&gt;0,", "&amp;A82&amp;"-"&amp;AC$2,"")&amp;IF(N(AD82)&gt;0,", "&amp;A82&amp;"-"&amp;AD$2,"")&amp;IF(N(AE82)&gt;0,", "&amp;A82&amp;"-"&amp;AE$2,"")&amp;IF(N(AF82)&gt;0,", "&amp;A82&amp;"-"&amp;AF$2,"")&amp;IF(N(AG82)&gt;0,", "&amp;A82&amp;"-"&amp;AG$2,"")&amp;IF(N(AH82)&gt;0,", "&amp;A82&amp;"-"&amp;AH$2,"")&amp;IF(N(AI82)&gt;0,", "&amp;A82&amp;"-"&amp;AI$2,"")&amp;IF(N(AJ82)&gt;0,", "&amp;A82&amp;"-"&amp;AJ$2,""),3,999))</f>
        <v/>
      </c>
      <c r="AN82" s="81"/>
      <c r="AO82" s="88"/>
      <c r="AP82" s="89" t="str">
        <f aca="false">IF(AO82="","",ROUND(AO82/(1+Справочники!$B$13),2))</f>
        <v/>
      </c>
      <c r="AQ82" s="90" t="str">
        <f aca="false" t="array" ref="AQ82:AQ82">IF(AP82="","",AP82*INDEX(Справочники!$B$4:$B$7,MATCH("RUB",Справочники!$A$4:$A$7,0)))</f>
        <v/>
      </c>
      <c r="AR82" s="90" t="str">
        <f aca="false">IF(AQ82="","",ROUND(AQ82*(1+Справочники!$B$12),0))</f>
        <v/>
      </c>
      <c r="AS82" s="90" t="str">
        <f aca="false">IF(AR82="","",ROUND(AR82*(1-Справочники!$B$11),0))</f>
        <v/>
      </c>
      <c r="AT82" s="88"/>
      <c r="AU82" s="90" t="str">
        <f aca="false">IF(AT82="","",ROUND(AT82/(1+Справочники!$B$12),0))</f>
        <v/>
      </c>
      <c r="AV82" s="90" t="str">
        <f aca="false">IF(AT82="","",ROUND(AT82*(1-Справочники!$B$15),0))</f>
        <v/>
      </c>
      <c r="AW82" s="90" t="str">
        <f aca="false">IF(AT82="","",ROUND(AT82*(1-Справочники!$B$16),0))</f>
        <v/>
      </c>
      <c r="AX82" s="90" t="str">
        <f aca="false">IF(AT82="","",ROUND(AT82*(1-Справочники!$B$17),0))</f>
        <v/>
      </c>
      <c r="AY82" s="90" t="str">
        <f aca="false">IF(AT82="","",ROUND(AT82*(1-Справочники!$B$18),0))</f>
        <v/>
      </c>
      <c r="AZ82" s="90" t="str">
        <f aca="false">IF(AT82="","",ROUND(AT82*(1-Справочники!$B$19),0))</f>
        <v/>
      </c>
      <c r="BA82" s="81"/>
      <c r="BB82" s="81"/>
      <c r="BC82" s="81"/>
      <c r="BD82" s="81"/>
      <c r="BE82" s="91"/>
      <c r="BF82" s="81" t="s">
        <v>103</v>
      </c>
      <c r="BG82" s="89" t="n">
        <f aca="false" t="array" ref="BG82:BG82">IF(BF82="","",IFERROR(INDEX(Справочники!$B$4:$B$7,MATCH(BF82,Справочники!$A$4:$A$7,0)),""))</f>
        <v>68.5</v>
      </c>
      <c r="BH82" s="90" t="str">
        <f aca="false">IF(N(BN82)&gt;0,ROUND(SUMIF(ЗАКАЗЫ!$F$3:$F$500,$A82,ЗАКАЗЫ!$Y$3:$Y$500)/BN82,0),IF(OR(BE82="",BG82=""),"",ROUND(BE82*BG82*(1+Справочники!$B$10),0)))</f>
        <v/>
      </c>
      <c r="BI82" s="92" t="str">
        <f aca="false">IF(OR(AU82="",BH82="",AU82=0),"",(AU82-BH82)/AU82)</f>
        <v/>
      </c>
      <c r="BJ82" s="81"/>
      <c r="BK82" s="83"/>
      <c r="BL82" s="43" t="str">
        <f aca="false">IFERROR(INDEX(ЗАКАЗЫ!$N$3:$N$500,MATCH($A82,ЗАКАЗЫ!$F$3:$F$500,0)),"")</f>
        <v/>
      </c>
      <c r="BM82" s="8" t="str">
        <f aca="false">IF(BL82="","",IFERROR(VLOOKUP(BL82,'ТН ВЭД'!$A$4:$C$40,3,0),""))</f>
        <v/>
      </c>
      <c r="BN82" s="7" t="str">
        <f aca="false">IF(COUNTIF(ЗАКАЗЫ!$F$3:$F$500,$A82)=0,"",SUMIF(ЗАКАЗЫ!$F$3:$F$500,$A82,ЗАКАЗЫ!$J$3:$J$500))</f>
        <v/>
      </c>
      <c r="BO82" s="7" t="str">
        <f aca="false">IF(BN82="","",SUMIF(ЗАКАЗЫ!$F$3:$F$500,$A82,ЗАКАЗЫ!$AL$3:$AL$500))</f>
        <v/>
      </c>
      <c r="BP82" s="7" t="str">
        <f aca="false">IF(BN82="","",BN82-BO82)</f>
        <v/>
      </c>
      <c r="BQ82" s="55" t="str">
        <f aca="false">IF(BN82="","",IF(BO82&gt;=BN82,"На складе",IF(BO82&gt;0,"Частично","Ждём")))</f>
        <v/>
      </c>
      <c r="BR82" s="43"/>
      <c r="BS82" s="47" t="str">
        <f aca="false">IF(BN82="","",IF(_xlfn.MAXIFS(ЗАКАЗЫ!$AK$3:$AK$500,ЗАКАЗЫ!$F$3:$F$500,$A82)=0,"",_xlfn.MAXIFS(ЗАКАЗЫ!$AK$3:$AK$500,ЗАКАЗЫ!$F$3:$F$500,$A82)))</f>
        <v/>
      </c>
    </row>
    <row r="83" customFormat="false" ht="15.75" hidden="false" customHeight="true" outlineLevel="0" collapsed="false">
      <c r="A83" s="80" t="s">
        <v>915</v>
      </c>
      <c r="B83" s="81"/>
      <c r="C83" s="81"/>
      <c r="D83" s="81"/>
      <c r="E83" s="83"/>
      <c r="F83" s="81"/>
      <c r="G83" s="83"/>
      <c r="H83" s="83"/>
      <c r="I83" s="84" t="str">
        <f aca="false">IF(E83="","",A83&amp;"_1.jpg")</f>
        <v/>
      </c>
      <c r="J83" s="84" t="str">
        <f aca="false">IF(E83="","",A83&amp;"_2.jpg; "&amp;A83&amp;"_3.jpg")</f>
        <v/>
      </c>
      <c r="K83" s="84" t="str">
        <f aca="false">IF(E83="","",A83&amp;"_schema.jpg")</f>
        <v/>
      </c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 t="s">
        <v>96</v>
      </c>
      <c r="W83" s="81"/>
      <c r="X83" s="81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6" t="str">
        <f aca="false">IF(SUM(Y83:AJ83)=0,"",SUM(Y83:AJ83))</f>
        <v/>
      </c>
      <c r="AL83" s="84" t="str">
        <f aca="false">MID(IF(N(Y83)&gt;0,", "&amp;Y$2,"")&amp;IF(N(Z83)&gt;0,", "&amp;Z$2,"")&amp;IF(N(AA83)&gt;0,", "&amp;AA$2,"")&amp;IF(N(AB83)&gt;0,", "&amp;AB$2,"")&amp;IF(N(AC83)&gt;0,", "&amp;AC$2,"")&amp;IF(N(AD83)&gt;0,", "&amp;AD$2,"")&amp;IF(N(AE83)&gt;0,", "&amp;AE$2,"")&amp;IF(N(AF83)&gt;0,", "&amp;AF$2,"")&amp;IF(N(AG83)&gt;0,", "&amp;AG$2,"")&amp;IF(N(AH83)&gt;0,", "&amp;AH$2,"")&amp;IF(N(AI83)&gt;0,", "&amp;AI$2,"")&amp;IF(N(AJ83)&gt;0,", "&amp;AJ$2,""),3,999)</f>
        <v/>
      </c>
      <c r="AM83" s="87" t="str">
        <f aca="false">IF(E83="","",MID(IF(N(Y83)&gt;0,", "&amp;A83&amp;"-"&amp;Y$2,"")&amp;IF(N(Z83)&gt;0,", "&amp;A83&amp;"-"&amp;Z$2,"")&amp;IF(N(AA83)&gt;0,", "&amp;A83&amp;"-"&amp;AA$2,"")&amp;IF(N(AB83)&gt;0,", "&amp;A83&amp;"-"&amp;AB$2,"")&amp;IF(N(AC83)&gt;0,", "&amp;A83&amp;"-"&amp;AC$2,"")&amp;IF(N(AD83)&gt;0,", "&amp;A83&amp;"-"&amp;AD$2,"")&amp;IF(N(AE83)&gt;0,", "&amp;A83&amp;"-"&amp;AE$2,"")&amp;IF(N(AF83)&gt;0,", "&amp;A83&amp;"-"&amp;AF$2,"")&amp;IF(N(AG83)&gt;0,", "&amp;A83&amp;"-"&amp;AG$2,"")&amp;IF(N(AH83)&gt;0,", "&amp;A83&amp;"-"&amp;AH$2,"")&amp;IF(N(AI83)&gt;0,", "&amp;A83&amp;"-"&amp;AI$2,"")&amp;IF(N(AJ83)&gt;0,", "&amp;A83&amp;"-"&amp;AJ$2,""),3,999))</f>
        <v/>
      </c>
      <c r="AN83" s="81"/>
      <c r="AO83" s="88"/>
      <c r="AP83" s="89" t="str">
        <f aca="false">IF(AO83="","",ROUND(AO83/(1+Справочники!$B$13),2))</f>
        <v/>
      </c>
      <c r="AQ83" s="90" t="str">
        <f aca="false" t="array" ref="AQ83:AQ83">IF(AP83="","",AP83*INDEX(Справочники!$B$4:$B$7,MATCH("RUB",Справочники!$A$4:$A$7,0)))</f>
        <v/>
      </c>
      <c r="AR83" s="90" t="str">
        <f aca="false">IF(AQ83="","",ROUND(AQ83*(1+Справочники!$B$12),0))</f>
        <v/>
      </c>
      <c r="AS83" s="90" t="str">
        <f aca="false">IF(AR83="","",ROUND(AR83*(1-Справочники!$B$11),0))</f>
        <v/>
      </c>
      <c r="AT83" s="88"/>
      <c r="AU83" s="90" t="str">
        <f aca="false">IF(AT83="","",ROUND(AT83/(1+Справочники!$B$12),0))</f>
        <v/>
      </c>
      <c r="AV83" s="90" t="str">
        <f aca="false">IF(AT83="","",ROUND(AT83*(1-Справочники!$B$15),0))</f>
        <v/>
      </c>
      <c r="AW83" s="90" t="str">
        <f aca="false">IF(AT83="","",ROUND(AT83*(1-Справочники!$B$16),0))</f>
        <v/>
      </c>
      <c r="AX83" s="90" t="str">
        <f aca="false">IF(AT83="","",ROUND(AT83*(1-Справочники!$B$17),0))</f>
        <v/>
      </c>
      <c r="AY83" s="90" t="str">
        <f aca="false">IF(AT83="","",ROUND(AT83*(1-Справочники!$B$18),0))</f>
        <v/>
      </c>
      <c r="AZ83" s="90" t="str">
        <f aca="false">IF(AT83="","",ROUND(AT83*(1-Справочники!$B$19),0))</f>
        <v/>
      </c>
      <c r="BA83" s="81"/>
      <c r="BB83" s="81"/>
      <c r="BC83" s="81"/>
      <c r="BD83" s="81"/>
      <c r="BE83" s="91"/>
      <c r="BF83" s="81" t="s">
        <v>103</v>
      </c>
      <c r="BG83" s="89" t="n">
        <f aca="false" t="array" ref="BG83:BG83">IF(BF83="","",IFERROR(INDEX(Справочники!$B$4:$B$7,MATCH(BF83,Справочники!$A$4:$A$7,0)),""))</f>
        <v>68.5</v>
      </c>
      <c r="BH83" s="90" t="str">
        <f aca="false">IF(N(BN83)&gt;0,ROUND(SUMIF(ЗАКАЗЫ!$F$3:$F$500,$A83,ЗАКАЗЫ!$Y$3:$Y$500)/BN83,0),IF(OR(BE83="",BG83=""),"",ROUND(BE83*BG83*(1+Справочники!$B$10),0)))</f>
        <v/>
      </c>
      <c r="BI83" s="92" t="str">
        <f aca="false">IF(OR(AU83="",BH83="",AU83=0),"",(AU83-BH83)/AU83)</f>
        <v/>
      </c>
      <c r="BJ83" s="81"/>
      <c r="BK83" s="83"/>
      <c r="BL83" s="43" t="str">
        <f aca="false">IFERROR(INDEX(ЗАКАЗЫ!$N$3:$N$500,MATCH($A83,ЗАКАЗЫ!$F$3:$F$500,0)),"")</f>
        <v/>
      </c>
      <c r="BM83" s="8" t="str">
        <f aca="false">IF(BL83="","",IFERROR(VLOOKUP(BL83,'ТН ВЭД'!$A$4:$C$40,3,0),""))</f>
        <v/>
      </c>
      <c r="BN83" s="7" t="str">
        <f aca="false">IF(COUNTIF(ЗАКАЗЫ!$F$3:$F$500,$A83)=0,"",SUMIF(ЗАКАЗЫ!$F$3:$F$500,$A83,ЗАКАЗЫ!$J$3:$J$500))</f>
        <v/>
      </c>
      <c r="BO83" s="7" t="str">
        <f aca="false">IF(BN83="","",SUMIF(ЗАКАЗЫ!$F$3:$F$500,$A83,ЗАКАЗЫ!$AL$3:$AL$500))</f>
        <v/>
      </c>
      <c r="BP83" s="7" t="str">
        <f aca="false">IF(BN83="","",BN83-BO83)</f>
        <v/>
      </c>
      <c r="BQ83" s="55" t="str">
        <f aca="false">IF(BN83="","",IF(BO83&gt;=BN83,"На складе",IF(BO83&gt;0,"Частично","Ждём")))</f>
        <v/>
      </c>
      <c r="BR83" s="43"/>
      <c r="BS83" s="47" t="str">
        <f aca="false">IF(BN83="","",IF(_xlfn.MAXIFS(ЗАКАЗЫ!$AK$3:$AK$500,ЗАКАЗЫ!$F$3:$F$500,$A83)=0,"",_xlfn.MAXIFS(ЗАКАЗЫ!$AK$3:$AK$500,ЗАКАЗЫ!$F$3:$F$500,$A83)))</f>
        <v/>
      </c>
    </row>
    <row r="84" customFormat="false" ht="15.75" hidden="false" customHeight="true" outlineLevel="0" collapsed="false">
      <c r="A84" s="80" t="s">
        <v>916</v>
      </c>
      <c r="B84" s="81"/>
      <c r="C84" s="81"/>
      <c r="D84" s="81"/>
      <c r="E84" s="83"/>
      <c r="F84" s="81"/>
      <c r="G84" s="83"/>
      <c r="H84" s="83"/>
      <c r="I84" s="84" t="str">
        <f aca="false">IF(E84="","",A84&amp;"_1.jpg")</f>
        <v/>
      </c>
      <c r="J84" s="84" t="str">
        <f aca="false">IF(E84="","",A84&amp;"_2.jpg; "&amp;A84&amp;"_3.jpg")</f>
        <v/>
      </c>
      <c r="K84" s="84" t="str">
        <f aca="false">IF(E84="","",A84&amp;"_schema.jpg")</f>
        <v/>
      </c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 t="s">
        <v>96</v>
      </c>
      <c r="W84" s="81"/>
      <c r="X84" s="81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6" t="str">
        <f aca="false">IF(SUM(Y84:AJ84)=0,"",SUM(Y84:AJ84))</f>
        <v/>
      </c>
      <c r="AL84" s="84" t="str">
        <f aca="false">MID(IF(N(Y84)&gt;0,", "&amp;Y$2,"")&amp;IF(N(Z84)&gt;0,", "&amp;Z$2,"")&amp;IF(N(AA84)&gt;0,", "&amp;AA$2,"")&amp;IF(N(AB84)&gt;0,", "&amp;AB$2,"")&amp;IF(N(AC84)&gt;0,", "&amp;AC$2,"")&amp;IF(N(AD84)&gt;0,", "&amp;AD$2,"")&amp;IF(N(AE84)&gt;0,", "&amp;AE$2,"")&amp;IF(N(AF84)&gt;0,", "&amp;AF$2,"")&amp;IF(N(AG84)&gt;0,", "&amp;AG$2,"")&amp;IF(N(AH84)&gt;0,", "&amp;AH$2,"")&amp;IF(N(AI84)&gt;0,", "&amp;AI$2,"")&amp;IF(N(AJ84)&gt;0,", "&amp;AJ$2,""),3,999)</f>
        <v/>
      </c>
      <c r="AM84" s="87" t="str">
        <f aca="false">IF(E84="","",MID(IF(N(Y84)&gt;0,", "&amp;A84&amp;"-"&amp;Y$2,"")&amp;IF(N(Z84)&gt;0,", "&amp;A84&amp;"-"&amp;Z$2,"")&amp;IF(N(AA84)&gt;0,", "&amp;A84&amp;"-"&amp;AA$2,"")&amp;IF(N(AB84)&gt;0,", "&amp;A84&amp;"-"&amp;AB$2,"")&amp;IF(N(AC84)&gt;0,", "&amp;A84&amp;"-"&amp;AC$2,"")&amp;IF(N(AD84)&gt;0,", "&amp;A84&amp;"-"&amp;AD$2,"")&amp;IF(N(AE84)&gt;0,", "&amp;A84&amp;"-"&amp;AE$2,"")&amp;IF(N(AF84)&gt;0,", "&amp;A84&amp;"-"&amp;AF$2,"")&amp;IF(N(AG84)&gt;0,", "&amp;A84&amp;"-"&amp;AG$2,"")&amp;IF(N(AH84)&gt;0,", "&amp;A84&amp;"-"&amp;AH$2,"")&amp;IF(N(AI84)&gt;0,", "&amp;A84&amp;"-"&amp;AI$2,"")&amp;IF(N(AJ84)&gt;0,", "&amp;A84&amp;"-"&amp;AJ$2,""),3,999))</f>
        <v/>
      </c>
      <c r="AN84" s="81"/>
      <c r="AO84" s="88"/>
      <c r="AP84" s="89" t="str">
        <f aca="false">IF(AO84="","",ROUND(AO84/(1+Справочники!$B$13),2))</f>
        <v/>
      </c>
      <c r="AQ84" s="90" t="str">
        <f aca="false" t="array" ref="AQ84:AQ84">IF(AP84="","",AP84*INDEX(Справочники!$B$4:$B$7,MATCH("RUB",Справочники!$A$4:$A$7,0)))</f>
        <v/>
      </c>
      <c r="AR84" s="90" t="str">
        <f aca="false">IF(AQ84="","",ROUND(AQ84*(1+Справочники!$B$12),0))</f>
        <v/>
      </c>
      <c r="AS84" s="90" t="str">
        <f aca="false">IF(AR84="","",ROUND(AR84*(1-Справочники!$B$11),0))</f>
        <v/>
      </c>
      <c r="AT84" s="88"/>
      <c r="AU84" s="90" t="str">
        <f aca="false">IF(AT84="","",ROUND(AT84/(1+Справочники!$B$12),0))</f>
        <v/>
      </c>
      <c r="AV84" s="90" t="str">
        <f aca="false">IF(AT84="","",ROUND(AT84*(1-Справочники!$B$15),0))</f>
        <v/>
      </c>
      <c r="AW84" s="90" t="str">
        <f aca="false">IF(AT84="","",ROUND(AT84*(1-Справочники!$B$16),0))</f>
        <v/>
      </c>
      <c r="AX84" s="90" t="str">
        <f aca="false">IF(AT84="","",ROUND(AT84*(1-Справочники!$B$17),0))</f>
        <v/>
      </c>
      <c r="AY84" s="90" t="str">
        <f aca="false">IF(AT84="","",ROUND(AT84*(1-Справочники!$B$18),0))</f>
        <v/>
      </c>
      <c r="AZ84" s="90" t="str">
        <f aca="false">IF(AT84="","",ROUND(AT84*(1-Справочники!$B$19),0))</f>
        <v/>
      </c>
      <c r="BA84" s="81"/>
      <c r="BB84" s="81"/>
      <c r="BC84" s="81"/>
      <c r="BD84" s="81"/>
      <c r="BE84" s="91"/>
      <c r="BF84" s="81" t="s">
        <v>103</v>
      </c>
      <c r="BG84" s="89" t="n">
        <f aca="false" t="array" ref="BG84:BG84">IF(BF84="","",IFERROR(INDEX(Справочники!$B$4:$B$7,MATCH(BF84,Справочники!$A$4:$A$7,0)),""))</f>
        <v>68.5</v>
      </c>
      <c r="BH84" s="90" t="str">
        <f aca="false">IF(N(BN84)&gt;0,ROUND(SUMIF(ЗАКАЗЫ!$F$3:$F$500,$A84,ЗАКАЗЫ!$Y$3:$Y$500)/BN84,0),IF(OR(BE84="",BG84=""),"",ROUND(BE84*BG84*(1+Справочники!$B$10),0)))</f>
        <v/>
      </c>
      <c r="BI84" s="92" t="str">
        <f aca="false">IF(OR(AU84="",BH84="",AU84=0),"",(AU84-BH84)/AU84)</f>
        <v/>
      </c>
      <c r="BJ84" s="81"/>
      <c r="BK84" s="83"/>
      <c r="BL84" s="43" t="str">
        <f aca="false">IFERROR(INDEX(ЗАКАЗЫ!$N$3:$N$500,MATCH($A84,ЗАКАЗЫ!$F$3:$F$500,0)),"")</f>
        <v/>
      </c>
      <c r="BM84" s="8" t="str">
        <f aca="false">IF(BL84="","",IFERROR(VLOOKUP(BL84,'ТН ВЭД'!$A$4:$C$40,3,0),""))</f>
        <v/>
      </c>
      <c r="BN84" s="7" t="str">
        <f aca="false">IF(COUNTIF(ЗАКАЗЫ!$F$3:$F$500,$A84)=0,"",SUMIF(ЗАКАЗЫ!$F$3:$F$500,$A84,ЗАКАЗЫ!$J$3:$J$500))</f>
        <v/>
      </c>
      <c r="BO84" s="7" t="str">
        <f aca="false">IF(BN84="","",SUMIF(ЗАКАЗЫ!$F$3:$F$500,$A84,ЗАКАЗЫ!$AL$3:$AL$500))</f>
        <v/>
      </c>
      <c r="BP84" s="7" t="str">
        <f aca="false">IF(BN84="","",BN84-BO84)</f>
        <v/>
      </c>
      <c r="BQ84" s="55" t="str">
        <f aca="false">IF(BN84="","",IF(BO84&gt;=BN84,"На складе",IF(BO84&gt;0,"Частично","Ждём")))</f>
        <v/>
      </c>
      <c r="BR84" s="43"/>
      <c r="BS84" s="47" t="str">
        <f aca="false">IF(BN84="","",IF(_xlfn.MAXIFS(ЗАКАЗЫ!$AK$3:$AK$500,ЗАКАЗЫ!$F$3:$F$500,$A84)=0,"",_xlfn.MAXIFS(ЗАКАЗЫ!$AK$3:$AK$500,ЗАКАЗЫ!$F$3:$F$500,$A84)))</f>
        <v/>
      </c>
    </row>
    <row r="85" customFormat="false" ht="15.75" hidden="false" customHeight="true" outlineLevel="0" collapsed="false">
      <c r="A85" s="80" t="s">
        <v>917</v>
      </c>
      <c r="B85" s="81"/>
      <c r="C85" s="81"/>
      <c r="D85" s="81"/>
      <c r="E85" s="83"/>
      <c r="F85" s="81"/>
      <c r="G85" s="83"/>
      <c r="H85" s="83"/>
      <c r="I85" s="84" t="str">
        <f aca="false">IF(E85="","",A85&amp;"_1.jpg")</f>
        <v/>
      </c>
      <c r="J85" s="84" t="str">
        <f aca="false">IF(E85="","",A85&amp;"_2.jpg; "&amp;A85&amp;"_3.jpg")</f>
        <v/>
      </c>
      <c r="K85" s="84" t="str">
        <f aca="false">IF(E85="","",A85&amp;"_schema.jpg")</f>
        <v/>
      </c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 t="s">
        <v>96</v>
      </c>
      <c r="W85" s="81"/>
      <c r="X85" s="81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6" t="str">
        <f aca="false">IF(SUM(Y85:AJ85)=0,"",SUM(Y85:AJ85))</f>
        <v/>
      </c>
      <c r="AL85" s="84" t="str">
        <f aca="false">MID(IF(N(Y85)&gt;0,", "&amp;Y$2,"")&amp;IF(N(Z85)&gt;0,", "&amp;Z$2,"")&amp;IF(N(AA85)&gt;0,", "&amp;AA$2,"")&amp;IF(N(AB85)&gt;0,", "&amp;AB$2,"")&amp;IF(N(AC85)&gt;0,", "&amp;AC$2,"")&amp;IF(N(AD85)&gt;0,", "&amp;AD$2,"")&amp;IF(N(AE85)&gt;0,", "&amp;AE$2,"")&amp;IF(N(AF85)&gt;0,", "&amp;AF$2,"")&amp;IF(N(AG85)&gt;0,", "&amp;AG$2,"")&amp;IF(N(AH85)&gt;0,", "&amp;AH$2,"")&amp;IF(N(AI85)&gt;0,", "&amp;AI$2,"")&amp;IF(N(AJ85)&gt;0,", "&amp;AJ$2,""),3,999)</f>
        <v/>
      </c>
      <c r="AM85" s="87" t="str">
        <f aca="false">IF(E85="","",MID(IF(N(Y85)&gt;0,", "&amp;A85&amp;"-"&amp;Y$2,"")&amp;IF(N(Z85)&gt;0,", "&amp;A85&amp;"-"&amp;Z$2,"")&amp;IF(N(AA85)&gt;0,", "&amp;A85&amp;"-"&amp;AA$2,"")&amp;IF(N(AB85)&gt;0,", "&amp;A85&amp;"-"&amp;AB$2,"")&amp;IF(N(AC85)&gt;0,", "&amp;A85&amp;"-"&amp;AC$2,"")&amp;IF(N(AD85)&gt;0,", "&amp;A85&amp;"-"&amp;AD$2,"")&amp;IF(N(AE85)&gt;0,", "&amp;A85&amp;"-"&amp;AE$2,"")&amp;IF(N(AF85)&gt;0,", "&amp;A85&amp;"-"&amp;AF$2,"")&amp;IF(N(AG85)&gt;0,", "&amp;A85&amp;"-"&amp;AG$2,"")&amp;IF(N(AH85)&gt;0,", "&amp;A85&amp;"-"&amp;AH$2,"")&amp;IF(N(AI85)&gt;0,", "&amp;A85&amp;"-"&amp;AI$2,"")&amp;IF(N(AJ85)&gt;0,", "&amp;A85&amp;"-"&amp;AJ$2,""),3,999))</f>
        <v/>
      </c>
      <c r="AN85" s="81"/>
      <c r="AO85" s="88"/>
      <c r="AP85" s="89" t="str">
        <f aca="false">IF(AO85="","",ROUND(AO85/(1+Справочники!$B$13),2))</f>
        <v/>
      </c>
      <c r="AQ85" s="90" t="str">
        <f aca="false" t="array" ref="AQ85:AQ85">IF(AP85="","",AP85*INDEX(Справочники!$B$4:$B$7,MATCH("RUB",Справочники!$A$4:$A$7,0)))</f>
        <v/>
      </c>
      <c r="AR85" s="90" t="str">
        <f aca="false">IF(AQ85="","",ROUND(AQ85*(1+Справочники!$B$12),0))</f>
        <v/>
      </c>
      <c r="AS85" s="90" t="str">
        <f aca="false">IF(AR85="","",ROUND(AR85*(1-Справочники!$B$11),0))</f>
        <v/>
      </c>
      <c r="AT85" s="88"/>
      <c r="AU85" s="90" t="str">
        <f aca="false">IF(AT85="","",ROUND(AT85/(1+Справочники!$B$12),0))</f>
        <v/>
      </c>
      <c r="AV85" s="90" t="str">
        <f aca="false">IF(AT85="","",ROUND(AT85*(1-Справочники!$B$15),0))</f>
        <v/>
      </c>
      <c r="AW85" s="90" t="str">
        <f aca="false">IF(AT85="","",ROUND(AT85*(1-Справочники!$B$16),0))</f>
        <v/>
      </c>
      <c r="AX85" s="90" t="str">
        <f aca="false">IF(AT85="","",ROUND(AT85*(1-Справочники!$B$17),0))</f>
        <v/>
      </c>
      <c r="AY85" s="90" t="str">
        <f aca="false">IF(AT85="","",ROUND(AT85*(1-Справочники!$B$18),0))</f>
        <v/>
      </c>
      <c r="AZ85" s="90" t="str">
        <f aca="false">IF(AT85="","",ROUND(AT85*(1-Справочники!$B$19),0))</f>
        <v/>
      </c>
      <c r="BA85" s="81"/>
      <c r="BB85" s="81"/>
      <c r="BC85" s="81"/>
      <c r="BD85" s="81"/>
      <c r="BE85" s="91"/>
      <c r="BF85" s="81" t="s">
        <v>103</v>
      </c>
      <c r="BG85" s="89" t="n">
        <f aca="false" t="array" ref="BG85:BG85">IF(BF85="","",IFERROR(INDEX(Справочники!$B$4:$B$7,MATCH(BF85,Справочники!$A$4:$A$7,0)),""))</f>
        <v>68.5</v>
      </c>
      <c r="BH85" s="90" t="str">
        <f aca="false">IF(N(BN85)&gt;0,ROUND(SUMIF(ЗАКАЗЫ!$F$3:$F$500,$A85,ЗАКАЗЫ!$Y$3:$Y$500)/BN85,0),IF(OR(BE85="",BG85=""),"",ROUND(BE85*BG85*(1+Справочники!$B$10),0)))</f>
        <v/>
      </c>
      <c r="BI85" s="92" t="str">
        <f aca="false">IF(OR(AU85="",BH85="",AU85=0),"",(AU85-BH85)/AU85)</f>
        <v/>
      </c>
      <c r="BJ85" s="81"/>
      <c r="BK85" s="83"/>
      <c r="BL85" s="43" t="str">
        <f aca="false">IFERROR(INDEX(ЗАКАЗЫ!$N$3:$N$500,MATCH($A85,ЗАКАЗЫ!$F$3:$F$500,0)),"")</f>
        <v/>
      </c>
      <c r="BM85" s="8" t="str">
        <f aca="false">IF(BL85="","",IFERROR(VLOOKUP(BL85,'ТН ВЭД'!$A$4:$C$40,3,0),""))</f>
        <v/>
      </c>
      <c r="BN85" s="7" t="str">
        <f aca="false">IF(COUNTIF(ЗАКАЗЫ!$F$3:$F$500,$A85)=0,"",SUMIF(ЗАКАЗЫ!$F$3:$F$500,$A85,ЗАКАЗЫ!$J$3:$J$500))</f>
        <v/>
      </c>
      <c r="BO85" s="7" t="str">
        <f aca="false">IF(BN85="","",SUMIF(ЗАКАЗЫ!$F$3:$F$500,$A85,ЗАКАЗЫ!$AL$3:$AL$500))</f>
        <v/>
      </c>
      <c r="BP85" s="7" t="str">
        <f aca="false">IF(BN85="","",BN85-BO85)</f>
        <v/>
      </c>
      <c r="BQ85" s="55" t="str">
        <f aca="false">IF(BN85="","",IF(BO85&gt;=BN85,"На складе",IF(BO85&gt;0,"Частично","Ждём")))</f>
        <v/>
      </c>
      <c r="BR85" s="43"/>
      <c r="BS85" s="47" t="str">
        <f aca="false">IF(BN85="","",IF(_xlfn.MAXIFS(ЗАКАЗЫ!$AK$3:$AK$500,ЗАКАЗЫ!$F$3:$F$500,$A85)=0,"",_xlfn.MAXIFS(ЗАКАЗЫ!$AK$3:$AK$500,ЗАКАЗЫ!$F$3:$F$500,$A85)))</f>
        <v/>
      </c>
    </row>
    <row r="86" customFormat="false" ht="15.75" hidden="false" customHeight="true" outlineLevel="0" collapsed="false">
      <c r="A86" s="80" t="s">
        <v>918</v>
      </c>
      <c r="B86" s="81"/>
      <c r="C86" s="81"/>
      <c r="D86" s="81"/>
      <c r="E86" s="83"/>
      <c r="F86" s="81"/>
      <c r="G86" s="83"/>
      <c r="H86" s="83"/>
      <c r="I86" s="84" t="str">
        <f aca="false">IF(E86="","",A86&amp;"_1.jpg")</f>
        <v/>
      </c>
      <c r="J86" s="84" t="str">
        <f aca="false">IF(E86="","",A86&amp;"_2.jpg; "&amp;A86&amp;"_3.jpg")</f>
        <v/>
      </c>
      <c r="K86" s="84" t="str">
        <f aca="false">IF(E86="","",A86&amp;"_schema.jpg")</f>
        <v/>
      </c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 t="s">
        <v>96</v>
      </c>
      <c r="W86" s="81"/>
      <c r="X86" s="81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6" t="str">
        <f aca="false">IF(SUM(Y86:AJ86)=0,"",SUM(Y86:AJ86))</f>
        <v/>
      </c>
      <c r="AL86" s="84" t="str">
        <f aca="false">MID(IF(N(Y86)&gt;0,", "&amp;Y$2,"")&amp;IF(N(Z86)&gt;0,", "&amp;Z$2,"")&amp;IF(N(AA86)&gt;0,", "&amp;AA$2,"")&amp;IF(N(AB86)&gt;0,", "&amp;AB$2,"")&amp;IF(N(AC86)&gt;0,", "&amp;AC$2,"")&amp;IF(N(AD86)&gt;0,", "&amp;AD$2,"")&amp;IF(N(AE86)&gt;0,", "&amp;AE$2,"")&amp;IF(N(AF86)&gt;0,", "&amp;AF$2,"")&amp;IF(N(AG86)&gt;0,", "&amp;AG$2,"")&amp;IF(N(AH86)&gt;0,", "&amp;AH$2,"")&amp;IF(N(AI86)&gt;0,", "&amp;AI$2,"")&amp;IF(N(AJ86)&gt;0,", "&amp;AJ$2,""),3,999)</f>
        <v/>
      </c>
      <c r="AM86" s="87" t="str">
        <f aca="false">IF(E86="","",MID(IF(N(Y86)&gt;0,", "&amp;A86&amp;"-"&amp;Y$2,"")&amp;IF(N(Z86)&gt;0,", "&amp;A86&amp;"-"&amp;Z$2,"")&amp;IF(N(AA86)&gt;0,", "&amp;A86&amp;"-"&amp;AA$2,"")&amp;IF(N(AB86)&gt;0,", "&amp;A86&amp;"-"&amp;AB$2,"")&amp;IF(N(AC86)&gt;0,", "&amp;A86&amp;"-"&amp;AC$2,"")&amp;IF(N(AD86)&gt;0,", "&amp;A86&amp;"-"&amp;AD$2,"")&amp;IF(N(AE86)&gt;0,", "&amp;A86&amp;"-"&amp;AE$2,"")&amp;IF(N(AF86)&gt;0,", "&amp;A86&amp;"-"&amp;AF$2,"")&amp;IF(N(AG86)&gt;0,", "&amp;A86&amp;"-"&amp;AG$2,"")&amp;IF(N(AH86)&gt;0,", "&amp;A86&amp;"-"&amp;AH$2,"")&amp;IF(N(AI86)&gt;0,", "&amp;A86&amp;"-"&amp;AI$2,"")&amp;IF(N(AJ86)&gt;0,", "&amp;A86&amp;"-"&amp;AJ$2,""),3,999))</f>
        <v/>
      </c>
      <c r="AN86" s="81"/>
      <c r="AO86" s="88"/>
      <c r="AP86" s="89" t="str">
        <f aca="false">IF(AO86="","",ROUND(AO86/(1+Справочники!$B$13),2))</f>
        <v/>
      </c>
      <c r="AQ86" s="90" t="str">
        <f aca="false" t="array" ref="AQ86:AQ86">IF(AP86="","",AP86*INDEX(Справочники!$B$4:$B$7,MATCH("RUB",Справочники!$A$4:$A$7,0)))</f>
        <v/>
      </c>
      <c r="AR86" s="90" t="str">
        <f aca="false">IF(AQ86="","",ROUND(AQ86*(1+Справочники!$B$12),0))</f>
        <v/>
      </c>
      <c r="AS86" s="90" t="str">
        <f aca="false">IF(AR86="","",ROUND(AR86*(1-Справочники!$B$11),0))</f>
        <v/>
      </c>
      <c r="AT86" s="88"/>
      <c r="AU86" s="90" t="str">
        <f aca="false">IF(AT86="","",ROUND(AT86/(1+Справочники!$B$12),0))</f>
        <v/>
      </c>
      <c r="AV86" s="90" t="str">
        <f aca="false">IF(AT86="","",ROUND(AT86*(1-Справочники!$B$15),0))</f>
        <v/>
      </c>
      <c r="AW86" s="90" t="str">
        <f aca="false">IF(AT86="","",ROUND(AT86*(1-Справочники!$B$16),0))</f>
        <v/>
      </c>
      <c r="AX86" s="90" t="str">
        <f aca="false">IF(AT86="","",ROUND(AT86*(1-Справочники!$B$17),0))</f>
        <v/>
      </c>
      <c r="AY86" s="90" t="str">
        <f aca="false">IF(AT86="","",ROUND(AT86*(1-Справочники!$B$18),0))</f>
        <v/>
      </c>
      <c r="AZ86" s="90" t="str">
        <f aca="false">IF(AT86="","",ROUND(AT86*(1-Справочники!$B$19),0))</f>
        <v/>
      </c>
      <c r="BA86" s="81"/>
      <c r="BB86" s="81"/>
      <c r="BC86" s="81"/>
      <c r="BD86" s="81"/>
      <c r="BE86" s="91"/>
      <c r="BF86" s="81" t="s">
        <v>103</v>
      </c>
      <c r="BG86" s="89" t="n">
        <f aca="false" t="array" ref="BG86:BG86">IF(BF86="","",IFERROR(INDEX(Справочники!$B$4:$B$7,MATCH(BF86,Справочники!$A$4:$A$7,0)),""))</f>
        <v>68.5</v>
      </c>
      <c r="BH86" s="90" t="str">
        <f aca="false">IF(N(BN86)&gt;0,ROUND(SUMIF(ЗАКАЗЫ!$F$3:$F$500,$A86,ЗАКАЗЫ!$Y$3:$Y$500)/BN86,0),IF(OR(BE86="",BG86=""),"",ROUND(BE86*BG86*(1+Справочники!$B$10),0)))</f>
        <v/>
      </c>
      <c r="BI86" s="92" t="str">
        <f aca="false">IF(OR(AU86="",BH86="",AU86=0),"",(AU86-BH86)/AU86)</f>
        <v/>
      </c>
      <c r="BJ86" s="81"/>
      <c r="BK86" s="83"/>
      <c r="BL86" s="43" t="str">
        <f aca="false">IFERROR(INDEX(ЗАКАЗЫ!$N$3:$N$500,MATCH($A86,ЗАКАЗЫ!$F$3:$F$500,0)),"")</f>
        <v/>
      </c>
      <c r="BM86" s="8" t="str">
        <f aca="false">IF(BL86="","",IFERROR(VLOOKUP(BL86,'ТН ВЭД'!$A$4:$C$40,3,0),""))</f>
        <v/>
      </c>
      <c r="BN86" s="7" t="str">
        <f aca="false">IF(COUNTIF(ЗАКАЗЫ!$F$3:$F$500,$A86)=0,"",SUMIF(ЗАКАЗЫ!$F$3:$F$500,$A86,ЗАКАЗЫ!$J$3:$J$500))</f>
        <v/>
      </c>
      <c r="BO86" s="7" t="str">
        <f aca="false">IF(BN86="","",SUMIF(ЗАКАЗЫ!$F$3:$F$500,$A86,ЗАКАЗЫ!$AL$3:$AL$500))</f>
        <v/>
      </c>
      <c r="BP86" s="7" t="str">
        <f aca="false">IF(BN86="","",BN86-BO86)</f>
        <v/>
      </c>
      <c r="BQ86" s="55" t="str">
        <f aca="false">IF(BN86="","",IF(BO86&gt;=BN86,"На складе",IF(BO86&gt;0,"Частично","Ждём")))</f>
        <v/>
      </c>
      <c r="BR86" s="43"/>
      <c r="BS86" s="47" t="str">
        <f aca="false">IF(BN86="","",IF(_xlfn.MAXIFS(ЗАКАЗЫ!$AK$3:$AK$500,ЗАКАЗЫ!$F$3:$F$500,$A86)=0,"",_xlfn.MAXIFS(ЗАКАЗЫ!$AK$3:$AK$500,ЗАКАЗЫ!$F$3:$F$500,$A86)))</f>
        <v/>
      </c>
    </row>
    <row r="87" customFormat="false" ht="15.75" hidden="false" customHeight="true" outlineLevel="0" collapsed="false">
      <c r="A87" s="80" t="s">
        <v>919</v>
      </c>
      <c r="B87" s="81"/>
      <c r="C87" s="81"/>
      <c r="D87" s="81"/>
      <c r="E87" s="83"/>
      <c r="F87" s="81"/>
      <c r="G87" s="83"/>
      <c r="H87" s="83"/>
      <c r="I87" s="84" t="str">
        <f aca="false">IF(E87="","",A87&amp;"_1.jpg")</f>
        <v/>
      </c>
      <c r="J87" s="84" t="str">
        <f aca="false">IF(E87="","",A87&amp;"_2.jpg; "&amp;A87&amp;"_3.jpg")</f>
        <v/>
      </c>
      <c r="K87" s="84" t="str">
        <f aca="false">IF(E87="","",A87&amp;"_schema.jpg")</f>
        <v/>
      </c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 t="s">
        <v>96</v>
      </c>
      <c r="W87" s="81"/>
      <c r="X87" s="81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6" t="str">
        <f aca="false">IF(SUM(Y87:AJ87)=0,"",SUM(Y87:AJ87))</f>
        <v/>
      </c>
      <c r="AL87" s="84" t="str">
        <f aca="false">MID(IF(N(Y87)&gt;0,", "&amp;Y$2,"")&amp;IF(N(Z87)&gt;0,", "&amp;Z$2,"")&amp;IF(N(AA87)&gt;0,", "&amp;AA$2,"")&amp;IF(N(AB87)&gt;0,", "&amp;AB$2,"")&amp;IF(N(AC87)&gt;0,", "&amp;AC$2,"")&amp;IF(N(AD87)&gt;0,", "&amp;AD$2,"")&amp;IF(N(AE87)&gt;0,", "&amp;AE$2,"")&amp;IF(N(AF87)&gt;0,", "&amp;AF$2,"")&amp;IF(N(AG87)&gt;0,", "&amp;AG$2,"")&amp;IF(N(AH87)&gt;0,", "&amp;AH$2,"")&amp;IF(N(AI87)&gt;0,", "&amp;AI$2,"")&amp;IF(N(AJ87)&gt;0,", "&amp;AJ$2,""),3,999)</f>
        <v/>
      </c>
      <c r="AM87" s="87" t="str">
        <f aca="false">IF(E87="","",MID(IF(N(Y87)&gt;0,", "&amp;A87&amp;"-"&amp;Y$2,"")&amp;IF(N(Z87)&gt;0,", "&amp;A87&amp;"-"&amp;Z$2,"")&amp;IF(N(AA87)&gt;0,", "&amp;A87&amp;"-"&amp;AA$2,"")&amp;IF(N(AB87)&gt;0,", "&amp;A87&amp;"-"&amp;AB$2,"")&amp;IF(N(AC87)&gt;0,", "&amp;A87&amp;"-"&amp;AC$2,"")&amp;IF(N(AD87)&gt;0,", "&amp;A87&amp;"-"&amp;AD$2,"")&amp;IF(N(AE87)&gt;0,", "&amp;A87&amp;"-"&amp;AE$2,"")&amp;IF(N(AF87)&gt;0,", "&amp;A87&amp;"-"&amp;AF$2,"")&amp;IF(N(AG87)&gt;0,", "&amp;A87&amp;"-"&amp;AG$2,"")&amp;IF(N(AH87)&gt;0,", "&amp;A87&amp;"-"&amp;AH$2,"")&amp;IF(N(AI87)&gt;0,", "&amp;A87&amp;"-"&amp;AI$2,"")&amp;IF(N(AJ87)&gt;0,", "&amp;A87&amp;"-"&amp;AJ$2,""),3,999))</f>
        <v/>
      </c>
      <c r="AN87" s="81"/>
      <c r="AO87" s="88"/>
      <c r="AP87" s="89" t="str">
        <f aca="false">IF(AO87="","",ROUND(AO87/(1+Справочники!$B$13),2))</f>
        <v/>
      </c>
      <c r="AQ87" s="90" t="str">
        <f aca="false" t="array" ref="AQ87:AQ87">IF(AP87="","",AP87*INDEX(Справочники!$B$4:$B$7,MATCH("RUB",Справочники!$A$4:$A$7,0)))</f>
        <v/>
      </c>
      <c r="AR87" s="90" t="str">
        <f aca="false">IF(AQ87="","",ROUND(AQ87*(1+Справочники!$B$12),0))</f>
        <v/>
      </c>
      <c r="AS87" s="90" t="str">
        <f aca="false">IF(AR87="","",ROUND(AR87*(1-Справочники!$B$11),0))</f>
        <v/>
      </c>
      <c r="AT87" s="88"/>
      <c r="AU87" s="90" t="str">
        <f aca="false">IF(AT87="","",ROUND(AT87/(1+Справочники!$B$12),0))</f>
        <v/>
      </c>
      <c r="AV87" s="90" t="str">
        <f aca="false">IF(AT87="","",ROUND(AT87*(1-Справочники!$B$15),0))</f>
        <v/>
      </c>
      <c r="AW87" s="90" t="str">
        <f aca="false">IF(AT87="","",ROUND(AT87*(1-Справочники!$B$16),0))</f>
        <v/>
      </c>
      <c r="AX87" s="90" t="str">
        <f aca="false">IF(AT87="","",ROUND(AT87*(1-Справочники!$B$17),0))</f>
        <v/>
      </c>
      <c r="AY87" s="90" t="str">
        <f aca="false">IF(AT87="","",ROUND(AT87*(1-Справочники!$B$18),0))</f>
        <v/>
      </c>
      <c r="AZ87" s="90" t="str">
        <f aca="false">IF(AT87="","",ROUND(AT87*(1-Справочники!$B$19),0))</f>
        <v/>
      </c>
      <c r="BA87" s="81"/>
      <c r="BB87" s="81"/>
      <c r="BC87" s="81"/>
      <c r="BD87" s="81"/>
      <c r="BE87" s="91"/>
      <c r="BF87" s="81" t="s">
        <v>103</v>
      </c>
      <c r="BG87" s="89" t="n">
        <f aca="false" t="array" ref="BG87:BG87">IF(BF87="","",IFERROR(INDEX(Справочники!$B$4:$B$7,MATCH(BF87,Справочники!$A$4:$A$7,0)),""))</f>
        <v>68.5</v>
      </c>
      <c r="BH87" s="90" t="str">
        <f aca="false">IF(N(BN87)&gt;0,ROUND(SUMIF(ЗАКАЗЫ!$F$3:$F$500,$A87,ЗАКАЗЫ!$Y$3:$Y$500)/BN87,0),IF(OR(BE87="",BG87=""),"",ROUND(BE87*BG87*(1+Справочники!$B$10),0)))</f>
        <v/>
      </c>
      <c r="BI87" s="92" t="str">
        <f aca="false">IF(OR(AU87="",BH87="",AU87=0),"",(AU87-BH87)/AU87)</f>
        <v/>
      </c>
      <c r="BJ87" s="81"/>
      <c r="BK87" s="83"/>
      <c r="BL87" s="43" t="str">
        <f aca="false">IFERROR(INDEX(ЗАКАЗЫ!$N$3:$N$500,MATCH($A87,ЗАКАЗЫ!$F$3:$F$500,0)),"")</f>
        <v/>
      </c>
      <c r="BM87" s="8" t="str">
        <f aca="false">IF(BL87="","",IFERROR(VLOOKUP(BL87,'ТН ВЭД'!$A$4:$C$40,3,0),""))</f>
        <v/>
      </c>
      <c r="BN87" s="7" t="str">
        <f aca="false">IF(COUNTIF(ЗАКАЗЫ!$F$3:$F$500,$A87)=0,"",SUMIF(ЗАКАЗЫ!$F$3:$F$500,$A87,ЗАКАЗЫ!$J$3:$J$500))</f>
        <v/>
      </c>
      <c r="BO87" s="7" t="str">
        <f aca="false">IF(BN87="","",SUMIF(ЗАКАЗЫ!$F$3:$F$500,$A87,ЗАКАЗЫ!$AL$3:$AL$500))</f>
        <v/>
      </c>
      <c r="BP87" s="7" t="str">
        <f aca="false">IF(BN87="","",BN87-BO87)</f>
        <v/>
      </c>
      <c r="BQ87" s="55" t="str">
        <f aca="false">IF(BN87="","",IF(BO87&gt;=BN87,"На складе",IF(BO87&gt;0,"Частично","Ждём")))</f>
        <v/>
      </c>
      <c r="BR87" s="43"/>
      <c r="BS87" s="47" t="str">
        <f aca="false">IF(BN87="","",IF(_xlfn.MAXIFS(ЗАКАЗЫ!$AK$3:$AK$500,ЗАКАЗЫ!$F$3:$F$500,$A87)=0,"",_xlfn.MAXIFS(ЗАКАЗЫ!$AK$3:$AK$500,ЗАКАЗЫ!$F$3:$F$500,$A87)))</f>
        <v/>
      </c>
    </row>
    <row r="88" customFormat="false" ht="15.75" hidden="false" customHeight="true" outlineLevel="0" collapsed="false">
      <c r="A88" s="80" t="s">
        <v>920</v>
      </c>
      <c r="B88" s="81"/>
      <c r="C88" s="81"/>
      <c r="D88" s="81"/>
      <c r="E88" s="83"/>
      <c r="F88" s="81"/>
      <c r="G88" s="83"/>
      <c r="H88" s="83"/>
      <c r="I88" s="84" t="str">
        <f aca="false">IF(E88="","",A88&amp;"_1.jpg")</f>
        <v/>
      </c>
      <c r="J88" s="84" t="str">
        <f aca="false">IF(E88="","",A88&amp;"_2.jpg; "&amp;A88&amp;"_3.jpg")</f>
        <v/>
      </c>
      <c r="K88" s="84" t="str">
        <f aca="false">IF(E88="","",A88&amp;"_schema.jpg")</f>
        <v/>
      </c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 t="s">
        <v>96</v>
      </c>
      <c r="W88" s="81"/>
      <c r="X88" s="81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6" t="str">
        <f aca="false">IF(SUM(Y88:AJ88)=0,"",SUM(Y88:AJ88))</f>
        <v/>
      </c>
      <c r="AL88" s="84" t="str">
        <f aca="false">MID(IF(N(Y88)&gt;0,", "&amp;Y$2,"")&amp;IF(N(Z88)&gt;0,", "&amp;Z$2,"")&amp;IF(N(AA88)&gt;0,", "&amp;AA$2,"")&amp;IF(N(AB88)&gt;0,", "&amp;AB$2,"")&amp;IF(N(AC88)&gt;0,", "&amp;AC$2,"")&amp;IF(N(AD88)&gt;0,", "&amp;AD$2,"")&amp;IF(N(AE88)&gt;0,", "&amp;AE$2,"")&amp;IF(N(AF88)&gt;0,", "&amp;AF$2,"")&amp;IF(N(AG88)&gt;0,", "&amp;AG$2,"")&amp;IF(N(AH88)&gt;0,", "&amp;AH$2,"")&amp;IF(N(AI88)&gt;0,", "&amp;AI$2,"")&amp;IF(N(AJ88)&gt;0,", "&amp;AJ$2,""),3,999)</f>
        <v/>
      </c>
      <c r="AM88" s="87" t="str">
        <f aca="false">IF(E88="","",MID(IF(N(Y88)&gt;0,", "&amp;A88&amp;"-"&amp;Y$2,"")&amp;IF(N(Z88)&gt;0,", "&amp;A88&amp;"-"&amp;Z$2,"")&amp;IF(N(AA88)&gt;0,", "&amp;A88&amp;"-"&amp;AA$2,"")&amp;IF(N(AB88)&gt;0,", "&amp;A88&amp;"-"&amp;AB$2,"")&amp;IF(N(AC88)&gt;0,", "&amp;A88&amp;"-"&amp;AC$2,"")&amp;IF(N(AD88)&gt;0,", "&amp;A88&amp;"-"&amp;AD$2,"")&amp;IF(N(AE88)&gt;0,", "&amp;A88&amp;"-"&amp;AE$2,"")&amp;IF(N(AF88)&gt;0,", "&amp;A88&amp;"-"&amp;AF$2,"")&amp;IF(N(AG88)&gt;0,", "&amp;A88&amp;"-"&amp;AG$2,"")&amp;IF(N(AH88)&gt;0,", "&amp;A88&amp;"-"&amp;AH$2,"")&amp;IF(N(AI88)&gt;0,", "&amp;A88&amp;"-"&amp;AI$2,"")&amp;IF(N(AJ88)&gt;0,", "&amp;A88&amp;"-"&amp;AJ$2,""),3,999))</f>
        <v/>
      </c>
      <c r="AN88" s="81"/>
      <c r="AO88" s="88"/>
      <c r="AP88" s="89" t="str">
        <f aca="false">IF(AO88="","",ROUND(AO88/(1+Справочники!$B$13),2))</f>
        <v/>
      </c>
      <c r="AQ88" s="90" t="str">
        <f aca="false" t="array" ref="AQ88:AQ88">IF(AP88="","",AP88*INDEX(Справочники!$B$4:$B$7,MATCH("RUB",Справочники!$A$4:$A$7,0)))</f>
        <v/>
      </c>
      <c r="AR88" s="90" t="str">
        <f aca="false">IF(AQ88="","",ROUND(AQ88*(1+Справочники!$B$12),0))</f>
        <v/>
      </c>
      <c r="AS88" s="90" t="str">
        <f aca="false">IF(AR88="","",ROUND(AR88*(1-Справочники!$B$11),0))</f>
        <v/>
      </c>
      <c r="AT88" s="88"/>
      <c r="AU88" s="90" t="str">
        <f aca="false">IF(AT88="","",ROUND(AT88/(1+Справочники!$B$12),0))</f>
        <v/>
      </c>
      <c r="AV88" s="90" t="str">
        <f aca="false">IF(AT88="","",ROUND(AT88*(1-Справочники!$B$15),0))</f>
        <v/>
      </c>
      <c r="AW88" s="90" t="str">
        <f aca="false">IF(AT88="","",ROUND(AT88*(1-Справочники!$B$16),0))</f>
        <v/>
      </c>
      <c r="AX88" s="90" t="str">
        <f aca="false">IF(AT88="","",ROUND(AT88*(1-Справочники!$B$17),0))</f>
        <v/>
      </c>
      <c r="AY88" s="90" t="str">
        <f aca="false">IF(AT88="","",ROUND(AT88*(1-Справочники!$B$18),0))</f>
        <v/>
      </c>
      <c r="AZ88" s="90" t="str">
        <f aca="false">IF(AT88="","",ROUND(AT88*(1-Справочники!$B$19),0))</f>
        <v/>
      </c>
      <c r="BA88" s="81"/>
      <c r="BB88" s="81"/>
      <c r="BC88" s="81"/>
      <c r="BD88" s="81"/>
      <c r="BE88" s="91"/>
      <c r="BF88" s="81" t="s">
        <v>103</v>
      </c>
      <c r="BG88" s="89" t="n">
        <f aca="false" t="array" ref="BG88:BG88">IF(BF88="","",IFERROR(INDEX(Справочники!$B$4:$B$7,MATCH(BF88,Справочники!$A$4:$A$7,0)),""))</f>
        <v>68.5</v>
      </c>
      <c r="BH88" s="90" t="str">
        <f aca="false">IF(N(BN88)&gt;0,ROUND(SUMIF(ЗАКАЗЫ!$F$3:$F$500,$A88,ЗАКАЗЫ!$Y$3:$Y$500)/BN88,0),IF(OR(BE88="",BG88=""),"",ROUND(BE88*BG88*(1+Справочники!$B$10),0)))</f>
        <v/>
      </c>
      <c r="BI88" s="92" t="str">
        <f aca="false">IF(OR(AU88="",BH88="",AU88=0),"",(AU88-BH88)/AU88)</f>
        <v/>
      </c>
      <c r="BJ88" s="81"/>
      <c r="BK88" s="83"/>
      <c r="BL88" s="43" t="str">
        <f aca="false">IFERROR(INDEX(ЗАКАЗЫ!$N$3:$N$500,MATCH($A88,ЗАКАЗЫ!$F$3:$F$500,0)),"")</f>
        <v/>
      </c>
      <c r="BM88" s="8" t="str">
        <f aca="false">IF(BL88="","",IFERROR(VLOOKUP(BL88,'ТН ВЭД'!$A$4:$C$40,3,0),""))</f>
        <v/>
      </c>
      <c r="BN88" s="7" t="str">
        <f aca="false">IF(COUNTIF(ЗАКАЗЫ!$F$3:$F$500,$A88)=0,"",SUMIF(ЗАКАЗЫ!$F$3:$F$500,$A88,ЗАКАЗЫ!$J$3:$J$500))</f>
        <v/>
      </c>
      <c r="BO88" s="7" t="str">
        <f aca="false">IF(BN88="","",SUMIF(ЗАКАЗЫ!$F$3:$F$500,$A88,ЗАКАЗЫ!$AL$3:$AL$500))</f>
        <v/>
      </c>
      <c r="BP88" s="7" t="str">
        <f aca="false">IF(BN88="","",BN88-BO88)</f>
        <v/>
      </c>
      <c r="BQ88" s="55" t="str">
        <f aca="false">IF(BN88="","",IF(BO88&gt;=BN88,"На складе",IF(BO88&gt;0,"Частично","Ждём")))</f>
        <v/>
      </c>
      <c r="BR88" s="43"/>
      <c r="BS88" s="47" t="str">
        <f aca="false">IF(BN88="","",IF(_xlfn.MAXIFS(ЗАКАЗЫ!$AK$3:$AK$500,ЗАКАЗЫ!$F$3:$F$500,$A88)=0,"",_xlfn.MAXIFS(ЗАКАЗЫ!$AK$3:$AK$500,ЗАКАЗЫ!$F$3:$F$500,$A88)))</f>
        <v/>
      </c>
    </row>
    <row r="89" customFormat="false" ht="15.75" hidden="false" customHeight="true" outlineLevel="0" collapsed="false">
      <c r="A89" s="80" t="s">
        <v>921</v>
      </c>
      <c r="B89" s="81"/>
      <c r="C89" s="81"/>
      <c r="D89" s="81"/>
      <c r="E89" s="83"/>
      <c r="F89" s="81"/>
      <c r="G89" s="83"/>
      <c r="H89" s="83"/>
      <c r="I89" s="84" t="str">
        <f aca="false">IF(E89="","",A89&amp;"_1.jpg")</f>
        <v/>
      </c>
      <c r="J89" s="84" t="str">
        <f aca="false">IF(E89="","",A89&amp;"_2.jpg; "&amp;A89&amp;"_3.jpg")</f>
        <v/>
      </c>
      <c r="K89" s="84" t="str">
        <f aca="false">IF(E89="","",A89&amp;"_schema.jpg")</f>
        <v/>
      </c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 t="s">
        <v>96</v>
      </c>
      <c r="W89" s="81"/>
      <c r="X89" s="81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6" t="str">
        <f aca="false">IF(SUM(Y89:AJ89)=0,"",SUM(Y89:AJ89))</f>
        <v/>
      </c>
      <c r="AL89" s="84" t="str">
        <f aca="false">MID(IF(N(Y89)&gt;0,", "&amp;Y$2,"")&amp;IF(N(Z89)&gt;0,", "&amp;Z$2,"")&amp;IF(N(AA89)&gt;0,", "&amp;AA$2,"")&amp;IF(N(AB89)&gt;0,", "&amp;AB$2,"")&amp;IF(N(AC89)&gt;0,", "&amp;AC$2,"")&amp;IF(N(AD89)&gt;0,", "&amp;AD$2,"")&amp;IF(N(AE89)&gt;0,", "&amp;AE$2,"")&amp;IF(N(AF89)&gt;0,", "&amp;AF$2,"")&amp;IF(N(AG89)&gt;0,", "&amp;AG$2,"")&amp;IF(N(AH89)&gt;0,", "&amp;AH$2,"")&amp;IF(N(AI89)&gt;0,", "&amp;AI$2,"")&amp;IF(N(AJ89)&gt;0,", "&amp;AJ$2,""),3,999)</f>
        <v/>
      </c>
      <c r="AM89" s="87" t="str">
        <f aca="false">IF(E89="","",MID(IF(N(Y89)&gt;0,", "&amp;A89&amp;"-"&amp;Y$2,"")&amp;IF(N(Z89)&gt;0,", "&amp;A89&amp;"-"&amp;Z$2,"")&amp;IF(N(AA89)&gt;0,", "&amp;A89&amp;"-"&amp;AA$2,"")&amp;IF(N(AB89)&gt;0,", "&amp;A89&amp;"-"&amp;AB$2,"")&amp;IF(N(AC89)&gt;0,", "&amp;A89&amp;"-"&amp;AC$2,"")&amp;IF(N(AD89)&gt;0,", "&amp;A89&amp;"-"&amp;AD$2,"")&amp;IF(N(AE89)&gt;0,", "&amp;A89&amp;"-"&amp;AE$2,"")&amp;IF(N(AF89)&gt;0,", "&amp;A89&amp;"-"&amp;AF$2,"")&amp;IF(N(AG89)&gt;0,", "&amp;A89&amp;"-"&amp;AG$2,"")&amp;IF(N(AH89)&gt;0,", "&amp;A89&amp;"-"&amp;AH$2,"")&amp;IF(N(AI89)&gt;0,", "&amp;A89&amp;"-"&amp;AI$2,"")&amp;IF(N(AJ89)&gt;0,", "&amp;A89&amp;"-"&amp;AJ$2,""),3,999))</f>
        <v/>
      </c>
      <c r="AN89" s="81"/>
      <c r="AO89" s="88"/>
      <c r="AP89" s="89" t="str">
        <f aca="false">IF(AO89="","",ROUND(AO89/(1+Справочники!$B$13),2))</f>
        <v/>
      </c>
      <c r="AQ89" s="90" t="str">
        <f aca="false" t="array" ref="AQ89:AQ89">IF(AP89="","",AP89*INDEX(Справочники!$B$4:$B$7,MATCH("RUB",Справочники!$A$4:$A$7,0)))</f>
        <v/>
      </c>
      <c r="AR89" s="90" t="str">
        <f aca="false">IF(AQ89="","",ROUND(AQ89*(1+Справочники!$B$12),0))</f>
        <v/>
      </c>
      <c r="AS89" s="90" t="str">
        <f aca="false">IF(AR89="","",ROUND(AR89*(1-Справочники!$B$11),0))</f>
        <v/>
      </c>
      <c r="AT89" s="88"/>
      <c r="AU89" s="90" t="str">
        <f aca="false">IF(AT89="","",ROUND(AT89/(1+Справочники!$B$12),0))</f>
        <v/>
      </c>
      <c r="AV89" s="90" t="str">
        <f aca="false">IF(AT89="","",ROUND(AT89*(1-Справочники!$B$15),0))</f>
        <v/>
      </c>
      <c r="AW89" s="90" t="str">
        <f aca="false">IF(AT89="","",ROUND(AT89*(1-Справочники!$B$16),0))</f>
        <v/>
      </c>
      <c r="AX89" s="90" t="str">
        <f aca="false">IF(AT89="","",ROUND(AT89*(1-Справочники!$B$17),0))</f>
        <v/>
      </c>
      <c r="AY89" s="90" t="str">
        <f aca="false">IF(AT89="","",ROUND(AT89*(1-Справочники!$B$18),0))</f>
        <v/>
      </c>
      <c r="AZ89" s="90" t="str">
        <f aca="false">IF(AT89="","",ROUND(AT89*(1-Справочники!$B$19),0))</f>
        <v/>
      </c>
      <c r="BA89" s="81"/>
      <c r="BB89" s="81"/>
      <c r="BC89" s="81"/>
      <c r="BD89" s="81"/>
      <c r="BE89" s="91"/>
      <c r="BF89" s="81" t="s">
        <v>103</v>
      </c>
      <c r="BG89" s="89" t="n">
        <f aca="false" t="array" ref="BG89:BG89">IF(BF89="","",IFERROR(INDEX(Справочники!$B$4:$B$7,MATCH(BF89,Справочники!$A$4:$A$7,0)),""))</f>
        <v>68.5</v>
      </c>
      <c r="BH89" s="90" t="str">
        <f aca="false">IF(N(BN89)&gt;0,ROUND(SUMIF(ЗАКАЗЫ!$F$3:$F$500,$A89,ЗАКАЗЫ!$Y$3:$Y$500)/BN89,0),IF(OR(BE89="",BG89=""),"",ROUND(BE89*BG89*(1+Справочники!$B$10),0)))</f>
        <v/>
      </c>
      <c r="BI89" s="92" t="str">
        <f aca="false">IF(OR(AU89="",BH89="",AU89=0),"",(AU89-BH89)/AU89)</f>
        <v/>
      </c>
      <c r="BJ89" s="81"/>
      <c r="BK89" s="83"/>
      <c r="BL89" s="43" t="str">
        <f aca="false">IFERROR(INDEX(ЗАКАЗЫ!$N$3:$N$500,MATCH($A89,ЗАКАЗЫ!$F$3:$F$500,0)),"")</f>
        <v/>
      </c>
      <c r="BM89" s="8" t="str">
        <f aca="false">IF(BL89="","",IFERROR(VLOOKUP(BL89,'ТН ВЭД'!$A$4:$C$40,3,0),""))</f>
        <v/>
      </c>
      <c r="BN89" s="7" t="str">
        <f aca="false">IF(COUNTIF(ЗАКАЗЫ!$F$3:$F$500,$A89)=0,"",SUMIF(ЗАКАЗЫ!$F$3:$F$500,$A89,ЗАКАЗЫ!$J$3:$J$500))</f>
        <v/>
      </c>
      <c r="BO89" s="7" t="str">
        <f aca="false">IF(BN89="","",SUMIF(ЗАКАЗЫ!$F$3:$F$500,$A89,ЗАКАЗЫ!$AL$3:$AL$500))</f>
        <v/>
      </c>
      <c r="BP89" s="7" t="str">
        <f aca="false">IF(BN89="","",BN89-BO89)</f>
        <v/>
      </c>
      <c r="BQ89" s="55" t="str">
        <f aca="false">IF(BN89="","",IF(BO89&gt;=BN89,"На складе",IF(BO89&gt;0,"Частично","Ждём")))</f>
        <v/>
      </c>
      <c r="BR89" s="43"/>
      <c r="BS89" s="47" t="str">
        <f aca="false">IF(BN89="","",IF(_xlfn.MAXIFS(ЗАКАЗЫ!$AK$3:$AK$500,ЗАКАЗЫ!$F$3:$F$500,$A89)=0,"",_xlfn.MAXIFS(ЗАКАЗЫ!$AK$3:$AK$500,ЗАКАЗЫ!$F$3:$F$500,$A89)))</f>
        <v/>
      </c>
    </row>
    <row r="90" customFormat="false" ht="15.75" hidden="false" customHeight="true" outlineLevel="0" collapsed="false">
      <c r="A90" s="80" t="s">
        <v>922</v>
      </c>
      <c r="B90" s="81"/>
      <c r="C90" s="81"/>
      <c r="D90" s="81"/>
      <c r="E90" s="83"/>
      <c r="F90" s="81"/>
      <c r="G90" s="83"/>
      <c r="H90" s="83"/>
      <c r="I90" s="84" t="str">
        <f aca="false">IF(E90="","",A90&amp;"_1.jpg")</f>
        <v/>
      </c>
      <c r="J90" s="84" t="str">
        <f aca="false">IF(E90="","",A90&amp;"_2.jpg; "&amp;A90&amp;"_3.jpg")</f>
        <v/>
      </c>
      <c r="K90" s="84" t="str">
        <f aca="false">IF(E90="","",A90&amp;"_schema.jpg")</f>
        <v/>
      </c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 t="s">
        <v>96</v>
      </c>
      <c r="W90" s="81"/>
      <c r="X90" s="81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6" t="str">
        <f aca="false">IF(SUM(Y90:AJ90)=0,"",SUM(Y90:AJ90))</f>
        <v/>
      </c>
      <c r="AL90" s="84" t="str">
        <f aca="false">MID(IF(N(Y90)&gt;0,", "&amp;Y$2,"")&amp;IF(N(Z90)&gt;0,", "&amp;Z$2,"")&amp;IF(N(AA90)&gt;0,", "&amp;AA$2,"")&amp;IF(N(AB90)&gt;0,", "&amp;AB$2,"")&amp;IF(N(AC90)&gt;0,", "&amp;AC$2,"")&amp;IF(N(AD90)&gt;0,", "&amp;AD$2,"")&amp;IF(N(AE90)&gt;0,", "&amp;AE$2,"")&amp;IF(N(AF90)&gt;0,", "&amp;AF$2,"")&amp;IF(N(AG90)&gt;0,", "&amp;AG$2,"")&amp;IF(N(AH90)&gt;0,", "&amp;AH$2,"")&amp;IF(N(AI90)&gt;0,", "&amp;AI$2,"")&amp;IF(N(AJ90)&gt;0,", "&amp;AJ$2,""),3,999)</f>
        <v/>
      </c>
      <c r="AM90" s="87" t="str">
        <f aca="false">IF(E90="","",MID(IF(N(Y90)&gt;0,", "&amp;A90&amp;"-"&amp;Y$2,"")&amp;IF(N(Z90)&gt;0,", "&amp;A90&amp;"-"&amp;Z$2,"")&amp;IF(N(AA90)&gt;0,", "&amp;A90&amp;"-"&amp;AA$2,"")&amp;IF(N(AB90)&gt;0,", "&amp;A90&amp;"-"&amp;AB$2,"")&amp;IF(N(AC90)&gt;0,", "&amp;A90&amp;"-"&amp;AC$2,"")&amp;IF(N(AD90)&gt;0,", "&amp;A90&amp;"-"&amp;AD$2,"")&amp;IF(N(AE90)&gt;0,", "&amp;A90&amp;"-"&amp;AE$2,"")&amp;IF(N(AF90)&gt;0,", "&amp;A90&amp;"-"&amp;AF$2,"")&amp;IF(N(AG90)&gt;0,", "&amp;A90&amp;"-"&amp;AG$2,"")&amp;IF(N(AH90)&gt;0,", "&amp;A90&amp;"-"&amp;AH$2,"")&amp;IF(N(AI90)&gt;0,", "&amp;A90&amp;"-"&amp;AI$2,"")&amp;IF(N(AJ90)&gt;0,", "&amp;A90&amp;"-"&amp;AJ$2,""),3,999))</f>
        <v/>
      </c>
      <c r="AN90" s="81"/>
      <c r="AO90" s="88"/>
      <c r="AP90" s="89" t="str">
        <f aca="false">IF(AO90="","",ROUND(AO90/(1+Справочники!$B$13),2))</f>
        <v/>
      </c>
      <c r="AQ90" s="90" t="str">
        <f aca="false" t="array" ref="AQ90:AQ90">IF(AP90="","",AP90*INDEX(Справочники!$B$4:$B$7,MATCH("RUB",Справочники!$A$4:$A$7,0)))</f>
        <v/>
      </c>
      <c r="AR90" s="90" t="str">
        <f aca="false">IF(AQ90="","",ROUND(AQ90*(1+Справочники!$B$12),0))</f>
        <v/>
      </c>
      <c r="AS90" s="90" t="str">
        <f aca="false">IF(AR90="","",ROUND(AR90*(1-Справочники!$B$11),0))</f>
        <v/>
      </c>
      <c r="AT90" s="88"/>
      <c r="AU90" s="90" t="str">
        <f aca="false">IF(AT90="","",ROUND(AT90/(1+Справочники!$B$12),0))</f>
        <v/>
      </c>
      <c r="AV90" s="90" t="str">
        <f aca="false">IF(AT90="","",ROUND(AT90*(1-Справочники!$B$15),0))</f>
        <v/>
      </c>
      <c r="AW90" s="90" t="str">
        <f aca="false">IF(AT90="","",ROUND(AT90*(1-Справочники!$B$16),0))</f>
        <v/>
      </c>
      <c r="AX90" s="90" t="str">
        <f aca="false">IF(AT90="","",ROUND(AT90*(1-Справочники!$B$17),0))</f>
        <v/>
      </c>
      <c r="AY90" s="90" t="str">
        <f aca="false">IF(AT90="","",ROUND(AT90*(1-Справочники!$B$18),0))</f>
        <v/>
      </c>
      <c r="AZ90" s="90" t="str">
        <f aca="false">IF(AT90="","",ROUND(AT90*(1-Справочники!$B$19),0))</f>
        <v/>
      </c>
      <c r="BA90" s="81"/>
      <c r="BB90" s="81"/>
      <c r="BC90" s="81"/>
      <c r="BD90" s="81"/>
      <c r="BE90" s="91"/>
      <c r="BF90" s="81" t="s">
        <v>103</v>
      </c>
      <c r="BG90" s="89" t="n">
        <f aca="false" t="array" ref="BG90:BG90">IF(BF90="","",IFERROR(INDEX(Справочники!$B$4:$B$7,MATCH(BF90,Справочники!$A$4:$A$7,0)),""))</f>
        <v>68.5</v>
      </c>
      <c r="BH90" s="90" t="str">
        <f aca="false">IF(N(BN90)&gt;0,ROUND(SUMIF(ЗАКАЗЫ!$F$3:$F$500,$A90,ЗАКАЗЫ!$Y$3:$Y$500)/BN90,0),IF(OR(BE90="",BG90=""),"",ROUND(BE90*BG90*(1+Справочники!$B$10),0)))</f>
        <v/>
      </c>
      <c r="BI90" s="92" t="str">
        <f aca="false">IF(OR(AU90="",BH90="",AU90=0),"",(AU90-BH90)/AU90)</f>
        <v/>
      </c>
      <c r="BJ90" s="81"/>
      <c r="BK90" s="83"/>
      <c r="BL90" s="43" t="str">
        <f aca="false">IFERROR(INDEX(ЗАКАЗЫ!$N$3:$N$500,MATCH($A90,ЗАКАЗЫ!$F$3:$F$500,0)),"")</f>
        <v/>
      </c>
      <c r="BM90" s="8" t="str">
        <f aca="false">IF(BL90="","",IFERROR(VLOOKUP(BL90,'ТН ВЭД'!$A$4:$C$40,3,0),""))</f>
        <v/>
      </c>
      <c r="BN90" s="7" t="str">
        <f aca="false">IF(COUNTIF(ЗАКАЗЫ!$F$3:$F$500,$A90)=0,"",SUMIF(ЗАКАЗЫ!$F$3:$F$500,$A90,ЗАКАЗЫ!$J$3:$J$500))</f>
        <v/>
      </c>
      <c r="BO90" s="7" t="str">
        <f aca="false">IF(BN90="","",SUMIF(ЗАКАЗЫ!$F$3:$F$500,$A90,ЗАКАЗЫ!$AL$3:$AL$500))</f>
        <v/>
      </c>
      <c r="BP90" s="7" t="str">
        <f aca="false">IF(BN90="","",BN90-BO90)</f>
        <v/>
      </c>
      <c r="BQ90" s="55" t="str">
        <f aca="false">IF(BN90="","",IF(BO90&gt;=BN90,"На складе",IF(BO90&gt;0,"Частично","Ждём")))</f>
        <v/>
      </c>
      <c r="BR90" s="43"/>
      <c r="BS90" s="47" t="str">
        <f aca="false">IF(BN90="","",IF(_xlfn.MAXIFS(ЗАКАЗЫ!$AK$3:$AK$500,ЗАКАЗЫ!$F$3:$F$500,$A90)=0,"",_xlfn.MAXIFS(ЗАКАЗЫ!$AK$3:$AK$500,ЗАКАЗЫ!$F$3:$F$500,$A90)))</f>
        <v/>
      </c>
    </row>
    <row r="91" customFormat="false" ht="15.75" hidden="false" customHeight="true" outlineLevel="0" collapsed="false">
      <c r="A91" s="80" t="s">
        <v>923</v>
      </c>
      <c r="B91" s="81"/>
      <c r="C91" s="81"/>
      <c r="D91" s="81"/>
      <c r="E91" s="83"/>
      <c r="F91" s="81"/>
      <c r="G91" s="83"/>
      <c r="H91" s="83"/>
      <c r="I91" s="84" t="str">
        <f aca="false">IF(E91="","",A91&amp;"_1.jpg")</f>
        <v/>
      </c>
      <c r="J91" s="84" t="str">
        <f aca="false">IF(E91="","",A91&amp;"_2.jpg; "&amp;A91&amp;"_3.jpg")</f>
        <v/>
      </c>
      <c r="K91" s="84" t="str">
        <f aca="false">IF(E91="","",A91&amp;"_schema.jpg")</f>
        <v/>
      </c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 t="s">
        <v>96</v>
      </c>
      <c r="W91" s="81"/>
      <c r="X91" s="81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6" t="str">
        <f aca="false">IF(SUM(Y91:AJ91)=0,"",SUM(Y91:AJ91))</f>
        <v/>
      </c>
      <c r="AL91" s="84" t="str">
        <f aca="false">MID(IF(N(Y91)&gt;0,", "&amp;Y$2,"")&amp;IF(N(Z91)&gt;0,", "&amp;Z$2,"")&amp;IF(N(AA91)&gt;0,", "&amp;AA$2,"")&amp;IF(N(AB91)&gt;0,", "&amp;AB$2,"")&amp;IF(N(AC91)&gt;0,", "&amp;AC$2,"")&amp;IF(N(AD91)&gt;0,", "&amp;AD$2,"")&amp;IF(N(AE91)&gt;0,", "&amp;AE$2,"")&amp;IF(N(AF91)&gt;0,", "&amp;AF$2,"")&amp;IF(N(AG91)&gt;0,", "&amp;AG$2,"")&amp;IF(N(AH91)&gt;0,", "&amp;AH$2,"")&amp;IF(N(AI91)&gt;0,", "&amp;AI$2,"")&amp;IF(N(AJ91)&gt;0,", "&amp;AJ$2,""),3,999)</f>
        <v/>
      </c>
      <c r="AM91" s="87" t="str">
        <f aca="false">IF(E91="","",MID(IF(N(Y91)&gt;0,", "&amp;A91&amp;"-"&amp;Y$2,"")&amp;IF(N(Z91)&gt;0,", "&amp;A91&amp;"-"&amp;Z$2,"")&amp;IF(N(AA91)&gt;0,", "&amp;A91&amp;"-"&amp;AA$2,"")&amp;IF(N(AB91)&gt;0,", "&amp;A91&amp;"-"&amp;AB$2,"")&amp;IF(N(AC91)&gt;0,", "&amp;A91&amp;"-"&amp;AC$2,"")&amp;IF(N(AD91)&gt;0,", "&amp;A91&amp;"-"&amp;AD$2,"")&amp;IF(N(AE91)&gt;0,", "&amp;A91&amp;"-"&amp;AE$2,"")&amp;IF(N(AF91)&gt;0,", "&amp;A91&amp;"-"&amp;AF$2,"")&amp;IF(N(AG91)&gt;0,", "&amp;A91&amp;"-"&amp;AG$2,"")&amp;IF(N(AH91)&gt;0,", "&amp;A91&amp;"-"&amp;AH$2,"")&amp;IF(N(AI91)&gt;0,", "&amp;A91&amp;"-"&amp;AI$2,"")&amp;IF(N(AJ91)&gt;0,", "&amp;A91&amp;"-"&amp;AJ$2,""),3,999))</f>
        <v/>
      </c>
      <c r="AN91" s="81"/>
      <c r="AO91" s="88"/>
      <c r="AP91" s="89" t="str">
        <f aca="false">IF(AO91="","",ROUND(AO91/(1+Справочники!$B$13),2))</f>
        <v/>
      </c>
      <c r="AQ91" s="90" t="str">
        <f aca="false" t="array" ref="AQ91:AQ91">IF(AP91="","",AP91*INDEX(Справочники!$B$4:$B$7,MATCH("RUB",Справочники!$A$4:$A$7,0)))</f>
        <v/>
      </c>
      <c r="AR91" s="90" t="str">
        <f aca="false">IF(AQ91="","",ROUND(AQ91*(1+Справочники!$B$12),0))</f>
        <v/>
      </c>
      <c r="AS91" s="90" t="str">
        <f aca="false">IF(AR91="","",ROUND(AR91*(1-Справочники!$B$11),0))</f>
        <v/>
      </c>
      <c r="AT91" s="88"/>
      <c r="AU91" s="90" t="str">
        <f aca="false">IF(AT91="","",ROUND(AT91/(1+Справочники!$B$12),0))</f>
        <v/>
      </c>
      <c r="AV91" s="90" t="str">
        <f aca="false">IF(AT91="","",ROUND(AT91*(1-Справочники!$B$15),0))</f>
        <v/>
      </c>
      <c r="AW91" s="90" t="str">
        <f aca="false">IF(AT91="","",ROUND(AT91*(1-Справочники!$B$16),0))</f>
        <v/>
      </c>
      <c r="AX91" s="90" t="str">
        <f aca="false">IF(AT91="","",ROUND(AT91*(1-Справочники!$B$17),0))</f>
        <v/>
      </c>
      <c r="AY91" s="90" t="str">
        <f aca="false">IF(AT91="","",ROUND(AT91*(1-Справочники!$B$18),0))</f>
        <v/>
      </c>
      <c r="AZ91" s="90" t="str">
        <f aca="false">IF(AT91="","",ROUND(AT91*(1-Справочники!$B$19),0))</f>
        <v/>
      </c>
      <c r="BA91" s="81"/>
      <c r="BB91" s="81"/>
      <c r="BC91" s="81"/>
      <c r="BD91" s="81"/>
      <c r="BE91" s="91"/>
      <c r="BF91" s="81" t="s">
        <v>103</v>
      </c>
      <c r="BG91" s="89" t="n">
        <f aca="false" t="array" ref="BG91:BG91">IF(BF91="","",IFERROR(INDEX(Справочники!$B$4:$B$7,MATCH(BF91,Справочники!$A$4:$A$7,0)),""))</f>
        <v>68.5</v>
      </c>
      <c r="BH91" s="90" t="str">
        <f aca="false">IF(N(BN91)&gt;0,ROUND(SUMIF(ЗАКАЗЫ!$F$3:$F$500,$A91,ЗАКАЗЫ!$Y$3:$Y$500)/BN91,0),IF(OR(BE91="",BG91=""),"",ROUND(BE91*BG91*(1+Справочники!$B$10),0)))</f>
        <v/>
      </c>
      <c r="BI91" s="92" t="str">
        <f aca="false">IF(OR(AU91="",BH91="",AU91=0),"",(AU91-BH91)/AU91)</f>
        <v/>
      </c>
      <c r="BJ91" s="81"/>
      <c r="BK91" s="83"/>
      <c r="BL91" s="43" t="str">
        <f aca="false">IFERROR(INDEX(ЗАКАЗЫ!$N$3:$N$500,MATCH($A91,ЗАКАЗЫ!$F$3:$F$500,0)),"")</f>
        <v/>
      </c>
      <c r="BM91" s="8" t="str">
        <f aca="false">IF(BL91="","",IFERROR(VLOOKUP(BL91,'ТН ВЭД'!$A$4:$C$40,3,0),""))</f>
        <v/>
      </c>
      <c r="BN91" s="7" t="str">
        <f aca="false">IF(COUNTIF(ЗАКАЗЫ!$F$3:$F$500,$A91)=0,"",SUMIF(ЗАКАЗЫ!$F$3:$F$500,$A91,ЗАКАЗЫ!$J$3:$J$500))</f>
        <v/>
      </c>
      <c r="BO91" s="7" t="str">
        <f aca="false">IF(BN91="","",SUMIF(ЗАКАЗЫ!$F$3:$F$500,$A91,ЗАКАЗЫ!$AL$3:$AL$500))</f>
        <v/>
      </c>
      <c r="BP91" s="7" t="str">
        <f aca="false">IF(BN91="","",BN91-BO91)</f>
        <v/>
      </c>
      <c r="BQ91" s="55" t="str">
        <f aca="false">IF(BN91="","",IF(BO91&gt;=BN91,"На складе",IF(BO91&gt;0,"Частично","Ждём")))</f>
        <v/>
      </c>
      <c r="BR91" s="43"/>
      <c r="BS91" s="47" t="str">
        <f aca="false">IF(BN91="","",IF(_xlfn.MAXIFS(ЗАКАЗЫ!$AK$3:$AK$500,ЗАКАЗЫ!$F$3:$F$500,$A91)=0,"",_xlfn.MAXIFS(ЗАКАЗЫ!$AK$3:$AK$500,ЗАКАЗЫ!$F$3:$F$500,$A91)))</f>
        <v/>
      </c>
    </row>
    <row r="92" customFormat="false" ht="15.75" hidden="false" customHeight="true" outlineLevel="0" collapsed="false">
      <c r="A92" s="80" t="s">
        <v>924</v>
      </c>
      <c r="B92" s="81"/>
      <c r="C92" s="81"/>
      <c r="D92" s="81"/>
      <c r="E92" s="83"/>
      <c r="F92" s="81"/>
      <c r="G92" s="83"/>
      <c r="H92" s="83"/>
      <c r="I92" s="84" t="str">
        <f aca="false">IF(E92="","",A92&amp;"_1.jpg")</f>
        <v/>
      </c>
      <c r="J92" s="84" t="str">
        <f aca="false">IF(E92="","",A92&amp;"_2.jpg; "&amp;A92&amp;"_3.jpg")</f>
        <v/>
      </c>
      <c r="K92" s="84" t="str">
        <f aca="false">IF(E92="","",A92&amp;"_schema.jpg")</f>
        <v/>
      </c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 t="s">
        <v>96</v>
      </c>
      <c r="W92" s="81"/>
      <c r="X92" s="81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6" t="str">
        <f aca="false">IF(SUM(Y92:AJ92)=0,"",SUM(Y92:AJ92))</f>
        <v/>
      </c>
      <c r="AL92" s="84" t="str">
        <f aca="false">MID(IF(N(Y92)&gt;0,", "&amp;Y$2,"")&amp;IF(N(Z92)&gt;0,", "&amp;Z$2,"")&amp;IF(N(AA92)&gt;0,", "&amp;AA$2,"")&amp;IF(N(AB92)&gt;0,", "&amp;AB$2,"")&amp;IF(N(AC92)&gt;0,", "&amp;AC$2,"")&amp;IF(N(AD92)&gt;0,", "&amp;AD$2,"")&amp;IF(N(AE92)&gt;0,", "&amp;AE$2,"")&amp;IF(N(AF92)&gt;0,", "&amp;AF$2,"")&amp;IF(N(AG92)&gt;0,", "&amp;AG$2,"")&amp;IF(N(AH92)&gt;0,", "&amp;AH$2,"")&amp;IF(N(AI92)&gt;0,", "&amp;AI$2,"")&amp;IF(N(AJ92)&gt;0,", "&amp;AJ$2,""),3,999)</f>
        <v/>
      </c>
      <c r="AM92" s="87" t="str">
        <f aca="false">IF(E92="","",MID(IF(N(Y92)&gt;0,", "&amp;A92&amp;"-"&amp;Y$2,"")&amp;IF(N(Z92)&gt;0,", "&amp;A92&amp;"-"&amp;Z$2,"")&amp;IF(N(AA92)&gt;0,", "&amp;A92&amp;"-"&amp;AA$2,"")&amp;IF(N(AB92)&gt;0,", "&amp;A92&amp;"-"&amp;AB$2,"")&amp;IF(N(AC92)&gt;0,", "&amp;A92&amp;"-"&amp;AC$2,"")&amp;IF(N(AD92)&gt;0,", "&amp;A92&amp;"-"&amp;AD$2,"")&amp;IF(N(AE92)&gt;0,", "&amp;A92&amp;"-"&amp;AE$2,"")&amp;IF(N(AF92)&gt;0,", "&amp;A92&amp;"-"&amp;AF$2,"")&amp;IF(N(AG92)&gt;0,", "&amp;A92&amp;"-"&amp;AG$2,"")&amp;IF(N(AH92)&gt;0,", "&amp;A92&amp;"-"&amp;AH$2,"")&amp;IF(N(AI92)&gt;0,", "&amp;A92&amp;"-"&amp;AI$2,"")&amp;IF(N(AJ92)&gt;0,", "&amp;A92&amp;"-"&amp;AJ$2,""),3,999))</f>
        <v/>
      </c>
      <c r="AN92" s="81"/>
      <c r="AO92" s="88"/>
      <c r="AP92" s="89" t="str">
        <f aca="false">IF(AO92="","",ROUND(AO92/(1+Справочники!$B$13),2))</f>
        <v/>
      </c>
      <c r="AQ92" s="90" t="str">
        <f aca="false" t="array" ref="AQ92:AQ92">IF(AP92="","",AP92*INDEX(Справочники!$B$4:$B$7,MATCH("RUB",Справочники!$A$4:$A$7,0)))</f>
        <v/>
      </c>
      <c r="AR92" s="90" t="str">
        <f aca="false">IF(AQ92="","",ROUND(AQ92*(1+Справочники!$B$12),0))</f>
        <v/>
      </c>
      <c r="AS92" s="90" t="str">
        <f aca="false">IF(AR92="","",ROUND(AR92*(1-Справочники!$B$11),0))</f>
        <v/>
      </c>
      <c r="AT92" s="88"/>
      <c r="AU92" s="90" t="str">
        <f aca="false">IF(AT92="","",ROUND(AT92/(1+Справочники!$B$12),0))</f>
        <v/>
      </c>
      <c r="AV92" s="90" t="str">
        <f aca="false">IF(AT92="","",ROUND(AT92*(1-Справочники!$B$15),0))</f>
        <v/>
      </c>
      <c r="AW92" s="90" t="str">
        <f aca="false">IF(AT92="","",ROUND(AT92*(1-Справочники!$B$16),0))</f>
        <v/>
      </c>
      <c r="AX92" s="90" t="str">
        <f aca="false">IF(AT92="","",ROUND(AT92*(1-Справочники!$B$17),0))</f>
        <v/>
      </c>
      <c r="AY92" s="90" t="str">
        <f aca="false">IF(AT92="","",ROUND(AT92*(1-Справочники!$B$18),0))</f>
        <v/>
      </c>
      <c r="AZ92" s="90" t="str">
        <f aca="false">IF(AT92="","",ROUND(AT92*(1-Справочники!$B$19),0))</f>
        <v/>
      </c>
      <c r="BA92" s="81"/>
      <c r="BB92" s="81"/>
      <c r="BC92" s="81"/>
      <c r="BD92" s="81"/>
      <c r="BE92" s="91"/>
      <c r="BF92" s="81" t="s">
        <v>103</v>
      </c>
      <c r="BG92" s="89" t="n">
        <f aca="false" t="array" ref="BG92:BG92">IF(BF92="","",IFERROR(INDEX(Справочники!$B$4:$B$7,MATCH(BF92,Справочники!$A$4:$A$7,0)),""))</f>
        <v>68.5</v>
      </c>
      <c r="BH92" s="90" t="str">
        <f aca="false">IF(N(BN92)&gt;0,ROUND(SUMIF(ЗАКАЗЫ!$F$3:$F$500,$A92,ЗАКАЗЫ!$Y$3:$Y$500)/BN92,0),IF(OR(BE92="",BG92=""),"",ROUND(BE92*BG92*(1+Справочники!$B$10),0)))</f>
        <v/>
      </c>
      <c r="BI92" s="92" t="str">
        <f aca="false">IF(OR(AU92="",BH92="",AU92=0),"",(AU92-BH92)/AU92)</f>
        <v/>
      </c>
      <c r="BJ92" s="81"/>
      <c r="BK92" s="83"/>
      <c r="BL92" s="43" t="str">
        <f aca="false">IFERROR(INDEX(ЗАКАЗЫ!$N$3:$N$500,MATCH($A92,ЗАКАЗЫ!$F$3:$F$500,0)),"")</f>
        <v/>
      </c>
      <c r="BM92" s="8" t="str">
        <f aca="false">IF(BL92="","",IFERROR(VLOOKUP(BL92,'ТН ВЭД'!$A$4:$C$40,3,0),""))</f>
        <v/>
      </c>
      <c r="BN92" s="7" t="str">
        <f aca="false">IF(COUNTIF(ЗАКАЗЫ!$F$3:$F$500,$A92)=0,"",SUMIF(ЗАКАЗЫ!$F$3:$F$500,$A92,ЗАКАЗЫ!$J$3:$J$500))</f>
        <v/>
      </c>
      <c r="BO92" s="7" t="str">
        <f aca="false">IF(BN92="","",SUMIF(ЗАКАЗЫ!$F$3:$F$500,$A92,ЗАКАЗЫ!$AL$3:$AL$500))</f>
        <v/>
      </c>
      <c r="BP92" s="7" t="str">
        <f aca="false">IF(BN92="","",BN92-BO92)</f>
        <v/>
      </c>
      <c r="BQ92" s="55" t="str">
        <f aca="false">IF(BN92="","",IF(BO92&gt;=BN92,"На складе",IF(BO92&gt;0,"Частично","Ждём")))</f>
        <v/>
      </c>
      <c r="BR92" s="43"/>
      <c r="BS92" s="47" t="str">
        <f aca="false">IF(BN92="","",IF(_xlfn.MAXIFS(ЗАКАЗЫ!$AK$3:$AK$500,ЗАКАЗЫ!$F$3:$F$500,$A92)=0,"",_xlfn.MAXIFS(ЗАКАЗЫ!$AK$3:$AK$500,ЗАКАЗЫ!$F$3:$F$500,$A92)))</f>
        <v/>
      </c>
    </row>
    <row r="93" customFormat="false" ht="15.75" hidden="false" customHeight="true" outlineLevel="0" collapsed="false">
      <c r="A93" s="80" t="s">
        <v>925</v>
      </c>
      <c r="B93" s="81"/>
      <c r="C93" s="81"/>
      <c r="D93" s="81"/>
      <c r="E93" s="83"/>
      <c r="F93" s="81"/>
      <c r="G93" s="83"/>
      <c r="H93" s="83"/>
      <c r="I93" s="84" t="str">
        <f aca="false">IF(E93="","",A93&amp;"_1.jpg")</f>
        <v/>
      </c>
      <c r="J93" s="84" t="str">
        <f aca="false">IF(E93="","",A93&amp;"_2.jpg; "&amp;A93&amp;"_3.jpg")</f>
        <v/>
      </c>
      <c r="K93" s="84" t="str">
        <f aca="false">IF(E93="","",A93&amp;"_schema.jpg")</f>
        <v/>
      </c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 t="s">
        <v>96</v>
      </c>
      <c r="W93" s="81"/>
      <c r="X93" s="81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6" t="str">
        <f aca="false">IF(SUM(Y93:AJ93)=0,"",SUM(Y93:AJ93))</f>
        <v/>
      </c>
      <c r="AL93" s="84" t="str">
        <f aca="false">MID(IF(N(Y93)&gt;0,", "&amp;Y$2,"")&amp;IF(N(Z93)&gt;0,", "&amp;Z$2,"")&amp;IF(N(AA93)&gt;0,", "&amp;AA$2,"")&amp;IF(N(AB93)&gt;0,", "&amp;AB$2,"")&amp;IF(N(AC93)&gt;0,", "&amp;AC$2,"")&amp;IF(N(AD93)&gt;0,", "&amp;AD$2,"")&amp;IF(N(AE93)&gt;0,", "&amp;AE$2,"")&amp;IF(N(AF93)&gt;0,", "&amp;AF$2,"")&amp;IF(N(AG93)&gt;0,", "&amp;AG$2,"")&amp;IF(N(AH93)&gt;0,", "&amp;AH$2,"")&amp;IF(N(AI93)&gt;0,", "&amp;AI$2,"")&amp;IF(N(AJ93)&gt;0,", "&amp;AJ$2,""),3,999)</f>
        <v/>
      </c>
      <c r="AM93" s="87" t="str">
        <f aca="false">IF(E93="","",MID(IF(N(Y93)&gt;0,", "&amp;A93&amp;"-"&amp;Y$2,"")&amp;IF(N(Z93)&gt;0,", "&amp;A93&amp;"-"&amp;Z$2,"")&amp;IF(N(AA93)&gt;0,", "&amp;A93&amp;"-"&amp;AA$2,"")&amp;IF(N(AB93)&gt;0,", "&amp;A93&amp;"-"&amp;AB$2,"")&amp;IF(N(AC93)&gt;0,", "&amp;A93&amp;"-"&amp;AC$2,"")&amp;IF(N(AD93)&gt;0,", "&amp;A93&amp;"-"&amp;AD$2,"")&amp;IF(N(AE93)&gt;0,", "&amp;A93&amp;"-"&amp;AE$2,"")&amp;IF(N(AF93)&gt;0,", "&amp;A93&amp;"-"&amp;AF$2,"")&amp;IF(N(AG93)&gt;0,", "&amp;A93&amp;"-"&amp;AG$2,"")&amp;IF(N(AH93)&gt;0,", "&amp;A93&amp;"-"&amp;AH$2,"")&amp;IF(N(AI93)&gt;0,", "&amp;A93&amp;"-"&amp;AI$2,"")&amp;IF(N(AJ93)&gt;0,", "&amp;A93&amp;"-"&amp;AJ$2,""),3,999))</f>
        <v/>
      </c>
      <c r="AN93" s="81"/>
      <c r="AO93" s="88"/>
      <c r="AP93" s="89" t="str">
        <f aca="false">IF(AO93="","",ROUND(AO93/(1+Справочники!$B$13),2))</f>
        <v/>
      </c>
      <c r="AQ93" s="90" t="str">
        <f aca="false" t="array" ref="AQ93:AQ93">IF(AP93="","",AP93*INDEX(Справочники!$B$4:$B$7,MATCH("RUB",Справочники!$A$4:$A$7,0)))</f>
        <v/>
      </c>
      <c r="AR93" s="90" t="str">
        <f aca="false">IF(AQ93="","",ROUND(AQ93*(1+Справочники!$B$12),0))</f>
        <v/>
      </c>
      <c r="AS93" s="90" t="str">
        <f aca="false">IF(AR93="","",ROUND(AR93*(1-Справочники!$B$11),0))</f>
        <v/>
      </c>
      <c r="AT93" s="88"/>
      <c r="AU93" s="90" t="str">
        <f aca="false">IF(AT93="","",ROUND(AT93/(1+Справочники!$B$12),0))</f>
        <v/>
      </c>
      <c r="AV93" s="90" t="str">
        <f aca="false">IF(AT93="","",ROUND(AT93*(1-Справочники!$B$15),0))</f>
        <v/>
      </c>
      <c r="AW93" s="90" t="str">
        <f aca="false">IF(AT93="","",ROUND(AT93*(1-Справочники!$B$16),0))</f>
        <v/>
      </c>
      <c r="AX93" s="90" t="str">
        <f aca="false">IF(AT93="","",ROUND(AT93*(1-Справочники!$B$17),0))</f>
        <v/>
      </c>
      <c r="AY93" s="90" t="str">
        <f aca="false">IF(AT93="","",ROUND(AT93*(1-Справочники!$B$18),0))</f>
        <v/>
      </c>
      <c r="AZ93" s="90" t="str">
        <f aca="false">IF(AT93="","",ROUND(AT93*(1-Справочники!$B$19),0))</f>
        <v/>
      </c>
      <c r="BA93" s="81"/>
      <c r="BB93" s="81"/>
      <c r="BC93" s="81"/>
      <c r="BD93" s="81"/>
      <c r="BE93" s="91"/>
      <c r="BF93" s="81" t="s">
        <v>103</v>
      </c>
      <c r="BG93" s="89" t="n">
        <f aca="false" t="array" ref="BG93:BG93">IF(BF93="","",IFERROR(INDEX(Справочники!$B$4:$B$7,MATCH(BF93,Справочники!$A$4:$A$7,0)),""))</f>
        <v>68.5</v>
      </c>
      <c r="BH93" s="90" t="str">
        <f aca="false">IF(N(BN93)&gt;0,ROUND(SUMIF(ЗАКАЗЫ!$F$3:$F$500,$A93,ЗАКАЗЫ!$Y$3:$Y$500)/BN93,0),IF(OR(BE93="",BG93=""),"",ROUND(BE93*BG93*(1+Справочники!$B$10),0)))</f>
        <v/>
      </c>
      <c r="BI93" s="92" t="str">
        <f aca="false">IF(OR(AU93="",BH93="",AU93=0),"",(AU93-BH93)/AU93)</f>
        <v/>
      </c>
      <c r="BJ93" s="81"/>
      <c r="BK93" s="83"/>
      <c r="BL93" s="43" t="str">
        <f aca="false">IFERROR(INDEX(ЗАКАЗЫ!$N$3:$N$500,MATCH($A93,ЗАКАЗЫ!$F$3:$F$500,0)),"")</f>
        <v/>
      </c>
      <c r="BM93" s="8" t="str">
        <f aca="false">IF(BL93="","",IFERROR(VLOOKUP(BL93,'ТН ВЭД'!$A$4:$C$40,3,0),""))</f>
        <v/>
      </c>
      <c r="BN93" s="7" t="str">
        <f aca="false">IF(COUNTIF(ЗАКАЗЫ!$F$3:$F$500,$A93)=0,"",SUMIF(ЗАКАЗЫ!$F$3:$F$500,$A93,ЗАКАЗЫ!$J$3:$J$500))</f>
        <v/>
      </c>
      <c r="BO93" s="7" t="str">
        <f aca="false">IF(BN93="","",SUMIF(ЗАКАЗЫ!$F$3:$F$500,$A93,ЗАКАЗЫ!$AL$3:$AL$500))</f>
        <v/>
      </c>
      <c r="BP93" s="7" t="str">
        <f aca="false">IF(BN93="","",BN93-BO93)</f>
        <v/>
      </c>
      <c r="BQ93" s="55" t="str">
        <f aca="false">IF(BN93="","",IF(BO93&gt;=BN93,"На складе",IF(BO93&gt;0,"Частично","Ждём")))</f>
        <v/>
      </c>
      <c r="BR93" s="43"/>
      <c r="BS93" s="47" t="str">
        <f aca="false">IF(BN93="","",IF(_xlfn.MAXIFS(ЗАКАЗЫ!$AK$3:$AK$500,ЗАКАЗЫ!$F$3:$F$500,$A93)=0,"",_xlfn.MAXIFS(ЗАКАЗЫ!$AK$3:$AK$500,ЗАКАЗЫ!$F$3:$F$500,$A93)))</f>
        <v/>
      </c>
    </row>
    <row r="94" customFormat="false" ht="15.75" hidden="false" customHeight="true" outlineLevel="0" collapsed="false">
      <c r="A94" s="80" t="s">
        <v>926</v>
      </c>
      <c r="B94" s="81"/>
      <c r="C94" s="81"/>
      <c r="D94" s="81"/>
      <c r="E94" s="83"/>
      <c r="F94" s="81"/>
      <c r="G94" s="83"/>
      <c r="H94" s="83"/>
      <c r="I94" s="84" t="str">
        <f aca="false">IF(E94="","",A94&amp;"_1.jpg")</f>
        <v/>
      </c>
      <c r="J94" s="84" t="str">
        <f aca="false">IF(E94="","",A94&amp;"_2.jpg; "&amp;A94&amp;"_3.jpg")</f>
        <v/>
      </c>
      <c r="K94" s="84" t="str">
        <f aca="false">IF(E94="","",A94&amp;"_schema.jpg")</f>
        <v/>
      </c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 t="s">
        <v>96</v>
      </c>
      <c r="W94" s="81"/>
      <c r="X94" s="81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6" t="str">
        <f aca="false">IF(SUM(Y94:AJ94)=0,"",SUM(Y94:AJ94))</f>
        <v/>
      </c>
      <c r="AL94" s="84" t="str">
        <f aca="false">MID(IF(N(Y94)&gt;0,", "&amp;Y$2,"")&amp;IF(N(Z94)&gt;0,", "&amp;Z$2,"")&amp;IF(N(AA94)&gt;0,", "&amp;AA$2,"")&amp;IF(N(AB94)&gt;0,", "&amp;AB$2,"")&amp;IF(N(AC94)&gt;0,", "&amp;AC$2,"")&amp;IF(N(AD94)&gt;0,", "&amp;AD$2,"")&amp;IF(N(AE94)&gt;0,", "&amp;AE$2,"")&amp;IF(N(AF94)&gt;0,", "&amp;AF$2,"")&amp;IF(N(AG94)&gt;0,", "&amp;AG$2,"")&amp;IF(N(AH94)&gt;0,", "&amp;AH$2,"")&amp;IF(N(AI94)&gt;0,", "&amp;AI$2,"")&amp;IF(N(AJ94)&gt;0,", "&amp;AJ$2,""),3,999)</f>
        <v/>
      </c>
      <c r="AM94" s="87" t="str">
        <f aca="false">IF(E94="","",MID(IF(N(Y94)&gt;0,", "&amp;A94&amp;"-"&amp;Y$2,"")&amp;IF(N(Z94)&gt;0,", "&amp;A94&amp;"-"&amp;Z$2,"")&amp;IF(N(AA94)&gt;0,", "&amp;A94&amp;"-"&amp;AA$2,"")&amp;IF(N(AB94)&gt;0,", "&amp;A94&amp;"-"&amp;AB$2,"")&amp;IF(N(AC94)&gt;0,", "&amp;A94&amp;"-"&amp;AC$2,"")&amp;IF(N(AD94)&gt;0,", "&amp;A94&amp;"-"&amp;AD$2,"")&amp;IF(N(AE94)&gt;0,", "&amp;A94&amp;"-"&amp;AE$2,"")&amp;IF(N(AF94)&gt;0,", "&amp;A94&amp;"-"&amp;AF$2,"")&amp;IF(N(AG94)&gt;0,", "&amp;A94&amp;"-"&amp;AG$2,"")&amp;IF(N(AH94)&gt;0,", "&amp;A94&amp;"-"&amp;AH$2,"")&amp;IF(N(AI94)&gt;0,", "&amp;A94&amp;"-"&amp;AI$2,"")&amp;IF(N(AJ94)&gt;0,", "&amp;A94&amp;"-"&amp;AJ$2,""),3,999))</f>
        <v/>
      </c>
      <c r="AN94" s="81"/>
      <c r="AO94" s="88"/>
      <c r="AP94" s="89" t="str">
        <f aca="false">IF(AO94="","",ROUND(AO94/(1+Справочники!$B$13),2))</f>
        <v/>
      </c>
      <c r="AQ94" s="90" t="str">
        <f aca="false" t="array" ref="AQ94:AQ94">IF(AP94="","",AP94*INDEX(Справочники!$B$4:$B$7,MATCH("RUB",Справочники!$A$4:$A$7,0)))</f>
        <v/>
      </c>
      <c r="AR94" s="90" t="str">
        <f aca="false">IF(AQ94="","",ROUND(AQ94*(1+Справочники!$B$12),0))</f>
        <v/>
      </c>
      <c r="AS94" s="90" t="str">
        <f aca="false">IF(AR94="","",ROUND(AR94*(1-Справочники!$B$11),0))</f>
        <v/>
      </c>
      <c r="AT94" s="88"/>
      <c r="AU94" s="90" t="str">
        <f aca="false">IF(AT94="","",ROUND(AT94/(1+Справочники!$B$12),0))</f>
        <v/>
      </c>
      <c r="AV94" s="90" t="str">
        <f aca="false">IF(AT94="","",ROUND(AT94*(1-Справочники!$B$15),0))</f>
        <v/>
      </c>
      <c r="AW94" s="90" t="str">
        <f aca="false">IF(AT94="","",ROUND(AT94*(1-Справочники!$B$16),0))</f>
        <v/>
      </c>
      <c r="AX94" s="90" t="str">
        <f aca="false">IF(AT94="","",ROUND(AT94*(1-Справочники!$B$17),0))</f>
        <v/>
      </c>
      <c r="AY94" s="90" t="str">
        <f aca="false">IF(AT94="","",ROUND(AT94*(1-Справочники!$B$18),0))</f>
        <v/>
      </c>
      <c r="AZ94" s="90" t="str">
        <f aca="false">IF(AT94="","",ROUND(AT94*(1-Справочники!$B$19),0))</f>
        <v/>
      </c>
      <c r="BA94" s="81"/>
      <c r="BB94" s="81"/>
      <c r="BC94" s="81"/>
      <c r="BD94" s="81"/>
      <c r="BE94" s="91"/>
      <c r="BF94" s="81" t="s">
        <v>103</v>
      </c>
      <c r="BG94" s="89" t="n">
        <f aca="false" t="array" ref="BG94:BG94">IF(BF94="","",IFERROR(INDEX(Справочники!$B$4:$B$7,MATCH(BF94,Справочники!$A$4:$A$7,0)),""))</f>
        <v>68.5</v>
      </c>
      <c r="BH94" s="90" t="str">
        <f aca="false">IF(N(BN94)&gt;0,ROUND(SUMIF(ЗАКАЗЫ!$F$3:$F$500,$A94,ЗАКАЗЫ!$Y$3:$Y$500)/BN94,0),IF(OR(BE94="",BG94=""),"",ROUND(BE94*BG94*(1+Справочники!$B$10),0)))</f>
        <v/>
      </c>
      <c r="BI94" s="92" t="str">
        <f aca="false">IF(OR(AU94="",BH94="",AU94=0),"",(AU94-BH94)/AU94)</f>
        <v/>
      </c>
      <c r="BJ94" s="81"/>
      <c r="BK94" s="83"/>
      <c r="BL94" s="43" t="str">
        <f aca="false">IFERROR(INDEX(ЗАКАЗЫ!$N$3:$N$500,MATCH($A94,ЗАКАЗЫ!$F$3:$F$500,0)),"")</f>
        <v/>
      </c>
      <c r="BM94" s="8" t="str">
        <f aca="false">IF(BL94="","",IFERROR(VLOOKUP(BL94,'ТН ВЭД'!$A$4:$C$40,3,0),""))</f>
        <v/>
      </c>
      <c r="BN94" s="7" t="str">
        <f aca="false">IF(COUNTIF(ЗАКАЗЫ!$F$3:$F$500,$A94)=0,"",SUMIF(ЗАКАЗЫ!$F$3:$F$500,$A94,ЗАКАЗЫ!$J$3:$J$500))</f>
        <v/>
      </c>
      <c r="BO94" s="7" t="str">
        <f aca="false">IF(BN94="","",SUMIF(ЗАКАЗЫ!$F$3:$F$500,$A94,ЗАКАЗЫ!$AL$3:$AL$500))</f>
        <v/>
      </c>
      <c r="BP94" s="7" t="str">
        <f aca="false">IF(BN94="","",BN94-BO94)</f>
        <v/>
      </c>
      <c r="BQ94" s="55" t="str">
        <f aca="false">IF(BN94="","",IF(BO94&gt;=BN94,"На складе",IF(BO94&gt;0,"Частично","Ждём")))</f>
        <v/>
      </c>
      <c r="BR94" s="43"/>
      <c r="BS94" s="47" t="str">
        <f aca="false">IF(BN94="","",IF(_xlfn.MAXIFS(ЗАКАЗЫ!$AK$3:$AK$500,ЗАКАЗЫ!$F$3:$F$500,$A94)=0,"",_xlfn.MAXIFS(ЗАКАЗЫ!$AK$3:$AK$500,ЗАКАЗЫ!$F$3:$F$500,$A94)))</f>
        <v/>
      </c>
    </row>
    <row r="95" customFormat="false" ht="15.75" hidden="false" customHeight="true" outlineLevel="0" collapsed="false">
      <c r="A95" s="80" t="s">
        <v>927</v>
      </c>
      <c r="B95" s="81"/>
      <c r="C95" s="81"/>
      <c r="D95" s="81"/>
      <c r="E95" s="83"/>
      <c r="F95" s="81"/>
      <c r="G95" s="83"/>
      <c r="H95" s="83"/>
      <c r="I95" s="84" t="str">
        <f aca="false">IF(E95="","",A95&amp;"_1.jpg")</f>
        <v/>
      </c>
      <c r="J95" s="84" t="str">
        <f aca="false">IF(E95="","",A95&amp;"_2.jpg; "&amp;A95&amp;"_3.jpg")</f>
        <v/>
      </c>
      <c r="K95" s="84" t="str">
        <f aca="false">IF(E95="","",A95&amp;"_schema.jpg")</f>
        <v/>
      </c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 t="s">
        <v>96</v>
      </c>
      <c r="W95" s="81"/>
      <c r="X95" s="81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6" t="str">
        <f aca="false">IF(SUM(Y95:AJ95)=0,"",SUM(Y95:AJ95))</f>
        <v/>
      </c>
      <c r="AL95" s="84" t="str">
        <f aca="false">MID(IF(N(Y95)&gt;0,", "&amp;Y$2,"")&amp;IF(N(Z95)&gt;0,", "&amp;Z$2,"")&amp;IF(N(AA95)&gt;0,", "&amp;AA$2,"")&amp;IF(N(AB95)&gt;0,", "&amp;AB$2,"")&amp;IF(N(AC95)&gt;0,", "&amp;AC$2,"")&amp;IF(N(AD95)&gt;0,", "&amp;AD$2,"")&amp;IF(N(AE95)&gt;0,", "&amp;AE$2,"")&amp;IF(N(AF95)&gt;0,", "&amp;AF$2,"")&amp;IF(N(AG95)&gt;0,", "&amp;AG$2,"")&amp;IF(N(AH95)&gt;0,", "&amp;AH$2,"")&amp;IF(N(AI95)&gt;0,", "&amp;AI$2,"")&amp;IF(N(AJ95)&gt;0,", "&amp;AJ$2,""),3,999)</f>
        <v/>
      </c>
      <c r="AM95" s="87" t="str">
        <f aca="false">IF(E95="","",MID(IF(N(Y95)&gt;0,", "&amp;A95&amp;"-"&amp;Y$2,"")&amp;IF(N(Z95)&gt;0,", "&amp;A95&amp;"-"&amp;Z$2,"")&amp;IF(N(AA95)&gt;0,", "&amp;A95&amp;"-"&amp;AA$2,"")&amp;IF(N(AB95)&gt;0,", "&amp;A95&amp;"-"&amp;AB$2,"")&amp;IF(N(AC95)&gt;0,", "&amp;A95&amp;"-"&amp;AC$2,"")&amp;IF(N(AD95)&gt;0,", "&amp;A95&amp;"-"&amp;AD$2,"")&amp;IF(N(AE95)&gt;0,", "&amp;A95&amp;"-"&amp;AE$2,"")&amp;IF(N(AF95)&gt;0,", "&amp;A95&amp;"-"&amp;AF$2,"")&amp;IF(N(AG95)&gt;0,", "&amp;A95&amp;"-"&amp;AG$2,"")&amp;IF(N(AH95)&gt;0,", "&amp;A95&amp;"-"&amp;AH$2,"")&amp;IF(N(AI95)&gt;0,", "&amp;A95&amp;"-"&amp;AI$2,"")&amp;IF(N(AJ95)&gt;0,", "&amp;A95&amp;"-"&amp;AJ$2,""),3,999))</f>
        <v/>
      </c>
      <c r="AN95" s="81"/>
      <c r="AO95" s="88"/>
      <c r="AP95" s="89" t="str">
        <f aca="false">IF(AO95="","",ROUND(AO95/(1+Справочники!$B$13),2))</f>
        <v/>
      </c>
      <c r="AQ95" s="90" t="str">
        <f aca="false" t="array" ref="AQ95:AQ95">IF(AP95="","",AP95*INDEX(Справочники!$B$4:$B$7,MATCH("RUB",Справочники!$A$4:$A$7,0)))</f>
        <v/>
      </c>
      <c r="AR95" s="90" t="str">
        <f aca="false">IF(AQ95="","",ROUND(AQ95*(1+Справочники!$B$12),0))</f>
        <v/>
      </c>
      <c r="AS95" s="90" t="str">
        <f aca="false">IF(AR95="","",ROUND(AR95*(1-Справочники!$B$11),0))</f>
        <v/>
      </c>
      <c r="AT95" s="88"/>
      <c r="AU95" s="90" t="str">
        <f aca="false">IF(AT95="","",ROUND(AT95/(1+Справочники!$B$12),0))</f>
        <v/>
      </c>
      <c r="AV95" s="90" t="str">
        <f aca="false">IF(AT95="","",ROUND(AT95*(1-Справочники!$B$15),0))</f>
        <v/>
      </c>
      <c r="AW95" s="90" t="str">
        <f aca="false">IF(AT95="","",ROUND(AT95*(1-Справочники!$B$16),0))</f>
        <v/>
      </c>
      <c r="AX95" s="90" t="str">
        <f aca="false">IF(AT95="","",ROUND(AT95*(1-Справочники!$B$17),0))</f>
        <v/>
      </c>
      <c r="AY95" s="90" t="str">
        <f aca="false">IF(AT95="","",ROUND(AT95*(1-Справочники!$B$18),0))</f>
        <v/>
      </c>
      <c r="AZ95" s="90" t="str">
        <f aca="false">IF(AT95="","",ROUND(AT95*(1-Справочники!$B$19),0))</f>
        <v/>
      </c>
      <c r="BA95" s="81"/>
      <c r="BB95" s="81"/>
      <c r="BC95" s="81"/>
      <c r="BD95" s="81"/>
      <c r="BE95" s="91"/>
      <c r="BF95" s="81" t="s">
        <v>103</v>
      </c>
      <c r="BG95" s="89" t="n">
        <f aca="false" t="array" ref="BG95:BG95">IF(BF95="","",IFERROR(INDEX(Справочники!$B$4:$B$7,MATCH(BF95,Справочники!$A$4:$A$7,0)),""))</f>
        <v>68.5</v>
      </c>
      <c r="BH95" s="90" t="str">
        <f aca="false">IF(N(BN95)&gt;0,ROUND(SUMIF(ЗАКАЗЫ!$F$3:$F$500,$A95,ЗАКАЗЫ!$Y$3:$Y$500)/BN95,0),IF(OR(BE95="",BG95=""),"",ROUND(BE95*BG95*(1+Справочники!$B$10),0)))</f>
        <v/>
      </c>
      <c r="BI95" s="92" t="str">
        <f aca="false">IF(OR(AU95="",BH95="",AU95=0),"",(AU95-BH95)/AU95)</f>
        <v/>
      </c>
      <c r="BJ95" s="81"/>
      <c r="BK95" s="83"/>
      <c r="BL95" s="43" t="str">
        <f aca="false">IFERROR(INDEX(ЗАКАЗЫ!$N$3:$N$500,MATCH($A95,ЗАКАЗЫ!$F$3:$F$500,0)),"")</f>
        <v/>
      </c>
      <c r="BM95" s="8" t="str">
        <f aca="false">IF(BL95="","",IFERROR(VLOOKUP(BL95,'ТН ВЭД'!$A$4:$C$40,3,0),""))</f>
        <v/>
      </c>
      <c r="BN95" s="7" t="str">
        <f aca="false">IF(COUNTIF(ЗАКАЗЫ!$F$3:$F$500,$A95)=0,"",SUMIF(ЗАКАЗЫ!$F$3:$F$500,$A95,ЗАКАЗЫ!$J$3:$J$500))</f>
        <v/>
      </c>
      <c r="BO95" s="7" t="str">
        <f aca="false">IF(BN95="","",SUMIF(ЗАКАЗЫ!$F$3:$F$500,$A95,ЗАКАЗЫ!$AL$3:$AL$500))</f>
        <v/>
      </c>
      <c r="BP95" s="7" t="str">
        <f aca="false">IF(BN95="","",BN95-BO95)</f>
        <v/>
      </c>
      <c r="BQ95" s="55" t="str">
        <f aca="false">IF(BN95="","",IF(BO95&gt;=BN95,"На складе",IF(BO95&gt;0,"Частично","Ждём")))</f>
        <v/>
      </c>
      <c r="BR95" s="43"/>
      <c r="BS95" s="47" t="str">
        <f aca="false">IF(BN95="","",IF(_xlfn.MAXIFS(ЗАКАЗЫ!$AK$3:$AK$500,ЗАКАЗЫ!$F$3:$F$500,$A95)=0,"",_xlfn.MAXIFS(ЗАКАЗЫ!$AK$3:$AK$500,ЗАКАЗЫ!$F$3:$F$500,$A95)))</f>
        <v/>
      </c>
    </row>
    <row r="96" customFormat="false" ht="15.75" hidden="false" customHeight="true" outlineLevel="0" collapsed="false">
      <c r="A96" s="80" t="s">
        <v>928</v>
      </c>
      <c r="B96" s="81"/>
      <c r="C96" s="81"/>
      <c r="D96" s="81"/>
      <c r="E96" s="83"/>
      <c r="F96" s="81"/>
      <c r="G96" s="83"/>
      <c r="H96" s="83"/>
      <c r="I96" s="84" t="str">
        <f aca="false">IF(E96="","",A96&amp;"_1.jpg")</f>
        <v/>
      </c>
      <c r="J96" s="84" t="str">
        <f aca="false">IF(E96="","",A96&amp;"_2.jpg; "&amp;A96&amp;"_3.jpg")</f>
        <v/>
      </c>
      <c r="K96" s="84" t="str">
        <f aca="false">IF(E96="","",A96&amp;"_schema.jpg")</f>
        <v/>
      </c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 t="s">
        <v>96</v>
      </c>
      <c r="W96" s="81"/>
      <c r="X96" s="81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6" t="str">
        <f aca="false">IF(SUM(Y96:AJ96)=0,"",SUM(Y96:AJ96))</f>
        <v/>
      </c>
      <c r="AL96" s="84" t="str">
        <f aca="false">MID(IF(N(Y96)&gt;0,", "&amp;Y$2,"")&amp;IF(N(Z96)&gt;0,", "&amp;Z$2,"")&amp;IF(N(AA96)&gt;0,", "&amp;AA$2,"")&amp;IF(N(AB96)&gt;0,", "&amp;AB$2,"")&amp;IF(N(AC96)&gt;0,", "&amp;AC$2,"")&amp;IF(N(AD96)&gt;0,", "&amp;AD$2,"")&amp;IF(N(AE96)&gt;0,", "&amp;AE$2,"")&amp;IF(N(AF96)&gt;0,", "&amp;AF$2,"")&amp;IF(N(AG96)&gt;0,", "&amp;AG$2,"")&amp;IF(N(AH96)&gt;0,", "&amp;AH$2,"")&amp;IF(N(AI96)&gt;0,", "&amp;AI$2,"")&amp;IF(N(AJ96)&gt;0,", "&amp;AJ$2,""),3,999)</f>
        <v/>
      </c>
      <c r="AM96" s="87" t="str">
        <f aca="false">IF(E96="","",MID(IF(N(Y96)&gt;0,", "&amp;A96&amp;"-"&amp;Y$2,"")&amp;IF(N(Z96)&gt;0,", "&amp;A96&amp;"-"&amp;Z$2,"")&amp;IF(N(AA96)&gt;0,", "&amp;A96&amp;"-"&amp;AA$2,"")&amp;IF(N(AB96)&gt;0,", "&amp;A96&amp;"-"&amp;AB$2,"")&amp;IF(N(AC96)&gt;0,", "&amp;A96&amp;"-"&amp;AC$2,"")&amp;IF(N(AD96)&gt;0,", "&amp;A96&amp;"-"&amp;AD$2,"")&amp;IF(N(AE96)&gt;0,", "&amp;A96&amp;"-"&amp;AE$2,"")&amp;IF(N(AF96)&gt;0,", "&amp;A96&amp;"-"&amp;AF$2,"")&amp;IF(N(AG96)&gt;0,", "&amp;A96&amp;"-"&amp;AG$2,"")&amp;IF(N(AH96)&gt;0,", "&amp;A96&amp;"-"&amp;AH$2,"")&amp;IF(N(AI96)&gt;0,", "&amp;A96&amp;"-"&amp;AI$2,"")&amp;IF(N(AJ96)&gt;0,", "&amp;A96&amp;"-"&amp;AJ$2,""),3,999))</f>
        <v/>
      </c>
      <c r="AN96" s="81"/>
      <c r="AO96" s="88"/>
      <c r="AP96" s="89" t="str">
        <f aca="false">IF(AO96="","",ROUND(AO96/(1+Справочники!$B$13),2))</f>
        <v/>
      </c>
      <c r="AQ96" s="90" t="str">
        <f aca="false" t="array" ref="AQ96:AQ96">IF(AP96="","",AP96*INDEX(Справочники!$B$4:$B$7,MATCH("RUB",Справочники!$A$4:$A$7,0)))</f>
        <v/>
      </c>
      <c r="AR96" s="90" t="str">
        <f aca="false">IF(AQ96="","",ROUND(AQ96*(1+Справочники!$B$12),0))</f>
        <v/>
      </c>
      <c r="AS96" s="90" t="str">
        <f aca="false">IF(AR96="","",ROUND(AR96*(1-Справочники!$B$11),0))</f>
        <v/>
      </c>
      <c r="AT96" s="88"/>
      <c r="AU96" s="90" t="str">
        <f aca="false">IF(AT96="","",ROUND(AT96/(1+Справочники!$B$12),0))</f>
        <v/>
      </c>
      <c r="AV96" s="90" t="str">
        <f aca="false">IF(AT96="","",ROUND(AT96*(1-Справочники!$B$15),0))</f>
        <v/>
      </c>
      <c r="AW96" s="90" t="str">
        <f aca="false">IF(AT96="","",ROUND(AT96*(1-Справочники!$B$16),0))</f>
        <v/>
      </c>
      <c r="AX96" s="90" t="str">
        <f aca="false">IF(AT96="","",ROUND(AT96*(1-Справочники!$B$17),0))</f>
        <v/>
      </c>
      <c r="AY96" s="90" t="str">
        <f aca="false">IF(AT96="","",ROUND(AT96*(1-Справочники!$B$18),0))</f>
        <v/>
      </c>
      <c r="AZ96" s="90" t="str">
        <f aca="false">IF(AT96="","",ROUND(AT96*(1-Справочники!$B$19),0))</f>
        <v/>
      </c>
      <c r="BA96" s="81"/>
      <c r="BB96" s="81"/>
      <c r="BC96" s="81"/>
      <c r="BD96" s="81"/>
      <c r="BE96" s="91"/>
      <c r="BF96" s="81" t="s">
        <v>103</v>
      </c>
      <c r="BG96" s="89" t="n">
        <f aca="false" t="array" ref="BG96:BG96">IF(BF96="","",IFERROR(INDEX(Справочники!$B$4:$B$7,MATCH(BF96,Справочники!$A$4:$A$7,0)),""))</f>
        <v>68.5</v>
      </c>
      <c r="BH96" s="90" t="str">
        <f aca="false">IF(N(BN96)&gt;0,ROUND(SUMIF(ЗАКАЗЫ!$F$3:$F$500,$A96,ЗАКАЗЫ!$Y$3:$Y$500)/BN96,0),IF(OR(BE96="",BG96=""),"",ROUND(BE96*BG96*(1+Справочники!$B$10),0)))</f>
        <v/>
      </c>
      <c r="BI96" s="92" t="str">
        <f aca="false">IF(OR(AU96="",BH96="",AU96=0),"",(AU96-BH96)/AU96)</f>
        <v/>
      </c>
      <c r="BJ96" s="81"/>
      <c r="BK96" s="83"/>
      <c r="BL96" s="43" t="str">
        <f aca="false">IFERROR(INDEX(ЗАКАЗЫ!$N$3:$N$500,MATCH($A96,ЗАКАЗЫ!$F$3:$F$500,0)),"")</f>
        <v/>
      </c>
      <c r="BM96" s="8" t="str">
        <f aca="false">IF(BL96="","",IFERROR(VLOOKUP(BL96,'ТН ВЭД'!$A$4:$C$40,3,0),""))</f>
        <v/>
      </c>
      <c r="BN96" s="7" t="str">
        <f aca="false">IF(COUNTIF(ЗАКАЗЫ!$F$3:$F$500,$A96)=0,"",SUMIF(ЗАКАЗЫ!$F$3:$F$500,$A96,ЗАКАЗЫ!$J$3:$J$500))</f>
        <v/>
      </c>
      <c r="BO96" s="7" t="str">
        <f aca="false">IF(BN96="","",SUMIF(ЗАКАЗЫ!$F$3:$F$500,$A96,ЗАКАЗЫ!$AL$3:$AL$500))</f>
        <v/>
      </c>
      <c r="BP96" s="7" t="str">
        <f aca="false">IF(BN96="","",BN96-BO96)</f>
        <v/>
      </c>
      <c r="BQ96" s="55" t="str">
        <f aca="false">IF(BN96="","",IF(BO96&gt;=BN96,"На складе",IF(BO96&gt;0,"Частично","Ждём")))</f>
        <v/>
      </c>
      <c r="BR96" s="43"/>
      <c r="BS96" s="47" t="str">
        <f aca="false">IF(BN96="","",IF(_xlfn.MAXIFS(ЗАКАЗЫ!$AK$3:$AK$500,ЗАКАЗЫ!$F$3:$F$500,$A96)=0,"",_xlfn.MAXIFS(ЗАКАЗЫ!$AK$3:$AK$500,ЗАКАЗЫ!$F$3:$F$500,$A96)))</f>
        <v/>
      </c>
    </row>
    <row r="97" customFormat="false" ht="15.75" hidden="false" customHeight="true" outlineLevel="0" collapsed="false">
      <c r="A97" s="80" t="s">
        <v>929</v>
      </c>
      <c r="B97" s="81"/>
      <c r="C97" s="81"/>
      <c r="D97" s="81"/>
      <c r="E97" s="83"/>
      <c r="F97" s="81"/>
      <c r="G97" s="83"/>
      <c r="H97" s="83"/>
      <c r="I97" s="84" t="str">
        <f aca="false">IF(E97="","",A97&amp;"_1.jpg")</f>
        <v/>
      </c>
      <c r="J97" s="84" t="str">
        <f aca="false">IF(E97="","",A97&amp;"_2.jpg; "&amp;A97&amp;"_3.jpg")</f>
        <v/>
      </c>
      <c r="K97" s="84" t="str">
        <f aca="false">IF(E97="","",A97&amp;"_schema.jpg")</f>
        <v/>
      </c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 t="s">
        <v>96</v>
      </c>
      <c r="W97" s="81"/>
      <c r="X97" s="81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6" t="str">
        <f aca="false">IF(SUM(Y97:AJ97)=0,"",SUM(Y97:AJ97))</f>
        <v/>
      </c>
      <c r="AL97" s="84" t="str">
        <f aca="false">MID(IF(N(Y97)&gt;0,", "&amp;Y$2,"")&amp;IF(N(Z97)&gt;0,", "&amp;Z$2,"")&amp;IF(N(AA97)&gt;0,", "&amp;AA$2,"")&amp;IF(N(AB97)&gt;0,", "&amp;AB$2,"")&amp;IF(N(AC97)&gt;0,", "&amp;AC$2,"")&amp;IF(N(AD97)&gt;0,", "&amp;AD$2,"")&amp;IF(N(AE97)&gt;0,", "&amp;AE$2,"")&amp;IF(N(AF97)&gt;0,", "&amp;AF$2,"")&amp;IF(N(AG97)&gt;0,", "&amp;AG$2,"")&amp;IF(N(AH97)&gt;0,", "&amp;AH$2,"")&amp;IF(N(AI97)&gt;0,", "&amp;AI$2,"")&amp;IF(N(AJ97)&gt;0,", "&amp;AJ$2,""),3,999)</f>
        <v/>
      </c>
      <c r="AM97" s="87" t="str">
        <f aca="false">IF(E97="","",MID(IF(N(Y97)&gt;0,", "&amp;A97&amp;"-"&amp;Y$2,"")&amp;IF(N(Z97)&gt;0,", "&amp;A97&amp;"-"&amp;Z$2,"")&amp;IF(N(AA97)&gt;0,", "&amp;A97&amp;"-"&amp;AA$2,"")&amp;IF(N(AB97)&gt;0,", "&amp;A97&amp;"-"&amp;AB$2,"")&amp;IF(N(AC97)&gt;0,", "&amp;A97&amp;"-"&amp;AC$2,"")&amp;IF(N(AD97)&gt;0,", "&amp;A97&amp;"-"&amp;AD$2,"")&amp;IF(N(AE97)&gt;0,", "&amp;A97&amp;"-"&amp;AE$2,"")&amp;IF(N(AF97)&gt;0,", "&amp;A97&amp;"-"&amp;AF$2,"")&amp;IF(N(AG97)&gt;0,", "&amp;A97&amp;"-"&amp;AG$2,"")&amp;IF(N(AH97)&gt;0,", "&amp;A97&amp;"-"&amp;AH$2,"")&amp;IF(N(AI97)&gt;0,", "&amp;A97&amp;"-"&amp;AI$2,"")&amp;IF(N(AJ97)&gt;0,", "&amp;A97&amp;"-"&amp;AJ$2,""),3,999))</f>
        <v/>
      </c>
      <c r="AN97" s="81"/>
      <c r="AO97" s="88"/>
      <c r="AP97" s="89" t="str">
        <f aca="false">IF(AO97="","",ROUND(AO97/(1+Справочники!$B$13),2))</f>
        <v/>
      </c>
      <c r="AQ97" s="90" t="str">
        <f aca="false" t="array" ref="AQ97:AQ97">IF(AP97="","",AP97*INDEX(Справочники!$B$4:$B$7,MATCH("RUB",Справочники!$A$4:$A$7,0)))</f>
        <v/>
      </c>
      <c r="AR97" s="90" t="str">
        <f aca="false">IF(AQ97="","",ROUND(AQ97*(1+Справочники!$B$12),0))</f>
        <v/>
      </c>
      <c r="AS97" s="90" t="str">
        <f aca="false">IF(AR97="","",ROUND(AR97*(1-Справочники!$B$11),0))</f>
        <v/>
      </c>
      <c r="AT97" s="88"/>
      <c r="AU97" s="90" t="str">
        <f aca="false">IF(AT97="","",ROUND(AT97/(1+Справочники!$B$12),0))</f>
        <v/>
      </c>
      <c r="AV97" s="90" t="str">
        <f aca="false">IF(AT97="","",ROUND(AT97*(1-Справочники!$B$15),0))</f>
        <v/>
      </c>
      <c r="AW97" s="90" t="str">
        <f aca="false">IF(AT97="","",ROUND(AT97*(1-Справочники!$B$16),0))</f>
        <v/>
      </c>
      <c r="AX97" s="90" t="str">
        <f aca="false">IF(AT97="","",ROUND(AT97*(1-Справочники!$B$17),0))</f>
        <v/>
      </c>
      <c r="AY97" s="90" t="str">
        <f aca="false">IF(AT97="","",ROUND(AT97*(1-Справочники!$B$18),0))</f>
        <v/>
      </c>
      <c r="AZ97" s="90" t="str">
        <f aca="false">IF(AT97="","",ROUND(AT97*(1-Справочники!$B$19),0))</f>
        <v/>
      </c>
      <c r="BA97" s="81"/>
      <c r="BB97" s="81"/>
      <c r="BC97" s="81"/>
      <c r="BD97" s="81"/>
      <c r="BE97" s="91"/>
      <c r="BF97" s="81" t="s">
        <v>103</v>
      </c>
      <c r="BG97" s="89" t="n">
        <f aca="false" t="array" ref="BG97:BG97">IF(BF97="","",IFERROR(INDEX(Справочники!$B$4:$B$7,MATCH(BF97,Справочники!$A$4:$A$7,0)),""))</f>
        <v>68.5</v>
      </c>
      <c r="BH97" s="90" t="str">
        <f aca="false">IF(N(BN97)&gt;0,ROUND(SUMIF(ЗАКАЗЫ!$F$3:$F$500,$A97,ЗАКАЗЫ!$Y$3:$Y$500)/BN97,0),IF(OR(BE97="",BG97=""),"",ROUND(BE97*BG97*(1+Справочники!$B$10),0)))</f>
        <v/>
      </c>
      <c r="BI97" s="92" t="str">
        <f aca="false">IF(OR(AU97="",BH97="",AU97=0),"",(AU97-BH97)/AU97)</f>
        <v/>
      </c>
      <c r="BJ97" s="81"/>
      <c r="BK97" s="83"/>
      <c r="BL97" s="43" t="str">
        <f aca="false">IFERROR(INDEX(ЗАКАЗЫ!$N$3:$N$500,MATCH($A97,ЗАКАЗЫ!$F$3:$F$500,0)),"")</f>
        <v/>
      </c>
      <c r="BM97" s="8" t="str">
        <f aca="false">IF(BL97="","",IFERROR(VLOOKUP(BL97,'ТН ВЭД'!$A$4:$C$40,3,0),""))</f>
        <v/>
      </c>
      <c r="BN97" s="7" t="str">
        <f aca="false">IF(COUNTIF(ЗАКАЗЫ!$F$3:$F$500,$A97)=0,"",SUMIF(ЗАКАЗЫ!$F$3:$F$500,$A97,ЗАКАЗЫ!$J$3:$J$500))</f>
        <v/>
      </c>
      <c r="BO97" s="7" t="str">
        <f aca="false">IF(BN97="","",SUMIF(ЗАКАЗЫ!$F$3:$F$500,$A97,ЗАКАЗЫ!$AL$3:$AL$500))</f>
        <v/>
      </c>
      <c r="BP97" s="7" t="str">
        <f aca="false">IF(BN97="","",BN97-BO97)</f>
        <v/>
      </c>
      <c r="BQ97" s="55" t="str">
        <f aca="false">IF(BN97="","",IF(BO97&gt;=BN97,"На складе",IF(BO97&gt;0,"Частично","Ждём")))</f>
        <v/>
      </c>
      <c r="BR97" s="43"/>
      <c r="BS97" s="47" t="str">
        <f aca="false">IF(BN97="","",IF(_xlfn.MAXIFS(ЗАКАЗЫ!$AK$3:$AK$500,ЗАКАЗЫ!$F$3:$F$500,$A97)=0,"",_xlfn.MAXIFS(ЗАКАЗЫ!$AK$3:$AK$500,ЗАКАЗЫ!$F$3:$F$500,$A97)))</f>
        <v/>
      </c>
    </row>
    <row r="98" customFormat="false" ht="15.75" hidden="false" customHeight="true" outlineLevel="0" collapsed="false">
      <c r="A98" s="80" t="s">
        <v>930</v>
      </c>
      <c r="B98" s="81"/>
      <c r="C98" s="81"/>
      <c r="D98" s="81"/>
      <c r="E98" s="83"/>
      <c r="F98" s="81"/>
      <c r="G98" s="83"/>
      <c r="H98" s="83"/>
      <c r="I98" s="84" t="str">
        <f aca="false">IF(E98="","",A98&amp;"_1.jpg")</f>
        <v/>
      </c>
      <c r="J98" s="84" t="str">
        <f aca="false">IF(E98="","",A98&amp;"_2.jpg; "&amp;A98&amp;"_3.jpg")</f>
        <v/>
      </c>
      <c r="K98" s="84" t="str">
        <f aca="false">IF(E98="","",A98&amp;"_schema.jpg")</f>
        <v/>
      </c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 t="s">
        <v>96</v>
      </c>
      <c r="W98" s="81"/>
      <c r="X98" s="81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6" t="str">
        <f aca="false">IF(SUM(Y98:AJ98)=0,"",SUM(Y98:AJ98))</f>
        <v/>
      </c>
      <c r="AL98" s="84" t="str">
        <f aca="false">MID(IF(N(Y98)&gt;0,", "&amp;Y$2,"")&amp;IF(N(Z98)&gt;0,", "&amp;Z$2,"")&amp;IF(N(AA98)&gt;0,", "&amp;AA$2,"")&amp;IF(N(AB98)&gt;0,", "&amp;AB$2,"")&amp;IF(N(AC98)&gt;0,", "&amp;AC$2,"")&amp;IF(N(AD98)&gt;0,", "&amp;AD$2,"")&amp;IF(N(AE98)&gt;0,", "&amp;AE$2,"")&amp;IF(N(AF98)&gt;0,", "&amp;AF$2,"")&amp;IF(N(AG98)&gt;0,", "&amp;AG$2,"")&amp;IF(N(AH98)&gt;0,", "&amp;AH$2,"")&amp;IF(N(AI98)&gt;0,", "&amp;AI$2,"")&amp;IF(N(AJ98)&gt;0,", "&amp;AJ$2,""),3,999)</f>
        <v/>
      </c>
      <c r="AM98" s="87" t="str">
        <f aca="false">IF(E98="","",MID(IF(N(Y98)&gt;0,", "&amp;A98&amp;"-"&amp;Y$2,"")&amp;IF(N(Z98)&gt;0,", "&amp;A98&amp;"-"&amp;Z$2,"")&amp;IF(N(AA98)&gt;0,", "&amp;A98&amp;"-"&amp;AA$2,"")&amp;IF(N(AB98)&gt;0,", "&amp;A98&amp;"-"&amp;AB$2,"")&amp;IF(N(AC98)&gt;0,", "&amp;A98&amp;"-"&amp;AC$2,"")&amp;IF(N(AD98)&gt;0,", "&amp;A98&amp;"-"&amp;AD$2,"")&amp;IF(N(AE98)&gt;0,", "&amp;A98&amp;"-"&amp;AE$2,"")&amp;IF(N(AF98)&gt;0,", "&amp;A98&amp;"-"&amp;AF$2,"")&amp;IF(N(AG98)&gt;0,", "&amp;A98&amp;"-"&amp;AG$2,"")&amp;IF(N(AH98)&gt;0,", "&amp;A98&amp;"-"&amp;AH$2,"")&amp;IF(N(AI98)&gt;0,", "&amp;A98&amp;"-"&amp;AI$2,"")&amp;IF(N(AJ98)&gt;0,", "&amp;A98&amp;"-"&amp;AJ$2,""),3,999))</f>
        <v/>
      </c>
      <c r="AN98" s="81"/>
      <c r="AO98" s="88"/>
      <c r="AP98" s="89" t="str">
        <f aca="false">IF(AO98="","",ROUND(AO98/(1+Справочники!$B$13),2))</f>
        <v/>
      </c>
      <c r="AQ98" s="90" t="str">
        <f aca="false" t="array" ref="AQ98:AQ98">IF(AP98="","",AP98*INDEX(Справочники!$B$4:$B$7,MATCH("RUB",Справочники!$A$4:$A$7,0)))</f>
        <v/>
      </c>
      <c r="AR98" s="90" t="str">
        <f aca="false">IF(AQ98="","",ROUND(AQ98*(1+Справочники!$B$12),0))</f>
        <v/>
      </c>
      <c r="AS98" s="90" t="str">
        <f aca="false">IF(AR98="","",ROUND(AR98*(1-Справочники!$B$11),0))</f>
        <v/>
      </c>
      <c r="AT98" s="88"/>
      <c r="AU98" s="90" t="str">
        <f aca="false">IF(AT98="","",ROUND(AT98/(1+Справочники!$B$12),0))</f>
        <v/>
      </c>
      <c r="AV98" s="90" t="str">
        <f aca="false">IF(AT98="","",ROUND(AT98*(1-Справочники!$B$15),0))</f>
        <v/>
      </c>
      <c r="AW98" s="90" t="str">
        <f aca="false">IF(AT98="","",ROUND(AT98*(1-Справочники!$B$16),0))</f>
        <v/>
      </c>
      <c r="AX98" s="90" t="str">
        <f aca="false">IF(AT98="","",ROUND(AT98*(1-Справочники!$B$17),0))</f>
        <v/>
      </c>
      <c r="AY98" s="90" t="str">
        <f aca="false">IF(AT98="","",ROUND(AT98*(1-Справочники!$B$18),0))</f>
        <v/>
      </c>
      <c r="AZ98" s="90" t="str">
        <f aca="false">IF(AT98="","",ROUND(AT98*(1-Справочники!$B$19),0))</f>
        <v/>
      </c>
      <c r="BA98" s="81"/>
      <c r="BB98" s="81"/>
      <c r="BC98" s="81"/>
      <c r="BD98" s="81"/>
      <c r="BE98" s="91"/>
      <c r="BF98" s="81" t="s">
        <v>103</v>
      </c>
      <c r="BG98" s="89" t="n">
        <f aca="false" t="array" ref="BG98:BG98">IF(BF98="","",IFERROR(INDEX(Справочники!$B$4:$B$7,MATCH(BF98,Справочники!$A$4:$A$7,0)),""))</f>
        <v>68.5</v>
      </c>
      <c r="BH98" s="90" t="str">
        <f aca="false">IF(N(BN98)&gt;0,ROUND(SUMIF(ЗАКАЗЫ!$F$3:$F$500,$A98,ЗАКАЗЫ!$Y$3:$Y$500)/BN98,0),IF(OR(BE98="",BG98=""),"",ROUND(BE98*BG98*(1+Справочники!$B$10),0)))</f>
        <v/>
      </c>
      <c r="BI98" s="92" t="str">
        <f aca="false">IF(OR(AU98="",BH98="",AU98=0),"",(AU98-BH98)/AU98)</f>
        <v/>
      </c>
      <c r="BJ98" s="81"/>
      <c r="BK98" s="83"/>
      <c r="BL98" s="43" t="str">
        <f aca="false">IFERROR(INDEX(ЗАКАЗЫ!$N$3:$N$500,MATCH($A98,ЗАКАЗЫ!$F$3:$F$500,0)),"")</f>
        <v/>
      </c>
      <c r="BM98" s="8" t="str">
        <f aca="false">IF(BL98="","",IFERROR(VLOOKUP(BL98,'ТН ВЭД'!$A$4:$C$40,3,0),""))</f>
        <v/>
      </c>
      <c r="BN98" s="7" t="str">
        <f aca="false">IF(COUNTIF(ЗАКАЗЫ!$F$3:$F$500,$A98)=0,"",SUMIF(ЗАКАЗЫ!$F$3:$F$500,$A98,ЗАКАЗЫ!$J$3:$J$500))</f>
        <v/>
      </c>
      <c r="BO98" s="7" t="str">
        <f aca="false">IF(BN98="","",SUMIF(ЗАКАЗЫ!$F$3:$F$500,$A98,ЗАКАЗЫ!$AL$3:$AL$500))</f>
        <v/>
      </c>
      <c r="BP98" s="7" t="str">
        <f aca="false">IF(BN98="","",BN98-BO98)</f>
        <v/>
      </c>
      <c r="BQ98" s="55" t="str">
        <f aca="false">IF(BN98="","",IF(BO98&gt;=BN98,"На складе",IF(BO98&gt;0,"Частично","Ждём")))</f>
        <v/>
      </c>
      <c r="BR98" s="43"/>
      <c r="BS98" s="47" t="str">
        <f aca="false">IF(BN98="","",IF(_xlfn.MAXIFS(ЗАКАЗЫ!$AK$3:$AK$500,ЗАКАЗЫ!$F$3:$F$500,$A98)=0,"",_xlfn.MAXIFS(ЗАКАЗЫ!$AK$3:$AK$500,ЗАКАЗЫ!$F$3:$F$500,$A98)))</f>
        <v/>
      </c>
    </row>
    <row r="99" customFormat="false" ht="15.75" hidden="false" customHeight="true" outlineLevel="0" collapsed="false">
      <c r="A99" s="80" t="s">
        <v>931</v>
      </c>
      <c r="B99" s="81"/>
      <c r="C99" s="81"/>
      <c r="D99" s="81"/>
      <c r="E99" s="83"/>
      <c r="F99" s="81"/>
      <c r="G99" s="83"/>
      <c r="H99" s="83"/>
      <c r="I99" s="84" t="str">
        <f aca="false">IF(E99="","",A99&amp;"_1.jpg")</f>
        <v/>
      </c>
      <c r="J99" s="84" t="str">
        <f aca="false">IF(E99="","",A99&amp;"_2.jpg; "&amp;A99&amp;"_3.jpg")</f>
        <v/>
      </c>
      <c r="K99" s="84" t="str">
        <f aca="false">IF(E99="","",A99&amp;"_schema.jpg")</f>
        <v/>
      </c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 t="s">
        <v>96</v>
      </c>
      <c r="W99" s="81"/>
      <c r="X99" s="81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6" t="str">
        <f aca="false">IF(SUM(Y99:AJ99)=0,"",SUM(Y99:AJ99))</f>
        <v/>
      </c>
      <c r="AL99" s="84" t="str">
        <f aca="false">MID(IF(N(Y99)&gt;0,", "&amp;Y$2,"")&amp;IF(N(Z99)&gt;0,", "&amp;Z$2,"")&amp;IF(N(AA99)&gt;0,", "&amp;AA$2,"")&amp;IF(N(AB99)&gt;0,", "&amp;AB$2,"")&amp;IF(N(AC99)&gt;0,", "&amp;AC$2,"")&amp;IF(N(AD99)&gt;0,", "&amp;AD$2,"")&amp;IF(N(AE99)&gt;0,", "&amp;AE$2,"")&amp;IF(N(AF99)&gt;0,", "&amp;AF$2,"")&amp;IF(N(AG99)&gt;0,", "&amp;AG$2,"")&amp;IF(N(AH99)&gt;0,", "&amp;AH$2,"")&amp;IF(N(AI99)&gt;0,", "&amp;AI$2,"")&amp;IF(N(AJ99)&gt;0,", "&amp;AJ$2,""),3,999)</f>
        <v/>
      </c>
      <c r="AM99" s="87" t="str">
        <f aca="false">IF(E99="","",MID(IF(N(Y99)&gt;0,", "&amp;A99&amp;"-"&amp;Y$2,"")&amp;IF(N(Z99)&gt;0,", "&amp;A99&amp;"-"&amp;Z$2,"")&amp;IF(N(AA99)&gt;0,", "&amp;A99&amp;"-"&amp;AA$2,"")&amp;IF(N(AB99)&gt;0,", "&amp;A99&amp;"-"&amp;AB$2,"")&amp;IF(N(AC99)&gt;0,", "&amp;A99&amp;"-"&amp;AC$2,"")&amp;IF(N(AD99)&gt;0,", "&amp;A99&amp;"-"&amp;AD$2,"")&amp;IF(N(AE99)&gt;0,", "&amp;A99&amp;"-"&amp;AE$2,"")&amp;IF(N(AF99)&gt;0,", "&amp;A99&amp;"-"&amp;AF$2,"")&amp;IF(N(AG99)&gt;0,", "&amp;A99&amp;"-"&amp;AG$2,"")&amp;IF(N(AH99)&gt;0,", "&amp;A99&amp;"-"&amp;AH$2,"")&amp;IF(N(AI99)&gt;0,", "&amp;A99&amp;"-"&amp;AI$2,"")&amp;IF(N(AJ99)&gt;0,", "&amp;A99&amp;"-"&amp;AJ$2,""),3,999))</f>
        <v/>
      </c>
      <c r="AN99" s="81"/>
      <c r="AO99" s="88"/>
      <c r="AP99" s="89" t="str">
        <f aca="false">IF(AO99="","",ROUND(AO99/(1+Справочники!$B$13),2))</f>
        <v/>
      </c>
      <c r="AQ99" s="90" t="str">
        <f aca="false" t="array" ref="AQ99:AQ99">IF(AP99="","",AP99*INDEX(Справочники!$B$4:$B$7,MATCH("RUB",Справочники!$A$4:$A$7,0)))</f>
        <v/>
      </c>
      <c r="AR99" s="90" t="str">
        <f aca="false">IF(AQ99="","",ROUND(AQ99*(1+Справочники!$B$12),0))</f>
        <v/>
      </c>
      <c r="AS99" s="90" t="str">
        <f aca="false">IF(AR99="","",ROUND(AR99*(1-Справочники!$B$11),0))</f>
        <v/>
      </c>
      <c r="AT99" s="88"/>
      <c r="AU99" s="90" t="str">
        <f aca="false">IF(AT99="","",ROUND(AT99/(1+Справочники!$B$12),0))</f>
        <v/>
      </c>
      <c r="AV99" s="90" t="str">
        <f aca="false">IF(AT99="","",ROUND(AT99*(1-Справочники!$B$15),0))</f>
        <v/>
      </c>
      <c r="AW99" s="90" t="str">
        <f aca="false">IF(AT99="","",ROUND(AT99*(1-Справочники!$B$16),0))</f>
        <v/>
      </c>
      <c r="AX99" s="90" t="str">
        <f aca="false">IF(AT99="","",ROUND(AT99*(1-Справочники!$B$17),0))</f>
        <v/>
      </c>
      <c r="AY99" s="90" t="str">
        <f aca="false">IF(AT99="","",ROUND(AT99*(1-Справочники!$B$18),0))</f>
        <v/>
      </c>
      <c r="AZ99" s="90" t="str">
        <f aca="false">IF(AT99="","",ROUND(AT99*(1-Справочники!$B$19),0))</f>
        <v/>
      </c>
      <c r="BA99" s="81"/>
      <c r="BB99" s="81"/>
      <c r="BC99" s="81"/>
      <c r="BD99" s="81"/>
      <c r="BE99" s="91"/>
      <c r="BF99" s="81" t="s">
        <v>103</v>
      </c>
      <c r="BG99" s="89" t="n">
        <f aca="false" t="array" ref="BG99:BG99">IF(BF99="","",IFERROR(INDEX(Справочники!$B$4:$B$7,MATCH(BF99,Справочники!$A$4:$A$7,0)),""))</f>
        <v>68.5</v>
      </c>
      <c r="BH99" s="90" t="str">
        <f aca="false">IF(N(BN99)&gt;0,ROUND(SUMIF(ЗАКАЗЫ!$F$3:$F$500,$A99,ЗАКАЗЫ!$Y$3:$Y$500)/BN99,0),IF(OR(BE99="",BG99=""),"",ROUND(BE99*BG99*(1+Справочники!$B$10),0)))</f>
        <v/>
      </c>
      <c r="BI99" s="92" t="str">
        <f aca="false">IF(OR(AU99="",BH99="",AU99=0),"",(AU99-BH99)/AU99)</f>
        <v/>
      </c>
      <c r="BJ99" s="81"/>
      <c r="BK99" s="83"/>
      <c r="BL99" s="43" t="str">
        <f aca="false">IFERROR(INDEX(ЗАКАЗЫ!$N$3:$N$500,MATCH($A99,ЗАКАЗЫ!$F$3:$F$500,0)),"")</f>
        <v/>
      </c>
      <c r="BM99" s="8" t="str">
        <f aca="false">IF(BL99="","",IFERROR(VLOOKUP(BL99,'ТН ВЭД'!$A$4:$C$40,3,0),""))</f>
        <v/>
      </c>
      <c r="BN99" s="7" t="str">
        <f aca="false">IF(COUNTIF(ЗАКАЗЫ!$F$3:$F$500,$A99)=0,"",SUMIF(ЗАКАЗЫ!$F$3:$F$500,$A99,ЗАКАЗЫ!$J$3:$J$500))</f>
        <v/>
      </c>
      <c r="BO99" s="7" t="str">
        <f aca="false">IF(BN99="","",SUMIF(ЗАКАЗЫ!$F$3:$F$500,$A99,ЗАКАЗЫ!$AL$3:$AL$500))</f>
        <v/>
      </c>
      <c r="BP99" s="7" t="str">
        <f aca="false">IF(BN99="","",BN99-BO99)</f>
        <v/>
      </c>
      <c r="BQ99" s="55" t="str">
        <f aca="false">IF(BN99="","",IF(BO99&gt;=BN99,"На складе",IF(BO99&gt;0,"Частично","Ждём")))</f>
        <v/>
      </c>
      <c r="BR99" s="43"/>
      <c r="BS99" s="47" t="str">
        <f aca="false">IF(BN99="","",IF(_xlfn.MAXIFS(ЗАКАЗЫ!$AK$3:$AK$500,ЗАКАЗЫ!$F$3:$F$500,$A99)=0,"",_xlfn.MAXIFS(ЗАКАЗЫ!$AK$3:$AK$500,ЗАКАЗЫ!$F$3:$F$500,$A99)))</f>
        <v/>
      </c>
    </row>
    <row r="100" customFormat="false" ht="15.75" hidden="false" customHeight="true" outlineLevel="0" collapsed="false">
      <c r="A100" s="80" t="s">
        <v>932</v>
      </c>
      <c r="B100" s="81"/>
      <c r="C100" s="81"/>
      <c r="D100" s="81"/>
      <c r="E100" s="83"/>
      <c r="F100" s="81"/>
      <c r="G100" s="83"/>
      <c r="H100" s="83"/>
      <c r="I100" s="84" t="str">
        <f aca="false">IF(E100="","",A100&amp;"_1.jpg")</f>
        <v/>
      </c>
      <c r="J100" s="84" t="str">
        <f aca="false">IF(E100="","",A100&amp;"_2.jpg; "&amp;A100&amp;"_3.jpg")</f>
        <v/>
      </c>
      <c r="K100" s="84" t="str">
        <f aca="false">IF(E100="","",A100&amp;"_schema.jpg")</f>
        <v/>
      </c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 t="s">
        <v>96</v>
      </c>
      <c r="W100" s="81"/>
      <c r="X100" s="81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6" t="str">
        <f aca="false">IF(SUM(Y100:AJ100)=0,"",SUM(Y100:AJ100))</f>
        <v/>
      </c>
      <c r="AL100" s="84" t="str">
        <f aca="false">MID(IF(N(Y100)&gt;0,", "&amp;Y$2,"")&amp;IF(N(Z100)&gt;0,", "&amp;Z$2,"")&amp;IF(N(AA100)&gt;0,", "&amp;AA$2,"")&amp;IF(N(AB100)&gt;0,", "&amp;AB$2,"")&amp;IF(N(AC100)&gt;0,", "&amp;AC$2,"")&amp;IF(N(AD100)&gt;0,", "&amp;AD$2,"")&amp;IF(N(AE100)&gt;0,", "&amp;AE$2,"")&amp;IF(N(AF100)&gt;0,", "&amp;AF$2,"")&amp;IF(N(AG100)&gt;0,", "&amp;AG$2,"")&amp;IF(N(AH100)&gt;0,", "&amp;AH$2,"")&amp;IF(N(AI100)&gt;0,", "&amp;AI$2,"")&amp;IF(N(AJ100)&gt;0,", "&amp;AJ$2,""),3,999)</f>
        <v/>
      </c>
      <c r="AM100" s="87" t="str">
        <f aca="false">IF(E100="","",MID(IF(N(Y100)&gt;0,", "&amp;A100&amp;"-"&amp;Y$2,"")&amp;IF(N(Z100)&gt;0,", "&amp;A100&amp;"-"&amp;Z$2,"")&amp;IF(N(AA100)&gt;0,", "&amp;A100&amp;"-"&amp;AA$2,"")&amp;IF(N(AB100)&gt;0,", "&amp;A100&amp;"-"&amp;AB$2,"")&amp;IF(N(AC100)&gt;0,", "&amp;A100&amp;"-"&amp;AC$2,"")&amp;IF(N(AD100)&gt;0,", "&amp;A100&amp;"-"&amp;AD$2,"")&amp;IF(N(AE100)&gt;0,", "&amp;A100&amp;"-"&amp;AE$2,"")&amp;IF(N(AF100)&gt;0,", "&amp;A100&amp;"-"&amp;AF$2,"")&amp;IF(N(AG100)&gt;0,", "&amp;A100&amp;"-"&amp;AG$2,"")&amp;IF(N(AH100)&gt;0,", "&amp;A100&amp;"-"&amp;AH$2,"")&amp;IF(N(AI100)&gt;0,", "&amp;A100&amp;"-"&amp;AI$2,"")&amp;IF(N(AJ100)&gt;0,", "&amp;A100&amp;"-"&amp;AJ$2,""),3,999))</f>
        <v/>
      </c>
      <c r="AN100" s="81"/>
      <c r="AO100" s="88"/>
      <c r="AP100" s="89" t="str">
        <f aca="false">IF(AO100="","",ROUND(AO100/(1+Справочники!$B$13),2))</f>
        <v/>
      </c>
      <c r="AQ100" s="90" t="str">
        <f aca="false" t="array" ref="AQ100:AQ100">IF(AP100="","",AP100*INDEX(Справочники!$B$4:$B$7,MATCH("RUB",Справочники!$A$4:$A$7,0)))</f>
        <v/>
      </c>
      <c r="AR100" s="90" t="str">
        <f aca="false">IF(AQ100="","",ROUND(AQ100*(1+Справочники!$B$12),0))</f>
        <v/>
      </c>
      <c r="AS100" s="90" t="str">
        <f aca="false">IF(AR100="","",ROUND(AR100*(1-Справочники!$B$11),0))</f>
        <v/>
      </c>
      <c r="AT100" s="88"/>
      <c r="AU100" s="90" t="str">
        <f aca="false">IF(AT100="","",ROUND(AT100/(1+Справочники!$B$12),0))</f>
        <v/>
      </c>
      <c r="AV100" s="90" t="str">
        <f aca="false">IF(AT100="","",ROUND(AT100*(1-Справочники!$B$15),0))</f>
        <v/>
      </c>
      <c r="AW100" s="90" t="str">
        <f aca="false">IF(AT100="","",ROUND(AT100*(1-Справочники!$B$16),0))</f>
        <v/>
      </c>
      <c r="AX100" s="90" t="str">
        <f aca="false">IF(AT100="","",ROUND(AT100*(1-Справочники!$B$17),0))</f>
        <v/>
      </c>
      <c r="AY100" s="90" t="str">
        <f aca="false">IF(AT100="","",ROUND(AT100*(1-Справочники!$B$18),0))</f>
        <v/>
      </c>
      <c r="AZ100" s="90" t="str">
        <f aca="false">IF(AT100="","",ROUND(AT100*(1-Справочники!$B$19),0))</f>
        <v/>
      </c>
      <c r="BA100" s="81"/>
      <c r="BB100" s="81"/>
      <c r="BC100" s="81"/>
      <c r="BD100" s="81"/>
      <c r="BE100" s="91"/>
      <c r="BF100" s="81" t="s">
        <v>103</v>
      </c>
      <c r="BG100" s="89" t="n">
        <f aca="false" t="array" ref="BG100:BG100">IF(BF100="","",IFERROR(INDEX(Справочники!$B$4:$B$7,MATCH(BF100,Справочники!$A$4:$A$7,0)),""))</f>
        <v>68.5</v>
      </c>
      <c r="BH100" s="90" t="str">
        <f aca="false">IF(N(BN100)&gt;0,ROUND(SUMIF(ЗАКАЗЫ!$F$3:$F$500,$A100,ЗАКАЗЫ!$Y$3:$Y$500)/BN100,0),IF(OR(BE100="",BG100=""),"",ROUND(BE100*BG100*(1+Справочники!$B$10),0)))</f>
        <v/>
      </c>
      <c r="BI100" s="92" t="str">
        <f aca="false">IF(OR(AU100="",BH100="",AU100=0),"",(AU100-BH100)/AU100)</f>
        <v/>
      </c>
      <c r="BJ100" s="81"/>
      <c r="BK100" s="83"/>
      <c r="BL100" s="43" t="str">
        <f aca="false">IFERROR(INDEX(ЗАКАЗЫ!$N$3:$N$500,MATCH($A100,ЗАКАЗЫ!$F$3:$F$500,0)),"")</f>
        <v/>
      </c>
      <c r="BM100" s="8" t="str">
        <f aca="false">IF(BL100="","",IFERROR(VLOOKUP(BL100,'ТН ВЭД'!$A$4:$C$40,3,0),""))</f>
        <v/>
      </c>
      <c r="BN100" s="7" t="str">
        <f aca="false">IF(COUNTIF(ЗАКАЗЫ!$F$3:$F$500,$A100)=0,"",SUMIF(ЗАКАЗЫ!$F$3:$F$500,$A100,ЗАКАЗЫ!$J$3:$J$500))</f>
        <v/>
      </c>
      <c r="BO100" s="7" t="str">
        <f aca="false">IF(BN100="","",SUMIF(ЗАКАЗЫ!$F$3:$F$500,$A100,ЗАКАЗЫ!$AL$3:$AL$500))</f>
        <v/>
      </c>
      <c r="BP100" s="7" t="str">
        <f aca="false">IF(BN100="","",BN100-BO100)</f>
        <v/>
      </c>
      <c r="BQ100" s="55" t="str">
        <f aca="false">IF(BN100="","",IF(BO100&gt;=BN100,"На складе",IF(BO100&gt;0,"Частично","Ждём")))</f>
        <v/>
      </c>
      <c r="BR100" s="43"/>
      <c r="BS100" s="47" t="str">
        <f aca="false">IF(BN100="","",IF(_xlfn.MAXIFS(ЗАКАЗЫ!$AK$3:$AK$500,ЗАКАЗЫ!$F$3:$F$500,$A100)=0,"",_xlfn.MAXIFS(ЗАКАЗЫ!$AK$3:$AK$500,ЗАКАЗЫ!$F$3:$F$500,$A100)))</f>
        <v/>
      </c>
    </row>
    <row r="101" customFormat="false" ht="15.75" hidden="false" customHeight="true" outlineLevel="0" collapsed="false">
      <c r="A101" s="80" t="s">
        <v>933</v>
      </c>
      <c r="B101" s="81"/>
      <c r="C101" s="81"/>
      <c r="D101" s="81"/>
      <c r="E101" s="83"/>
      <c r="F101" s="81"/>
      <c r="G101" s="83"/>
      <c r="H101" s="83"/>
      <c r="I101" s="84" t="str">
        <f aca="false">IF(E101="","",A101&amp;"_1.jpg")</f>
        <v/>
      </c>
      <c r="J101" s="84" t="str">
        <f aca="false">IF(E101="","",A101&amp;"_2.jpg; "&amp;A101&amp;"_3.jpg")</f>
        <v/>
      </c>
      <c r="K101" s="84" t="str">
        <f aca="false">IF(E101="","",A101&amp;"_schema.jpg")</f>
        <v/>
      </c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 t="s">
        <v>96</v>
      </c>
      <c r="W101" s="81"/>
      <c r="X101" s="81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6" t="str">
        <f aca="false">IF(SUM(Y101:AJ101)=0,"",SUM(Y101:AJ101))</f>
        <v/>
      </c>
      <c r="AL101" s="84" t="str">
        <f aca="false">MID(IF(N(Y101)&gt;0,", "&amp;Y$2,"")&amp;IF(N(Z101)&gt;0,", "&amp;Z$2,"")&amp;IF(N(AA101)&gt;0,", "&amp;AA$2,"")&amp;IF(N(AB101)&gt;0,", "&amp;AB$2,"")&amp;IF(N(AC101)&gt;0,", "&amp;AC$2,"")&amp;IF(N(AD101)&gt;0,", "&amp;AD$2,"")&amp;IF(N(AE101)&gt;0,", "&amp;AE$2,"")&amp;IF(N(AF101)&gt;0,", "&amp;AF$2,"")&amp;IF(N(AG101)&gt;0,", "&amp;AG$2,"")&amp;IF(N(AH101)&gt;0,", "&amp;AH$2,"")&amp;IF(N(AI101)&gt;0,", "&amp;AI$2,"")&amp;IF(N(AJ101)&gt;0,", "&amp;AJ$2,""),3,999)</f>
        <v/>
      </c>
      <c r="AM101" s="87" t="str">
        <f aca="false">IF(E101="","",MID(IF(N(Y101)&gt;0,", "&amp;A101&amp;"-"&amp;Y$2,"")&amp;IF(N(Z101)&gt;0,", "&amp;A101&amp;"-"&amp;Z$2,"")&amp;IF(N(AA101)&gt;0,", "&amp;A101&amp;"-"&amp;AA$2,"")&amp;IF(N(AB101)&gt;0,", "&amp;A101&amp;"-"&amp;AB$2,"")&amp;IF(N(AC101)&gt;0,", "&amp;A101&amp;"-"&amp;AC$2,"")&amp;IF(N(AD101)&gt;0,", "&amp;A101&amp;"-"&amp;AD$2,"")&amp;IF(N(AE101)&gt;0,", "&amp;A101&amp;"-"&amp;AE$2,"")&amp;IF(N(AF101)&gt;0,", "&amp;A101&amp;"-"&amp;AF$2,"")&amp;IF(N(AG101)&gt;0,", "&amp;A101&amp;"-"&amp;AG$2,"")&amp;IF(N(AH101)&gt;0,", "&amp;A101&amp;"-"&amp;AH$2,"")&amp;IF(N(AI101)&gt;0,", "&amp;A101&amp;"-"&amp;AI$2,"")&amp;IF(N(AJ101)&gt;0,", "&amp;A101&amp;"-"&amp;AJ$2,""),3,999))</f>
        <v/>
      </c>
      <c r="AN101" s="81"/>
      <c r="AO101" s="88"/>
      <c r="AP101" s="89" t="str">
        <f aca="false">IF(AO101="","",ROUND(AO101/(1+Справочники!$B$13),2))</f>
        <v/>
      </c>
      <c r="AQ101" s="90" t="str">
        <f aca="false" t="array" ref="AQ101:AQ101">IF(AP101="","",AP101*INDEX(Справочники!$B$4:$B$7,MATCH("RUB",Справочники!$A$4:$A$7,0)))</f>
        <v/>
      </c>
      <c r="AR101" s="90" t="str">
        <f aca="false">IF(AQ101="","",ROUND(AQ101*(1+Справочники!$B$12),0))</f>
        <v/>
      </c>
      <c r="AS101" s="90" t="str">
        <f aca="false">IF(AR101="","",ROUND(AR101*(1-Справочники!$B$11),0))</f>
        <v/>
      </c>
      <c r="AT101" s="88"/>
      <c r="AU101" s="90" t="str">
        <f aca="false">IF(AT101="","",ROUND(AT101/(1+Справочники!$B$12),0))</f>
        <v/>
      </c>
      <c r="AV101" s="90" t="str">
        <f aca="false">IF(AT101="","",ROUND(AT101*(1-Справочники!$B$15),0))</f>
        <v/>
      </c>
      <c r="AW101" s="90" t="str">
        <f aca="false">IF(AT101="","",ROUND(AT101*(1-Справочники!$B$16),0))</f>
        <v/>
      </c>
      <c r="AX101" s="90" t="str">
        <f aca="false">IF(AT101="","",ROUND(AT101*(1-Справочники!$B$17),0))</f>
        <v/>
      </c>
      <c r="AY101" s="90" t="str">
        <f aca="false">IF(AT101="","",ROUND(AT101*(1-Справочники!$B$18),0))</f>
        <v/>
      </c>
      <c r="AZ101" s="90" t="str">
        <f aca="false">IF(AT101="","",ROUND(AT101*(1-Справочники!$B$19),0))</f>
        <v/>
      </c>
      <c r="BA101" s="81"/>
      <c r="BB101" s="81"/>
      <c r="BC101" s="81"/>
      <c r="BD101" s="81"/>
      <c r="BE101" s="91"/>
      <c r="BF101" s="81" t="s">
        <v>103</v>
      </c>
      <c r="BG101" s="89" t="n">
        <f aca="false" t="array" ref="BG101:BG101">IF(BF101="","",IFERROR(INDEX(Справочники!$B$4:$B$7,MATCH(BF101,Справочники!$A$4:$A$7,0)),""))</f>
        <v>68.5</v>
      </c>
      <c r="BH101" s="90" t="str">
        <f aca="false">IF(N(BN101)&gt;0,ROUND(SUMIF(ЗАКАЗЫ!$F$3:$F$500,$A101,ЗАКАЗЫ!$Y$3:$Y$500)/BN101,0),IF(OR(BE101="",BG101=""),"",ROUND(BE101*BG101*(1+Справочники!$B$10),0)))</f>
        <v/>
      </c>
      <c r="BI101" s="92" t="str">
        <f aca="false">IF(OR(AU101="",BH101="",AU101=0),"",(AU101-BH101)/AU101)</f>
        <v/>
      </c>
      <c r="BJ101" s="81"/>
      <c r="BK101" s="83"/>
      <c r="BL101" s="43" t="str">
        <f aca="false">IFERROR(INDEX(ЗАКАЗЫ!$N$3:$N$500,MATCH($A101,ЗАКАЗЫ!$F$3:$F$500,0)),"")</f>
        <v/>
      </c>
      <c r="BM101" s="8" t="str">
        <f aca="false">IF(BL101="","",IFERROR(VLOOKUP(BL101,'ТН ВЭД'!$A$4:$C$40,3,0),""))</f>
        <v/>
      </c>
      <c r="BN101" s="7" t="str">
        <f aca="false">IF(COUNTIF(ЗАКАЗЫ!$F$3:$F$500,$A101)=0,"",SUMIF(ЗАКАЗЫ!$F$3:$F$500,$A101,ЗАКАЗЫ!$J$3:$J$500))</f>
        <v/>
      </c>
      <c r="BO101" s="7" t="str">
        <f aca="false">IF(BN101="","",SUMIF(ЗАКАЗЫ!$F$3:$F$500,$A101,ЗАКАЗЫ!$AL$3:$AL$500))</f>
        <v/>
      </c>
      <c r="BP101" s="7" t="str">
        <f aca="false">IF(BN101="","",BN101-BO101)</f>
        <v/>
      </c>
      <c r="BQ101" s="55" t="str">
        <f aca="false">IF(BN101="","",IF(BO101&gt;=BN101,"На складе",IF(BO101&gt;0,"Частично","Ждём")))</f>
        <v/>
      </c>
      <c r="BR101" s="43"/>
      <c r="BS101" s="47" t="str">
        <f aca="false">IF(BN101="","",IF(_xlfn.MAXIFS(ЗАКАЗЫ!$AK$3:$AK$500,ЗАКАЗЫ!$F$3:$F$500,$A101)=0,"",_xlfn.MAXIFS(ЗАКАЗЫ!$AK$3:$AK$500,ЗАКАЗЫ!$F$3:$F$500,$A101)))</f>
        <v/>
      </c>
    </row>
    <row r="102" customFormat="false" ht="15.75" hidden="false" customHeight="true" outlineLevel="0" collapsed="false">
      <c r="A102" s="80" t="s">
        <v>934</v>
      </c>
      <c r="B102" s="81"/>
      <c r="C102" s="81"/>
      <c r="D102" s="81"/>
      <c r="E102" s="83"/>
      <c r="F102" s="81"/>
      <c r="G102" s="83"/>
      <c r="H102" s="83"/>
      <c r="I102" s="84" t="str">
        <f aca="false">IF(E102="","",A102&amp;"_1.jpg")</f>
        <v/>
      </c>
      <c r="J102" s="84" t="str">
        <f aca="false">IF(E102="","",A102&amp;"_2.jpg; "&amp;A102&amp;"_3.jpg")</f>
        <v/>
      </c>
      <c r="K102" s="84" t="str">
        <f aca="false">IF(E102="","",A102&amp;"_schema.jpg")</f>
        <v/>
      </c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 t="s">
        <v>96</v>
      </c>
      <c r="W102" s="81"/>
      <c r="X102" s="81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6" t="str">
        <f aca="false">IF(SUM(Y102:AJ102)=0,"",SUM(Y102:AJ102))</f>
        <v/>
      </c>
      <c r="AL102" s="84" t="str">
        <f aca="false">MID(IF(N(Y102)&gt;0,", "&amp;Y$2,"")&amp;IF(N(Z102)&gt;0,", "&amp;Z$2,"")&amp;IF(N(AA102)&gt;0,", "&amp;AA$2,"")&amp;IF(N(AB102)&gt;0,", "&amp;AB$2,"")&amp;IF(N(AC102)&gt;0,", "&amp;AC$2,"")&amp;IF(N(AD102)&gt;0,", "&amp;AD$2,"")&amp;IF(N(AE102)&gt;0,", "&amp;AE$2,"")&amp;IF(N(AF102)&gt;0,", "&amp;AF$2,"")&amp;IF(N(AG102)&gt;0,", "&amp;AG$2,"")&amp;IF(N(AH102)&gt;0,", "&amp;AH$2,"")&amp;IF(N(AI102)&gt;0,", "&amp;AI$2,"")&amp;IF(N(AJ102)&gt;0,", "&amp;AJ$2,""),3,999)</f>
        <v/>
      </c>
      <c r="AM102" s="87" t="str">
        <f aca="false">IF(E102="","",MID(IF(N(Y102)&gt;0,", "&amp;A102&amp;"-"&amp;Y$2,"")&amp;IF(N(Z102)&gt;0,", "&amp;A102&amp;"-"&amp;Z$2,"")&amp;IF(N(AA102)&gt;0,", "&amp;A102&amp;"-"&amp;AA$2,"")&amp;IF(N(AB102)&gt;0,", "&amp;A102&amp;"-"&amp;AB$2,"")&amp;IF(N(AC102)&gt;0,", "&amp;A102&amp;"-"&amp;AC$2,"")&amp;IF(N(AD102)&gt;0,", "&amp;A102&amp;"-"&amp;AD$2,"")&amp;IF(N(AE102)&gt;0,", "&amp;A102&amp;"-"&amp;AE$2,"")&amp;IF(N(AF102)&gt;0,", "&amp;A102&amp;"-"&amp;AF$2,"")&amp;IF(N(AG102)&gt;0,", "&amp;A102&amp;"-"&amp;AG$2,"")&amp;IF(N(AH102)&gt;0,", "&amp;A102&amp;"-"&amp;AH$2,"")&amp;IF(N(AI102)&gt;0,", "&amp;A102&amp;"-"&amp;AI$2,"")&amp;IF(N(AJ102)&gt;0,", "&amp;A102&amp;"-"&amp;AJ$2,""),3,999))</f>
        <v/>
      </c>
      <c r="AN102" s="81"/>
      <c r="AO102" s="88"/>
      <c r="AP102" s="89" t="str">
        <f aca="false">IF(AO102="","",ROUND(AO102/(1+Справочники!$B$13),2))</f>
        <v/>
      </c>
      <c r="AQ102" s="90" t="str">
        <f aca="false" t="array" ref="AQ102:AQ102">IF(AP102="","",AP102*INDEX(Справочники!$B$4:$B$7,MATCH("RUB",Справочники!$A$4:$A$7,0)))</f>
        <v/>
      </c>
      <c r="AR102" s="90" t="str">
        <f aca="false">IF(AQ102="","",ROUND(AQ102*(1+Справочники!$B$12),0))</f>
        <v/>
      </c>
      <c r="AS102" s="90" t="str">
        <f aca="false">IF(AR102="","",ROUND(AR102*(1-Справочники!$B$11),0))</f>
        <v/>
      </c>
      <c r="AT102" s="88"/>
      <c r="AU102" s="90" t="str">
        <f aca="false">IF(AT102="","",ROUND(AT102/(1+Справочники!$B$12),0))</f>
        <v/>
      </c>
      <c r="AV102" s="90" t="str">
        <f aca="false">IF(AT102="","",ROUND(AT102*(1-Справочники!$B$15),0))</f>
        <v/>
      </c>
      <c r="AW102" s="90" t="str">
        <f aca="false">IF(AT102="","",ROUND(AT102*(1-Справочники!$B$16),0))</f>
        <v/>
      </c>
      <c r="AX102" s="90" t="str">
        <f aca="false">IF(AT102="","",ROUND(AT102*(1-Справочники!$B$17),0))</f>
        <v/>
      </c>
      <c r="AY102" s="90" t="str">
        <f aca="false">IF(AT102="","",ROUND(AT102*(1-Справочники!$B$18),0))</f>
        <v/>
      </c>
      <c r="AZ102" s="90" t="str">
        <f aca="false">IF(AT102="","",ROUND(AT102*(1-Справочники!$B$19),0))</f>
        <v/>
      </c>
      <c r="BA102" s="81"/>
      <c r="BB102" s="81"/>
      <c r="BC102" s="81"/>
      <c r="BD102" s="81"/>
      <c r="BE102" s="91"/>
      <c r="BF102" s="81" t="s">
        <v>103</v>
      </c>
      <c r="BG102" s="89" t="n">
        <f aca="false" t="array" ref="BG102:BG102">IF(BF102="","",IFERROR(INDEX(Справочники!$B$4:$B$7,MATCH(BF102,Справочники!$A$4:$A$7,0)),""))</f>
        <v>68.5</v>
      </c>
      <c r="BH102" s="90" t="str">
        <f aca="false">IF(N(BN102)&gt;0,ROUND(SUMIF(ЗАКАЗЫ!$F$3:$F$500,$A102,ЗАКАЗЫ!$Y$3:$Y$500)/BN102,0),IF(OR(BE102="",BG102=""),"",ROUND(BE102*BG102*(1+Справочники!$B$10),0)))</f>
        <v/>
      </c>
      <c r="BI102" s="92" t="str">
        <f aca="false">IF(OR(AU102="",BH102="",AU102=0),"",(AU102-BH102)/AU102)</f>
        <v/>
      </c>
      <c r="BJ102" s="81"/>
      <c r="BK102" s="83"/>
      <c r="BL102" s="43" t="str">
        <f aca="false">IFERROR(INDEX(ЗАКАЗЫ!$N$3:$N$500,MATCH($A102,ЗАКАЗЫ!$F$3:$F$500,0)),"")</f>
        <v/>
      </c>
      <c r="BM102" s="8" t="str">
        <f aca="false">IF(BL102="","",IFERROR(VLOOKUP(BL102,'ТН ВЭД'!$A$4:$C$40,3,0),""))</f>
        <v/>
      </c>
      <c r="BN102" s="7" t="str">
        <f aca="false">IF(COUNTIF(ЗАКАЗЫ!$F$3:$F$500,$A102)=0,"",SUMIF(ЗАКАЗЫ!$F$3:$F$500,$A102,ЗАКАЗЫ!$J$3:$J$500))</f>
        <v/>
      </c>
      <c r="BO102" s="7" t="str">
        <f aca="false">IF(BN102="","",SUMIF(ЗАКАЗЫ!$F$3:$F$500,$A102,ЗАКАЗЫ!$AL$3:$AL$500))</f>
        <v/>
      </c>
      <c r="BP102" s="7" t="str">
        <f aca="false">IF(BN102="","",BN102-BO102)</f>
        <v/>
      </c>
      <c r="BQ102" s="55" t="str">
        <f aca="false">IF(BN102="","",IF(BO102&gt;=BN102,"На складе",IF(BO102&gt;0,"Частично","Ждём")))</f>
        <v/>
      </c>
      <c r="BR102" s="43"/>
      <c r="BS102" s="47" t="str">
        <f aca="false">IF(BN102="","",IF(_xlfn.MAXIFS(ЗАКАЗЫ!$AK$3:$AK$500,ЗАКАЗЫ!$F$3:$F$500,$A102)=0,"",_xlfn.MAXIFS(ЗАКАЗЫ!$AK$3:$AK$500,ЗАКАЗЫ!$F$3:$F$500,$A102)))</f>
        <v/>
      </c>
    </row>
    <row r="103" customFormat="false" ht="15.75" hidden="false" customHeight="true" outlineLevel="0" collapsed="false">
      <c r="A103" s="80" t="s">
        <v>935</v>
      </c>
      <c r="B103" s="81"/>
      <c r="C103" s="81"/>
      <c r="D103" s="81"/>
      <c r="E103" s="83"/>
      <c r="F103" s="81"/>
      <c r="G103" s="83"/>
      <c r="H103" s="83"/>
      <c r="I103" s="84" t="str">
        <f aca="false">IF(E103="","",A103&amp;"_1.jpg")</f>
        <v/>
      </c>
      <c r="J103" s="84" t="str">
        <f aca="false">IF(E103="","",A103&amp;"_2.jpg; "&amp;A103&amp;"_3.jpg")</f>
        <v/>
      </c>
      <c r="K103" s="84" t="str">
        <f aca="false">IF(E103="","",A103&amp;"_schema.jpg")</f>
        <v/>
      </c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 t="s">
        <v>96</v>
      </c>
      <c r="W103" s="81"/>
      <c r="X103" s="81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6" t="str">
        <f aca="false">IF(SUM(Y103:AJ103)=0,"",SUM(Y103:AJ103))</f>
        <v/>
      </c>
      <c r="AL103" s="84" t="str">
        <f aca="false">MID(IF(N(Y103)&gt;0,", "&amp;Y$2,"")&amp;IF(N(Z103)&gt;0,", "&amp;Z$2,"")&amp;IF(N(AA103)&gt;0,", "&amp;AA$2,"")&amp;IF(N(AB103)&gt;0,", "&amp;AB$2,"")&amp;IF(N(AC103)&gt;0,", "&amp;AC$2,"")&amp;IF(N(AD103)&gt;0,", "&amp;AD$2,"")&amp;IF(N(AE103)&gt;0,", "&amp;AE$2,"")&amp;IF(N(AF103)&gt;0,", "&amp;AF$2,"")&amp;IF(N(AG103)&gt;0,", "&amp;AG$2,"")&amp;IF(N(AH103)&gt;0,", "&amp;AH$2,"")&amp;IF(N(AI103)&gt;0,", "&amp;AI$2,"")&amp;IF(N(AJ103)&gt;0,", "&amp;AJ$2,""),3,999)</f>
        <v/>
      </c>
      <c r="AM103" s="87" t="str">
        <f aca="false">IF(E103="","",MID(IF(N(Y103)&gt;0,", "&amp;A103&amp;"-"&amp;Y$2,"")&amp;IF(N(Z103)&gt;0,", "&amp;A103&amp;"-"&amp;Z$2,"")&amp;IF(N(AA103)&gt;0,", "&amp;A103&amp;"-"&amp;AA$2,"")&amp;IF(N(AB103)&gt;0,", "&amp;A103&amp;"-"&amp;AB$2,"")&amp;IF(N(AC103)&gt;0,", "&amp;A103&amp;"-"&amp;AC$2,"")&amp;IF(N(AD103)&gt;0,", "&amp;A103&amp;"-"&amp;AD$2,"")&amp;IF(N(AE103)&gt;0,", "&amp;A103&amp;"-"&amp;AE$2,"")&amp;IF(N(AF103)&gt;0,", "&amp;A103&amp;"-"&amp;AF$2,"")&amp;IF(N(AG103)&gt;0,", "&amp;A103&amp;"-"&amp;AG$2,"")&amp;IF(N(AH103)&gt;0,", "&amp;A103&amp;"-"&amp;AH$2,"")&amp;IF(N(AI103)&gt;0,", "&amp;A103&amp;"-"&amp;AI$2,"")&amp;IF(N(AJ103)&gt;0,", "&amp;A103&amp;"-"&amp;AJ$2,""),3,999))</f>
        <v/>
      </c>
      <c r="AN103" s="81"/>
      <c r="AO103" s="88"/>
      <c r="AP103" s="89" t="str">
        <f aca="false">IF(AO103="","",ROUND(AO103/(1+Справочники!$B$13),2))</f>
        <v/>
      </c>
      <c r="AQ103" s="90" t="str">
        <f aca="false" t="array" ref="AQ103:AQ103">IF(AP103="","",AP103*INDEX(Справочники!$B$4:$B$7,MATCH("RUB",Справочники!$A$4:$A$7,0)))</f>
        <v/>
      </c>
      <c r="AR103" s="90" t="str">
        <f aca="false">IF(AQ103="","",ROUND(AQ103*(1+Справочники!$B$12),0))</f>
        <v/>
      </c>
      <c r="AS103" s="90" t="str">
        <f aca="false">IF(AR103="","",ROUND(AR103*(1-Справочники!$B$11),0))</f>
        <v/>
      </c>
      <c r="AT103" s="88"/>
      <c r="AU103" s="90" t="str">
        <f aca="false">IF(AT103="","",ROUND(AT103/(1+Справочники!$B$12),0))</f>
        <v/>
      </c>
      <c r="AV103" s="90" t="str">
        <f aca="false">IF(AT103="","",ROUND(AT103*(1-Справочники!$B$15),0))</f>
        <v/>
      </c>
      <c r="AW103" s="90" t="str">
        <f aca="false">IF(AT103="","",ROUND(AT103*(1-Справочники!$B$16),0))</f>
        <v/>
      </c>
      <c r="AX103" s="90" t="str">
        <f aca="false">IF(AT103="","",ROUND(AT103*(1-Справочники!$B$17),0))</f>
        <v/>
      </c>
      <c r="AY103" s="90" t="str">
        <f aca="false">IF(AT103="","",ROUND(AT103*(1-Справочники!$B$18),0))</f>
        <v/>
      </c>
      <c r="AZ103" s="90" t="str">
        <f aca="false">IF(AT103="","",ROUND(AT103*(1-Справочники!$B$19),0))</f>
        <v/>
      </c>
      <c r="BA103" s="81"/>
      <c r="BB103" s="81"/>
      <c r="BC103" s="81"/>
      <c r="BD103" s="81"/>
      <c r="BE103" s="91"/>
      <c r="BF103" s="81" t="s">
        <v>103</v>
      </c>
      <c r="BG103" s="89" t="n">
        <f aca="false" t="array" ref="BG103:BG103">IF(BF103="","",IFERROR(INDEX(Справочники!$B$4:$B$7,MATCH(BF103,Справочники!$A$4:$A$7,0)),""))</f>
        <v>68.5</v>
      </c>
      <c r="BH103" s="90" t="str">
        <f aca="false">IF(N(BN103)&gt;0,ROUND(SUMIF(ЗАКАЗЫ!$F$3:$F$500,$A103,ЗАКАЗЫ!$Y$3:$Y$500)/BN103,0),IF(OR(BE103="",BG103=""),"",ROUND(BE103*BG103*(1+Справочники!$B$10),0)))</f>
        <v/>
      </c>
      <c r="BI103" s="92" t="str">
        <f aca="false">IF(OR(AU103="",BH103="",AU103=0),"",(AU103-BH103)/AU103)</f>
        <v/>
      </c>
      <c r="BJ103" s="81"/>
      <c r="BK103" s="83"/>
      <c r="BL103" s="43" t="str">
        <f aca="false">IFERROR(INDEX(ЗАКАЗЫ!$N$3:$N$500,MATCH($A103,ЗАКАЗЫ!$F$3:$F$500,0)),"")</f>
        <v/>
      </c>
      <c r="BM103" s="8" t="str">
        <f aca="false">IF(BL103="","",IFERROR(VLOOKUP(BL103,'ТН ВЭД'!$A$4:$C$40,3,0),""))</f>
        <v/>
      </c>
      <c r="BN103" s="7" t="str">
        <f aca="false">IF(COUNTIF(ЗАКАЗЫ!$F$3:$F$500,$A103)=0,"",SUMIF(ЗАКАЗЫ!$F$3:$F$500,$A103,ЗАКАЗЫ!$J$3:$J$500))</f>
        <v/>
      </c>
      <c r="BO103" s="7" t="str">
        <f aca="false">IF(BN103="","",SUMIF(ЗАКАЗЫ!$F$3:$F$500,$A103,ЗАКАЗЫ!$AL$3:$AL$500))</f>
        <v/>
      </c>
      <c r="BP103" s="7" t="str">
        <f aca="false">IF(BN103="","",BN103-BO103)</f>
        <v/>
      </c>
      <c r="BQ103" s="55" t="str">
        <f aca="false">IF(BN103="","",IF(BO103&gt;=BN103,"На складе",IF(BO103&gt;0,"Частично","Ждём")))</f>
        <v/>
      </c>
      <c r="BR103" s="43"/>
      <c r="BS103" s="47" t="str">
        <f aca="false">IF(BN103="","",IF(_xlfn.MAXIFS(ЗАКАЗЫ!$AK$3:$AK$500,ЗАКАЗЫ!$F$3:$F$500,$A103)=0,"",_xlfn.MAXIFS(ЗАКАЗЫ!$AK$3:$AK$500,ЗАКАЗЫ!$F$3:$F$500,$A103)))</f>
        <v/>
      </c>
    </row>
    <row r="104" customFormat="false" ht="15.75" hidden="false" customHeight="true" outlineLevel="0" collapsed="false">
      <c r="A104" s="80" t="s">
        <v>936</v>
      </c>
      <c r="B104" s="81"/>
      <c r="C104" s="81"/>
      <c r="D104" s="81"/>
      <c r="E104" s="83"/>
      <c r="F104" s="81"/>
      <c r="G104" s="83"/>
      <c r="H104" s="83"/>
      <c r="I104" s="84" t="str">
        <f aca="false">IF(E104="","",A104&amp;"_1.jpg")</f>
        <v/>
      </c>
      <c r="J104" s="84" t="str">
        <f aca="false">IF(E104="","",A104&amp;"_2.jpg; "&amp;A104&amp;"_3.jpg")</f>
        <v/>
      </c>
      <c r="K104" s="84" t="str">
        <f aca="false">IF(E104="","",A104&amp;"_schema.jpg")</f>
        <v/>
      </c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 t="s">
        <v>96</v>
      </c>
      <c r="W104" s="81"/>
      <c r="X104" s="81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6" t="str">
        <f aca="false">IF(SUM(Y104:AJ104)=0,"",SUM(Y104:AJ104))</f>
        <v/>
      </c>
      <c r="AL104" s="84" t="str">
        <f aca="false">MID(IF(N(Y104)&gt;0,", "&amp;Y$2,"")&amp;IF(N(Z104)&gt;0,", "&amp;Z$2,"")&amp;IF(N(AA104)&gt;0,", "&amp;AA$2,"")&amp;IF(N(AB104)&gt;0,", "&amp;AB$2,"")&amp;IF(N(AC104)&gt;0,", "&amp;AC$2,"")&amp;IF(N(AD104)&gt;0,", "&amp;AD$2,"")&amp;IF(N(AE104)&gt;0,", "&amp;AE$2,"")&amp;IF(N(AF104)&gt;0,", "&amp;AF$2,"")&amp;IF(N(AG104)&gt;0,", "&amp;AG$2,"")&amp;IF(N(AH104)&gt;0,", "&amp;AH$2,"")&amp;IF(N(AI104)&gt;0,", "&amp;AI$2,"")&amp;IF(N(AJ104)&gt;0,", "&amp;AJ$2,""),3,999)</f>
        <v/>
      </c>
      <c r="AM104" s="87" t="str">
        <f aca="false">IF(E104="","",MID(IF(N(Y104)&gt;0,", "&amp;A104&amp;"-"&amp;Y$2,"")&amp;IF(N(Z104)&gt;0,", "&amp;A104&amp;"-"&amp;Z$2,"")&amp;IF(N(AA104)&gt;0,", "&amp;A104&amp;"-"&amp;AA$2,"")&amp;IF(N(AB104)&gt;0,", "&amp;A104&amp;"-"&amp;AB$2,"")&amp;IF(N(AC104)&gt;0,", "&amp;A104&amp;"-"&amp;AC$2,"")&amp;IF(N(AD104)&gt;0,", "&amp;A104&amp;"-"&amp;AD$2,"")&amp;IF(N(AE104)&gt;0,", "&amp;A104&amp;"-"&amp;AE$2,"")&amp;IF(N(AF104)&gt;0,", "&amp;A104&amp;"-"&amp;AF$2,"")&amp;IF(N(AG104)&gt;0,", "&amp;A104&amp;"-"&amp;AG$2,"")&amp;IF(N(AH104)&gt;0,", "&amp;A104&amp;"-"&amp;AH$2,"")&amp;IF(N(AI104)&gt;0,", "&amp;A104&amp;"-"&amp;AI$2,"")&amp;IF(N(AJ104)&gt;0,", "&amp;A104&amp;"-"&amp;AJ$2,""),3,999))</f>
        <v/>
      </c>
      <c r="AN104" s="81"/>
      <c r="AO104" s="88"/>
      <c r="AP104" s="89" t="str">
        <f aca="false">IF(AO104="","",ROUND(AO104/(1+Справочники!$B$13),2))</f>
        <v/>
      </c>
      <c r="AQ104" s="90" t="str">
        <f aca="false" t="array" ref="AQ104:AQ104">IF(AP104="","",AP104*INDEX(Справочники!$B$4:$B$7,MATCH("RUB",Справочники!$A$4:$A$7,0)))</f>
        <v/>
      </c>
      <c r="AR104" s="90" t="str">
        <f aca="false">IF(AQ104="","",ROUND(AQ104*(1+Справочники!$B$12),0))</f>
        <v/>
      </c>
      <c r="AS104" s="90" t="str">
        <f aca="false">IF(AR104="","",ROUND(AR104*(1-Справочники!$B$11),0))</f>
        <v/>
      </c>
      <c r="AT104" s="88"/>
      <c r="AU104" s="90" t="str">
        <f aca="false">IF(AT104="","",ROUND(AT104/(1+Справочники!$B$12),0))</f>
        <v/>
      </c>
      <c r="AV104" s="90" t="str">
        <f aca="false">IF(AT104="","",ROUND(AT104*(1-Справочники!$B$15),0))</f>
        <v/>
      </c>
      <c r="AW104" s="90" t="str">
        <f aca="false">IF(AT104="","",ROUND(AT104*(1-Справочники!$B$16),0))</f>
        <v/>
      </c>
      <c r="AX104" s="90" t="str">
        <f aca="false">IF(AT104="","",ROUND(AT104*(1-Справочники!$B$17),0))</f>
        <v/>
      </c>
      <c r="AY104" s="90" t="str">
        <f aca="false">IF(AT104="","",ROUND(AT104*(1-Справочники!$B$18),0))</f>
        <v/>
      </c>
      <c r="AZ104" s="90" t="str">
        <f aca="false">IF(AT104="","",ROUND(AT104*(1-Справочники!$B$19),0))</f>
        <v/>
      </c>
      <c r="BA104" s="81"/>
      <c r="BB104" s="81"/>
      <c r="BC104" s="81"/>
      <c r="BD104" s="81"/>
      <c r="BE104" s="91"/>
      <c r="BF104" s="81" t="s">
        <v>103</v>
      </c>
      <c r="BG104" s="89" t="n">
        <f aca="false" t="array" ref="BG104:BG104">IF(BF104="","",IFERROR(INDEX(Справочники!$B$4:$B$7,MATCH(BF104,Справочники!$A$4:$A$7,0)),""))</f>
        <v>68.5</v>
      </c>
      <c r="BH104" s="90" t="str">
        <f aca="false">IF(N(BN104)&gt;0,ROUND(SUMIF(ЗАКАЗЫ!$F$3:$F$500,$A104,ЗАКАЗЫ!$Y$3:$Y$500)/BN104,0),IF(OR(BE104="",BG104=""),"",ROUND(BE104*BG104*(1+Справочники!$B$10),0)))</f>
        <v/>
      </c>
      <c r="BI104" s="92" t="str">
        <f aca="false">IF(OR(AU104="",BH104="",AU104=0),"",(AU104-BH104)/AU104)</f>
        <v/>
      </c>
      <c r="BJ104" s="81"/>
      <c r="BK104" s="83"/>
      <c r="BL104" s="43" t="str">
        <f aca="false">IFERROR(INDEX(ЗАКАЗЫ!$N$3:$N$500,MATCH($A104,ЗАКАЗЫ!$F$3:$F$500,0)),"")</f>
        <v/>
      </c>
      <c r="BM104" s="8" t="str">
        <f aca="false">IF(BL104="","",IFERROR(VLOOKUP(BL104,'ТН ВЭД'!$A$4:$C$40,3,0),""))</f>
        <v/>
      </c>
      <c r="BN104" s="7" t="str">
        <f aca="false">IF(COUNTIF(ЗАКАЗЫ!$F$3:$F$500,$A104)=0,"",SUMIF(ЗАКАЗЫ!$F$3:$F$500,$A104,ЗАКАЗЫ!$J$3:$J$500))</f>
        <v/>
      </c>
      <c r="BO104" s="7" t="str">
        <f aca="false">IF(BN104="","",SUMIF(ЗАКАЗЫ!$F$3:$F$500,$A104,ЗАКАЗЫ!$AL$3:$AL$500))</f>
        <v/>
      </c>
      <c r="BP104" s="7" t="str">
        <f aca="false">IF(BN104="","",BN104-BO104)</f>
        <v/>
      </c>
      <c r="BQ104" s="55" t="str">
        <f aca="false">IF(BN104="","",IF(BO104&gt;=BN104,"На складе",IF(BO104&gt;0,"Частично","Ждём")))</f>
        <v/>
      </c>
      <c r="BR104" s="43"/>
      <c r="BS104" s="47" t="str">
        <f aca="false">IF(BN104="","",IF(_xlfn.MAXIFS(ЗАКАЗЫ!$AK$3:$AK$500,ЗАКАЗЫ!$F$3:$F$500,$A104)=0,"",_xlfn.MAXIFS(ЗАКАЗЫ!$AK$3:$AK$500,ЗАКАЗЫ!$F$3:$F$500,$A104)))</f>
        <v/>
      </c>
    </row>
    <row r="105" customFormat="false" ht="15.75" hidden="false" customHeight="true" outlineLevel="0" collapsed="false">
      <c r="A105" s="80" t="s">
        <v>937</v>
      </c>
      <c r="B105" s="81"/>
      <c r="C105" s="81"/>
      <c r="D105" s="81"/>
      <c r="E105" s="83"/>
      <c r="F105" s="81"/>
      <c r="G105" s="83"/>
      <c r="H105" s="83"/>
      <c r="I105" s="84" t="str">
        <f aca="false">IF(E105="","",A105&amp;"_1.jpg")</f>
        <v/>
      </c>
      <c r="J105" s="84" t="str">
        <f aca="false">IF(E105="","",A105&amp;"_2.jpg; "&amp;A105&amp;"_3.jpg")</f>
        <v/>
      </c>
      <c r="K105" s="84" t="str">
        <f aca="false">IF(E105="","",A105&amp;"_schema.jpg")</f>
        <v/>
      </c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 t="s">
        <v>96</v>
      </c>
      <c r="W105" s="81"/>
      <c r="X105" s="81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6" t="str">
        <f aca="false">IF(SUM(Y105:AJ105)=0,"",SUM(Y105:AJ105))</f>
        <v/>
      </c>
      <c r="AL105" s="84" t="str">
        <f aca="false">MID(IF(N(Y105)&gt;0,", "&amp;Y$2,"")&amp;IF(N(Z105)&gt;0,", "&amp;Z$2,"")&amp;IF(N(AA105)&gt;0,", "&amp;AA$2,"")&amp;IF(N(AB105)&gt;0,", "&amp;AB$2,"")&amp;IF(N(AC105)&gt;0,", "&amp;AC$2,"")&amp;IF(N(AD105)&gt;0,", "&amp;AD$2,"")&amp;IF(N(AE105)&gt;0,", "&amp;AE$2,"")&amp;IF(N(AF105)&gt;0,", "&amp;AF$2,"")&amp;IF(N(AG105)&gt;0,", "&amp;AG$2,"")&amp;IF(N(AH105)&gt;0,", "&amp;AH$2,"")&amp;IF(N(AI105)&gt;0,", "&amp;AI$2,"")&amp;IF(N(AJ105)&gt;0,", "&amp;AJ$2,""),3,999)</f>
        <v/>
      </c>
      <c r="AM105" s="87" t="str">
        <f aca="false">IF(E105="","",MID(IF(N(Y105)&gt;0,", "&amp;A105&amp;"-"&amp;Y$2,"")&amp;IF(N(Z105)&gt;0,", "&amp;A105&amp;"-"&amp;Z$2,"")&amp;IF(N(AA105)&gt;0,", "&amp;A105&amp;"-"&amp;AA$2,"")&amp;IF(N(AB105)&gt;0,", "&amp;A105&amp;"-"&amp;AB$2,"")&amp;IF(N(AC105)&gt;0,", "&amp;A105&amp;"-"&amp;AC$2,"")&amp;IF(N(AD105)&gt;0,", "&amp;A105&amp;"-"&amp;AD$2,"")&amp;IF(N(AE105)&gt;0,", "&amp;A105&amp;"-"&amp;AE$2,"")&amp;IF(N(AF105)&gt;0,", "&amp;A105&amp;"-"&amp;AF$2,"")&amp;IF(N(AG105)&gt;0,", "&amp;A105&amp;"-"&amp;AG$2,"")&amp;IF(N(AH105)&gt;0,", "&amp;A105&amp;"-"&amp;AH$2,"")&amp;IF(N(AI105)&gt;0,", "&amp;A105&amp;"-"&amp;AI$2,"")&amp;IF(N(AJ105)&gt;0,", "&amp;A105&amp;"-"&amp;AJ$2,""),3,999))</f>
        <v/>
      </c>
      <c r="AN105" s="81"/>
      <c r="AO105" s="88"/>
      <c r="AP105" s="89" t="str">
        <f aca="false">IF(AO105="","",ROUND(AO105/(1+Справочники!$B$13),2))</f>
        <v/>
      </c>
      <c r="AQ105" s="90" t="str">
        <f aca="false" t="array" ref="AQ105:AQ105">IF(AP105="","",AP105*INDEX(Справочники!$B$4:$B$7,MATCH("RUB",Справочники!$A$4:$A$7,0)))</f>
        <v/>
      </c>
      <c r="AR105" s="90" t="str">
        <f aca="false">IF(AQ105="","",ROUND(AQ105*(1+Справочники!$B$12),0))</f>
        <v/>
      </c>
      <c r="AS105" s="90" t="str">
        <f aca="false">IF(AR105="","",ROUND(AR105*(1-Справочники!$B$11),0))</f>
        <v/>
      </c>
      <c r="AT105" s="88"/>
      <c r="AU105" s="90" t="str">
        <f aca="false">IF(AT105="","",ROUND(AT105/(1+Справочники!$B$12),0))</f>
        <v/>
      </c>
      <c r="AV105" s="90" t="str">
        <f aca="false">IF(AT105="","",ROUND(AT105*(1-Справочники!$B$15),0))</f>
        <v/>
      </c>
      <c r="AW105" s="90" t="str">
        <f aca="false">IF(AT105="","",ROUND(AT105*(1-Справочники!$B$16),0))</f>
        <v/>
      </c>
      <c r="AX105" s="90" t="str">
        <f aca="false">IF(AT105="","",ROUND(AT105*(1-Справочники!$B$17),0))</f>
        <v/>
      </c>
      <c r="AY105" s="90" t="str">
        <f aca="false">IF(AT105="","",ROUND(AT105*(1-Справочники!$B$18),0))</f>
        <v/>
      </c>
      <c r="AZ105" s="90" t="str">
        <f aca="false">IF(AT105="","",ROUND(AT105*(1-Справочники!$B$19),0))</f>
        <v/>
      </c>
      <c r="BA105" s="81"/>
      <c r="BB105" s="81"/>
      <c r="BC105" s="81"/>
      <c r="BD105" s="81"/>
      <c r="BE105" s="91"/>
      <c r="BF105" s="81" t="s">
        <v>103</v>
      </c>
      <c r="BG105" s="89" t="n">
        <f aca="false" t="array" ref="BG105:BG105">IF(BF105="","",IFERROR(INDEX(Справочники!$B$4:$B$7,MATCH(BF105,Справочники!$A$4:$A$7,0)),""))</f>
        <v>68.5</v>
      </c>
      <c r="BH105" s="90" t="str">
        <f aca="false">IF(N(BN105)&gt;0,ROUND(SUMIF(ЗАКАЗЫ!$F$3:$F$500,$A105,ЗАКАЗЫ!$Y$3:$Y$500)/BN105,0),IF(OR(BE105="",BG105=""),"",ROUND(BE105*BG105*(1+Справочники!$B$10),0)))</f>
        <v/>
      </c>
      <c r="BI105" s="92" t="str">
        <f aca="false">IF(OR(AU105="",BH105="",AU105=0),"",(AU105-BH105)/AU105)</f>
        <v/>
      </c>
      <c r="BJ105" s="81"/>
      <c r="BK105" s="83"/>
      <c r="BL105" s="43" t="str">
        <f aca="false">IFERROR(INDEX(ЗАКАЗЫ!$N$3:$N$500,MATCH($A105,ЗАКАЗЫ!$F$3:$F$500,0)),"")</f>
        <v/>
      </c>
      <c r="BM105" s="8" t="str">
        <f aca="false">IF(BL105="","",IFERROR(VLOOKUP(BL105,'ТН ВЭД'!$A$4:$C$40,3,0),""))</f>
        <v/>
      </c>
      <c r="BN105" s="7" t="str">
        <f aca="false">IF(COUNTIF(ЗАКАЗЫ!$F$3:$F$500,$A105)=0,"",SUMIF(ЗАКАЗЫ!$F$3:$F$500,$A105,ЗАКАЗЫ!$J$3:$J$500))</f>
        <v/>
      </c>
      <c r="BO105" s="7" t="str">
        <f aca="false">IF(BN105="","",SUMIF(ЗАКАЗЫ!$F$3:$F$500,$A105,ЗАКАЗЫ!$AL$3:$AL$500))</f>
        <v/>
      </c>
      <c r="BP105" s="7" t="str">
        <f aca="false">IF(BN105="","",BN105-BO105)</f>
        <v/>
      </c>
      <c r="BQ105" s="55" t="str">
        <f aca="false">IF(BN105="","",IF(BO105&gt;=BN105,"На складе",IF(BO105&gt;0,"Частично","Ждём")))</f>
        <v/>
      </c>
      <c r="BR105" s="43"/>
      <c r="BS105" s="47" t="str">
        <f aca="false">IF(BN105="","",IF(_xlfn.MAXIFS(ЗАКАЗЫ!$AK$3:$AK$500,ЗАКАЗЫ!$F$3:$F$500,$A105)=0,"",_xlfn.MAXIFS(ЗАКАЗЫ!$AK$3:$AK$500,ЗАКАЗЫ!$F$3:$F$500,$A105)))</f>
        <v/>
      </c>
    </row>
    <row r="106" customFormat="false" ht="15.75" hidden="false" customHeight="true" outlineLevel="0" collapsed="false">
      <c r="A106" s="80" t="s">
        <v>938</v>
      </c>
      <c r="B106" s="81"/>
      <c r="C106" s="81"/>
      <c r="D106" s="81"/>
      <c r="E106" s="83"/>
      <c r="F106" s="81"/>
      <c r="G106" s="83"/>
      <c r="H106" s="83"/>
      <c r="I106" s="84" t="str">
        <f aca="false">IF(E106="","",A106&amp;"_1.jpg")</f>
        <v/>
      </c>
      <c r="J106" s="84" t="str">
        <f aca="false">IF(E106="","",A106&amp;"_2.jpg; "&amp;A106&amp;"_3.jpg")</f>
        <v/>
      </c>
      <c r="K106" s="84" t="str">
        <f aca="false">IF(E106="","",A106&amp;"_schema.jpg")</f>
        <v/>
      </c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 t="s">
        <v>96</v>
      </c>
      <c r="W106" s="81"/>
      <c r="X106" s="81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6" t="str">
        <f aca="false">IF(SUM(Y106:AJ106)=0,"",SUM(Y106:AJ106))</f>
        <v/>
      </c>
      <c r="AL106" s="84" t="str">
        <f aca="false">MID(IF(N(Y106)&gt;0,", "&amp;Y$2,"")&amp;IF(N(Z106)&gt;0,", "&amp;Z$2,"")&amp;IF(N(AA106)&gt;0,", "&amp;AA$2,"")&amp;IF(N(AB106)&gt;0,", "&amp;AB$2,"")&amp;IF(N(AC106)&gt;0,", "&amp;AC$2,"")&amp;IF(N(AD106)&gt;0,", "&amp;AD$2,"")&amp;IF(N(AE106)&gt;0,", "&amp;AE$2,"")&amp;IF(N(AF106)&gt;0,", "&amp;AF$2,"")&amp;IF(N(AG106)&gt;0,", "&amp;AG$2,"")&amp;IF(N(AH106)&gt;0,", "&amp;AH$2,"")&amp;IF(N(AI106)&gt;0,", "&amp;AI$2,"")&amp;IF(N(AJ106)&gt;0,", "&amp;AJ$2,""),3,999)</f>
        <v/>
      </c>
      <c r="AM106" s="87" t="str">
        <f aca="false">IF(E106="","",MID(IF(N(Y106)&gt;0,", "&amp;A106&amp;"-"&amp;Y$2,"")&amp;IF(N(Z106)&gt;0,", "&amp;A106&amp;"-"&amp;Z$2,"")&amp;IF(N(AA106)&gt;0,", "&amp;A106&amp;"-"&amp;AA$2,"")&amp;IF(N(AB106)&gt;0,", "&amp;A106&amp;"-"&amp;AB$2,"")&amp;IF(N(AC106)&gt;0,", "&amp;A106&amp;"-"&amp;AC$2,"")&amp;IF(N(AD106)&gt;0,", "&amp;A106&amp;"-"&amp;AD$2,"")&amp;IF(N(AE106)&gt;0,", "&amp;A106&amp;"-"&amp;AE$2,"")&amp;IF(N(AF106)&gt;0,", "&amp;A106&amp;"-"&amp;AF$2,"")&amp;IF(N(AG106)&gt;0,", "&amp;A106&amp;"-"&amp;AG$2,"")&amp;IF(N(AH106)&gt;0,", "&amp;A106&amp;"-"&amp;AH$2,"")&amp;IF(N(AI106)&gt;0,", "&amp;A106&amp;"-"&amp;AI$2,"")&amp;IF(N(AJ106)&gt;0,", "&amp;A106&amp;"-"&amp;AJ$2,""),3,999))</f>
        <v/>
      </c>
      <c r="AN106" s="81"/>
      <c r="AO106" s="88"/>
      <c r="AP106" s="89" t="str">
        <f aca="false">IF(AO106="","",ROUND(AO106/(1+Справочники!$B$13),2))</f>
        <v/>
      </c>
      <c r="AQ106" s="90" t="str">
        <f aca="false" t="array" ref="AQ106:AQ106">IF(AP106="","",AP106*INDEX(Справочники!$B$4:$B$7,MATCH("RUB",Справочники!$A$4:$A$7,0)))</f>
        <v/>
      </c>
      <c r="AR106" s="90" t="str">
        <f aca="false">IF(AQ106="","",ROUND(AQ106*(1+Справочники!$B$12),0))</f>
        <v/>
      </c>
      <c r="AS106" s="90" t="str">
        <f aca="false">IF(AR106="","",ROUND(AR106*(1-Справочники!$B$11),0))</f>
        <v/>
      </c>
      <c r="AT106" s="88"/>
      <c r="AU106" s="90" t="str">
        <f aca="false">IF(AT106="","",ROUND(AT106/(1+Справочники!$B$12),0))</f>
        <v/>
      </c>
      <c r="AV106" s="90" t="str">
        <f aca="false">IF(AT106="","",ROUND(AT106*(1-Справочники!$B$15),0))</f>
        <v/>
      </c>
      <c r="AW106" s="90" t="str">
        <f aca="false">IF(AT106="","",ROUND(AT106*(1-Справочники!$B$16),0))</f>
        <v/>
      </c>
      <c r="AX106" s="90" t="str">
        <f aca="false">IF(AT106="","",ROUND(AT106*(1-Справочники!$B$17),0))</f>
        <v/>
      </c>
      <c r="AY106" s="90" t="str">
        <f aca="false">IF(AT106="","",ROUND(AT106*(1-Справочники!$B$18),0))</f>
        <v/>
      </c>
      <c r="AZ106" s="90" t="str">
        <f aca="false">IF(AT106="","",ROUND(AT106*(1-Справочники!$B$19),0))</f>
        <v/>
      </c>
      <c r="BA106" s="81"/>
      <c r="BB106" s="81"/>
      <c r="BC106" s="81"/>
      <c r="BD106" s="81"/>
      <c r="BE106" s="91"/>
      <c r="BF106" s="81" t="s">
        <v>103</v>
      </c>
      <c r="BG106" s="89" t="n">
        <f aca="false" t="array" ref="BG106:BG106">IF(BF106="","",IFERROR(INDEX(Справочники!$B$4:$B$7,MATCH(BF106,Справочники!$A$4:$A$7,0)),""))</f>
        <v>68.5</v>
      </c>
      <c r="BH106" s="90" t="str">
        <f aca="false">IF(N(BN106)&gt;0,ROUND(SUMIF(ЗАКАЗЫ!$F$3:$F$500,$A106,ЗАКАЗЫ!$Y$3:$Y$500)/BN106,0),IF(OR(BE106="",BG106=""),"",ROUND(BE106*BG106*(1+Справочники!$B$10),0)))</f>
        <v/>
      </c>
      <c r="BI106" s="92" t="str">
        <f aca="false">IF(OR(AU106="",BH106="",AU106=0),"",(AU106-BH106)/AU106)</f>
        <v/>
      </c>
      <c r="BJ106" s="81"/>
      <c r="BK106" s="83"/>
      <c r="BL106" s="43" t="str">
        <f aca="false">IFERROR(INDEX(ЗАКАЗЫ!$N$3:$N$500,MATCH($A106,ЗАКАЗЫ!$F$3:$F$500,0)),"")</f>
        <v/>
      </c>
      <c r="BM106" s="8" t="str">
        <f aca="false">IF(BL106="","",IFERROR(VLOOKUP(BL106,'ТН ВЭД'!$A$4:$C$40,3,0),""))</f>
        <v/>
      </c>
      <c r="BN106" s="7" t="str">
        <f aca="false">IF(COUNTIF(ЗАКАЗЫ!$F$3:$F$500,$A106)=0,"",SUMIF(ЗАКАЗЫ!$F$3:$F$500,$A106,ЗАКАЗЫ!$J$3:$J$500))</f>
        <v/>
      </c>
      <c r="BO106" s="7" t="str">
        <f aca="false">IF(BN106="","",SUMIF(ЗАКАЗЫ!$F$3:$F$500,$A106,ЗАКАЗЫ!$AL$3:$AL$500))</f>
        <v/>
      </c>
      <c r="BP106" s="7" t="str">
        <f aca="false">IF(BN106="","",BN106-BO106)</f>
        <v/>
      </c>
      <c r="BQ106" s="55" t="str">
        <f aca="false">IF(BN106="","",IF(BO106&gt;=BN106,"На складе",IF(BO106&gt;0,"Частично","Ждём")))</f>
        <v/>
      </c>
      <c r="BR106" s="43"/>
      <c r="BS106" s="47" t="str">
        <f aca="false">IF(BN106="","",IF(_xlfn.MAXIFS(ЗАКАЗЫ!$AK$3:$AK$500,ЗАКАЗЫ!$F$3:$F$500,$A106)=0,"",_xlfn.MAXIFS(ЗАКАЗЫ!$AK$3:$AK$500,ЗАКАЗЫ!$F$3:$F$500,$A106)))</f>
        <v/>
      </c>
    </row>
    <row r="107" customFormat="false" ht="15.75" hidden="false" customHeight="true" outlineLevel="0" collapsed="false">
      <c r="A107" s="80" t="s">
        <v>939</v>
      </c>
      <c r="B107" s="81"/>
      <c r="C107" s="81"/>
      <c r="D107" s="81"/>
      <c r="E107" s="83"/>
      <c r="F107" s="81"/>
      <c r="G107" s="83"/>
      <c r="H107" s="83"/>
      <c r="I107" s="84" t="str">
        <f aca="false">IF(E107="","",A107&amp;"_1.jpg")</f>
        <v/>
      </c>
      <c r="J107" s="84" t="str">
        <f aca="false">IF(E107="","",A107&amp;"_2.jpg; "&amp;A107&amp;"_3.jpg")</f>
        <v/>
      </c>
      <c r="K107" s="84" t="str">
        <f aca="false">IF(E107="","",A107&amp;"_schema.jpg")</f>
        <v/>
      </c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 t="s">
        <v>96</v>
      </c>
      <c r="W107" s="81"/>
      <c r="X107" s="81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6" t="str">
        <f aca="false">IF(SUM(Y107:AJ107)=0,"",SUM(Y107:AJ107))</f>
        <v/>
      </c>
      <c r="AL107" s="84" t="str">
        <f aca="false">MID(IF(N(Y107)&gt;0,", "&amp;Y$2,"")&amp;IF(N(Z107)&gt;0,", "&amp;Z$2,"")&amp;IF(N(AA107)&gt;0,", "&amp;AA$2,"")&amp;IF(N(AB107)&gt;0,", "&amp;AB$2,"")&amp;IF(N(AC107)&gt;0,", "&amp;AC$2,"")&amp;IF(N(AD107)&gt;0,", "&amp;AD$2,"")&amp;IF(N(AE107)&gt;0,", "&amp;AE$2,"")&amp;IF(N(AF107)&gt;0,", "&amp;AF$2,"")&amp;IF(N(AG107)&gt;0,", "&amp;AG$2,"")&amp;IF(N(AH107)&gt;0,", "&amp;AH$2,"")&amp;IF(N(AI107)&gt;0,", "&amp;AI$2,"")&amp;IF(N(AJ107)&gt;0,", "&amp;AJ$2,""),3,999)</f>
        <v/>
      </c>
      <c r="AM107" s="87" t="str">
        <f aca="false">IF(E107="","",MID(IF(N(Y107)&gt;0,", "&amp;A107&amp;"-"&amp;Y$2,"")&amp;IF(N(Z107)&gt;0,", "&amp;A107&amp;"-"&amp;Z$2,"")&amp;IF(N(AA107)&gt;0,", "&amp;A107&amp;"-"&amp;AA$2,"")&amp;IF(N(AB107)&gt;0,", "&amp;A107&amp;"-"&amp;AB$2,"")&amp;IF(N(AC107)&gt;0,", "&amp;A107&amp;"-"&amp;AC$2,"")&amp;IF(N(AD107)&gt;0,", "&amp;A107&amp;"-"&amp;AD$2,"")&amp;IF(N(AE107)&gt;0,", "&amp;A107&amp;"-"&amp;AE$2,"")&amp;IF(N(AF107)&gt;0,", "&amp;A107&amp;"-"&amp;AF$2,"")&amp;IF(N(AG107)&gt;0,", "&amp;A107&amp;"-"&amp;AG$2,"")&amp;IF(N(AH107)&gt;0,", "&amp;A107&amp;"-"&amp;AH$2,"")&amp;IF(N(AI107)&gt;0,", "&amp;A107&amp;"-"&amp;AI$2,"")&amp;IF(N(AJ107)&gt;0,", "&amp;A107&amp;"-"&amp;AJ$2,""),3,999))</f>
        <v/>
      </c>
      <c r="AN107" s="81"/>
      <c r="AO107" s="88"/>
      <c r="AP107" s="89" t="str">
        <f aca="false">IF(AO107="","",ROUND(AO107/(1+Справочники!$B$13),2))</f>
        <v/>
      </c>
      <c r="AQ107" s="90" t="str">
        <f aca="false" t="array" ref="AQ107:AQ107">IF(AP107="","",AP107*INDEX(Справочники!$B$4:$B$7,MATCH("RUB",Справочники!$A$4:$A$7,0)))</f>
        <v/>
      </c>
      <c r="AR107" s="90" t="str">
        <f aca="false">IF(AQ107="","",ROUND(AQ107*(1+Справочники!$B$12),0))</f>
        <v/>
      </c>
      <c r="AS107" s="90" t="str">
        <f aca="false">IF(AR107="","",ROUND(AR107*(1-Справочники!$B$11),0))</f>
        <v/>
      </c>
      <c r="AT107" s="88"/>
      <c r="AU107" s="90" t="str">
        <f aca="false">IF(AT107="","",ROUND(AT107/(1+Справочники!$B$12),0))</f>
        <v/>
      </c>
      <c r="AV107" s="90" t="str">
        <f aca="false">IF(AT107="","",ROUND(AT107*(1-Справочники!$B$15),0))</f>
        <v/>
      </c>
      <c r="AW107" s="90" t="str">
        <f aca="false">IF(AT107="","",ROUND(AT107*(1-Справочники!$B$16),0))</f>
        <v/>
      </c>
      <c r="AX107" s="90" t="str">
        <f aca="false">IF(AT107="","",ROUND(AT107*(1-Справочники!$B$17),0))</f>
        <v/>
      </c>
      <c r="AY107" s="90" t="str">
        <f aca="false">IF(AT107="","",ROUND(AT107*(1-Справочники!$B$18),0))</f>
        <v/>
      </c>
      <c r="AZ107" s="90" t="str">
        <f aca="false">IF(AT107="","",ROUND(AT107*(1-Справочники!$B$19),0))</f>
        <v/>
      </c>
      <c r="BA107" s="81"/>
      <c r="BB107" s="81"/>
      <c r="BC107" s="81"/>
      <c r="BD107" s="81"/>
      <c r="BE107" s="91"/>
      <c r="BF107" s="81" t="s">
        <v>103</v>
      </c>
      <c r="BG107" s="89" t="n">
        <f aca="false" t="array" ref="BG107:BG107">IF(BF107="","",IFERROR(INDEX(Справочники!$B$4:$B$7,MATCH(BF107,Справочники!$A$4:$A$7,0)),""))</f>
        <v>68.5</v>
      </c>
      <c r="BH107" s="90" t="str">
        <f aca="false">IF(N(BN107)&gt;0,ROUND(SUMIF(ЗАКАЗЫ!$F$3:$F$500,$A107,ЗАКАЗЫ!$Y$3:$Y$500)/BN107,0),IF(OR(BE107="",BG107=""),"",ROUND(BE107*BG107*(1+Справочники!$B$10),0)))</f>
        <v/>
      </c>
      <c r="BI107" s="92" t="str">
        <f aca="false">IF(OR(AU107="",BH107="",AU107=0),"",(AU107-BH107)/AU107)</f>
        <v/>
      </c>
      <c r="BJ107" s="81"/>
      <c r="BK107" s="83"/>
      <c r="BL107" s="43" t="str">
        <f aca="false">IFERROR(INDEX(ЗАКАЗЫ!$N$3:$N$500,MATCH($A107,ЗАКАЗЫ!$F$3:$F$500,0)),"")</f>
        <v/>
      </c>
      <c r="BM107" s="8" t="str">
        <f aca="false">IF(BL107="","",IFERROR(VLOOKUP(BL107,'ТН ВЭД'!$A$4:$C$40,3,0),""))</f>
        <v/>
      </c>
      <c r="BN107" s="7" t="str">
        <f aca="false">IF(COUNTIF(ЗАКАЗЫ!$F$3:$F$500,$A107)=0,"",SUMIF(ЗАКАЗЫ!$F$3:$F$500,$A107,ЗАКАЗЫ!$J$3:$J$500))</f>
        <v/>
      </c>
      <c r="BO107" s="7" t="str">
        <f aca="false">IF(BN107="","",SUMIF(ЗАКАЗЫ!$F$3:$F$500,$A107,ЗАКАЗЫ!$AL$3:$AL$500))</f>
        <v/>
      </c>
      <c r="BP107" s="7" t="str">
        <f aca="false">IF(BN107="","",BN107-BO107)</f>
        <v/>
      </c>
      <c r="BQ107" s="55" t="str">
        <f aca="false">IF(BN107="","",IF(BO107&gt;=BN107,"На складе",IF(BO107&gt;0,"Частично","Ждём")))</f>
        <v/>
      </c>
      <c r="BR107" s="43"/>
      <c r="BS107" s="47" t="str">
        <f aca="false">IF(BN107="","",IF(_xlfn.MAXIFS(ЗАКАЗЫ!$AK$3:$AK$500,ЗАКАЗЫ!$F$3:$F$500,$A107)=0,"",_xlfn.MAXIFS(ЗАКАЗЫ!$AK$3:$AK$500,ЗАКАЗЫ!$F$3:$F$500,$A107)))</f>
        <v/>
      </c>
    </row>
    <row r="108" customFormat="false" ht="15.75" hidden="false" customHeight="true" outlineLevel="0" collapsed="false">
      <c r="A108" s="80" t="s">
        <v>940</v>
      </c>
      <c r="B108" s="81"/>
      <c r="C108" s="81"/>
      <c r="D108" s="81"/>
      <c r="E108" s="83"/>
      <c r="F108" s="81"/>
      <c r="G108" s="83"/>
      <c r="H108" s="83"/>
      <c r="I108" s="84" t="str">
        <f aca="false">IF(E108="","",A108&amp;"_1.jpg")</f>
        <v/>
      </c>
      <c r="J108" s="84" t="str">
        <f aca="false">IF(E108="","",A108&amp;"_2.jpg; "&amp;A108&amp;"_3.jpg")</f>
        <v/>
      </c>
      <c r="K108" s="84" t="str">
        <f aca="false">IF(E108="","",A108&amp;"_schema.jpg")</f>
        <v/>
      </c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 t="s">
        <v>96</v>
      </c>
      <c r="W108" s="81"/>
      <c r="X108" s="81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6" t="str">
        <f aca="false">IF(SUM(Y108:AJ108)=0,"",SUM(Y108:AJ108))</f>
        <v/>
      </c>
      <c r="AL108" s="84" t="str">
        <f aca="false">MID(IF(N(Y108)&gt;0,", "&amp;Y$2,"")&amp;IF(N(Z108)&gt;0,", "&amp;Z$2,"")&amp;IF(N(AA108)&gt;0,", "&amp;AA$2,"")&amp;IF(N(AB108)&gt;0,", "&amp;AB$2,"")&amp;IF(N(AC108)&gt;0,", "&amp;AC$2,"")&amp;IF(N(AD108)&gt;0,", "&amp;AD$2,"")&amp;IF(N(AE108)&gt;0,", "&amp;AE$2,"")&amp;IF(N(AF108)&gt;0,", "&amp;AF$2,"")&amp;IF(N(AG108)&gt;0,", "&amp;AG$2,"")&amp;IF(N(AH108)&gt;0,", "&amp;AH$2,"")&amp;IF(N(AI108)&gt;0,", "&amp;AI$2,"")&amp;IF(N(AJ108)&gt;0,", "&amp;AJ$2,""),3,999)</f>
        <v/>
      </c>
      <c r="AM108" s="87" t="str">
        <f aca="false">IF(E108="","",MID(IF(N(Y108)&gt;0,", "&amp;A108&amp;"-"&amp;Y$2,"")&amp;IF(N(Z108)&gt;0,", "&amp;A108&amp;"-"&amp;Z$2,"")&amp;IF(N(AA108)&gt;0,", "&amp;A108&amp;"-"&amp;AA$2,"")&amp;IF(N(AB108)&gt;0,", "&amp;A108&amp;"-"&amp;AB$2,"")&amp;IF(N(AC108)&gt;0,", "&amp;A108&amp;"-"&amp;AC$2,"")&amp;IF(N(AD108)&gt;0,", "&amp;A108&amp;"-"&amp;AD$2,"")&amp;IF(N(AE108)&gt;0,", "&amp;A108&amp;"-"&amp;AE$2,"")&amp;IF(N(AF108)&gt;0,", "&amp;A108&amp;"-"&amp;AF$2,"")&amp;IF(N(AG108)&gt;0,", "&amp;A108&amp;"-"&amp;AG$2,"")&amp;IF(N(AH108)&gt;0,", "&amp;A108&amp;"-"&amp;AH$2,"")&amp;IF(N(AI108)&gt;0,", "&amp;A108&amp;"-"&amp;AI$2,"")&amp;IF(N(AJ108)&gt;0,", "&amp;A108&amp;"-"&amp;AJ$2,""),3,999))</f>
        <v/>
      </c>
      <c r="AN108" s="81"/>
      <c r="AO108" s="88"/>
      <c r="AP108" s="89" t="str">
        <f aca="false">IF(AO108="","",ROUND(AO108/(1+Справочники!$B$13),2))</f>
        <v/>
      </c>
      <c r="AQ108" s="90" t="str">
        <f aca="false" t="array" ref="AQ108:AQ108">IF(AP108="","",AP108*INDEX(Справочники!$B$4:$B$7,MATCH("RUB",Справочники!$A$4:$A$7,0)))</f>
        <v/>
      </c>
      <c r="AR108" s="90" t="str">
        <f aca="false">IF(AQ108="","",ROUND(AQ108*(1+Справочники!$B$12),0))</f>
        <v/>
      </c>
      <c r="AS108" s="90" t="str">
        <f aca="false">IF(AR108="","",ROUND(AR108*(1-Справочники!$B$11),0))</f>
        <v/>
      </c>
      <c r="AT108" s="88"/>
      <c r="AU108" s="90" t="str">
        <f aca="false">IF(AT108="","",ROUND(AT108/(1+Справочники!$B$12),0))</f>
        <v/>
      </c>
      <c r="AV108" s="90" t="str">
        <f aca="false">IF(AT108="","",ROUND(AT108*(1-Справочники!$B$15),0))</f>
        <v/>
      </c>
      <c r="AW108" s="90" t="str">
        <f aca="false">IF(AT108="","",ROUND(AT108*(1-Справочники!$B$16),0))</f>
        <v/>
      </c>
      <c r="AX108" s="90" t="str">
        <f aca="false">IF(AT108="","",ROUND(AT108*(1-Справочники!$B$17),0))</f>
        <v/>
      </c>
      <c r="AY108" s="90" t="str">
        <f aca="false">IF(AT108="","",ROUND(AT108*(1-Справочники!$B$18),0))</f>
        <v/>
      </c>
      <c r="AZ108" s="90" t="str">
        <f aca="false">IF(AT108="","",ROUND(AT108*(1-Справочники!$B$19),0))</f>
        <v/>
      </c>
      <c r="BA108" s="81"/>
      <c r="BB108" s="81"/>
      <c r="BC108" s="81"/>
      <c r="BD108" s="81"/>
      <c r="BE108" s="91"/>
      <c r="BF108" s="81" t="s">
        <v>103</v>
      </c>
      <c r="BG108" s="89" t="n">
        <f aca="false" t="array" ref="BG108:BG108">IF(BF108="","",IFERROR(INDEX(Справочники!$B$4:$B$7,MATCH(BF108,Справочники!$A$4:$A$7,0)),""))</f>
        <v>68.5</v>
      </c>
      <c r="BH108" s="90" t="str">
        <f aca="false">IF(N(BN108)&gt;0,ROUND(SUMIF(ЗАКАЗЫ!$F$3:$F$500,$A108,ЗАКАЗЫ!$Y$3:$Y$500)/BN108,0),IF(OR(BE108="",BG108=""),"",ROUND(BE108*BG108*(1+Справочники!$B$10),0)))</f>
        <v/>
      </c>
      <c r="BI108" s="92" t="str">
        <f aca="false">IF(OR(AU108="",BH108="",AU108=0),"",(AU108-BH108)/AU108)</f>
        <v/>
      </c>
      <c r="BJ108" s="81"/>
      <c r="BK108" s="83"/>
      <c r="BL108" s="43" t="str">
        <f aca="false">IFERROR(INDEX(ЗАКАЗЫ!$N$3:$N$500,MATCH($A108,ЗАКАЗЫ!$F$3:$F$500,0)),"")</f>
        <v/>
      </c>
      <c r="BM108" s="8" t="str">
        <f aca="false">IF(BL108="","",IFERROR(VLOOKUP(BL108,'ТН ВЭД'!$A$4:$C$40,3,0),""))</f>
        <v/>
      </c>
      <c r="BN108" s="7" t="str">
        <f aca="false">IF(COUNTIF(ЗАКАЗЫ!$F$3:$F$500,$A108)=0,"",SUMIF(ЗАКАЗЫ!$F$3:$F$500,$A108,ЗАКАЗЫ!$J$3:$J$500))</f>
        <v/>
      </c>
      <c r="BO108" s="7" t="str">
        <f aca="false">IF(BN108="","",SUMIF(ЗАКАЗЫ!$F$3:$F$500,$A108,ЗАКАЗЫ!$AL$3:$AL$500))</f>
        <v/>
      </c>
      <c r="BP108" s="7" t="str">
        <f aca="false">IF(BN108="","",BN108-BO108)</f>
        <v/>
      </c>
      <c r="BQ108" s="55" t="str">
        <f aca="false">IF(BN108="","",IF(BO108&gt;=BN108,"На складе",IF(BO108&gt;0,"Частично","Ждём")))</f>
        <v/>
      </c>
      <c r="BR108" s="43"/>
      <c r="BS108" s="47" t="str">
        <f aca="false">IF(BN108="","",IF(_xlfn.MAXIFS(ЗАКАЗЫ!$AK$3:$AK$500,ЗАКАЗЫ!$F$3:$F$500,$A108)=0,"",_xlfn.MAXIFS(ЗАКАЗЫ!$AK$3:$AK$500,ЗАКАЗЫ!$F$3:$F$500,$A108)))</f>
        <v/>
      </c>
    </row>
    <row r="109" customFormat="false" ht="15.75" hidden="false" customHeight="true" outlineLevel="0" collapsed="false">
      <c r="A109" s="80" t="s">
        <v>941</v>
      </c>
      <c r="B109" s="81"/>
      <c r="C109" s="81"/>
      <c r="D109" s="81"/>
      <c r="E109" s="83"/>
      <c r="F109" s="81"/>
      <c r="G109" s="83"/>
      <c r="H109" s="83"/>
      <c r="I109" s="84" t="str">
        <f aca="false">IF(E109="","",A109&amp;"_1.jpg")</f>
        <v/>
      </c>
      <c r="J109" s="84" t="str">
        <f aca="false">IF(E109="","",A109&amp;"_2.jpg; "&amp;A109&amp;"_3.jpg")</f>
        <v/>
      </c>
      <c r="K109" s="84" t="str">
        <f aca="false">IF(E109="","",A109&amp;"_schema.jpg")</f>
        <v/>
      </c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 t="s">
        <v>96</v>
      </c>
      <c r="W109" s="81"/>
      <c r="X109" s="81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6" t="str">
        <f aca="false">IF(SUM(Y109:AJ109)=0,"",SUM(Y109:AJ109))</f>
        <v/>
      </c>
      <c r="AL109" s="84" t="str">
        <f aca="false">MID(IF(N(Y109)&gt;0,", "&amp;Y$2,"")&amp;IF(N(Z109)&gt;0,", "&amp;Z$2,"")&amp;IF(N(AA109)&gt;0,", "&amp;AA$2,"")&amp;IF(N(AB109)&gt;0,", "&amp;AB$2,"")&amp;IF(N(AC109)&gt;0,", "&amp;AC$2,"")&amp;IF(N(AD109)&gt;0,", "&amp;AD$2,"")&amp;IF(N(AE109)&gt;0,", "&amp;AE$2,"")&amp;IF(N(AF109)&gt;0,", "&amp;AF$2,"")&amp;IF(N(AG109)&gt;0,", "&amp;AG$2,"")&amp;IF(N(AH109)&gt;0,", "&amp;AH$2,"")&amp;IF(N(AI109)&gt;0,", "&amp;AI$2,"")&amp;IF(N(AJ109)&gt;0,", "&amp;AJ$2,""),3,999)</f>
        <v/>
      </c>
      <c r="AM109" s="87" t="str">
        <f aca="false">IF(E109="","",MID(IF(N(Y109)&gt;0,", "&amp;A109&amp;"-"&amp;Y$2,"")&amp;IF(N(Z109)&gt;0,", "&amp;A109&amp;"-"&amp;Z$2,"")&amp;IF(N(AA109)&gt;0,", "&amp;A109&amp;"-"&amp;AA$2,"")&amp;IF(N(AB109)&gt;0,", "&amp;A109&amp;"-"&amp;AB$2,"")&amp;IF(N(AC109)&gt;0,", "&amp;A109&amp;"-"&amp;AC$2,"")&amp;IF(N(AD109)&gt;0,", "&amp;A109&amp;"-"&amp;AD$2,"")&amp;IF(N(AE109)&gt;0,", "&amp;A109&amp;"-"&amp;AE$2,"")&amp;IF(N(AF109)&gt;0,", "&amp;A109&amp;"-"&amp;AF$2,"")&amp;IF(N(AG109)&gt;0,", "&amp;A109&amp;"-"&amp;AG$2,"")&amp;IF(N(AH109)&gt;0,", "&amp;A109&amp;"-"&amp;AH$2,"")&amp;IF(N(AI109)&gt;0,", "&amp;A109&amp;"-"&amp;AI$2,"")&amp;IF(N(AJ109)&gt;0,", "&amp;A109&amp;"-"&amp;AJ$2,""),3,999))</f>
        <v/>
      </c>
      <c r="AN109" s="81"/>
      <c r="AO109" s="88"/>
      <c r="AP109" s="89" t="str">
        <f aca="false">IF(AO109="","",ROUND(AO109/(1+Справочники!$B$13),2))</f>
        <v/>
      </c>
      <c r="AQ109" s="90" t="str">
        <f aca="false" t="array" ref="AQ109:AQ109">IF(AP109="","",AP109*INDEX(Справочники!$B$4:$B$7,MATCH("RUB",Справочники!$A$4:$A$7,0)))</f>
        <v/>
      </c>
      <c r="AR109" s="90" t="str">
        <f aca="false">IF(AQ109="","",ROUND(AQ109*(1+Справочники!$B$12),0))</f>
        <v/>
      </c>
      <c r="AS109" s="90" t="str">
        <f aca="false">IF(AR109="","",ROUND(AR109*(1-Справочники!$B$11),0))</f>
        <v/>
      </c>
      <c r="AT109" s="88"/>
      <c r="AU109" s="90" t="str">
        <f aca="false">IF(AT109="","",ROUND(AT109/(1+Справочники!$B$12),0))</f>
        <v/>
      </c>
      <c r="AV109" s="90" t="str">
        <f aca="false">IF(AT109="","",ROUND(AT109*(1-Справочники!$B$15),0))</f>
        <v/>
      </c>
      <c r="AW109" s="90" t="str">
        <f aca="false">IF(AT109="","",ROUND(AT109*(1-Справочники!$B$16),0))</f>
        <v/>
      </c>
      <c r="AX109" s="90" t="str">
        <f aca="false">IF(AT109="","",ROUND(AT109*(1-Справочники!$B$17),0))</f>
        <v/>
      </c>
      <c r="AY109" s="90" t="str">
        <f aca="false">IF(AT109="","",ROUND(AT109*(1-Справочники!$B$18),0))</f>
        <v/>
      </c>
      <c r="AZ109" s="90" t="str">
        <f aca="false">IF(AT109="","",ROUND(AT109*(1-Справочники!$B$19),0))</f>
        <v/>
      </c>
      <c r="BA109" s="81"/>
      <c r="BB109" s="81"/>
      <c r="BC109" s="81"/>
      <c r="BD109" s="81"/>
      <c r="BE109" s="91"/>
      <c r="BF109" s="81" t="s">
        <v>103</v>
      </c>
      <c r="BG109" s="89" t="n">
        <f aca="false" t="array" ref="BG109:BG109">IF(BF109="","",IFERROR(INDEX(Справочники!$B$4:$B$7,MATCH(BF109,Справочники!$A$4:$A$7,0)),""))</f>
        <v>68.5</v>
      </c>
      <c r="BH109" s="90" t="str">
        <f aca="false">IF(N(BN109)&gt;0,ROUND(SUMIF(ЗАКАЗЫ!$F$3:$F$500,$A109,ЗАКАЗЫ!$Y$3:$Y$500)/BN109,0),IF(OR(BE109="",BG109=""),"",ROUND(BE109*BG109*(1+Справочники!$B$10),0)))</f>
        <v/>
      </c>
      <c r="BI109" s="92" t="str">
        <f aca="false">IF(OR(AU109="",BH109="",AU109=0),"",(AU109-BH109)/AU109)</f>
        <v/>
      </c>
      <c r="BJ109" s="81"/>
      <c r="BK109" s="83"/>
      <c r="BL109" s="43" t="str">
        <f aca="false">IFERROR(INDEX(ЗАКАЗЫ!$N$3:$N$500,MATCH($A109,ЗАКАЗЫ!$F$3:$F$500,0)),"")</f>
        <v/>
      </c>
      <c r="BM109" s="8" t="str">
        <f aca="false">IF(BL109="","",IFERROR(VLOOKUP(BL109,'ТН ВЭД'!$A$4:$C$40,3,0),""))</f>
        <v/>
      </c>
      <c r="BN109" s="7" t="str">
        <f aca="false">IF(COUNTIF(ЗАКАЗЫ!$F$3:$F$500,$A109)=0,"",SUMIF(ЗАКАЗЫ!$F$3:$F$500,$A109,ЗАКАЗЫ!$J$3:$J$500))</f>
        <v/>
      </c>
      <c r="BO109" s="7" t="str">
        <f aca="false">IF(BN109="","",SUMIF(ЗАКАЗЫ!$F$3:$F$500,$A109,ЗАКАЗЫ!$AL$3:$AL$500))</f>
        <v/>
      </c>
      <c r="BP109" s="7" t="str">
        <f aca="false">IF(BN109="","",BN109-BO109)</f>
        <v/>
      </c>
      <c r="BQ109" s="55" t="str">
        <f aca="false">IF(BN109="","",IF(BO109&gt;=BN109,"На складе",IF(BO109&gt;0,"Частично","Ждём")))</f>
        <v/>
      </c>
      <c r="BR109" s="43"/>
      <c r="BS109" s="47" t="str">
        <f aca="false">IF(BN109="","",IF(_xlfn.MAXIFS(ЗАКАЗЫ!$AK$3:$AK$500,ЗАКАЗЫ!$F$3:$F$500,$A109)=0,"",_xlfn.MAXIFS(ЗАКАЗЫ!$AK$3:$AK$500,ЗАКАЗЫ!$F$3:$F$500,$A109)))</f>
        <v/>
      </c>
    </row>
    <row r="110" customFormat="false" ht="15.75" hidden="false" customHeight="true" outlineLevel="0" collapsed="false">
      <c r="A110" s="80" t="s">
        <v>942</v>
      </c>
      <c r="B110" s="81"/>
      <c r="C110" s="81"/>
      <c r="D110" s="81"/>
      <c r="E110" s="83"/>
      <c r="F110" s="81"/>
      <c r="G110" s="83"/>
      <c r="H110" s="83"/>
      <c r="I110" s="84" t="str">
        <f aca="false">IF(E110="","",A110&amp;"_1.jpg")</f>
        <v/>
      </c>
      <c r="J110" s="84" t="str">
        <f aca="false">IF(E110="","",A110&amp;"_2.jpg; "&amp;A110&amp;"_3.jpg")</f>
        <v/>
      </c>
      <c r="K110" s="84" t="str">
        <f aca="false">IF(E110="","",A110&amp;"_schema.jpg")</f>
        <v/>
      </c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 t="s">
        <v>96</v>
      </c>
      <c r="W110" s="81"/>
      <c r="X110" s="81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6" t="str">
        <f aca="false">IF(SUM(Y110:AJ110)=0,"",SUM(Y110:AJ110))</f>
        <v/>
      </c>
      <c r="AL110" s="84" t="str">
        <f aca="false">MID(IF(N(Y110)&gt;0,", "&amp;Y$2,"")&amp;IF(N(Z110)&gt;0,", "&amp;Z$2,"")&amp;IF(N(AA110)&gt;0,", "&amp;AA$2,"")&amp;IF(N(AB110)&gt;0,", "&amp;AB$2,"")&amp;IF(N(AC110)&gt;0,", "&amp;AC$2,"")&amp;IF(N(AD110)&gt;0,", "&amp;AD$2,"")&amp;IF(N(AE110)&gt;0,", "&amp;AE$2,"")&amp;IF(N(AF110)&gt;0,", "&amp;AF$2,"")&amp;IF(N(AG110)&gt;0,", "&amp;AG$2,"")&amp;IF(N(AH110)&gt;0,", "&amp;AH$2,"")&amp;IF(N(AI110)&gt;0,", "&amp;AI$2,"")&amp;IF(N(AJ110)&gt;0,", "&amp;AJ$2,""),3,999)</f>
        <v/>
      </c>
      <c r="AM110" s="87" t="str">
        <f aca="false">IF(E110="","",MID(IF(N(Y110)&gt;0,", "&amp;A110&amp;"-"&amp;Y$2,"")&amp;IF(N(Z110)&gt;0,", "&amp;A110&amp;"-"&amp;Z$2,"")&amp;IF(N(AA110)&gt;0,", "&amp;A110&amp;"-"&amp;AA$2,"")&amp;IF(N(AB110)&gt;0,", "&amp;A110&amp;"-"&amp;AB$2,"")&amp;IF(N(AC110)&gt;0,", "&amp;A110&amp;"-"&amp;AC$2,"")&amp;IF(N(AD110)&gt;0,", "&amp;A110&amp;"-"&amp;AD$2,"")&amp;IF(N(AE110)&gt;0,", "&amp;A110&amp;"-"&amp;AE$2,"")&amp;IF(N(AF110)&gt;0,", "&amp;A110&amp;"-"&amp;AF$2,"")&amp;IF(N(AG110)&gt;0,", "&amp;A110&amp;"-"&amp;AG$2,"")&amp;IF(N(AH110)&gt;0,", "&amp;A110&amp;"-"&amp;AH$2,"")&amp;IF(N(AI110)&gt;0,", "&amp;A110&amp;"-"&amp;AI$2,"")&amp;IF(N(AJ110)&gt;0,", "&amp;A110&amp;"-"&amp;AJ$2,""),3,999))</f>
        <v/>
      </c>
      <c r="AN110" s="81"/>
      <c r="AO110" s="88"/>
      <c r="AP110" s="89" t="str">
        <f aca="false">IF(AO110="","",ROUND(AO110/(1+Справочники!$B$13),2))</f>
        <v/>
      </c>
      <c r="AQ110" s="90" t="str">
        <f aca="false" t="array" ref="AQ110:AQ110">IF(AP110="","",AP110*INDEX(Справочники!$B$4:$B$7,MATCH("RUB",Справочники!$A$4:$A$7,0)))</f>
        <v/>
      </c>
      <c r="AR110" s="90" t="str">
        <f aca="false">IF(AQ110="","",ROUND(AQ110*(1+Справочники!$B$12),0))</f>
        <v/>
      </c>
      <c r="AS110" s="90" t="str">
        <f aca="false">IF(AR110="","",ROUND(AR110*(1-Справочники!$B$11),0))</f>
        <v/>
      </c>
      <c r="AT110" s="88"/>
      <c r="AU110" s="90" t="str">
        <f aca="false">IF(AT110="","",ROUND(AT110/(1+Справочники!$B$12),0))</f>
        <v/>
      </c>
      <c r="AV110" s="90" t="str">
        <f aca="false">IF(AT110="","",ROUND(AT110*(1-Справочники!$B$15),0))</f>
        <v/>
      </c>
      <c r="AW110" s="90" t="str">
        <f aca="false">IF(AT110="","",ROUND(AT110*(1-Справочники!$B$16),0))</f>
        <v/>
      </c>
      <c r="AX110" s="90" t="str">
        <f aca="false">IF(AT110="","",ROUND(AT110*(1-Справочники!$B$17),0))</f>
        <v/>
      </c>
      <c r="AY110" s="90" t="str">
        <f aca="false">IF(AT110="","",ROUND(AT110*(1-Справочники!$B$18),0))</f>
        <v/>
      </c>
      <c r="AZ110" s="90" t="str">
        <f aca="false">IF(AT110="","",ROUND(AT110*(1-Справочники!$B$19),0))</f>
        <v/>
      </c>
      <c r="BA110" s="81"/>
      <c r="BB110" s="81"/>
      <c r="BC110" s="81"/>
      <c r="BD110" s="81"/>
      <c r="BE110" s="91"/>
      <c r="BF110" s="81" t="s">
        <v>103</v>
      </c>
      <c r="BG110" s="89" t="n">
        <f aca="false" t="array" ref="BG110:BG110">IF(BF110="","",IFERROR(INDEX(Справочники!$B$4:$B$7,MATCH(BF110,Справочники!$A$4:$A$7,0)),""))</f>
        <v>68.5</v>
      </c>
      <c r="BH110" s="90" t="str">
        <f aca="false">IF(N(BN110)&gt;0,ROUND(SUMIF(ЗАКАЗЫ!$F$3:$F$500,$A110,ЗАКАЗЫ!$Y$3:$Y$500)/BN110,0),IF(OR(BE110="",BG110=""),"",ROUND(BE110*BG110*(1+Справочники!$B$10),0)))</f>
        <v/>
      </c>
      <c r="BI110" s="92" t="str">
        <f aca="false">IF(OR(AU110="",BH110="",AU110=0),"",(AU110-BH110)/AU110)</f>
        <v/>
      </c>
      <c r="BJ110" s="81"/>
      <c r="BK110" s="83"/>
      <c r="BL110" s="43" t="str">
        <f aca="false">IFERROR(INDEX(ЗАКАЗЫ!$N$3:$N$500,MATCH($A110,ЗАКАЗЫ!$F$3:$F$500,0)),"")</f>
        <v/>
      </c>
      <c r="BM110" s="8" t="str">
        <f aca="false">IF(BL110="","",IFERROR(VLOOKUP(BL110,'ТН ВЭД'!$A$4:$C$40,3,0),""))</f>
        <v/>
      </c>
      <c r="BN110" s="7" t="str">
        <f aca="false">IF(COUNTIF(ЗАКАЗЫ!$F$3:$F$500,$A110)=0,"",SUMIF(ЗАКАЗЫ!$F$3:$F$500,$A110,ЗАКАЗЫ!$J$3:$J$500))</f>
        <v/>
      </c>
      <c r="BO110" s="7" t="str">
        <f aca="false">IF(BN110="","",SUMIF(ЗАКАЗЫ!$F$3:$F$500,$A110,ЗАКАЗЫ!$AL$3:$AL$500))</f>
        <v/>
      </c>
      <c r="BP110" s="7" t="str">
        <f aca="false">IF(BN110="","",BN110-BO110)</f>
        <v/>
      </c>
      <c r="BQ110" s="55" t="str">
        <f aca="false">IF(BN110="","",IF(BO110&gt;=BN110,"На складе",IF(BO110&gt;0,"Частично","Ждём")))</f>
        <v/>
      </c>
      <c r="BR110" s="43"/>
      <c r="BS110" s="47" t="str">
        <f aca="false">IF(BN110="","",IF(_xlfn.MAXIFS(ЗАКАЗЫ!$AK$3:$AK$500,ЗАКАЗЫ!$F$3:$F$500,$A110)=0,"",_xlfn.MAXIFS(ЗАКАЗЫ!$AK$3:$AK$500,ЗАКАЗЫ!$F$3:$F$500,$A110)))</f>
        <v/>
      </c>
    </row>
    <row r="111" customFormat="false" ht="15.75" hidden="false" customHeight="true" outlineLevel="0" collapsed="false">
      <c r="A111" s="80" t="s">
        <v>943</v>
      </c>
      <c r="B111" s="81"/>
      <c r="C111" s="81"/>
      <c r="D111" s="81"/>
      <c r="E111" s="83"/>
      <c r="F111" s="81"/>
      <c r="G111" s="83"/>
      <c r="H111" s="83"/>
      <c r="I111" s="84" t="str">
        <f aca="false">IF(E111="","",A111&amp;"_1.jpg")</f>
        <v/>
      </c>
      <c r="J111" s="84" t="str">
        <f aca="false">IF(E111="","",A111&amp;"_2.jpg; "&amp;A111&amp;"_3.jpg")</f>
        <v/>
      </c>
      <c r="K111" s="84" t="str">
        <f aca="false">IF(E111="","",A111&amp;"_schema.jpg")</f>
        <v/>
      </c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 t="s">
        <v>96</v>
      </c>
      <c r="W111" s="81"/>
      <c r="X111" s="81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6" t="str">
        <f aca="false">IF(SUM(Y111:AJ111)=0,"",SUM(Y111:AJ111))</f>
        <v/>
      </c>
      <c r="AL111" s="84" t="str">
        <f aca="false">MID(IF(N(Y111)&gt;0,", "&amp;Y$2,"")&amp;IF(N(Z111)&gt;0,", "&amp;Z$2,"")&amp;IF(N(AA111)&gt;0,", "&amp;AA$2,"")&amp;IF(N(AB111)&gt;0,", "&amp;AB$2,"")&amp;IF(N(AC111)&gt;0,", "&amp;AC$2,"")&amp;IF(N(AD111)&gt;0,", "&amp;AD$2,"")&amp;IF(N(AE111)&gt;0,", "&amp;AE$2,"")&amp;IF(N(AF111)&gt;0,", "&amp;AF$2,"")&amp;IF(N(AG111)&gt;0,", "&amp;AG$2,"")&amp;IF(N(AH111)&gt;0,", "&amp;AH$2,"")&amp;IF(N(AI111)&gt;0,", "&amp;AI$2,"")&amp;IF(N(AJ111)&gt;0,", "&amp;AJ$2,""),3,999)</f>
        <v/>
      </c>
      <c r="AM111" s="87" t="str">
        <f aca="false">IF(E111="","",MID(IF(N(Y111)&gt;0,", "&amp;A111&amp;"-"&amp;Y$2,"")&amp;IF(N(Z111)&gt;0,", "&amp;A111&amp;"-"&amp;Z$2,"")&amp;IF(N(AA111)&gt;0,", "&amp;A111&amp;"-"&amp;AA$2,"")&amp;IF(N(AB111)&gt;0,", "&amp;A111&amp;"-"&amp;AB$2,"")&amp;IF(N(AC111)&gt;0,", "&amp;A111&amp;"-"&amp;AC$2,"")&amp;IF(N(AD111)&gt;0,", "&amp;A111&amp;"-"&amp;AD$2,"")&amp;IF(N(AE111)&gt;0,", "&amp;A111&amp;"-"&amp;AE$2,"")&amp;IF(N(AF111)&gt;0,", "&amp;A111&amp;"-"&amp;AF$2,"")&amp;IF(N(AG111)&gt;0,", "&amp;A111&amp;"-"&amp;AG$2,"")&amp;IF(N(AH111)&gt;0,", "&amp;A111&amp;"-"&amp;AH$2,"")&amp;IF(N(AI111)&gt;0,", "&amp;A111&amp;"-"&amp;AI$2,"")&amp;IF(N(AJ111)&gt;0,", "&amp;A111&amp;"-"&amp;AJ$2,""),3,999))</f>
        <v/>
      </c>
      <c r="AN111" s="81"/>
      <c r="AO111" s="88"/>
      <c r="AP111" s="89" t="str">
        <f aca="false">IF(AO111="","",ROUND(AO111/(1+Справочники!$B$13),2))</f>
        <v/>
      </c>
      <c r="AQ111" s="90" t="str">
        <f aca="false" t="array" ref="AQ111:AQ111">IF(AP111="","",AP111*INDEX(Справочники!$B$4:$B$7,MATCH("RUB",Справочники!$A$4:$A$7,0)))</f>
        <v/>
      </c>
      <c r="AR111" s="90" t="str">
        <f aca="false">IF(AQ111="","",ROUND(AQ111*(1+Справочники!$B$12),0))</f>
        <v/>
      </c>
      <c r="AS111" s="90" t="str">
        <f aca="false">IF(AR111="","",ROUND(AR111*(1-Справочники!$B$11),0))</f>
        <v/>
      </c>
      <c r="AT111" s="88"/>
      <c r="AU111" s="90" t="str">
        <f aca="false">IF(AT111="","",ROUND(AT111/(1+Справочники!$B$12),0))</f>
        <v/>
      </c>
      <c r="AV111" s="90" t="str">
        <f aca="false">IF(AT111="","",ROUND(AT111*(1-Справочники!$B$15),0))</f>
        <v/>
      </c>
      <c r="AW111" s="90" t="str">
        <f aca="false">IF(AT111="","",ROUND(AT111*(1-Справочники!$B$16),0))</f>
        <v/>
      </c>
      <c r="AX111" s="90" t="str">
        <f aca="false">IF(AT111="","",ROUND(AT111*(1-Справочники!$B$17),0))</f>
        <v/>
      </c>
      <c r="AY111" s="90" t="str">
        <f aca="false">IF(AT111="","",ROUND(AT111*(1-Справочники!$B$18),0))</f>
        <v/>
      </c>
      <c r="AZ111" s="90" t="str">
        <f aca="false">IF(AT111="","",ROUND(AT111*(1-Справочники!$B$19),0))</f>
        <v/>
      </c>
      <c r="BA111" s="81"/>
      <c r="BB111" s="81"/>
      <c r="BC111" s="81"/>
      <c r="BD111" s="81"/>
      <c r="BE111" s="91"/>
      <c r="BF111" s="81" t="s">
        <v>103</v>
      </c>
      <c r="BG111" s="89" t="n">
        <f aca="false" t="array" ref="BG111:BG111">IF(BF111="","",IFERROR(INDEX(Справочники!$B$4:$B$7,MATCH(BF111,Справочники!$A$4:$A$7,0)),""))</f>
        <v>68.5</v>
      </c>
      <c r="BH111" s="90" t="str">
        <f aca="false">IF(N(BN111)&gt;0,ROUND(SUMIF(ЗАКАЗЫ!$F$3:$F$500,$A111,ЗАКАЗЫ!$Y$3:$Y$500)/BN111,0),IF(OR(BE111="",BG111=""),"",ROUND(BE111*BG111*(1+Справочники!$B$10),0)))</f>
        <v/>
      </c>
      <c r="BI111" s="92" t="str">
        <f aca="false">IF(OR(AU111="",BH111="",AU111=0),"",(AU111-BH111)/AU111)</f>
        <v/>
      </c>
      <c r="BJ111" s="81"/>
      <c r="BK111" s="83"/>
      <c r="BL111" s="43" t="str">
        <f aca="false">IFERROR(INDEX(ЗАКАЗЫ!$N$3:$N$500,MATCH($A111,ЗАКАЗЫ!$F$3:$F$500,0)),"")</f>
        <v/>
      </c>
      <c r="BM111" s="8" t="str">
        <f aca="false">IF(BL111="","",IFERROR(VLOOKUP(BL111,'ТН ВЭД'!$A$4:$C$40,3,0),""))</f>
        <v/>
      </c>
      <c r="BN111" s="7" t="str">
        <f aca="false">IF(COUNTIF(ЗАКАЗЫ!$F$3:$F$500,$A111)=0,"",SUMIF(ЗАКАЗЫ!$F$3:$F$500,$A111,ЗАКАЗЫ!$J$3:$J$500))</f>
        <v/>
      </c>
      <c r="BO111" s="7" t="str">
        <f aca="false">IF(BN111="","",SUMIF(ЗАКАЗЫ!$F$3:$F$500,$A111,ЗАКАЗЫ!$AL$3:$AL$500))</f>
        <v/>
      </c>
      <c r="BP111" s="7" t="str">
        <f aca="false">IF(BN111="","",BN111-BO111)</f>
        <v/>
      </c>
      <c r="BQ111" s="55" t="str">
        <f aca="false">IF(BN111="","",IF(BO111&gt;=BN111,"На складе",IF(BO111&gt;0,"Частично","Ждём")))</f>
        <v/>
      </c>
      <c r="BR111" s="43"/>
      <c r="BS111" s="47" t="str">
        <f aca="false">IF(BN111="","",IF(_xlfn.MAXIFS(ЗАКАЗЫ!$AK$3:$AK$500,ЗАКАЗЫ!$F$3:$F$500,$A111)=0,"",_xlfn.MAXIFS(ЗАКАЗЫ!$AK$3:$AK$500,ЗАКАЗЫ!$F$3:$F$500,$A111)))</f>
        <v/>
      </c>
    </row>
    <row r="112" customFormat="false" ht="15.75" hidden="false" customHeight="true" outlineLevel="0" collapsed="false">
      <c r="A112" s="80" t="s">
        <v>944</v>
      </c>
      <c r="B112" s="81"/>
      <c r="C112" s="81"/>
      <c r="D112" s="81"/>
      <c r="E112" s="83"/>
      <c r="F112" s="81"/>
      <c r="G112" s="83"/>
      <c r="H112" s="83"/>
      <c r="I112" s="84" t="str">
        <f aca="false">IF(E112="","",A112&amp;"_1.jpg")</f>
        <v/>
      </c>
      <c r="J112" s="84" t="str">
        <f aca="false">IF(E112="","",A112&amp;"_2.jpg; "&amp;A112&amp;"_3.jpg")</f>
        <v/>
      </c>
      <c r="K112" s="84" t="str">
        <f aca="false">IF(E112="","",A112&amp;"_schema.jpg")</f>
        <v/>
      </c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 t="s">
        <v>96</v>
      </c>
      <c r="W112" s="81"/>
      <c r="X112" s="81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6" t="str">
        <f aca="false">IF(SUM(Y112:AJ112)=0,"",SUM(Y112:AJ112))</f>
        <v/>
      </c>
      <c r="AL112" s="84" t="str">
        <f aca="false">MID(IF(N(Y112)&gt;0,", "&amp;Y$2,"")&amp;IF(N(Z112)&gt;0,", "&amp;Z$2,"")&amp;IF(N(AA112)&gt;0,", "&amp;AA$2,"")&amp;IF(N(AB112)&gt;0,", "&amp;AB$2,"")&amp;IF(N(AC112)&gt;0,", "&amp;AC$2,"")&amp;IF(N(AD112)&gt;0,", "&amp;AD$2,"")&amp;IF(N(AE112)&gt;0,", "&amp;AE$2,"")&amp;IF(N(AF112)&gt;0,", "&amp;AF$2,"")&amp;IF(N(AG112)&gt;0,", "&amp;AG$2,"")&amp;IF(N(AH112)&gt;0,", "&amp;AH$2,"")&amp;IF(N(AI112)&gt;0,", "&amp;AI$2,"")&amp;IF(N(AJ112)&gt;0,", "&amp;AJ$2,""),3,999)</f>
        <v/>
      </c>
      <c r="AM112" s="87" t="str">
        <f aca="false">IF(E112="","",MID(IF(N(Y112)&gt;0,", "&amp;A112&amp;"-"&amp;Y$2,"")&amp;IF(N(Z112)&gt;0,", "&amp;A112&amp;"-"&amp;Z$2,"")&amp;IF(N(AA112)&gt;0,", "&amp;A112&amp;"-"&amp;AA$2,"")&amp;IF(N(AB112)&gt;0,", "&amp;A112&amp;"-"&amp;AB$2,"")&amp;IF(N(AC112)&gt;0,", "&amp;A112&amp;"-"&amp;AC$2,"")&amp;IF(N(AD112)&gt;0,", "&amp;A112&amp;"-"&amp;AD$2,"")&amp;IF(N(AE112)&gt;0,", "&amp;A112&amp;"-"&amp;AE$2,"")&amp;IF(N(AF112)&gt;0,", "&amp;A112&amp;"-"&amp;AF$2,"")&amp;IF(N(AG112)&gt;0,", "&amp;A112&amp;"-"&amp;AG$2,"")&amp;IF(N(AH112)&gt;0,", "&amp;A112&amp;"-"&amp;AH$2,"")&amp;IF(N(AI112)&gt;0,", "&amp;A112&amp;"-"&amp;AI$2,"")&amp;IF(N(AJ112)&gt;0,", "&amp;A112&amp;"-"&amp;AJ$2,""),3,999))</f>
        <v/>
      </c>
      <c r="AN112" s="81"/>
      <c r="AO112" s="88"/>
      <c r="AP112" s="89" t="str">
        <f aca="false">IF(AO112="","",ROUND(AO112/(1+Справочники!$B$13),2))</f>
        <v/>
      </c>
      <c r="AQ112" s="90" t="str">
        <f aca="false" t="array" ref="AQ112:AQ112">IF(AP112="","",AP112*INDEX(Справочники!$B$4:$B$7,MATCH("RUB",Справочники!$A$4:$A$7,0)))</f>
        <v/>
      </c>
      <c r="AR112" s="90" t="str">
        <f aca="false">IF(AQ112="","",ROUND(AQ112*(1+Справочники!$B$12),0))</f>
        <v/>
      </c>
      <c r="AS112" s="90" t="str">
        <f aca="false">IF(AR112="","",ROUND(AR112*(1-Справочники!$B$11),0))</f>
        <v/>
      </c>
      <c r="AT112" s="88"/>
      <c r="AU112" s="90" t="str">
        <f aca="false">IF(AT112="","",ROUND(AT112/(1+Справочники!$B$12),0))</f>
        <v/>
      </c>
      <c r="AV112" s="90" t="str">
        <f aca="false">IF(AT112="","",ROUND(AT112*(1-Справочники!$B$15),0))</f>
        <v/>
      </c>
      <c r="AW112" s="90" t="str">
        <f aca="false">IF(AT112="","",ROUND(AT112*(1-Справочники!$B$16),0))</f>
        <v/>
      </c>
      <c r="AX112" s="90" t="str">
        <f aca="false">IF(AT112="","",ROUND(AT112*(1-Справочники!$B$17),0))</f>
        <v/>
      </c>
      <c r="AY112" s="90" t="str">
        <f aca="false">IF(AT112="","",ROUND(AT112*(1-Справочники!$B$18),0))</f>
        <v/>
      </c>
      <c r="AZ112" s="90" t="str">
        <f aca="false">IF(AT112="","",ROUND(AT112*(1-Справочники!$B$19),0))</f>
        <v/>
      </c>
      <c r="BA112" s="81"/>
      <c r="BB112" s="81"/>
      <c r="BC112" s="81"/>
      <c r="BD112" s="81"/>
      <c r="BE112" s="91"/>
      <c r="BF112" s="81" t="s">
        <v>103</v>
      </c>
      <c r="BG112" s="89" t="n">
        <f aca="false" t="array" ref="BG112:BG112">IF(BF112="","",IFERROR(INDEX(Справочники!$B$4:$B$7,MATCH(BF112,Справочники!$A$4:$A$7,0)),""))</f>
        <v>68.5</v>
      </c>
      <c r="BH112" s="90" t="str">
        <f aca="false">IF(N(BN112)&gt;0,ROUND(SUMIF(ЗАКАЗЫ!$F$3:$F$500,$A112,ЗАКАЗЫ!$Y$3:$Y$500)/BN112,0),IF(OR(BE112="",BG112=""),"",ROUND(BE112*BG112*(1+Справочники!$B$10),0)))</f>
        <v/>
      </c>
      <c r="BI112" s="92" t="str">
        <f aca="false">IF(OR(AU112="",BH112="",AU112=0),"",(AU112-BH112)/AU112)</f>
        <v/>
      </c>
      <c r="BJ112" s="81"/>
      <c r="BK112" s="83"/>
      <c r="BL112" s="43" t="str">
        <f aca="false">IFERROR(INDEX(ЗАКАЗЫ!$N$3:$N$500,MATCH($A112,ЗАКАЗЫ!$F$3:$F$500,0)),"")</f>
        <v/>
      </c>
      <c r="BM112" s="8" t="str">
        <f aca="false">IF(BL112="","",IFERROR(VLOOKUP(BL112,'ТН ВЭД'!$A$4:$C$40,3,0),""))</f>
        <v/>
      </c>
      <c r="BN112" s="7" t="str">
        <f aca="false">IF(COUNTIF(ЗАКАЗЫ!$F$3:$F$500,$A112)=0,"",SUMIF(ЗАКАЗЫ!$F$3:$F$500,$A112,ЗАКАЗЫ!$J$3:$J$500))</f>
        <v/>
      </c>
      <c r="BO112" s="7" t="str">
        <f aca="false">IF(BN112="","",SUMIF(ЗАКАЗЫ!$F$3:$F$500,$A112,ЗАКАЗЫ!$AL$3:$AL$500))</f>
        <v/>
      </c>
      <c r="BP112" s="7" t="str">
        <f aca="false">IF(BN112="","",BN112-BO112)</f>
        <v/>
      </c>
      <c r="BQ112" s="55" t="str">
        <f aca="false">IF(BN112="","",IF(BO112&gt;=BN112,"На складе",IF(BO112&gt;0,"Частично","Ждём")))</f>
        <v/>
      </c>
      <c r="BR112" s="43"/>
      <c r="BS112" s="47" t="str">
        <f aca="false">IF(BN112="","",IF(_xlfn.MAXIFS(ЗАКАЗЫ!$AK$3:$AK$500,ЗАКАЗЫ!$F$3:$F$500,$A112)=0,"",_xlfn.MAXIFS(ЗАКАЗЫ!$AK$3:$AK$500,ЗАКАЗЫ!$F$3:$F$500,$A112)))</f>
        <v/>
      </c>
    </row>
    <row r="113" customFormat="false" ht="15.75" hidden="false" customHeight="true" outlineLevel="0" collapsed="false">
      <c r="A113" s="80" t="s">
        <v>945</v>
      </c>
      <c r="B113" s="81"/>
      <c r="C113" s="81"/>
      <c r="D113" s="81"/>
      <c r="E113" s="83"/>
      <c r="F113" s="81"/>
      <c r="G113" s="83"/>
      <c r="H113" s="83"/>
      <c r="I113" s="84" t="str">
        <f aca="false">IF(E113="","",A113&amp;"_1.jpg")</f>
        <v/>
      </c>
      <c r="J113" s="84" t="str">
        <f aca="false">IF(E113="","",A113&amp;"_2.jpg; "&amp;A113&amp;"_3.jpg")</f>
        <v/>
      </c>
      <c r="K113" s="84" t="str">
        <f aca="false">IF(E113="","",A113&amp;"_schema.jpg")</f>
        <v/>
      </c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 t="s">
        <v>96</v>
      </c>
      <c r="W113" s="81"/>
      <c r="X113" s="81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6" t="str">
        <f aca="false">IF(SUM(Y113:AJ113)=0,"",SUM(Y113:AJ113))</f>
        <v/>
      </c>
      <c r="AL113" s="84" t="str">
        <f aca="false">MID(IF(N(Y113)&gt;0,", "&amp;Y$2,"")&amp;IF(N(Z113)&gt;0,", "&amp;Z$2,"")&amp;IF(N(AA113)&gt;0,", "&amp;AA$2,"")&amp;IF(N(AB113)&gt;0,", "&amp;AB$2,"")&amp;IF(N(AC113)&gt;0,", "&amp;AC$2,"")&amp;IF(N(AD113)&gt;0,", "&amp;AD$2,"")&amp;IF(N(AE113)&gt;0,", "&amp;AE$2,"")&amp;IF(N(AF113)&gt;0,", "&amp;AF$2,"")&amp;IF(N(AG113)&gt;0,", "&amp;AG$2,"")&amp;IF(N(AH113)&gt;0,", "&amp;AH$2,"")&amp;IF(N(AI113)&gt;0,", "&amp;AI$2,"")&amp;IF(N(AJ113)&gt;0,", "&amp;AJ$2,""),3,999)</f>
        <v/>
      </c>
      <c r="AM113" s="87" t="str">
        <f aca="false">IF(E113="","",MID(IF(N(Y113)&gt;0,", "&amp;A113&amp;"-"&amp;Y$2,"")&amp;IF(N(Z113)&gt;0,", "&amp;A113&amp;"-"&amp;Z$2,"")&amp;IF(N(AA113)&gt;0,", "&amp;A113&amp;"-"&amp;AA$2,"")&amp;IF(N(AB113)&gt;0,", "&amp;A113&amp;"-"&amp;AB$2,"")&amp;IF(N(AC113)&gt;0,", "&amp;A113&amp;"-"&amp;AC$2,"")&amp;IF(N(AD113)&gt;0,", "&amp;A113&amp;"-"&amp;AD$2,"")&amp;IF(N(AE113)&gt;0,", "&amp;A113&amp;"-"&amp;AE$2,"")&amp;IF(N(AF113)&gt;0,", "&amp;A113&amp;"-"&amp;AF$2,"")&amp;IF(N(AG113)&gt;0,", "&amp;A113&amp;"-"&amp;AG$2,"")&amp;IF(N(AH113)&gt;0,", "&amp;A113&amp;"-"&amp;AH$2,"")&amp;IF(N(AI113)&gt;0,", "&amp;A113&amp;"-"&amp;AI$2,"")&amp;IF(N(AJ113)&gt;0,", "&amp;A113&amp;"-"&amp;AJ$2,""),3,999))</f>
        <v/>
      </c>
      <c r="AN113" s="81"/>
      <c r="AO113" s="88"/>
      <c r="AP113" s="89" t="str">
        <f aca="false">IF(AO113="","",ROUND(AO113/(1+Справочники!$B$13),2))</f>
        <v/>
      </c>
      <c r="AQ113" s="90" t="str">
        <f aca="false" t="array" ref="AQ113:AQ113">IF(AP113="","",AP113*INDEX(Справочники!$B$4:$B$7,MATCH("RUB",Справочники!$A$4:$A$7,0)))</f>
        <v/>
      </c>
      <c r="AR113" s="90" t="str">
        <f aca="false">IF(AQ113="","",ROUND(AQ113*(1+Справочники!$B$12),0))</f>
        <v/>
      </c>
      <c r="AS113" s="90" t="str">
        <f aca="false">IF(AR113="","",ROUND(AR113*(1-Справочники!$B$11),0))</f>
        <v/>
      </c>
      <c r="AT113" s="88"/>
      <c r="AU113" s="90" t="str">
        <f aca="false">IF(AT113="","",ROUND(AT113/(1+Справочники!$B$12),0))</f>
        <v/>
      </c>
      <c r="AV113" s="90" t="str">
        <f aca="false">IF(AT113="","",ROUND(AT113*(1-Справочники!$B$15),0))</f>
        <v/>
      </c>
      <c r="AW113" s="90" t="str">
        <f aca="false">IF(AT113="","",ROUND(AT113*(1-Справочники!$B$16),0))</f>
        <v/>
      </c>
      <c r="AX113" s="90" t="str">
        <f aca="false">IF(AT113="","",ROUND(AT113*(1-Справочники!$B$17),0))</f>
        <v/>
      </c>
      <c r="AY113" s="90" t="str">
        <f aca="false">IF(AT113="","",ROUND(AT113*(1-Справочники!$B$18),0))</f>
        <v/>
      </c>
      <c r="AZ113" s="90" t="str">
        <f aca="false">IF(AT113="","",ROUND(AT113*(1-Справочники!$B$19),0))</f>
        <v/>
      </c>
      <c r="BA113" s="81"/>
      <c r="BB113" s="81"/>
      <c r="BC113" s="81"/>
      <c r="BD113" s="81"/>
      <c r="BE113" s="91"/>
      <c r="BF113" s="81" t="s">
        <v>103</v>
      </c>
      <c r="BG113" s="89" t="n">
        <f aca="false" t="array" ref="BG113:BG113">IF(BF113="","",IFERROR(INDEX(Справочники!$B$4:$B$7,MATCH(BF113,Справочники!$A$4:$A$7,0)),""))</f>
        <v>68.5</v>
      </c>
      <c r="BH113" s="90" t="str">
        <f aca="false">IF(N(BN113)&gt;0,ROUND(SUMIF(ЗАКАЗЫ!$F$3:$F$500,$A113,ЗАКАЗЫ!$Y$3:$Y$500)/BN113,0),IF(OR(BE113="",BG113=""),"",ROUND(BE113*BG113*(1+Справочники!$B$10),0)))</f>
        <v/>
      </c>
      <c r="BI113" s="92" t="str">
        <f aca="false">IF(OR(AU113="",BH113="",AU113=0),"",(AU113-BH113)/AU113)</f>
        <v/>
      </c>
      <c r="BJ113" s="81"/>
      <c r="BK113" s="83"/>
      <c r="BL113" s="43" t="str">
        <f aca="false">IFERROR(INDEX(ЗАКАЗЫ!$N$3:$N$500,MATCH($A113,ЗАКАЗЫ!$F$3:$F$500,0)),"")</f>
        <v/>
      </c>
      <c r="BM113" s="8" t="str">
        <f aca="false">IF(BL113="","",IFERROR(VLOOKUP(BL113,'ТН ВЭД'!$A$4:$C$40,3,0),""))</f>
        <v/>
      </c>
      <c r="BN113" s="7" t="str">
        <f aca="false">IF(COUNTIF(ЗАКАЗЫ!$F$3:$F$500,$A113)=0,"",SUMIF(ЗАКАЗЫ!$F$3:$F$500,$A113,ЗАКАЗЫ!$J$3:$J$500))</f>
        <v/>
      </c>
      <c r="BO113" s="7" t="str">
        <f aca="false">IF(BN113="","",SUMIF(ЗАКАЗЫ!$F$3:$F$500,$A113,ЗАКАЗЫ!$AL$3:$AL$500))</f>
        <v/>
      </c>
      <c r="BP113" s="7" t="str">
        <f aca="false">IF(BN113="","",BN113-BO113)</f>
        <v/>
      </c>
      <c r="BQ113" s="55" t="str">
        <f aca="false">IF(BN113="","",IF(BO113&gt;=BN113,"На складе",IF(BO113&gt;0,"Частично","Ждём")))</f>
        <v/>
      </c>
      <c r="BR113" s="43"/>
      <c r="BS113" s="47" t="str">
        <f aca="false">IF(BN113="","",IF(_xlfn.MAXIFS(ЗАКАЗЫ!$AK$3:$AK$500,ЗАКАЗЫ!$F$3:$F$500,$A113)=0,"",_xlfn.MAXIFS(ЗАКАЗЫ!$AK$3:$AK$500,ЗАКАЗЫ!$F$3:$F$500,$A113)))</f>
        <v/>
      </c>
    </row>
    <row r="114" customFormat="false" ht="15.75" hidden="false" customHeight="true" outlineLevel="0" collapsed="false">
      <c r="A114" s="80" t="s">
        <v>946</v>
      </c>
      <c r="B114" s="81"/>
      <c r="C114" s="81"/>
      <c r="D114" s="81"/>
      <c r="E114" s="83"/>
      <c r="F114" s="81"/>
      <c r="G114" s="83"/>
      <c r="H114" s="83"/>
      <c r="I114" s="84" t="str">
        <f aca="false">IF(E114="","",A114&amp;"_1.jpg")</f>
        <v/>
      </c>
      <c r="J114" s="84" t="str">
        <f aca="false">IF(E114="","",A114&amp;"_2.jpg; "&amp;A114&amp;"_3.jpg")</f>
        <v/>
      </c>
      <c r="K114" s="84" t="str">
        <f aca="false">IF(E114="","",A114&amp;"_schema.jpg")</f>
        <v/>
      </c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 t="s">
        <v>96</v>
      </c>
      <c r="W114" s="81"/>
      <c r="X114" s="81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6" t="str">
        <f aca="false">IF(SUM(Y114:AJ114)=0,"",SUM(Y114:AJ114))</f>
        <v/>
      </c>
      <c r="AL114" s="84" t="str">
        <f aca="false">MID(IF(N(Y114)&gt;0,", "&amp;Y$2,"")&amp;IF(N(Z114)&gt;0,", "&amp;Z$2,"")&amp;IF(N(AA114)&gt;0,", "&amp;AA$2,"")&amp;IF(N(AB114)&gt;0,", "&amp;AB$2,"")&amp;IF(N(AC114)&gt;0,", "&amp;AC$2,"")&amp;IF(N(AD114)&gt;0,", "&amp;AD$2,"")&amp;IF(N(AE114)&gt;0,", "&amp;AE$2,"")&amp;IF(N(AF114)&gt;0,", "&amp;AF$2,"")&amp;IF(N(AG114)&gt;0,", "&amp;AG$2,"")&amp;IF(N(AH114)&gt;0,", "&amp;AH$2,"")&amp;IF(N(AI114)&gt;0,", "&amp;AI$2,"")&amp;IF(N(AJ114)&gt;0,", "&amp;AJ$2,""),3,999)</f>
        <v/>
      </c>
      <c r="AM114" s="87" t="str">
        <f aca="false">IF(E114="","",MID(IF(N(Y114)&gt;0,", "&amp;A114&amp;"-"&amp;Y$2,"")&amp;IF(N(Z114)&gt;0,", "&amp;A114&amp;"-"&amp;Z$2,"")&amp;IF(N(AA114)&gt;0,", "&amp;A114&amp;"-"&amp;AA$2,"")&amp;IF(N(AB114)&gt;0,", "&amp;A114&amp;"-"&amp;AB$2,"")&amp;IF(N(AC114)&gt;0,", "&amp;A114&amp;"-"&amp;AC$2,"")&amp;IF(N(AD114)&gt;0,", "&amp;A114&amp;"-"&amp;AD$2,"")&amp;IF(N(AE114)&gt;0,", "&amp;A114&amp;"-"&amp;AE$2,"")&amp;IF(N(AF114)&gt;0,", "&amp;A114&amp;"-"&amp;AF$2,"")&amp;IF(N(AG114)&gt;0,", "&amp;A114&amp;"-"&amp;AG$2,"")&amp;IF(N(AH114)&gt;0,", "&amp;A114&amp;"-"&amp;AH$2,"")&amp;IF(N(AI114)&gt;0,", "&amp;A114&amp;"-"&amp;AI$2,"")&amp;IF(N(AJ114)&gt;0,", "&amp;A114&amp;"-"&amp;AJ$2,""),3,999))</f>
        <v/>
      </c>
      <c r="AN114" s="81"/>
      <c r="AO114" s="88"/>
      <c r="AP114" s="89" t="str">
        <f aca="false">IF(AO114="","",ROUND(AO114/(1+Справочники!$B$13),2))</f>
        <v/>
      </c>
      <c r="AQ114" s="90" t="str">
        <f aca="false" t="array" ref="AQ114:AQ114">IF(AP114="","",AP114*INDEX(Справочники!$B$4:$B$7,MATCH("RUB",Справочники!$A$4:$A$7,0)))</f>
        <v/>
      </c>
      <c r="AR114" s="90" t="str">
        <f aca="false">IF(AQ114="","",ROUND(AQ114*(1+Справочники!$B$12),0))</f>
        <v/>
      </c>
      <c r="AS114" s="90" t="str">
        <f aca="false">IF(AR114="","",ROUND(AR114*(1-Справочники!$B$11),0))</f>
        <v/>
      </c>
      <c r="AT114" s="88"/>
      <c r="AU114" s="90" t="str">
        <f aca="false">IF(AT114="","",ROUND(AT114/(1+Справочники!$B$12),0))</f>
        <v/>
      </c>
      <c r="AV114" s="90" t="str">
        <f aca="false">IF(AT114="","",ROUND(AT114*(1-Справочники!$B$15),0))</f>
        <v/>
      </c>
      <c r="AW114" s="90" t="str">
        <f aca="false">IF(AT114="","",ROUND(AT114*(1-Справочники!$B$16),0))</f>
        <v/>
      </c>
      <c r="AX114" s="90" t="str">
        <f aca="false">IF(AT114="","",ROUND(AT114*(1-Справочники!$B$17),0))</f>
        <v/>
      </c>
      <c r="AY114" s="90" t="str">
        <f aca="false">IF(AT114="","",ROUND(AT114*(1-Справочники!$B$18),0))</f>
        <v/>
      </c>
      <c r="AZ114" s="90" t="str">
        <f aca="false">IF(AT114="","",ROUND(AT114*(1-Справочники!$B$19),0))</f>
        <v/>
      </c>
      <c r="BA114" s="81"/>
      <c r="BB114" s="81"/>
      <c r="BC114" s="81"/>
      <c r="BD114" s="81"/>
      <c r="BE114" s="91"/>
      <c r="BF114" s="81" t="s">
        <v>103</v>
      </c>
      <c r="BG114" s="89" t="n">
        <f aca="false" t="array" ref="BG114:BG114">IF(BF114="","",IFERROR(INDEX(Справочники!$B$4:$B$7,MATCH(BF114,Справочники!$A$4:$A$7,0)),""))</f>
        <v>68.5</v>
      </c>
      <c r="BH114" s="90" t="str">
        <f aca="false">IF(N(BN114)&gt;0,ROUND(SUMIF(ЗАКАЗЫ!$F$3:$F$500,$A114,ЗАКАЗЫ!$Y$3:$Y$500)/BN114,0),IF(OR(BE114="",BG114=""),"",ROUND(BE114*BG114*(1+Справочники!$B$10),0)))</f>
        <v/>
      </c>
      <c r="BI114" s="92" t="str">
        <f aca="false">IF(OR(AU114="",BH114="",AU114=0),"",(AU114-BH114)/AU114)</f>
        <v/>
      </c>
      <c r="BJ114" s="81"/>
      <c r="BK114" s="83"/>
      <c r="BL114" s="43" t="str">
        <f aca="false">IFERROR(INDEX(ЗАКАЗЫ!$N$3:$N$500,MATCH($A114,ЗАКАЗЫ!$F$3:$F$500,0)),"")</f>
        <v/>
      </c>
      <c r="BM114" s="8" t="str">
        <f aca="false">IF(BL114="","",IFERROR(VLOOKUP(BL114,'ТН ВЭД'!$A$4:$C$40,3,0),""))</f>
        <v/>
      </c>
      <c r="BN114" s="7" t="str">
        <f aca="false">IF(COUNTIF(ЗАКАЗЫ!$F$3:$F$500,$A114)=0,"",SUMIF(ЗАКАЗЫ!$F$3:$F$500,$A114,ЗАКАЗЫ!$J$3:$J$500))</f>
        <v/>
      </c>
      <c r="BO114" s="7" t="str">
        <f aca="false">IF(BN114="","",SUMIF(ЗАКАЗЫ!$F$3:$F$500,$A114,ЗАКАЗЫ!$AL$3:$AL$500))</f>
        <v/>
      </c>
      <c r="BP114" s="7" t="str">
        <f aca="false">IF(BN114="","",BN114-BO114)</f>
        <v/>
      </c>
      <c r="BQ114" s="55" t="str">
        <f aca="false">IF(BN114="","",IF(BO114&gt;=BN114,"На складе",IF(BO114&gt;0,"Частично","Ждём")))</f>
        <v/>
      </c>
      <c r="BR114" s="43"/>
      <c r="BS114" s="47" t="str">
        <f aca="false">IF(BN114="","",IF(_xlfn.MAXIFS(ЗАКАЗЫ!$AK$3:$AK$500,ЗАКАЗЫ!$F$3:$F$500,$A114)=0,"",_xlfn.MAXIFS(ЗАКАЗЫ!$AK$3:$AK$500,ЗАКАЗЫ!$F$3:$F$500,$A114)))</f>
        <v/>
      </c>
    </row>
    <row r="115" customFormat="false" ht="15.75" hidden="false" customHeight="true" outlineLevel="0" collapsed="false">
      <c r="A115" s="80" t="s">
        <v>947</v>
      </c>
      <c r="B115" s="81"/>
      <c r="C115" s="81"/>
      <c r="D115" s="81"/>
      <c r="E115" s="83"/>
      <c r="F115" s="81"/>
      <c r="G115" s="83"/>
      <c r="H115" s="83"/>
      <c r="I115" s="84" t="str">
        <f aca="false">IF(E115="","",A115&amp;"_1.jpg")</f>
        <v/>
      </c>
      <c r="J115" s="84" t="str">
        <f aca="false">IF(E115="","",A115&amp;"_2.jpg; "&amp;A115&amp;"_3.jpg")</f>
        <v/>
      </c>
      <c r="K115" s="84" t="str">
        <f aca="false">IF(E115="","",A115&amp;"_schema.jpg")</f>
        <v/>
      </c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 t="s">
        <v>96</v>
      </c>
      <c r="W115" s="81"/>
      <c r="X115" s="81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6" t="str">
        <f aca="false">IF(SUM(Y115:AJ115)=0,"",SUM(Y115:AJ115))</f>
        <v/>
      </c>
      <c r="AL115" s="84" t="str">
        <f aca="false">MID(IF(N(Y115)&gt;0,", "&amp;Y$2,"")&amp;IF(N(Z115)&gt;0,", "&amp;Z$2,"")&amp;IF(N(AA115)&gt;0,", "&amp;AA$2,"")&amp;IF(N(AB115)&gt;0,", "&amp;AB$2,"")&amp;IF(N(AC115)&gt;0,", "&amp;AC$2,"")&amp;IF(N(AD115)&gt;0,", "&amp;AD$2,"")&amp;IF(N(AE115)&gt;0,", "&amp;AE$2,"")&amp;IF(N(AF115)&gt;0,", "&amp;AF$2,"")&amp;IF(N(AG115)&gt;0,", "&amp;AG$2,"")&amp;IF(N(AH115)&gt;0,", "&amp;AH$2,"")&amp;IF(N(AI115)&gt;0,", "&amp;AI$2,"")&amp;IF(N(AJ115)&gt;0,", "&amp;AJ$2,""),3,999)</f>
        <v/>
      </c>
      <c r="AM115" s="87" t="str">
        <f aca="false">IF(E115="","",MID(IF(N(Y115)&gt;0,", "&amp;A115&amp;"-"&amp;Y$2,"")&amp;IF(N(Z115)&gt;0,", "&amp;A115&amp;"-"&amp;Z$2,"")&amp;IF(N(AA115)&gt;0,", "&amp;A115&amp;"-"&amp;AA$2,"")&amp;IF(N(AB115)&gt;0,", "&amp;A115&amp;"-"&amp;AB$2,"")&amp;IF(N(AC115)&gt;0,", "&amp;A115&amp;"-"&amp;AC$2,"")&amp;IF(N(AD115)&gt;0,", "&amp;A115&amp;"-"&amp;AD$2,"")&amp;IF(N(AE115)&gt;0,", "&amp;A115&amp;"-"&amp;AE$2,"")&amp;IF(N(AF115)&gt;0,", "&amp;A115&amp;"-"&amp;AF$2,"")&amp;IF(N(AG115)&gt;0,", "&amp;A115&amp;"-"&amp;AG$2,"")&amp;IF(N(AH115)&gt;0,", "&amp;A115&amp;"-"&amp;AH$2,"")&amp;IF(N(AI115)&gt;0,", "&amp;A115&amp;"-"&amp;AI$2,"")&amp;IF(N(AJ115)&gt;0,", "&amp;A115&amp;"-"&amp;AJ$2,""),3,999))</f>
        <v/>
      </c>
      <c r="AN115" s="81"/>
      <c r="AO115" s="88"/>
      <c r="AP115" s="89" t="str">
        <f aca="false">IF(AO115="","",ROUND(AO115/(1+Справочники!$B$13),2))</f>
        <v/>
      </c>
      <c r="AQ115" s="90" t="str">
        <f aca="false" t="array" ref="AQ115:AQ115">IF(AP115="","",AP115*INDEX(Справочники!$B$4:$B$7,MATCH("RUB",Справочники!$A$4:$A$7,0)))</f>
        <v/>
      </c>
      <c r="AR115" s="90" t="str">
        <f aca="false">IF(AQ115="","",ROUND(AQ115*(1+Справочники!$B$12),0))</f>
        <v/>
      </c>
      <c r="AS115" s="90" t="str">
        <f aca="false">IF(AR115="","",ROUND(AR115*(1-Справочники!$B$11),0))</f>
        <v/>
      </c>
      <c r="AT115" s="88"/>
      <c r="AU115" s="90" t="str">
        <f aca="false">IF(AT115="","",ROUND(AT115/(1+Справочники!$B$12),0))</f>
        <v/>
      </c>
      <c r="AV115" s="90" t="str">
        <f aca="false">IF(AT115="","",ROUND(AT115*(1-Справочники!$B$15),0))</f>
        <v/>
      </c>
      <c r="AW115" s="90" t="str">
        <f aca="false">IF(AT115="","",ROUND(AT115*(1-Справочники!$B$16),0))</f>
        <v/>
      </c>
      <c r="AX115" s="90" t="str">
        <f aca="false">IF(AT115="","",ROUND(AT115*(1-Справочники!$B$17),0))</f>
        <v/>
      </c>
      <c r="AY115" s="90" t="str">
        <f aca="false">IF(AT115="","",ROUND(AT115*(1-Справочники!$B$18),0))</f>
        <v/>
      </c>
      <c r="AZ115" s="90" t="str">
        <f aca="false">IF(AT115="","",ROUND(AT115*(1-Справочники!$B$19),0))</f>
        <v/>
      </c>
      <c r="BA115" s="81"/>
      <c r="BB115" s="81"/>
      <c r="BC115" s="81"/>
      <c r="BD115" s="81"/>
      <c r="BE115" s="91"/>
      <c r="BF115" s="81" t="s">
        <v>103</v>
      </c>
      <c r="BG115" s="89" t="n">
        <f aca="false" t="array" ref="BG115:BG115">IF(BF115="","",IFERROR(INDEX(Справочники!$B$4:$B$7,MATCH(BF115,Справочники!$A$4:$A$7,0)),""))</f>
        <v>68.5</v>
      </c>
      <c r="BH115" s="90" t="str">
        <f aca="false">IF(N(BN115)&gt;0,ROUND(SUMIF(ЗАКАЗЫ!$F$3:$F$500,$A115,ЗАКАЗЫ!$Y$3:$Y$500)/BN115,0),IF(OR(BE115="",BG115=""),"",ROUND(BE115*BG115*(1+Справочники!$B$10),0)))</f>
        <v/>
      </c>
      <c r="BI115" s="92" t="str">
        <f aca="false">IF(OR(AU115="",BH115="",AU115=0),"",(AU115-BH115)/AU115)</f>
        <v/>
      </c>
      <c r="BJ115" s="81"/>
      <c r="BK115" s="83"/>
      <c r="BL115" s="43" t="str">
        <f aca="false">IFERROR(INDEX(ЗАКАЗЫ!$N$3:$N$500,MATCH($A115,ЗАКАЗЫ!$F$3:$F$500,0)),"")</f>
        <v/>
      </c>
      <c r="BM115" s="8" t="str">
        <f aca="false">IF(BL115="","",IFERROR(VLOOKUP(BL115,'ТН ВЭД'!$A$4:$C$40,3,0),""))</f>
        <v/>
      </c>
      <c r="BN115" s="7" t="str">
        <f aca="false">IF(COUNTIF(ЗАКАЗЫ!$F$3:$F$500,$A115)=0,"",SUMIF(ЗАКАЗЫ!$F$3:$F$500,$A115,ЗАКАЗЫ!$J$3:$J$500))</f>
        <v/>
      </c>
      <c r="BO115" s="7" t="str">
        <f aca="false">IF(BN115="","",SUMIF(ЗАКАЗЫ!$F$3:$F$500,$A115,ЗАКАЗЫ!$AL$3:$AL$500))</f>
        <v/>
      </c>
      <c r="BP115" s="7" t="str">
        <f aca="false">IF(BN115="","",BN115-BO115)</f>
        <v/>
      </c>
      <c r="BQ115" s="55" t="str">
        <f aca="false">IF(BN115="","",IF(BO115&gt;=BN115,"На складе",IF(BO115&gt;0,"Частично","Ждём")))</f>
        <v/>
      </c>
      <c r="BR115" s="43"/>
      <c r="BS115" s="47" t="str">
        <f aca="false">IF(BN115="","",IF(_xlfn.MAXIFS(ЗАКАЗЫ!$AK$3:$AK$500,ЗАКАЗЫ!$F$3:$F$500,$A115)=0,"",_xlfn.MAXIFS(ЗАКАЗЫ!$AK$3:$AK$500,ЗАКАЗЫ!$F$3:$F$500,$A115)))</f>
        <v/>
      </c>
    </row>
    <row r="116" customFormat="false" ht="15.75" hidden="false" customHeight="true" outlineLevel="0" collapsed="false">
      <c r="A116" s="80" t="s">
        <v>948</v>
      </c>
      <c r="B116" s="81"/>
      <c r="C116" s="81"/>
      <c r="D116" s="81"/>
      <c r="E116" s="83"/>
      <c r="F116" s="81"/>
      <c r="G116" s="83"/>
      <c r="H116" s="83"/>
      <c r="I116" s="84" t="str">
        <f aca="false">IF(E116="","",A116&amp;"_1.jpg")</f>
        <v/>
      </c>
      <c r="J116" s="84" t="str">
        <f aca="false">IF(E116="","",A116&amp;"_2.jpg; "&amp;A116&amp;"_3.jpg")</f>
        <v/>
      </c>
      <c r="K116" s="84" t="str">
        <f aca="false">IF(E116="","",A116&amp;"_schema.jpg")</f>
        <v/>
      </c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 t="s">
        <v>96</v>
      </c>
      <c r="W116" s="81"/>
      <c r="X116" s="81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6" t="str">
        <f aca="false">IF(SUM(Y116:AJ116)=0,"",SUM(Y116:AJ116))</f>
        <v/>
      </c>
      <c r="AL116" s="84" t="str">
        <f aca="false">MID(IF(N(Y116)&gt;0,", "&amp;Y$2,"")&amp;IF(N(Z116)&gt;0,", "&amp;Z$2,"")&amp;IF(N(AA116)&gt;0,", "&amp;AA$2,"")&amp;IF(N(AB116)&gt;0,", "&amp;AB$2,"")&amp;IF(N(AC116)&gt;0,", "&amp;AC$2,"")&amp;IF(N(AD116)&gt;0,", "&amp;AD$2,"")&amp;IF(N(AE116)&gt;0,", "&amp;AE$2,"")&amp;IF(N(AF116)&gt;0,", "&amp;AF$2,"")&amp;IF(N(AG116)&gt;0,", "&amp;AG$2,"")&amp;IF(N(AH116)&gt;0,", "&amp;AH$2,"")&amp;IF(N(AI116)&gt;0,", "&amp;AI$2,"")&amp;IF(N(AJ116)&gt;0,", "&amp;AJ$2,""),3,999)</f>
        <v/>
      </c>
      <c r="AM116" s="87" t="str">
        <f aca="false">IF(E116="","",MID(IF(N(Y116)&gt;0,", "&amp;A116&amp;"-"&amp;Y$2,"")&amp;IF(N(Z116)&gt;0,", "&amp;A116&amp;"-"&amp;Z$2,"")&amp;IF(N(AA116)&gt;0,", "&amp;A116&amp;"-"&amp;AA$2,"")&amp;IF(N(AB116)&gt;0,", "&amp;A116&amp;"-"&amp;AB$2,"")&amp;IF(N(AC116)&gt;0,", "&amp;A116&amp;"-"&amp;AC$2,"")&amp;IF(N(AD116)&gt;0,", "&amp;A116&amp;"-"&amp;AD$2,"")&amp;IF(N(AE116)&gt;0,", "&amp;A116&amp;"-"&amp;AE$2,"")&amp;IF(N(AF116)&gt;0,", "&amp;A116&amp;"-"&amp;AF$2,"")&amp;IF(N(AG116)&gt;0,", "&amp;A116&amp;"-"&amp;AG$2,"")&amp;IF(N(AH116)&gt;0,", "&amp;A116&amp;"-"&amp;AH$2,"")&amp;IF(N(AI116)&gt;0,", "&amp;A116&amp;"-"&amp;AI$2,"")&amp;IF(N(AJ116)&gt;0,", "&amp;A116&amp;"-"&amp;AJ$2,""),3,999))</f>
        <v/>
      </c>
      <c r="AN116" s="81"/>
      <c r="AO116" s="88"/>
      <c r="AP116" s="89" t="str">
        <f aca="false">IF(AO116="","",ROUND(AO116/(1+Справочники!$B$13),2))</f>
        <v/>
      </c>
      <c r="AQ116" s="90" t="str">
        <f aca="false" t="array" ref="AQ116:AQ116">IF(AP116="","",AP116*INDEX(Справочники!$B$4:$B$7,MATCH("RUB",Справочники!$A$4:$A$7,0)))</f>
        <v/>
      </c>
      <c r="AR116" s="90" t="str">
        <f aca="false">IF(AQ116="","",ROUND(AQ116*(1+Справочники!$B$12),0))</f>
        <v/>
      </c>
      <c r="AS116" s="90" t="str">
        <f aca="false">IF(AR116="","",ROUND(AR116*(1-Справочники!$B$11),0))</f>
        <v/>
      </c>
      <c r="AT116" s="88"/>
      <c r="AU116" s="90" t="str">
        <f aca="false">IF(AT116="","",ROUND(AT116/(1+Справочники!$B$12),0))</f>
        <v/>
      </c>
      <c r="AV116" s="90" t="str">
        <f aca="false">IF(AT116="","",ROUND(AT116*(1-Справочники!$B$15),0))</f>
        <v/>
      </c>
      <c r="AW116" s="90" t="str">
        <f aca="false">IF(AT116="","",ROUND(AT116*(1-Справочники!$B$16),0))</f>
        <v/>
      </c>
      <c r="AX116" s="90" t="str">
        <f aca="false">IF(AT116="","",ROUND(AT116*(1-Справочники!$B$17),0))</f>
        <v/>
      </c>
      <c r="AY116" s="90" t="str">
        <f aca="false">IF(AT116="","",ROUND(AT116*(1-Справочники!$B$18),0))</f>
        <v/>
      </c>
      <c r="AZ116" s="90" t="str">
        <f aca="false">IF(AT116="","",ROUND(AT116*(1-Справочники!$B$19),0))</f>
        <v/>
      </c>
      <c r="BA116" s="81"/>
      <c r="BB116" s="81"/>
      <c r="BC116" s="81"/>
      <c r="BD116" s="81"/>
      <c r="BE116" s="91"/>
      <c r="BF116" s="81" t="s">
        <v>103</v>
      </c>
      <c r="BG116" s="89" t="n">
        <f aca="false" t="array" ref="BG116:BG116">IF(BF116="","",IFERROR(INDEX(Справочники!$B$4:$B$7,MATCH(BF116,Справочники!$A$4:$A$7,0)),""))</f>
        <v>68.5</v>
      </c>
      <c r="BH116" s="90" t="str">
        <f aca="false">IF(N(BN116)&gt;0,ROUND(SUMIF(ЗАКАЗЫ!$F$3:$F$500,$A116,ЗАКАЗЫ!$Y$3:$Y$500)/BN116,0),IF(OR(BE116="",BG116=""),"",ROUND(BE116*BG116*(1+Справочники!$B$10),0)))</f>
        <v/>
      </c>
      <c r="BI116" s="92" t="str">
        <f aca="false">IF(OR(AU116="",BH116="",AU116=0),"",(AU116-BH116)/AU116)</f>
        <v/>
      </c>
      <c r="BJ116" s="81"/>
      <c r="BK116" s="83"/>
      <c r="BL116" s="43" t="str">
        <f aca="false">IFERROR(INDEX(ЗАКАЗЫ!$N$3:$N$500,MATCH($A116,ЗАКАЗЫ!$F$3:$F$500,0)),"")</f>
        <v/>
      </c>
      <c r="BM116" s="8" t="str">
        <f aca="false">IF(BL116="","",IFERROR(VLOOKUP(BL116,'ТН ВЭД'!$A$4:$C$40,3,0),""))</f>
        <v/>
      </c>
      <c r="BN116" s="7" t="str">
        <f aca="false">IF(COUNTIF(ЗАКАЗЫ!$F$3:$F$500,$A116)=0,"",SUMIF(ЗАКАЗЫ!$F$3:$F$500,$A116,ЗАКАЗЫ!$J$3:$J$500))</f>
        <v/>
      </c>
      <c r="BO116" s="7" t="str">
        <f aca="false">IF(BN116="","",SUMIF(ЗАКАЗЫ!$F$3:$F$500,$A116,ЗАКАЗЫ!$AL$3:$AL$500))</f>
        <v/>
      </c>
      <c r="BP116" s="7" t="str">
        <f aca="false">IF(BN116="","",BN116-BO116)</f>
        <v/>
      </c>
      <c r="BQ116" s="55" t="str">
        <f aca="false">IF(BN116="","",IF(BO116&gt;=BN116,"На складе",IF(BO116&gt;0,"Частично","Ждём")))</f>
        <v/>
      </c>
      <c r="BR116" s="43"/>
      <c r="BS116" s="47" t="str">
        <f aca="false">IF(BN116="","",IF(_xlfn.MAXIFS(ЗАКАЗЫ!$AK$3:$AK$500,ЗАКАЗЫ!$F$3:$F$500,$A116)=0,"",_xlfn.MAXIFS(ЗАКАЗЫ!$AK$3:$AK$500,ЗАКАЗЫ!$F$3:$F$500,$A116)))</f>
        <v/>
      </c>
    </row>
    <row r="117" customFormat="false" ht="15.75" hidden="false" customHeight="true" outlineLevel="0" collapsed="false">
      <c r="A117" s="80" t="s">
        <v>949</v>
      </c>
      <c r="B117" s="81"/>
      <c r="C117" s="81"/>
      <c r="D117" s="81"/>
      <c r="E117" s="83"/>
      <c r="F117" s="81"/>
      <c r="G117" s="83"/>
      <c r="H117" s="83"/>
      <c r="I117" s="84" t="str">
        <f aca="false">IF(E117="","",A117&amp;"_1.jpg")</f>
        <v/>
      </c>
      <c r="J117" s="84" t="str">
        <f aca="false">IF(E117="","",A117&amp;"_2.jpg; "&amp;A117&amp;"_3.jpg")</f>
        <v/>
      </c>
      <c r="K117" s="84" t="str">
        <f aca="false">IF(E117="","",A117&amp;"_schema.jpg")</f>
        <v/>
      </c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 t="s">
        <v>96</v>
      </c>
      <c r="W117" s="81"/>
      <c r="X117" s="81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6" t="str">
        <f aca="false">IF(SUM(Y117:AJ117)=0,"",SUM(Y117:AJ117))</f>
        <v/>
      </c>
      <c r="AL117" s="84" t="str">
        <f aca="false">MID(IF(N(Y117)&gt;0,", "&amp;Y$2,"")&amp;IF(N(Z117)&gt;0,", "&amp;Z$2,"")&amp;IF(N(AA117)&gt;0,", "&amp;AA$2,"")&amp;IF(N(AB117)&gt;0,", "&amp;AB$2,"")&amp;IF(N(AC117)&gt;0,", "&amp;AC$2,"")&amp;IF(N(AD117)&gt;0,", "&amp;AD$2,"")&amp;IF(N(AE117)&gt;0,", "&amp;AE$2,"")&amp;IF(N(AF117)&gt;0,", "&amp;AF$2,"")&amp;IF(N(AG117)&gt;0,", "&amp;AG$2,"")&amp;IF(N(AH117)&gt;0,", "&amp;AH$2,"")&amp;IF(N(AI117)&gt;0,", "&amp;AI$2,"")&amp;IF(N(AJ117)&gt;0,", "&amp;AJ$2,""),3,999)</f>
        <v/>
      </c>
      <c r="AM117" s="87" t="str">
        <f aca="false">IF(E117="","",MID(IF(N(Y117)&gt;0,", "&amp;A117&amp;"-"&amp;Y$2,"")&amp;IF(N(Z117)&gt;0,", "&amp;A117&amp;"-"&amp;Z$2,"")&amp;IF(N(AA117)&gt;0,", "&amp;A117&amp;"-"&amp;AA$2,"")&amp;IF(N(AB117)&gt;0,", "&amp;A117&amp;"-"&amp;AB$2,"")&amp;IF(N(AC117)&gt;0,", "&amp;A117&amp;"-"&amp;AC$2,"")&amp;IF(N(AD117)&gt;0,", "&amp;A117&amp;"-"&amp;AD$2,"")&amp;IF(N(AE117)&gt;0,", "&amp;A117&amp;"-"&amp;AE$2,"")&amp;IF(N(AF117)&gt;0,", "&amp;A117&amp;"-"&amp;AF$2,"")&amp;IF(N(AG117)&gt;0,", "&amp;A117&amp;"-"&amp;AG$2,"")&amp;IF(N(AH117)&gt;0,", "&amp;A117&amp;"-"&amp;AH$2,"")&amp;IF(N(AI117)&gt;0,", "&amp;A117&amp;"-"&amp;AI$2,"")&amp;IF(N(AJ117)&gt;0,", "&amp;A117&amp;"-"&amp;AJ$2,""),3,999))</f>
        <v/>
      </c>
      <c r="AN117" s="81"/>
      <c r="AO117" s="88"/>
      <c r="AP117" s="89" t="str">
        <f aca="false">IF(AO117="","",ROUND(AO117/(1+Справочники!$B$13),2))</f>
        <v/>
      </c>
      <c r="AQ117" s="90" t="str">
        <f aca="false" t="array" ref="AQ117:AQ117">IF(AP117="","",AP117*INDEX(Справочники!$B$4:$B$7,MATCH("RUB",Справочники!$A$4:$A$7,0)))</f>
        <v/>
      </c>
      <c r="AR117" s="90" t="str">
        <f aca="false">IF(AQ117="","",ROUND(AQ117*(1+Справочники!$B$12),0))</f>
        <v/>
      </c>
      <c r="AS117" s="90" t="str">
        <f aca="false">IF(AR117="","",ROUND(AR117*(1-Справочники!$B$11),0))</f>
        <v/>
      </c>
      <c r="AT117" s="88"/>
      <c r="AU117" s="90" t="str">
        <f aca="false">IF(AT117="","",ROUND(AT117/(1+Справочники!$B$12),0))</f>
        <v/>
      </c>
      <c r="AV117" s="90" t="str">
        <f aca="false">IF(AT117="","",ROUND(AT117*(1-Справочники!$B$15),0))</f>
        <v/>
      </c>
      <c r="AW117" s="90" t="str">
        <f aca="false">IF(AT117="","",ROUND(AT117*(1-Справочники!$B$16),0))</f>
        <v/>
      </c>
      <c r="AX117" s="90" t="str">
        <f aca="false">IF(AT117="","",ROUND(AT117*(1-Справочники!$B$17),0))</f>
        <v/>
      </c>
      <c r="AY117" s="90" t="str">
        <f aca="false">IF(AT117="","",ROUND(AT117*(1-Справочники!$B$18),0))</f>
        <v/>
      </c>
      <c r="AZ117" s="90" t="str">
        <f aca="false">IF(AT117="","",ROUND(AT117*(1-Справочники!$B$19),0))</f>
        <v/>
      </c>
      <c r="BA117" s="81"/>
      <c r="BB117" s="81"/>
      <c r="BC117" s="81"/>
      <c r="BD117" s="81"/>
      <c r="BE117" s="91"/>
      <c r="BF117" s="81" t="s">
        <v>103</v>
      </c>
      <c r="BG117" s="89" t="n">
        <f aca="false" t="array" ref="BG117:BG117">IF(BF117="","",IFERROR(INDEX(Справочники!$B$4:$B$7,MATCH(BF117,Справочники!$A$4:$A$7,0)),""))</f>
        <v>68.5</v>
      </c>
      <c r="BH117" s="90" t="str">
        <f aca="false">IF(N(BN117)&gt;0,ROUND(SUMIF(ЗАКАЗЫ!$F$3:$F$500,$A117,ЗАКАЗЫ!$Y$3:$Y$500)/BN117,0),IF(OR(BE117="",BG117=""),"",ROUND(BE117*BG117*(1+Справочники!$B$10),0)))</f>
        <v/>
      </c>
      <c r="BI117" s="92" t="str">
        <f aca="false">IF(OR(AU117="",BH117="",AU117=0),"",(AU117-BH117)/AU117)</f>
        <v/>
      </c>
      <c r="BJ117" s="81"/>
      <c r="BK117" s="83"/>
      <c r="BL117" s="43" t="str">
        <f aca="false">IFERROR(INDEX(ЗАКАЗЫ!$N$3:$N$500,MATCH($A117,ЗАКАЗЫ!$F$3:$F$500,0)),"")</f>
        <v/>
      </c>
      <c r="BM117" s="8" t="str">
        <f aca="false">IF(BL117="","",IFERROR(VLOOKUP(BL117,'ТН ВЭД'!$A$4:$C$40,3,0),""))</f>
        <v/>
      </c>
      <c r="BN117" s="7" t="str">
        <f aca="false">IF(COUNTIF(ЗАКАЗЫ!$F$3:$F$500,$A117)=0,"",SUMIF(ЗАКАЗЫ!$F$3:$F$500,$A117,ЗАКАЗЫ!$J$3:$J$500))</f>
        <v/>
      </c>
      <c r="BO117" s="7" t="str">
        <f aca="false">IF(BN117="","",SUMIF(ЗАКАЗЫ!$F$3:$F$500,$A117,ЗАКАЗЫ!$AL$3:$AL$500))</f>
        <v/>
      </c>
      <c r="BP117" s="7" t="str">
        <f aca="false">IF(BN117="","",BN117-BO117)</f>
        <v/>
      </c>
      <c r="BQ117" s="55" t="str">
        <f aca="false">IF(BN117="","",IF(BO117&gt;=BN117,"На складе",IF(BO117&gt;0,"Частично","Ждём")))</f>
        <v/>
      </c>
      <c r="BR117" s="43"/>
      <c r="BS117" s="47" t="str">
        <f aca="false">IF(BN117="","",IF(_xlfn.MAXIFS(ЗАКАЗЫ!$AK$3:$AK$500,ЗАКАЗЫ!$F$3:$F$500,$A117)=0,"",_xlfn.MAXIFS(ЗАКАЗЫ!$AK$3:$AK$500,ЗАКАЗЫ!$F$3:$F$500,$A117)))</f>
        <v/>
      </c>
    </row>
    <row r="118" customFormat="false" ht="15.75" hidden="false" customHeight="true" outlineLevel="0" collapsed="false">
      <c r="A118" s="80" t="s">
        <v>950</v>
      </c>
      <c r="B118" s="81"/>
      <c r="C118" s="81"/>
      <c r="D118" s="81"/>
      <c r="E118" s="83"/>
      <c r="F118" s="81"/>
      <c r="G118" s="83"/>
      <c r="H118" s="83"/>
      <c r="I118" s="84" t="str">
        <f aca="false">IF(E118="","",A118&amp;"_1.jpg")</f>
        <v/>
      </c>
      <c r="J118" s="84" t="str">
        <f aca="false">IF(E118="","",A118&amp;"_2.jpg; "&amp;A118&amp;"_3.jpg")</f>
        <v/>
      </c>
      <c r="K118" s="84" t="str">
        <f aca="false">IF(E118="","",A118&amp;"_schema.jpg")</f>
        <v/>
      </c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 t="s">
        <v>96</v>
      </c>
      <c r="W118" s="81"/>
      <c r="X118" s="81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6" t="str">
        <f aca="false">IF(SUM(Y118:AJ118)=0,"",SUM(Y118:AJ118))</f>
        <v/>
      </c>
      <c r="AL118" s="84" t="str">
        <f aca="false">MID(IF(N(Y118)&gt;0,", "&amp;Y$2,"")&amp;IF(N(Z118)&gt;0,", "&amp;Z$2,"")&amp;IF(N(AA118)&gt;0,", "&amp;AA$2,"")&amp;IF(N(AB118)&gt;0,", "&amp;AB$2,"")&amp;IF(N(AC118)&gt;0,", "&amp;AC$2,"")&amp;IF(N(AD118)&gt;0,", "&amp;AD$2,"")&amp;IF(N(AE118)&gt;0,", "&amp;AE$2,"")&amp;IF(N(AF118)&gt;0,", "&amp;AF$2,"")&amp;IF(N(AG118)&gt;0,", "&amp;AG$2,"")&amp;IF(N(AH118)&gt;0,", "&amp;AH$2,"")&amp;IF(N(AI118)&gt;0,", "&amp;AI$2,"")&amp;IF(N(AJ118)&gt;0,", "&amp;AJ$2,""),3,999)</f>
        <v/>
      </c>
      <c r="AM118" s="87" t="str">
        <f aca="false">IF(E118="","",MID(IF(N(Y118)&gt;0,", "&amp;A118&amp;"-"&amp;Y$2,"")&amp;IF(N(Z118)&gt;0,", "&amp;A118&amp;"-"&amp;Z$2,"")&amp;IF(N(AA118)&gt;0,", "&amp;A118&amp;"-"&amp;AA$2,"")&amp;IF(N(AB118)&gt;0,", "&amp;A118&amp;"-"&amp;AB$2,"")&amp;IF(N(AC118)&gt;0,", "&amp;A118&amp;"-"&amp;AC$2,"")&amp;IF(N(AD118)&gt;0,", "&amp;A118&amp;"-"&amp;AD$2,"")&amp;IF(N(AE118)&gt;0,", "&amp;A118&amp;"-"&amp;AE$2,"")&amp;IF(N(AF118)&gt;0,", "&amp;A118&amp;"-"&amp;AF$2,"")&amp;IF(N(AG118)&gt;0,", "&amp;A118&amp;"-"&amp;AG$2,"")&amp;IF(N(AH118)&gt;0,", "&amp;A118&amp;"-"&amp;AH$2,"")&amp;IF(N(AI118)&gt;0,", "&amp;A118&amp;"-"&amp;AI$2,"")&amp;IF(N(AJ118)&gt;0,", "&amp;A118&amp;"-"&amp;AJ$2,""),3,999))</f>
        <v/>
      </c>
      <c r="AN118" s="81"/>
      <c r="AO118" s="88"/>
      <c r="AP118" s="89" t="str">
        <f aca="false">IF(AO118="","",ROUND(AO118/(1+Справочники!$B$13),2))</f>
        <v/>
      </c>
      <c r="AQ118" s="90" t="str">
        <f aca="false" t="array" ref="AQ118:AQ118">IF(AP118="","",AP118*INDEX(Справочники!$B$4:$B$7,MATCH("RUB",Справочники!$A$4:$A$7,0)))</f>
        <v/>
      </c>
      <c r="AR118" s="90" t="str">
        <f aca="false">IF(AQ118="","",ROUND(AQ118*(1+Справочники!$B$12),0))</f>
        <v/>
      </c>
      <c r="AS118" s="90" t="str">
        <f aca="false">IF(AR118="","",ROUND(AR118*(1-Справочники!$B$11),0))</f>
        <v/>
      </c>
      <c r="AT118" s="88"/>
      <c r="AU118" s="90" t="str">
        <f aca="false">IF(AT118="","",ROUND(AT118/(1+Справочники!$B$12),0))</f>
        <v/>
      </c>
      <c r="AV118" s="90" t="str">
        <f aca="false">IF(AT118="","",ROUND(AT118*(1-Справочники!$B$15),0))</f>
        <v/>
      </c>
      <c r="AW118" s="90" t="str">
        <f aca="false">IF(AT118="","",ROUND(AT118*(1-Справочники!$B$16),0))</f>
        <v/>
      </c>
      <c r="AX118" s="90" t="str">
        <f aca="false">IF(AT118="","",ROUND(AT118*(1-Справочники!$B$17),0))</f>
        <v/>
      </c>
      <c r="AY118" s="90" t="str">
        <f aca="false">IF(AT118="","",ROUND(AT118*(1-Справочники!$B$18),0))</f>
        <v/>
      </c>
      <c r="AZ118" s="90" t="str">
        <f aca="false">IF(AT118="","",ROUND(AT118*(1-Справочники!$B$19),0))</f>
        <v/>
      </c>
      <c r="BA118" s="81"/>
      <c r="BB118" s="81"/>
      <c r="BC118" s="81"/>
      <c r="BD118" s="81"/>
      <c r="BE118" s="91"/>
      <c r="BF118" s="81" t="s">
        <v>103</v>
      </c>
      <c r="BG118" s="89" t="n">
        <f aca="false" t="array" ref="BG118:BG118">IF(BF118="","",IFERROR(INDEX(Справочники!$B$4:$B$7,MATCH(BF118,Справочники!$A$4:$A$7,0)),""))</f>
        <v>68.5</v>
      </c>
      <c r="BH118" s="90" t="str">
        <f aca="false">IF(N(BN118)&gt;0,ROUND(SUMIF(ЗАКАЗЫ!$F$3:$F$500,$A118,ЗАКАЗЫ!$Y$3:$Y$500)/BN118,0),IF(OR(BE118="",BG118=""),"",ROUND(BE118*BG118*(1+Справочники!$B$10),0)))</f>
        <v/>
      </c>
      <c r="BI118" s="92" t="str">
        <f aca="false">IF(OR(AU118="",BH118="",AU118=0),"",(AU118-BH118)/AU118)</f>
        <v/>
      </c>
      <c r="BJ118" s="81"/>
      <c r="BK118" s="83"/>
      <c r="BL118" s="43" t="str">
        <f aca="false">IFERROR(INDEX(ЗАКАЗЫ!$N$3:$N$500,MATCH($A118,ЗАКАЗЫ!$F$3:$F$500,0)),"")</f>
        <v/>
      </c>
      <c r="BM118" s="8" t="str">
        <f aca="false">IF(BL118="","",IFERROR(VLOOKUP(BL118,'ТН ВЭД'!$A$4:$C$40,3,0),""))</f>
        <v/>
      </c>
      <c r="BN118" s="7" t="str">
        <f aca="false">IF(COUNTIF(ЗАКАЗЫ!$F$3:$F$500,$A118)=0,"",SUMIF(ЗАКАЗЫ!$F$3:$F$500,$A118,ЗАКАЗЫ!$J$3:$J$500))</f>
        <v/>
      </c>
      <c r="BO118" s="7" t="str">
        <f aca="false">IF(BN118="","",SUMIF(ЗАКАЗЫ!$F$3:$F$500,$A118,ЗАКАЗЫ!$AL$3:$AL$500))</f>
        <v/>
      </c>
      <c r="BP118" s="7" t="str">
        <f aca="false">IF(BN118="","",BN118-BO118)</f>
        <v/>
      </c>
      <c r="BQ118" s="55" t="str">
        <f aca="false">IF(BN118="","",IF(BO118&gt;=BN118,"На складе",IF(BO118&gt;0,"Частично","Ждём")))</f>
        <v/>
      </c>
      <c r="BR118" s="43"/>
      <c r="BS118" s="47" t="str">
        <f aca="false">IF(BN118="","",IF(_xlfn.MAXIFS(ЗАКАЗЫ!$AK$3:$AK$500,ЗАКАЗЫ!$F$3:$F$500,$A118)=0,"",_xlfn.MAXIFS(ЗАКАЗЫ!$AK$3:$AK$500,ЗАКАЗЫ!$F$3:$F$500,$A118)))</f>
        <v/>
      </c>
    </row>
    <row r="119" customFormat="false" ht="15.75" hidden="false" customHeight="true" outlineLevel="0" collapsed="false">
      <c r="A119" s="80" t="s">
        <v>951</v>
      </c>
      <c r="B119" s="81"/>
      <c r="C119" s="81"/>
      <c r="D119" s="81"/>
      <c r="E119" s="83"/>
      <c r="F119" s="81"/>
      <c r="G119" s="83"/>
      <c r="H119" s="83"/>
      <c r="I119" s="84" t="str">
        <f aca="false">IF(E119="","",A119&amp;"_1.jpg")</f>
        <v/>
      </c>
      <c r="J119" s="84" t="str">
        <f aca="false">IF(E119="","",A119&amp;"_2.jpg; "&amp;A119&amp;"_3.jpg")</f>
        <v/>
      </c>
      <c r="K119" s="84" t="str">
        <f aca="false">IF(E119="","",A119&amp;"_schema.jpg")</f>
        <v/>
      </c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 t="s">
        <v>96</v>
      </c>
      <c r="W119" s="81"/>
      <c r="X119" s="81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6" t="str">
        <f aca="false">IF(SUM(Y119:AJ119)=0,"",SUM(Y119:AJ119))</f>
        <v/>
      </c>
      <c r="AL119" s="84" t="str">
        <f aca="false">MID(IF(N(Y119)&gt;0,", "&amp;Y$2,"")&amp;IF(N(Z119)&gt;0,", "&amp;Z$2,"")&amp;IF(N(AA119)&gt;0,", "&amp;AA$2,"")&amp;IF(N(AB119)&gt;0,", "&amp;AB$2,"")&amp;IF(N(AC119)&gt;0,", "&amp;AC$2,"")&amp;IF(N(AD119)&gt;0,", "&amp;AD$2,"")&amp;IF(N(AE119)&gt;0,", "&amp;AE$2,"")&amp;IF(N(AF119)&gt;0,", "&amp;AF$2,"")&amp;IF(N(AG119)&gt;0,", "&amp;AG$2,"")&amp;IF(N(AH119)&gt;0,", "&amp;AH$2,"")&amp;IF(N(AI119)&gt;0,", "&amp;AI$2,"")&amp;IF(N(AJ119)&gt;0,", "&amp;AJ$2,""),3,999)</f>
        <v/>
      </c>
      <c r="AM119" s="87" t="str">
        <f aca="false">IF(E119="","",MID(IF(N(Y119)&gt;0,", "&amp;A119&amp;"-"&amp;Y$2,"")&amp;IF(N(Z119)&gt;0,", "&amp;A119&amp;"-"&amp;Z$2,"")&amp;IF(N(AA119)&gt;0,", "&amp;A119&amp;"-"&amp;AA$2,"")&amp;IF(N(AB119)&gt;0,", "&amp;A119&amp;"-"&amp;AB$2,"")&amp;IF(N(AC119)&gt;0,", "&amp;A119&amp;"-"&amp;AC$2,"")&amp;IF(N(AD119)&gt;0,", "&amp;A119&amp;"-"&amp;AD$2,"")&amp;IF(N(AE119)&gt;0,", "&amp;A119&amp;"-"&amp;AE$2,"")&amp;IF(N(AF119)&gt;0,", "&amp;A119&amp;"-"&amp;AF$2,"")&amp;IF(N(AG119)&gt;0,", "&amp;A119&amp;"-"&amp;AG$2,"")&amp;IF(N(AH119)&gt;0,", "&amp;A119&amp;"-"&amp;AH$2,"")&amp;IF(N(AI119)&gt;0,", "&amp;A119&amp;"-"&amp;AI$2,"")&amp;IF(N(AJ119)&gt;0,", "&amp;A119&amp;"-"&amp;AJ$2,""),3,999))</f>
        <v/>
      </c>
      <c r="AN119" s="81"/>
      <c r="AO119" s="88"/>
      <c r="AP119" s="89" t="str">
        <f aca="false">IF(AO119="","",ROUND(AO119/(1+Справочники!$B$13),2))</f>
        <v/>
      </c>
      <c r="AQ119" s="90" t="str">
        <f aca="false" t="array" ref="AQ119:AQ119">IF(AP119="","",AP119*INDEX(Справочники!$B$4:$B$7,MATCH("RUB",Справочники!$A$4:$A$7,0)))</f>
        <v/>
      </c>
      <c r="AR119" s="90" t="str">
        <f aca="false">IF(AQ119="","",ROUND(AQ119*(1+Справочники!$B$12),0))</f>
        <v/>
      </c>
      <c r="AS119" s="90" t="str">
        <f aca="false">IF(AR119="","",ROUND(AR119*(1-Справочники!$B$11),0))</f>
        <v/>
      </c>
      <c r="AT119" s="88"/>
      <c r="AU119" s="90" t="str">
        <f aca="false">IF(AT119="","",ROUND(AT119/(1+Справочники!$B$12),0))</f>
        <v/>
      </c>
      <c r="AV119" s="90" t="str">
        <f aca="false">IF(AT119="","",ROUND(AT119*(1-Справочники!$B$15),0))</f>
        <v/>
      </c>
      <c r="AW119" s="90" t="str">
        <f aca="false">IF(AT119="","",ROUND(AT119*(1-Справочники!$B$16),0))</f>
        <v/>
      </c>
      <c r="AX119" s="90" t="str">
        <f aca="false">IF(AT119="","",ROUND(AT119*(1-Справочники!$B$17),0))</f>
        <v/>
      </c>
      <c r="AY119" s="90" t="str">
        <f aca="false">IF(AT119="","",ROUND(AT119*(1-Справочники!$B$18),0))</f>
        <v/>
      </c>
      <c r="AZ119" s="90" t="str">
        <f aca="false">IF(AT119="","",ROUND(AT119*(1-Справочники!$B$19),0))</f>
        <v/>
      </c>
      <c r="BA119" s="81"/>
      <c r="BB119" s="81"/>
      <c r="BC119" s="81"/>
      <c r="BD119" s="81"/>
      <c r="BE119" s="91"/>
      <c r="BF119" s="81" t="s">
        <v>103</v>
      </c>
      <c r="BG119" s="89" t="n">
        <f aca="false" t="array" ref="BG119:BG119">IF(BF119="","",IFERROR(INDEX(Справочники!$B$4:$B$7,MATCH(BF119,Справочники!$A$4:$A$7,0)),""))</f>
        <v>68.5</v>
      </c>
      <c r="BH119" s="90" t="str">
        <f aca="false">IF(N(BN119)&gt;0,ROUND(SUMIF(ЗАКАЗЫ!$F$3:$F$500,$A119,ЗАКАЗЫ!$Y$3:$Y$500)/BN119,0),IF(OR(BE119="",BG119=""),"",ROUND(BE119*BG119*(1+Справочники!$B$10),0)))</f>
        <v/>
      </c>
      <c r="BI119" s="92" t="str">
        <f aca="false">IF(OR(AU119="",BH119="",AU119=0),"",(AU119-BH119)/AU119)</f>
        <v/>
      </c>
      <c r="BJ119" s="81"/>
      <c r="BK119" s="83"/>
      <c r="BL119" s="43" t="str">
        <f aca="false">IFERROR(INDEX(ЗАКАЗЫ!$N$3:$N$500,MATCH($A119,ЗАКАЗЫ!$F$3:$F$500,0)),"")</f>
        <v/>
      </c>
      <c r="BM119" s="8" t="str">
        <f aca="false">IF(BL119="","",IFERROR(VLOOKUP(BL119,'ТН ВЭД'!$A$4:$C$40,3,0),""))</f>
        <v/>
      </c>
      <c r="BN119" s="7" t="str">
        <f aca="false">IF(COUNTIF(ЗАКАЗЫ!$F$3:$F$500,$A119)=0,"",SUMIF(ЗАКАЗЫ!$F$3:$F$500,$A119,ЗАКАЗЫ!$J$3:$J$500))</f>
        <v/>
      </c>
      <c r="BO119" s="7" t="str">
        <f aca="false">IF(BN119="","",SUMIF(ЗАКАЗЫ!$F$3:$F$500,$A119,ЗАКАЗЫ!$AL$3:$AL$500))</f>
        <v/>
      </c>
      <c r="BP119" s="7" t="str">
        <f aca="false">IF(BN119="","",BN119-BO119)</f>
        <v/>
      </c>
      <c r="BQ119" s="55" t="str">
        <f aca="false">IF(BN119="","",IF(BO119&gt;=BN119,"На складе",IF(BO119&gt;0,"Частично","Ждём")))</f>
        <v/>
      </c>
      <c r="BR119" s="43"/>
      <c r="BS119" s="47" t="str">
        <f aca="false">IF(BN119="","",IF(_xlfn.MAXIFS(ЗАКАЗЫ!$AK$3:$AK$500,ЗАКАЗЫ!$F$3:$F$500,$A119)=0,"",_xlfn.MAXIFS(ЗАКАЗЫ!$AK$3:$AK$500,ЗАКАЗЫ!$F$3:$F$500,$A119)))</f>
        <v/>
      </c>
    </row>
    <row r="120" customFormat="false" ht="15.75" hidden="false" customHeight="true" outlineLevel="0" collapsed="false">
      <c r="A120" s="80" t="s">
        <v>952</v>
      </c>
      <c r="B120" s="81"/>
      <c r="C120" s="81"/>
      <c r="D120" s="81"/>
      <c r="E120" s="83"/>
      <c r="F120" s="81"/>
      <c r="G120" s="83"/>
      <c r="H120" s="83"/>
      <c r="I120" s="84" t="str">
        <f aca="false">IF(E120="","",A120&amp;"_1.jpg")</f>
        <v/>
      </c>
      <c r="J120" s="84" t="str">
        <f aca="false">IF(E120="","",A120&amp;"_2.jpg; "&amp;A120&amp;"_3.jpg")</f>
        <v/>
      </c>
      <c r="K120" s="84" t="str">
        <f aca="false">IF(E120="","",A120&amp;"_schema.jpg")</f>
        <v/>
      </c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 t="s">
        <v>96</v>
      </c>
      <c r="W120" s="81"/>
      <c r="X120" s="81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6" t="str">
        <f aca="false">IF(SUM(Y120:AJ120)=0,"",SUM(Y120:AJ120))</f>
        <v/>
      </c>
      <c r="AL120" s="84" t="str">
        <f aca="false">MID(IF(N(Y120)&gt;0,", "&amp;Y$2,"")&amp;IF(N(Z120)&gt;0,", "&amp;Z$2,"")&amp;IF(N(AA120)&gt;0,", "&amp;AA$2,"")&amp;IF(N(AB120)&gt;0,", "&amp;AB$2,"")&amp;IF(N(AC120)&gt;0,", "&amp;AC$2,"")&amp;IF(N(AD120)&gt;0,", "&amp;AD$2,"")&amp;IF(N(AE120)&gt;0,", "&amp;AE$2,"")&amp;IF(N(AF120)&gt;0,", "&amp;AF$2,"")&amp;IF(N(AG120)&gt;0,", "&amp;AG$2,"")&amp;IF(N(AH120)&gt;0,", "&amp;AH$2,"")&amp;IF(N(AI120)&gt;0,", "&amp;AI$2,"")&amp;IF(N(AJ120)&gt;0,", "&amp;AJ$2,""),3,999)</f>
        <v/>
      </c>
      <c r="AM120" s="87" t="str">
        <f aca="false">IF(E120="","",MID(IF(N(Y120)&gt;0,", "&amp;A120&amp;"-"&amp;Y$2,"")&amp;IF(N(Z120)&gt;0,", "&amp;A120&amp;"-"&amp;Z$2,"")&amp;IF(N(AA120)&gt;0,", "&amp;A120&amp;"-"&amp;AA$2,"")&amp;IF(N(AB120)&gt;0,", "&amp;A120&amp;"-"&amp;AB$2,"")&amp;IF(N(AC120)&gt;0,", "&amp;A120&amp;"-"&amp;AC$2,"")&amp;IF(N(AD120)&gt;0,", "&amp;A120&amp;"-"&amp;AD$2,"")&amp;IF(N(AE120)&gt;0,", "&amp;A120&amp;"-"&amp;AE$2,"")&amp;IF(N(AF120)&gt;0,", "&amp;A120&amp;"-"&amp;AF$2,"")&amp;IF(N(AG120)&gt;0,", "&amp;A120&amp;"-"&amp;AG$2,"")&amp;IF(N(AH120)&gt;0,", "&amp;A120&amp;"-"&amp;AH$2,"")&amp;IF(N(AI120)&gt;0,", "&amp;A120&amp;"-"&amp;AI$2,"")&amp;IF(N(AJ120)&gt;0,", "&amp;A120&amp;"-"&amp;AJ$2,""),3,999))</f>
        <v/>
      </c>
      <c r="AN120" s="81"/>
      <c r="AO120" s="88"/>
      <c r="AP120" s="89" t="str">
        <f aca="false">IF(AO120="","",ROUND(AO120/(1+Справочники!$B$13),2))</f>
        <v/>
      </c>
      <c r="AQ120" s="90" t="str">
        <f aca="false" t="array" ref="AQ120:AQ120">IF(AP120="","",AP120*INDEX(Справочники!$B$4:$B$7,MATCH("RUB",Справочники!$A$4:$A$7,0)))</f>
        <v/>
      </c>
      <c r="AR120" s="90" t="str">
        <f aca="false">IF(AQ120="","",ROUND(AQ120*(1+Справочники!$B$12),0))</f>
        <v/>
      </c>
      <c r="AS120" s="90" t="str">
        <f aca="false">IF(AR120="","",ROUND(AR120*(1-Справочники!$B$11),0))</f>
        <v/>
      </c>
      <c r="AT120" s="88"/>
      <c r="AU120" s="90" t="str">
        <f aca="false">IF(AT120="","",ROUND(AT120/(1+Справочники!$B$12),0))</f>
        <v/>
      </c>
      <c r="AV120" s="90" t="str">
        <f aca="false">IF(AT120="","",ROUND(AT120*(1-Справочники!$B$15),0))</f>
        <v/>
      </c>
      <c r="AW120" s="90" t="str">
        <f aca="false">IF(AT120="","",ROUND(AT120*(1-Справочники!$B$16),0))</f>
        <v/>
      </c>
      <c r="AX120" s="90" t="str">
        <f aca="false">IF(AT120="","",ROUND(AT120*(1-Справочники!$B$17),0))</f>
        <v/>
      </c>
      <c r="AY120" s="90" t="str">
        <f aca="false">IF(AT120="","",ROUND(AT120*(1-Справочники!$B$18),0))</f>
        <v/>
      </c>
      <c r="AZ120" s="90" t="str">
        <f aca="false">IF(AT120="","",ROUND(AT120*(1-Справочники!$B$19),0))</f>
        <v/>
      </c>
      <c r="BA120" s="81"/>
      <c r="BB120" s="81"/>
      <c r="BC120" s="81"/>
      <c r="BD120" s="81"/>
      <c r="BE120" s="91"/>
      <c r="BF120" s="81" t="s">
        <v>103</v>
      </c>
      <c r="BG120" s="89" t="n">
        <f aca="false" t="array" ref="BG120:BG120">IF(BF120="","",IFERROR(INDEX(Справочники!$B$4:$B$7,MATCH(BF120,Справочники!$A$4:$A$7,0)),""))</f>
        <v>68.5</v>
      </c>
      <c r="BH120" s="90" t="str">
        <f aca="false">IF(N(BN120)&gt;0,ROUND(SUMIF(ЗАКАЗЫ!$F$3:$F$500,$A120,ЗАКАЗЫ!$Y$3:$Y$500)/BN120,0),IF(OR(BE120="",BG120=""),"",ROUND(BE120*BG120*(1+Справочники!$B$10),0)))</f>
        <v/>
      </c>
      <c r="BI120" s="92" t="str">
        <f aca="false">IF(OR(AU120="",BH120="",AU120=0),"",(AU120-BH120)/AU120)</f>
        <v/>
      </c>
      <c r="BJ120" s="81"/>
      <c r="BK120" s="83"/>
      <c r="BL120" s="43" t="str">
        <f aca="false">IFERROR(INDEX(ЗАКАЗЫ!$N$3:$N$500,MATCH($A120,ЗАКАЗЫ!$F$3:$F$500,0)),"")</f>
        <v/>
      </c>
      <c r="BM120" s="8" t="str">
        <f aca="false">IF(BL120="","",IFERROR(VLOOKUP(BL120,'ТН ВЭД'!$A$4:$C$40,3,0),""))</f>
        <v/>
      </c>
      <c r="BN120" s="7" t="str">
        <f aca="false">IF(COUNTIF(ЗАКАЗЫ!$F$3:$F$500,$A120)=0,"",SUMIF(ЗАКАЗЫ!$F$3:$F$500,$A120,ЗАКАЗЫ!$J$3:$J$500))</f>
        <v/>
      </c>
      <c r="BO120" s="7" t="str">
        <f aca="false">IF(BN120="","",SUMIF(ЗАКАЗЫ!$F$3:$F$500,$A120,ЗАКАЗЫ!$AL$3:$AL$500))</f>
        <v/>
      </c>
      <c r="BP120" s="7" t="str">
        <f aca="false">IF(BN120="","",BN120-BO120)</f>
        <v/>
      </c>
      <c r="BQ120" s="55" t="str">
        <f aca="false">IF(BN120="","",IF(BO120&gt;=BN120,"На складе",IF(BO120&gt;0,"Частично","Ждём")))</f>
        <v/>
      </c>
      <c r="BR120" s="43"/>
      <c r="BS120" s="47" t="str">
        <f aca="false">IF(BN120="","",IF(_xlfn.MAXIFS(ЗАКАЗЫ!$AK$3:$AK$500,ЗАКАЗЫ!$F$3:$F$500,$A120)=0,"",_xlfn.MAXIFS(ЗАКАЗЫ!$AK$3:$AK$500,ЗАКАЗЫ!$F$3:$F$500,$A120)))</f>
        <v/>
      </c>
    </row>
    <row r="121" customFormat="false" ht="15.75" hidden="false" customHeight="true" outlineLevel="0" collapsed="false">
      <c r="A121" s="80" t="s">
        <v>953</v>
      </c>
      <c r="B121" s="81"/>
      <c r="C121" s="81"/>
      <c r="D121" s="81"/>
      <c r="E121" s="83"/>
      <c r="F121" s="81"/>
      <c r="G121" s="83"/>
      <c r="H121" s="83"/>
      <c r="I121" s="84" t="str">
        <f aca="false">IF(E121="","",A121&amp;"_1.jpg")</f>
        <v/>
      </c>
      <c r="J121" s="84" t="str">
        <f aca="false">IF(E121="","",A121&amp;"_2.jpg; "&amp;A121&amp;"_3.jpg")</f>
        <v/>
      </c>
      <c r="K121" s="84" t="str">
        <f aca="false">IF(E121="","",A121&amp;"_schema.jpg")</f>
        <v/>
      </c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 t="s">
        <v>96</v>
      </c>
      <c r="W121" s="81"/>
      <c r="X121" s="81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6" t="str">
        <f aca="false">IF(SUM(Y121:AJ121)=0,"",SUM(Y121:AJ121))</f>
        <v/>
      </c>
      <c r="AL121" s="84" t="str">
        <f aca="false">MID(IF(N(Y121)&gt;0,", "&amp;Y$2,"")&amp;IF(N(Z121)&gt;0,", "&amp;Z$2,"")&amp;IF(N(AA121)&gt;0,", "&amp;AA$2,"")&amp;IF(N(AB121)&gt;0,", "&amp;AB$2,"")&amp;IF(N(AC121)&gt;0,", "&amp;AC$2,"")&amp;IF(N(AD121)&gt;0,", "&amp;AD$2,"")&amp;IF(N(AE121)&gt;0,", "&amp;AE$2,"")&amp;IF(N(AF121)&gt;0,", "&amp;AF$2,"")&amp;IF(N(AG121)&gt;0,", "&amp;AG$2,"")&amp;IF(N(AH121)&gt;0,", "&amp;AH$2,"")&amp;IF(N(AI121)&gt;0,", "&amp;AI$2,"")&amp;IF(N(AJ121)&gt;0,", "&amp;AJ$2,""),3,999)</f>
        <v/>
      </c>
      <c r="AM121" s="87" t="str">
        <f aca="false">IF(E121="","",MID(IF(N(Y121)&gt;0,", "&amp;A121&amp;"-"&amp;Y$2,"")&amp;IF(N(Z121)&gt;0,", "&amp;A121&amp;"-"&amp;Z$2,"")&amp;IF(N(AA121)&gt;0,", "&amp;A121&amp;"-"&amp;AA$2,"")&amp;IF(N(AB121)&gt;0,", "&amp;A121&amp;"-"&amp;AB$2,"")&amp;IF(N(AC121)&gt;0,", "&amp;A121&amp;"-"&amp;AC$2,"")&amp;IF(N(AD121)&gt;0,", "&amp;A121&amp;"-"&amp;AD$2,"")&amp;IF(N(AE121)&gt;0,", "&amp;A121&amp;"-"&amp;AE$2,"")&amp;IF(N(AF121)&gt;0,", "&amp;A121&amp;"-"&amp;AF$2,"")&amp;IF(N(AG121)&gt;0,", "&amp;A121&amp;"-"&amp;AG$2,"")&amp;IF(N(AH121)&gt;0,", "&amp;A121&amp;"-"&amp;AH$2,"")&amp;IF(N(AI121)&gt;0,", "&amp;A121&amp;"-"&amp;AI$2,"")&amp;IF(N(AJ121)&gt;0,", "&amp;A121&amp;"-"&amp;AJ$2,""),3,999))</f>
        <v/>
      </c>
      <c r="AN121" s="81"/>
      <c r="AO121" s="88"/>
      <c r="AP121" s="89" t="str">
        <f aca="false">IF(AO121="","",ROUND(AO121/(1+Справочники!$B$13),2))</f>
        <v/>
      </c>
      <c r="AQ121" s="90" t="str">
        <f aca="false" t="array" ref="AQ121:AQ121">IF(AP121="","",AP121*INDEX(Справочники!$B$4:$B$7,MATCH("RUB",Справочники!$A$4:$A$7,0)))</f>
        <v/>
      </c>
      <c r="AR121" s="90" t="str">
        <f aca="false">IF(AQ121="","",ROUND(AQ121*(1+Справочники!$B$12),0))</f>
        <v/>
      </c>
      <c r="AS121" s="90" t="str">
        <f aca="false">IF(AR121="","",ROUND(AR121*(1-Справочники!$B$11),0))</f>
        <v/>
      </c>
      <c r="AT121" s="88"/>
      <c r="AU121" s="90" t="str">
        <f aca="false">IF(AT121="","",ROUND(AT121/(1+Справочники!$B$12),0))</f>
        <v/>
      </c>
      <c r="AV121" s="90" t="str">
        <f aca="false">IF(AT121="","",ROUND(AT121*(1-Справочники!$B$15),0))</f>
        <v/>
      </c>
      <c r="AW121" s="90" t="str">
        <f aca="false">IF(AT121="","",ROUND(AT121*(1-Справочники!$B$16),0))</f>
        <v/>
      </c>
      <c r="AX121" s="90" t="str">
        <f aca="false">IF(AT121="","",ROUND(AT121*(1-Справочники!$B$17),0))</f>
        <v/>
      </c>
      <c r="AY121" s="90" t="str">
        <f aca="false">IF(AT121="","",ROUND(AT121*(1-Справочники!$B$18),0))</f>
        <v/>
      </c>
      <c r="AZ121" s="90" t="str">
        <f aca="false">IF(AT121="","",ROUND(AT121*(1-Справочники!$B$19),0))</f>
        <v/>
      </c>
      <c r="BA121" s="81"/>
      <c r="BB121" s="81"/>
      <c r="BC121" s="81"/>
      <c r="BD121" s="81"/>
      <c r="BE121" s="91"/>
      <c r="BF121" s="81" t="s">
        <v>103</v>
      </c>
      <c r="BG121" s="89" t="n">
        <f aca="false" t="array" ref="BG121:BG121">IF(BF121="","",IFERROR(INDEX(Справочники!$B$4:$B$7,MATCH(BF121,Справочники!$A$4:$A$7,0)),""))</f>
        <v>68.5</v>
      </c>
      <c r="BH121" s="90" t="str">
        <f aca="false">IF(N(BN121)&gt;0,ROUND(SUMIF(ЗАКАЗЫ!$F$3:$F$500,$A121,ЗАКАЗЫ!$Y$3:$Y$500)/BN121,0),IF(OR(BE121="",BG121=""),"",ROUND(BE121*BG121*(1+Справочники!$B$10),0)))</f>
        <v/>
      </c>
      <c r="BI121" s="92" t="str">
        <f aca="false">IF(OR(AU121="",BH121="",AU121=0),"",(AU121-BH121)/AU121)</f>
        <v/>
      </c>
      <c r="BJ121" s="81"/>
      <c r="BK121" s="83"/>
      <c r="BL121" s="43" t="str">
        <f aca="false">IFERROR(INDEX(ЗАКАЗЫ!$N$3:$N$500,MATCH($A121,ЗАКАЗЫ!$F$3:$F$500,0)),"")</f>
        <v/>
      </c>
      <c r="BM121" s="8" t="str">
        <f aca="false">IF(BL121="","",IFERROR(VLOOKUP(BL121,'ТН ВЭД'!$A$4:$C$40,3,0),""))</f>
        <v/>
      </c>
      <c r="BN121" s="7" t="str">
        <f aca="false">IF(COUNTIF(ЗАКАЗЫ!$F$3:$F$500,$A121)=0,"",SUMIF(ЗАКАЗЫ!$F$3:$F$500,$A121,ЗАКАЗЫ!$J$3:$J$500))</f>
        <v/>
      </c>
      <c r="BO121" s="7" t="str">
        <f aca="false">IF(BN121="","",SUMIF(ЗАКАЗЫ!$F$3:$F$500,$A121,ЗАКАЗЫ!$AL$3:$AL$500))</f>
        <v/>
      </c>
      <c r="BP121" s="7" t="str">
        <f aca="false">IF(BN121="","",BN121-BO121)</f>
        <v/>
      </c>
      <c r="BQ121" s="55" t="str">
        <f aca="false">IF(BN121="","",IF(BO121&gt;=BN121,"На складе",IF(BO121&gt;0,"Частично","Ждём")))</f>
        <v/>
      </c>
      <c r="BR121" s="43"/>
      <c r="BS121" s="47" t="str">
        <f aca="false">IF(BN121="","",IF(_xlfn.MAXIFS(ЗАКАЗЫ!$AK$3:$AK$500,ЗАКАЗЫ!$F$3:$F$500,$A121)=0,"",_xlfn.MAXIFS(ЗАКАЗЫ!$AK$3:$AK$500,ЗАКАЗЫ!$F$3:$F$500,$A121)))</f>
        <v/>
      </c>
    </row>
    <row r="122" customFormat="false" ht="15.75" hidden="false" customHeight="true" outlineLevel="0" collapsed="false">
      <c r="A122" s="80" t="s">
        <v>954</v>
      </c>
      <c r="B122" s="81"/>
      <c r="C122" s="81"/>
      <c r="D122" s="81"/>
      <c r="E122" s="83"/>
      <c r="F122" s="81"/>
      <c r="G122" s="83"/>
      <c r="H122" s="83"/>
      <c r="I122" s="84" t="str">
        <f aca="false">IF(E122="","",A122&amp;"_1.jpg")</f>
        <v/>
      </c>
      <c r="J122" s="84" t="str">
        <f aca="false">IF(E122="","",A122&amp;"_2.jpg; "&amp;A122&amp;"_3.jpg")</f>
        <v/>
      </c>
      <c r="K122" s="84" t="str">
        <f aca="false">IF(E122="","",A122&amp;"_schema.jpg")</f>
        <v/>
      </c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 t="s">
        <v>96</v>
      </c>
      <c r="W122" s="81"/>
      <c r="X122" s="81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6" t="str">
        <f aca="false">IF(SUM(Y122:AJ122)=0,"",SUM(Y122:AJ122))</f>
        <v/>
      </c>
      <c r="AL122" s="84" t="str">
        <f aca="false">MID(IF(N(Y122)&gt;0,", "&amp;Y$2,"")&amp;IF(N(Z122)&gt;0,", "&amp;Z$2,"")&amp;IF(N(AA122)&gt;0,", "&amp;AA$2,"")&amp;IF(N(AB122)&gt;0,", "&amp;AB$2,"")&amp;IF(N(AC122)&gt;0,", "&amp;AC$2,"")&amp;IF(N(AD122)&gt;0,", "&amp;AD$2,"")&amp;IF(N(AE122)&gt;0,", "&amp;AE$2,"")&amp;IF(N(AF122)&gt;0,", "&amp;AF$2,"")&amp;IF(N(AG122)&gt;0,", "&amp;AG$2,"")&amp;IF(N(AH122)&gt;0,", "&amp;AH$2,"")&amp;IF(N(AI122)&gt;0,", "&amp;AI$2,"")&amp;IF(N(AJ122)&gt;0,", "&amp;AJ$2,""),3,999)</f>
        <v/>
      </c>
      <c r="AM122" s="87" t="str">
        <f aca="false">IF(E122="","",MID(IF(N(Y122)&gt;0,", "&amp;A122&amp;"-"&amp;Y$2,"")&amp;IF(N(Z122)&gt;0,", "&amp;A122&amp;"-"&amp;Z$2,"")&amp;IF(N(AA122)&gt;0,", "&amp;A122&amp;"-"&amp;AA$2,"")&amp;IF(N(AB122)&gt;0,", "&amp;A122&amp;"-"&amp;AB$2,"")&amp;IF(N(AC122)&gt;0,", "&amp;A122&amp;"-"&amp;AC$2,"")&amp;IF(N(AD122)&gt;0,", "&amp;A122&amp;"-"&amp;AD$2,"")&amp;IF(N(AE122)&gt;0,", "&amp;A122&amp;"-"&amp;AE$2,"")&amp;IF(N(AF122)&gt;0,", "&amp;A122&amp;"-"&amp;AF$2,"")&amp;IF(N(AG122)&gt;0,", "&amp;A122&amp;"-"&amp;AG$2,"")&amp;IF(N(AH122)&gt;0,", "&amp;A122&amp;"-"&amp;AH$2,"")&amp;IF(N(AI122)&gt;0,", "&amp;A122&amp;"-"&amp;AI$2,"")&amp;IF(N(AJ122)&gt;0,", "&amp;A122&amp;"-"&amp;AJ$2,""),3,999))</f>
        <v/>
      </c>
      <c r="AN122" s="81"/>
      <c r="AO122" s="88"/>
      <c r="AP122" s="89" t="str">
        <f aca="false">IF(AO122="","",ROUND(AO122/(1+Справочники!$B$13),2))</f>
        <v/>
      </c>
      <c r="AQ122" s="90" t="str">
        <f aca="false" t="array" ref="AQ122:AQ122">IF(AP122="","",AP122*INDEX(Справочники!$B$4:$B$7,MATCH("RUB",Справочники!$A$4:$A$7,0)))</f>
        <v/>
      </c>
      <c r="AR122" s="90" t="str">
        <f aca="false">IF(AQ122="","",ROUND(AQ122*(1+Справочники!$B$12),0))</f>
        <v/>
      </c>
      <c r="AS122" s="90" t="str">
        <f aca="false">IF(AR122="","",ROUND(AR122*(1-Справочники!$B$11),0))</f>
        <v/>
      </c>
      <c r="AT122" s="88"/>
      <c r="AU122" s="90" t="str">
        <f aca="false">IF(AT122="","",ROUND(AT122/(1+Справочники!$B$12),0))</f>
        <v/>
      </c>
      <c r="AV122" s="90" t="str">
        <f aca="false">IF(AT122="","",ROUND(AT122*(1-Справочники!$B$15),0))</f>
        <v/>
      </c>
      <c r="AW122" s="90" t="str">
        <f aca="false">IF(AT122="","",ROUND(AT122*(1-Справочники!$B$16),0))</f>
        <v/>
      </c>
      <c r="AX122" s="90" t="str">
        <f aca="false">IF(AT122="","",ROUND(AT122*(1-Справочники!$B$17),0))</f>
        <v/>
      </c>
      <c r="AY122" s="90" t="str">
        <f aca="false">IF(AT122="","",ROUND(AT122*(1-Справочники!$B$18),0))</f>
        <v/>
      </c>
      <c r="AZ122" s="90" t="str">
        <f aca="false">IF(AT122="","",ROUND(AT122*(1-Справочники!$B$19),0))</f>
        <v/>
      </c>
      <c r="BA122" s="81"/>
      <c r="BB122" s="81"/>
      <c r="BC122" s="81"/>
      <c r="BD122" s="81"/>
      <c r="BE122" s="91"/>
      <c r="BF122" s="81" t="s">
        <v>103</v>
      </c>
      <c r="BG122" s="89" t="n">
        <f aca="false" t="array" ref="BG122:BG122">IF(BF122="","",IFERROR(INDEX(Справочники!$B$4:$B$7,MATCH(BF122,Справочники!$A$4:$A$7,0)),""))</f>
        <v>68.5</v>
      </c>
      <c r="BH122" s="90" t="str">
        <f aca="false">IF(N(BN122)&gt;0,ROUND(SUMIF(ЗАКАЗЫ!$F$3:$F$500,$A122,ЗАКАЗЫ!$Y$3:$Y$500)/BN122,0),IF(OR(BE122="",BG122=""),"",ROUND(BE122*BG122*(1+Справочники!$B$10),0)))</f>
        <v/>
      </c>
      <c r="BI122" s="92" t="str">
        <f aca="false">IF(OR(AU122="",BH122="",AU122=0),"",(AU122-BH122)/AU122)</f>
        <v/>
      </c>
      <c r="BJ122" s="81"/>
      <c r="BK122" s="83"/>
      <c r="BL122" s="43" t="str">
        <f aca="false">IFERROR(INDEX(ЗАКАЗЫ!$N$3:$N$500,MATCH($A122,ЗАКАЗЫ!$F$3:$F$500,0)),"")</f>
        <v/>
      </c>
      <c r="BM122" s="8" t="str">
        <f aca="false">IF(BL122="","",IFERROR(VLOOKUP(BL122,'ТН ВЭД'!$A$4:$C$40,3,0),""))</f>
        <v/>
      </c>
      <c r="BN122" s="7" t="str">
        <f aca="false">IF(COUNTIF(ЗАКАЗЫ!$F$3:$F$500,$A122)=0,"",SUMIF(ЗАКАЗЫ!$F$3:$F$500,$A122,ЗАКАЗЫ!$J$3:$J$500))</f>
        <v/>
      </c>
      <c r="BO122" s="7" t="str">
        <f aca="false">IF(BN122="","",SUMIF(ЗАКАЗЫ!$F$3:$F$500,$A122,ЗАКАЗЫ!$AL$3:$AL$500))</f>
        <v/>
      </c>
      <c r="BP122" s="7" t="str">
        <f aca="false">IF(BN122="","",BN122-BO122)</f>
        <v/>
      </c>
      <c r="BQ122" s="55" t="str">
        <f aca="false">IF(BN122="","",IF(BO122&gt;=BN122,"На складе",IF(BO122&gt;0,"Частично","Ждём")))</f>
        <v/>
      </c>
      <c r="BR122" s="43"/>
      <c r="BS122" s="47" t="str">
        <f aca="false">IF(BN122="","",IF(_xlfn.MAXIFS(ЗАКАЗЫ!$AK$3:$AK$500,ЗАКАЗЫ!$F$3:$F$500,$A122)=0,"",_xlfn.MAXIFS(ЗАКАЗЫ!$AK$3:$AK$500,ЗАКАЗЫ!$F$3:$F$500,$A122)))</f>
        <v/>
      </c>
    </row>
    <row r="123" customFormat="false" ht="15.75" hidden="false" customHeight="true" outlineLevel="0" collapsed="false">
      <c r="A123" s="80" t="s">
        <v>955</v>
      </c>
      <c r="B123" s="81"/>
      <c r="C123" s="81"/>
      <c r="D123" s="81"/>
      <c r="E123" s="83"/>
      <c r="F123" s="81"/>
      <c r="G123" s="83"/>
      <c r="H123" s="83"/>
      <c r="I123" s="84" t="str">
        <f aca="false">IF(E123="","",A123&amp;"_1.jpg")</f>
        <v/>
      </c>
      <c r="J123" s="84" t="str">
        <f aca="false">IF(E123="","",A123&amp;"_2.jpg; "&amp;A123&amp;"_3.jpg")</f>
        <v/>
      </c>
      <c r="K123" s="84" t="str">
        <f aca="false">IF(E123="","",A123&amp;"_schema.jpg")</f>
        <v/>
      </c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 t="s">
        <v>96</v>
      </c>
      <c r="W123" s="81"/>
      <c r="X123" s="81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6" t="str">
        <f aca="false">IF(SUM(Y123:AJ123)=0,"",SUM(Y123:AJ123))</f>
        <v/>
      </c>
      <c r="AL123" s="84" t="str">
        <f aca="false">MID(IF(N(Y123)&gt;0,", "&amp;Y$2,"")&amp;IF(N(Z123)&gt;0,", "&amp;Z$2,"")&amp;IF(N(AA123)&gt;0,", "&amp;AA$2,"")&amp;IF(N(AB123)&gt;0,", "&amp;AB$2,"")&amp;IF(N(AC123)&gt;0,", "&amp;AC$2,"")&amp;IF(N(AD123)&gt;0,", "&amp;AD$2,"")&amp;IF(N(AE123)&gt;0,", "&amp;AE$2,"")&amp;IF(N(AF123)&gt;0,", "&amp;AF$2,"")&amp;IF(N(AG123)&gt;0,", "&amp;AG$2,"")&amp;IF(N(AH123)&gt;0,", "&amp;AH$2,"")&amp;IF(N(AI123)&gt;0,", "&amp;AI$2,"")&amp;IF(N(AJ123)&gt;0,", "&amp;AJ$2,""),3,999)</f>
        <v/>
      </c>
      <c r="AM123" s="87" t="str">
        <f aca="false">IF(E123="","",MID(IF(N(Y123)&gt;0,", "&amp;A123&amp;"-"&amp;Y$2,"")&amp;IF(N(Z123)&gt;0,", "&amp;A123&amp;"-"&amp;Z$2,"")&amp;IF(N(AA123)&gt;0,", "&amp;A123&amp;"-"&amp;AA$2,"")&amp;IF(N(AB123)&gt;0,", "&amp;A123&amp;"-"&amp;AB$2,"")&amp;IF(N(AC123)&gt;0,", "&amp;A123&amp;"-"&amp;AC$2,"")&amp;IF(N(AD123)&gt;0,", "&amp;A123&amp;"-"&amp;AD$2,"")&amp;IF(N(AE123)&gt;0,", "&amp;A123&amp;"-"&amp;AE$2,"")&amp;IF(N(AF123)&gt;0,", "&amp;A123&amp;"-"&amp;AF$2,"")&amp;IF(N(AG123)&gt;0,", "&amp;A123&amp;"-"&amp;AG$2,"")&amp;IF(N(AH123)&gt;0,", "&amp;A123&amp;"-"&amp;AH$2,"")&amp;IF(N(AI123)&gt;0,", "&amp;A123&amp;"-"&amp;AI$2,"")&amp;IF(N(AJ123)&gt;0,", "&amp;A123&amp;"-"&amp;AJ$2,""),3,999))</f>
        <v/>
      </c>
      <c r="AN123" s="81"/>
      <c r="AO123" s="88"/>
      <c r="AP123" s="89" t="str">
        <f aca="false">IF(AO123="","",ROUND(AO123/(1+Справочники!$B$13),2))</f>
        <v/>
      </c>
      <c r="AQ123" s="90" t="str">
        <f aca="false" t="array" ref="AQ123:AQ123">IF(AP123="","",AP123*INDEX(Справочники!$B$4:$B$7,MATCH("RUB",Справочники!$A$4:$A$7,0)))</f>
        <v/>
      </c>
      <c r="AR123" s="90" t="str">
        <f aca="false">IF(AQ123="","",ROUND(AQ123*(1+Справочники!$B$12),0))</f>
        <v/>
      </c>
      <c r="AS123" s="90" t="str">
        <f aca="false">IF(AR123="","",ROUND(AR123*(1-Справочники!$B$11),0))</f>
        <v/>
      </c>
      <c r="AT123" s="88"/>
      <c r="AU123" s="90" t="str">
        <f aca="false">IF(AT123="","",ROUND(AT123/(1+Справочники!$B$12),0))</f>
        <v/>
      </c>
      <c r="AV123" s="90" t="str">
        <f aca="false">IF(AT123="","",ROUND(AT123*(1-Справочники!$B$15),0))</f>
        <v/>
      </c>
      <c r="AW123" s="90" t="str">
        <f aca="false">IF(AT123="","",ROUND(AT123*(1-Справочники!$B$16),0))</f>
        <v/>
      </c>
      <c r="AX123" s="90" t="str">
        <f aca="false">IF(AT123="","",ROUND(AT123*(1-Справочники!$B$17),0))</f>
        <v/>
      </c>
      <c r="AY123" s="90" t="str">
        <f aca="false">IF(AT123="","",ROUND(AT123*(1-Справочники!$B$18),0))</f>
        <v/>
      </c>
      <c r="AZ123" s="90" t="str">
        <f aca="false">IF(AT123="","",ROUND(AT123*(1-Справочники!$B$19),0))</f>
        <v/>
      </c>
      <c r="BA123" s="81"/>
      <c r="BB123" s="81"/>
      <c r="BC123" s="81"/>
      <c r="BD123" s="81"/>
      <c r="BE123" s="91"/>
      <c r="BF123" s="81" t="s">
        <v>103</v>
      </c>
      <c r="BG123" s="89" t="n">
        <f aca="false" t="array" ref="BG123:BG123">IF(BF123="","",IFERROR(INDEX(Справочники!$B$4:$B$7,MATCH(BF123,Справочники!$A$4:$A$7,0)),""))</f>
        <v>68.5</v>
      </c>
      <c r="BH123" s="90" t="str">
        <f aca="false">IF(N(BN123)&gt;0,ROUND(SUMIF(ЗАКАЗЫ!$F$3:$F$500,$A123,ЗАКАЗЫ!$Y$3:$Y$500)/BN123,0),IF(OR(BE123="",BG123=""),"",ROUND(BE123*BG123*(1+Справочники!$B$10),0)))</f>
        <v/>
      </c>
      <c r="BI123" s="92" t="str">
        <f aca="false">IF(OR(AU123="",BH123="",AU123=0),"",(AU123-BH123)/AU123)</f>
        <v/>
      </c>
      <c r="BJ123" s="81"/>
      <c r="BK123" s="83"/>
      <c r="BL123" s="43" t="str">
        <f aca="false">IFERROR(INDEX(ЗАКАЗЫ!$N$3:$N$500,MATCH($A123,ЗАКАЗЫ!$F$3:$F$500,0)),"")</f>
        <v/>
      </c>
      <c r="BM123" s="8" t="str">
        <f aca="false">IF(BL123="","",IFERROR(VLOOKUP(BL123,'ТН ВЭД'!$A$4:$C$40,3,0),""))</f>
        <v/>
      </c>
      <c r="BN123" s="7" t="str">
        <f aca="false">IF(COUNTIF(ЗАКАЗЫ!$F$3:$F$500,$A123)=0,"",SUMIF(ЗАКАЗЫ!$F$3:$F$500,$A123,ЗАКАЗЫ!$J$3:$J$500))</f>
        <v/>
      </c>
      <c r="BO123" s="7" t="str">
        <f aca="false">IF(BN123="","",SUMIF(ЗАКАЗЫ!$F$3:$F$500,$A123,ЗАКАЗЫ!$AL$3:$AL$500))</f>
        <v/>
      </c>
      <c r="BP123" s="7" t="str">
        <f aca="false">IF(BN123="","",BN123-BO123)</f>
        <v/>
      </c>
      <c r="BQ123" s="55" t="str">
        <f aca="false">IF(BN123="","",IF(BO123&gt;=BN123,"На складе",IF(BO123&gt;0,"Частично","Ждём")))</f>
        <v/>
      </c>
      <c r="BR123" s="43"/>
      <c r="BS123" s="47" t="str">
        <f aca="false">IF(BN123="","",IF(_xlfn.MAXIFS(ЗАКАЗЫ!$AK$3:$AK$500,ЗАКАЗЫ!$F$3:$F$500,$A123)=0,"",_xlfn.MAXIFS(ЗАКАЗЫ!$AK$3:$AK$500,ЗАКАЗЫ!$F$3:$F$500,$A123)))</f>
        <v/>
      </c>
    </row>
    <row r="124" customFormat="false" ht="15.75" hidden="false" customHeight="true" outlineLevel="0" collapsed="false">
      <c r="A124" s="80" t="s">
        <v>956</v>
      </c>
      <c r="B124" s="81"/>
      <c r="C124" s="81"/>
      <c r="D124" s="81"/>
      <c r="E124" s="83"/>
      <c r="F124" s="81"/>
      <c r="G124" s="83"/>
      <c r="H124" s="83"/>
      <c r="I124" s="84" t="str">
        <f aca="false">IF(E124="","",A124&amp;"_1.jpg")</f>
        <v/>
      </c>
      <c r="J124" s="84" t="str">
        <f aca="false">IF(E124="","",A124&amp;"_2.jpg; "&amp;A124&amp;"_3.jpg")</f>
        <v/>
      </c>
      <c r="K124" s="84" t="str">
        <f aca="false">IF(E124="","",A124&amp;"_schema.jpg")</f>
        <v/>
      </c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 t="s">
        <v>96</v>
      </c>
      <c r="W124" s="81"/>
      <c r="X124" s="81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6" t="str">
        <f aca="false">IF(SUM(Y124:AJ124)=0,"",SUM(Y124:AJ124))</f>
        <v/>
      </c>
      <c r="AL124" s="84" t="str">
        <f aca="false">MID(IF(N(Y124)&gt;0,", "&amp;Y$2,"")&amp;IF(N(Z124)&gt;0,", "&amp;Z$2,"")&amp;IF(N(AA124)&gt;0,", "&amp;AA$2,"")&amp;IF(N(AB124)&gt;0,", "&amp;AB$2,"")&amp;IF(N(AC124)&gt;0,", "&amp;AC$2,"")&amp;IF(N(AD124)&gt;0,", "&amp;AD$2,"")&amp;IF(N(AE124)&gt;0,", "&amp;AE$2,"")&amp;IF(N(AF124)&gt;0,", "&amp;AF$2,"")&amp;IF(N(AG124)&gt;0,", "&amp;AG$2,"")&amp;IF(N(AH124)&gt;0,", "&amp;AH$2,"")&amp;IF(N(AI124)&gt;0,", "&amp;AI$2,"")&amp;IF(N(AJ124)&gt;0,", "&amp;AJ$2,""),3,999)</f>
        <v/>
      </c>
      <c r="AM124" s="87" t="str">
        <f aca="false">IF(E124="","",MID(IF(N(Y124)&gt;0,", "&amp;A124&amp;"-"&amp;Y$2,"")&amp;IF(N(Z124)&gt;0,", "&amp;A124&amp;"-"&amp;Z$2,"")&amp;IF(N(AA124)&gt;0,", "&amp;A124&amp;"-"&amp;AA$2,"")&amp;IF(N(AB124)&gt;0,", "&amp;A124&amp;"-"&amp;AB$2,"")&amp;IF(N(AC124)&gt;0,", "&amp;A124&amp;"-"&amp;AC$2,"")&amp;IF(N(AD124)&gt;0,", "&amp;A124&amp;"-"&amp;AD$2,"")&amp;IF(N(AE124)&gt;0,", "&amp;A124&amp;"-"&amp;AE$2,"")&amp;IF(N(AF124)&gt;0,", "&amp;A124&amp;"-"&amp;AF$2,"")&amp;IF(N(AG124)&gt;0,", "&amp;A124&amp;"-"&amp;AG$2,"")&amp;IF(N(AH124)&gt;0,", "&amp;A124&amp;"-"&amp;AH$2,"")&amp;IF(N(AI124)&gt;0,", "&amp;A124&amp;"-"&amp;AI$2,"")&amp;IF(N(AJ124)&gt;0,", "&amp;A124&amp;"-"&amp;AJ$2,""),3,999))</f>
        <v/>
      </c>
      <c r="AN124" s="81"/>
      <c r="AO124" s="88"/>
      <c r="AP124" s="89" t="str">
        <f aca="false">IF(AO124="","",ROUND(AO124/(1+Справочники!$B$13),2))</f>
        <v/>
      </c>
      <c r="AQ124" s="90" t="str">
        <f aca="false" t="array" ref="AQ124:AQ124">IF(AP124="","",AP124*INDEX(Справочники!$B$4:$B$7,MATCH("RUB",Справочники!$A$4:$A$7,0)))</f>
        <v/>
      </c>
      <c r="AR124" s="90" t="str">
        <f aca="false">IF(AQ124="","",ROUND(AQ124*(1+Справочники!$B$12),0))</f>
        <v/>
      </c>
      <c r="AS124" s="90" t="str">
        <f aca="false">IF(AR124="","",ROUND(AR124*(1-Справочники!$B$11),0))</f>
        <v/>
      </c>
      <c r="AT124" s="88"/>
      <c r="AU124" s="90" t="str">
        <f aca="false">IF(AT124="","",ROUND(AT124/(1+Справочники!$B$12),0))</f>
        <v/>
      </c>
      <c r="AV124" s="90" t="str">
        <f aca="false">IF(AT124="","",ROUND(AT124*(1-Справочники!$B$15),0))</f>
        <v/>
      </c>
      <c r="AW124" s="90" t="str">
        <f aca="false">IF(AT124="","",ROUND(AT124*(1-Справочники!$B$16),0))</f>
        <v/>
      </c>
      <c r="AX124" s="90" t="str">
        <f aca="false">IF(AT124="","",ROUND(AT124*(1-Справочники!$B$17),0))</f>
        <v/>
      </c>
      <c r="AY124" s="90" t="str">
        <f aca="false">IF(AT124="","",ROUND(AT124*(1-Справочники!$B$18),0))</f>
        <v/>
      </c>
      <c r="AZ124" s="90" t="str">
        <f aca="false">IF(AT124="","",ROUND(AT124*(1-Справочники!$B$19),0))</f>
        <v/>
      </c>
      <c r="BA124" s="81"/>
      <c r="BB124" s="81"/>
      <c r="BC124" s="81"/>
      <c r="BD124" s="81"/>
      <c r="BE124" s="91"/>
      <c r="BF124" s="81" t="s">
        <v>103</v>
      </c>
      <c r="BG124" s="89" t="n">
        <f aca="false" t="array" ref="BG124:BG124">IF(BF124="","",IFERROR(INDEX(Справочники!$B$4:$B$7,MATCH(BF124,Справочники!$A$4:$A$7,0)),""))</f>
        <v>68.5</v>
      </c>
      <c r="BH124" s="90" t="str">
        <f aca="false">IF(N(BN124)&gt;0,ROUND(SUMIF(ЗАКАЗЫ!$F$3:$F$500,$A124,ЗАКАЗЫ!$Y$3:$Y$500)/BN124,0),IF(OR(BE124="",BG124=""),"",ROUND(BE124*BG124*(1+Справочники!$B$10),0)))</f>
        <v/>
      </c>
      <c r="BI124" s="92" t="str">
        <f aca="false">IF(OR(AU124="",BH124="",AU124=0),"",(AU124-BH124)/AU124)</f>
        <v/>
      </c>
      <c r="BJ124" s="81"/>
      <c r="BK124" s="83"/>
      <c r="BL124" s="43" t="str">
        <f aca="false">IFERROR(INDEX(ЗАКАЗЫ!$N$3:$N$500,MATCH($A124,ЗАКАЗЫ!$F$3:$F$500,0)),"")</f>
        <v/>
      </c>
      <c r="BM124" s="8" t="str">
        <f aca="false">IF(BL124="","",IFERROR(VLOOKUP(BL124,'ТН ВЭД'!$A$4:$C$40,3,0),""))</f>
        <v/>
      </c>
      <c r="BN124" s="7" t="str">
        <f aca="false">IF(COUNTIF(ЗАКАЗЫ!$F$3:$F$500,$A124)=0,"",SUMIF(ЗАКАЗЫ!$F$3:$F$500,$A124,ЗАКАЗЫ!$J$3:$J$500))</f>
        <v/>
      </c>
      <c r="BO124" s="7" t="str">
        <f aca="false">IF(BN124="","",SUMIF(ЗАКАЗЫ!$F$3:$F$500,$A124,ЗАКАЗЫ!$AL$3:$AL$500))</f>
        <v/>
      </c>
      <c r="BP124" s="7" t="str">
        <f aca="false">IF(BN124="","",BN124-BO124)</f>
        <v/>
      </c>
      <c r="BQ124" s="55" t="str">
        <f aca="false">IF(BN124="","",IF(BO124&gt;=BN124,"На складе",IF(BO124&gt;0,"Частично","Ждём")))</f>
        <v/>
      </c>
      <c r="BR124" s="43"/>
      <c r="BS124" s="47" t="str">
        <f aca="false">IF(BN124="","",IF(_xlfn.MAXIFS(ЗАКАЗЫ!$AK$3:$AK$500,ЗАКАЗЫ!$F$3:$F$500,$A124)=0,"",_xlfn.MAXIFS(ЗАКАЗЫ!$AK$3:$AK$500,ЗАКАЗЫ!$F$3:$F$500,$A124)))</f>
        <v/>
      </c>
    </row>
    <row r="125" customFormat="false" ht="15.75" hidden="false" customHeight="true" outlineLevel="0" collapsed="false">
      <c r="A125" s="80" t="s">
        <v>957</v>
      </c>
      <c r="B125" s="81"/>
      <c r="C125" s="81"/>
      <c r="D125" s="81"/>
      <c r="E125" s="83"/>
      <c r="F125" s="81"/>
      <c r="G125" s="83"/>
      <c r="H125" s="83"/>
      <c r="I125" s="84" t="str">
        <f aca="false">IF(E125="","",A125&amp;"_1.jpg")</f>
        <v/>
      </c>
      <c r="J125" s="84" t="str">
        <f aca="false">IF(E125="","",A125&amp;"_2.jpg; "&amp;A125&amp;"_3.jpg")</f>
        <v/>
      </c>
      <c r="K125" s="84" t="str">
        <f aca="false">IF(E125="","",A125&amp;"_schema.jpg")</f>
        <v/>
      </c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 t="s">
        <v>96</v>
      </c>
      <c r="W125" s="81"/>
      <c r="X125" s="81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6" t="str">
        <f aca="false">IF(SUM(Y125:AJ125)=0,"",SUM(Y125:AJ125))</f>
        <v/>
      </c>
      <c r="AL125" s="84" t="str">
        <f aca="false">MID(IF(N(Y125)&gt;0,", "&amp;Y$2,"")&amp;IF(N(Z125)&gt;0,", "&amp;Z$2,"")&amp;IF(N(AA125)&gt;0,", "&amp;AA$2,"")&amp;IF(N(AB125)&gt;0,", "&amp;AB$2,"")&amp;IF(N(AC125)&gt;0,", "&amp;AC$2,"")&amp;IF(N(AD125)&gt;0,", "&amp;AD$2,"")&amp;IF(N(AE125)&gt;0,", "&amp;AE$2,"")&amp;IF(N(AF125)&gt;0,", "&amp;AF$2,"")&amp;IF(N(AG125)&gt;0,", "&amp;AG$2,"")&amp;IF(N(AH125)&gt;0,", "&amp;AH$2,"")&amp;IF(N(AI125)&gt;0,", "&amp;AI$2,"")&amp;IF(N(AJ125)&gt;0,", "&amp;AJ$2,""),3,999)</f>
        <v/>
      </c>
      <c r="AM125" s="87" t="str">
        <f aca="false">IF(E125="","",MID(IF(N(Y125)&gt;0,", "&amp;A125&amp;"-"&amp;Y$2,"")&amp;IF(N(Z125)&gt;0,", "&amp;A125&amp;"-"&amp;Z$2,"")&amp;IF(N(AA125)&gt;0,", "&amp;A125&amp;"-"&amp;AA$2,"")&amp;IF(N(AB125)&gt;0,", "&amp;A125&amp;"-"&amp;AB$2,"")&amp;IF(N(AC125)&gt;0,", "&amp;A125&amp;"-"&amp;AC$2,"")&amp;IF(N(AD125)&gt;0,", "&amp;A125&amp;"-"&amp;AD$2,"")&amp;IF(N(AE125)&gt;0,", "&amp;A125&amp;"-"&amp;AE$2,"")&amp;IF(N(AF125)&gt;0,", "&amp;A125&amp;"-"&amp;AF$2,"")&amp;IF(N(AG125)&gt;0,", "&amp;A125&amp;"-"&amp;AG$2,"")&amp;IF(N(AH125)&gt;0,", "&amp;A125&amp;"-"&amp;AH$2,"")&amp;IF(N(AI125)&gt;0,", "&amp;A125&amp;"-"&amp;AI$2,"")&amp;IF(N(AJ125)&gt;0,", "&amp;A125&amp;"-"&amp;AJ$2,""),3,999))</f>
        <v/>
      </c>
      <c r="AN125" s="81"/>
      <c r="AO125" s="88"/>
      <c r="AP125" s="89" t="str">
        <f aca="false">IF(AO125="","",ROUND(AO125/(1+Справочники!$B$13),2))</f>
        <v/>
      </c>
      <c r="AQ125" s="90" t="str">
        <f aca="false" t="array" ref="AQ125:AQ125">IF(AP125="","",AP125*INDEX(Справочники!$B$4:$B$7,MATCH("RUB",Справочники!$A$4:$A$7,0)))</f>
        <v/>
      </c>
      <c r="AR125" s="90" t="str">
        <f aca="false">IF(AQ125="","",ROUND(AQ125*(1+Справочники!$B$12),0))</f>
        <v/>
      </c>
      <c r="AS125" s="90" t="str">
        <f aca="false">IF(AR125="","",ROUND(AR125*(1-Справочники!$B$11),0))</f>
        <v/>
      </c>
      <c r="AT125" s="88"/>
      <c r="AU125" s="90" t="str">
        <f aca="false">IF(AT125="","",ROUND(AT125/(1+Справочники!$B$12),0))</f>
        <v/>
      </c>
      <c r="AV125" s="90" t="str">
        <f aca="false">IF(AT125="","",ROUND(AT125*(1-Справочники!$B$15),0))</f>
        <v/>
      </c>
      <c r="AW125" s="90" t="str">
        <f aca="false">IF(AT125="","",ROUND(AT125*(1-Справочники!$B$16),0))</f>
        <v/>
      </c>
      <c r="AX125" s="90" t="str">
        <f aca="false">IF(AT125="","",ROUND(AT125*(1-Справочники!$B$17),0))</f>
        <v/>
      </c>
      <c r="AY125" s="90" t="str">
        <f aca="false">IF(AT125="","",ROUND(AT125*(1-Справочники!$B$18),0))</f>
        <v/>
      </c>
      <c r="AZ125" s="90" t="str">
        <f aca="false">IF(AT125="","",ROUND(AT125*(1-Справочники!$B$19),0))</f>
        <v/>
      </c>
      <c r="BA125" s="81"/>
      <c r="BB125" s="81"/>
      <c r="BC125" s="81"/>
      <c r="BD125" s="81"/>
      <c r="BE125" s="91"/>
      <c r="BF125" s="81" t="s">
        <v>103</v>
      </c>
      <c r="BG125" s="89" t="n">
        <f aca="false" t="array" ref="BG125:BG125">IF(BF125="","",IFERROR(INDEX(Справочники!$B$4:$B$7,MATCH(BF125,Справочники!$A$4:$A$7,0)),""))</f>
        <v>68.5</v>
      </c>
      <c r="BH125" s="90" t="str">
        <f aca="false">IF(N(BN125)&gt;0,ROUND(SUMIF(ЗАКАЗЫ!$F$3:$F$500,$A125,ЗАКАЗЫ!$Y$3:$Y$500)/BN125,0),IF(OR(BE125="",BG125=""),"",ROUND(BE125*BG125*(1+Справочники!$B$10),0)))</f>
        <v/>
      </c>
      <c r="BI125" s="92" t="str">
        <f aca="false">IF(OR(AU125="",BH125="",AU125=0),"",(AU125-BH125)/AU125)</f>
        <v/>
      </c>
      <c r="BJ125" s="81"/>
      <c r="BK125" s="83"/>
      <c r="BL125" s="43" t="str">
        <f aca="false">IFERROR(INDEX(ЗАКАЗЫ!$N$3:$N$500,MATCH($A125,ЗАКАЗЫ!$F$3:$F$500,0)),"")</f>
        <v/>
      </c>
      <c r="BM125" s="8" t="str">
        <f aca="false">IF(BL125="","",IFERROR(VLOOKUP(BL125,'ТН ВЭД'!$A$4:$C$40,3,0),""))</f>
        <v/>
      </c>
      <c r="BN125" s="7" t="str">
        <f aca="false">IF(COUNTIF(ЗАКАЗЫ!$F$3:$F$500,$A125)=0,"",SUMIF(ЗАКАЗЫ!$F$3:$F$500,$A125,ЗАКАЗЫ!$J$3:$J$500))</f>
        <v/>
      </c>
      <c r="BO125" s="7" t="str">
        <f aca="false">IF(BN125="","",SUMIF(ЗАКАЗЫ!$F$3:$F$500,$A125,ЗАКАЗЫ!$AL$3:$AL$500))</f>
        <v/>
      </c>
      <c r="BP125" s="7" t="str">
        <f aca="false">IF(BN125="","",BN125-BO125)</f>
        <v/>
      </c>
      <c r="BQ125" s="55" t="str">
        <f aca="false">IF(BN125="","",IF(BO125&gt;=BN125,"На складе",IF(BO125&gt;0,"Частично","Ждём")))</f>
        <v/>
      </c>
      <c r="BR125" s="43"/>
      <c r="BS125" s="47" t="str">
        <f aca="false">IF(BN125="","",IF(_xlfn.MAXIFS(ЗАКАЗЫ!$AK$3:$AK$500,ЗАКАЗЫ!$F$3:$F$500,$A125)=0,"",_xlfn.MAXIFS(ЗАКАЗЫ!$AK$3:$AK$500,ЗАКАЗЫ!$F$3:$F$500,$A125)))</f>
        <v/>
      </c>
    </row>
    <row r="126" customFormat="false" ht="15.75" hidden="false" customHeight="true" outlineLevel="0" collapsed="false">
      <c r="A126" s="80" t="s">
        <v>958</v>
      </c>
      <c r="B126" s="81"/>
      <c r="C126" s="81"/>
      <c r="D126" s="81"/>
      <c r="E126" s="83"/>
      <c r="F126" s="81"/>
      <c r="G126" s="83"/>
      <c r="H126" s="83"/>
      <c r="I126" s="84" t="str">
        <f aca="false">IF(E126="","",A126&amp;"_1.jpg")</f>
        <v/>
      </c>
      <c r="J126" s="84" t="str">
        <f aca="false">IF(E126="","",A126&amp;"_2.jpg; "&amp;A126&amp;"_3.jpg")</f>
        <v/>
      </c>
      <c r="K126" s="84" t="str">
        <f aca="false">IF(E126="","",A126&amp;"_schema.jpg")</f>
        <v/>
      </c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 t="s">
        <v>96</v>
      </c>
      <c r="W126" s="81"/>
      <c r="X126" s="81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6" t="str">
        <f aca="false">IF(SUM(Y126:AJ126)=0,"",SUM(Y126:AJ126))</f>
        <v/>
      </c>
      <c r="AL126" s="84" t="str">
        <f aca="false">MID(IF(N(Y126)&gt;0,", "&amp;Y$2,"")&amp;IF(N(Z126)&gt;0,", "&amp;Z$2,"")&amp;IF(N(AA126)&gt;0,", "&amp;AA$2,"")&amp;IF(N(AB126)&gt;0,", "&amp;AB$2,"")&amp;IF(N(AC126)&gt;0,", "&amp;AC$2,"")&amp;IF(N(AD126)&gt;0,", "&amp;AD$2,"")&amp;IF(N(AE126)&gt;0,", "&amp;AE$2,"")&amp;IF(N(AF126)&gt;0,", "&amp;AF$2,"")&amp;IF(N(AG126)&gt;0,", "&amp;AG$2,"")&amp;IF(N(AH126)&gt;0,", "&amp;AH$2,"")&amp;IF(N(AI126)&gt;0,", "&amp;AI$2,"")&amp;IF(N(AJ126)&gt;0,", "&amp;AJ$2,""),3,999)</f>
        <v/>
      </c>
      <c r="AM126" s="87" t="str">
        <f aca="false">IF(E126="","",MID(IF(N(Y126)&gt;0,", "&amp;A126&amp;"-"&amp;Y$2,"")&amp;IF(N(Z126)&gt;0,", "&amp;A126&amp;"-"&amp;Z$2,"")&amp;IF(N(AA126)&gt;0,", "&amp;A126&amp;"-"&amp;AA$2,"")&amp;IF(N(AB126)&gt;0,", "&amp;A126&amp;"-"&amp;AB$2,"")&amp;IF(N(AC126)&gt;0,", "&amp;A126&amp;"-"&amp;AC$2,"")&amp;IF(N(AD126)&gt;0,", "&amp;A126&amp;"-"&amp;AD$2,"")&amp;IF(N(AE126)&gt;0,", "&amp;A126&amp;"-"&amp;AE$2,"")&amp;IF(N(AF126)&gt;0,", "&amp;A126&amp;"-"&amp;AF$2,"")&amp;IF(N(AG126)&gt;0,", "&amp;A126&amp;"-"&amp;AG$2,"")&amp;IF(N(AH126)&gt;0,", "&amp;A126&amp;"-"&amp;AH$2,"")&amp;IF(N(AI126)&gt;0,", "&amp;A126&amp;"-"&amp;AI$2,"")&amp;IF(N(AJ126)&gt;0,", "&amp;A126&amp;"-"&amp;AJ$2,""),3,999))</f>
        <v/>
      </c>
      <c r="AN126" s="81"/>
      <c r="AO126" s="88"/>
      <c r="AP126" s="89" t="str">
        <f aca="false">IF(AO126="","",ROUND(AO126/(1+Справочники!$B$13),2))</f>
        <v/>
      </c>
      <c r="AQ126" s="90" t="str">
        <f aca="false" t="array" ref="AQ126:AQ126">IF(AP126="","",AP126*INDEX(Справочники!$B$4:$B$7,MATCH("RUB",Справочники!$A$4:$A$7,0)))</f>
        <v/>
      </c>
      <c r="AR126" s="90" t="str">
        <f aca="false">IF(AQ126="","",ROUND(AQ126*(1+Справочники!$B$12),0))</f>
        <v/>
      </c>
      <c r="AS126" s="90" t="str">
        <f aca="false">IF(AR126="","",ROUND(AR126*(1-Справочники!$B$11),0))</f>
        <v/>
      </c>
      <c r="AT126" s="88"/>
      <c r="AU126" s="90" t="str">
        <f aca="false">IF(AT126="","",ROUND(AT126/(1+Справочники!$B$12),0))</f>
        <v/>
      </c>
      <c r="AV126" s="90" t="str">
        <f aca="false">IF(AT126="","",ROUND(AT126*(1-Справочники!$B$15),0))</f>
        <v/>
      </c>
      <c r="AW126" s="90" t="str">
        <f aca="false">IF(AT126="","",ROUND(AT126*(1-Справочники!$B$16),0))</f>
        <v/>
      </c>
      <c r="AX126" s="90" t="str">
        <f aca="false">IF(AT126="","",ROUND(AT126*(1-Справочники!$B$17),0))</f>
        <v/>
      </c>
      <c r="AY126" s="90" t="str">
        <f aca="false">IF(AT126="","",ROUND(AT126*(1-Справочники!$B$18),0))</f>
        <v/>
      </c>
      <c r="AZ126" s="90" t="str">
        <f aca="false">IF(AT126="","",ROUND(AT126*(1-Справочники!$B$19),0))</f>
        <v/>
      </c>
      <c r="BA126" s="81"/>
      <c r="BB126" s="81"/>
      <c r="BC126" s="81"/>
      <c r="BD126" s="81"/>
      <c r="BE126" s="91"/>
      <c r="BF126" s="81" t="s">
        <v>103</v>
      </c>
      <c r="BG126" s="89" t="n">
        <f aca="false" t="array" ref="BG126:BG126">IF(BF126="","",IFERROR(INDEX(Справочники!$B$4:$B$7,MATCH(BF126,Справочники!$A$4:$A$7,0)),""))</f>
        <v>68.5</v>
      </c>
      <c r="BH126" s="90" t="str">
        <f aca="false">IF(N(BN126)&gt;0,ROUND(SUMIF(ЗАКАЗЫ!$F$3:$F$500,$A126,ЗАКАЗЫ!$Y$3:$Y$500)/BN126,0),IF(OR(BE126="",BG126=""),"",ROUND(BE126*BG126*(1+Справочники!$B$10),0)))</f>
        <v/>
      </c>
      <c r="BI126" s="92" t="str">
        <f aca="false">IF(OR(AU126="",BH126="",AU126=0),"",(AU126-BH126)/AU126)</f>
        <v/>
      </c>
      <c r="BJ126" s="81"/>
      <c r="BK126" s="83"/>
      <c r="BL126" s="43" t="str">
        <f aca="false">IFERROR(INDEX(ЗАКАЗЫ!$N$3:$N$500,MATCH($A126,ЗАКАЗЫ!$F$3:$F$500,0)),"")</f>
        <v/>
      </c>
      <c r="BM126" s="8" t="str">
        <f aca="false">IF(BL126="","",IFERROR(VLOOKUP(BL126,'ТН ВЭД'!$A$4:$C$40,3,0),""))</f>
        <v/>
      </c>
      <c r="BN126" s="7" t="str">
        <f aca="false">IF(COUNTIF(ЗАКАЗЫ!$F$3:$F$500,$A126)=0,"",SUMIF(ЗАКАЗЫ!$F$3:$F$500,$A126,ЗАКАЗЫ!$J$3:$J$500))</f>
        <v/>
      </c>
      <c r="BO126" s="7" t="str">
        <f aca="false">IF(BN126="","",SUMIF(ЗАКАЗЫ!$F$3:$F$500,$A126,ЗАКАЗЫ!$AL$3:$AL$500))</f>
        <v/>
      </c>
      <c r="BP126" s="7" t="str">
        <f aca="false">IF(BN126="","",BN126-BO126)</f>
        <v/>
      </c>
      <c r="BQ126" s="55" t="str">
        <f aca="false">IF(BN126="","",IF(BO126&gt;=BN126,"На складе",IF(BO126&gt;0,"Частично","Ждём")))</f>
        <v/>
      </c>
      <c r="BR126" s="43"/>
      <c r="BS126" s="47" t="str">
        <f aca="false">IF(BN126="","",IF(_xlfn.MAXIFS(ЗАКАЗЫ!$AK$3:$AK$500,ЗАКАЗЫ!$F$3:$F$500,$A126)=0,"",_xlfn.MAXIFS(ЗАКАЗЫ!$AK$3:$AK$500,ЗАКАЗЫ!$F$3:$F$500,$A126)))</f>
        <v/>
      </c>
    </row>
    <row r="127" customFormat="false" ht="15.75" hidden="false" customHeight="true" outlineLevel="0" collapsed="false">
      <c r="A127" s="80" t="s">
        <v>959</v>
      </c>
      <c r="B127" s="81"/>
      <c r="C127" s="81"/>
      <c r="D127" s="81"/>
      <c r="E127" s="83"/>
      <c r="F127" s="81"/>
      <c r="G127" s="83"/>
      <c r="H127" s="83"/>
      <c r="I127" s="84" t="str">
        <f aca="false">IF(E127="","",A127&amp;"_1.jpg")</f>
        <v/>
      </c>
      <c r="J127" s="84" t="str">
        <f aca="false">IF(E127="","",A127&amp;"_2.jpg; "&amp;A127&amp;"_3.jpg")</f>
        <v/>
      </c>
      <c r="K127" s="84" t="str">
        <f aca="false">IF(E127="","",A127&amp;"_schema.jpg")</f>
        <v/>
      </c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 t="s">
        <v>96</v>
      </c>
      <c r="W127" s="81"/>
      <c r="X127" s="81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6" t="str">
        <f aca="false">IF(SUM(Y127:AJ127)=0,"",SUM(Y127:AJ127))</f>
        <v/>
      </c>
      <c r="AL127" s="84" t="str">
        <f aca="false">MID(IF(N(Y127)&gt;0,", "&amp;Y$2,"")&amp;IF(N(Z127)&gt;0,", "&amp;Z$2,"")&amp;IF(N(AA127)&gt;0,", "&amp;AA$2,"")&amp;IF(N(AB127)&gt;0,", "&amp;AB$2,"")&amp;IF(N(AC127)&gt;0,", "&amp;AC$2,"")&amp;IF(N(AD127)&gt;0,", "&amp;AD$2,"")&amp;IF(N(AE127)&gt;0,", "&amp;AE$2,"")&amp;IF(N(AF127)&gt;0,", "&amp;AF$2,"")&amp;IF(N(AG127)&gt;0,", "&amp;AG$2,"")&amp;IF(N(AH127)&gt;0,", "&amp;AH$2,"")&amp;IF(N(AI127)&gt;0,", "&amp;AI$2,"")&amp;IF(N(AJ127)&gt;0,", "&amp;AJ$2,""),3,999)</f>
        <v/>
      </c>
      <c r="AM127" s="87" t="str">
        <f aca="false">IF(E127="","",MID(IF(N(Y127)&gt;0,", "&amp;A127&amp;"-"&amp;Y$2,"")&amp;IF(N(Z127)&gt;0,", "&amp;A127&amp;"-"&amp;Z$2,"")&amp;IF(N(AA127)&gt;0,", "&amp;A127&amp;"-"&amp;AA$2,"")&amp;IF(N(AB127)&gt;0,", "&amp;A127&amp;"-"&amp;AB$2,"")&amp;IF(N(AC127)&gt;0,", "&amp;A127&amp;"-"&amp;AC$2,"")&amp;IF(N(AD127)&gt;0,", "&amp;A127&amp;"-"&amp;AD$2,"")&amp;IF(N(AE127)&gt;0,", "&amp;A127&amp;"-"&amp;AE$2,"")&amp;IF(N(AF127)&gt;0,", "&amp;A127&amp;"-"&amp;AF$2,"")&amp;IF(N(AG127)&gt;0,", "&amp;A127&amp;"-"&amp;AG$2,"")&amp;IF(N(AH127)&gt;0,", "&amp;A127&amp;"-"&amp;AH$2,"")&amp;IF(N(AI127)&gt;0,", "&amp;A127&amp;"-"&amp;AI$2,"")&amp;IF(N(AJ127)&gt;0,", "&amp;A127&amp;"-"&amp;AJ$2,""),3,999))</f>
        <v/>
      </c>
      <c r="AN127" s="81"/>
      <c r="AO127" s="88"/>
      <c r="AP127" s="89" t="str">
        <f aca="false">IF(AO127="","",ROUND(AO127/(1+Справочники!$B$13),2))</f>
        <v/>
      </c>
      <c r="AQ127" s="90" t="str">
        <f aca="false" t="array" ref="AQ127:AQ127">IF(AP127="","",AP127*INDEX(Справочники!$B$4:$B$7,MATCH("RUB",Справочники!$A$4:$A$7,0)))</f>
        <v/>
      </c>
      <c r="AR127" s="90" t="str">
        <f aca="false">IF(AQ127="","",ROUND(AQ127*(1+Справочники!$B$12),0))</f>
        <v/>
      </c>
      <c r="AS127" s="90" t="str">
        <f aca="false">IF(AR127="","",ROUND(AR127*(1-Справочники!$B$11),0))</f>
        <v/>
      </c>
      <c r="AT127" s="88"/>
      <c r="AU127" s="90" t="str">
        <f aca="false">IF(AT127="","",ROUND(AT127/(1+Справочники!$B$12),0))</f>
        <v/>
      </c>
      <c r="AV127" s="90" t="str">
        <f aca="false">IF(AT127="","",ROUND(AT127*(1-Справочники!$B$15),0))</f>
        <v/>
      </c>
      <c r="AW127" s="90" t="str">
        <f aca="false">IF(AT127="","",ROUND(AT127*(1-Справочники!$B$16),0))</f>
        <v/>
      </c>
      <c r="AX127" s="90" t="str">
        <f aca="false">IF(AT127="","",ROUND(AT127*(1-Справочники!$B$17),0))</f>
        <v/>
      </c>
      <c r="AY127" s="90" t="str">
        <f aca="false">IF(AT127="","",ROUND(AT127*(1-Справочники!$B$18),0))</f>
        <v/>
      </c>
      <c r="AZ127" s="90" t="str">
        <f aca="false">IF(AT127="","",ROUND(AT127*(1-Справочники!$B$19),0))</f>
        <v/>
      </c>
      <c r="BA127" s="81"/>
      <c r="BB127" s="81"/>
      <c r="BC127" s="81"/>
      <c r="BD127" s="81"/>
      <c r="BE127" s="91"/>
      <c r="BF127" s="81" t="s">
        <v>103</v>
      </c>
      <c r="BG127" s="89" t="n">
        <f aca="false" t="array" ref="BG127:BG127">IF(BF127="","",IFERROR(INDEX(Справочники!$B$4:$B$7,MATCH(BF127,Справочники!$A$4:$A$7,0)),""))</f>
        <v>68.5</v>
      </c>
      <c r="BH127" s="90" t="str">
        <f aca="false">IF(N(BN127)&gt;0,ROUND(SUMIF(ЗАКАЗЫ!$F$3:$F$500,$A127,ЗАКАЗЫ!$Y$3:$Y$500)/BN127,0),IF(OR(BE127="",BG127=""),"",ROUND(BE127*BG127*(1+Справочники!$B$10),0)))</f>
        <v/>
      </c>
      <c r="BI127" s="92" t="str">
        <f aca="false">IF(OR(AU127="",BH127="",AU127=0),"",(AU127-BH127)/AU127)</f>
        <v/>
      </c>
      <c r="BJ127" s="81"/>
      <c r="BK127" s="83"/>
      <c r="BL127" s="43" t="str">
        <f aca="false">IFERROR(INDEX(ЗАКАЗЫ!$N$3:$N$500,MATCH($A127,ЗАКАЗЫ!$F$3:$F$500,0)),"")</f>
        <v/>
      </c>
      <c r="BM127" s="8" t="str">
        <f aca="false">IF(BL127="","",IFERROR(VLOOKUP(BL127,'ТН ВЭД'!$A$4:$C$40,3,0),""))</f>
        <v/>
      </c>
      <c r="BN127" s="7" t="str">
        <f aca="false">IF(COUNTIF(ЗАКАЗЫ!$F$3:$F$500,$A127)=0,"",SUMIF(ЗАКАЗЫ!$F$3:$F$500,$A127,ЗАКАЗЫ!$J$3:$J$500))</f>
        <v/>
      </c>
      <c r="BO127" s="7" t="str">
        <f aca="false">IF(BN127="","",SUMIF(ЗАКАЗЫ!$F$3:$F$500,$A127,ЗАКАЗЫ!$AL$3:$AL$500))</f>
        <v/>
      </c>
      <c r="BP127" s="7" t="str">
        <f aca="false">IF(BN127="","",BN127-BO127)</f>
        <v/>
      </c>
      <c r="BQ127" s="55" t="str">
        <f aca="false">IF(BN127="","",IF(BO127&gt;=BN127,"На складе",IF(BO127&gt;0,"Частично","Ждём")))</f>
        <v/>
      </c>
      <c r="BR127" s="43"/>
      <c r="BS127" s="47" t="str">
        <f aca="false">IF(BN127="","",IF(_xlfn.MAXIFS(ЗАКАЗЫ!$AK$3:$AK$500,ЗАКАЗЫ!$F$3:$F$500,$A127)=0,"",_xlfn.MAXIFS(ЗАКАЗЫ!$AK$3:$AK$500,ЗАКАЗЫ!$F$3:$F$500,$A127)))</f>
        <v/>
      </c>
    </row>
    <row r="128" customFormat="false" ht="15.75" hidden="false" customHeight="true" outlineLevel="0" collapsed="false">
      <c r="A128" s="80" t="s">
        <v>960</v>
      </c>
      <c r="B128" s="81"/>
      <c r="C128" s="81"/>
      <c r="D128" s="81"/>
      <c r="E128" s="83"/>
      <c r="F128" s="81"/>
      <c r="G128" s="83"/>
      <c r="H128" s="83"/>
      <c r="I128" s="84" t="str">
        <f aca="false">IF(E128="","",A128&amp;"_1.jpg")</f>
        <v/>
      </c>
      <c r="J128" s="84" t="str">
        <f aca="false">IF(E128="","",A128&amp;"_2.jpg; "&amp;A128&amp;"_3.jpg")</f>
        <v/>
      </c>
      <c r="K128" s="84" t="str">
        <f aca="false">IF(E128="","",A128&amp;"_schema.jpg")</f>
        <v/>
      </c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 t="s">
        <v>96</v>
      </c>
      <c r="W128" s="81"/>
      <c r="X128" s="81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6" t="str">
        <f aca="false">IF(SUM(Y128:AJ128)=0,"",SUM(Y128:AJ128))</f>
        <v/>
      </c>
      <c r="AL128" s="84" t="str">
        <f aca="false">MID(IF(N(Y128)&gt;0,", "&amp;Y$2,"")&amp;IF(N(Z128)&gt;0,", "&amp;Z$2,"")&amp;IF(N(AA128)&gt;0,", "&amp;AA$2,"")&amp;IF(N(AB128)&gt;0,", "&amp;AB$2,"")&amp;IF(N(AC128)&gt;0,", "&amp;AC$2,"")&amp;IF(N(AD128)&gt;0,", "&amp;AD$2,"")&amp;IF(N(AE128)&gt;0,", "&amp;AE$2,"")&amp;IF(N(AF128)&gt;0,", "&amp;AF$2,"")&amp;IF(N(AG128)&gt;0,", "&amp;AG$2,"")&amp;IF(N(AH128)&gt;0,", "&amp;AH$2,"")&amp;IF(N(AI128)&gt;0,", "&amp;AI$2,"")&amp;IF(N(AJ128)&gt;0,", "&amp;AJ$2,""),3,999)</f>
        <v/>
      </c>
      <c r="AM128" s="87" t="str">
        <f aca="false">IF(E128="","",MID(IF(N(Y128)&gt;0,", "&amp;A128&amp;"-"&amp;Y$2,"")&amp;IF(N(Z128)&gt;0,", "&amp;A128&amp;"-"&amp;Z$2,"")&amp;IF(N(AA128)&gt;0,", "&amp;A128&amp;"-"&amp;AA$2,"")&amp;IF(N(AB128)&gt;0,", "&amp;A128&amp;"-"&amp;AB$2,"")&amp;IF(N(AC128)&gt;0,", "&amp;A128&amp;"-"&amp;AC$2,"")&amp;IF(N(AD128)&gt;0,", "&amp;A128&amp;"-"&amp;AD$2,"")&amp;IF(N(AE128)&gt;0,", "&amp;A128&amp;"-"&amp;AE$2,"")&amp;IF(N(AF128)&gt;0,", "&amp;A128&amp;"-"&amp;AF$2,"")&amp;IF(N(AG128)&gt;0,", "&amp;A128&amp;"-"&amp;AG$2,"")&amp;IF(N(AH128)&gt;0,", "&amp;A128&amp;"-"&amp;AH$2,"")&amp;IF(N(AI128)&gt;0,", "&amp;A128&amp;"-"&amp;AI$2,"")&amp;IF(N(AJ128)&gt;0,", "&amp;A128&amp;"-"&amp;AJ$2,""),3,999))</f>
        <v/>
      </c>
      <c r="AN128" s="81"/>
      <c r="AO128" s="88"/>
      <c r="AP128" s="89" t="str">
        <f aca="false">IF(AO128="","",ROUND(AO128/(1+Справочники!$B$13),2))</f>
        <v/>
      </c>
      <c r="AQ128" s="90" t="str">
        <f aca="false" t="array" ref="AQ128:AQ128">IF(AP128="","",AP128*INDEX(Справочники!$B$4:$B$7,MATCH("RUB",Справочники!$A$4:$A$7,0)))</f>
        <v/>
      </c>
      <c r="AR128" s="90" t="str">
        <f aca="false">IF(AQ128="","",ROUND(AQ128*(1+Справочники!$B$12),0))</f>
        <v/>
      </c>
      <c r="AS128" s="90" t="str">
        <f aca="false">IF(AR128="","",ROUND(AR128*(1-Справочники!$B$11),0))</f>
        <v/>
      </c>
      <c r="AT128" s="88"/>
      <c r="AU128" s="90" t="str">
        <f aca="false">IF(AT128="","",ROUND(AT128/(1+Справочники!$B$12),0))</f>
        <v/>
      </c>
      <c r="AV128" s="90" t="str">
        <f aca="false">IF(AT128="","",ROUND(AT128*(1-Справочники!$B$15),0))</f>
        <v/>
      </c>
      <c r="AW128" s="90" t="str">
        <f aca="false">IF(AT128="","",ROUND(AT128*(1-Справочники!$B$16),0))</f>
        <v/>
      </c>
      <c r="AX128" s="90" t="str">
        <f aca="false">IF(AT128="","",ROUND(AT128*(1-Справочники!$B$17),0))</f>
        <v/>
      </c>
      <c r="AY128" s="90" t="str">
        <f aca="false">IF(AT128="","",ROUND(AT128*(1-Справочники!$B$18),0))</f>
        <v/>
      </c>
      <c r="AZ128" s="90" t="str">
        <f aca="false">IF(AT128="","",ROUND(AT128*(1-Справочники!$B$19),0))</f>
        <v/>
      </c>
      <c r="BA128" s="81"/>
      <c r="BB128" s="81"/>
      <c r="BC128" s="81"/>
      <c r="BD128" s="81"/>
      <c r="BE128" s="91"/>
      <c r="BF128" s="81" t="s">
        <v>103</v>
      </c>
      <c r="BG128" s="89" t="n">
        <f aca="false" t="array" ref="BG128:BG128">IF(BF128="","",IFERROR(INDEX(Справочники!$B$4:$B$7,MATCH(BF128,Справочники!$A$4:$A$7,0)),""))</f>
        <v>68.5</v>
      </c>
      <c r="BH128" s="90" t="str">
        <f aca="false">IF(N(BN128)&gt;0,ROUND(SUMIF(ЗАКАЗЫ!$F$3:$F$500,$A128,ЗАКАЗЫ!$Y$3:$Y$500)/BN128,0),IF(OR(BE128="",BG128=""),"",ROUND(BE128*BG128*(1+Справочники!$B$10),0)))</f>
        <v/>
      </c>
      <c r="BI128" s="92" t="str">
        <f aca="false">IF(OR(AU128="",BH128="",AU128=0),"",(AU128-BH128)/AU128)</f>
        <v/>
      </c>
      <c r="BJ128" s="81"/>
      <c r="BK128" s="83"/>
      <c r="BL128" s="43" t="str">
        <f aca="false">IFERROR(INDEX(ЗАКАЗЫ!$N$3:$N$500,MATCH($A128,ЗАКАЗЫ!$F$3:$F$500,0)),"")</f>
        <v/>
      </c>
      <c r="BM128" s="8" t="str">
        <f aca="false">IF(BL128="","",IFERROR(VLOOKUP(BL128,'ТН ВЭД'!$A$4:$C$40,3,0),""))</f>
        <v/>
      </c>
      <c r="BN128" s="7" t="str">
        <f aca="false">IF(COUNTIF(ЗАКАЗЫ!$F$3:$F$500,$A128)=0,"",SUMIF(ЗАКАЗЫ!$F$3:$F$500,$A128,ЗАКАЗЫ!$J$3:$J$500))</f>
        <v/>
      </c>
      <c r="BO128" s="7" t="str">
        <f aca="false">IF(BN128="","",SUMIF(ЗАКАЗЫ!$F$3:$F$500,$A128,ЗАКАЗЫ!$AL$3:$AL$500))</f>
        <v/>
      </c>
      <c r="BP128" s="7" t="str">
        <f aca="false">IF(BN128="","",BN128-BO128)</f>
        <v/>
      </c>
      <c r="BQ128" s="55" t="str">
        <f aca="false">IF(BN128="","",IF(BO128&gt;=BN128,"На складе",IF(BO128&gt;0,"Частично","Ждём")))</f>
        <v/>
      </c>
      <c r="BR128" s="43"/>
      <c r="BS128" s="47" t="str">
        <f aca="false">IF(BN128="","",IF(_xlfn.MAXIFS(ЗАКАЗЫ!$AK$3:$AK$500,ЗАКАЗЫ!$F$3:$F$500,$A128)=0,"",_xlfn.MAXIFS(ЗАКАЗЫ!$AK$3:$AK$500,ЗАКАЗЫ!$F$3:$F$500,$A128)))</f>
        <v/>
      </c>
    </row>
    <row r="129" customFormat="false" ht="15.75" hidden="false" customHeight="true" outlineLevel="0" collapsed="false">
      <c r="A129" s="80" t="s">
        <v>961</v>
      </c>
      <c r="B129" s="81"/>
      <c r="C129" s="81"/>
      <c r="D129" s="81"/>
      <c r="E129" s="83"/>
      <c r="F129" s="81"/>
      <c r="G129" s="83"/>
      <c r="H129" s="83"/>
      <c r="I129" s="84" t="str">
        <f aca="false">IF(E129="","",A129&amp;"_1.jpg")</f>
        <v/>
      </c>
      <c r="J129" s="84" t="str">
        <f aca="false">IF(E129="","",A129&amp;"_2.jpg; "&amp;A129&amp;"_3.jpg")</f>
        <v/>
      </c>
      <c r="K129" s="84" t="str">
        <f aca="false">IF(E129="","",A129&amp;"_schema.jpg")</f>
        <v/>
      </c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 t="s">
        <v>96</v>
      </c>
      <c r="W129" s="81"/>
      <c r="X129" s="81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6" t="str">
        <f aca="false">IF(SUM(Y129:AJ129)=0,"",SUM(Y129:AJ129))</f>
        <v/>
      </c>
      <c r="AL129" s="84" t="str">
        <f aca="false">MID(IF(N(Y129)&gt;0,", "&amp;Y$2,"")&amp;IF(N(Z129)&gt;0,", "&amp;Z$2,"")&amp;IF(N(AA129)&gt;0,", "&amp;AA$2,"")&amp;IF(N(AB129)&gt;0,", "&amp;AB$2,"")&amp;IF(N(AC129)&gt;0,", "&amp;AC$2,"")&amp;IF(N(AD129)&gt;0,", "&amp;AD$2,"")&amp;IF(N(AE129)&gt;0,", "&amp;AE$2,"")&amp;IF(N(AF129)&gt;0,", "&amp;AF$2,"")&amp;IF(N(AG129)&gt;0,", "&amp;AG$2,"")&amp;IF(N(AH129)&gt;0,", "&amp;AH$2,"")&amp;IF(N(AI129)&gt;0,", "&amp;AI$2,"")&amp;IF(N(AJ129)&gt;0,", "&amp;AJ$2,""),3,999)</f>
        <v/>
      </c>
      <c r="AM129" s="87" t="str">
        <f aca="false">IF(E129="","",MID(IF(N(Y129)&gt;0,", "&amp;A129&amp;"-"&amp;Y$2,"")&amp;IF(N(Z129)&gt;0,", "&amp;A129&amp;"-"&amp;Z$2,"")&amp;IF(N(AA129)&gt;0,", "&amp;A129&amp;"-"&amp;AA$2,"")&amp;IF(N(AB129)&gt;0,", "&amp;A129&amp;"-"&amp;AB$2,"")&amp;IF(N(AC129)&gt;0,", "&amp;A129&amp;"-"&amp;AC$2,"")&amp;IF(N(AD129)&gt;0,", "&amp;A129&amp;"-"&amp;AD$2,"")&amp;IF(N(AE129)&gt;0,", "&amp;A129&amp;"-"&amp;AE$2,"")&amp;IF(N(AF129)&gt;0,", "&amp;A129&amp;"-"&amp;AF$2,"")&amp;IF(N(AG129)&gt;0,", "&amp;A129&amp;"-"&amp;AG$2,"")&amp;IF(N(AH129)&gt;0,", "&amp;A129&amp;"-"&amp;AH$2,"")&amp;IF(N(AI129)&gt;0,", "&amp;A129&amp;"-"&amp;AI$2,"")&amp;IF(N(AJ129)&gt;0,", "&amp;A129&amp;"-"&amp;AJ$2,""),3,999))</f>
        <v/>
      </c>
      <c r="AN129" s="81"/>
      <c r="AO129" s="88"/>
      <c r="AP129" s="89" t="str">
        <f aca="false">IF(AO129="","",ROUND(AO129/(1+Справочники!$B$13),2))</f>
        <v/>
      </c>
      <c r="AQ129" s="90" t="str">
        <f aca="false" t="array" ref="AQ129:AQ129">IF(AP129="","",AP129*INDEX(Справочники!$B$4:$B$7,MATCH("RUB",Справочники!$A$4:$A$7,0)))</f>
        <v/>
      </c>
      <c r="AR129" s="90" t="str">
        <f aca="false">IF(AQ129="","",ROUND(AQ129*(1+Справочники!$B$12),0))</f>
        <v/>
      </c>
      <c r="AS129" s="90" t="str">
        <f aca="false">IF(AR129="","",ROUND(AR129*(1-Справочники!$B$11),0))</f>
        <v/>
      </c>
      <c r="AT129" s="88"/>
      <c r="AU129" s="90" t="str">
        <f aca="false">IF(AT129="","",ROUND(AT129/(1+Справочники!$B$12),0))</f>
        <v/>
      </c>
      <c r="AV129" s="90" t="str">
        <f aca="false">IF(AT129="","",ROUND(AT129*(1-Справочники!$B$15),0))</f>
        <v/>
      </c>
      <c r="AW129" s="90" t="str">
        <f aca="false">IF(AT129="","",ROUND(AT129*(1-Справочники!$B$16),0))</f>
        <v/>
      </c>
      <c r="AX129" s="90" t="str">
        <f aca="false">IF(AT129="","",ROUND(AT129*(1-Справочники!$B$17),0))</f>
        <v/>
      </c>
      <c r="AY129" s="90" t="str">
        <f aca="false">IF(AT129="","",ROUND(AT129*(1-Справочники!$B$18),0))</f>
        <v/>
      </c>
      <c r="AZ129" s="90" t="str">
        <f aca="false">IF(AT129="","",ROUND(AT129*(1-Справочники!$B$19),0))</f>
        <v/>
      </c>
      <c r="BA129" s="81"/>
      <c r="BB129" s="81"/>
      <c r="BC129" s="81"/>
      <c r="BD129" s="81"/>
      <c r="BE129" s="91"/>
      <c r="BF129" s="81" t="s">
        <v>103</v>
      </c>
      <c r="BG129" s="89" t="n">
        <f aca="false" t="array" ref="BG129:BG129">IF(BF129="","",IFERROR(INDEX(Справочники!$B$4:$B$7,MATCH(BF129,Справочники!$A$4:$A$7,0)),""))</f>
        <v>68.5</v>
      </c>
      <c r="BH129" s="90" t="str">
        <f aca="false">IF(N(BN129)&gt;0,ROUND(SUMIF(ЗАКАЗЫ!$F$3:$F$500,$A129,ЗАКАЗЫ!$Y$3:$Y$500)/BN129,0),IF(OR(BE129="",BG129=""),"",ROUND(BE129*BG129*(1+Справочники!$B$10),0)))</f>
        <v/>
      </c>
      <c r="BI129" s="92" t="str">
        <f aca="false">IF(OR(AU129="",BH129="",AU129=0),"",(AU129-BH129)/AU129)</f>
        <v/>
      </c>
      <c r="BJ129" s="81"/>
      <c r="BK129" s="83"/>
      <c r="BL129" s="43" t="str">
        <f aca="false">IFERROR(INDEX(ЗАКАЗЫ!$N$3:$N$500,MATCH($A129,ЗАКАЗЫ!$F$3:$F$500,0)),"")</f>
        <v/>
      </c>
      <c r="BM129" s="8" t="str">
        <f aca="false">IF(BL129="","",IFERROR(VLOOKUP(BL129,'ТН ВЭД'!$A$4:$C$40,3,0),""))</f>
        <v/>
      </c>
      <c r="BN129" s="7" t="str">
        <f aca="false">IF(COUNTIF(ЗАКАЗЫ!$F$3:$F$500,$A129)=0,"",SUMIF(ЗАКАЗЫ!$F$3:$F$500,$A129,ЗАКАЗЫ!$J$3:$J$500))</f>
        <v/>
      </c>
      <c r="BO129" s="7" t="str">
        <f aca="false">IF(BN129="","",SUMIF(ЗАКАЗЫ!$F$3:$F$500,$A129,ЗАКАЗЫ!$AL$3:$AL$500))</f>
        <v/>
      </c>
      <c r="BP129" s="7" t="str">
        <f aca="false">IF(BN129="","",BN129-BO129)</f>
        <v/>
      </c>
      <c r="BQ129" s="55" t="str">
        <f aca="false">IF(BN129="","",IF(BO129&gt;=BN129,"На складе",IF(BO129&gt;0,"Частично","Ждём")))</f>
        <v/>
      </c>
      <c r="BR129" s="43"/>
      <c r="BS129" s="47" t="str">
        <f aca="false">IF(BN129="","",IF(_xlfn.MAXIFS(ЗАКАЗЫ!$AK$3:$AK$500,ЗАКАЗЫ!$F$3:$F$500,$A129)=0,"",_xlfn.MAXIFS(ЗАКАЗЫ!$AK$3:$AK$500,ЗАКАЗЫ!$F$3:$F$500,$A129)))</f>
        <v/>
      </c>
    </row>
    <row r="130" customFormat="false" ht="15.75" hidden="false" customHeight="true" outlineLevel="0" collapsed="false">
      <c r="A130" s="80" t="s">
        <v>962</v>
      </c>
      <c r="B130" s="81"/>
      <c r="C130" s="81"/>
      <c r="D130" s="81"/>
      <c r="E130" s="83"/>
      <c r="F130" s="81"/>
      <c r="G130" s="83"/>
      <c r="H130" s="83"/>
      <c r="I130" s="84" t="str">
        <f aca="false">IF(E130="","",A130&amp;"_1.jpg")</f>
        <v/>
      </c>
      <c r="J130" s="84" t="str">
        <f aca="false">IF(E130="","",A130&amp;"_2.jpg; "&amp;A130&amp;"_3.jpg")</f>
        <v/>
      </c>
      <c r="K130" s="84" t="str">
        <f aca="false">IF(E130="","",A130&amp;"_schema.jpg")</f>
        <v/>
      </c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 t="s">
        <v>96</v>
      </c>
      <c r="W130" s="81"/>
      <c r="X130" s="81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6" t="str">
        <f aca="false">IF(SUM(Y130:AJ130)=0,"",SUM(Y130:AJ130))</f>
        <v/>
      </c>
      <c r="AL130" s="84" t="str">
        <f aca="false">MID(IF(N(Y130)&gt;0,", "&amp;Y$2,"")&amp;IF(N(Z130)&gt;0,", "&amp;Z$2,"")&amp;IF(N(AA130)&gt;0,", "&amp;AA$2,"")&amp;IF(N(AB130)&gt;0,", "&amp;AB$2,"")&amp;IF(N(AC130)&gt;0,", "&amp;AC$2,"")&amp;IF(N(AD130)&gt;0,", "&amp;AD$2,"")&amp;IF(N(AE130)&gt;0,", "&amp;AE$2,"")&amp;IF(N(AF130)&gt;0,", "&amp;AF$2,"")&amp;IF(N(AG130)&gt;0,", "&amp;AG$2,"")&amp;IF(N(AH130)&gt;0,", "&amp;AH$2,"")&amp;IF(N(AI130)&gt;0,", "&amp;AI$2,"")&amp;IF(N(AJ130)&gt;0,", "&amp;AJ$2,""),3,999)</f>
        <v/>
      </c>
      <c r="AM130" s="87" t="str">
        <f aca="false">IF(E130="","",MID(IF(N(Y130)&gt;0,", "&amp;A130&amp;"-"&amp;Y$2,"")&amp;IF(N(Z130)&gt;0,", "&amp;A130&amp;"-"&amp;Z$2,"")&amp;IF(N(AA130)&gt;0,", "&amp;A130&amp;"-"&amp;AA$2,"")&amp;IF(N(AB130)&gt;0,", "&amp;A130&amp;"-"&amp;AB$2,"")&amp;IF(N(AC130)&gt;0,", "&amp;A130&amp;"-"&amp;AC$2,"")&amp;IF(N(AD130)&gt;0,", "&amp;A130&amp;"-"&amp;AD$2,"")&amp;IF(N(AE130)&gt;0,", "&amp;A130&amp;"-"&amp;AE$2,"")&amp;IF(N(AF130)&gt;0,", "&amp;A130&amp;"-"&amp;AF$2,"")&amp;IF(N(AG130)&gt;0,", "&amp;A130&amp;"-"&amp;AG$2,"")&amp;IF(N(AH130)&gt;0,", "&amp;A130&amp;"-"&amp;AH$2,"")&amp;IF(N(AI130)&gt;0,", "&amp;A130&amp;"-"&amp;AI$2,"")&amp;IF(N(AJ130)&gt;0,", "&amp;A130&amp;"-"&amp;AJ$2,""),3,999))</f>
        <v/>
      </c>
      <c r="AN130" s="81"/>
      <c r="AO130" s="88"/>
      <c r="AP130" s="89" t="str">
        <f aca="false">IF(AO130="","",ROUND(AO130/(1+Справочники!$B$13),2))</f>
        <v/>
      </c>
      <c r="AQ130" s="90" t="str">
        <f aca="false" t="array" ref="AQ130:AQ130">IF(AP130="","",AP130*INDEX(Справочники!$B$4:$B$7,MATCH("RUB",Справочники!$A$4:$A$7,0)))</f>
        <v/>
      </c>
      <c r="AR130" s="90" t="str">
        <f aca="false">IF(AQ130="","",ROUND(AQ130*(1+Справочники!$B$12),0))</f>
        <v/>
      </c>
      <c r="AS130" s="90" t="str">
        <f aca="false">IF(AR130="","",ROUND(AR130*(1-Справочники!$B$11),0))</f>
        <v/>
      </c>
      <c r="AT130" s="88"/>
      <c r="AU130" s="90" t="str">
        <f aca="false">IF(AT130="","",ROUND(AT130/(1+Справочники!$B$12),0))</f>
        <v/>
      </c>
      <c r="AV130" s="90" t="str">
        <f aca="false">IF(AT130="","",ROUND(AT130*(1-Справочники!$B$15),0))</f>
        <v/>
      </c>
      <c r="AW130" s="90" t="str">
        <f aca="false">IF(AT130="","",ROUND(AT130*(1-Справочники!$B$16),0))</f>
        <v/>
      </c>
      <c r="AX130" s="90" t="str">
        <f aca="false">IF(AT130="","",ROUND(AT130*(1-Справочники!$B$17),0))</f>
        <v/>
      </c>
      <c r="AY130" s="90" t="str">
        <f aca="false">IF(AT130="","",ROUND(AT130*(1-Справочники!$B$18),0))</f>
        <v/>
      </c>
      <c r="AZ130" s="90" t="str">
        <f aca="false">IF(AT130="","",ROUND(AT130*(1-Справочники!$B$19),0))</f>
        <v/>
      </c>
      <c r="BA130" s="81"/>
      <c r="BB130" s="81"/>
      <c r="BC130" s="81"/>
      <c r="BD130" s="81"/>
      <c r="BE130" s="91"/>
      <c r="BF130" s="81" t="s">
        <v>103</v>
      </c>
      <c r="BG130" s="89" t="n">
        <f aca="false" t="array" ref="BG130:BG130">IF(BF130="","",IFERROR(INDEX(Справочники!$B$4:$B$7,MATCH(BF130,Справочники!$A$4:$A$7,0)),""))</f>
        <v>68.5</v>
      </c>
      <c r="BH130" s="90" t="str">
        <f aca="false">IF(N(BN130)&gt;0,ROUND(SUMIF(ЗАКАЗЫ!$F$3:$F$500,$A130,ЗАКАЗЫ!$Y$3:$Y$500)/BN130,0),IF(OR(BE130="",BG130=""),"",ROUND(BE130*BG130*(1+Справочники!$B$10),0)))</f>
        <v/>
      </c>
      <c r="BI130" s="92" t="str">
        <f aca="false">IF(OR(AU130="",BH130="",AU130=0),"",(AU130-BH130)/AU130)</f>
        <v/>
      </c>
      <c r="BJ130" s="81"/>
      <c r="BK130" s="83"/>
      <c r="BL130" s="43" t="str">
        <f aca="false">IFERROR(INDEX(ЗАКАЗЫ!$N$3:$N$500,MATCH($A130,ЗАКАЗЫ!$F$3:$F$500,0)),"")</f>
        <v/>
      </c>
      <c r="BM130" s="8" t="str">
        <f aca="false">IF(BL130="","",IFERROR(VLOOKUP(BL130,'ТН ВЭД'!$A$4:$C$40,3,0),""))</f>
        <v/>
      </c>
      <c r="BN130" s="7" t="str">
        <f aca="false">IF(COUNTIF(ЗАКАЗЫ!$F$3:$F$500,$A130)=0,"",SUMIF(ЗАКАЗЫ!$F$3:$F$500,$A130,ЗАКАЗЫ!$J$3:$J$500))</f>
        <v/>
      </c>
      <c r="BO130" s="7" t="str">
        <f aca="false">IF(BN130="","",SUMIF(ЗАКАЗЫ!$F$3:$F$500,$A130,ЗАКАЗЫ!$AL$3:$AL$500))</f>
        <v/>
      </c>
      <c r="BP130" s="7" t="str">
        <f aca="false">IF(BN130="","",BN130-BO130)</f>
        <v/>
      </c>
      <c r="BQ130" s="55" t="str">
        <f aca="false">IF(BN130="","",IF(BO130&gt;=BN130,"На складе",IF(BO130&gt;0,"Частично","Ждём")))</f>
        <v/>
      </c>
      <c r="BR130" s="43"/>
      <c r="BS130" s="47" t="str">
        <f aca="false">IF(BN130="","",IF(_xlfn.MAXIFS(ЗАКАЗЫ!$AK$3:$AK$500,ЗАКАЗЫ!$F$3:$F$500,$A130)=0,"",_xlfn.MAXIFS(ЗАКАЗЫ!$AK$3:$AK$500,ЗАКАЗЫ!$F$3:$F$500,$A130)))</f>
        <v/>
      </c>
    </row>
    <row r="131" customFormat="false" ht="15.75" hidden="false" customHeight="true" outlineLevel="0" collapsed="false">
      <c r="A131" s="80" t="s">
        <v>963</v>
      </c>
      <c r="B131" s="81"/>
      <c r="C131" s="81"/>
      <c r="D131" s="81"/>
      <c r="E131" s="83"/>
      <c r="F131" s="81"/>
      <c r="G131" s="83"/>
      <c r="H131" s="83"/>
      <c r="I131" s="84" t="str">
        <f aca="false">IF(E131="","",A131&amp;"_1.jpg")</f>
        <v/>
      </c>
      <c r="J131" s="84" t="str">
        <f aca="false">IF(E131="","",A131&amp;"_2.jpg; "&amp;A131&amp;"_3.jpg")</f>
        <v/>
      </c>
      <c r="K131" s="84" t="str">
        <f aca="false">IF(E131="","",A131&amp;"_schema.jpg")</f>
        <v/>
      </c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 t="s">
        <v>96</v>
      </c>
      <c r="W131" s="81"/>
      <c r="X131" s="81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6" t="str">
        <f aca="false">IF(SUM(Y131:AJ131)=0,"",SUM(Y131:AJ131))</f>
        <v/>
      </c>
      <c r="AL131" s="84" t="str">
        <f aca="false">MID(IF(N(Y131)&gt;0,", "&amp;Y$2,"")&amp;IF(N(Z131)&gt;0,", "&amp;Z$2,"")&amp;IF(N(AA131)&gt;0,", "&amp;AA$2,"")&amp;IF(N(AB131)&gt;0,", "&amp;AB$2,"")&amp;IF(N(AC131)&gt;0,", "&amp;AC$2,"")&amp;IF(N(AD131)&gt;0,", "&amp;AD$2,"")&amp;IF(N(AE131)&gt;0,", "&amp;AE$2,"")&amp;IF(N(AF131)&gt;0,", "&amp;AF$2,"")&amp;IF(N(AG131)&gt;0,", "&amp;AG$2,"")&amp;IF(N(AH131)&gt;0,", "&amp;AH$2,"")&amp;IF(N(AI131)&gt;0,", "&amp;AI$2,"")&amp;IF(N(AJ131)&gt;0,", "&amp;AJ$2,""),3,999)</f>
        <v/>
      </c>
      <c r="AM131" s="87" t="str">
        <f aca="false">IF(E131="","",MID(IF(N(Y131)&gt;0,", "&amp;A131&amp;"-"&amp;Y$2,"")&amp;IF(N(Z131)&gt;0,", "&amp;A131&amp;"-"&amp;Z$2,"")&amp;IF(N(AA131)&gt;0,", "&amp;A131&amp;"-"&amp;AA$2,"")&amp;IF(N(AB131)&gt;0,", "&amp;A131&amp;"-"&amp;AB$2,"")&amp;IF(N(AC131)&gt;0,", "&amp;A131&amp;"-"&amp;AC$2,"")&amp;IF(N(AD131)&gt;0,", "&amp;A131&amp;"-"&amp;AD$2,"")&amp;IF(N(AE131)&gt;0,", "&amp;A131&amp;"-"&amp;AE$2,"")&amp;IF(N(AF131)&gt;0,", "&amp;A131&amp;"-"&amp;AF$2,"")&amp;IF(N(AG131)&gt;0,", "&amp;A131&amp;"-"&amp;AG$2,"")&amp;IF(N(AH131)&gt;0,", "&amp;A131&amp;"-"&amp;AH$2,"")&amp;IF(N(AI131)&gt;0,", "&amp;A131&amp;"-"&amp;AI$2,"")&amp;IF(N(AJ131)&gt;0,", "&amp;A131&amp;"-"&amp;AJ$2,""),3,999))</f>
        <v/>
      </c>
      <c r="AN131" s="81"/>
      <c r="AO131" s="88"/>
      <c r="AP131" s="89" t="str">
        <f aca="false">IF(AO131="","",ROUND(AO131/(1+Справочники!$B$13),2))</f>
        <v/>
      </c>
      <c r="AQ131" s="90" t="str">
        <f aca="false" t="array" ref="AQ131:AQ131">IF(AP131="","",AP131*INDEX(Справочники!$B$4:$B$7,MATCH("RUB",Справочники!$A$4:$A$7,0)))</f>
        <v/>
      </c>
      <c r="AR131" s="90" t="str">
        <f aca="false">IF(AQ131="","",ROUND(AQ131*(1+Справочники!$B$12),0))</f>
        <v/>
      </c>
      <c r="AS131" s="90" t="str">
        <f aca="false">IF(AR131="","",ROUND(AR131*(1-Справочники!$B$11),0))</f>
        <v/>
      </c>
      <c r="AT131" s="88"/>
      <c r="AU131" s="90" t="str">
        <f aca="false">IF(AT131="","",ROUND(AT131/(1+Справочники!$B$12),0))</f>
        <v/>
      </c>
      <c r="AV131" s="90" t="str">
        <f aca="false">IF(AT131="","",ROUND(AT131*(1-Справочники!$B$15),0))</f>
        <v/>
      </c>
      <c r="AW131" s="90" t="str">
        <f aca="false">IF(AT131="","",ROUND(AT131*(1-Справочники!$B$16),0))</f>
        <v/>
      </c>
      <c r="AX131" s="90" t="str">
        <f aca="false">IF(AT131="","",ROUND(AT131*(1-Справочники!$B$17),0))</f>
        <v/>
      </c>
      <c r="AY131" s="90" t="str">
        <f aca="false">IF(AT131="","",ROUND(AT131*(1-Справочники!$B$18),0))</f>
        <v/>
      </c>
      <c r="AZ131" s="90" t="str">
        <f aca="false">IF(AT131="","",ROUND(AT131*(1-Справочники!$B$19),0))</f>
        <v/>
      </c>
      <c r="BA131" s="81"/>
      <c r="BB131" s="81"/>
      <c r="BC131" s="81"/>
      <c r="BD131" s="81"/>
      <c r="BE131" s="91"/>
      <c r="BF131" s="81" t="s">
        <v>103</v>
      </c>
      <c r="BG131" s="89" t="n">
        <f aca="false" t="array" ref="BG131:BG131">IF(BF131="","",IFERROR(INDEX(Справочники!$B$4:$B$7,MATCH(BF131,Справочники!$A$4:$A$7,0)),""))</f>
        <v>68.5</v>
      </c>
      <c r="BH131" s="90" t="str">
        <f aca="false">IF(N(BN131)&gt;0,ROUND(SUMIF(ЗАКАЗЫ!$F$3:$F$500,$A131,ЗАКАЗЫ!$Y$3:$Y$500)/BN131,0),IF(OR(BE131="",BG131=""),"",ROUND(BE131*BG131*(1+Справочники!$B$10),0)))</f>
        <v/>
      </c>
      <c r="BI131" s="92" t="str">
        <f aca="false">IF(OR(AU131="",BH131="",AU131=0),"",(AU131-BH131)/AU131)</f>
        <v/>
      </c>
      <c r="BJ131" s="81"/>
      <c r="BK131" s="83"/>
      <c r="BL131" s="43" t="str">
        <f aca="false">IFERROR(INDEX(ЗАКАЗЫ!$N$3:$N$500,MATCH($A131,ЗАКАЗЫ!$F$3:$F$500,0)),"")</f>
        <v/>
      </c>
      <c r="BM131" s="8" t="str">
        <f aca="false">IF(BL131="","",IFERROR(VLOOKUP(BL131,'ТН ВЭД'!$A$4:$C$40,3,0),""))</f>
        <v/>
      </c>
      <c r="BN131" s="7" t="str">
        <f aca="false">IF(COUNTIF(ЗАКАЗЫ!$F$3:$F$500,$A131)=0,"",SUMIF(ЗАКАЗЫ!$F$3:$F$500,$A131,ЗАКАЗЫ!$J$3:$J$500))</f>
        <v/>
      </c>
      <c r="BO131" s="7" t="str">
        <f aca="false">IF(BN131="","",SUMIF(ЗАКАЗЫ!$F$3:$F$500,$A131,ЗАКАЗЫ!$AL$3:$AL$500))</f>
        <v/>
      </c>
      <c r="BP131" s="7" t="str">
        <f aca="false">IF(BN131="","",BN131-BO131)</f>
        <v/>
      </c>
      <c r="BQ131" s="55" t="str">
        <f aca="false">IF(BN131="","",IF(BO131&gt;=BN131,"На складе",IF(BO131&gt;0,"Частично","Ждём")))</f>
        <v/>
      </c>
      <c r="BR131" s="43"/>
      <c r="BS131" s="47" t="str">
        <f aca="false">IF(BN131="","",IF(_xlfn.MAXIFS(ЗАКАЗЫ!$AK$3:$AK$500,ЗАКАЗЫ!$F$3:$F$500,$A131)=0,"",_xlfn.MAXIFS(ЗАКАЗЫ!$AK$3:$AK$500,ЗАКАЗЫ!$F$3:$F$500,$A131)))</f>
        <v/>
      </c>
    </row>
    <row r="132" customFormat="false" ht="15.75" hidden="false" customHeight="true" outlineLevel="0" collapsed="false">
      <c r="A132" s="80" t="s">
        <v>964</v>
      </c>
      <c r="B132" s="81"/>
      <c r="C132" s="81"/>
      <c r="D132" s="81"/>
      <c r="E132" s="83"/>
      <c r="F132" s="81"/>
      <c r="G132" s="83"/>
      <c r="H132" s="83"/>
      <c r="I132" s="84" t="str">
        <f aca="false">IF(E132="","",A132&amp;"_1.jpg")</f>
        <v/>
      </c>
      <c r="J132" s="84" t="str">
        <f aca="false">IF(E132="","",A132&amp;"_2.jpg; "&amp;A132&amp;"_3.jpg")</f>
        <v/>
      </c>
      <c r="K132" s="84" t="str">
        <f aca="false">IF(E132="","",A132&amp;"_schema.jpg")</f>
        <v/>
      </c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 t="s">
        <v>96</v>
      </c>
      <c r="W132" s="81"/>
      <c r="X132" s="81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6" t="str">
        <f aca="false">IF(SUM(Y132:AJ132)=0,"",SUM(Y132:AJ132))</f>
        <v/>
      </c>
      <c r="AL132" s="84" t="str">
        <f aca="false">MID(IF(N(Y132)&gt;0,", "&amp;Y$2,"")&amp;IF(N(Z132)&gt;0,", "&amp;Z$2,"")&amp;IF(N(AA132)&gt;0,", "&amp;AA$2,"")&amp;IF(N(AB132)&gt;0,", "&amp;AB$2,"")&amp;IF(N(AC132)&gt;0,", "&amp;AC$2,"")&amp;IF(N(AD132)&gt;0,", "&amp;AD$2,"")&amp;IF(N(AE132)&gt;0,", "&amp;AE$2,"")&amp;IF(N(AF132)&gt;0,", "&amp;AF$2,"")&amp;IF(N(AG132)&gt;0,", "&amp;AG$2,"")&amp;IF(N(AH132)&gt;0,", "&amp;AH$2,"")&amp;IF(N(AI132)&gt;0,", "&amp;AI$2,"")&amp;IF(N(AJ132)&gt;0,", "&amp;AJ$2,""),3,999)</f>
        <v/>
      </c>
      <c r="AM132" s="87" t="str">
        <f aca="false">IF(E132="","",MID(IF(N(Y132)&gt;0,", "&amp;A132&amp;"-"&amp;Y$2,"")&amp;IF(N(Z132)&gt;0,", "&amp;A132&amp;"-"&amp;Z$2,"")&amp;IF(N(AA132)&gt;0,", "&amp;A132&amp;"-"&amp;AA$2,"")&amp;IF(N(AB132)&gt;0,", "&amp;A132&amp;"-"&amp;AB$2,"")&amp;IF(N(AC132)&gt;0,", "&amp;A132&amp;"-"&amp;AC$2,"")&amp;IF(N(AD132)&gt;0,", "&amp;A132&amp;"-"&amp;AD$2,"")&amp;IF(N(AE132)&gt;0,", "&amp;A132&amp;"-"&amp;AE$2,"")&amp;IF(N(AF132)&gt;0,", "&amp;A132&amp;"-"&amp;AF$2,"")&amp;IF(N(AG132)&gt;0,", "&amp;A132&amp;"-"&amp;AG$2,"")&amp;IF(N(AH132)&gt;0,", "&amp;A132&amp;"-"&amp;AH$2,"")&amp;IF(N(AI132)&gt;0,", "&amp;A132&amp;"-"&amp;AI$2,"")&amp;IF(N(AJ132)&gt;0,", "&amp;A132&amp;"-"&amp;AJ$2,""),3,999))</f>
        <v/>
      </c>
      <c r="AN132" s="81"/>
      <c r="AO132" s="88"/>
      <c r="AP132" s="89" t="str">
        <f aca="false">IF(AO132="","",ROUND(AO132/(1+Справочники!$B$13),2))</f>
        <v/>
      </c>
      <c r="AQ132" s="90" t="str">
        <f aca="false" t="array" ref="AQ132:AQ132">IF(AP132="","",AP132*INDEX(Справочники!$B$4:$B$7,MATCH("RUB",Справочники!$A$4:$A$7,0)))</f>
        <v/>
      </c>
      <c r="AR132" s="90" t="str">
        <f aca="false">IF(AQ132="","",ROUND(AQ132*(1+Справочники!$B$12),0))</f>
        <v/>
      </c>
      <c r="AS132" s="90" t="str">
        <f aca="false">IF(AR132="","",ROUND(AR132*(1-Справочники!$B$11),0))</f>
        <v/>
      </c>
      <c r="AT132" s="88"/>
      <c r="AU132" s="90" t="str">
        <f aca="false">IF(AT132="","",ROUND(AT132/(1+Справочники!$B$12),0))</f>
        <v/>
      </c>
      <c r="AV132" s="90" t="str">
        <f aca="false">IF(AT132="","",ROUND(AT132*(1-Справочники!$B$15),0))</f>
        <v/>
      </c>
      <c r="AW132" s="90" t="str">
        <f aca="false">IF(AT132="","",ROUND(AT132*(1-Справочники!$B$16),0))</f>
        <v/>
      </c>
      <c r="AX132" s="90" t="str">
        <f aca="false">IF(AT132="","",ROUND(AT132*(1-Справочники!$B$17),0))</f>
        <v/>
      </c>
      <c r="AY132" s="90" t="str">
        <f aca="false">IF(AT132="","",ROUND(AT132*(1-Справочники!$B$18),0))</f>
        <v/>
      </c>
      <c r="AZ132" s="90" t="str">
        <f aca="false">IF(AT132="","",ROUND(AT132*(1-Справочники!$B$19),0))</f>
        <v/>
      </c>
      <c r="BA132" s="81"/>
      <c r="BB132" s="81"/>
      <c r="BC132" s="81"/>
      <c r="BD132" s="81"/>
      <c r="BE132" s="91"/>
      <c r="BF132" s="81" t="s">
        <v>103</v>
      </c>
      <c r="BG132" s="89" t="n">
        <f aca="false" t="array" ref="BG132:BG132">IF(BF132="","",IFERROR(INDEX(Справочники!$B$4:$B$7,MATCH(BF132,Справочники!$A$4:$A$7,0)),""))</f>
        <v>68.5</v>
      </c>
      <c r="BH132" s="90" t="str">
        <f aca="false">IF(N(BN132)&gt;0,ROUND(SUMIF(ЗАКАЗЫ!$F$3:$F$500,$A132,ЗАКАЗЫ!$Y$3:$Y$500)/BN132,0),IF(OR(BE132="",BG132=""),"",ROUND(BE132*BG132*(1+Справочники!$B$10),0)))</f>
        <v/>
      </c>
      <c r="BI132" s="92" t="str">
        <f aca="false">IF(OR(AU132="",BH132="",AU132=0),"",(AU132-BH132)/AU132)</f>
        <v/>
      </c>
      <c r="BJ132" s="81"/>
      <c r="BK132" s="83"/>
      <c r="BL132" s="43" t="str">
        <f aca="false">IFERROR(INDEX(ЗАКАЗЫ!$N$3:$N$500,MATCH($A132,ЗАКАЗЫ!$F$3:$F$500,0)),"")</f>
        <v/>
      </c>
      <c r="BM132" s="8" t="str">
        <f aca="false">IF(BL132="","",IFERROR(VLOOKUP(BL132,'ТН ВЭД'!$A$4:$C$40,3,0),""))</f>
        <v/>
      </c>
      <c r="BN132" s="7" t="str">
        <f aca="false">IF(COUNTIF(ЗАКАЗЫ!$F$3:$F$500,$A132)=0,"",SUMIF(ЗАКАЗЫ!$F$3:$F$500,$A132,ЗАКАЗЫ!$J$3:$J$500))</f>
        <v/>
      </c>
      <c r="BO132" s="7" t="str">
        <f aca="false">IF(BN132="","",SUMIF(ЗАКАЗЫ!$F$3:$F$500,$A132,ЗАКАЗЫ!$AL$3:$AL$500))</f>
        <v/>
      </c>
      <c r="BP132" s="7" t="str">
        <f aca="false">IF(BN132="","",BN132-BO132)</f>
        <v/>
      </c>
      <c r="BQ132" s="55" t="str">
        <f aca="false">IF(BN132="","",IF(BO132&gt;=BN132,"На складе",IF(BO132&gt;0,"Частично","Ждём")))</f>
        <v/>
      </c>
      <c r="BR132" s="43"/>
      <c r="BS132" s="47" t="str">
        <f aca="false">IF(BN132="","",IF(_xlfn.MAXIFS(ЗАКАЗЫ!$AK$3:$AK$500,ЗАКАЗЫ!$F$3:$F$500,$A132)=0,"",_xlfn.MAXIFS(ЗАКАЗЫ!$AK$3:$AK$500,ЗАКАЗЫ!$F$3:$F$500,$A132)))</f>
        <v/>
      </c>
    </row>
    <row r="133" customFormat="false" ht="15.75" hidden="false" customHeight="true" outlineLevel="0" collapsed="false">
      <c r="A133" s="80" t="s">
        <v>965</v>
      </c>
      <c r="B133" s="81"/>
      <c r="C133" s="81"/>
      <c r="D133" s="81"/>
      <c r="E133" s="83"/>
      <c r="F133" s="81"/>
      <c r="G133" s="83"/>
      <c r="H133" s="83"/>
      <c r="I133" s="84" t="str">
        <f aca="false">IF(E133="","",A133&amp;"_1.jpg")</f>
        <v/>
      </c>
      <c r="J133" s="84" t="str">
        <f aca="false">IF(E133="","",A133&amp;"_2.jpg; "&amp;A133&amp;"_3.jpg")</f>
        <v/>
      </c>
      <c r="K133" s="84" t="str">
        <f aca="false">IF(E133="","",A133&amp;"_schema.jpg")</f>
        <v/>
      </c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 t="s">
        <v>96</v>
      </c>
      <c r="W133" s="81"/>
      <c r="X133" s="81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6" t="str">
        <f aca="false">IF(SUM(Y133:AJ133)=0,"",SUM(Y133:AJ133))</f>
        <v/>
      </c>
      <c r="AL133" s="84" t="str">
        <f aca="false">MID(IF(N(Y133)&gt;0,", "&amp;Y$2,"")&amp;IF(N(Z133)&gt;0,", "&amp;Z$2,"")&amp;IF(N(AA133)&gt;0,", "&amp;AA$2,"")&amp;IF(N(AB133)&gt;0,", "&amp;AB$2,"")&amp;IF(N(AC133)&gt;0,", "&amp;AC$2,"")&amp;IF(N(AD133)&gt;0,", "&amp;AD$2,"")&amp;IF(N(AE133)&gt;0,", "&amp;AE$2,"")&amp;IF(N(AF133)&gt;0,", "&amp;AF$2,"")&amp;IF(N(AG133)&gt;0,", "&amp;AG$2,"")&amp;IF(N(AH133)&gt;0,", "&amp;AH$2,"")&amp;IF(N(AI133)&gt;0,", "&amp;AI$2,"")&amp;IF(N(AJ133)&gt;0,", "&amp;AJ$2,""),3,999)</f>
        <v/>
      </c>
      <c r="AM133" s="87" t="str">
        <f aca="false">IF(E133="","",MID(IF(N(Y133)&gt;0,", "&amp;A133&amp;"-"&amp;Y$2,"")&amp;IF(N(Z133)&gt;0,", "&amp;A133&amp;"-"&amp;Z$2,"")&amp;IF(N(AA133)&gt;0,", "&amp;A133&amp;"-"&amp;AA$2,"")&amp;IF(N(AB133)&gt;0,", "&amp;A133&amp;"-"&amp;AB$2,"")&amp;IF(N(AC133)&gt;0,", "&amp;A133&amp;"-"&amp;AC$2,"")&amp;IF(N(AD133)&gt;0,", "&amp;A133&amp;"-"&amp;AD$2,"")&amp;IF(N(AE133)&gt;0,", "&amp;A133&amp;"-"&amp;AE$2,"")&amp;IF(N(AF133)&gt;0,", "&amp;A133&amp;"-"&amp;AF$2,"")&amp;IF(N(AG133)&gt;0,", "&amp;A133&amp;"-"&amp;AG$2,"")&amp;IF(N(AH133)&gt;0,", "&amp;A133&amp;"-"&amp;AH$2,"")&amp;IF(N(AI133)&gt;0,", "&amp;A133&amp;"-"&amp;AI$2,"")&amp;IF(N(AJ133)&gt;0,", "&amp;A133&amp;"-"&amp;AJ$2,""),3,999))</f>
        <v/>
      </c>
      <c r="AN133" s="81"/>
      <c r="AO133" s="88"/>
      <c r="AP133" s="89" t="str">
        <f aca="false">IF(AO133="","",ROUND(AO133/(1+Справочники!$B$13),2))</f>
        <v/>
      </c>
      <c r="AQ133" s="90" t="str">
        <f aca="false" t="array" ref="AQ133:AQ133">IF(AP133="","",AP133*INDEX(Справочники!$B$4:$B$7,MATCH("RUB",Справочники!$A$4:$A$7,0)))</f>
        <v/>
      </c>
      <c r="AR133" s="90" t="str">
        <f aca="false">IF(AQ133="","",ROUND(AQ133*(1+Справочники!$B$12),0))</f>
        <v/>
      </c>
      <c r="AS133" s="90" t="str">
        <f aca="false">IF(AR133="","",ROUND(AR133*(1-Справочники!$B$11),0))</f>
        <v/>
      </c>
      <c r="AT133" s="88"/>
      <c r="AU133" s="90" t="str">
        <f aca="false">IF(AT133="","",ROUND(AT133/(1+Справочники!$B$12),0))</f>
        <v/>
      </c>
      <c r="AV133" s="90" t="str">
        <f aca="false">IF(AT133="","",ROUND(AT133*(1-Справочники!$B$15),0))</f>
        <v/>
      </c>
      <c r="AW133" s="90" t="str">
        <f aca="false">IF(AT133="","",ROUND(AT133*(1-Справочники!$B$16),0))</f>
        <v/>
      </c>
      <c r="AX133" s="90" t="str">
        <f aca="false">IF(AT133="","",ROUND(AT133*(1-Справочники!$B$17),0))</f>
        <v/>
      </c>
      <c r="AY133" s="90" t="str">
        <f aca="false">IF(AT133="","",ROUND(AT133*(1-Справочники!$B$18),0))</f>
        <v/>
      </c>
      <c r="AZ133" s="90" t="str">
        <f aca="false">IF(AT133="","",ROUND(AT133*(1-Справочники!$B$19),0))</f>
        <v/>
      </c>
      <c r="BA133" s="81"/>
      <c r="BB133" s="81"/>
      <c r="BC133" s="81"/>
      <c r="BD133" s="81"/>
      <c r="BE133" s="91"/>
      <c r="BF133" s="81" t="s">
        <v>103</v>
      </c>
      <c r="BG133" s="89" t="n">
        <f aca="false" t="array" ref="BG133:BG133">IF(BF133="","",IFERROR(INDEX(Справочники!$B$4:$B$7,MATCH(BF133,Справочники!$A$4:$A$7,0)),""))</f>
        <v>68.5</v>
      </c>
      <c r="BH133" s="90" t="str">
        <f aca="false">IF(N(BN133)&gt;0,ROUND(SUMIF(ЗАКАЗЫ!$F$3:$F$500,$A133,ЗАКАЗЫ!$Y$3:$Y$500)/BN133,0),IF(OR(BE133="",BG133=""),"",ROUND(BE133*BG133*(1+Справочники!$B$10),0)))</f>
        <v/>
      </c>
      <c r="BI133" s="92" t="str">
        <f aca="false">IF(OR(AU133="",BH133="",AU133=0),"",(AU133-BH133)/AU133)</f>
        <v/>
      </c>
      <c r="BJ133" s="81"/>
      <c r="BK133" s="83"/>
      <c r="BL133" s="43" t="str">
        <f aca="false">IFERROR(INDEX(ЗАКАЗЫ!$N$3:$N$500,MATCH($A133,ЗАКАЗЫ!$F$3:$F$500,0)),"")</f>
        <v/>
      </c>
      <c r="BM133" s="8" t="str">
        <f aca="false">IF(BL133="","",IFERROR(VLOOKUP(BL133,'ТН ВЭД'!$A$4:$C$40,3,0),""))</f>
        <v/>
      </c>
      <c r="BN133" s="7" t="str">
        <f aca="false">IF(COUNTIF(ЗАКАЗЫ!$F$3:$F$500,$A133)=0,"",SUMIF(ЗАКАЗЫ!$F$3:$F$500,$A133,ЗАКАЗЫ!$J$3:$J$500))</f>
        <v/>
      </c>
      <c r="BO133" s="7" t="str">
        <f aca="false">IF(BN133="","",SUMIF(ЗАКАЗЫ!$F$3:$F$500,$A133,ЗАКАЗЫ!$AL$3:$AL$500))</f>
        <v/>
      </c>
      <c r="BP133" s="7" t="str">
        <f aca="false">IF(BN133="","",BN133-BO133)</f>
        <v/>
      </c>
      <c r="BQ133" s="55" t="str">
        <f aca="false">IF(BN133="","",IF(BO133&gt;=BN133,"На складе",IF(BO133&gt;0,"Частично","Ждём")))</f>
        <v/>
      </c>
      <c r="BR133" s="43"/>
      <c r="BS133" s="47" t="str">
        <f aca="false">IF(BN133="","",IF(_xlfn.MAXIFS(ЗАКАЗЫ!$AK$3:$AK$500,ЗАКАЗЫ!$F$3:$F$500,$A133)=0,"",_xlfn.MAXIFS(ЗАКАЗЫ!$AK$3:$AK$500,ЗАКАЗЫ!$F$3:$F$500,$A133)))</f>
        <v/>
      </c>
    </row>
    <row r="134" customFormat="false" ht="15.75" hidden="false" customHeight="true" outlineLevel="0" collapsed="false">
      <c r="A134" s="80" t="s">
        <v>966</v>
      </c>
      <c r="B134" s="81"/>
      <c r="C134" s="81"/>
      <c r="D134" s="81"/>
      <c r="E134" s="83"/>
      <c r="F134" s="81"/>
      <c r="G134" s="83"/>
      <c r="H134" s="83"/>
      <c r="I134" s="84" t="str">
        <f aca="false">IF(E134="","",A134&amp;"_1.jpg")</f>
        <v/>
      </c>
      <c r="J134" s="84" t="str">
        <f aca="false">IF(E134="","",A134&amp;"_2.jpg; "&amp;A134&amp;"_3.jpg")</f>
        <v/>
      </c>
      <c r="K134" s="84" t="str">
        <f aca="false">IF(E134="","",A134&amp;"_schema.jpg")</f>
        <v/>
      </c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 t="s">
        <v>96</v>
      </c>
      <c r="W134" s="81"/>
      <c r="X134" s="81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6" t="str">
        <f aca="false">IF(SUM(Y134:AJ134)=0,"",SUM(Y134:AJ134))</f>
        <v/>
      </c>
      <c r="AL134" s="84" t="str">
        <f aca="false">MID(IF(N(Y134)&gt;0,", "&amp;Y$2,"")&amp;IF(N(Z134)&gt;0,", "&amp;Z$2,"")&amp;IF(N(AA134)&gt;0,", "&amp;AA$2,"")&amp;IF(N(AB134)&gt;0,", "&amp;AB$2,"")&amp;IF(N(AC134)&gt;0,", "&amp;AC$2,"")&amp;IF(N(AD134)&gt;0,", "&amp;AD$2,"")&amp;IF(N(AE134)&gt;0,", "&amp;AE$2,"")&amp;IF(N(AF134)&gt;0,", "&amp;AF$2,"")&amp;IF(N(AG134)&gt;0,", "&amp;AG$2,"")&amp;IF(N(AH134)&gt;0,", "&amp;AH$2,"")&amp;IF(N(AI134)&gt;0,", "&amp;AI$2,"")&amp;IF(N(AJ134)&gt;0,", "&amp;AJ$2,""),3,999)</f>
        <v/>
      </c>
      <c r="AM134" s="87" t="str">
        <f aca="false">IF(E134="","",MID(IF(N(Y134)&gt;0,", "&amp;A134&amp;"-"&amp;Y$2,"")&amp;IF(N(Z134)&gt;0,", "&amp;A134&amp;"-"&amp;Z$2,"")&amp;IF(N(AA134)&gt;0,", "&amp;A134&amp;"-"&amp;AA$2,"")&amp;IF(N(AB134)&gt;0,", "&amp;A134&amp;"-"&amp;AB$2,"")&amp;IF(N(AC134)&gt;0,", "&amp;A134&amp;"-"&amp;AC$2,"")&amp;IF(N(AD134)&gt;0,", "&amp;A134&amp;"-"&amp;AD$2,"")&amp;IF(N(AE134)&gt;0,", "&amp;A134&amp;"-"&amp;AE$2,"")&amp;IF(N(AF134)&gt;0,", "&amp;A134&amp;"-"&amp;AF$2,"")&amp;IF(N(AG134)&gt;0,", "&amp;A134&amp;"-"&amp;AG$2,"")&amp;IF(N(AH134)&gt;0,", "&amp;A134&amp;"-"&amp;AH$2,"")&amp;IF(N(AI134)&gt;0,", "&amp;A134&amp;"-"&amp;AI$2,"")&amp;IF(N(AJ134)&gt;0,", "&amp;A134&amp;"-"&amp;AJ$2,""),3,999))</f>
        <v/>
      </c>
      <c r="AN134" s="81"/>
      <c r="AO134" s="88"/>
      <c r="AP134" s="89" t="str">
        <f aca="false">IF(AO134="","",ROUND(AO134/(1+Справочники!$B$13),2))</f>
        <v/>
      </c>
      <c r="AQ134" s="90" t="str">
        <f aca="false" t="array" ref="AQ134:AQ134">IF(AP134="","",AP134*INDEX(Справочники!$B$4:$B$7,MATCH("RUB",Справочники!$A$4:$A$7,0)))</f>
        <v/>
      </c>
      <c r="AR134" s="90" t="str">
        <f aca="false">IF(AQ134="","",ROUND(AQ134*(1+Справочники!$B$12),0))</f>
        <v/>
      </c>
      <c r="AS134" s="90" t="str">
        <f aca="false">IF(AR134="","",ROUND(AR134*(1-Справочники!$B$11),0))</f>
        <v/>
      </c>
      <c r="AT134" s="88"/>
      <c r="AU134" s="90" t="str">
        <f aca="false">IF(AT134="","",ROUND(AT134/(1+Справочники!$B$12),0))</f>
        <v/>
      </c>
      <c r="AV134" s="90" t="str">
        <f aca="false">IF(AT134="","",ROUND(AT134*(1-Справочники!$B$15),0))</f>
        <v/>
      </c>
      <c r="AW134" s="90" t="str">
        <f aca="false">IF(AT134="","",ROUND(AT134*(1-Справочники!$B$16),0))</f>
        <v/>
      </c>
      <c r="AX134" s="90" t="str">
        <f aca="false">IF(AT134="","",ROUND(AT134*(1-Справочники!$B$17),0))</f>
        <v/>
      </c>
      <c r="AY134" s="90" t="str">
        <f aca="false">IF(AT134="","",ROUND(AT134*(1-Справочники!$B$18),0))</f>
        <v/>
      </c>
      <c r="AZ134" s="90" t="str">
        <f aca="false">IF(AT134="","",ROUND(AT134*(1-Справочники!$B$19),0))</f>
        <v/>
      </c>
      <c r="BA134" s="81"/>
      <c r="BB134" s="81"/>
      <c r="BC134" s="81"/>
      <c r="BD134" s="81"/>
      <c r="BE134" s="91"/>
      <c r="BF134" s="81" t="s">
        <v>103</v>
      </c>
      <c r="BG134" s="89" t="n">
        <f aca="false" t="array" ref="BG134:BG134">IF(BF134="","",IFERROR(INDEX(Справочники!$B$4:$B$7,MATCH(BF134,Справочники!$A$4:$A$7,0)),""))</f>
        <v>68.5</v>
      </c>
      <c r="BH134" s="90" t="str">
        <f aca="false">IF(N(BN134)&gt;0,ROUND(SUMIF(ЗАКАЗЫ!$F$3:$F$500,$A134,ЗАКАЗЫ!$Y$3:$Y$500)/BN134,0),IF(OR(BE134="",BG134=""),"",ROUND(BE134*BG134*(1+Справочники!$B$10),0)))</f>
        <v/>
      </c>
      <c r="BI134" s="92" t="str">
        <f aca="false">IF(OR(AU134="",BH134="",AU134=0),"",(AU134-BH134)/AU134)</f>
        <v/>
      </c>
      <c r="BJ134" s="81"/>
      <c r="BK134" s="83"/>
      <c r="BL134" s="43" t="str">
        <f aca="false">IFERROR(INDEX(ЗАКАЗЫ!$N$3:$N$500,MATCH($A134,ЗАКАЗЫ!$F$3:$F$500,0)),"")</f>
        <v/>
      </c>
      <c r="BM134" s="8" t="str">
        <f aca="false">IF(BL134="","",IFERROR(VLOOKUP(BL134,'ТН ВЭД'!$A$4:$C$40,3,0),""))</f>
        <v/>
      </c>
      <c r="BN134" s="7" t="str">
        <f aca="false">IF(COUNTIF(ЗАКАЗЫ!$F$3:$F$500,$A134)=0,"",SUMIF(ЗАКАЗЫ!$F$3:$F$500,$A134,ЗАКАЗЫ!$J$3:$J$500))</f>
        <v/>
      </c>
      <c r="BO134" s="7" t="str">
        <f aca="false">IF(BN134="","",SUMIF(ЗАКАЗЫ!$F$3:$F$500,$A134,ЗАКАЗЫ!$AL$3:$AL$500))</f>
        <v/>
      </c>
      <c r="BP134" s="7" t="str">
        <f aca="false">IF(BN134="","",BN134-BO134)</f>
        <v/>
      </c>
      <c r="BQ134" s="55" t="str">
        <f aca="false">IF(BN134="","",IF(BO134&gt;=BN134,"На складе",IF(BO134&gt;0,"Частично","Ждём")))</f>
        <v/>
      </c>
      <c r="BR134" s="43"/>
      <c r="BS134" s="47" t="str">
        <f aca="false">IF(BN134="","",IF(_xlfn.MAXIFS(ЗАКАЗЫ!$AK$3:$AK$500,ЗАКАЗЫ!$F$3:$F$500,$A134)=0,"",_xlfn.MAXIFS(ЗАКАЗЫ!$AK$3:$AK$500,ЗАКАЗЫ!$F$3:$F$500,$A134)))</f>
        <v/>
      </c>
    </row>
    <row r="135" customFormat="false" ht="15.75" hidden="false" customHeight="true" outlineLevel="0" collapsed="false">
      <c r="A135" s="80" t="s">
        <v>967</v>
      </c>
      <c r="B135" s="81"/>
      <c r="C135" s="81"/>
      <c r="D135" s="81"/>
      <c r="E135" s="83"/>
      <c r="F135" s="81"/>
      <c r="G135" s="83"/>
      <c r="H135" s="83"/>
      <c r="I135" s="84" t="str">
        <f aca="false">IF(E135="","",A135&amp;"_1.jpg")</f>
        <v/>
      </c>
      <c r="J135" s="84" t="str">
        <f aca="false">IF(E135="","",A135&amp;"_2.jpg; "&amp;A135&amp;"_3.jpg")</f>
        <v/>
      </c>
      <c r="K135" s="84" t="str">
        <f aca="false">IF(E135="","",A135&amp;"_schema.jpg")</f>
        <v/>
      </c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 t="s">
        <v>96</v>
      </c>
      <c r="W135" s="81"/>
      <c r="X135" s="81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6" t="str">
        <f aca="false">IF(SUM(Y135:AJ135)=0,"",SUM(Y135:AJ135))</f>
        <v/>
      </c>
      <c r="AL135" s="84" t="str">
        <f aca="false">MID(IF(N(Y135)&gt;0,", "&amp;Y$2,"")&amp;IF(N(Z135)&gt;0,", "&amp;Z$2,"")&amp;IF(N(AA135)&gt;0,", "&amp;AA$2,"")&amp;IF(N(AB135)&gt;0,", "&amp;AB$2,"")&amp;IF(N(AC135)&gt;0,", "&amp;AC$2,"")&amp;IF(N(AD135)&gt;0,", "&amp;AD$2,"")&amp;IF(N(AE135)&gt;0,", "&amp;AE$2,"")&amp;IF(N(AF135)&gt;0,", "&amp;AF$2,"")&amp;IF(N(AG135)&gt;0,", "&amp;AG$2,"")&amp;IF(N(AH135)&gt;0,", "&amp;AH$2,"")&amp;IF(N(AI135)&gt;0,", "&amp;AI$2,"")&amp;IF(N(AJ135)&gt;0,", "&amp;AJ$2,""),3,999)</f>
        <v/>
      </c>
      <c r="AM135" s="87" t="str">
        <f aca="false">IF(E135="","",MID(IF(N(Y135)&gt;0,", "&amp;A135&amp;"-"&amp;Y$2,"")&amp;IF(N(Z135)&gt;0,", "&amp;A135&amp;"-"&amp;Z$2,"")&amp;IF(N(AA135)&gt;0,", "&amp;A135&amp;"-"&amp;AA$2,"")&amp;IF(N(AB135)&gt;0,", "&amp;A135&amp;"-"&amp;AB$2,"")&amp;IF(N(AC135)&gt;0,", "&amp;A135&amp;"-"&amp;AC$2,"")&amp;IF(N(AD135)&gt;0,", "&amp;A135&amp;"-"&amp;AD$2,"")&amp;IF(N(AE135)&gt;0,", "&amp;A135&amp;"-"&amp;AE$2,"")&amp;IF(N(AF135)&gt;0,", "&amp;A135&amp;"-"&amp;AF$2,"")&amp;IF(N(AG135)&gt;0,", "&amp;A135&amp;"-"&amp;AG$2,"")&amp;IF(N(AH135)&gt;0,", "&amp;A135&amp;"-"&amp;AH$2,"")&amp;IF(N(AI135)&gt;0,", "&amp;A135&amp;"-"&amp;AI$2,"")&amp;IF(N(AJ135)&gt;0,", "&amp;A135&amp;"-"&amp;AJ$2,""),3,999))</f>
        <v/>
      </c>
      <c r="AN135" s="81"/>
      <c r="AO135" s="88"/>
      <c r="AP135" s="89" t="str">
        <f aca="false">IF(AO135="","",ROUND(AO135/(1+Справочники!$B$13),2))</f>
        <v/>
      </c>
      <c r="AQ135" s="90" t="str">
        <f aca="false" t="array" ref="AQ135:AQ135">IF(AP135="","",AP135*INDEX(Справочники!$B$4:$B$7,MATCH("RUB",Справочники!$A$4:$A$7,0)))</f>
        <v/>
      </c>
      <c r="AR135" s="90" t="str">
        <f aca="false">IF(AQ135="","",ROUND(AQ135*(1+Справочники!$B$12),0))</f>
        <v/>
      </c>
      <c r="AS135" s="90" t="str">
        <f aca="false">IF(AR135="","",ROUND(AR135*(1-Справочники!$B$11),0))</f>
        <v/>
      </c>
      <c r="AT135" s="88"/>
      <c r="AU135" s="90" t="str">
        <f aca="false">IF(AT135="","",ROUND(AT135/(1+Справочники!$B$12),0))</f>
        <v/>
      </c>
      <c r="AV135" s="90" t="str">
        <f aca="false">IF(AT135="","",ROUND(AT135*(1-Справочники!$B$15),0))</f>
        <v/>
      </c>
      <c r="AW135" s="90" t="str">
        <f aca="false">IF(AT135="","",ROUND(AT135*(1-Справочники!$B$16),0))</f>
        <v/>
      </c>
      <c r="AX135" s="90" t="str">
        <f aca="false">IF(AT135="","",ROUND(AT135*(1-Справочники!$B$17),0))</f>
        <v/>
      </c>
      <c r="AY135" s="90" t="str">
        <f aca="false">IF(AT135="","",ROUND(AT135*(1-Справочники!$B$18),0))</f>
        <v/>
      </c>
      <c r="AZ135" s="90" t="str">
        <f aca="false">IF(AT135="","",ROUND(AT135*(1-Справочники!$B$19),0))</f>
        <v/>
      </c>
      <c r="BA135" s="81"/>
      <c r="BB135" s="81"/>
      <c r="BC135" s="81"/>
      <c r="BD135" s="81"/>
      <c r="BE135" s="91"/>
      <c r="BF135" s="81" t="s">
        <v>103</v>
      </c>
      <c r="BG135" s="89" t="n">
        <f aca="false" t="array" ref="BG135:BG135">IF(BF135="","",IFERROR(INDEX(Справочники!$B$4:$B$7,MATCH(BF135,Справочники!$A$4:$A$7,0)),""))</f>
        <v>68.5</v>
      </c>
      <c r="BH135" s="90" t="str">
        <f aca="false">IF(N(BN135)&gt;0,ROUND(SUMIF(ЗАКАЗЫ!$F$3:$F$500,$A135,ЗАКАЗЫ!$Y$3:$Y$500)/BN135,0),IF(OR(BE135="",BG135=""),"",ROUND(BE135*BG135*(1+Справочники!$B$10),0)))</f>
        <v/>
      </c>
      <c r="BI135" s="92" t="str">
        <f aca="false">IF(OR(AU135="",BH135="",AU135=0),"",(AU135-BH135)/AU135)</f>
        <v/>
      </c>
      <c r="BJ135" s="81"/>
      <c r="BK135" s="83"/>
      <c r="BL135" s="43" t="str">
        <f aca="false">IFERROR(INDEX(ЗАКАЗЫ!$N$3:$N$500,MATCH($A135,ЗАКАЗЫ!$F$3:$F$500,0)),"")</f>
        <v/>
      </c>
      <c r="BM135" s="8" t="str">
        <f aca="false">IF(BL135="","",IFERROR(VLOOKUP(BL135,'ТН ВЭД'!$A$4:$C$40,3,0),""))</f>
        <v/>
      </c>
      <c r="BN135" s="7" t="str">
        <f aca="false">IF(COUNTIF(ЗАКАЗЫ!$F$3:$F$500,$A135)=0,"",SUMIF(ЗАКАЗЫ!$F$3:$F$500,$A135,ЗАКАЗЫ!$J$3:$J$500))</f>
        <v/>
      </c>
      <c r="BO135" s="7" t="str">
        <f aca="false">IF(BN135="","",SUMIF(ЗАКАЗЫ!$F$3:$F$500,$A135,ЗАКАЗЫ!$AL$3:$AL$500))</f>
        <v/>
      </c>
      <c r="BP135" s="7" t="str">
        <f aca="false">IF(BN135="","",BN135-BO135)</f>
        <v/>
      </c>
      <c r="BQ135" s="55" t="str">
        <f aca="false">IF(BN135="","",IF(BO135&gt;=BN135,"На складе",IF(BO135&gt;0,"Частично","Ждём")))</f>
        <v/>
      </c>
      <c r="BR135" s="43"/>
      <c r="BS135" s="47" t="str">
        <f aca="false">IF(BN135="","",IF(_xlfn.MAXIFS(ЗАКАЗЫ!$AK$3:$AK$500,ЗАКАЗЫ!$F$3:$F$500,$A135)=0,"",_xlfn.MAXIFS(ЗАКАЗЫ!$AK$3:$AK$500,ЗАКАЗЫ!$F$3:$F$500,$A135)))</f>
        <v/>
      </c>
    </row>
    <row r="136" customFormat="false" ht="15.75" hidden="false" customHeight="true" outlineLevel="0" collapsed="false">
      <c r="A136" s="80" t="s">
        <v>968</v>
      </c>
      <c r="B136" s="81"/>
      <c r="C136" s="81"/>
      <c r="D136" s="81"/>
      <c r="E136" s="83"/>
      <c r="F136" s="81"/>
      <c r="G136" s="83"/>
      <c r="H136" s="83"/>
      <c r="I136" s="84" t="str">
        <f aca="false">IF(E136="","",A136&amp;"_1.jpg")</f>
        <v/>
      </c>
      <c r="J136" s="84" t="str">
        <f aca="false">IF(E136="","",A136&amp;"_2.jpg; "&amp;A136&amp;"_3.jpg")</f>
        <v/>
      </c>
      <c r="K136" s="84" t="str">
        <f aca="false">IF(E136="","",A136&amp;"_schema.jpg")</f>
        <v/>
      </c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 t="s">
        <v>96</v>
      </c>
      <c r="W136" s="81"/>
      <c r="X136" s="81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6" t="str">
        <f aca="false">IF(SUM(Y136:AJ136)=0,"",SUM(Y136:AJ136))</f>
        <v/>
      </c>
      <c r="AL136" s="84" t="str">
        <f aca="false">MID(IF(N(Y136)&gt;0,", "&amp;Y$2,"")&amp;IF(N(Z136)&gt;0,", "&amp;Z$2,"")&amp;IF(N(AA136)&gt;0,", "&amp;AA$2,"")&amp;IF(N(AB136)&gt;0,", "&amp;AB$2,"")&amp;IF(N(AC136)&gt;0,", "&amp;AC$2,"")&amp;IF(N(AD136)&gt;0,", "&amp;AD$2,"")&amp;IF(N(AE136)&gt;0,", "&amp;AE$2,"")&amp;IF(N(AF136)&gt;0,", "&amp;AF$2,"")&amp;IF(N(AG136)&gt;0,", "&amp;AG$2,"")&amp;IF(N(AH136)&gt;0,", "&amp;AH$2,"")&amp;IF(N(AI136)&gt;0,", "&amp;AI$2,"")&amp;IF(N(AJ136)&gt;0,", "&amp;AJ$2,""),3,999)</f>
        <v/>
      </c>
      <c r="AM136" s="87" t="str">
        <f aca="false">IF(E136="","",MID(IF(N(Y136)&gt;0,", "&amp;A136&amp;"-"&amp;Y$2,"")&amp;IF(N(Z136)&gt;0,", "&amp;A136&amp;"-"&amp;Z$2,"")&amp;IF(N(AA136)&gt;0,", "&amp;A136&amp;"-"&amp;AA$2,"")&amp;IF(N(AB136)&gt;0,", "&amp;A136&amp;"-"&amp;AB$2,"")&amp;IF(N(AC136)&gt;0,", "&amp;A136&amp;"-"&amp;AC$2,"")&amp;IF(N(AD136)&gt;0,", "&amp;A136&amp;"-"&amp;AD$2,"")&amp;IF(N(AE136)&gt;0,", "&amp;A136&amp;"-"&amp;AE$2,"")&amp;IF(N(AF136)&gt;0,", "&amp;A136&amp;"-"&amp;AF$2,"")&amp;IF(N(AG136)&gt;0,", "&amp;A136&amp;"-"&amp;AG$2,"")&amp;IF(N(AH136)&gt;0,", "&amp;A136&amp;"-"&amp;AH$2,"")&amp;IF(N(AI136)&gt;0,", "&amp;A136&amp;"-"&amp;AI$2,"")&amp;IF(N(AJ136)&gt;0,", "&amp;A136&amp;"-"&amp;AJ$2,""),3,999))</f>
        <v/>
      </c>
      <c r="AN136" s="81"/>
      <c r="AO136" s="88"/>
      <c r="AP136" s="89" t="str">
        <f aca="false">IF(AO136="","",ROUND(AO136/(1+Справочники!$B$13),2))</f>
        <v/>
      </c>
      <c r="AQ136" s="90" t="str">
        <f aca="false" t="array" ref="AQ136:AQ136">IF(AP136="","",AP136*INDEX(Справочники!$B$4:$B$7,MATCH("RUB",Справочники!$A$4:$A$7,0)))</f>
        <v/>
      </c>
      <c r="AR136" s="90" t="str">
        <f aca="false">IF(AQ136="","",ROUND(AQ136*(1+Справочники!$B$12),0))</f>
        <v/>
      </c>
      <c r="AS136" s="90" t="str">
        <f aca="false">IF(AR136="","",ROUND(AR136*(1-Справочники!$B$11),0))</f>
        <v/>
      </c>
      <c r="AT136" s="88"/>
      <c r="AU136" s="90" t="str">
        <f aca="false">IF(AT136="","",ROUND(AT136/(1+Справочники!$B$12),0))</f>
        <v/>
      </c>
      <c r="AV136" s="90" t="str">
        <f aca="false">IF(AT136="","",ROUND(AT136*(1-Справочники!$B$15),0))</f>
        <v/>
      </c>
      <c r="AW136" s="90" t="str">
        <f aca="false">IF(AT136="","",ROUND(AT136*(1-Справочники!$B$16),0))</f>
        <v/>
      </c>
      <c r="AX136" s="90" t="str">
        <f aca="false">IF(AT136="","",ROUND(AT136*(1-Справочники!$B$17),0))</f>
        <v/>
      </c>
      <c r="AY136" s="90" t="str">
        <f aca="false">IF(AT136="","",ROUND(AT136*(1-Справочники!$B$18),0))</f>
        <v/>
      </c>
      <c r="AZ136" s="90" t="str">
        <f aca="false">IF(AT136="","",ROUND(AT136*(1-Справочники!$B$19),0))</f>
        <v/>
      </c>
      <c r="BA136" s="81"/>
      <c r="BB136" s="81"/>
      <c r="BC136" s="81"/>
      <c r="BD136" s="81"/>
      <c r="BE136" s="91"/>
      <c r="BF136" s="81" t="s">
        <v>103</v>
      </c>
      <c r="BG136" s="89" t="n">
        <f aca="false" t="array" ref="BG136:BG136">IF(BF136="","",IFERROR(INDEX(Справочники!$B$4:$B$7,MATCH(BF136,Справочники!$A$4:$A$7,0)),""))</f>
        <v>68.5</v>
      </c>
      <c r="BH136" s="90" t="str">
        <f aca="false">IF(N(BN136)&gt;0,ROUND(SUMIF(ЗАКАЗЫ!$F$3:$F$500,$A136,ЗАКАЗЫ!$Y$3:$Y$500)/BN136,0),IF(OR(BE136="",BG136=""),"",ROUND(BE136*BG136*(1+Справочники!$B$10),0)))</f>
        <v/>
      </c>
      <c r="BI136" s="92" t="str">
        <f aca="false">IF(OR(AU136="",BH136="",AU136=0),"",(AU136-BH136)/AU136)</f>
        <v/>
      </c>
      <c r="BJ136" s="81"/>
      <c r="BK136" s="83"/>
      <c r="BL136" s="43" t="str">
        <f aca="false">IFERROR(INDEX(ЗАКАЗЫ!$N$3:$N$500,MATCH($A136,ЗАКАЗЫ!$F$3:$F$500,0)),"")</f>
        <v/>
      </c>
      <c r="BM136" s="8" t="str">
        <f aca="false">IF(BL136="","",IFERROR(VLOOKUP(BL136,'ТН ВЭД'!$A$4:$C$40,3,0),""))</f>
        <v/>
      </c>
      <c r="BN136" s="7" t="str">
        <f aca="false">IF(COUNTIF(ЗАКАЗЫ!$F$3:$F$500,$A136)=0,"",SUMIF(ЗАКАЗЫ!$F$3:$F$500,$A136,ЗАКАЗЫ!$J$3:$J$500))</f>
        <v/>
      </c>
      <c r="BO136" s="7" t="str">
        <f aca="false">IF(BN136="","",SUMIF(ЗАКАЗЫ!$F$3:$F$500,$A136,ЗАКАЗЫ!$AL$3:$AL$500))</f>
        <v/>
      </c>
      <c r="BP136" s="7" t="str">
        <f aca="false">IF(BN136="","",BN136-BO136)</f>
        <v/>
      </c>
      <c r="BQ136" s="55" t="str">
        <f aca="false">IF(BN136="","",IF(BO136&gt;=BN136,"На складе",IF(BO136&gt;0,"Частично","Ждём")))</f>
        <v/>
      </c>
      <c r="BR136" s="43"/>
      <c r="BS136" s="47" t="str">
        <f aca="false">IF(BN136="","",IF(_xlfn.MAXIFS(ЗАКАЗЫ!$AK$3:$AK$500,ЗАКАЗЫ!$F$3:$F$500,$A136)=0,"",_xlfn.MAXIFS(ЗАКАЗЫ!$AK$3:$AK$500,ЗАКАЗЫ!$F$3:$F$500,$A136)))</f>
        <v/>
      </c>
    </row>
    <row r="137" customFormat="false" ht="15.75" hidden="false" customHeight="true" outlineLevel="0" collapsed="false">
      <c r="A137" s="80" t="s">
        <v>969</v>
      </c>
      <c r="B137" s="81"/>
      <c r="C137" s="81"/>
      <c r="D137" s="81"/>
      <c r="E137" s="83"/>
      <c r="F137" s="81"/>
      <c r="G137" s="83"/>
      <c r="H137" s="83"/>
      <c r="I137" s="84" t="str">
        <f aca="false">IF(E137="","",A137&amp;"_1.jpg")</f>
        <v/>
      </c>
      <c r="J137" s="84" t="str">
        <f aca="false">IF(E137="","",A137&amp;"_2.jpg; "&amp;A137&amp;"_3.jpg")</f>
        <v/>
      </c>
      <c r="K137" s="84" t="str">
        <f aca="false">IF(E137="","",A137&amp;"_schema.jpg")</f>
        <v/>
      </c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 t="s">
        <v>96</v>
      </c>
      <c r="W137" s="81"/>
      <c r="X137" s="81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6" t="str">
        <f aca="false">IF(SUM(Y137:AJ137)=0,"",SUM(Y137:AJ137))</f>
        <v/>
      </c>
      <c r="AL137" s="84" t="str">
        <f aca="false">MID(IF(N(Y137)&gt;0,", "&amp;Y$2,"")&amp;IF(N(Z137)&gt;0,", "&amp;Z$2,"")&amp;IF(N(AA137)&gt;0,", "&amp;AA$2,"")&amp;IF(N(AB137)&gt;0,", "&amp;AB$2,"")&amp;IF(N(AC137)&gt;0,", "&amp;AC$2,"")&amp;IF(N(AD137)&gt;0,", "&amp;AD$2,"")&amp;IF(N(AE137)&gt;0,", "&amp;AE$2,"")&amp;IF(N(AF137)&gt;0,", "&amp;AF$2,"")&amp;IF(N(AG137)&gt;0,", "&amp;AG$2,"")&amp;IF(N(AH137)&gt;0,", "&amp;AH$2,"")&amp;IF(N(AI137)&gt;0,", "&amp;AI$2,"")&amp;IF(N(AJ137)&gt;0,", "&amp;AJ$2,""),3,999)</f>
        <v/>
      </c>
      <c r="AM137" s="87" t="str">
        <f aca="false">IF(E137="","",MID(IF(N(Y137)&gt;0,", "&amp;A137&amp;"-"&amp;Y$2,"")&amp;IF(N(Z137)&gt;0,", "&amp;A137&amp;"-"&amp;Z$2,"")&amp;IF(N(AA137)&gt;0,", "&amp;A137&amp;"-"&amp;AA$2,"")&amp;IF(N(AB137)&gt;0,", "&amp;A137&amp;"-"&amp;AB$2,"")&amp;IF(N(AC137)&gt;0,", "&amp;A137&amp;"-"&amp;AC$2,"")&amp;IF(N(AD137)&gt;0,", "&amp;A137&amp;"-"&amp;AD$2,"")&amp;IF(N(AE137)&gt;0,", "&amp;A137&amp;"-"&amp;AE$2,"")&amp;IF(N(AF137)&gt;0,", "&amp;A137&amp;"-"&amp;AF$2,"")&amp;IF(N(AG137)&gt;0,", "&amp;A137&amp;"-"&amp;AG$2,"")&amp;IF(N(AH137)&gt;0,", "&amp;A137&amp;"-"&amp;AH$2,"")&amp;IF(N(AI137)&gt;0,", "&amp;A137&amp;"-"&amp;AI$2,"")&amp;IF(N(AJ137)&gt;0,", "&amp;A137&amp;"-"&amp;AJ$2,""),3,999))</f>
        <v/>
      </c>
      <c r="AN137" s="81"/>
      <c r="AO137" s="88"/>
      <c r="AP137" s="89" t="str">
        <f aca="false">IF(AO137="","",ROUND(AO137/(1+Справочники!$B$13),2))</f>
        <v/>
      </c>
      <c r="AQ137" s="90" t="str">
        <f aca="false" t="array" ref="AQ137:AQ137">IF(AP137="","",AP137*INDEX(Справочники!$B$4:$B$7,MATCH("RUB",Справочники!$A$4:$A$7,0)))</f>
        <v/>
      </c>
      <c r="AR137" s="90" t="str">
        <f aca="false">IF(AQ137="","",ROUND(AQ137*(1+Справочники!$B$12),0))</f>
        <v/>
      </c>
      <c r="AS137" s="90" t="str">
        <f aca="false">IF(AR137="","",ROUND(AR137*(1-Справочники!$B$11),0))</f>
        <v/>
      </c>
      <c r="AT137" s="88"/>
      <c r="AU137" s="90" t="str">
        <f aca="false">IF(AT137="","",ROUND(AT137/(1+Справочники!$B$12),0))</f>
        <v/>
      </c>
      <c r="AV137" s="90" t="str">
        <f aca="false">IF(AT137="","",ROUND(AT137*(1-Справочники!$B$15),0))</f>
        <v/>
      </c>
      <c r="AW137" s="90" t="str">
        <f aca="false">IF(AT137="","",ROUND(AT137*(1-Справочники!$B$16),0))</f>
        <v/>
      </c>
      <c r="AX137" s="90" t="str">
        <f aca="false">IF(AT137="","",ROUND(AT137*(1-Справочники!$B$17),0))</f>
        <v/>
      </c>
      <c r="AY137" s="90" t="str">
        <f aca="false">IF(AT137="","",ROUND(AT137*(1-Справочники!$B$18),0))</f>
        <v/>
      </c>
      <c r="AZ137" s="90" t="str">
        <f aca="false">IF(AT137="","",ROUND(AT137*(1-Справочники!$B$19),0))</f>
        <v/>
      </c>
      <c r="BA137" s="81"/>
      <c r="BB137" s="81"/>
      <c r="BC137" s="81"/>
      <c r="BD137" s="81"/>
      <c r="BE137" s="91"/>
      <c r="BF137" s="81" t="s">
        <v>103</v>
      </c>
      <c r="BG137" s="89" t="n">
        <f aca="false" t="array" ref="BG137:BG137">IF(BF137="","",IFERROR(INDEX(Справочники!$B$4:$B$7,MATCH(BF137,Справочники!$A$4:$A$7,0)),""))</f>
        <v>68.5</v>
      </c>
      <c r="BH137" s="90" t="str">
        <f aca="false">IF(N(BN137)&gt;0,ROUND(SUMIF(ЗАКАЗЫ!$F$3:$F$500,$A137,ЗАКАЗЫ!$Y$3:$Y$500)/BN137,0),IF(OR(BE137="",BG137=""),"",ROUND(BE137*BG137*(1+Справочники!$B$10),0)))</f>
        <v/>
      </c>
      <c r="BI137" s="92" t="str">
        <f aca="false">IF(OR(AU137="",BH137="",AU137=0),"",(AU137-BH137)/AU137)</f>
        <v/>
      </c>
      <c r="BJ137" s="81"/>
      <c r="BK137" s="83"/>
      <c r="BL137" s="43" t="str">
        <f aca="false">IFERROR(INDEX(ЗАКАЗЫ!$N$3:$N$500,MATCH($A137,ЗАКАЗЫ!$F$3:$F$500,0)),"")</f>
        <v/>
      </c>
      <c r="BM137" s="8" t="str">
        <f aca="false">IF(BL137="","",IFERROR(VLOOKUP(BL137,'ТН ВЭД'!$A$4:$C$40,3,0),""))</f>
        <v/>
      </c>
      <c r="BN137" s="7" t="str">
        <f aca="false">IF(COUNTIF(ЗАКАЗЫ!$F$3:$F$500,$A137)=0,"",SUMIF(ЗАКАЗЫ!$F$3:$F$500,$A137,ЗАКАЗЫ!$J$3:$J$500))</f>
        <v/>
      </c>
      <c r="BO137" s="7" t="str">
        <f aca="false">IF(BN137="","",SUMIF(ЗАКАЗЫ!$F$3:$F$500,$A137,ЗАКАЗЫ!$AL$3:$AL$500))</f>
        <v/>
      </c>
      <c r="BP137" s="7" t="str">
        <f aca="false">IF(BN137="","",BN137-BO137)</f>
        <v/>
      </c>
      <c r="BQ137" s="55" t="str">
        <f aca="false">IF(BN137="","",IF(BO137&gt;=BN137,"На складе",IF(BO137&gt;0,"Частично","Ждём")))</f>
        <v/>
      </c>
      <c r="BR137" s="43"/>
      <c r="BS137" s="47" t="str">
        <f aca="false">IF(BN137="","",IF(_xlfn.MAXIFS(ЗАКАЗЫ!$AK$3:$AK$500,ЗАКАЗЫ!$F$3:$F$500,$A137)=0,"",_xlfn.MAXIFS(ЗАКАЗЫ!$AK$3:$AK$500,ЗАКАЗЫ!$F$3:$F$500,$A137)))</f>
        <v/>
      </c>
    </row>
    <row r="138" customFormat="false" ht="15.75" hidden="false" customHeight="true" outlineLevel="0" collapsed="false">
      <c r="A138" s="80" t="s">
        <v>970</v>
      </c>
      <c r="B138" s="81"/>
      <c r="C138" s="81"/>
      <c r="D138" s="81"/>
      <c r="E138" s="83"/>
      <c r="F138" s="81"/>
      <c r="G138" s="83"/>
      <c r="H138" s="83"/>
      <c r="I138" s="84" t="str">
        <f aca="false">IF(E138="","",A138&amp;"_1.jpg")</f>
        <v/>
      </c>
      <c r="J138" s="84" t="str">
        <f aca="false">IF(E138="","",A138&amp;"_2.jpg; "&amp;A138&amp;"_3.jpg")</f>
        <v/>
      </c>
      <c r="K138" s="84" t="str">
        <f aca="false">IF(E138="","",A138&amp;"_schema.jpg")</f>
        <v/>
      </c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 t="s">
        <v>96</v>
      </c>
      <c r="W138" s="81"/>
      <c r="X138" s="81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6" t="str">
        <f aca="false">IF(SUM(Y138:AJ138)=0,"",SUM(Y138:AJ138))</f>
        <v/>
      </c>
      <c r="AL138" s="84" t="str">
        <f aca="false">MID(IF(N(Y138)&gt;0,", "&amp;Y$2,"")&amp;IF(N(Z138)&gt;0,", "&amp;Z$2,"")&amp;IF(N(AA138)&gt;0,", "&amp;AA$2,"")&amp;IF(N(AB138)&gt;0,", "&amp;AB$2,"")&amp;IF(N(AC138)&gt;0,", "&amp;AC$2,"")&amp;IF(N(AD138)&gt;0,", "&amp;AD$2,"")&amp;IF(N(AE138)&gt;0,", "&amp;AE$2,"")&amp;IF(N(AF138)&gt;0,", "&amp;AF$2,"")&amp;IF(N(AG138)&gt;0,", "&amp;AG$2,"")&amp;IF(N(AH138)&gt;0,", "&amp;AH$2,"")&amp;IF(N(AI138)&gt;0,", "&amp;AI$2,"")&amp;IF(N(AJ138)&gt;0,", "&amp;AJ$2,""),3,999)</f>
        <v/>
      </c>
      <c r="AM138" s="87" t="str">
        <f aca="false">IF(E138="","",MID(IF(N(Y138)&gt;0,", "&amp;A138&amp;"-"&amp;Y$2,"")&amp;IF(N(Z138)&gt;0,", "&amp;A138&amp;"-"&amp;Z$2,"")&amp;IF(N(AA138)&gt;0,", "&amp;A138&amp;"-"&amp;AA$2,"")&amp;IF(N(AB138)&gt;0,", "&amp;A138&amp;"-"&amp;AB$2,"")&amp;IF(N(AC138)&gt;0,", "&amp;A138&amp;"-"&amp;AC$2,"")&amp;IF(N(AD138)&gt;0,", "&amp;A138&amp;"-"&amp;AD$2,"")&amp;IF(N(AE138)&gt;0,", "&amp;A138&amp;"-"&amp;AE$2,"")&amp;IF(N(AF138)&gt;0,", "&amp;A138&amp;"-"&amp;AF$2,"")&amp;IF(N(AG138)&gt;0,", "&amp;A138&amp;"-"&amp;AG$2,"")&amp;IF(N(AH138)&gt;0,", "&amp;A138&amp;"-"&amp;AH$2,"")&amp;IF(N(AI138)&gt;0,", "&amp;A138&amp;"-"&amp;AI$2,"")&amp;IF(N(AJ138)&gt;0,", "&amp;A138&amp;"-"&amp;AJ$2,""),3,999))</f>
        <v/>
      </c>
      <c r="AN138" s="81"/>
      <c r="AO138" s="88"/>
      <c r="AP138" s="89" t="str">
        <f aca="false">IF(AO138="","",ROUND(AO138/(1+Справочники!$B$13),2))</f>
        <v/>
      </c>
      <c r="AQ138" s="90" t="str">
        <f aca="false" t="array" ref="AQ138:AQ138">IF(AP138="","",AP138*INDEX(Справочники!$B$4:$B$7,MATCH("RUB",Справочники!$A$4:$A$7,0)))</f>
        <v/>
      </c>
      <c r="AR138" s="90" t="str">
        <f aca="false">IF(AQ138="","",ROUND(AQ138*(1+Справочники!$B$12),0))</f>
        <v/>
      </c>
      <c r="AS138" s="90" t="str">
        <f aca="false">IF(AR138="","",ROUND(AR138*(1-Справочники!$B$11),0))</f>
        <v/>
      </c>
      <c r="AT138" s="88"/>
      <c r="AU138" s="90" t="str">
        <f aca="false">IF(AT138="","",ROUND(AT138/(1+Справочники!$B$12),0))</f>
        <v/>
      </c>
      <c r="AV138" s="90" t="str">
        <f aca="false">IF(AT138="","",ROUND(AT138*(1-Справочники!$B$15),0))</f>
        <v/>
      </c>
      <c r="AW138" s="90" t="str">
        <f aca="false">IF(AT138="","",ROUND(AT138*(1-Справочники!$B$16),0))</f>
        <v/>
      </c>
      <c r="AX138" s="90" t="str">
        <f aca="false">IF(AT138="","",ROUND(AT138*(1-Справочники!$B$17),0))</f>
        <v/>
      </c>
      <c r="AY138" s="90" t="str">
        <f aca="false">IF(AT138="","",ROUND(AT138*(1-Справочники!$B$18),0))</f>
        <v/>
      </c>
      <c r="AZ138" s="90" t="str">
        <f aca="false">IF(AT138="","",ROUND(AT138*(1-Справочники!$B$19),0))</f>
        <v/>
      </c>
      <c r="BA138" s="81"/>
      <c r="BB138" s="81"/>
      <c r="BC138" s="81"/>
      <c r="BD138" s="81"/>
      <c r="BE138" s="91"/>
      <c r="BF138" s="81" t="s">
        <v>103</v>
      </c>
      <c r="BG138" s="89" t="n">
        <f aca="false" t="array" ref="BG138:BG138">IF(BF138="","",IFERROR(INDEX(Справочники!$B$4:$B$7,MATCH(BF138,Справочники!$A$4:$A$7,0)),""))</f>
        <v>68.5</v>
      </c>
      <c r="BH138" s="90" t="str">
        <f aca="false">IF(N(BN138)&gt;0,ROUND(SUMIF(ЗАКАЗЫ!$F$3:$F$500,$A138,ЗАКАЗЫ!$Y$3:$Y$500)/BN138,0),IF(OR(BE138="",BG138=""),"",ROUND(BE138*BG138*(1+Справочники!$B$10),0)))</f>
        <v/>
      </c>
      <c r="BI138" s="92" t="str">
        <f aca="false">IF(OR(AU138="",BH138="",AU138=0),"",(AU138-BH138)/AU138)</f>
        <v/>
      </c>
      <c r="BJ138" s="81"/>
      <c r="BK138" s="83"/>
      <c r="BL138" s="43" t="str">
        <f aca="false">IFERROR(INDEX(ЗАКАЗЫ!$N$3:$N$500,MATCH($A138,ЗАКАЗЫ!$F$3:$F$500,0)),"")</f>
        <v/>
      </c>
      <c r="BM138" s="8" t="str">
        <f aca="false">IF(BL138="","",IFERROR(VLOOKUP(BL138,'ТН ВЭД'!$A$4:$C$40,3,0),""))</f>
        <v/>
      </c>
      <c r="BN138" s="7" t="str">
        <f aca="false">IF(COUNTIF(ЗАКАЗЫ!$F$3:$F$500,$A138)=0,"",SUMIF(ЗАКАЗЫ!$F$3:$F$500,$A138,ЗАКАЗЫ!$J$3:$J$500))</f>
        <v/>
      </c>
      <c r="BO138" s="7" t="str">
        <f aca="false">IF(BN138="","",SUMIF(ЗАКАЗЫ!$F$3:$F$500,$A138,ЗАКАЗЫ!$AL$3:$AL$500))</f>
        <v/>
      </c>
      <c r="BP138" s="7" t="str">
        <f aca="false">IF(BN138="","",BN138-BO138)</f>
        <v/>
      </c>
      <c r="BQ138" s="55" t="str">
        <f aca="false">IF(BN138="","",IF(BO138&gt;=BN138,"На складе",IF(BO138&gt;0,"Частично","Ждём")))</f>
        <v/>
      </c>
      <c r="BR138" s="43"/>
      <c r="BS138" s="47" t="str">
        <f aca="false">IF(BN138="","",IF(_xlfn.MAXIFS(ЗАКАЗЫ!$AK$3:$AK$500,ЗАКАЗЫ!$F$3:$F$500,$A138)=0,"",_xlfn.MAXIFS(ЗАКАЗЫ!$AK$3:$AK$500,ЗАКАЗЫ!$F$3:$F$500,$A138)))</f>
        <v/>
      </c>
    </row>
    <row r="139" customFormat="false" ht="15.75" hidden="false" customHeight="true" outlineLevel="0" collapsed="false">
      <c r="A139" s="80" t="s">
        <v>971</v>
      </c>
      <c r="B139" s="81"/>
      <c r="C139" s="81"/>
      <c r="D139" s="81"/>
      <c r="E139" s="83"/>
      <c r="F139" s="81"/>
      <c r="G139" s="83"/>
      <c r="H139" s="83"/>
      <c r="I139" s="84" t="str">
        <f aca="false">IF(E139="","",A139&amp;"_1.jpg")</f>
        <v/>
      </c>
      <c r="J139" s="84" t="str">
        <f aca="false">IF(E139="","",A139&amp;"_2.jpg; "&amp;A139&amp;"_3.jpg")</f>
        <v/>
      </c>
      <c r="K139" s="84" t="str">
        <f aca="false">IF(E139="","",A139&amp;"_schema.jpg")</f>
        <v/>
      </c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 t="s">
        <v>96</v>
      </c>
      <c r="W139" s="81"/>
      <c r="X139" s="81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6" t="str">
        <f aca="false">IF(SUM(Y139:AJ139)=0,"",SUM(Y139:AJ139))</f>
        <v/>
      </c>
      <c r="AL139" s="84" t="str">
        <f aca="false">MID(IF(N(Y139)&gt;0,", "&amp;Y$2,"")&amp;IF(N(Z139)&gt;0,", "&amp;Z$2,"")&amp;IF(N(AA139)&gt;0,", "&amp;AA$2,"")&amp;IF(N(AB139)&gt;0,", "&amp;AB$2,"")&amp;IF(N(AC139)&gt;0,", "&amp;AC$2,"")&amp;IF(N(AD139)&gt;0,", "&amp;AD$2,"")&amp;IF(N(AE139)&gt;0,", "&amp;AE$2,"")&amp;IF(N(AF139)&gt;0,", "&amp;AF$2,"")&amp;IF(N(AG139)&gt;0,", "&amp;AG$2,"")&amp;IF(N(AH139)&gt;0,", "&amp;AH$2,"")&amp;IF(N(AI139)&gt;0,", "&amp;AI$2,"")&amp;IF(N(AJ139)&gt;0,", "&amp;AJ$2,""),3,999)</f>
        <v/>
      </c>
      <c r="AM139" s="87" t="str">
        <f aca="false">IF(E139="","",MID(IF(N(Y139)&gt;0,", "&amp;A139&amp;"-"&amp;Y$2,"")&amp;IF(N(Z139)&gt;0,", "&amp;A139&amp;"-"&amp;Z$2,"")&amp;IF(N(AA139)&gt;0,", "&amp;A139&amp;"-"&amp;AA$2,"")&amp;IF(N(AB139)&gt;0,", "&amp;A139&amp;"-"&amp;AB$2,"")&amp;IF(N(AC139)&gt;0,", "&amp;A139&amp;"-"&amp;AC$2,"")&amp;IF(N(AD139)&gt;0,", "&amp;A139&amp;"-"&amp;AD$2,"")&amp;IF(N(AE139)&gt;0,", "&amp;A139&amp;"-"&amp;AE$2,"")&amp;IF(N(AF139)&gt;0,", "&amp;A139&amp;"-"&amp;AF$2,"")&amp;IF(N(AG139)&gt;0,", "&amp;A139&amp;"-"&amp;AG$2,"")&amp;IF(N(AH139)&gt;0,", "&amp;A139&amp;"-"&amp;AH$2,"")&amp;IF(N(AI139)&gt;0,", "&amp;A139&amp;"-"&amp;AI$2,"")&amp;IF(N(AJ139)&gt;0,", "&amp;A139&amp;"-"&amp;AJ$2,""),3,999))</f>
        <v/>
      </c>
      <c r="AN139" s="81"/>
      <c r="AO139" s="88"/>
      <c r="AP139" s="89" t="str">
        <f aca="false">IF(AO139="","",ROUND(AO139/(1+Справочники!$B$13),2))</f>
        <v/>
      </c>
      <c r="AQ139" s="90" t="str">
        <f aca="false" t="array" ref="AQ139:AQ139">IF(AP139="","",AP139*INDEX(Справочники!$B$4:$B$7,MATCH("RUB",Справочники!$A$4:$A$7,0)))</f>
        <v/>
      </c>
      <c r="AR139" s="90" t="str">
        <f aca="false">IF(AQ139="","",ROUND(AQ139*(1+Справочники!$B$12),0))</f>
        <v/>
      </c>
      <c r="AS139" s="90" t="str">
        <f aca="false">IF(AR139="","",ROUND(AR139*(1-Справочники!$B$11),0))</f>
        <v/>
      </c>
      <c r="AT139" s="88"/>
      <c r="AU139" s="90" t="str">
        <f aca="false">IF(AT139="","",ROUND(AT139/(1+Справочники!$B$12),0))</f>
        <v/>
      </c>
      <c r="AV139" s="90" t="str">
        <f aca="false">IF(AT139="","",ROUND(AT139*(1-Справочники!$B$15),0))</f>
        <v/>
      </c>
      <c r="AW139" s="90" t="str">
        <f aca="false">IF(AT139="","",ROUND(AT139*(1-Справочники!$B$16),0))</f>
        <v/>
      </c>
      <c r="AX139" s="90" t="str">
        <f aca="false">IF(AT139="","",ROUND(AT139*(1-Справочники!$B$17),0))</f>
        <v/>
      </c>
      <c r="AY139" s="90" t="str">
        <f aca="false">IF(AT139="","",ROUND(AT139*(1-Справочники!$B$18),0))</f>
        <v/>
      </c>
      <c r="AZ139" s="90" t="str">
        <f aca="false">IF(AT139="","",ROUND(AT139*(1-Справочники!$B$19),0))</f>
        <v/>
      </c>
      <c r="BA139" s="81"/>
      <c r="BB139" s="81"/>
      <c r="BC139" s="81"/>
      <c r="BD139" s="81"/>
      <c r="BE139" s="91"/>
      <c r="BF139" s="81" t="s">
        <v>103</v>
      </c>
      <c r="BG139" s="89" t="n">
        <f aca="false" t="array" ref="BG139:BG139">IF(BF139="","",IFERROR(INDEX(Справочники!$B$4:$B$7,MATCH(BF139,Справочники!$A$4:$A$7,0)),""))</f>
        <v>68.5</v>
      </c>
      <c r="BH139" s="90" t="str">
        <f aca="false">IF(N(BN139)&gt;0,ROUND(SUMIF(ЗАКАЗЫ!$F$3:$F$500,$A139,ЗАКАЗЫ!$Y$3:$Y$500)/BN139,0),IF(OR(BE139="",BG139=""),"",ROUND(BE139*BG139*(1+Справочники!$B$10),0)))</f>
        <v/>
      </c>
      <c r="BI139" s="92" t="str">
        <f aca="false">IF(OR(AU139="",BH139="",AU139=0),"",(AU139-BH139)/AU139)</f>
        <v/>
      </c>
      <c r="BJ139" s="81"/>
      <c r="BK139" s="83"/>
      <c r="BL139" s="43" t="str">
        <f aca="false">IFERROR(INDEX(ЗАКАЗЫ!$N$3:$N$500,MATCH($A139,ЗАКАЗЫ!$F$3:$F$500,0)),"")</f>
        <v/>
      </c>
      <c r="BM139" s="8" t="str">
        <f aca="false">IF(BL139="","",IFERROR(VLOOKUP(BL139,'ТН ВЭД'!$A$4:$C$40,3,0),""))</f>
        <v/>
      </c>
      <c r="BN139" s="7" t="str">
        <f aca="false">IF(COUNTIF(ЗАКАЗЫ!$F$3:$F$500,$A139)=0,"",SUMIF(ЗАКАЗЫ!$F$3:$F$500,$A139,ЗАКАЗЫ!$J$3:$J$500))</f>
        <v/>
      </c>
      <c r="BO139" s="7" t="str">
        <f aca="false">IF(BN139="","",SUMIF(ЗАКАЗЫ!$F$3:$F$500,$A139,ЗАКАЗЫ!$AL$3:$AL$500))</f>
        <v/>
      </c>
      <c r="BP139" s="7" t="str">
        <f aca="false">IF(BN139="","",BN139-BO139)</f>
        <v/>
      </c>
      <c r="BQ139" s="55" t="str">
        <f aca="false">IF(BN139="","",IF(BO139&gt;=BN139,"На складе",IF(BO139&gt;0,"Частично","Ждём")))</f>
        <v/>
      </c>
      <c r="BR139" s="43"/>
      <c r="BS139" s="47" t="str">
        <f aca="false">IF(BN139="","",IF(_xlfn.MAXIFS(ЗАКАЗЫ!$AK$3:$AK$500,ЗАКАЗЫ!$F$3:$F$500,$A139)=0,"",_xlfn.MAXIFS(ЗАКАЗЫ!$AK$3:$AK$500,ЗАКАЗЫ!$F$3:$F$500,$A139)))</f>
        <v/>
      </c>
    </row>
    <row r="140" customFormat="false" ht="15.75" hidden="false" customHeight="true" outlineLevel="0" collapsed="false">
      <c r="A140" s="80" t="s">
        <v>972</v>
      </c>
      <c r="B140" s="81"/>
      <c r="C140" s="81"/>
      <c r="D140" s="81"/>
      <c r="E140" s="83"/>
      <c r="F140" s="81"/>
      <c r="G140" s="83"/>
      <c r="H140" s="83"/>
      <c r="I140" s="84" t="str">
        <f aca="false">IF(E140="","",A140&amp;"_1.jpg")</f>
        <v/>
      </c>
      <c r="J140" s="84" t="str">
        <f aca="false">IF(E140="","",A140&amp;"_2.jpg; "&amp;A140&amp;"_3.jpg")</f>
        <v/>
      </c>
      <c r="K140" s="84" t="str">
        <f aca="false">IF(E140="","",A140&amp;"_schema.jpg")</f>
        <v/>
      </c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 t="s">
        <v>96</v>
      </c>
      <c r="W140" s="81"/>
      <c r="X140" s="81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6" t="str">
        <f aca="false">IF(SUM(Y140:AJ140)=0,"",SUM(Y140:AJ140))</f>
        <v/>
      </c>
      <c r="AL140" s="84" t="str">
        <f aca="false">MID(IF(N(Y140)&gt;0,", "&amp;Y$2,"")&amp;IF(N(Z140)&gt;0,", "&amp;Z$2,"")&amp;IF(N(AA140)&gt;0,", "&amp;AA$2,"")&amp;IF(N(AB140)&gt;0,", "&amp;AB$2,"")&amp;IF(N(AC140)&gt;0,", "&amp;AC$2,"")&amp;IF(N(AD140)&gt;0,", "&amp;AD$2,"")&amp;IF(N(AE140)&gt;0,", "&amp;AE$2,"")&amp;IF(N(AF140)&gt;0,", "&amp;AF$2,"")&amp;IF(N(AG140)&gt;0,", "&amp;AG$2,"")&amp;IF(N(AH140)&gt;0,", "&amp;AH$2,"")&amp;IF(N(AI140)&gt;0,", "&amp;AI$2,"")&amp;IF(N(AJ140)&gt;0,", "&amp;AJ$2,""),3,999)</f>
        <v/>
      </c>
      <c r="AM140" s="87" t="str">
        <f aca="false">IF(E140="","",MID(IF(N(Y140)&gt;0,", "&amp;A140&amp;"-"&amp;Y$2,"")&amp;IF(N(Z140)&gt;0,", "&amp;A140&amp;"-"&amp;Z$2,"")&amp;IF(N(AA140)&gt;0,", "&amp;A140&amp;"-"&amp;AA$2,"")&amp;IF(N(AB140)&gt;0,", "&amp;A140&amp;"-"&amp;AB$2,"")&amp;IF(N(AC140)&gt;0,", "&amp;A140&amp;"-"&amp;AC$2,"")&amp;IF(N(AD140)&gt;0,", "&amp;A140&amp;"-"&amp;AD$2,"")&amp;IF(N(AE140)&gt;0,", "&amp;A140&amp;"-"&amp;AE$2,"")&amp;IF(N(AF140)&gt;0,", "&amp;A140&amp;"-"&amp;AF$2,"")&amp;IF(N(AG140)&gt;0,", "&amp;A140&amp;"-"&amp;AG$2,"")&amp;IF(N(AH140)&gt;0,", "&amp;A140&amp;"-"&amp;AH$2,"")&amp;IF(N(AI140)&gt;0,", "&amp;A140&amp;"-"&amp;AI$2,"")&amp;IF(N(AJ140)&gt;0,", "&amp;A140&amp;"-"&amp;AJ$2,""),3,999))</f>
        <v/>
      </c>
      <c r="AN140" s="81"/>
      <c r="AO140" s="88"/>
      <c r="AP140" s="89" t="str">
        <f aca="false">IF(AO140="","",ROUND(AO140/(1+Справочники!$B$13),2))</f>
        <v/>
      </c>
      <c r="AQ140" s="90" t="str">
        <f aca="false" t="array" ref="AQ140:AQ140">IF(AP140="","",AP140*INDEX(Справочники!$B$4:$B$7,MATCH("RUB",Справочники!$A$4:$A$7,0)))</f>
        <v/>
      </c>
      <c r="AR140" s="90" t="str">
        <f aca="false">IF(AQ140="","",ROUND(AQ140*(1+Справочники!$B$12),0))</f>
        <v/>
      </c>
      <c r="AS140" s="90" t="str">
        <f aca="false">IF(AR140="","",ROUND(AR140*(1-Справочники!$B$11),0))</f>
        <v/>
      </c>
      <c r="AT140" s="88"/>
      <c r="AU140" s="90" t="str">
        <f aca="false">IF(AT140="","",ROUND(AT140/(1+Справочники!$B$12),0))</f>
        <v/>
      </c>
      <c r="AV140" s="90" t="str">
        <f aca="false">IF(AT140="","",ROUND(AT140*(1-Справочники!$B$15),0))</f>
        <v/>
      </c>
      <c r="AW140" s="90" t="str">
        <f aca="false">IF(AT140="","",ROUND(AT140*(1-Справочники!$B$16),0))</f>
        <v/>
      </c>
      <c r="AX140" s="90" t="str">
        <f aca="false">IF(AT140="","",ROUND(AT140*(1-Справочники!$B$17),0))</f>
        <v/>
      </c>
      <c r="AY140" s="90" t="str">
        <f aca="false">IF(AT140="","",ROUND(AT140*(1-Справочники!$B$18),0))</f>
        <v/>
      </c>
      <c r="AZ140" s="90" t="str">
        <f aca="false">IF(AT140="","",ROUND(AT140*(1-Справочники!$B$19),0))</f>
        <v/>
      </c>
      <c r="BA140" s="81"/>
      <c r="BB140" s="81"/>
      <c r="BC140" s="81"/>
      <c r="BD140" s="81"/>
      <c r="BE140" s="91"/>
      <c r="BF140" s="81" t="s">
        <v>103</v>
      </c>
      <c r="BG140" s="89" t="n">
        <f aca="false" t="array" ref="BG140:BG140">IF(BF140="","",IFERROR(INDEX(Справочники!$B$4:$B$7,MATCH(BF140,Справочники!$A$4:$A$7,0)),""))</f>
        <v>68.5</v>
      </c>
      <c r="BH140" s="90" t="str">
        <f aca="false">IF(N(BN140)&gt;0,ROUND(SUMIF(ЗАКАЗЫ!$F$3:$F$500,$A140,ЗАКАЗЫ!$Y$3:$Y$500)/BN140,0),IF(OR(BE140="",BG140=""),"",ROUND(BE140*BG140*(1+Справочники!$B$10),0)))</f>
        <v/>
      </c>
      <c r="BI140" s="92" t="str">
        <f aca="false">IF(OR(AU140="",BH140="",AU140=0),"",(AU140-BH140)/AU140)</f>
        <v/>
      </c>
      <c r="BJ140" s="81"/>
      <c r="BK140" s="83"/>
      <c r="BL140" s="43" t="str">
        <f aca="false">IFERROR(INDEX(ЗАКАЗЫ!$N$3:$N$500,MATCH($A140,ЗАКАЗЫ!$F$3:$F$500,0)),"")</f>
        <v/>
      </c>
      <c r="BM140" s="8" t="str">
        <f aca="false">IF(BL140="","",IFERROR(VLOOKUP(BL140,'ТН ВЭД'!$A$4:$C$40,3,0),""))</f>
        <v/>
      </c>
      <c r="BN140" s="7" t="str">
        <f aca="false">IF(COUNTIF(ЗАКАЗЫ!$F$3:$F$500,$A140)=0,"",SUMIF(ЗАКАЗЫ!$F$3:$F$500,$A140,ЗАКАЗЫ!$J$3:$J$500))</f>
        <v/>
      </c>
      <c r="BO140" s="7" t="str">
        <f aca="false">IF(BN140="","",SUMIF(ЗАКАЗЫ!$F$3:$F$500,$A140,ЗАКАЗЫ!$AL$3:$AL$500))</f>
        <v/>
      </c>
      <c r="BP140" s="7" t="str">
        <f aca="false">IF(BN140="","",BN140-BO140)</f>
        <v/>
      </c>
      <c r="BQ140" s="55" t="str">
        <f aca="false">IF(BN140="","",IF(BO140&gt;=BN140,"На складе",IF(BO140&gt;0,"Частично","Ждём")))</f>
        <v/>
      </c>
      <c r="BR140" s="43"/>
      <c r="BS140" s="47" t="str">
        <f aca="false">IF(BN140="","",IF(_xlfn.MAXIFS(ЗАКАЗЫ!$AK$3:$AK$500,ЗАКАЗЫ!$F$3:$F$500,$A140)=0,"",_xlfn.MAXIFS(ЗАКАЗЫ!$AK$3:$AK$500,ЗАКАЗЫ!$F$3:$F$500,$A140)))</f>
        <v/>
      </c>
    </row>
    <row r="141" customFormat="false" ht="15.75" hidden="false" customHeight="true" outlineLevel="0" collapsed="false">
      <c r="A141" s="80" t="s">
        <v>973</v>
      </c>
      <c r="B141" s="81"/>
      <c r="C141" s="81"/>
      <c r="D141" s="81"/>
      <c r="E141" s="83"/>
      <c r="F141" s="81"/>
      <c r="G141" s="83"/>
      <c r="H141" s="83"/>
      <c r="I141" s="84" t="str">
        <f aca="false">IF(E141="","",A141&amp;"_1.jpg")</f>
        <v/>
      </c>
      <c r="J141" s="84" t="str">
        <f aca="false">IF(E141="","",A141&amp;"_2.jpg; "&amp;A141&amp;"_3.jpg")</f>
        <v/>
      </c>
      <c r="K141" s="84" t="str">
        <f aca="false">IF(E141="","",A141&amp;"_schema.jpg")</f>
        <v/>
      </c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 t="s">
        <v>96</v>
      </c>
      <c r="W141" s="81"/>
      <c r="X141" s="81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6" t="str">
        <f aca="false">IF(SUM(Y141:AJ141)=0,"",SUM(Y141:AJ141))</f>
        <v/>
      </c>
      <c r="AL141" s="84" t="str">
        <f aca="false">MID(IF(N(Y141)&gt;0,", "&amp;Y$2,"")&amp;IF(N(Z141)&gt;0,", "&amp;Z$2,"")&amp;IF(N(AA141)&gt;0,", "&amp;AA$2,"")&amp;IF(N(AB141)&gt;0,", "&amp;AB$2,"")&amp;IF(N(AC141)&gt;0,", "&amp;AC$2,"")&amp;IF(N(AD141)&gt;0,", "&amp;AD$2,"")&amp;IF(N(AE141)&gt;0,", "&amp;AE$2,"")&amp;IF(N(AF141)&gt;0,", "&amp;AF$2,"")&amp;IF(N(AG141)&gt;0,", "&amp;AG$2,"")&amp;IF(N(AH141)&gt;0,", "&amp;AH$2,"")&amp;IF(N(AI141)&gt;0,", "&amp;AI$2,"")&amp;IF(N(AJ141)&gt;0,", "&amp;AJ$2,""),3,999)</f>
        <v/>
      </c>
      <c r="AM141" s="87" t="str">
        <f aca="false">IF(E141="","",MID(IF(N(Y141)&gt;0,", "&amp;A141&amp;"-"&amp;Y$2,"")&amp;IF(N(Z141)&gt;0,", "&amp;A141&amp;"-"&amp;Z$2,"")&amp;IF(N(AA141)&gt;0,", "&amp;A141&amp;"-"&amp;AA$2,"")&amp;IF(N(AB141)&gt;0,", "&amp;A141&amp;"-"&amp;AB$2,"")&amp;IF(N(AC141)&gt;0,", "&amp;A141&amp;"-"&amp;AC$2,"")&amp;IF(N(AD141)&gt;0,", "&amp;A141&amp;"-"&amp;AD$2,"")&amp;IF(N(AE141)&gt;0,", "&amp;A141&amp;"-"&amp;AE$2,"")&amp;IF(N(AF141)&gt;0,", "&amp;A141&amp;"-"&amp;AF$2,"")&amp;IF(N(AG141)&gt;0,", "&amp;A141&amp;"-"&amp;AG$2,"")&amp;IF(N(AH141)&gt;0,", "&amp;A141&amp;"-"&amp;AH$2,"")&amp;IF(N(AI141)&gt;0,", "&amp;A141&amp;"-"&amp;AI$2,"")&amp;IF(N(AJ141)&gt;0,", "&amp;A141&amp;"-"&amp;AJ$2,""),3,999))</f>
        <v/>
      </c>
      <c r="AN141" s="81"/>
      <c r="AO141" s="88"/>
      <c r="AP141" s="89" t="str">
        <f aca="false">IF(AO141="","",ROUND(AO141/(1+Справочники!$B$13),2))</f>
        <v/>
      </c>
      <c r="AQ141" s="90" t="str">
        <f aca="false" t="array" ref="AQ141:AQ141">IF(AP141="","",AP141*INDEX(Справочники!$B$4:$B$7,MATCH("RUB",Справочники!$A$4:$A$7,0)))</f>
        <v/>
      </c>
      <c r="AR141" s="90" t="str">
        <f aca="false">IF(AQ141="","",ROUND(AQ141*(1+Справочники!$B$12),0))</f>
        <v/>
      </c>
      <c r="AS141" s="90" t="str">
        <f aca="false">IF(AR141="","",ROUND(AR141*(1-Справочники!$B$11),0))</f>
        <v/>
      </c>
      <c r="AT141" s="88"/>
      <c r="AU141" s="90" t="str">
        <f aca="false">IF(AT141="","",ROUND(AT141/(1+Справочники!$B$12),0))</f>
        <v/>
      </c>
      <c r="AV141" s="90" t="str">
        <f aca="false">IF(AT141="","",ROUND(AT141*(1-Справочники!$B$15),0))</f>
        <v/>
      </c>
      <c r="AW141" s="90" t="str">
        <f aca="false">IF(AT141="","",ROUND(AT141*(1-Справочники!$B$16),0))</f>
        <v/>
      </c>
      <c r="AX141" s="90" t="str">
        <f aca="false">IF(AT141="","",ROUND(AT141*(1-Справочники!$B$17),0))</f>
        <v/>
      </c>
      <c r="AY141" s="90" t="str">
        <f aca="false">IF(AT141="","",ROUND(AT141*(1-Справочники!$B$18),0))</f>
        <v/>
      </c>
      <c r="AZ141" s="90" t="str">
        <f aca="false">IF(AT141="","",ROUND(AT141*(1-Справочники!$B$19),0))</f>
        <v/>
      </c>
      <c r="BA141" s="81"/>
      <c r="BB141" s="81"/>
      <c r="BC141" s="81"/>
      <c r="BD141" s="81"/>
      <c r="BE141" s="91"/>
      <c r="BF141" s="81" t="s">
        <v>103</v>
      </c>
      <c r="BG141" s="89" t="n">
        <f aca="false" t="array" ref="BG141:BG141">IF(BF141="","",IFERROR(INDEX(Справочники!$B$4:$B$7,MATCH(BF141,Справочники!$A$4:$A$7,0)),""))</f>
        <v>68.5</v>
      </c>
      <c r="BH141" s="90" t="str">
        <f aca="false">IF(N(BN141)&gt;0,ROUND(SUMIF(ЗАКАЗЫ!$F$3:$F$500,$A141,ЗАКАЗЫ!$Y$3:$Y$500)/BN141,0),IF(OR(BE141="",BG141=""),"",ROUND(BE141*BG141*(1+Справочники!$B$10),0)))</f>
        <v/>
      </c>
      <c r="BI141" s="92" t="str">
        <f aca="false">IF(OR(AU141="",BH141="",AU141=0),"",(AU141-BH141)/AU141)</f>
        <v/>
      </c>
      <c r="BJ141" s="81"/>
      <c r="BK141" s="83"/>
      <c r="BL141" s="43" t="str">
        <f aca="false">IFERROR(INDEX(ЗАКАЗЫ!$N$3:$N$500,MATCH($A141,ЗАКАЗЫ!$F$3:$F$500,0)),"")</f>
        <v/>
      </c>
      <c r="BM141" s="8" t="str">
        <f aca="false">IF(BL141="","",IFERROR(VLOOKUP(BL141,'ТН ВЭД'!$A$4:$C$40,3,0),""))</f>
        <v/>
      </c>
      <c r="BN141" s="7" t="str">
        <f aca="false">IF(COUNTIF(ЗАКАЗЫ!$F$3:$F$500,$A141)=0,"",SUMIF(ЗАКАЗЫ!$F$3:$F$500,$A141,ЗАКАЗЫ!$J$3:$J$500))</f>
        <v/>
      </c>
      <c r="BO141" s="7" t="str">
        <f aca="false">IF(BN141="","",SUMIF(ЗАКАЗЫ!$F$3:$F$500,$A141,ЗАКАЗЫ!$AL$3:$AL$500))</f>
        <v/>
      </c>
      <c r="BP141" s="7" t="str">
        <f aca="false">IF(BN141="","",BN141-BO141)</f>
        <v/>
      </c>
      <c r="BQ141" s="55" t="str">
        <f aca="false">IF(BN141="","",IF(BO141&gt;=BN141,"На складе",IF(BO141&gt;0,"Частично","Ждём")))</f>
        <v/>
      </c>
      <c r="BR141" s="43"/>
      <c r="BS141" s="47" t="str">
        <f aca="false">IF(BN141="","",IF(_xlfn.MAXIFS(ЗАКАЗЫ!$AK$3:$AK$500,ЗАКАЗЫ!$F$3:$F$500,$A141)=0,"",_xlfn.MAXIFS(ЗАКАЗЫ!$AK$3:$AK$500,ЗАКАЗЫ!$F$3:$F$500,$A141)))</f>
        <v/>
      </c>
    </row>
    <row r="142" customFormat="false" ht="15.75" hidden="false" customHeight="true" outlineLevel="0" collapsed="false">
      <c r="A142" s="80" t="s">
        <v>974</v>
      </c>
      <c r="B142" s="81"/>
      <c r="C142" s="81"/>
      <c r="D142" s="81"/>
      <c r="E142" s="83"/>
      <c r="F142" s="81"/>
      <c r="G142" s="83"/>
      <c r="H142" s="83"/>
      <c r="I142" s="84" t="str">
        <f aca="false">IF(E142="","",A142&amp;"_1.jpg")</f>
        <v/>
      </c>
      <c r="J142" s="84" t="str">
        <f aca="false">IF(E142="","",A142&amp;"_2.jpg; "&amp;A142&amp;"_3.jpg")</f>
        <v/>
      </c>
      <c r="K142" s="84" t="str">
        <f aca="false">IF(E142="","",A142&amp;"_schema.jpg")</f>
        <v/>
      </c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 t="s">
        <v>96</v>
      </c>
      <c r="W142" s="81"/>
      <c r="X142" s="81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6" t="str">
        <f aca="false">IF(SUM(Y142:AJ142)=0,"",SUM(Y142:AJ142))</f>
        <v/>
      </c>
      <c r="AL142" s="84" t="str">
        <f aca="false">MID(IF(N(Y142)&gt;0,", "&amp;Y$2,"")&amp;IF(N(Z142)&gt;0,", "&amp;Z$2,"")&amp;IF(N(AA142)&gt;0,", "&amp;AA$2,"")&amp;IF(N(AB142)&gt;0,", "&amp;AB$2,"")&amp;IF(N(AC142)&gt;0,", "&amp;AC$2,"")&amp;IF(N(AD142)&gt;0,", "&amp;AD$2,"")&amp;IF(N(AE142)&gt;0,", "&amp;AE$2,"")&amp;IF(N(AF142)&gt;0,", "&amp;AF$2,"")&amp;IF(N(AG142)&gt;0,", "&amp;AG$2,"")&amp;IF(N(AH142)&gt;0,", "&amp;AH$2,"")&amp;IF(N(AI142)&gt;0,", "&amp;AI$2,"")&amp;IF(N(AJ142)&gt;0,", "&amp;AJ$2,""),3,999)</f>
        <v/>
      </c>
      <c r="AM142" s="87" t="str">
        <f aca="false">IF(E142="","",MID(IF(N(Y142)&gt;0,", "&amp;A142&amp;"-"&amp;Y$2,"")&amp;IF(N(Z142)&gt;0,", "&amp;A142&amp;"-"&amp;Z$2,"")&amp;IF(N(AA142)&gt;0,", "&amp;A142&amp;"-"&amp;AA$2,"")&amp;IF(N(AB142)&gt;0,", "&amp;A142&amp;"-"&amp;AB$2,"")&amp;IF(N(AC142)&gt;0,", "&amp;A142&amp;"-"&amp;AC$2,"")&amp;IF(N(AD142)&gt;0,", "&amp;A142&amp;"-"&amp;AD$2,"")&amp;IF(N(AE142)&gt;0,", "&amp;A142&amp;"-"&amp;AE$2,"")&amp;IF(N(AF142)&gt;0,", "&amp;A142&amp;"-"&amp;AF$2,"")&amp;IF(N(AG142)&gt;0,", "&amp;A142&amp;"-"&amp;AG$2,"")&amp;IF(N(AH142)&gt;0,", "&amp;A142&amp;"-"&amp;AH$2,"")&amp;IF(N(AI142)&gt;0,", "&amp;A142&amp;"-"&amp;AI$2,"")&amp;IF(N(AJ142)&gt;0,", "&amp;A142&amp;"-"&amp;AJ$2,""),3,999))</f>
        <v/>
      </c>
      <c r="AN142" s="81"/>
      <c r="AO142" s="88"/>
      <c r="AP142" s="89" t="str">
        <f aca="false">IF(AO142="","",ROUND(AO142/(1+Справочники!$B$13),2))</f>
        <v/>
      </c>
      <c r="AQ142" s="90" t="str">
        <f aca="false" t="array" ref="AQ142:AQ142">IF(AP142="","",AP142*INDEX(Справочники!$B$4:$B$7,MATCH("RUB",Справочники!$A$4:$A$7,0)))</f>
        <v/>
      </c>
      <c r="AR142" s="90" t="str">
        <f aca="false">IF(AQ142="","",ROUND(AQ142*(1+Справочники!$B$12),0))</f>
        <v/>
      </c>
      <c r="AS142" s="90" t="str">
        <f aca="false">IF(AR142="","",ROUND(AR142*(1-Справочники!$B$11),0))</f>
        <v/>
      </c>
      <c r="AT142" s="88"/>
      <c r="AU142" s="90" t="str">
        <f aca="false">IF(AT142="","",ROUND(AT142/(1+Справочники!$B$12),0))</f>
        <v/>
      </c>
      <c r="AV142" s="90" t="str">
        <f aca="false">IF(AT142="","",ROUND(AT142*(1-Справочники!$B$15),0))</f>
        <v/>
      </c>
      <c r="AW142" s="90" t="str">
        <f aca="false">IF(AT142="","",ROUND(AT142*(1-Справочники!$B$16),0))</f>
        <v/>
      </c>
      <c r="AX142" s="90" t="str">
        <f aca="false">IF(AT142="","",ROUND(AT142*(1-Справочники!$B$17),0))</f>
        <v/>
      </c>
      <c r="AY142" s="90" t="str">
        <f aca="false">IF(AT142="","",ROUND(AT142*(1-Справочники!$B$18),0))</f>
        <v/>
      </c>
      <c r="AZ142" s="90" t="str">
        <f aca="false">IF(AT142="","",ROUND(AT142*(1-Справочники!$B$19),0))</f>
        <v/>
      </c>
      <c r="BA142" s="81"/>
      <c r="BB142" s="81"/>
      <c r="BC142" s="81"/>
      <c r="BD142" s="81"/>
      <c r="BE142" s="91"/>
      <c r="BF142" s="81" t="s">
        <v>103</v>
      </c>
      <c r="BG142" s="89" t="n">
        <f aca="false" t="array" ref="BG142:BG142">IF(BF142="","",IFERROR(INDEX(Справочники!$B$4:$B$7,MATCH(BF142,Справочники!$A$4:$A$7,0)),""))</f>
        <v>68.5</v>
      </c>
      <c r="BH142" s="90" t="str">
        <f aca="false">IF(N(BN142)&gt;0,ROUND(SUMIF(ЗАКАЗЫ!$F$3:$F$500,$A142,ЗАКАЗЫ!$Y$3:$Y$500)/BN142,0),IF(OR(BE142="",BG142=""),"",ROUND(BE142*BG142*(1+Справочники!$B$10),0)))</f>
        <v/>
      </c>
      <c r="BI142" s="92" t="str">
        <f aca="false">IF(OR(AU142="",BH142="",AU142=0),"",(AU142-BH142)/AU142)</f>
        <v/>
      </c>
      <c r="BJ142" s="81"/>
      <c r="BK142" s="83"/>
      <c r="BL142" s="43" t="str">
        <f aca="false">IFERROR(INDEX(ЗАКАЗЫ!$N$3:$N$500,MATCH($A142,ЗАКАЗЫ!$F$3:$F$500,0)),"")</f>
        <v/>
      </c>
      <c r="BM142" s="8" t="str">
        <f aca="false">IF(BL142="","",IFERROR(VLOOKUP(BL142,'ТН ВЭД'!$A$4:$C$40,3,0),""))</f>
        <v/>
      </c>
      <c r="BN142" s="7" t="str">
        <f aca="false">IF(COUNTIF(ЗАКАЗЫ!$F$3:$F$500,$A142)=0,"",SUMIF(ЗАКАЗЫ!$F$3:$F$500,$A142,ЗАКАЗЫ!$J$3:$J$500))</f>
        <v/>
      </c>
      <c r="BO142" s="7" t="str">
        <f aca="false">IF(BN142="","",SUMIF(ЗАКАЗЫ!$F$3:$F$500,$A142,ЗАКАЗЫ!$AL$3:$AL$500))</f>
        <v/>
      </c>
      <c r="BP142" s="7" t="str">
        <f aca="false">IF(BN142="","",BN142-BO142)</f>
        <v/>
      </c>
      <c r="BQ142" s="55" t="str">
        <f aca="false">IF(BN142="","",IF(BO142&gt;=BN142,"На складе",IF(BO142&gt;0,"Частично","Ждём")))</f>
        <v/>
      </c>
      <c r="BR142" s="43"/>
      <c r="BS142" s="47" t="str">
        <f aca="false">IF(BN142="","",IF(_xlfn.MAXIFS(ЗАКАЗЫ!$AK$3:$AK$500,ЗАКАЗЫ!$F$3:$F$500,$A142)=0,"",_xlfn.MAXIFS(ЗАКАЗЫ!$AK$3:$AK$500,ЗАКАЗЫ!$F$3:$F$500,$A142)))</f>
        <v/>
      </c>
    </row>
    <row r="143" customFormat="false" ht="15.75" hidden="false" customHeight="true" outlineLevel="0" collapsed="false">
      <c r="A143" s="80" t="s">
        <v>975</v>
      </c>
      <c r="B143" s="81"/>
      <c r="C143" s="81"/>
      <c r="D143" s="81"/>
      <c r="E143" s="83"/>
      <c r="F143" s="81"/>
      <c r="G143" s="83"/>
      <c r="H143" s="83"/>
      <c r="I143" s="84" t="str">
        <f aca="false">IF(E143="","",A143&amp;"_1.jpg")</f>
        <v/>
      </c>
      <c r="J143" s="84" t="str">
        <f aca="false">IF(E143="","",A143&amp;"_2.jpg; "&amp;A143&amp;"_3.jpg")</f>
        <v/>
      </c>
      <c r="K143" s="84" t="str">
        <f aca="false">IF(E143="","",A143&amp;"_schema.jpg")</f>
        <v/>
      </c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 t="s">
        <v>96</v>
      </c>
      <c r="W143" s="81"/>
      <c r="X143" s="81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6" t="str">
        <f aca="false">IF(SUM(Y143:AJ143)=0,"",SUM(Y143:AJ143))</f>
        <v/>
      </c>
      <c r="AL143" s="84" t="str">
        <f aca="false">MID(IF(N(Y143)&gt;0,", "&amp;Y$2,"")&amp;IF(N(Z143)&gt;0,", "&amp;Z$2,"")&amp;IF(N(AA143)&gt;0,", "&amp;AA$2,"")&amp;IF(N(AB143)&gt;0,", "&amp;AB$2,"")&amp;IF(N(AC143)&gt;0,", "&amp;AC$2,"")&amp;IF(N(AD143)&gt;0,", "&amp;AD$2,"")&amp;IF(N(AE143)&gt;0,", "&amp;AE$2,"")&amp;IF(N(AF143)&gt;0,", "&amp;AF$2,"")&amp;IF(N(AG143)&gt;0,", "&amp;AG$2,"")&amp;IF(N(AH143)&gt;0,", "&amp;AH$2,"")&amp;IF(N(AI143)&gt;0,", "&amp;AI$2,"")&amp;IF(N(AJ143)&gt;0,", "&amp;AJ$2,""),3,999)</f>
        <v/>
      </c>
      <c r="AM143" s="87" t="str">
        <f aca="false">IF(E143="","",MID(IF(N(Y143)&gt;0,", "&amp;A143&amp;"-"&amp;Y$2,"")&amp;IF(N(Z143)&gt;0,", "&amp;A143&amp;"-"&amp;Z$2,"")&amp;IF(N(AA143)&gt;0,", "&amp;A143&amp;"-"&amp;AA$2,"")&amp;IF(N(AB143)&gt;0,", "&amp;A143&amp;"-"&amp;AB$2,"")&amp;IF(N(AC143)&gt;0,", "&amp;A143&amp;"-"&amp;AC$2,"")&amp;IF(N(AD143)&gt;0,", "&amp;A143&amp;"-"&amp;AD$2,"")&amp;IF(N(AE143)&gt;0,", "&amp;A143&amp;"-"&amp;AE$2,"")&amp;IF(N(AF143)&gt;0,", "&amp;A143&amp;"-"&amp;AF$2,"")&amp;IF(N(AG143)&gt;0,", "&amp;A143&amp;"-"&amp;AG$2,"")&amp;IF(N(AH143)&gt;0,", "&amp;A143&amp;"-"&amp;AH$2,"")&amp;IF(N(AI143)&gt;0,", "&amp;A143&amp;"-"&amp;AI$2,"")&amp;IF(N(AJ143)&gt;0,", "&amp;A143&amp;"-"&amp;AJ$2,""),3,999))</f>
        <v/>
      </c>
      <c r="AN143" s="81"/>
      <c r="AO143" s="88"/>
      <c r="AP143" s="89" t="str">
        <f aca="false">IF(AO143="","",ROUND(AO143/(1+Справочники!$B$13),2))</f>
        <v/>
      </c>
      <c r="AQ143" s="90" t="str">
        <f aca="false" t="array" ref="AQ143:AQ143">IF(AP143="","",AP143*INDEX(Справочники!$B$4:$B$7,MATCH("RUB",Справочники!$A$4:$A$7,0)))</f>
        <v/>
      </c>
      <c r="AR143" s="90" t="str">
        <f aca="false">IF(AQ143="","",ROUND(AQ143*(1+Справочники!$B$12),0))</f>
        <v/>
      </c>
      <c r="AS143" s="90" t="str">
        <f aca="false">IF(AR143="","",ROUND(AR143*(1-Справочники!$B$11),0))</f>
        <v/>
      </c>
      <c r="AT143" s="88"/>
      <c r="AU143" s="90" t="str">
        <f aca="false">IF(AT143="","",ROUND(AT143/(1+Справочники!$B$12),0))</f>
        <v/>
      </c>
      <c r="AV143" s="90" t="str">
        <f aca="false">IF(AT143="","",ROUND(AT143*(1-Справочники!$B$15),0))</f>
        <v/>
      </c>
      <c r="AW143" s="90" t="str">
        <f aca="false">IF(AT143="","",ROUND(AT143*(1-Справочники!$B$16),0))</f>
        <v/>
      </c>
      <c r="AX143" s="90" t="str">
        <f aca="false">IF(AT143="","",ROUND(AT143*(1-Справочники!$B$17),0))</f>
        <v/>
      </c>
      <c r="AY143" s="90" t="str">
        <f aca="false">IF(AT143="","",ROUND(AT143*(1-Справочники!$B$18),0))</f>
        <v/>
      </c>
      <c r="AZ143" s="90" t="str">
        <f aca="false">IF(AT143="","",ROUND(AT143*(1-Справочники!$B$19),0))</f>
        <v/>
      </c>
      <c r="BA143" s="81"/>
      <c r="BB143" s="81"/>
      <c r="BC143" s="81"/>
      <c r="BD143" s="81"/>
      <c r="BE143" s="91"/>
      <c r="BF143" s="81" t="s">
        <v>103</v>
      </c>
      <c r="BG143" s="89" t="n">
        <f aca="false" t="array" ref="BG143:BG143">IF(BF143="","",IFERROR(INDEX(Справочники!$B$4:$B$7,MATCH(BF143,Справочники!$A$4:$A$7,0)),""))</f>
        <v>68.5</v>
      </c>
      <c r="BH143" s="90" t="str">
        <f aca="false">IF(N(BN143)&gt;0,ROUND(SUMIF(ЗАКАЗЫ!$F$3:$F$500,$A143,ЗАКАЗЫ!$Y$3:$Y$500)/BN143,0),IF(OR(BE143="",BG143=""),"",ROUND(BE143*BG143*(1+Справочники!$B$10),0)))</f>
        <v/>
      </c>
      <c r="BI143" s="92" t="str">
        <f aca="false">IF(OR(AU143="",BH143="",AU143=0),"",(AU143-BH143)/AU143)</f>
        <v/>
      </c>
      <c r="BJ143" s="81"/>
      <c r="BK143" s="83"/>
      <c r="BL143" s="43" t="str">
        <f aca="false">IFERROR(INDEX(ЗАКАЗЫ!$N$3:$N$500,MATCH($A143,ЗАКАЗЫ!$F$3:$F$500,0)),"")</f>
        <v/>
      </c>
      <c r="BM143" s="8" t="str">
        <f aca="false">IF(BL143="","",IFERROR(VLOOKUP(BL143,'ТН ВЭД'!$A$4:$C$40,3,0),""))</f>
        <v/>
      </c>
      <c r="BN143" s="7" t="str">
        <f aca="false">IF(COUNTIF(ЗАКАЗЫ!$F$3:$F$500,$A143)=0,"",SUMIF(ЗАКАЗЫ!$F$3:$F$500,$A143,ЗАКАЗЫ!$J$3:$J$500))</f>
        <v/>
      </c>
      <c r="BO143" s="7" t="str">
        <f aca="false">IF(BN143="","",SUMIF(ЗАКАЗЫ!$F$3:$F$500,$A143,ЗАКАЗЫ!$AL$3:$AL$500))</f>
        <v/>
      </c>
      <c r="BP143" s="7" t="str">
        <f aca="false">IF(BN143="","",BN143-BO143)</f>
        <v/>
      </c>
      <c r="BQ143" s="55" t="str">
        <f aca="false">IF(BN143="","",IF(BO143&gt;=BN143,"На складе",IF(BO143&gt;0,"Частично","Ждём")))</f>
        <v/>
      </c>
      <c r="BR143" s="43"/>
      <c r="BS143" s="47" t="str">
        <f aca="false">IF(BN143="","",IF(_xlfn.MAXIFS(ЗАКАЗЫ!$AK$3:$AK$500,ЗАКАЗЫ!$F$3:$F$500,$A143)=0,"",_xlfn.MAXIFS(ЗАКАЗЫ!$AK$3:$AK$500,ЗАКАЗЫ!$F$3:$F$500,$A143)))</f>
        <v/>
      </c>
    </row>
    <row r="144" customFormat="false" ht="15.75" hidden="false" customHeight="true" outlineLevel="0" collapsed="false">
      <c r="A144" s="80" t="s">
        <v>976</v>
      </c>
      <c r="B144" s="81"/>
      <c r="C144" s="81"/>
      <c r="D144" s="81"/>
      <c r="E144" s="83"/>
      <c r="F144" s="81"/>
      <c r="G144" s="83"/>
      <c r="H144" s="83"/>
      <c r="I144" s="84" t="str">
        <f aca="false">IF(E144="","",A144&amp;"_1.jpg")</f>
        <v/>
      </c>
      <c r="J144" s="84" t="str">
        <f aca="false">IF(E144="","",A144&amp;"_2.jpg; "&amp;A144&amp;"_3.jpg")</f>
        <v/>
      </c>
      <c r="K144" s="84" t="str">
        <f aca="false">IF(E144="","",A144&amp;"_schema.jpg")</f>
        <v/>
      </c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 t="s">
        <v>96</v>
      </c>
      <c r="W144" s="81"/>
      <c r="X144" s="81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6" t="str">
        <f aca="false">IF(SUM(Y144:AJ144)=0,"",SUM(Y144:AJ144))</f>
        <v/>
      </c>
      <c r="AL144" s="84" t="str">
        <f aca="false">MID(IF(N(Y144)&gt;0,", "&amp;Y$2,"")&amp;IF(N(Z144)&gt;0,", "&amp;Z$2,"")&amp;IF(N(AA144)&gt;0,", "&amp;AA$2,"")&amp;IF(N(AB144)&gt;0,", "&amp;AB$2,"")&amp;IF(N(AC144)&gt;0,", "&amp;AC$2,"")&amp;IF(N(AD144)&gt;0,", "&amp;AD$2,"")&amp;IF(N(AE144)&gt;0,", "&amp;AE$2,"")&amp;IF(N(AF144)&gt;0,", "&amp;AF$2,"")&amp;IF(N(AG144)&gt;0,", "&amp;AG$2,"")&amp;IF(N(AH144)&gt;0,", "&amp;AH$2,"")&amp;IF(N(AI144)&gt;0,", "&amp;AI$2,"")&amp;IF(N(AJ144)&gt;0,", "&amp;AJ$2,""),3,999)</f>
        <v/>
      </c>
      <c r="AM144" s="87" t="str">
        <f aca="false">IF(E144="","",MID(IF(N(Y144)&gt;0,", "&amp;A144&amp;"-"&amp;Y$2,"")&amp;IF(N(Z144)&gt;0,", "&amp;A144&amp;"-"&amp;Z$2,"")&amp;IF(N(AA144)&gt;0,", "&amp;A144&amp;"-"&amp;AA$2,"")&amp;IF(N(AB144)&gt;0,", "&amp;A144&amp;"-"&amp;AB$2,"")&amp;IF(N(AC144)&gt;0,", "&amp;A144&amp;"-"&amp;AC$2,"")&amp;IF(N(AD144)&gt;0,", "&amp;A144&amp;"-"&amp;AD$2,"")&amp;IF(N(AE144)&gt;0,", "&amp;A144&amp;"-"&amp;AE$2,"")&amp;IF(N(AF144)&gt;0,", "&amp;A144&amp;"-"&amp;AF$2,"")&amp;IF(N(AG144)&gt;0,", "&amp;A144&amp;"-"&amp;AG$2,"")&amp;IF(N(AH144)&gt;0,", "&amp;A144&amp;"-"&amp;AH$2,"")&amp;IF(N(AI144)&gt;0,", "&amp;A144&amp;"-"&amp;AI$2,"")&amp;IF(N(AJ144)&gt;0,", "&amp;A144&amp;"-"&amp;AJ$2,""),3,999))</f>
        <v/>
      </c>
      <c r="AN144" s="81"/>
      <c r="AO144" s="88"/>
      <c r="AP144" s="89" t="str">
        <f aca="false">IF(AO144="","",ROUND(AO144/(1+Справочники!$B$13),2))</f>
        <v/>
      </c>
      <c r="AQ144" s="90" t="str">
        <f aca="false" t="array" ref="AQ144:AQ144">IF(AP144="","",AP144*INDEX(Справочники!$B$4:$B$7,MATCH("RUB",Справочники!$A$4:$A$7,0)))</f>
        <v/>
      </c>
      <c r="AR144" s="90" t="str">
        <f aca="false">IF(AQ144="","",ROUND(AQ144*(1+Справочники!$B$12),0))</f>
        <v/>
      </c>
      <c r="AS144" s="90" t="str">
        <f aca="false">IF(AR144="","",ROUND(AR144*(1-Справочники!$B$11),0))</f>
        <v/>
      </c>
      <c r="AT144" s="88"/>
      <c r="AU144" s="90" t="str">
        <f aca="false">IF(AT144="","",ROUND(AT144/(1+Справочники!$B$12),0))</f>
        <v/>
      </c>
      <c r="AV144" s="90" t="str">
        <f aca="false">IF(AT144="","",ROUND(AT144*(1-Справочники!$B$15),0))</f>
        <v/>
      </c>
      <c r="AW144" s="90" t="str">
        <f aca="false">IF(AT144="","",ROUND(AT144*(1-Справочники!$B$16),0))</f>
        <v/>
      </c>
      <c r="AX144" s="90" t="str">
        <f aca="false">IF(AT144="","",ROUND(AT144*(1-Справочники!$B$17),0))</f>
        <v/>
      </c>
      <c r="AY144" s="90" t="str">
        <f aca="false">IF(AT144="","",ROUND(AT144*(1-Справочники!$B$18),0))</f>
        <v/>
      </c>
      <c r="AZ144" s="90" t="str">
        <f aca="false">IF(AT144="","",ROUND(AT144*(1-Справочники!$B$19),0))</f>
        <v/>
      </c>
      <c r="BA144" s="81"/>
      <c r="BB144" s="81"/>
      <c r="BC144" s="81"/>
      <c r="BD144" s="81"/>
      <c r="BE144" s="91"/>
      <c r="BF144" s="81" t="s">
        <v>103</v>
      </c>
      <c r="BG144" s="89" t="n">
        <f aca="false" t="array" ref="BG144:BG144">IF(BF144="","",IFERROR(INDEX(Справочники!$B$4:$B$7,MATCH(BF144,Справочники!$A$4:$A$7,0)),""))</f>
        <v>68.5</v>
      </c>
      <c r="BH144" s="90" t="str">
        <f aca="false">IF(N(BN144)&gt;0,ROUND(SUMIF(ЗАКАЗЫ!$F$3:$F$500,$A144,ЗАКАЗЫ!$Y$3:$Y$500)/BN144,0),IF(OR(BE144="",BG144=""),"",ROUND(BE144*BG144*(1+Справочники!$B$10),0)))</f>
        <v/>
      </c>
      <c r="BI144" s="92" t="str">
        <f aca="false">IF(OR(AU144="",BH144="",AU144=0),"",(AU144-BH144)/AU144)</f>
        <v/>
      </c>
      <c r="BJ144" s="81"/>
      <c r="BK144" s="83"/>
      <c r="BL144" s="43" t="str">
        <f aca="false">IFERROR(INDEX(ЗАКАЗЫ!$N$3:$N$500,MATCH($A144,ЗАКАЗЫ!$F$3:$F$500,0)),"")</f>
        <v/>
      </c>
      <c r="BM144" s="8" t="str">
        <f aca="false">IF(BL144="","",IFERROR(VLOOKUP(BL144,'ТН ВЭД'!$A$4:$C$40,3,0),""))</f>
        <v/>
      </c>
      <c r="BN144" s="7" t="str">
        <f aca="false">IF(COUNTIF(ЗАКАЗЫ!$F$3:$F$500,$A144)=0,"",SUMIF(ЗАКАЗЫ!$F$3:$F$500,$A144,ЗАКАЗЫ!$J$3:$J$500))</f>
        <v/>
      </c>
      <c r="BO144" s="7" t="str">
        <f aca="false">IF(BN144="","",SUMIF(ЗАКАЗЫ!$F$3:$F$500,$A144,ЗАКАЗЫ!$AL$3:$AL$500))</f>
        <v/>
      </c>
      <c r="BP144" s="7" t="str">
        <f aca="false">IF(BN144="","",BN144-BO144)</f>
        <v/>
      </c>
      <c r="BQ144" s="55" t="str">
        <f aca="false">IF(BN144="","",IF(BO144&gt;=BN144,"На складе",IF(BO144&gt;0,"Частично","Ждём")))</f>
        <v/>
      </c>
      <c r="BR144" s="43"/>
      <c r="BS144" s="47" t="str">
        <f aca="false">IF(BN144="","",IF(_xlfn.MAXIFS(ЗАКАЗЫ!$AK$3:$AK$500,ЗАКАЗЫ!$F$3:$F$500,$A144)=0,"",_xlfn.MAXIFS(ЗАКАЗЫ!$AK$3:$AK$500,ЗАКАЗЫ!$F$3:$F$500,$A144)))</f>
        <v/>
      </c>
    </row>
    <row r="145" customFormat="false" ht="15.75" hidden="false" customHeight="true" outlineLevel="0" collapsed="false">
      <c r="A145" s="80" t="s">
        <v>977</v>
      </c>
      <c r="B145" s="81"/>
      <c r="C145" s="81"/>
      <c r="D145" s="81"/>
      <c r="E145" s="83"/>
      <c r="F145" s="81"/>
      <c r="G145" s="83"/>
      <c r="H145" s="83"/>
      <c r="I145" s="84" t="str">
        <f aca="false">IF(E145="","",A145&amp;"_1.jpg")</f>
        <v/>
      </c>
      <c r="J145" s="84" t="str">
        <f aca="false">IF(E145="","",A145&amp;"_2.jpg; "&amp;A145&amp;"_3.jpg")</f>
        <v/>
      </c>
      <c r="K145" s="84" t="str">
        <f aca="false">IF(E145="","",A145&amp;"_schema.jpg")</f>
        <v/>
      </c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 t="s">
        <v>96</v>
      </c>
      <c r="W145" s="81"/>
      <c r="X145" s="81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6" t="str">
        <f aca="false">IF(SUM(Y145:AJ145)=0,"",SUM(Y145:AJ145))</f>
        <v/>
      </c>
      <c r="AL145" s="84" t="str">
        <f aca="false">MID(IF(N(Y145)&gt;0,", "&amp;Y$2,"")&amp;IF(N(Z145)&gt;0,", "&amp;Z$2,"")&amp;IF(N(AA145)&gt;0,", "&amp;AA$2,"")&amp;IF(N(AB145)&gt;0,", "&amp;AB$2,"")&amp;IF(N(AC145)&gt;0,", "&amp;AC$2,"")&amp;IF(N(AD145)&gt;0,", "&amp;AD$2,"")&amp;IF(N(AE145)&gt;0,", "&amp;AE$2,"")&amp;IF(N(AF145)&gt;0,", "&amp;AF$2,"")&amp;IF(N(AG145)&gt;0,", "&amp;AG$2,"")&amp;IF(N(AH145)&gt;0,", "&amp;AH$2,"")&amp;IF(N(AI145)&gt;0,", "&amp;AI$2,"")&amp;IF(N(AJ145)&gt;0,", "&amp;AJ$2,""),3,999)</f>
        <v/>
      </c>
      <c r="AM145" s="87" t="str">
        <f aca="false">IF(E145="","",MID(IF(N(Y145)&gt;0,", "&amp;A145&amp;"-"&amp;Y$2,"")&amp;IF(N(Z145)&gt;0,", "&amp;A145&amp;"-"&amp;Z$2,"")&amp;IF(N(AA145)&gt;0,", "&amp;A145&amp;"-"&amp;AA$2,"")&amp;IF(N(AB145)&gt;0,", "&amp;A145&amp;"-"&amp;AB$2,"")&amp;IF(N(AC145)&gt;0,", "&amp;A145&amp;"-"&amp;AC$2,"")&amp;IF(N(AD145)&gt;0,", "&amp;A145&amp;"-"&amp;AD$2,"")&amp;IF(N(AE145)&gt;0,", "&amp;A145&amp;"-"&amp;AE$2,"")&amp;IF(N(AF145)&gt;0,", "&amp;A145&amp;"-"&amp;AF$2,"")&amp;IF(N(AG145)&gt;0,", "&amp;A145&amp;"-"&amp;AG$2,"")&amp;IF(N(AH145)&gt;0,", "&amp;A145&amp;"-"&amp;AH$2,"")&amp;IF(N(AI145)&gt;0,", "&amp;A145&amp;"-"&amp;AI$2,"")&amp;IF(N(AJ145)&gt;0,", "&amp;A145&amp;"-"&amp;AJ$2,""),3,999))</f>
        <v/>
      </c>
      <c r="AN145" s="81"/>
      <c r="AO145" s="88"/>
      <c r="AP145" s="89" t="str">
        <f aca="false">IF(AO145="","",ROUND(AO145/(1+Справочники!$B$13),2))</f>
        <v/>
      </c>
      <c r="AQ145" s="90" t="str">
        <f aca="false" t="array" ref="AQ145:AQ145">IF(AP145="","",AP145*INDEX(Справочники!$B$4:$B$7,MATCH("RUB",Справочники!$A$4:$A$7,0)))</f>
        <v/>
      </c>
      <c r="AR145" s="90" t="str">
        <f aca="false">IF(AQ145="","",ROUND(AQ145*(1+Справочники!$B$12),0))</f>
        <v/>
      </c>
      <c r="AS145" s="90" t="str">
        <f aca="false">IF(AR145="","",ROUND(AR145*(1-Справочники!$B$11),0))</f>
        <v/>
      </c>
      <c r="AT145" s="88"/>
      <c r="AU145" s="90" t="str">
        <f aca="false">IF(AT145="","",ROUND(AT145/(1+Справочники!$B$12),0))</f>
        <v/>
      </c>
      <c r="AV145" s="90" t="str">
        <f aca="false">IF(AT145="","",ROUND(AT145*(1-Справочники!$B$15),0))</f>
        <v/>
      </c>
      <c r="AW145" s="90" t="str">
        <f aca="false">IF(AT145="","",ROUND(AT145*(1-Справочники!$B$16),0))</f>
        <v/>
      </c>
      <c r="AX145" s="90" t="str">
        <f aca="false">IF(AT145="","",ROUND(AT145*(1-Справочники!$B$17),0))</f>
        <v/>
      </c>
      <c r="AY145" s="90" t="str">
        <f aca="false">IF(AT145="","",ROUND(AT145*(1-Справочники!$B$18),0))</f>
        <v/>
      </c>
      <c r="AZ145" s="90" t="str">
        <f aca="false">IF(AT145="","",ROUND(AT145*(1-Справочники!$B$19),0))</f>
        <v/>
      </c>
      <c r="BA145" s="81"/>
      <c r="BB145" s="81"/>
      <c r="BC145" s="81"/>
      <c r="BD145" s="81"/>
      <c r="BE145" s="91"/>
      <c r="BF145" s="81" t="s">
        <v>103</v>
      </c>
      <c r="BG145" s="89" t="n">
        <f aca="false" t="array" ref="BG145:BG145">IF(BF145="","",IFERROR(INDEX(Справочники!$B$4:$B$7,MATCH(BF145,Справочники!$A$4:$A$7,0)),""))</f>
        <v>68.5</v>
      </c>
      <c r="BH145" s="90" t="str">
        <f aca="false">IF(N(BN145)&gt;0,ROUND(SUMIF(ЗАКАЗЫ!$F$3:$F$500,$A145,ЗАКАЗЫ!$Y$3:$Y$500)/BN145,0),IF(OR(BE145="",BG145=""),"",ROUND(BE145*BG145*(1+Справочники!$B$10),0)))</f>
        <v/>
      </c>
      <c r="BI145" s="92" t="str">
        <f aca="false">IF(OR(AU145="",BH145="",AU145=0),"",(AU145-BH145)/AU145)</f>
        <v/>
      </c>
      <c r="BJ145" s="81"/>
      <c r="BK145" s="83"/>
      <c r="BL145" s="43" t="str">
        <f aca="false">IFERROR(INDEX(ЗАКАЗЫ!$N$3:$N$500,MATCH($A145,ЗАКАЗЫ!$F$3:$F$500,0)),"")</f>
        <v/>
      </c>
      <c r="BM145" s="8" t="str">
        <f aca="false">IF(BL145="","",IFERROR(VLOOKUP(BL145,'ТН ВЭД'!$A$4:$C$40,3,0),""))</f>
        <v/>
      </c>
      <c r="BN145" s="7" t="str">
        <f aca="false">IF(COUNTIF(ЗАКАЗЫ!$F$3:$F$500,$A145)=0,"",SUMIF(ЗАКАЗЫ!$F$3:$F$500,$A145,ЗАКАЗЫ!$J$3:$J$500))</f>
        <v/>
      </c>
      <c r="BO145" s="7" t="str">
        <f aca="false">IF(BN145="","",SUMIF(ЗАКАЗЫ!$F$3:$F$500,$A145,ЗАКАЗЫ!$AL$3:$AL$500))</f>
        <v/>
      </c>
      <c r="BP145" s="7" t="str">
        <f aca="false">IF(BN145="","",BN145-BO145)</f>
        <v/>
      </c>
      <c r="BQ145" s="55" t="str">
        <f aca="false">IF(BN145="","",IF(BO145&gt;=BN145,"На складе",IF(BO145&gt;0,"Частично","Ждём")))</f>
        <v/>
      </c>
      <c r="BR145" s="43"/>
      <c r="BS145" s="47" t="str">
        <f aca="false">IF(BN145="","",IF(_xlfn.MAXIFS(ЗАКАЗЫ!$AK$3:$AK$500,ЗАКАЗЫ!$F$3:$F$500,$A145)=0,"",_xlfn.MAXIFS(ЗАКАЗЫ!$AK$3:$AK$500,ЗАКАЗЫ!$F$3:$F$500,$A145)))</f>
        <v/>
      </c>
    </row>
    <row r="146" customFormat="false" ht="15.75" hidden="false" customHeight="true" outlineLevel="0" collapsed="false">
      <c r="A146" s="80" t="s">
        <v>978</v>
      </c>
      <c r="B146" s="81"/>
      <c r="C146" s="81"/>
      <c r="D146" s="81"/>
      <c r="E146" s="83"/>
      <c r="F146" s="81"/>
      <c r="G146" s="83"/>
      <c r="H146" s="83"/>
      <c r="I146" s="84" t="str">
        <f aca="false">IF(E146="","",A146&amp;"_1.jpg")</f>
        <v/>
      </c>
      <c r="J146" s="84" t="str">
        <f aca="false">IF(E146="","",A146&amp;"_2.jpg; "&amp;A146&amp;"_3.jpg")</f>
        <v/>
      </c>
      <c r="K146" s="84" t="str">
        <f aca="false">IF(E146="","",A146&amp;"_schema.jpg")</f>
        <v/>
      </c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 t="s">
        <v>96</v>
      </c>
      <c r="W146" s="81"/>
      <c r="X146" s="81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6" t="str">
        <f aca="false">IF(SUM(Y146:AJ146)=0,"",SUM(Y146:AJ146))</f>
        <v/>
      </c>
      <c r="AL146" s="84" t="str">
        <f aca="false">MID(IF(N(Y146)&gt;0,", "&amp;Y$2,"")&amp;IF(N(Z146)&gt;0,", "&amp;Z$2,"")&amp;IF(N(AA146)&gt;0,", "&amp;AA$2,"")&amp;IF(N(AB146)&gt;0,", "&amp;AB$2,"")&amp;IF(N(AC146)&gt;0,", "&amp;AC$2,"")&amp;IF(N(AD146)&gt;0,", "&amp;AD$2,"")&amp;IF(N(AE146)&gt;0,", "&amp;AE$2,"")&amp;IF(N(AF146)&gt;0,", "&amp;AF$2,"")&amp;IF(N(AG146)&gt;0,", "&amp;AG$2,"")&amp;IF(N(AH146)&gt;0,", "&amp;AH$2,"")&amp;IF(N(AI146)&gt;0,", "&amp;AI$2,"")&amp;IF(N(AJ146)&gt;0,", "&amp;AJ$2,""),3,999)</f>
        <v/>
      </c>
      <c r="AM146" s="87" t="str">
        <f aca="false">IF(E146="","",MID(IF(N(Y146)&gt;0,", "&amp;A146&amp;"-"&amp;Y$2,"")&amp;IF(N(Z146)&gt;0,", "&amp;A146&amp;"-"&amp;Z$2,"")&amp;IF(N(AA146)&gt;0,", "&amp;A146&amp;"-"&amp;AA$2,"")&amp;IF(N(AB146)&gt;0,", "&amp;A146&amp;"-"&amp;AB$2,"")&amp;IF(N(AC146)&gt;0,", "&amp;A146&amp;"-"&amp;AC$2,"")&amp;IF(N(AD146)&gt;0,", "&amp;A146&amp;"-"&amp;AD$2,"")&amp;IF(N(AE146)&gt;0,", "&amp;A146&amp;"-"&amp;AE$2,"")&amp;IF(N(AF146)&gt;0,", "&amp;A146&amp;"-"&amp;AF$2,"")&amp;IF(N(AG146)&gt;0,", "&amp;A146&amp;"-"&amp;AG$2,"")&amp;IF(N(AH146)&gt;0,", "&amp;A146&amp;"-"&amp;AH$2,"")&amp;IF(N(AI146)&gt;0,", "&amp;A146&amp;"-"&amp;AI$2,"")&amp;IF(N(AJ146)&gt;0,", "&amp;A146&amp;"-"&amp;AJ$2,""),3,999))</f>
        <v/>
      </c>
      <c r="AN146" s="81"/>
      <c r="AO146" s="88"/>
      <c r="AP146" s="89" t="str">
        <f aca="false">IF(AO146="","",ROUND(AO146/(1+Справочники!$B$13),2))</f>
        <v/>
      </c>
      <c r="AQ146" s="90" t="str">
        <f aca="false" t="array" ref="AQ146:AQ146">IF(AP146="","",AP146*INDEX(Справочники!$B$4:$B$7,MATCH("RUB",Справочники!$A$4:$A$7,0)))</f>
        <v/>
      </c>
      <c r="AR146" s="90" t="str">
        <f aca="false">IF(AQ146="","",ROUND(AQ146*(1+Справочники!$B$12),0))</f>
        <v/>
      </c>
      <c r="AS146" s="90" t="str">
        <f aca="false">IF(AR146="","",ROUND(AR146*(1-Справочники!$B$11),0))</f>
        <v/>
      </c>
      <c r="AT146" s="88"/>
      <c r="AU146" s="90" t="str">
        <f aca="false">IF(AT146="","",ROUND(AT146/(1+Справочники!$B$12),0))</f>
        <v/>
      </c>
      <c r="AV146" s="90" t="str">
        <f aca="false">IF(AT146="","",ROUND(AT146*(1-Справочники!$B$15),0))</f>
        <v/>
      </c>
      <c r="AW146" s="90" t="str">
        <f aca="false">IF(AT146="","",ROUND(AT146*(1-Справочники!$B$16),0))</f>
        <v/>
      </c>
      <c r="AX146" s="90" t="str">
        <f aca="false">IF(AT146="","",ROUND(AT146*(1-Справочники!$B$17),0))</f>
        <v/>
      </c>
      <c r="AY146" s="90" t="str">
        <f aca="false">IF(AT146="","",ROUND(AT146*(1-Справочники!$B$18),0))</f>
        <v/>
      </c>
      <c r="AZ146" s="90" t="str">
        <f aca="false">IF(AT146="","",ROUND(AT146*(1-Справочники!$B$19),0))</f>
        <v/>
      </c>
      <c r="BA146" s="81"/>
      <c r="BB146" s="81"/>
      <c r="BC146" s="81"/>
      <c r="BD146" s="81"/>
      <c r="BE146" s="91"/>
      <c r="BF146" s="81" t="s">
        <v>103</v>
      </c>
      <c r="BG146" s="89" t="n">
        <f aca="false" t="array" ref="BG146:BG146">IF(BF146="","",IFERROR(INDEX(Справочники!$B$4:$B$7,MATCH(BF146,Справочники!$A$4:$A$7,0)),""))</f>
        <v>68.5</v>
      </c>
      <c r="BH146" s="90" t="str">
        <f aca="false">IF(N(BN146)&gt;0,ROUND(SUMIF(ЗАКАЗЫ!$F$3:$F$500,$A146,ЗАКАЗЫ!$Y$3:$Y$500)/BN146,0),IF(OR(BE146="",BG146=""),"",ROUND(BE146*BG146*(1+Справочники!$B$10),0)))</f>
        <v/>
      </c>
      <c r="BI146" s="92" t="str">
        <f aca="false">IF(OR(AU146="",BH146="",AU146=0),"",(AU146-BH146)/AU146)</f>
        <v/>
      </c>
      <c r="BJ146" s="81"/>
      <c r="BK146" s="83"/>
      <c r="BL146" s="43" t="str">
        <f aca="false">IFERROR(INDEX(ЗАКАЗЫ!$N$3:$N$500,MATCH($A146,ЗАКАЗЫ!$F$3:$F$500,0)),"")</f>
        <v/>
      </c>
      <c r="BM146" s="8" t="str">
        <f aca="false">IF(BL146="","",IFERROR(VLOOKUP(BL146,'ТН ВЭД'!$A$4:$C$40,3,0),""))</f>
        <v/>
      </c>
      <c r="BN146" s="7" t="str">
        <f aca="false">IF(COUNTIF(ЗАКАЗЫ!$F$3:$F$500,$A146)=0,"",SUMIF(ЗАКАЗЫ!$F$3:$F$500,$A146,ЗАКАЗЫ!$J$3:$J$500))</f>
        <v/>
      </c>
      <c r="BO146" s="7" t="str">
        <f aca="false">IF(BN146="","",SUMIF(ЗАКАЗЫ!$F$3:$F$500,$A146,ЗАКАЗЫ!$AL$3:$AL$500))</f>
        <v/>
      </c>
      <c r="BP146" s="7" t="str">
        <f aca="false">IF(BN146="","",BN146-BO146)</f>
        <v/>
      </c>
      <c r="BQ146" s="55" t="str">
        <f aca="false">IF(BN146="","",IF(BO146&gt;=BN146,"На складе",IF(BO146&gt;0,"Частично","Ждём")))</f>
        <v/>
      </c>
      <c r="BR146" s="43"/>
      <c r="BS146" s="47" t="str">
        <f aca="false">IF(BN146="","",IF(_xlfn.MAXIFS(ЗАКАЗЫ!$AK$3:$AK$500,ЗАКАЗЫ!$F$3:$F$500,$A146)=0,"",_xlfn.MAXIFS(ЗАКАЗЫ!$AK$3:$AK$500,ЗАКАЗЫ!$F$3:$F$500,$A146)))</f>
        <v/>
      </c>
    </row>
    <row r="147" customFormat="false" ht="15.75" hidden="false" customHeight="true" outlineLevel="0" collapsed="false">
      <c r="A147" s="80" t="s">
        <v>979</v>
      </c>
      <c r="B147" s="81"/>
      <c r="C147" s="81"/>
      <c r="D147" s="81"/>
      <c r="E147" s="83"/>
      <c r="F147" s="81"/>
      <c r="G147" s="83"/>
      <c r="H147" s="83"/>
      <c r="I147" s="84" t="str">
        <f aca="false">IF(E147="","",A147&amp;"_1.jpg")</f>
        <v/>
      </c>
      <c r="J147" s="84" t="str">
        <f aca="false">IF(E147="","",A147&amp;"_2.jpg; "&amp;A147&amp;"_3.jpg")</f>
        <v/>
      </c>
      <c r="K147" s="84" t="str">
        <f aca="false">IF(E147="","",A147&amp;"_schema.jpg")</f>
        <v/>
      </c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 t="s">
        <v>96</v>
      </c>
      <c r="W147" s="81"/>
      <c r="X147" s="81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6" t="str">
        <f aca="false">IF(SUM(Y147:AJ147)=0,"",SUM(Y147:AJ147))</f>
        <v/>
      </c>
      <c r="AL147" s="84" t="str">
        <f aca="false">MID(IF(N(Y147)&gt;0,", "&amp;Y$2,"")&amp;IF(N(Z147)&gt;0,", "&amp;Z$2,"")&amp;IF(N(AA147)&gt;0,", "&amp;AA$2,"")&amp;IF(N(AB147)&gt;0,", "&amp;AB$2,"")&amp;IF(N(AC147)&gt;0,", "&amp;AC$2,"")&amp;IF(N(AD147)&gt;0,", "&amp;AD$2,"")&amp;IF(N(AE147)&gt;0,", "&amp;AE$2,"")&amp;IF(N(AF147)&gt;0,", "&amp;AF$2,"")&amp;IF(N(AG147)&gt;0,", "&amp;AG$2,"")&amp;IF(N(AH147)&gt;0,", "&amp;AH$2,"")&amp;IF(N(AI147)&gt;0,", "&amp;AI$2,"")&amp;IF(N(AJ147)&gt;0,", "&amp;AJ$2,""),3,999)</f>
        <v/>
      </c>
      <c r="AM147" s="87" t="str">
        <f aca="false">IF(E147="","",MID(IF(N(Y147)&gt;0,", "&amp;A147&amp;"-"&amp;Y$2,"")&amp;IF(N(Z147)&gt;0,", "&amp;A147&amp;"-"&amp;Z$2,"")&amp;IF(N(AA147)&gt;0,", "&amp;A147&amp;"-"&amp;AA$2,"")&amp;IF(N(AB147)&gt;0,", "&amp;A147&amp;"-"&amp;AB$2,"")&amp;IF(N(AC147)&gt;0,", "&amp;A147&amp;"-"&amp;AC$2,"")&amp;IF(N(AD147)&gt;0,", "&amp;A147&amp;"-"&amp;AD$2,"")&amp;IF(N(AE147)&gt;0,", "&amp;A147&amp;"-"&amp;AE$2,"")&amp;IF(N(AF147)&gt;0,", "&amp;A147&amp;"-"&amp;AF$2,"")&amp;IF(N(AG147)&gt;0,", "&amp;A147&amp;"-"&amp;AG$2,"")&amp;IF(N(AH147)&gt;0,", "&amp;A147&amp;"-"&amp;AH$2,"")&amp;IF(N(AI147)&gt;0,", "&amp;A147&amp;"-"&amp;AI$2,"")&amp;IF(N(AJ147)&gt;0,", "&amp;A147&amp;"-"&amp;AJ$2,""),3,999))</f>
        <v/>
      </c>
      <c r="AN147" s="81"/>
      <c r="AO147" s="88"/>
      <c r="AP147" s="89" t="str">
        <f aca="false">IF(AO147="","",ROUND(AO147/(1+Справочники!$B$13),2))</f>
        <v/>
      </c>
      <c r="AQ147" s="90" t="str">
        <f aca="false" t="array" ref="AQ147:AQ147">IF(AP147="","",AP147*INDEX(Справочники!$B$4:$B$7,MATCH("RUB",Справочники!$A$4:$A$7,0)))</f>
        <v/>
      </c>
      <c r="AR147" s="90" t="str">
        <f aca="false">IF(AQ147="","",ROUND(AQ147*(1+Справочники!$B$12),0))</f>
        <v/>
      </c>
      <c r="AS147" s="90" t="str">
        <f aca="false">IF(AR147="","",ROUND(AR147*(1-Справочники!$B$11),0))</f>
        <v/>
      </c>
      <c r="AT147" s="88"/>
      <c r="AU147" s="90" t="str">
        <f aca="false">IF(AT147="","",ROUND(AT147/(1+Справочники!$B$12),0))</f>
        <v/>
      </c>
      <c r="AV147" s="90" t="str">
        <f aca="false">IF(AT147="","",ROUND(AT147*(1-Справочники!$B$15),0))</f>
        <v/>
      </c>
      <c r="AW147" s="90" t="str">
        <f aca="false">IF(AT147="","",ROUND(AT147*(1-Справочники!$B$16),0))</f>
        <v/>
      </c>
      <c r="AX147" s="90" t="str">
        <f aca="false">IF(AT147="","",ROUND(AT147*(1-Справочники!$B$17),0))</f>
        <v/>
      </c>
      <c r="AY147" s="90" t="str">
        <f aca="false">IF(AT147="","",ROUND(AT147*(1-Справочники!$B$18),0))</f>
        <v/>
      </c>
      <c r="AZ147" s="90" t="str">
        <f aca="false">IF(AT147="","",ROUND(AT147*(1-Справочники!$B$19),0))</f>
        <v/>
      </c>
      <c r="BA147" s="81"/>
      <c r="BB147" s="81"/>
      <c r="BC147" s="81"/>
      <c r="BD147" s="81"/>
      <c r="BE147" s="91"/>
      <c r="BF147" s="81" t="s">
        <v>103</v>
      </c>
      <c r="BG147" s="89" t="n">
        <f aca="false" t="array" ref="BG147:BG147">IF(BF147="","",IFERROR(INDEX(Справочники!$B$4:$B$7,MATCH(BF147,Справочники!$A$4:$A$7,0)),""))</f>
        <v>68.5</v>
      </c>
      <c r="BH147" s="90" t="str">
        <f aca="false">IF(N(BN147)&gt;0,ROUND(SUMIF(ЗАКАЗЫ!$F$3:$F$500,$A147,ЗАКАЗЫ!$Y$3:$Y$500)/BN147,0),IF(OR(BE147="",BG147=""),"",ROUND(BE147*BG147*(1+Справочники!$B$10),0)))</f>
        <v/>
      </c>
      <c r="BI147" s="92" t="str">
        <f aca="false">IF(OR(AU147="",BH147="",AU147=0),"",(AU147-BH147)/AU147)</f>
        <v/>
      </c>
      <c r="BJ147" s="81"/>
      <c r="BK147" s="83"/>
      <c r="BL147" s="43" t="str">
        <f aca="false">IFERROR(INDEX(ЗАКАЗЫ!$N$3:$N$500,MATCH($A147,ЗАКАЗЫ!$F$3:$F$500,0)),"")</f>
        <v/>
      </c>
      <c r="BM147" s="8" t="str">
        <f aca="false">IF(BL147="","",IFERROR(VLOOKUP(BL147,'ТН ВЭД'!$A$4:$C$40,3,0),""))</f>
        <v/>
      </c>
      <c r="BN147" s="7" t="str">
        <f aca="false">IF(COUNTIF(ЗАКАЗЫ!$F$3:$F$500,$A147)=0,"",SUMIF(ЗАКАЗЫ!$F$3:$F$500,$A147,ЗАКАЗЫ!$J$3:$J$500))</f>
        <v/>
      </c>
      <c r="BO147" s="7" t="str">
        <f aca="false">IF(BN147="","",SUMIF(ЗАКАЗЫ!$F$3:$F$500,$A147,ЗАКАЗЫ!$AL$3:$AL$500))</f>
        <v/>
      </c>
      <c r="BP147" s="7" t="str">
        <f aca="false">IF(BN147="","",BN147-BO147)</f>
        <v/>
      </c>
      <c r="BQ147" s="55" t="str">
        <f aca="false">IF(BN147="","",IF(BO147&gt;=BN147,"На складе",IF(BO147&gt;0,"Частично","Ждём")))</f>
        <v/>
      </c>
      <c r="BR147" s="43"/>
      <c r="BS147" s="47" t="str">
        <f aca="false">IF(BN147="","",IF(_xlfn.MAXIFS(ЗАКАЗЫ!$AK$3:$AK$500,ЗАКАЗЫ!$F$3:$F$500,$A147)=0,"",_xlfn.MAXIFS(ЗАКАЗЫ!$AK$3:$AK$500,ЗАКАЗЫ!$F$3:$F$500,$A147)))</f>
        <v/>
      </c>
    </row>
    <row r="148" customFormat="false" ht="15.75" hidden="false" customHeight="true" outlineLevel="0" collapsed="false">
      <c r="A148" s="80" t="s">
        <v>980</v>
      </c>
      <c r="B148" s="81"/>
      <c r="C148" s="81"/>
      <c r="D148" s="81"/>
      <c r="E148" s="83"/>
      <c r="F148" s="81"/>
      <c r="G148" s="83"/>
      <c r="H148" s="83"/>
      <c r="I148" s="84" t="str">
        <f aca="false">IF(E148="","",A148&amp;"_1.jpg")</f>
        <v/>
      </c>
      <c r="J148" s="84" t="str">
        <f aca="false">IF(E148="","",A148&amp;"_2.jpg; "&amp;A148&amp;"_3.jpg")</f>
        <v/>
      </c>
      <c r="K148" s="84" t="str">
        <f aca="false">IF(E148="","",A148&amp;"_schema.jpg")</f>
        <v/>
      </c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 t="s">
        <v>96</v>
      </c>
      <c r="W148" s="81"/>
      <c r="X148" s="81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6" t="str">
        <f aca="false">IF(SUM(Y148:AJ148)=0,"",SUM(Y148:AJ148))</f>
        <v/>
      </c>
      <c r="AL148" s="84" t="str">
        <f aca="false">MID(IF(N(Y148)&gt;0,", "&amp;Y$2,"")&amp;IF(N(Z148)&gt;0,", "&amp;Z$2,"")&amp;IF(N(AA148)&gt;0,", "&amp;AA$2,"")&amp;IF(N(AB148)&gt;0,", "&amp;AB$2,"")&amp;IF(N(AC148)&gt;0,", "&amp;AC$2,"")&amp;IF(N(AD148)&gt;0,", "&amp;AD$2,"")&amp;IF(N(AE148)&gt;0,", "&amp;AE$2,"")&amp;IF(N(AF148)&gt;0,", "&amp;AF$2,"")&amp;IF(N(AG148)&gt;0,", "&amp;AG$2,"")&amp;IF(N(AH148)&gt;0,", "&amp;AH$2,"")&amp;IF(N(AI148)&gt;0,", "&amp;AI$2,"")&amp;IF(N(AJ148)&gt;0,", "&amp;AJ$2,""),3,999)</f>
        <v/>
      </c>
      <c r="AM148" s="87" t="str">
        <f aca="false">IF(E148="","",MID(IF(N(Y148)&gt;0,", "&amp;A148&amp;"-"&amp;Y$2,"")&amp;IF(N(Z148)&gt;0,", "&amp;A148&amp;"-"&amp;Z$2,"")&amp;IF(N(AA148)&gt;0,", "&amp;A148&amp;"-"&amp;AA$2,"")&amp;IF(N(AB148)&gt;0,", "&amp;A148&amp;"-"&amp;AB$2,"")&amp;IF(N(AC148)&gt;0,", "&amp;A148&amp;"-"&amp;AC$2,"")&amp;IF(N(AD148)&gt;0,", "&amp;A148&amp;"-"&amp;AD$2,"")&amp;IF(N(AE148)&gt;0,", "&amp;A148&amp;"-"&amp;AE$2,"")&amp;IF(N(AF148)&gt;0,", "&amp;A148&amp;"-"&amp;AF$2,"")&amp;IF(N(AG148)&gt;0,", "&amp;A148&amp;"-"&amp;AG$2,"")&amp;IF(N(AH148)&gt;0,", "&amp;A148&amp;"-"&amp;AH$2,"")&amp;IF(N(AI148)&gt;0,", "&amp;A148&amp;"-"&amp;AI$2,"")&amp;IF(N(AJ148)&gt;0,", "&amp;A148&amp;"-"&amp;AJ$2,""),3,999))</f>
        <v/>
      </c>
      <c r="AN148" s="81"/>
      <c r="AO148" s="88"/>
      <c r="AP148" s="89" t="str">
        <f aca="false">IF(AO148="","",ROUND(AO148/(1+Справочники!$B$13),2))</f>
        <v/>
      </c>
      <c r="AQ148" s="90" t="str">
        <f aca="false" t="array" ref="AQ148:AQ148">IF(AP148="","",AP148*INDEX(Справочники!$B$4:$B$7,MATCH("RUB",Справочники!$A$4:$A$7,0)))</f>
        <v/>
      </c>
      <c r="AR148" s="90" t="str">
        <f aca="false">IF(AQ148="","",ROUND(AQ148*(1+Справочники!$B$12),0))</f>
        <v/>
      </c>
      <c r="AS148" s="90" t="str">
        <f aca="false">IF(AR148="","",ROUND(AR148*(1-Справочники!$B$11),0))</f>
        <v/>
      </c>
      <c r="AT148" s="88"/>
      <c r="AU148" s="90" t="str">
        <f aca="false">IF(AT148="","",ROUND(AT148/(1+Справочники!$B$12),0))</f>
        <v/>
      </c>
      <c r="AV148" s="90" t="str">
        <f aca="false">IF(AT148="","",ROUND(AT148*(1-Справочники!$B$15),0))</f>
        <v/>
      </c>
      <c r="AW148" s="90" t="str">
        <f aca="false">IF(AT148="","",ROUND(AT148*(1-Справочники!$B$16),0))</f>
        <v/>
      </c>
      <c r="AX148" s="90" t="str">
        <f aca="false">IF(AT148="","",ROUND(AT148*(1-Справочники!$B$17),0))</f>
        <v/>
      </c>
      <c r="AY148" s="90" t="str">
        <f aca="false">IF(AT148="","",ROUND(AT148*(1-Справочники!$B$18),0))</f>
        <v/>
      </c>
      <c r="AZ148" s="90" t="str">
        <f aca="false">IF(AT148="","",ROUND(AT148*(1-Справочники!$B$19),0))</f>
        <v/>
      </c>
      <c r="BA148" s="81"/>
      <c r="BB148" s="81"/>
      <c r="BC148" s="81"/>
      <c r="BD148" s="81"/>
      <c r="BE148" s="91"/>
      <c r="BF148" s="81" t="s">
        <v>103</v>
      </c>
      <c r="BG148" s="89" t="n">
        <f aca="false" t="array" ref="BG148:BG148">IF(BF148="","",IFERROR(INDEX(Справочники!$B$4:$B$7,MATCH(BF148,Справочники!$A$4:$A$7,0)),""))</f>
        <v>68.5</v>
      </c>
      <c r="BH148" s="90" t="str">
        <f aca="false">IF(N(BN148)&gt;0,ROUND(SUMIF(ЗАКАЗЫ!$F$3:$F$500,$A148,ЗАКАЗЫ!$Y$3:$Y$500)/BN148,0),IF(OR(BE148="",BG148=""),"",ROUND(BE148*BG148*(1+Справочники!$B$10),0)))</f>
        <v/>
      </c>
      <c r="BI148" s="92" t="str">
        <f aca="false">IF(OR(AU148="",BH148="",AU148=0),"",(AU148-BH148)/AU148)</f>
        <v/>
      </c>
      <c r="BJ148" s="81"/>
      <c r="BK148" s="83"/>
      <c r="BL148" s="43" t="str">
        <f aca="false">IFERROR(INDEX(ЗАКАЗЫ!$N$3:$N$500,MATCH($A148,ЗАКАЗЫ!$F$3:$F$500,0)),"")</f>
        <v/>
      </c>
      <c r="BM148" s="8" t="str">
        <f aca="false">IF(BL148="","",IFERROR(VLOOKUP(BL148,'ТН ВЭД'!$A$4:$C$40,3,0),""))</f>
        <v/>
      </c>
      <c r="BN148" s="7" t="str">
        <f aca="false">IF(COUNTIF(ЗАКАЗЫ!$F$3:$F$500,$A148)=0,"",SUMIF(ЗАКАЗЫ!$F$3:$F$500,$A148,ЗАКАЗЫ!$J$3:$J$500))</f>
        <v/>
      </c>
      <c r="BO148" s="7" t="str">
        <f aca="false">IF(BN148="","",SUMIF(ЗАКАЗЫ!$F$3:$F$500,$A148,ЗАКАЗЫ!$AL$3:$AL$500))</f>
        <v/>
      </c>
      <c r="BP148" s="7" t="str">
        <f aca="false">IF(BN148="","",BN148-BO148)</f>
        <v/>
      </c>
      <c r="BQ148" s="55" t="str">
        <f aca="false">IF(BN148="","",IF(BO148&gt;=BN148,"На складе",IF(BO148&gt;0,"Частично","Ждём")))</f>
        <v/>
      </c>
      <c r="BR148" s="43"/>
      <c r="BS148" s="47" t="str">
        <f aca="false">IF(BN148="","",IF(_xlfn.MAXIFS(ЗАКАЗЫ!$AK$3:$AK$500,ЗАКАЗЫ!$F$3:$F$500,$A148)=0,"",_xlfn.MAXIFS(ЗАКАЗЫ!$AK$3:$AK$500,ЗАКАЗЫ!$F$3:$F$500,$A148)))</f>
        <v/>
      </c>
    </row>
    <row r="149" customFormat="false" ht="15.75" hidden="false" customHeight="true" outlineLevel="0" collapsed="false">
      <c r="A149" s="80" t="s">
        <v>981</v>
      </c>
      <c r="B149" s="81"/>
      <c r="C149" s="81"/>
      <c r="D149" s="81"/>
      <c r="E149" s="83"/>
      <c r="F149" s="81"/>
      <c r="G149" s="83"/>
      <c r="H149" s="83"/>
      <c r="I149" s="84" t="str">
        <f aca="false">IF(E149="","",A149&amp;"_1.jpg")</f>
        <v/>
      </c>
      <c r="J149" s="84" t="str">
        <f aca="false">IF(E149="","",A149&amp;"_2.jpg; "&amp;A149&amp;"_3.jpg")</f>
        <v/>
      </c>
      <c r="K149" s="84" t="str">
        <f aca="false">IF(E149="","",A149&amp;"_schema.jpg")</f>
        <v/>
      </c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 t="s">
        <v>96</v>
      </c>
      <c r="W149" s="81"/>
      <c r="X149" s="81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6" t="str">
        <f aca="false">IF(SUM(Y149:AJ149)=0,"",SUM(Y149:AJ149))</f>
        <v/>
      </c>
      <c r="AL149" s="84" t="str">
        <f aca="false">MID(IF(N(Y149)&gt;0,", "&amp;Y$2,"")&amp;IF(N(Z149)&gt;0,", "&amp;Z$2,"")&amp;IF(N(AA149)&gt;0,", "&amp;AA$2,"")&amp;IF(N(AB149)&gt;0,", "&amp;AB$2,"")&amp;IF(N(AC149)&gt;0,", "&amp;AC$2,"")&amp;IF(N(AD149)&gt;0,", "&amp;AD$2,"")&amp;IF(N(AE149)&gt;0,", "&amp;AE$2,"")&amp;IF(N(AF149)&gt;0,", "&amp;AF$2,"")&amp;IF(N(AG149)&gt;0,", "&amp;AG$2,"")&amp;IF(N(AH149)&gt;0,", "&amp;AH$2,"")&amp;IF(N(AI149)&gt;0,", "&amp;AI$2,"")&amp;IF(N(AJ149)&gt;0,", "&amp;AJ$2,""),3,999)</f>
        <v/>
      </c>
      <c r="AM149" s="87" t="str">
        <f aca="false">IF(E149="","",MID(IF(N(Y149)&gt;0,", "&amp;A149&amp;"-"&amp;Y$2,"")&amp;IF(N(Z149)&gt;0,", "&amp;A149&amp;"-"&amp;Z$2,"")&amp;IF(N(AA149)&gt;0,", "&amp;A149&amp;"-"&amp;AA$2,"")&amp;IF(N(AB149)&gt;0,", "&amp;A149&amp;"-"&amp;AB$2,"")&amp;IF(N(AC149)&gt;0,", "&amp;A149&amp;"-"&amp;AC$2,"")&amp;IF(N(AD149)&gt;0,", "&amp;A149&amp;"-"&amp;AD$2,"")&amp;IF(N(AE149)&gt;0,", "&amp;A149&amp;"-"&amp;AE$2,"")&amp;IF(N(AF149)&gt;0,", "&amp;A149&amp;"-"&amp;AF$2,"")&amp;IF(N(AG149)&gt;0,", "&amp;A149&amp;"-"&amp;AG$2,"")&amp;IF(N(AH149)&gt;0,", "&amp;A149&amp;"-"&amp;AH$2,"")&amp;IF(N(AI149)&gt;0,", "&amp;A149&amp;"-"&amp;AI$2,"")&amp;IF(N(AJ149)&gt;0,", "&amp;A149&amp;"-"&amp;AJ$2,""),3,999))</f>
        <v/>
      </c>
      <c r="AN149" s="81"/>
      <c r="AO149" s="88"/>
      <c r="AP149" s="89" t="str">
        <f aca="false">IF(AO149="","",ROUND(AO149/(1+Справочники!$B$13),2))</f>
        <v/>
      </c>
      <c r="AQ149" s="90" t="str">
        <f aca="false" t="array" ref="AQ149:AQ149">IF(AP149="","",AP149*INDEX(Справочники!$B$4:$B$7,MATCH("RUB",Справочники!$A$4:$A$7,0)))</f>
        <v/>
      </c>
      <c r="AR149" s="90" t="str">
        <f aca="false">IF(AQ149="","",ROUND(AQ149*(1+Справочники!$B$12),0))</f>
        <v/>
      </c>
      <c r="AS149" s="90" t="str">
        <f aca="false">IF(AR149="","",ROUND(AR149*(1-Справочники!$B$11),0))</f>
        <v/>
      </c>
      <c r="AT149" s="88"/>
      <c r="AU149" s="90" t="str">
        <f aca="false">IF(AT149="","",ROUND(AT149/(1+Справочники!$B$12),0))</f>
        <v/>
      </c>
      <c r="AV149" s="90" t="str">
        <f aca="false">IF(AT149="","",ROUND(AT149*(1-Справочники!$B$15),0))</f>
        <v/>
      </c>
      <c r="AW149" s="90" t="str">
        <f aca="false">IF(AT149="","",ROUND(AT149*(1-Справочники!$B$16),0))</f>
        <v/>
      </c>
      <c r="AX149" s="90" t="str">
        <f aca="false">IF(AT149="","",ROUND(AT149*(1-Справочники!$B$17),0))</f>
        <v/>
      </c>
      <c r="AY149" s="90" t="str">
        <f aca="false">IF(AT149="","",ROUND(AT149*(1-Справочники!$B$18),0))</f>
        <v/>
      </c>
      <c r="AZ149" s="90" t="str">
        <f aca="false">IF(AT149="","",ROUND(AT149*(1-Справочники!$B$19),0))</f>
        <v/>
      </c>
      <c r="BA149" s="81"/>
      <c r="BB149" s="81"/>
      <c r="BC149" s="81"/>
      <c r="BD149" s="81"/>
      <c r="BE149" s="91"/>
      <c r="BF149" s="81" t="s">
        <v>103</v>
      </c>
      <c r="BG149" s="89" t="n">
        <f aca="false" t="array" ref="BG149:BG149">IF(BF149="","",IFERROR(INDEX(Справочники!$B$4:$B$7,MATCH(BF149,Справочники!$A$4:$A$7,0)),""))</f>
        <v>68.5</v>
      </c>
      <c r="BH149" s="90" t="str">
        <f aca="false">IF(N(BN149)&gt;0,ROUND(SUMIF(ЗАКАЗЫ!$F$3:$F$500,$A149,ЗАКАЗЫ!$Y$3:$Y$500)/BN149,0),IF(OR(BE149="",BG149=""),"",ROUND(BE149*BG149*(1+Справочники!$B$10),0)))</f>
        <v/>
      </c>
      <c r="BI149" s="92" t="str">
        <f aca="false">IF(OR(AU149="",BH149="",AU149=0),"",(AU149-BH149)/AU149)</f>
        <v/>
      </c>
      <c r="BJ149" s="81"/>
      <c r="BK149" s="83"/>
      <c r="BL149" s="43" t="str">
        <f aca="false">IFERROR(INDEX(ЗАКАЗЫ!$N$3:$N$500,MATCH($A149,ЗАКАЗЫ!$F$3:$F$500,0)),"")</f>
        <v/>
      </c>
      <c r="BM149" s="8" t="str">
        <f aca="false">IF(BL149="","",IFERROR(VLOOKUP(BL149,'ТН ВЭД'!$A$4:$C$40,3,0),""))</f>
        <v/>
      </c>
      <c r="BN149" s="7" t="str">
        <f aca="false">IF(COUNTIF(ЗАКАЗЫ!$F$3:$F$500,$A149)=0,"",SUMIF(ЗАКАЗЫ!$F$3:$F$500,$A149,ЗАКАЗЫ!$J$3:$J$500))</f>
        <v/>
      </c>
      <c r="BO149" s="7" t="str">
        <f aca="false">IF(BN149="","",SUMIF(ЗАКАЗЫ!$F$3:$F$500,$A149,ЗАКАЗЫ!$AL$3:$AL$500))</f>
        <v/>
      </c>
      <c r="BP149" s="7" t="str">
        <f aca="false">IF(BN149="","",BN149-BO149)</f>
        <v/>
      </c>
      <c r="BQ149" s="55" t="str">
        <f aca="false">IF(BN149="","",IF(BO149&gt;=BN149,"На складе",IF(BO149&gt;0,"Частично","Ждём")))</f>
        <v/>
      </c>
      <c r="BR149" s="43"/>
      <c r="BS149" s="47" t="str">
        <f aca="false">IF(BN149="","",IF(_xlfn.MAXIFS(ЗАКАЗЫ!$AK$3:$AK$500,ЗАКАЗЫ!$F$3:$F$500,$A149)=0,"",_xlfn.MAXIFS(ЗАКАЗЫ!$AK$3:$AK$500,ЗАКАЗЫ!$F$3:$F$500,$A149)))</f>
        <v/>
      </c>
    </row>
    <row r="150" customFormat="false" ht="15.75" hidden="false" customHeight="true" outlineLevel="0" collapsed="false">
      <c r="A150" s="80" t="s">
        <v>982</v>
      </c>
      <c r="B150" s="81"/>
      <c r="C150" s="81"/>
      <c r="D150" s="81"/>
      <c r="E150" s="83"/>
      <c r="F150" s="81"/>
      <c r="G150" s="83"/>
      <c r="H150" s="83"/>
      <c r="I150" s="84" t="str">
        <f aca="false">IF(E150="","",A150&amp;"_1.jpg")</f>
        <v/>
      </c>
      <c r="J150" s="84" t="str">
        <f aca="false">IF(E150="","",A150&amp;"_2.jpg; "&amp;A150&amp;"_3.jpg")</f>
        <v/>
      </c>
      <c r="K150" s="84" t="str">
        <f aca="false">IF(E150="","",A150&amp;"_schema.jpg")</f>
        <v/>
      </c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 t="s">
        <v>96</v>
      </c>
      <c r="W150" s="81"/>
      <c r="X150" s="81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6" t="str">
        <f aca="false">IF(SUM(Y150:AJ150)=0,"",SUM(Y150:AJ150))</f>
        <v/>
      </c>
      <c r="AL150" s="84" t="str">
        <f aca="false">MID(IF(N(Y150)&gt;0,", "&amp;Y$2,"")&amp;IF(N(Z150)&gt;0,", "&amp;Z$2,"")&amp;IF(N(AA150)&gt;0,", "&amp;AA$2,"")&amp;IF(N(AB150)&gt;0,", "&amp;AB$2,"")&amp;IF(N(AC150)&gt;0,", "&amp;AC$2,"")&amp;IF(N(AD150)&gt;0,", "&amp;AD$2,"")&amp;IF(N(AE150)&gt;0,", "&amp;AE$2,"")&amp;IF(N(AF150)&gt;0,", "&amp;AF$2,"")&amp;IF(N(AG150)&gt;0,", "&amp;AG$2,"")&amp;IF(N(AH150)&gt;0,", "&amp;AH$2,"")&amp;IF(N(AI150)&gt;0,", "&amp;AI$2,"")&amp;IF(N(AJ150)&gt;0,", "&amp;AJ$2,""),3,999)</f>
        <v/>
      </c>
      <c r="AM150" s="87" t="str">
        <f aca="false">IF(E150="","",MID(IF(N(Y150)&gt;0,", "&amp;A150&amp;"-"&amp;Y$2,"")&amp;IF(N(Z150)&gt;0,", "&amp;A150&amp;"-"&amp;Z$2,"")&amp;IF(N(AA150)&gt;0,", "&amp;A150&amp;"-"&amp;AA$2,"")&amp;IF(N(AB150)&gt;0,", "&amp;A150&amp;"-"&amp;AB$2,"")&amp;IF(N(AC150)&gt;0,", "&amp;A150&amp;"-"&amp;AC$2,"")&amp;IF(N(AD150)&gt;0,", "&amp;A150&amp;"-"&amp;AD$2,"")&amp;IF(N(AE150)&gt;0,", "&amp;A150&amp;"-"&amp;AE$2,"")&amp;IF(N(AF150)&gt;0,", "&amp;A150&amp;"-"&amp;AF$2,"")&amp;IF(N(AG150)&gt;0,", "&amp;A150&amp;"-"&amp;AG$2,"")&amp;IF(N(AH150)&gt;0,", "&amp;A150&amp;"-"&amp;AH$2,"")&amp;IF(N(AI150)&gt;0,", "&amp;A150&amp;"-"&amp;AI$2,"")&amp;IF(N(AJ150)&gt;0,", "&amp;A150&amp;"-"&amp;AJ$2,""),3,999))</f>
        <v/>
      </c>
      <c r="AN150" s="81"/>
      <c r="AO150" s="88"/>
      <c r="AP150" s="89" t="str">
        <f aca="false">IF(AO150="","",ROUND(AO150/(1+Справочники!$B$13),2))</f>
        <v/>
      </c>
      <c r="AQ150" s="90" t="str">
        <f aca="false" t="array" ref="AQ150:AQ150">IF(AP150="","",AP150*INDEX(Справочники!$B$4:$B$7,MATCH("RUB",Справочники!$A$4:$A$7,0)))</f>
        <v/>
      </c>
      <c r="AR150" s="90" t="str">
        <f aca="false">IF(AQ150="","",ROUND(AQ150*(1+Справочники!$B$12),0))</f>
        <v/>
      </c>
      <c r="AS150" s="90" t="str">
        <f aca="false">IF(AR150="","",ROUND(AR150*(1-Справочники!$B$11),0))</f>
        <v/>
      </c>
      <c r="AT150" s="88"/>
      <c r="AU150" s="90" t="str">
        <f aca="false">IF(AT150="","",ROUND(AT150/(1+Справочники!$B$12),0))</f>
        <v/>
      </c>
      <c r="AV150" s="90" t="str">
        <f aca="false">IF(AT150="","",ROUND(AT150*(1-Справочники!$B$15),0))</f>
        <v/>
      </c>
      <c r="AW150" s="90" t="str">
        <f aca="false">IF(AT150="","",ROUND(AT150*(1-Справочники!$B$16),0))</f>
        <v/>
      </c>
      <c r="AX150" s="90" t="str">
        <f aca="false">IF(AT150="","",ROUND(AT150*(1-Справочники!$B$17),0))</f>
        <v/>
      </c>
      <c r="AY150" s="90" t="str">
        <f aca="false">IF(AT150="","",ROUND(AT150*(1-Справочники!$B$18),0))</f>
        <v/>
      </c>
      <c r="AZ150" s="90" t="str">
        <f aca="false">IF(AT150="","",ROUND(AT150*(1-Справочники!$B$19),0))</f>
        <v/>
      </c>
      <c r="BA150" s="81"/>
      <c r="BB150" s="81"/>
      <c r="BC150" s="81"/>
      <c r="BD150" s="81"/>
      <c r="BE150" s="91"/>
      <c r="BF150" s="81" t="s">
        <v>103</v>
      </c>
      <c r="BG150" s="89" t="n">
        <f aca="false" t="array" ref="BG150:BG150">IF(BF150="","",IFERROR(INDEX(Справочники!$B$4:$B$7,MATCH(BF150,Справочники!$A$4:$A$7,0)),""))</f>
        <v>68.5</v>
      </c>
      <c r="BH150" s="90" t="str">
        <f aca="false">IF(N(BN150)&gt;0,ROUND(SUMIF(ЗАКАЗЫ!$F$3:$F$500,$A150,ЗАКАЗЫ!$Y$3:$Y$500)/BN150,0),IF(OR(BE150="",BG150=""),"",ROUND(BE150*BG150*(1+Справочники!$B$10),0)))</f>
        <v/>
      </c>
      <c r="BI150" s="92" t="str">
        <f aca="false">IF(OR(AU150="",BH150="",AU150=0),"",(AU150-BH150)/AU150)</f>
        <v/>
      </c>
      <c r="BJ150" s="81"/>
      <c r="BK150" s="83"/>
      <c r="BL150" s="43" t="str">
        <f aca="false">IFERROR(INDEX(ЗАКАЗЫ!$N$3:$N$500,MATCH($A150,ЗАКАЗЫ!$F$3:$F$500,0)),"")</f>
        <v/>
      </c>
      <c r="BM150" s="8" t="str">
        <f aca="false">IF(BL150="","",IFERROR(VLOOKUP(BL150,'ТН ВЭД'!$A$4:$C$40,3,0),""))</f>
        <v/>
      </c>
      <c r="BN150" s="7" t="str">
        <f aca="false">IF(COUNTIF(ЗАКАЗЫ!$F$3:$F$500,$A150)=0,"",SUMIF(ЗАКАЗЫ!$F$3:$F$500,$A150,ЗАКАЗЫ!$J$3:$J$500))</f>
        <v/>
      </c>
      <c r="BO150" s="7" t="str">
        <f aca="false">IF(BN150="","",SUMIF(ЗАКАЗЫ!$F$3:$F$500,$A150,ЗАКАЗЫ!$AL$3:$AL$500))</f>
        <v/>
      </c>
      <c r="BP150" s="7" t="str">
        <f aca="false">IF(BN150="","",BN150-BO150)</f>
        <v/>
      </c>
      <c r="BQ150" s="55" t="str">
        <f aca="false">IF(BN150="","",IF(BO150&gt;=BN150,"На складе",IF(BO150&gt;0,"Частично","Ждём")))</f>
        <v/>
      </c>
      <c r="BR150" s="43"/>
      <c r="BS150" s="47" t="str">
        <f aca="false">IF(BN150="","",IF(_xlfn.MAXIFS(ЗАКАЗЫ!$AK$3:$AK$500,ЗАКАЗЫ!$F$3:$F$500,$A150)=0,"",_xlfn.MAXIFS(ЗАКАЗЫ!$AK$3:$AK$500,ЗАКАЗЫ!$F$3:$F$500,$A150)))</f>
        <v/>
      </c>
    </row>
    <row r="151" customFormat="false" ht="15.75" hidden="false" customHeight="true" outlineLevel="0" collapsed="false">
      <c r="A151" s="80" t="s">
        <v>983</v>
      </c>
      <c r="B151" s="81"/>
      <c r="C151" s="81"/>
      <c r="D151" s="81"/>
      <c r="E151" s="83"/>
      <c r="F151" s="81"/>
      <c r="G151" s="83"/>
      <c r="H151" s="83"/>
      <c r="I151" s="84" t="str">
        <f aca="false">IF(E151="","",A151&amp;"_1.jpg")</f>
        <v/>
      </c>
      <c r="J151" s="84" t="str">
        <f aca="false">IF(E151="","",A151&amp;"_2.jpg; "&amp;A151&amp;"_3.jpg")</f>
        <v/>
      </c>
      <c r="K151" s="84" t="str">
        <f aca="false">IF(E151="","",A151&amp;"_schema.jpg")</f>
        <v/>
      </c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 t="s">
        <v>96</v>
      </c>
      <c r="W151" s="81"/>
      <c r="X151" s="81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6" t="str">
        <f aca="false">IF(SUM(Y151:AJ151)=0,"",SUM(Y151:AJ151))</f>
        <v/>
      </c>
      <c r="AL151" s="84" t="str">
        <f aca="false">MID(IF(N(Y151)&gt;0,", "&amp;Y$2,"")&amp;IF(N(Z151)&gt;0,", "&amp;Z$2,"")&amp;IF(N(AA151)&gt;0,", "&amp;AA$2,"")&amp;IF(N(AB151)&gt;0,", "&amp;AB$2,"")&amp;IF(N(AC151)&gt;0,", "&amp;AC$2,"")&amp;IF(N(AD151)&gt;0,", "&amp;AD$2,"")&amp;IF(N(AE151)&gt;0,", "&amp;AE$2,"")&amp;IF(N(AF151)&gt;0,", "&amp;AF$2,"")&amp;IF(N(AG151)&gt;0,", "&amp;AG$2,"")&amp;IF(N(AH151)&gt;0,", "&amp;AH$2,"")&amp;IF(N(AI151)&gt;0,", "&amp;AI$2,"")&amp;IF(N(AJ151)&gt;0,", "&amp;AJ$2,""),3,999)</f>
        <v/>
      </c>
      <c r="AM151" s="87" t="str">
        <f aca="false">IF(E151="","",MID(IF(N(Y151)&gt;0,", "&amp;A151&amp;"-"&amp;Y$2,"")&amp;IF(N(Z151)&gt;0,", "&amp;A151&amp;"-"&amp;Z$2,"")&amp;IF(N(AA151)&gt;0,", "&amp;A151&amp;"-"&amp;AA$2,"")&amp;IF(N(AB151)&gt;0,", "&amp;A151&amp;"-"&amp;AB$2,"")&amp;IF(N(AC151)&gt;0,", "&amp;A151&amp;"-"&amp;AC$2,"")&amp;IF(N(AD151)&gt;0,", "&amp;A151&amp;"-"&amp;AD$2,"")&amp;IF(N(AE151)&gt;0,", "&amp;A151&amp;"-"&amp;AE$2,"")&amp;IF(N(AF151)&gt;0,", "&amp;A151&amp;"-"&amp;AF$2,"")&amp;IF(N(AG151)&gt;0,", "&amp;A151&amp;"-"&amp;AG$2,"")&amp;IF(N(AH151)&gt;0,", "&amp;A151&amp;"-"&amp;AH$2,"")&amp;IF(N(AI151)&gt;0,", "&amp;A151&amp;"-"&amp;AI$2,"")&amp;IF(N(AJ151)&gt;0,", "&amp;A151&amp;"-"&amp;AJ$2,""),3,999))</f>
        <v/>
      </c>
      <c r="AN151" s="81"/>
      <c r="AO151" s="88"/>
      <c r="AP151" s="89" t="str">
        <f aca="false">IF(AO151="","",ROUND(AO151/(1+Справочники!$B$13),2))</f>
        <v/>
      </c>
      <c r="AQ151" s="90" t="str">
        <f aca="false" t="array" ref="AQ151:AQ151">IF(AP151="","",AP151*INDEX(Справочники!$B$4:$B$7,MATCH("RUB",Справочники!$A$4:$A$7,0)))</f>
        <v/>
      </c>
      <c r="AR151" s="90" t="str">
        <f aca="false">IF(AQ151="","",ROUND(AQ151*(1+Справочники!$B$12),0))</f>
        <v/>
      </c>
      <c r="AS151" s="90" t="str">
        <f aca="false">IF(AR151="","",ROUND(AR151*(1-Справочники!$B$11),0))</f>
        <v/>
      </c>
      <c r="AT151" s="88"/>
      <c r="AU151" s="90" t="str">
        <f aca="false">IF(AT151="","",ROUND(AT151/(1+Справочники!$B$12),0))</f>
        <v/>
      </c>
      <c r="AV151" s="90" t="str">
        <f aca="false">IF(AT151="","",ROUND(AT151*(1-Справочники!$B$15),0))</f>
        <v/>
      </c>
      <c r="AW151" s="90" t="str">
        <f aca="false">IF(AT151="","",ROUND(AT151*(1-Справочники!$B$16),0))</f>
        <v/>
      </c>
      <c r="AX151" s="90" t="str">
        <f aca="false">IF(AT151="","",ROUND(AT151*(1-Справочники!$B$17),0))</f>
        <v/>
      </c>
      <c r="AY151" s="90" t="str">
        <f aca="false">IF(AT151="","",ROUND(AT151*(1-Справочники!$B$18),0))</f>
        <v/>
      </c>
      <c r="AZ151" s="90" t="str">
        <f aca="false">IF(AT151="","",ROUND(AT151*(1-Справочники!$B$19),0))</f>
        <v/>
      </c>
      <c r="BA151" s="81"/>
      <c r="BB151" s="81"/>
      <c r="BC151" s="81"/>
      <c r="BD151" s="81"/>
      <c r="BE151" s="91"/>
      <c r="BF151" s="81" t="s">
        <v>103</v>
      </c>
      <c r="BG151" s="89" t="n">
        <f aca="false" t="array" ref="BG151:BG151">IF(BF151="","",IFERROR(INDEX(Справочники!$B$4:$B$7,MATCH(BF151,Справочники!$A$4:$A$7,0)),""))</f>
        <v>68.5</v>
      </c>
      <c r="BH151" s="90" t="str">
        <f aca="false">IF(N(BN151)&gt;0,ROUND(SUMIF(ЗАКАЗЫ!$F$3:$F$500,$A151,ЗАКАЗЫ!$Y$3:$Y$500)/BN151,0),IF(OR(BE151="",BG151=""),"",ROUND(BE151*BG151*(1+Справочники!$B$10),0)))</f>
        <v/>
      </c>
      <c r="BI151" s="92" t="str">
        <f aca="false">IF(OR(AU151="",BH151="",AU151=0),"",(AU151-BH151)/AU151)</f>
        <v/>
      </c>
      <c r="BJ151" s="81"/>
      <c r="BK151" s="83"/>
      <c r="BL151" s="43" t="str">
        <f aca="false">IFERROR(INDEX(ЗАКАЗЫ!$N$3:$N$500,MATCH($A151,ЗАКАЗЫ!$F$3:$F$500,0)),"")</f>
        <v/>
      </c>
      <c r="BM151" s="8" t="str">
        <f aca="false">IF(BL151="","",IFERROR(VLOOKUP(BL151,'ТН ВЭД'!$A$4:$C$40,3,0),""))</f>
        <v/>
      </c>
      <c r="BN151" s="7" t="str">
        <f aca="false">IF(COUNTIF(ЗАКАЗЫ!$F$3:$F$500,$A151)=0,"",SUMIF(ЗАКАЗЫ!$F$3:$F$500,$A151,ЗАКАЗЫ!$J$3:$J$500))</f>
        <v/>
      </c>
      <c r="BO151" s="7" t="str">
        <f aca="false">IF(BN151="","",SUMIF(ЗАКАЗЫ!$F$3:$F$500,$A151,ЗАКАЗЫ!$AL$3:$AL$500))</f>
        <v/>
      </c>
      <c r="BP151" s="7" t="str">
        <f aca="false">IF(BN151="","",BN151-BO151)</f>
        <v/>
      </c>
      <c r="BQ151" s="55" t="str">
        <f aca="false">IF(BN151="","",IF(BO151&gt;=BN151,"На складе",IF(BO151&gt;0,"Частично","Ждём")))</f>
        <v/>
      </c>
      <c r="BR151" s="43"/>
      <c r="BS151" s="47" t="str">
        <f aca="false">IF(BN151="","",IF(_xlfn.MAXIFS(ЗАКАЗЫ!$AK$3:$AK$500,ЗАКАЗЫ!$F$3:$F$500,$A151)=0,"",_xlfn.MAXIFS(ЗАКАЗЫ!$AK$3:$AK$500,ЗАКАЗЫ!$F$3:$F$500,$A151)))</f>
        <v/>
      </c>
    </row>
    <row r="152" customFormat="false" ht="15.75" hidden="false" customHeight="true" outlineLevel="0" collapsed="false">
      <c r="A152" s="80" t="s">
        <v>984</v>
      </c>
      <c r="B152" s="81"/>
      <c r="C152" s="81"/>
      <c r="D152" s="81"/>
      <c r="E152" s="83"/>
      <c r="F152" s="81"/>
      <c r="G152" s="83"/>
      <c r="H152" s="83"/>
      <c r="I152" s="84" t="str">
        <f aca="false">IF(E152="","",A152&amp;"_1.jpg")</f>
        <v/>
      </c>
      <c r="J152" s="84" t="str">
        <f aca="false">IF(E152="","",A152&amp;"_2.jpg; "&amp;A152&amp;"_3.jpg")</f>
        <v/>
      </c>
      <c r="K152" s="84" t="str">
        <f aca="false">IF(E152="","",A152&amp;"_schema.jpg")</f>
        <v/>
      </c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 t="s">
        <v>96</v>
      </c>
      <c r="W152" s="81"/>
      <c r="X152" s="81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6" t="str">
        <f aca="false">IF(SUM(Y152:AJ152)=0,"",SUM(Y152:AJ152))</f>
        <v/>
      </c>
      <c r="AL152" s="84" t="str">
        <f aca="false">MID(IF(N(Y152)&gt;0,", "&amp;Y$2,"")&amp;IF(N(Z152)&gt;0,", "&amp;Z$2,"")&amp;IF(N(AA152)&gt;0,", "&amp;AA$2,"")&amp;IF(N(AB152)&gt;0,", "&amp;AB$2,"")&amp;IF(N(AC152)&gt;0,", "&amp;AC$2,"")&amp;IF(N(AD152)&gt;0,", "&amp;AD$2,"")&amp;IF(N(AE152)&gt;0,", "&amp;AE$2,"")&amp;IF(N(AF152)&gt;0,", "&amp;AF$2,"")&amp;IF(N(AG152)&gt;0,", "&amp;AG$2,"")&amp;IF(N(AH152)&gt;0,", "&amp;AH$2,"")&amp;IF(N(AI152)&gt;0,", "&amp;AI$2,"")&amp;IF(N(AJ152)&gt;0,", "&amp;AJ$2,""),3,999)</f>
        <v/>
      </c>
      <c r="AM152" s="87" t="str">
        <f aca="false">IF(E152="","",MID(IF(N(Y152)&gt;0,", "&amp;A152&amp;"-"&amp;Y$2,"")&amp;IF(N(Z152)&gt;0,", "&amp;A152&amp;"-"&amp;Z$2,"")&amp;IF(N(AA152)&gt;0,", "&amp;A152&amp;"-"&amp;AA$2,"")&amp;IF(N(AB152)&gt;0,", "&amp;A152&amp;"-"&amp;AB$2,"")&amp;IF(N(AC152)&gt;0,", "&amp;A152&amp;"-"&amp;AC$2,"")&amp;IF(N(AD152)&gt;0,", "&amp;A152&amp;"-"&amp;AD$2,"")&amp;IF(N(AE152)&gt;0,", "&amp;A152&amp;"-"&amp;AE$2,"")&amp;IF(N(AF152)&gt;0,", "&amp;A152&amp;"-"&amp;AF$2,"")&amp;IF(N(AG152)&gt;0,", "&amp;A152&amp;"-"&amp;AG$2,"")&amp;IF(N(AH152)&gt;0,", "&amp;A152&amp;"-"&amp;AH$2,"")&amp;IF(N(AI152)&gt;0,", "&amp;A152&amp;"-"&amp;AI$2,"")&amp;IF(N(AJ152)&gt;0,", "&amp;A152&amp;"-"&amp;AJ$2,""),3,999))</f>
        <v/>
      </c>
      <c r="AN152" s="81"/>
      <c r="AO152" s="88"/>
      <c r="AP152" s="89" t="str">
        <f aca="false">IF(AO152="","",ROUND(AO152/(1+Справочники!$B$13),2))</f>
        <v/>
      </c>
      <c r="AQ152" s="90" t="str">
        <f aca="false" t="array" ref="AQ152:AQ152">IF(AP152="","",AP152*INDEX(Справочники!$B$4:$B$7,MATCH("RUB",Справочники!$A$4:$A$7,0)))</f>
        <v/>
      </c>
      <c r="AR152" s="90" t="str">
        <f aca="false">IF(AQ152="","",ROUND(AQ152*(1+Справочники!$B$12),0))</f>
        <v/>
      </c>
      <c r="AS152" s="90" t="str">
        <f aca="false">IF(AR152="","",ROUND(AR152*(1-Справочники!$B$11),0))</f>
        <v/>
      </c>
      <c r="AT152" s="88"/>
      <c r="AU152" s="90" t="str">
        <f aca="false">IF(AT152="","",ROUND(AT152/(1+Справочники!$B$12),0))</f>
        <v/>
      </c>
      <c r="AV152" s="90" t="str">
        <f aca="false">IF(AT152="","",ROUND(AT152*(1-Справочники!$B$15),0))</f>
        <v/>
      </c>
      <c r="AW152" s="90" t="str">
        <f aca="false">IF(AT152="","",ROUND(AT152*(1-Справочники!$B$16),0))</f>
        <v/>
      </c>
      <c r="AX152" s="90" t="str">
        <f aca="false">IF(AT152="","",ROUND(AT152*(1-Справочники!$B$17),0))</f>
        <v/>
      </c>
      <c r="AY152" s="90" t="str">
        <f aca="false">IF(AT152="","",ROUND(AT152*(1-Справочники!$B$18),0))</f>
        <v/>
      </c>
      <c r="AZ152" s="90" t="str">
        <f aca="false">IF(AT152="","",ROUND(AT152*(1-Справочники!$B$19),0))</f>
        <v/>
      </c>
      <c r="BA152" s="81"/>
      <c r="BB152" s="81"/>
      <c r="BC152" s="81"/>
      <c r="BD152" s="81"/>
      <c r="BE152" s="91"/>
      <c r="BF152" s="81" t="s">
        <v>103</v>
      </c>
      <c r="BG152" s="89" t="n">
        <f aca="false" t="array" ref="BG152:BG152">IF(BF152="","",IFERROR(INDEX(Справочники!$B$4:$B$7,MATCH(BF152,Справочники!$A$4:$A$7,0)),""))</f>
        <v>68.5</v>
      </c>
      <c r="BH152" s="90" t="str">
        <f aca="false">IF(N(BN152)&gt;0,ROUND(SUMIF(ЗАКАЗЫ!$F$3:$F$500,$A152,ЗАКАЗЫ!$Y$3:$Y$500)/BN152,0),IF(OR(BE152="",BG152=""),"",ROUND(BE152*BG152*(1+Справочники!$B$10),0)))</f>
        <v/>
      </c>
      <c r="BI152" s="92" t="str">
        <f aca="false">IF(OR(AU152="",BH152="",AU152=0),"",(AU152-BH152)/AU152)</f>
        <v/>
      </c>
      <c r="BJ152" s="81"/>
      <c r="BK152" s="83"/>
      <c r="BL152" s="43" t="str">
        <f aca="false">IFERROR(INDEX(ЗАКАЗЫ!$N$3:$N$500,MATCH($A152,ЗАКАЗЫ!$F$3:$F$500,0)),"")</f>
        <v/>
      </c>
      <c r="BM152" s="8" t="str">
        <f aca="false">IF(BL152="","",IFERROR(VLOOKUP(BL152,'ТН ВЭД'!$A$4:$C$40,3,0),""))</f>
        <v/>
      </c>
      <c r="BN152" s="7" t="str">
        <f aca="false">IF(COUNTIF(ЗАКАЗЫ!$F$3:$F$500,$A152)=0,"",SUMIF(ЗАКАЗЫ!$F$3:$F$500,$A152,ЗАКАЗЫ!$J$3:$J$500))</f>
        <v/>
      </c>
      <c r="BO152" s="7" t="str">
        <f aca="false">IF(BN152="","",SUMIF(ЗАКАЗЫ!$F$3:$F$500,$A152,ЗАКАЗЫ!$AL$3:$AL$500))</f>
        <v/>
      </c>
      <c r="BP152" s="7" t="str">
        <f aca="false">IF(BN152="","",BN152-BO152)</f>
        <v/>
      </c>
      <c r="BQ152" s="55" t="str">
        <f aca="false">IF(BN152="","",IF(BO152&gt;=BN152,"На складе",IF(BO152&gt;0,"Частично","Ждём")))</f>
        <v/>
      </c>
      <c r="BR152" s="43"/>
      <c r="BS152" s="47" t="str">
        <f aca="false">IF(BN152="","",IF(_xlfn.MAXIFS(ЗАКАЗЫ!$AK$3:$AK$500,ЗАКАЗЫ!$F$3:$F$500,$A152)=0,"",_xlfn.MAXIFS(ЗАКАЗЫ!$AK$3:$AK$500,ЗАКАЗЫ!$F$3:$F$500,$A152)))</f>
        <v/>
      </c>
    </row>
    <row r="153" customFormat="false" ht="15.75" hidden="false" customHeight="true" outlineLevel="0" collapsed="false">
      <c r="A153" s="80" t="s">
        <v>985</v>
      </c>
      <c r="B153" s="81"/>
      <c r="C153" s="81"/>
      <c r="D153" s="81"/>
      <c r="E153" s="83"/>
      <c r="F153" s="81"/>
      <c r="G153" s="83"/>
      <c r="H153" s="83"/>
      <c r="I153" s="84" t="str">
        <f aca="false">IF(E153="","",A153&amp;"_1.jpg")</f>
        <v/>
      </c>
      <c r="J153" s="84" t="str">
        <f aca="false">IF(E153="","",A153&amp;"_2.jpg; "&amp;A153&amp;"_3.jpg")</f>
        <v/>
      </c>
      <c r="K153" s="84" t="str">
        <f aca="false">IF(E153="","",A153&amp;"_schema.jpg")</f>
        <v/>
      </c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 t="s">
        <v>96</v>
      </c>
      <c r="W153" s="81"/>
      <c r="X153" s="81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6" t="str">
        <f aca="false">IF(SUM(Y153:AJ153)=0,"",SUM(Y153:AJ153))</f>
        <v/>
      </c>
      <c r="AL153" s="84" t="str">
        <f aca="false">MID(IF(N(Y153)&gt;0,", "&amp;Y$2,"")&amp;IF(N(Z153)&gt;0,", "&amp;Z$2,"")&amp;IF(N(AA153)&gt;0,", "&amp;AA$2,"")&amp;IF(N(AB153)&gt;0,", "&amp;AB$2,"")&amp;IF(N(AC153)&gt;0,", "&amp;AC$2,"")&amp;IF(N(AD153)&gt;0,", "&amp;AD$2,"")&amp;IF(N(AE153)&gt;0,", "&amp;AE$2,"")&amp;IF(N(AF153)&gt;0,", "&amp;AF$2,"")&amp;IF(N(AG153)&gt;0,", "&amp;AG$2,"")&amp;IF(N(AH153)&gt;0,", "&amp;AH$2,"")&amp;IF(N(AI153)&gt;0,", "&amp;AI$2,"")&amp;IF(N(AJ153)&gt;0,", "&amp;AJ$2,""),3,999)</f>
        <v/>
      </c>
      <c r="AM153" s="87" t="str">
        <f aca="false">IF(E153="","",MID(IF(N(Y153)&gt;0,", "&amp;A153&amp;"-"&amp;Y$2,"")&amp;IF(N(Z153)&gt;0,", "&amp;A153&amp;"-"&amp;Z$2,"")&amp;IF(N(AA153)&gt;0,", "&amp;A153&amp;"-"&amp;AA$2,"")&amp;IF(N(AB153)&gt;0,", "&amp;A153&amp;"-"&amp;AB$2,"")&amp;IF(N(AC153)&gt;0,", "&amp;A153&amp;"-"&amp;AC$2,"")&amp;IF(N(AD153)&gt;0,", "&amp;A153&amp;"-"&amp;AD$2,"")&amp;IF(N(AE153)&gt;0,", "&amp;A153&amp;"-"&amp;AE$2,"")&amp;IF(N(AF153)&gt;0,", "&amp;A153&amp;"-"&amp;AF$2,"")&amp;IF(N(AG153)&gt;0,", "&amp;A153&amp;"-"&amp;AG$2,"")&amp;IF(N(AH153)&gt;0,", "&amp;A153&amp;"-"&amp;AH$2,"")&amp;IF(N(AI153)&gt;0,", "&amp;A153&amp;"-"&amp;AI$2,"")&amp;IF(N(AJ153)&gt;0,", "&amp;A153&amp;"-"&amp;AJ$2,""),3,999))</f>
        <v/>
      </c>
      <c r="AN153" s="81"/>
      <c r="AO153" s="88"/>
      <c r="AP153" s="89" t="str">
        <f aca="false">IF(AO153="","",ROUND(AO153/(1+Справочники!$B$13),2))</f>
        <v/>
      </c>
      <c r="AQ153" s="90" t="str">
        <f aca="false" t="array" ref="AQ153:AQ153">IF(AP153="","",AP153*INDEX(Справочники!$B$4:$B$7,MATCH("RUB",Справочники!$A$4:$A$7,0)))</f>
        <v/>
      </c>
      <c r="AR153" s="90" t="str">
        <f aca="false">IF(AQ153="","",ROUND(AQ153*(1+Справочники!$B$12),0))</f>
        <v/>
      </c>
      <c r="AS153" s="90" t="str">
        <f aca="false">IF(AR153="","",ROUND(AR153*(1-Справочники!$B$11),0))</f>
        <v/>
      </c>
      <c r="AT153" s="88"/>
      <c r="AU153" s="90" t="str">
        <f aca="false">IF(AT153="","",ROUND(AT153/(1+Справочники!$B$12),0))</f>
        <v/>
      </c>
      <c r="AV153" s="90" t="str">
        <f aca="false">IF(AT153="","",ROUND(AT153*(1-Справочники!$B$15),0))</f>
        <v/>
      </c>
      <c r="AW153" s="90" t="str">
        <f aca="false">IF(AT153="","",ROUND(AT153*(1-Справочники!$B$16),0))</f>
        <v/>
      </c>
      <c r="AX153" s="90" t="str">
        <f aca="false">IF(AT153="","",ROUND(AT153*(1-Справочники!$B$17),0))</f>
        <v/>
      </c>
      <c r="AY153" s="90" t="str">
        <f aca="false">IF(AT153="","",ROUND(AT153*(1-Справочники!$B$18),0))</f>
        <v/>
      </c>
      <c r="AZ153" s="90" t="str">
        <f aca="false">IF(AT153="","",ROUND(AT153*(1-Справочники!$B$19),0))</f>
        <v/>
      </c>
      <c r="BA153" s="81"/>
      <c r="BB153" s="81"/>
      <c r="BC153" s="81"/>
      <c r="BD153" s="81"/>
      <c r="BE153" s="91"/>
      <c r="BF153" s="81" t="s">
        <v>103</v>
      </c>
      <c r="BG153" s="89" t="n">
        <f aca="false" t="array" ref="BG153:BG153">IF(BF153="","",IFERROR(INDEX(Справочники!$B$4:$B$7,MATCH(BF153,Справочники!$A$4:$A$7,0)),""))</f>
        <v>68.5</v>
      </c>
      <c r="BH153" s="90" t="str">
        <f aca="false">IF(N(BN153)&gt;0,ROUND(SUMIF(ЗАКАЗЫ!$F$3:$F$500,$A153,ЗАКАЗЫ!$Y$3:$Y$500)/BN153,0),IF(OR(BE153="",BG153=""),"",ROUND(BE153*BG153*(1+Справочники!$B$10),0)))</f>
        <v/>
      </c>
      <c r="BI153" s="92" t="str">
        <f aca="false">IF(OR(AU153="",BH153="",AU153=0),"",(AU153-BH153)/AU153)</f>
        <v/>
      </c>
      <c r="BJ153" s="81"/>
      <c r="BK153" s="83"/>
      <c r="BL153" s="43" t="str">
        <f aca="false">IFERROR(INDEX(ЗАКАЗЫ!$N$3:$N$500,MATCH($A153,ЗАКАЗЫ!$F$3:$F$500,0)),"")</f>
        <v/>
      </c>
      <c r="BM153" s="8" t="str">
        <f aca="false">IF(BL153="","",IFERROR(VLOOKUP(BL153,'ТН ВЭД'!$A$4:$C$40,3,0),""))</f>
        <v/>
      </c>
      <c r="BN153" s="7" t="str">
        <f aca="false">IF(COUNTIF(ЗАКАЗЫ!$F$3:$F$500,$A153)=0,"",SUMIF(ЗАКАЗЫ!$F$3:$F$500,$A153,ЗАКАЗЫ!$J$3:$J$500))</f>
        <v/>
      </c>
      <c r="BO153" s="7" t="str">
        <f aca="false">IF(BN153="","",SUMIF(ЗАКАЗЫ!$F$3:$F$500,$A153,ЗАКАЗЫ!$AL$3:$AL$500))</f>
        <v/>
      </c>
      <c r="BP153" s="7" t="str">
        <f aca="false">IF(BN153="","",BN153-BO153)</f>
        <v/>
      </c>
      <c r="BQ153" s="55" t="str">
        <f aca="false">IF(BN153="","",IF(BO153&gt;=BN153,"На складе",IF(BO153&gt;0,"Частично","Ждём")))</f>
        <v/>
      </c>
      <c r="BR153" s="43"/>
      <c r="BS153" s="47" t="str">
        <f aca="false">IF(BN153="","",IF(_xlfn.MAXIFS(ЗАКАЗЫ!$AK$3:$AK$500,ЗАКАЗЫ!$F$3:$F$500,$A153)=0,"",_xlfn.MAXIFS(ЗАКАЗЫ!$AK$3:$AK$500,ЗАКАЗЫ!$F$3:$F$500,$A153)))</f>
        <v/>
      </c>
    </row>
    <row r="154" customFormat="false" ht="15.75" hidden="false" customHeight="true" outlineLevel="0" collapsed="false">
      <c r="A154" s="80" t="s">
        <v>986</v>
      </c>
      <c r="B154" s="81"/>
      <c r="C154" s="81"/>
      <c r="D154" s="81"/>
      <c r="E154" s="83"/>
      <c r="F154" s="81"/>
      <c r="G154" s="83"/>
      <c r="H154" s="83"/>
      <c r="I154" s="84" t="str">
        <f aca="false">IF(E154="","",A154&amp;"_1.jpg")</f>
        <v/>
      </c>
      <c r="J154" s="84" t="str">
        <f aca="false">IF(E154="","",A154&amp;"_2.jpg; "&amp;A154&amp;"_3.jpg")</f>
        <v/>
      </c>
      <c r="K154" s="84" t="str">
        <f aca="false">IF(E154="","",A154&amp;"_schema.jpg")</f>
        <v/>
      </c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 t="s">
        <v>96</v>
      </c>
      <c r="W154" s="81"/>
      <c r="X154" s="81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6" t="str">
        <f aca="false">IF(SUM(Y154:AJ154)=0,"",SUM(Y154:AJ154))</f>
        <v/>
      </c>
      <c r="AL154" s="84" t="str">
        <f aca="false">MID(IF(N(Y154)&gt;0,", "&amp;Y$2,"")&amp;IF(N(Z154)&gt;0,", "&amp;Z$2,"")&amp;IF(N(AA154)&gt;0,", "&amp;AA$2,"")&amp;IF(N(AB154)&gt;0,", "&amp;AB$2,"")&amp;IF(N(AC154)&gt;0,", "&amp;AC$2,"")&amp;IF(N(AD154)&gt;0,", "&amp;AD$2,"")&amp;IF(N(AE154)&gt;0,", "&amp;AE$2,"")&amp;IF(N(AF154)&gt;0,", "&amp;AF$2,"")&amp;IF(N(AG154)&gt;0,", "&amp;AG$2,"")&amp;IF(N(AH154)&gt;0,", "&amp;AH$2,"")&amp;IF(N(AI154)&gt;0,", "&amp;AI$2,"")&amp;IF(N(AJ154)&gt;0,", "&amp;AJ$2,""),3,999)</f>
        <v/>
      </c>
      <c r="AM154" s="87" t="str">
        <f aca="false">IF(E154="","",MID(IF(N(Y154)&gt;0,", "&amp;A154&amp;"-"&amp;Y$2,"")&amp;IF(N(Z154)&gt;0,", "&amp;A154&amp;"-"&amp;Z$2,"")&amp;IF(N(AA154)&gt;0,", "&amp;A154&amp;"-"&amp;AA$2,"")&amp;IF(N(AB154)&gt;0,", "&amp;A154&amp;"-"&amp;AB$2,"")&amp;IF(N(AC154)&gt;0,", "&amp;A154&amp;"-"&amp;AC$2,"")&amp;IF(N(AD154)&gt;0,", "&amp;A154&amp;"-"&amp;AD$2,"")&amp;IF(N(AE154)&gt;0,", "&amp;A154&amp;"-"&amp;AE$2,"")&amp;IF(N(AF154)&gt;0,", "&amp;A154&amp;"-"&amp;AF$2,"")&amp;IF(N(AG154)&gt;0,", "&amp;A154&amp;"-"&amp;AG$2,"")&amp;IF(N(AH154)&gt;0,", "&amp;A154&amp;"-"&amp;AH$2,"")&amp;IF(N(AI154)&gt;0,", "&amp;A154&amp;"-"&amp;AI$2,"")&amp;IF(N(AJ154)&gt;0,", "&amp;A154&amp;"-"&amp;AJ$2,""),3,999))</f>
        <v/>
      </c>
      <c r="AN154" s="81"/>
      <c r="AO154" s="88"/>
      <c r="AP154" s="89" t="str">
        <f aca="false">IF(AO154="","",ROUND(AO154/(1+Справочники!$B$13),2))</f>
        <v/>
      </c>
      <c r="AQ154" s="90" t="str">
        <f aca="false" t="array" ref="AQ154:AQ154">IF(AP154="","",AP154*INDEX(Справочники!$B$4:$B$7,MATCH("RUB",Справочники!$A$4:$A$7,0)))</f>
        <v/>
      </c>
      <c r="AR154" s="90" t="str">
        <f aca="false">IF(AQ154="","",ROUND(AQ154*(1+Справочники!$B$12),0))</f>
        <v/>
      </c>
      <c r="AS154" s="90" t="str">
        <f aca="false">IF(AR154="","",ROUND(AR154*(1-Справочники!$B$11),0))</f>
        <v/>
      </c>
      <c r="AT154" s="88"/>
      <c r="AU154" s="90" t="str">
        <f aca="false">IF(AT154="","",ROUND(AT154/(1+Справочники!$B$12),0))</f>
        <v/>
      </c>
      <c r="AV154" s="90" t="str">
        <f aca="false">IF(AT154="","",ROUND(AT154*(1-Справочники!$B$15),0))</f>
        <v/>
      </c>
      <c r="AW154" s="90" t="str">
        <f aca="false">IF(AT154="","",ROUND(AT154*(1-Справочники!$B$16),0))</f>
        <v/>
      </c>
      <c r="AX154" s="90" t="str">
        <f aca="false">IF(AT154="","",ROUND(AT154*(1-Справочники!$B$17),0))</f>
        <v/>
      </c>
      <c r="AY154" s="90" t="str">
        <f aca="false">IF(AT154="","",ROUND(AT154*(1-Справочники!$B$18),0))</f>
        <v/>
      </c>
      <c r="AZ154" s="90" t="str">
        <f aca="false">IF(AT154="","",ROUND(AT154*(1-Справочники!$B$19),0))</f>
        <v/>
      </c>
      <c r="BA154" s="81"/>
      <c r="BB154" s="81"/>
      <c r="BC154" s="81"/>
      <c r="BD154" s="81"/>
      <c r="BE154" s="91"/>
      <c r="BF154" s="81" t="s">
        <v>103</v>
      </c>
      <c r="BG154" s="89" t="n">
        <f aca="false" t="array" ref="BG154:BG154">IF(BF154="","",IFERROR(INDEX(Справочники!$B$4:$B$7,MATCH(BF154,Справочники!$A$4:$A$7,0)),""))</f>
        <v>68.5</v>
      </c>
      <c r="BH154" s="90" t="str">
        <f aca="false">IF(N(BN154)&gt;0,ROUND(SUMIF(ЗАКАЗЫ!$F$3:$F$500,$A154,ЗАКАЗЫ!$Y$3:$Y$500)/BN154,0),IF(OR(BE154="",BG154=""),"",ROUND(BE154*BG154*(1+Справочники!$B$10),0)))</f>
        <v/>
      </c>
      <c r="BI154" s="92" t="str">
        <f aca="false">IF(OR(AU154="",BH154="",AU154=0),"",(AU154-BH154)/AU154)</f>
        <v/>
      </c>
      <c r="BJ154" s="81"/>
      <c r="BK154" s="83"/>
      <c r="BL154" s="43" t="str">
        <f aca="false">IFERROR(INDEX(ЗАКАЗЫ!$N$3:$N$500,MATCH($A154,ЗАКАЗЫ!$F$3:$F$500,0)),"")</f>
        <v/>
      </c>
      <c r="BM154" s="8" t="str">
        <f aca="false">IF(BL154="","",IFERROR(VLOOKUP(BL154,'ТН ВЭД'!$A$4:$C$40,3,0),""))</f>
        <v/>
      </c>
      <c r="BN154" s="7" t="str">
        <f aca="false">IF(COUNTIF(ЗАКАЗЫ!$F$3:$F$500,$A154)=0,"",SUMIF(ЗАКАЗЫ!$F$3:$F$500,$A154,ЗАКАЗЫ!$J$3:$J$500))</f>
        <v/>
      </c>
      <c r="BO154" s="7" t="str">
        <f aca="false">IF(BN154="","",SUMIF(ЗАКАЗЫ!$F$3:$F$500,$A154,ЗАКАЗЫ!$AL$3:$AL$500))</f>
        <v/>
      </c>
      <c r="BP154" s="7" t="str">
        <f aca="false">IF(BN154="","",BN154-BO154)</f>
        <v/>
      </c>
      <c r="BQ154" s="55" t="str">
        <f aca="false">IF(BN154="","",IF(BO154&gt;=BN154,"На складе",IF(BO154&gt;0,"Частично","Ждём")))</f>
        <v/>
      </c>
      <c r="BR154" s="43"/>
      <c r="BS154" s="47" t="str">
        <f aca="false">IF(BN154="","",IF(_xlfn.MAXIFS(ЗАКАЗЫ!$AK$3:$AK$500,ЗАКАЗЫ!$F$3:$F$500,$A154)=0,"",_xlfn.MAXIFS(ЗАКАЗЫ!$AK$3:$AK$500,ЗАКАЗЫ!$F$3:$F$500,$A154)))</f>
        <v/>
      </c>
    </row>
    <row r="155" customFormat="false" ht="15.75" hidden="false" customHeight="true" outlineLevel="0" collapsed="false">
      <c r="A155" s="80" t="s">
        <v>987</v>
      </c>
      <c r="B155" s="81"/>
      <c r="C155" s="81"/>
      <c r="D155" s="81"/>
      <c r="E155" s="83"/>
      <c r="F155" s="81"/>
      <c r="G155" s="83"/>
      <c r="H155" s="83"/>
      <c r="I155" s="84" t="str">
        <f aca="false">IF(E155="","",A155&amp;"_1.jpg")</f>
        <v/>
      </c>
      <c r="J155" s="84" t="str">
        <f aca="false">IF(E155="","",A155&amp;"_2.jpg; "&amp;A155&amp;"_3.jpg")</f>
        <v/>
      </c>
      <c r="K155" s="84" t="str">
        <f aca="false">IF(E155="","",A155&amp;"_schema.jpg")</f>
        <v/>
      </c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 t="s">
        <v>96</v>
      </c>
      <c r="W155" s="81"/>
      <c r="X155" s="81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6" t="str">
        <f aca="false">IF(SUM(Y155:AJ155)=0,"",SUM(Y155:AJ155))</f>
        <v/>
      </c>
      <c r="AL155" s="84" t="str">
        <f aca="false">MID(IF(N(Y155)&gt;0,", "&amp;Y$2,"")&amp;IF(N(Z155)&gt;0,", "&amp;Z$2,"")&amp;IF(N(AA155)&gt;0,", "&amp;AA$2,"")&amp;IF(N(AB155)&gt;0,", "&amp;AB$2,"")&amp;IF(N(AC155)&gt;0,", "&amp;AC$2,"")&amp;IF(N(AD155)&gt;0,", "&amp;AD$2,"")&amp;IF(N(AE155)&gt;0,", "&amp;AE$2,"")&amp;IF(N(AF155)&gt;0,", "&amp;AF$2,"")&amp;IF(N(AG155)&gt;0,", "&amp;AG$2,"")&amp;IF(N(AH155)&gt;0,", "&amp;AH$2,"")&amp;IF(N(AI155)&gt;0,", "&amp;AI$2,"")&amp;IF(N(AJ155)&gt;0,", "&amp;AJ$2,""),3,999)</f>
        <v/>
      </c>
      <c r="AM155" s="87" t="str">
        <f aca="false">IF(E155="","",MID(IF(N(Y155)&gt;0,", "&amp;A155&amp;"-"&amp;Y$2,"")&amp;IF(N(Z155)&gt;0,", "&amp;A155&amp;"-"&amp;Z$2,"")&amp;IF(N(AA155)&gt;0,", "&amp;A155&amp;"-"&amp;AA$2,"")&amp;IF(N(AB155)&gt;0,", "&amp;A155&amp;"-"&amp;AB$2,"")&amp;IF(N(AC155)&gt;0,", "&amp;A155&amp;"-"&amp;AC$2,"")&amp;IF(N(AD155)&gt;0,", "&amp;A155&amp;"-"&amp;AD$2,"")&amp;IF(N(AE155)&gt;0,", "&amp;A155&amp;"-"&amp;AE$2,"")&amp;IF(N(AF155)&gt;0,", "&amp;A155&amp;"-"&amp;AF$2,"")&amp;IF(N(AG155)&gt;0,", "&amp;A155&amp;"-"&amp;AG$2,"")&amp;IF(N(AH155)&gt;0,", "&amp;A155&amp;"-"&amp;AH$2,"")&amp;IF(N(AI155)&gt;0,", "&amp;A155&amp;"-"&amp;AI$2,"")&amp;IF(N(AJ155)&gt;0,", "&amp;A155&amp;"-"&amp;AJ$2,""),3,999))</f>
        <v/>
      </c>
      <c r="AN155" s="81"/>
      <c r="AO155" s="88"/>
      <c r="AP155" s="89" t="str">
        <f aca="false">IF(AO155="","",ROUND(AO155/(1+Справочники!$B$13),2))</f>
        <v/>
      </c>
      <c r="AQ155" s="90" t="str">
        <f aca="false" t="array" ref="AQ155:AQ155">IF(AP155="","",AP155*INDEX(Справочники!$B$4:$B$7,MATCH("RUB",Справочники!$A$4:$A$7,0)))</f>
        <v/>
      </c>
      <c r="AR155" s="90" t="str">
        <f aca="false">IF(AQ155="","",ROUND(AQ155*(1+Справочники!$B$12),0))</f>
        <v/>
      </c>
      <c r="AS155" s="90" t="str">
        <f aca="false">IF(AR155="","",ROUND(AR155*(1-Справочники!$B$11),0))</f>
        <v/>
      </c>
      <c r="AT155" s="88"/>
      <c r="AU155" s="90" t="str">
        <f aca="false">IF(AT155="","",ROUND(AT155/(1+Справочники!$B$12),0))</f>
        <v/>
      </c>
      <c r="AV155" s="90" t="str">
        <f aca="false">IF(AT155="","",ROUND(AT155*(1-Справочники!$B$15),0))</f>
        <v/>
      </c>
      <c r="AW155" s="90" t="str">
        <f aca="false">IF(AT155="","",ROUND(AT155*(1-Справочники!$B$16),0))</f>
        <v/>
      </c>
      <c r="AX155" s="90" t="str">
        <f aca="false">IF(AT155="","",ROUND(AT155*(1-Справочники!$B$17),0))</f>
        <v/>
      </c>
      <c r="AY155" s="90" t="str">
        <f aca="false">IF(AT155="","",ROUND(AT155*(1-Справочники!$B$18),0))</f>
        <v/>
      </c>
      <c r="AZ155" s="90" t="str">
        <f aca="false">IF(AT155="","",ROUND(AT155*(1-Справочники!$B$19),0))</f>
        <v/>
      </c>
      <c r="BA155" s="81"/>
      <c r="BB155" s="81"/>
      <c r="BC155" s="81"/>
      <c r="BD155" s="81"/>
      <c r="BE155" s="91"/>
      <c r="BF155" s="81" t="s">
        <v>103</v>
      </c>
      <c r="BG155" s="89" t="n">
        <f aca="false" t="array" ref="BG155:BG155">IF(BF155="","",IFERROR(INDEX(Справочники!$B$4:$B$7,MATCH(BF155,Справочники!$A$4:$A$7,0)),""))</f>
        <v>68.5</v>
      </c>
      <c r="BH155" s="90" t="str">
        <f aca="false">IF(N(BN155)&gt;0,ROUND(SUMIF(ЗАКАЗЫ!$F$3:$F$500,$A155,ЗАКАЗЫ!$Y$3:$Y$500)/BN155,0),IF(OR(BE155="",BG155=""),"",ROUND(BE155*BG155*(1+Справочники!$B$10),0)))</f>
        <v/>
      </c>
      <c r="BI155" s="92" t="str">
        <f aca="false">IF(OR(AU155="",BH155="",AU155=0),"",(AU155-BH155)/AU155)</f>
        <v/>
      </c>
      <c r="BJ155" s="81"/>
      <c r="BK155" s="83"/>
      <c r="BL155" s="43" t="str">
        <f aca="false">IFERROR(INDEX(ЗАКАЗЫ!$N$3:$N$500,MATCH($A155,ЗАКАЗЫ!$F$3:$F$500,0)),"")</f>
        <v/>
      </c>
      <c r="BM155" s="8" t="str">
        <f aca="false">IF(BL155="","",IFERROR(VLOOKUP(BL155,'ТН ВЭД'!$A$4:$C$40,3,0),""))</f>
        <v/>
      </c>
      <c r="BN155" s="7" t="str">
        <f aca="false">IF(COUNTIF(ЗАКАЗЫ!$F$3:$F$500,$A155)=0,"",SUMIF(ЗАКАЗЫ!$F$3:$F$500,$A155,ЗАКАЗЫ!$J$3:$J$500))</f>
        <v/>
      </c>
      <c r="BO155" s="7" t="str">
        <f aca="false">IF(BN155="","",SUMIF(ЗАКАЗЫ!$F$3:$F$500,$A155,ЗАКАЗЫ!$AL$3:$AL$500))</f>
        <v/>
      </c>
      <c r="BP155" s="7" t="str">
        <f aca="false">IF(BN155="","",BN155-BO155)</f>
        <v/>
      </c>
      <c r="BQ155" s="55" t="str">
        <f aca="false">IF(BN155="","",IF(BO155&gt;=BN155,"На складе",IF(BO155&gt;0,"Частично","Ждём")))</f>
        <v/>
      </c>
      <c r="BR155" s="43"/>
      <c r="BS155" s="47" t="str">
        <f aca="false">IF(BN155="","",IF(_xlfn.MAXIFS(ЗАКАЗЫ!$AK$3:$AK$500,ЗАКАЗЫ!$F$3:$F$500,$A155)=0,"",_xlfn.MAXIFS(ЗАКАЗЫ!$AK$3:$AK$500,ЗАКАЗЫ!$F$3:$F$500,$A155)))</f>
        <v/>
      </c>
    </row>
    <row r="156" customFormat="false" ht="15.75" hidden="false" customHeight="true" outlineLevel="0" collapsed="false">
      <c r="A156" s="80" t="s">
        <v>988</v>
      </c>
      <c r="B156" s="81"/>
      <c r="C156" s="81"/>
      <c r="D156" s="81"/>
      <c r="E156" s="83"/>
      <c r="F156" s="81"/>
      <c r="G156" s="83"/>
      <c r="H156" s="83"/>
      <c r="I156" s="84" t="str">
        <f aca="false">IF(E156="","",A156&amp;"_1.jpg")</f>
        <v/>
      </c>
      <c r="J156" s="84" t="str">
        <f aca="false">IF(E156="","",A156&amp;"_2.jpg; "&amp;A156&amp;"_3.jpg")</f>
        <v/>
      </c>
      <c r="K156" s="84" t="str">
        <f aca="false">IF(E156="","",A156&amp;"_schema.jpg")</f>
        <v/>
      </c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 t="s">
        <v>96</v>
      </c>
      <c r="W156" s="81"/>
      <c r="X156" s="81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6" t="str">
        <f aca="false">IF(SUM(Y156:AJ156)=0,"",SUM(Y156:AJ156))</f>
        <v/>
      </c>
      <c r="AL156" s="84" t="str">
        <f aca="false">MID(IF(N(Y156)&gt;0,", "&amp;Y$2,"")&amp;IF(N(Z156)&gt;0,", "&amp;Z$2,"")&amp;IF(N(AA156)&gt;0,", "&amp;AA$2,"")&amp;IF(N(AB156)&gt;0,", "&amp;AB$2,"")&amp;IF(N(AC156)&gt;0,", "&amp;AC$2,"")&amp;IF(N(AD156)&gt;0,", "&amp;AD$2,"")&amp;IF(N(AE156)&gt;0,", "&amp;AE$2,"")&amp;IF(N(AF156)&gt;0,", "&amp;AF$2,"")&amp;IF(N(AG156)&gt;0,", "&amp;AG$2,"")&amp;IF(N(AH156)&gt;0,", "&amp;AH$2,"")&amp;IF(N(AI156)&gt;0,", "&amp;AI$2,"")&amp;IF(N(AJ156)&gt;0,", "&amp;AJ$2,""),3,999)</f>
        <v/>
      </c>
      <c r="AM156" s="87" t="str">
        <f aca="false">IF(E156="","",MID(IF(N(Y156)&gt;0,", "&amp;A156&amp;"-"&amp;Y$2,"")&amp;IF(N(Z156)&gt;0,", "&amp;A156&amp;"-"&amp;Z$2,"")&amp;IF(N(AA156)&gt;0,", "&amp;A156&amp;"-"&amp;AA$2,"")&amp;IF(N(AB156)&gt;0,", "&amp;A156&amp;"-"&amp;AB$2,"")&amp;IF(N(AC156)&gt;0,", "&amp;A156&amp;"-"&amp;AC$2,"")&amp;IF(N(AD156)&gt;0,", "&amp;A156&amp;"-"&amp;AD$2,"")&amp;IF(N(AE156)&gt;0,", "&amp;A156&amp;"-"&amp;AE$2,"")&amp;IF(N(AF156)&gt;0,", "&amp;A156&amp;"-"&amp;AF$2,"")&amp;IF(N(AG156)&gt;0,", "&amp;A156&amp;"-"&amp;AG$2,"")&amp;IF(N(AH156)&gt;0,", "&amp;A156&amp;"-"&amp;AH$2,"")&amp;IF(N(AI156)&gt;0,", "&amp;A156&amp;"-"&amp;AI$2,"")&amp;IF(N(AJ156)&gt;0,", "&amp;A156&amp;"-"&amp;AJ$2,""),3,999))</f>
        <v/>
      </c>
      <c r="AN156" s="81"/>
      <c r="AO156" s="88"/>
      <c r="AP156" s="89" t="str">
        <f aca="false">IF(AO156="","",ROUND(AO156/(1+Справочники!$B$13),2))</f>
        <v/>
      </c>
      <c r="AQ156" s="90" t="str">
        <f aca="false" t="array" ref="AQ156:AQ156">IF(AP156="","",AP156*INDEX(Справочники!$B$4:$B$7,MATCH("RUB",Справочники!$A$4:$A$7,0)))</f>
        <v/>
      </c>
      <c r="AR156" s="90" t="str">
        <f aca="false">IF(AQ156="","",ROUND(AQ156*(1+Справочники!$B$12),0))</f>
        <v/>
      </c>
      <c r="AS156" s="90" t="str">
        <f aca="false">IF(AR156="","",ROUND(AR156*(1-Справочники!$B$11),0))</f>
        <v/>
      </c>
      <c r="AT156" s="88"/>
      <c r="AU156" s="90" t="str">
        <f aca="false">IF(AT156="","",ROUND(AT156/(1+Справочники!$B$12),0))</f>
        <v/>
      </c>
      <c r="AV156" s="90" t="str">
        <f aca="false">IF(AT156="","",ROUND(AT156*(1-Справочники!$B$15),0))</f>
        <v/>
      </c>
      <c r="AW156" s="90" t="str">
        <f aca="false">IF(AT156="","",ROUND(AT156*(1-Справочники!$B$16),0))</f>
        <v/>
      </c>
      <c r="AX156" s="90" t="str">
        <f aca="false">IF(AT156="","",ROUND(AT156*(1-Справочники!$B$17),0))</f>
        <v/>
      </c>
      <c r="AY156" s="90" t="str">
        <f aca="false">IF(AT156="","",ROUND(AT156*(1-Справочники!$B$18),0))</f>
        <v/>
      </c>
      <c r="AZ156" s="90" t="str">
        <f aca="false">IF(AT156="","",ROUND(AT156*(1-Справочники!$B$19),0))</f>
        <v/>
      </c>
      <c r="BA156" s="81"/>
      <c r="BB156" s="81"/>
      <c r="BC156" s="81"/>
      <c r="BD156" s="81"/>
      <c r="BE156" s="91"/>
      <c r="BF156" s="81" t="s">
        <v>103</v>
      </c>
      <c r="BG156" s="89" t="n">
        <f aca="false" t="array" ref="BG156:BG156">IF(BF156="","",IFERROR(INDEX(Справочники!$B$4:$B$7,MATCH(BF156,Справочники!$A$4:$A$7,0)),""))</f>
        <v>68.5</v>
      </c>
      <c r="BH156" s="90" t="str">
        <f aca="false">IF(N(BN156)&gt;0,ROUND(SUMIF(ЗАКАЗЫ!$F$3:$F$500,$A156,ЗАКАЗЫ!$Y$3:$Y$500)/BN156,0),IF(OR(BE156="",BG156=""),"",ROUND(BE156*BG156*(1+Справочники!$B$10),0)))</f>
        <v/>
      </c>
      <c r="BI156" s="92" t="str">
        <f aca="false">IF(OR(AU156="",BH156="",AU156=0),"",(AU156-BH156)/AU156)</f>
        <v/>
      </c>
      <c r="BJ156" s="81"/>
      <c r="BK156" s="83"/>
      <c r="BL156" s="43" t="str">
        <f aca="false">IFERROR(INDEX(ЗАКАЗЫ!$N$3:$N$500,MATCH($A156,ЗАКАЗЫ!$F$3:$F$500,0)),"")</f>
        <v/>
      </c>
      <c r="BM156" s="8" t="str">
        <f aca="false">IF(BL156="","",IFERROR(VLOOKUP(BL156,'ТН ВЭД'!$A$4:$C$40,3,0),""))</f>
        <v/>
      </c>
      <c r="BN156" s="7" t="str">
        <f aca="false">IF(COUNTIF(ЗАКАЗЫ!$F$3:$F$500,$A156)=0,"",SUMIF(ЗАКАЗЫ!$F$3:$F$500,$A156,ЗАКАЗЫ!$J$3:$J$500))</f>
        <v/>
      </c>
      <c r="BO156" s="7" t="str">
        <f aca="false">IF(BN156="","",SUMIF(ЗАКАЗЫ!$F$3:$F$500,$A156,ЗАКАЗЫ!$AL$3:$AL$500))</f>
        <v/>
      </c>
      <c r="BP156" s="7" t="str">
        <f aca="false">IF(BN156="","",BN156-BO156)</f>
        <v/>
      </c>
      <c r="BQ156" s="55" t="str">
        <f aca="false">IF(BN156="","",IF(BO156&gt;=BN156,"На складе",IF(BO156&gt;0,"Частично","Ждём")))</f>
        <v/>
      </c>
      <c r="BR156" s="43"/>
      <c r="BS156" s="47" t="str">
        <f aca="false">IF(BN156="","",IF(_xlfn.MAXIFS(ЗАКАЗЫ!$AK$3:$AK$500,ЗАКАЗЫ!$F$3:$F$500,$A156)=0,"",_xlfn.MAXIFS(ЗАКАЗЫ!$AK$3:$AK$500,ЗАКАЗЫ!$F$3:$F$500,$A156)))</f>
        <v/>
      </c>
    </row>
    <row r="157" customFormat="false" ht="15.75" hidden="false" customHeight="true" outlineLevel="0" collapsed="false">
      <c r="A157" s="80" t="s">
        <v>989</v>
      </c>
      <c r="B157" s="81"/>
      <c r="C157" s="81"/>
      <c r="D157" s="81"/>
      <c r="E157" s="83"/>
      <c r="F157" s="81"/>
      <c r="G157" s="83"/>
      <c r="H157" s="83"/>
      <c r="I157" s="84" t="str">
        <f aca="false">IF(E157="","",A157&amp;"_1.jpg")</f>
        <v/>
      </c>
      <c r="J157" s="84" t="str">
        <f aca="false">IF(E157="","",A157&amp;"_2.jpg; "&amp;A157&amp;"_3.jpg")</f>
        <v/>
      </c>
      <c r="K157" s="84" t="str">
        <f aca="false">IF(E157="","",A157&amp;"_schema.jpg")</f>
        <v/>
      </c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 t="s">
        <v>96</v>
      </c>
      <c r="W157" s="81"/>
      <c r="X157" s="81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6" t="str">
        <f aca="false">IF(SUM(Y157:AJ157)=0,"",SUM(Y157:AJ157))</f>
        <v/>
      </c>
      <c r="AL157" s="84" t="str">
        <f aca="false">MID(IF(N(Y157)&gt;0,", "&amp;Y$2,"")&amp;IF(N(Z157)&gt;0,", "&amp;Z$2,"")&amp;IF(N(AA157)&gt;0,", "&amp;AA$2,"")&amp;IF(N(AB157)&gt;0,", "&amp;AB$2,"")&amp;IF(N(AC157)&gt;0,", "&amp;AC$2,"")&amp;IF(N(AD157)&gt;0,", "&amp;AD$2,"")&amp;IF(N(AE157)&gt;0,", "&amp;AE$2,"")&amp;IF(N(AF157)&gt;0,", "&amp;AF$2,"")&amp;IF(N(AG157)&gt;0,", "&amp;AG$2,"")&amp;IF(N(AH157)&gt;0,", "&amp;AH$2,"")&amp;IF(N(AI157)&gt;0,", "&amp;AI$2,"")&amp;IF(N(AJ157)&gt;0,", "&amp;AJ$2,""),3,999)</f>
        <v/>
      </c>
      <c r="AM157" s="87" t="str">
        <f aca="false">IF(E157="","",MID(IF(N(Y157)&gt;0,", "&amp;A157&amp;"-"&amp;Y$2,"")&amp;IF(N(Z157)&gt;0,", "&amp;A157&amp;"-"&amp;Z$2,"")&amp;IF(N(AA157)&gt;0,", "&amp;A157&amp;"-"&amp;AA$2,"")&amp;IF(N(AB157)&gt;0,", "&amp;A157&amp;"-"&amp;AB$2,"")&amp;IF(N(AC157)&gt;0,", "&amp;A157&amp;"-"&amp;AC$2,"")&amp;IF(N(AD157)&gt;0,", "&amp;A157&amp;"-"&amp;AD$2,"")&amp;IF(N(AE157)&gt;0,", "&amp;A157&amp;"-"&amp;AE$2,"")&amp;IF(N(AF157)&gt;0,", "&amp;A157&amp;"-"&amp;AF$2,"")&amp;IF(N(AG157)&gt;0,", "&amp;A157&amp;"-"&amp;AG$2,"")&amp;IF(N(AH157)&gt;0,", "&amp;A157&amp;"-"&amp;AH$2,"")&amp;IF(N(AI157)&gt;0,", "&amp;A157&amp;"-"&amp;AI$2,"")&amp;IF(N(AJ157)&gt;0,", "&amp;A157&amp;"-"&amp;AJ$2,""),3,999))</f>
        <v/>
      </c>
      <c r="AN157" s="81"/>
      <c r="AO157" s="88"/>
      <c r="AP157" s="89" t="str">
        <f aca="false">IF(AO157="","",ROUND(AO157/(1+Справочники!$B$13),2))</f>
        <v/>
      </c>
      <c r="AQ157" s="90" t="str">
        <f aca="false" t="array" ref="AQ157:AQ157">IF(AP157="","",AP157*INDEX(Справочники!$B$4:$B$7,MATCH("RUB",Справочники!$A$4:$A$7,0)))</f>
        <v/>
      </c>
      <c r="AR157" s="90" t="str">
        <f aca="false">IF(AQ157="","",ROUND(AQ157*(1+Справочники!$B$12),0))</f>
        <v/>
      </c>
      <c r="AS157" s="90" t="str">
        <f aca="false">IF(AR157="","",ROUND(AR157*(1-Справочники!$B$11),0))</f>
        <v/>
      </c>
      <c r="AT157" s="88"/>
      <c r="AU157" s="90" t="str">
        <f aca="false">IF(AT157="","",ROUND(AT157/(1+Справочники!$B$12),0))</f>
        <v/>
      </c>
      <c r="AV157" s="90" t="str">
        <f aca="false">IF(AT157="","",ROUND(AT157*(1-Справочники!$B$15),0))</f>
        <v/>
      </c>
      <c r="AW157" s="90" t="str">
        <f aca="false">IF(AT157="","",ROUND(AT157*(1-Справочники!$B$16),0))</f>
        <v/>
      </c>
      <c r="AX157" s="90" t="str">
        <f aca="false">IF(AT157="","",ROUND(AT157*(1-Справочники!$B$17),0))</f>
        <v/>
      </c>
      <c r="AY157" s="90" t="str">
        <f aca="false">IF(AT157="","",ROUND(AT157*(1-Справочники!$B$18),0))</f>
        <v/>
      </c>
      <c r="AZ157" s="90" t="str">
        <f aca="false">IF(AT157="","",ROUND(AT157*(1-Справочники!$B$19),0))</f>
        <v/>
      </c>
      <c r="BA157" s="81"/>
      <c r="BB157" s="81"/>
      <c r="BC157" s="81"/>
      <c r="BD157" s="81"/>
      <c r="BE157" s="91"/>
      <c r="BF157" s="81" t="s">
        <v>103</v>
      </c>
      <c r="BG157" s="89" t="n">
        <f aca="false" t="array" ref="BG157:BG157">IF(BF157="","",IFERROR(INDEX(Справочники!$B$4:$B$7,MATCH(BF157,Справочники!$A$4:$A$7,0)),""))</f>
        <v>68.5</v>
      </c>
      <c r="BH157" s="90" t="str">
        <f aca="false">IF(N(BN157)&gt;0,ROUND(SUMIF(ЗАКАЗЫ!$F$3:$F$500,$A157,ЗАКАЗЫ!$Y$3:$Y$500)/BN157,0),IF(OR(BE157="",BG157=""),"",ROUND(BE157*BG157*(1+Справочники!$B$10),0)))</f>
        <v/>
      </c>
      <c r="BI157" s="92" t="str">
        <f aca="false">IF(OR(AU157="",BH157="",AU157=0),"",(AU157-BH157)/AU157)</f>
        <v/>
      </c>
      <c r="BJ157" s="81"/>
      <c r="BK157" s="83"/>
      <c r="BL157" s="43" t="str">
        <f aca="false">IFERROR(INDEX(ЗАКАЗЫ!$N$3:$N$500,MATCH($A157,ЗАКАЗЫ!$F$3:$F$500,0)),"")</f>
        <v/>
      </c>
      <c r="BM157" s="8" t="str">
        <f aca="false">IF(BL157="","",IFERROR(VLOOKUP(BL157,'ТН ВЭД'!$A$4:$C$40,3,0),""))</f>
        <v/>
      </c>
      <c r="BN157" s="7" t="str">
        <f aca="false">IF(COUNTIF(ЗАКАЗЫ!$F$3:$F$500,$A157)=0,"",SUMIF(ЗАКАЗЫ!$F$3:$F$500,$A157,ЗАКАЗЫ!$J$3:$J$500))</f>
        <v/>
      </c>
      <c r="BO157" s="7" t="str">
        <f aca="false">IF(BN157="","",SUMIF(ЗАКАЗЫ!$F$3:$F$500,$A157,ЗАКАЗЫ!$AL$3:$AL$500))</f>
        <v/>
      </c>
      <c r="BP157" s="7" t="str">
        <f aca="false">IF(BN157="","",BN157-BO157)</f>
        <v/>
      </c>
      <c r="BQ157" s="55" t="str">
        <f aca="false">IF(BN157="","",IF(BO157&gt;=BN157,"На складе",IF(BO157&gt;0,"Частично","Ждём")))</f>
        <v/>
      </c>
      <c r="BR157" s="43"/>
      <c r="BS157" s="47" t="str">
        <f aca="false">IF(BN157="","",IF(_xlfn.MAXIFS(ЗАКАЗЫ!$AK$3:$AK$500,ЗАКАЗЫ!$F$3:$F$500,$A157)=0,"",_xlfn.MAXIFS(ЗАКАЗЫ!$AK$3:$AK$500,ЗАКАЗЫ!$F$3:$F$500,$A157)))</f>
        <v/>
      </c>
    </row>
    <row r="158" customFormat="false" ht="15.75" hidden="false" customHeight="true" outlineLevel="0" collapsed="false">
      <c r="A158" s="80" t="s">
        <v>990</v>
      </c>
      <c r="B158" s="81"/>
      <c r="C158" s="81"/>
      <c r="D158" s="81"/>
      <c r="E158" s="83"/>
      <c r="F158" s="81"/>
      <c r="G158" s="83"/>
      <c r="H158" s="83"/>
      <c r="I158" s="84" t="str">
        <f aca="false">IF(E158="","",A158&amp;"_1.jpg")</f>
        <v/>
      </c>
      <c r="J158" s="84" t="str">
        <f aca="false">IF(E158="","",A158&amp;"_2.jpg; "&amp;A158&amp;"_3.jpg")</f>
        <v/>
      </c>
      <c r="K158" s="84" t="str">
        <f aca="false">IF(E158="","",A158&amp;"_schema.jpg")</f>
        <v/>
      </c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 t="s">
        <v>96</v>
      </c>
      <c r="W158" s="81"/>
      <c r="X158" s="81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6" t="str">
        <f aca="false">IF(SUM(Y158:AJ158)=0,"",SUM(Y158:AJ158))</f>
        <v/>
      </c>
      <c r="AL158" s="84" t="str">
        <f aca="false">MID(IF(N(Y158)&gt;0,", "&amp;Y$2,"")&amp;IF(N(Z158)&gt;0,", "&amp;Z$2,"")&amp;IF(N(AA158)&gt;0,", "&amp;AA$2,"")&amp;IF(N(AB158)&gt;0,", "&amp;AB$2,"")&amp;IF(N(AC158)&gt;0,", "&amp;AC$2,"")&amp;IF(N(AD158)&gt;0,", "&amp;AD$2,"")&amp;IF(N(AE158)&gt;0,", "&amp;AE$2,"")&amp;IF(N(AF158)&gt;0,", "&amp;AF$2,"")&amp;IF(N(AG158)&gt;0,", "&amp;AG$2,"")&amp;IF(N(AH158)&gt;0,", "&amp;AH$2,"")&amp;IF(N(AI158)&gt;0,", "&amp;AI$2,"")&amp;IF(N(AJ158)&gt;0,", "&amp;AJ$2,""),3,999)</f>
        <v/>
      </c>
      <c r="AM158" s="87" t="str">
        <f aca="false">IF(E158="","",MID(IF(N(Y158)&gt;0,", "&amp;A158&amp;"-"&amp;Y$2,"")&amp;IF(N(Z158)&gt;0,", "&amp;A158&amp;"-"&amp;Z$2,"")&amp;IF(N(AA158)&gt;0,", "&amp;A158&amp;"-"&amp;AA$2,"")&amp;IF(N(AB158)&gt;0,", "&amp;A158&amp;"-"&amp;AB$2,"")&amp;IF(N(AC158)&gt;0,", "&amp;A158&amp;"-"&amp;AC$2,"")&amp;IF(N(AD158)&gt;0,", "&amp;A158&amp;"-"&amp;AD$2,"")&amp;IF(N(AE158)&gt;0,", "&amp;A158&amp;"-"&amp;AE$2,"")&amp;IF(N(AF158)&gt;0,", "&amp;A158&amp;"-"&amp;AF$2,"")&amp;IF(N(AG158)&gt;0,", "&amp;A158&amp;"-"&amp;AG$2,"")&amp;IF(N(AH158)&gt;0,", "&amp;A158&amp;"-"&amp;AH$2,"")&amp;IF(N(AI158)&gt;0,", "&amp;A158&amp;"-"&amp;AI$2,"")&amp;IF(N(AJ158)&gt;0,", "&amp;A158&amp;"-"&amp;AJ$2,""),3,999))</f>
        <v/>
      </c>
      <c r="AN158" s="81"/>
      <c r="AO158" s="88"/>
      <c r="AP158" s="89" t="str">
        <f aca="false">IF(AO158="","",ROUND(AO158/(1+Справочники!$B$13),2))</f>
        <v/>
      </c>
      <c r="AQ158" s="90" t="str">
        <f aca="false" t="array" ref="AQ158:AQ158">IF(AP158="","",AP158*INDEX(Справочники!$B$4:$B$7,MATCH("RUB",Справочники!$A$4:$A$7,0)))</f>
        <v/>
      </c>
      <c r="AR158" s="90" t="str">
        <f aca="false">IF(AQ158="","",ROUND(AQ158*(1+Справочники!$B$12),0))</f>
        <v/>
      </c>
      <c r="AS158" s="90" t="str">
        <f aca="false">IF(AR158="","",ROUND(AR158*(1-Справочники!$B$11),0))</f>
        <v/>
      </c>
      <c r="AT158" s="88"/>
      <c r="AU158" s="90" t="str">
        <f aca="false">IF(AT158="","",ROUND(AT158/(1+Справочники!$B$12),0))</f>
        <v/>
      </c>
      <c r="AV158" s="90" t="str">
        <f aca="false">IF(AT158="","",ROUND(AT158*(1-Справочники!$B$15),0))</f>
        <v/>
      </c>
      <c r="AW158" s="90" t="str">
        <f aca="false">IF(AT158="","",ROUND(AT158*(1-Справочники!$B$16),0))</f>
        <v/>
      </c>
      <c r="AX158" s="90" t="str">
        <f aca="false">IF(AT158="","",ROUND(AT158*(1-Справочники!$B$17),0))</f>
        <v/>
      </c>
      <c r="AY158" s="90" t="str">
        <f aca="false">IF(AT158="","",ROUND(AT158*(1-Справочники!$B$18),0))</f>
        <v/>
      </c>
      <c r="AZ158" s="90" t="str">
        <f aca="false">IF(AT158="","",ROUND(AT158*(1-Справочники!$B$19),0))</f>
        <v/>
      </c>
      <c r="BA158" s="81"/>
      <c r="BB158" s="81"/>
      <c r="BC158" s="81"/>
      <c r="BD158" s="81"/>
      <c r="BE158" s="91"/>
      <c r="BF158" s="81" t="s">
        <v>103</v>
      </c>
      <c r="BG158" s="89" t="n">
        <f aca="false" t="array" ref="BG158:BG158">IF(BF158="","",IFERROR(INDEX(Справочники!$B$4:$B$7,MATCH(BF158,Справочники!$A$4:$A$7,0)),""))</f>
        <v>68.5</v>
      </c>
      <c r="BH158" s="90" t="str">
        <f aca="false">IF(N(BN158)&gt;0,ROUND(SUMIF(ЗАКАЗЫ!$F$3:$F$500,$A158,ЗАКАЗЫ!$Y$3:$Y$500)/BN158,0),IF(OR(BE158="",BG158=""),"",ROUND(BE158*BG158*(1+Справочники!$B$10),0)))</f>
        <v/>
      </c>
      <c r="BI158" s="92" t="str">
        <f aca="false">IF(OR(AU158="",BH158="",AU158=0),"",(AU158-BH158)/AU158)</f>
        <v/>
      </c>
      <c r="BJ158" s="81"/>
      <c r="BK158" s="83"/>
      <c r="BL158" s="43" t="str">
        <f aca="false">IFERROR(INDEX(ЗАКАЗЫ!$N$3:$N$500,MATCH($A158,ЗАКАЗЫ!$F$3:$F$500,0)),"")</f>
        <v/>
      </c>
      <c r="BM158" s="8" t="str">
        <f aca="false">IF(BL158="","",IFERROR(VLOOKUP(BL158,'ТН ВЭД'!$A$4:$C$40,3,0),""))</f>
        <v/>
      </c>
      <c r="BN158" s="7" t="str">
        <f aca="false">IF(COUNTIF(ЗАКАЗЫ!$F$3:$F$500,$A158)=0,"",SUMIF(ЗАКАЗЫ!$F$3:$F$500,$A158,ЗАКАЗЫ!$J$3:$J$500))</f>
        <v/>
      </c>
      <c r="BO158" s="7" t="str">
        <f aca="false">IF(BN158="","",SUMIF(ЗАКАЗЫ!$F$3:$F$500,$A158,ЗАКАЗЫ!$AL$3:$AL$500))</f>
        <v/>
      </c>
      <c r="BP158" s="7" t="str">
        <f aca="false">IF(BN158="","",BN158-BO158)</f>
        <v/>
      </c>
      <c r="BQ158" s="55" t="str">
        <f aca="false">IF(BN158="","",IF(BO158&gt;=BN158,"На складе",IF(BO158&gt;0,"Частично","Ждём")))</f>
        <v/>
      </c>
      <c r="BR158" s="43"/>
      <c r="BS158" s="47" t="str">
        <f aca="false">IF(BN158="","",IF(_xlfn.MAXIFS(ЗАКАЗЫ!$AK$3:$AK$500,ЗАКАЗЫ!$F$3:$F$500,$A158)=0,"",_xlfn.MAXIFS(ЗАКАЗЫ!$AK$3:$AK$500,ЗАКАЗЫ!$F$3:$F$500,$A158)))</f>
        <v/>
      </c>
    </row>
    <row r="159" customFormat="false" ht="15.75" hidden="false" customHeight="true" outlineLevel="0" collapsed="false">
      <c r="A159" s="80" t="s">
        <v>991</v>
      </c>
      <c r="B159" s="81"/>
      <c r="C159" s="81"/>
      <c r="D159" s="81"/>
      <c r="E159" s="83"/>
      <c r="F159" s="81"/>
      <c r="G159" s="83"/>
      <c r="H159" s="83"/>
      <c r="I159" s="84" t="str">
        <f aca="false">IF(E159="","",A159&amp;"_1.jpg")</f>
        <v/>
      </c>
      <c r="J159" s="84" t="str">
        <f aca="false">IF(E159="","",A159&amp;"_2.jpg; "&amp;A159&amp;"_3.jpg")</f>
        <v/>
      </c>
      <c r="K159" s="84" t="str">
        <f aca="false">IF(E159="","",A159&amp;"_schema.jpg")</f>
        <v/>
      </c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 t="s">
        <v>96</v>
      </c>
      <c r="W159" s="81"/>
      <c r="X159" s="81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6" t="str">
        <f aca="false">IF(SUM(Y159:AJ159)=0,"",SUM(Y159:AJ159))</f>
        <v/>
      </c>
      <c r="AL159" s="84" t="str">
        <f aca="false">MID(IF(N(Y159)&gt;0,", "&amp;Y$2,"")&amp;IF(N(Z159)&gt;0,", "&amp;Z$2,"")&amp;IF(N(AA159)&gt;0,", "&amp;AA$2,"")&amp;IF(N(AB159)&gt;0,", "&amp;AB$2,"")&amp;IF(N(AC159)&gt;0,", "&amp;AC$2,"")&amp;IF(N(AD159)&gt;0,", "&amp;AD$2,"")&amp;IF(N(AE159)&gt;0,", "&amp;AE$2,"")&amp;IF(N(AF159)&gt;0,", "&amp;AF$2,"")&amp;IF(N(AG159)&gt;0,", "&amp;AG$2,"")&amp;IF(N(AH159)&gt;0,", "&amp;AH$2,"")&amp;IF(N(AI159)&gt;0,", "&amp;AI$2,"")&amp;IF(N(AJ159)&gt;0,", "&amp;AJ$2,""),3,999)</f>
        <v/>
      </c>
      <c r="AM159" s="87" t="str">
        <f aca="false">IF(E159="","",MID(IF(N(Y159)&gt;0,", "&amp;A159&amp;"-"&amp;Y$2,"")&amp;IF(N(Z159)&gt;0,", "&amp;A159&amp;"-"&amp;Z$2,"")&amp;IF(N(AA159)&gt;0,", "&amp;A159&amp;"-"&amp;AA$2,"")&amp;IF(N(AB159)&gt;0,", "&amp;A159&amp;"-"&amp;AB$2,"")&amp;IF(N(AC159)&gt;0,", "&amp;A159&amp;"-"&amp;AC$2,"")&amp;IF(N(AD159)&gt;0,", "&amp;A159&amp;"-"&amp;AD$2,"")&amp;IF(N(AE159)&gt;0,", "&amp;A159&amp;"-"&amp;AE$2,"")&amp;IF(N(AF159)&gt;0,", "&amp;A159&amp;"-"&amp;AF$2,"")&amp;IF(N(AG159)&gt;0,", "&amp;A159&amp;"-"&amp;AG$2,"")&amp;IF(N(AH159)&gt;0,", "&amp;A159&amp;"-"&amp;AH$2,"")&amp;IF(N(AI159)&gt;0,", "&amp;A159&amp;"-"&amp;AI$2,"")&amp;IF(N(AJ159)&gt;0,", "&amp;A159&amp;"-"&amp;AJ$2,""),3,999))</f>
        <v/>
      </c>
      <c r="AN159" s="81"/>
      <c r="AO159" s="88"/>
      <c r="AP159" s="89" t="str">
        <f aca="false">IF(AO159="","",ROUND(AO159/(1+Справочники!$B$13),2))</f>
        <v/>
      </c>
      <c r="AQ159" s="90" t="str">
        <f aca="false" t="array" ref="AQ159:AQ159">IF(AP159="","",AP159*INDEX(Справочники!$B$4:$B$7,MATCH("RUB",Справочники!$A$4:$A$7,0)))</f>
        <v/>
      </c>
      <c r="AR159" s="90" t="str">
        <f aca="false">IF(AQ159="","",ROUND(AQ159*(1+Справочники!$B$12),0))</f>
        <v/>
      </c>
      <c r="AS159" s="90" t="str">
        <f aca="false">IF(AR159="","",ROUND(AR159*(1-Справочники!$B$11),0))</f>
        <v/>
      </c>
      <c r="AT159" s="88"/>
      <c r="AU159" s="90" t="str">
        <f aca="false">IF(AT159="","",ROUND(AT159/(1+Справочники!$B$12),0))</f>
        <v/>
      </c>
      <c r="AV159" s="90" t="str">
        <f aca="false">IF(AT159="","",ROUND(AT159*(1-Справочники!$B$15),0))</f>
        <v/>
      </c>
      <c r="AW159" s="90" t="str">
        <f aca="false">IF(AT159="","",ROUND(AT159*(1-Справочники!$B$16),0))</f>
        <v/>
      </c>
      <c r="AX159" s="90" t="str">
        <f aca="false">IF(AT159="","",ROUND(AT159*(1-Справочники!$B$17),0))</f>
        <v/>
      </c>
      <c r="AY159" s="90" t="str">
        <f aca="false">IF(AT159="","",ROUND(AT159*(1-Справочники!$B$18),0))</f>
        <v/>
      </c>
      <c r="AZ159" s="90" t="str">
        <f aca="false">IF(AT159="","",ROUND(AT159*(1-Справочники!$B$19),0))</f>
        <v/>
      </c>
      <c r="BA159" s="81"/>
      <c r="BB159" s="81"/>
      <c r="BC159" s="81"/>
      <c r="BD159" s="81"/>
      <c r="BE159" s="91"/>
      <c r="BF159" s="81" t="s">
        <v>103</v>
      </c>
      <c r="BG159" s="89" t="n">
        <f aca="false" t="array" ref="BG159:BG159">IF(BF159="","",IFERROR(INDEX(Справочники!$B$4:$B$7,MATCH(BF159,Справочники!$A$4:$A$7,0)),""))</f>
        <v>68.5</v>
      </c>
      <c r="BH159" s="90" t="str">
        <f aca="false">IF(N(BN159)&gt;0,ROUND(SUMIF(ЗАКАЗЫ!$F$3:$F$500,$A159,ЗАКАЗЫ!$Y$3:$Y$500)/BN159,0),IF(OR(BE159="",BG159=""),"",ROUND(BE159*BG159*(1+Справочники!$B$10),0)))</f>
        <v/>
      </c>
      <c r="BI159" s="92" t="str">
        <f aca="false">IF(OR(AU159="",BH159="",AU159=0),"",(AU159-BH159)/AU159)</f>
        <v/>
      </c>
      <c r="BJ159" s="81"/>
      <c r="BK159" s="83"/>
      <c r="BL159" s="43" t="str">
        <f aca="false">IFERROR(INDEX(ЗАКАЗЫ!$N$3:$N$500,MATCH($A159,ЗАКАЗЫ!$F$3:$F$500,0)),"")</f>
        <v/>
      </c>
      <c r="BM159" s="8" t="str">
        <f aca="false">IF(BL159="","",IFERROR(VLOOKUP(BL159,'ТН ВЭД'!$A$4:$C$40,3,0),""))</f>
        <v/>
      </c>
      <c r="BN159" s="7" t="str">
        <f aca="false">IF(COUNTIF(ЗАКАЗЫ!$F$3:$F$500,$A159)=0,"",SUMIF(ЗАКАЗЫ!$F$3:$F$500,$A159,ЗАКАЗЫ!$J$3:$J$500))</f>
        <v/>
      </c>
      <c r="BO159" s="7" t="str">
        <f aca="false">IF(BN159="","",SUMIF(ЗАКАЗЫ!$F$3:$F$500,$A159,ЗАКАЗЫ!$AL$3:$AL$500))</f>
        <v/>
      </c>
      <c r="BP159" s="7" t="str">
        <f aca="false">IF(BN159="","",BN159-BO159)</f>
        <v/>
      </c>
      <c r="BQ159" s="55" t="str">
        <f aca="false">IF(BN159="","",IF(BO159&gt;=BN159,"На складе",IF(BO159&gt;0,"Частично","Ждём")))</f>
        <v/>
      </c>
      <c r="BR159" s="43"/>
      <c r="BS159" s="47" t="str">
        <f aca="false">IF(BN159="","",IF(_xlfn.MAXIFS(ЗАКАЗЫ!$AK$3:$AK$500,ЗАКАЗЫ!$F$3:$F$500,$A159)=0,"",_xlfn.MAXIFS(ЗАКАЗЫ!$AK$3:$AK$500,ЗАКАЗЫ!$F$3:$F$500,$A159)))</f>
        <v/>
      </c>
    </row>
    <row r="160" customFormat="false" ht="15.75" hidden="false" customHeight="true" outlineLevel="0" collapsed="false">
      <c r="A160" s="80" t="s">
        <v>992</v>
      </c>
      <c r="B160" s="81"/>
      <c r="C160" s="81"/>
      <c r="D160" s="81"/>
      <c r="E160" s="83"/>
      <c r="F160" s="81"/>
      <c r="G160" s="83"/>
      <c r="H160" s="83"/>
      <c r="I160" s="84" t="str">
        <f aca="false">IF(E160="","",A160&amp;"_1.jpg")</f>
        <v/>
      </c>
      <c r="J160" s="84" t="str">
        <f aca="false">IF(E160="","",A160&amp;"_2.jpg; "&amp;A160&amp;"_3.jpg")</f>
        <v/>
      </c>
      <c r="K160" s="84" t="str">
        <f aca="false">IF(E160="","",A160&amp;"_schema.jpg")</f>
        <v/>
      </c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 t="s">
        <v>96</v>
      </c>
      <c r="W160" s="81"/>
      <c r="X160" s="81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6" t="str">
        <f aca="false">IF(SUM(Y160:AJ160)=0,"",SUM(Y160:AJ160))</f>
        <v/>
      </c>
      <c r="AL160" s="84" t="str">
        <f aca="false">MID(IF(N(Y160)&gt;0,", "&amp;Y$2,"")&amp;IF(N(Z160)&gt;0,", "&amp;Z$2,"")&amp;IF(N(AA160)&gt;0,", "&amp;AA$2,"")&amp;IF(N(AB160)&gt;0,", "&amp;AB$2,"")&amp;IF(N(AC160)&gt;0,", "&amp;AC$2,"")&amp;IF(N(AD160)&gt;0,", "&amp;AD$2,"")&amp;IF(N(AE160)&gt;0,", "&amp;AE$2,"")&amp;IF(N(AF160)&gt;0,", "&amp;AF$2,"")&amp;IF(N(AG160)&gt;0,", "&amp;AG$2,"")&amp;IF(N(AH160)&gt;0,", "&amp;AH$2,"")&amp;IF(N(AI160)&gt;0,", "&amp;AI$2,"")&amp;IF(N(AJ160)&gt;0,", "&amp;AJ$2,""),3,999)</f>
        <v/>
      </c>
      <c r="AM160" s="87" t="str">
        <f aca="false">IF(E160="","",MID(IF(N(Y160)&gt;0,", "&amp;A160&amp;"-"&amp;Y$2,"")&amp;IF(N(Z160)&gt;0,", "&amp;A160&amp;"-"&amp;Z$2,"")&amp;IF(N(AA160)&gt;0,", "&amp;A160&amp;"-"&amp;AA$2,"")&amp;IF(N(AB160)&gt;0,", "&amp;A160&amp;"-"&amp;AB$2,"")&amp;IF(N(AC160)&gt;0,", "&amp;A160&amp;"-"&amp;AC$2,"")&amp;IF(N(AD160)&gt;0,", "&amp;A160&amp;"-"&amp;AD$2,"")&amp;IF(N(AE160)&gt;0,", "&amp;A160&amp;"-"&amp;AE$2,"")&amp;IF(N(AF160)&gt;0,", "&amp;A160&amp;"-"&amp;AF$2,"")&amp;IF(N(AG160)&gt;0,", "&amp;A160&amp;"-"&amp;AG$2,"")&amp;IF(N(AH160)&gt;0,", "&amp;A160&amp;"-"&amp;AH$2,"")&amp;IF(N(AI160)&gt;0,", "&amp;A160&amp;"-"&amp;AI$2,"")&amp;IF(N(AJ160)&gt;0,", "&amp;A160&amp;"-"&amp;AJ$2,""),3,999))</f>
        <v/>
      </c>
      <c r="AN160" s="81"/>
      <c r="AO160" s="88"/>
      <c r="AP160" s="89" t="str">
        <f aca="false">IF(AO160="","",ROUND(AO160/(1+Справочники!$B$13),2))</f>
        <v/>
      </c>
      <c r="AQ160" s="90" t="str">
        <f aca="false" t="array" ref="AQ160:AQ160">IF(AP160="","",AP160*INDEX(Справочники!$B$4:$B$7,MATCH("RUB",Справочники!$A$4:$A$7,0)))</f>
        <v/>
      </c>
      <c r="AR160" s="90" t="str">
        <f aca="false">IF(AQ160="","",ROUND(AQ160*(1+Справочники!$B$12),0))</f>
        <v/>
      </c>
      <c r="AS160" s="90" t="str">
        <f aca="false">IF(AR160="","",ROUND(AR160*(1-Справочники!$B$11),0))</f>
        <v/>
      </c>
      <c r="AT160" s="88"/>
      <c r="AU160" s="90" t="str">
        <f aca="false">IF(AT160="","",ROUND(AT160/(1+Справочники!$B$12),0))</f>
        <v/>
      </c>
      <c r="AV160" s="90" t="str">
        <f aca="false">IF(AT160="","",ROUND(AT160*(1-Справочники!$B$15),0))</f>
        <v/>
      </c>
      <c r="AW160" s="90" t="str">
        <f aca="false">IF(AT160="","",ROUND(AT160*(1-Справочники!$B$16),0))</f>
        <v/>
      </c>
      <c r="AX160" s="90" t="str">
        <f aca="false">IF(AT160="","",ROUND(AT160*(1-Справочники!$B$17),0))</f>
        <v/>
      </c>
      <c r="AY160" s="90" t="str">
        <f aca="false">IF(AT160="","",ROUND(AT160*(1-Справочники!$B$18),0))</f>
        <v/>
      </c>
      <c r="AZ160" s="90" t="str">
        <f aca="false">IF(AT160="","",ROUND(AT160*(1-Справочники!$B$19),0))</f>
        <v/>
      </c>
      <c r="BA160" s="81"/>
      <c r="BB160" s="81"/>
      <c r="BC160" s="81"/>
      <c r="BD160" s="81"/>
      <c r="BE160" s="91"/>
      <c r="BF160" s="81" t="s">
        <v>103</v>
      </c>
      <c r="BG160" s="89" t="n">
        <f aca="false" t="array" ref="BG160:BG160">IF(BF160="","",IFERROR(INDEX(Справочники!$B$4:$B$7,MATCH(BF160,Справочники!$A$4:$A$7,0)),""))</f>
        <v>68.5</v>
      </c>
      <c r="BH160" s="90" t="str">
        <f aca="false">IF(N(BN160)&gt;0,ROUND(SUMIF(ЗАКАЗЫ!$F$3:$F$500,$A160,ЗАКАЗЫ!$Y$3:$Y$500)/BN160,0),IF(OR(BE160="",BG160=""),"",ROUND(BE160*BG160*(1+Справочники!$B$10),0)))</f>
        <v/>
      </c>
      <c r="BI160" s="92" t="str">
        <f aca="false">IF(OR(AU160="",BH160="",AU160=0),"",(AU160-BH160)/AU160)</f>
        <v/>
      </c>
      <c r="BJ160" s="81"/>
      <c r="BK160" s="83"/>
      <c r="BL160" s="43" t="str">
        <f aca="false">IFERROR(INDEX(ЗАКАЗЫ!$N$3:$N$500,MATCH($A160,ЗАКАЗЫ!$F$3:$F$500,0)),"")</f>
        <v/>
      </c>
      <c r="BM160" s="8" t="str">
        <f aca="false">IF(BL160="","",IFERROR(VLOOKUP(BL160,'ТН ВЭД'!$A$4:$C$40,3,0),""))</f>
        <v/>
      </c>
      <c r="BN160" s="7" t="str">
        <f aca="false">IF(COUNTIF(ЗАКАЗЫ!$F$3:$F$500,$A160)=0,"",SUMIF(ЗАКАЗЫ!$F$3:$F$500,$A160,ЗАКАЗЫ!$J$3:$J$500))</f>
        <v/>
      </c>
      <c r="BO160" s="7" t="str">
        <f aca="false">IF(BN160="","",SUMIF(ЗАКАЗЫ!$F$3:$F$500,$A160,ЗАКАЗЫ!$AL$3:$AL$500))</f>
        <v/>
      </c>
      <c r="BP160" s="7" t="str">
        <f aca="false">IF(BN160="","",BN160-BO160)</f>
        <v/>
      </c>
      <c r="BQ160" s="55" t="str">
        <f aca="false">IF(BN160="","",IF(BO160&gt;=BN160,"На складе",IF(BO160&gt;0,"Частично","Ждём")))</f>
        <v/>
      </c>
      <c r="BR160" s="43"/>
      <c r="BS160" s="47" t="str">
        <f aca="false">IF(BN160="","",IF(_xlfn.MAXIFS(ЗАКАЗЫ!$AK$3:$AK$500,ЗАКАЗЫ!$F$3:$F$500,$A160)=0,"",_xlfn.MAXIFS(ЗАКАЗЫ!$AK$3:$AK$500,ЗАКАЗЫ!$F$3:$F$500,$A160)))</f>
        <v/>
      </c>
    </row>
    <row r="161" customFormat="false" ht="15.75" hidden="false" customHeight="true" outlineLevel="0" collapsed="false">
      <c r="A161" s="80" t="s">
        <v>993</v>
      </c>
      <c r="B161" s="81"/>
      <c r="C161" s="81"/>
      <c r="D161" s="81"/>
      <c r="E161" s="83"/>
      <c r="F161" s="81"/>
      <c r="G161" s="83"/>
      <c r="H161" s="83"/>
      <c r="I161" s="84" t="str">
        <f aca="false">IF(E161="","",A161&amp;"_1.jpg")</f>
        <v/>
      </c>
      <c r="J161" s="84" t="str">
        <f aca="false">IF(E161="","",A161&amp;"_2.jpg; "&amp;A161&amp;"_3.jpg")</f>
        <v/>
      </c>
      <c r="K161" s="84" t="str">
        <f aca="false">IF(E161="","",A161&amp;"_schema.jpg")</f>
        <v/>
      </c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 t="s">
        <v>96</v>
      </c>
      <c r="W161" s="81"/>
      <c r="X161" s="81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6" t="str">
        <f aca="false">IF(SUM(Y161:AJ161)=0,"",SUM(Y161:AJ161))</f>
        <v/>
      </c>
      <c r="AL161" s="84" t="str">
        <f aca="false">MID(IF(N(Y161)&gt;0,", "&amp;Y$2,"")&amp;IF(N(Z161)&gt;0,", "&amp;Z$2,"")&amp;IF(N(AA161)&gt;0,", "&amp;AA$2,"")&amp;IF(N(AB161)&gt;0,", "&amp;AB$2,"")&amp;IF(N(AC161)&gt;0,", "&amp;AC$2,"")&amp;IF(N(AD161)&gt;0,", "&amp;AD$2,"")&amp;IF(N(AE161)&gt;0,", "&amp;AE$2,"")&amp;IF(N(AF161)&gt;0,", "&amp;AF$2,"")&amp;IF(N(AG161)&gt;0,", "&amp;AG$2,"")&amp;IF(N(AH161)&gt;0,", "&amp;AH$2,"")&amp;IF(N(AI161)&gt;0,", "&amp;AI$2,"")&amp;IF(N(AJ161)&gt;0,", "&amp;AJ$2,""),3,999)</f>
        <v/>
      </c>
      <c r="AM161" s="87" t="str">
        <f aca="false">IF(E161="","",MID(IF(N(Y161)&gt;0,", "&amp;A161&amp;"-"&amp;Y$2,"")&amp;IF(N(Z161)&gt;0,", "&amp;A161&amp;"-"&amp;Z$2,"")&amp;IF(N(AA161)&gt;0,", "&amp;A161&amp;"-"&amp;AA$2,"")&amp;IF(N(AB161)&gt;0,", "&amp;A161&amp;"-"&amp;AB$2,"")&amp;IF(N(AC161)&gt;0,", "&amp;A161&amp;"-"&amp;AC$2,"")&amp;IF(N(AD161)&gt;0,", "&amp;A161&amp;"-"&amp;AD$2,"")&amp;IF(N(AE161)&gt;0,", "&amp;A161&amp;"-"&amp;AE$2,"")&amp;IF(N(AF161)&gt;0,", "&amp;A161&amp;"-"&amp;AF$2,"")&amp;IF(N(AG161)&gt;0,", "&amp;A161&amp;"-"&amp;AG$2,"")&amp;IF(N(AH161)&gt;0,", "&amp;A161&amp;"-"&amp;AH$2,"")&amp;IF(N(AI161)&gt;0,", "&amp;A161&amp;"-"&amp;AI$2,"")&amp;IF(N(AJ161)&gt;0,", "&amp;A161&amp;"-"&amp;AJ$2,""),3,999))</f>
        <v/>
      </c>
      <c r="AN161" s="81"/>
      <c r="AO161" s="88"/>
      <c r="AP161" s="89" t="str">
        <f aca="false">IF(AO161="","",ROUND(AO161/(1+Справочники!$B$13),2))</f>
        <v/>
      </c>
      <c r="AQ161" s="90" t="str">
        <f aca="false" t="array" ref="AQ161:AQ161">IF(AP161="","",AP161*INDEX(Справочники!$B$4:$B$7,MATCH("RUB",Справочники!$A$4:$A$7,0)))</f>
        <v/>
      </c>
      <c r="AR161" s="90" t="str">
        <f aca="false">IF(AQ161="","",ROUND(AQ161*(1+Справочники!$B$12),0))</f>
        <v/>
      </c>
      <c r="AS161" s="90" t="str">
        <f aca="false">IF(AR161="","",ROUND(AR161*(1-Справочники!$B$11),0))</f>
        <v/>
      </c>
      <c r="AT161" s="88"/>
      <c r="AU161" s="90" t="str">
        <f aca="false">IF(AT161="","",ROUND(AT161/(1+Справочники!$B$12),0))</f>
        <v/>
      </c>
      <c r="AV161" s="90" t="str">
        <f aca="false">IF(AT161="","",ROUND(AT161*(1-Справочники!$B$15),0))</f>
        <v/>
      </c>
      <c r="AW161" s="90" t="str">
        <f aca="false">IF(AT161="","",ROUND(AT161*(1-Справочники!$B$16),0))</f>
        <v/>
      </c>
      <c r="AX161" s="90" t="str">
        <f aca="false">IF(AT161="","",ROUND(AT161*(1-Справочники!$B$17),0))</f>
        <v/>
      </c>
      <c r="AY161" s="90" t="str">
        <f aca="false">IF(AT161="","",ROUND(AT161*(1-Справочники!$B$18),0))</f>
        <v/>
      </c>
      <c r="AZ161" s="90" t="str">
        <f aca="false">IF(AT161="","",ROUND(AT161*(1-Справочники!$B$19),0))</f>
        <v/>
      </c>
      <c r="BA161" s="81"/>
      <c r="BB161" s="81"/>
      <c r="BC161" s="81"/>
      <c r="BD161" s="81"/>
      <c r="BE161" s="91"/>
      <c r="BF161" s="81" t="s">
        <v>103</v>
      </c>
      <c r="BG161" s="89" t="n">
        <f aca="false" t="array" ref="BG161:BG161">IF(BF161="","",IFERROR(INDEX(Справочники!$B$4:$B$7,MATCH(BF161,Справочники!$A$4:$A$7,0)),""))</f>
        <v>68.5</v>
      </c>
      <c r="BH161" s="90" t="str">
        <f aca="false">IF(N(BN161)&gt;0,ROUND(SUMIF(ЗАКАЗЫ!$F$3:$F$500,$A161,ЗАКАЗЫ!$Y$3:$Y$500)/BN161,0),IF(OR(BE161="",BG161=""),"",ROUND(BE161*BG161*(1+Справочники!$B$10),0)))</f>
        <v/>
      </c>
      <c r="BI161" s="92" t="str">
        <f aca="false">IF(OR(AU161="",BH161="",AU161=0),"",(AU161-BH161)/AU161)</f>
        <v/>
      </c>
      <c r="BJ161" s="81"/>
      <c r="BK161" s="83"/>
      <c r="BL161" s="43" t="str">
        <f aca="false">IFERROR(INDEX(ЗАКАЗЫ!$N$3:$N$500,MATCH($A161,ЗАКАЗЫ!$F$3:$F$500,0)),"")</f>
        <v/>
      </c>
      <c r="BM161" s="8" t="str">
        <f aca="false">IF(BL161="","",IFERROR(VLOOKUP(BL161,'ТН ВЭД'!$A$4:$C$40,3,0),""))</f>
        <v/>
      </c>
      <c r="BN161" s="7" t="str">
        <f aca="false">IF(COUNTIF(ЗАКАЗЫ!$F$3:$F$500,$A161)=0,"",SUMIF(ЗАКАЗЫ!$F$3:$F$500,$A161,ЗАКАЗЫ!$J$3:$J$500))</f>
        <v/>
      </c>
      <c r="BO161" s="7" t="str">
        <f aca="false">IF(BN161="","",SUMIF(ЗАКАЗЫ!$F$3:$F$500,$A161,ЗАКАЗЫ!$AL$3:$AL$500))</f>
        <v/>
      </c>
      <c r="BP161" s="7" t="str">
        <f aca="false">IF(BN161="","",BN161-BO161)</f>
        <v/>
      </c>
      <c r="BQ161" s="55" t="str">
        <f aca="false">IF(BN161="","",IF(BO161&gt;=BN161,"На складе",IF(BO161&gt;0,"Частично","Ждём")))</f>
        <v/>
      </c>
      <c r="BR161" s="43"/>
      <c r="BS161" s="47" t="str">
        <f aca="false">IF(BN161="","",IF(_xlfn.MAXIFS(ЗАКАЗЫ!$AK$3:$AK$500,ЗАКАЗЫ!$F$3:$F$500,$A161)=0,"",_xlfn.MAXIFS(ЗАКАЗЫ!$AK$3:$AK$500,ЗАКАЗЫ!$F$3:$F$500,$A161)))</f>
        <v/>
      </c>
    </row>
    <row r="162" customFormat="false" ht="15.75" hidden="false" customHeight="true" outlineLevel="0" collapsed="false">
      <c r="A162" s="80" t="s">
        <v>994</v>
      </c>
      <c r="B162" s="81"/>
      <c r="C162" s="81"/>
      <c r="D162" s="81"/>
      <c r="E162" s="83"/>
      <c r="F162" s="81"/>
      <c r="G162" s="83"/>
      <c r="H162" s="83"/>
      <c r="I162" s="84" t="str">
        <f aca="false">IF(E162="","",A162&amp;"_1.jpg")</f>
        <v/>
      </c>
      <c r="J162" s="84" t="str">
        <f aca="false">IF(E162="","",A162&amp;"_2.jpg; "&amp;A162&amp;"_3.jpg")</f>
        <v/>
      </c>
      <c r="K162" s="84" t="str">
        <f aca="false">IF(E162="","",A162&amp;"_schema.jpg")</f>
        <v/>
      </c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 t="s">
        <v>96</v>
      </c>
      <c r="W162" s="81"/>
      <c r="X162" s="81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6" t="str">
        <f aca="false">IF(SUM(Y162:AJ162)=0,"",SUM(Y162:AJ162))</f>
        <v/>
      </c>
      <c r="AL162" s="84" t="str">
        <f aca="false">MID(IF(N(Y162)&gt;0,", "&amp;Y$2,"")&amp;IF(N(Z162)&gt;0,", "&amp;Z$2,"")&amp;IF(N(AA162)&gt;0,", "&amp;AA$2,"")&amp;IF(N(AB162)&gt;0,", "&amp;AB$2,"")&amp;IF(N(AC162)&gt;0,", "&amp;AC$2,"")&amp;IF(N(AD162)&gt;0,", "&amp;AD$2,"")&amp;IF(N(AE162)&gt;0,", "&amp;AE$2,"")&amp;IF(N(AF162)&gt;0,", "&amp;AF$2,"")&amp;IF(N(AG162)&gt;0,", "&amp;AG$2,"")&amp;IF(N(AH162)&gt;0,", "&amp;AH$2,"")&amp;IF(N(AI162)&gt;0,", "&amp;AI$2,"")&amp;IF(N(AJ162)&gt;0,", "&amp;AJ$2,""),3,999)</f>
        <v/>
      </c>
      <c r="AM162" s="87" t="str">
        <f aca="false">IF(E162="","",MID(IF(N(Y162)&gt;0,", "&amp;A162&amp;"-"&amp;Y$2,"")&amp;IF(N(Z162)&gt;0,", "&amp;A162&amp;"-"&amp;Z$2,"")&amp;IF(N(AA162)&gt;0,", "&amp;A162&amp;"-"&amp;AA$2,"")&amp;IF(N(AB162)&gt;0,", "&amp;A162&amp;"-"&amp;AB$2,"")&amp;IF(N(AC162)&gt;0,", "&amp;A162&amp;"-"&amp;AC$2,"")&amp;IF(N(AD162)&gt;0,", "&amp;A162&amp;"-"&amp;AD$2,"")&amp;IF(N(AE162)&gt;0,", "&amp;A162&amp;"-"&amp;AE$2,"")&amp;IF(N(AF162)&gt;0,", "&amp;A162&amp;"-"&amp;AF$2,"")&amp;IF(N(AG162)&gt;0,", "&amp;A162&amp;"-"&amp;AG$2,"")&amp;IF(N(AH162)&gt;0,", "&amp;A162&amp;"-"&amp;AH$2,"")&amp;IF(N(AI162)&gt;0,", "&amp;A162&amp;"-"&amp;AI$2,"")&amp;IF(N(AJ162)&gt;0,", "&amp;A162&amp;"-"&amp;AJ$2,""),3,999))</f>
        <v/>
      </c>
      <c r="AN162" s="81"/>
      <c r="AO162" s="88"/>
      <c r="AP162" s="89" t="str">
        <f aca="false">IF(AO162="","",ROUND(AO162/(1+Справочники!$B$13),2))</f>
        <v/>
      </c>
      <c r="AQ162" s="90" t="str">
        <f aca="false" t="array" ref="AQ162:AQ162">IF(AP162="","",AP162*INDEX(Справочники!$B$4:$B$7,MATCH("RUB",Справочники!$A$4:$A$7,0)))</f>
        <v/>
      </c>
      <c r="AR162" s="90" t="str">
        <f aca="false">IF(AQ162="","",ROUND(AQ162*(1+Справочники!$B$12),0))</f>
        <v/>
      </c>
      <c r="AS162" s="90" t="str">
        <f aca="false">IF(AR162="","",ROUND(AR162*(1-Справочники!$B$11),0))</f>
        <v/>
      </c>
      <c r="AT162" s="88"/>
      <c r="AU162" s="90" t="str">
        <f aca="false">IF(AT162="","",ROUND(AT162/(1+Справочники!$B$12),0))</f>
        <v/>
      </c>
      <c r="AV162" s="90" t="str">
        <f aca="false">IF(AT162="","",ROUND(AT162*(1-Справочники!$B$15),0))</f>
        <v/>
      </c>
      <c r="AW162" s="90" t="str">
        <f aca="false">IF(AT162="","",ROUND(AT162*(1-Справочники!$B$16),0))</f>
        <v/>
      </c>
      <c r="AX162" s="90" t="str">
        <f aca="false">IF(AT162="","",ROUND(AT162*(1-Справочники!$B$17),0))</f>
        <v/>
      </c>
      <c r="AY162" s="90" t="str">
        <f aca="false">IF(AT162="","",ROUND(AT162*(1-Справочники!$B$18),0))</f>
        <v/>
      </c>
      <c r="AZ162" s="90" t="str">
        <f aca="false">IF(AT162="","",ROUND(AT162*(1-Справочники!$B$19),0))</f>
        <v/>
      </c>
      <c r="BA162" s="81"/>
      <c r="BB162" s="81"/>
      <c r="BC162" s="81"/>
      <c r="BD162" s="81"/>
      <c r="BE162" s="91"/>
      <c r="BF162" s="81" t="s">
        <v>103</v>
      </c>
      <c r="BG162" s="89" t="n">
        <f aca="false" t="array" ref="BG162:BG162">IF(BF162="","",IFERROR(INDEX(Справочники!$B$4:$B$7,MATCH(BF162,Справочники!$A$4:$A$7,0)),""))</f>
        <v>68.5</v>
      </c>
      <c r="BH162" s="90" t="str">
        <f aca="false">IF(N(BN162)&gt;0,ROUND(SUMIF(ЗАКАЗЫ!$F$3:$F$500,$A162,ЗАКАЗЫ!$Y$3:$Y$500)/BN162,0),IF(OR(BE162="",BG162=""),"",ROUND(BE162*BG162*(1+Справочники!$B$10),0)))</f>
        <v/>
      </c>
      <c r="BI162" s="92" t="str">
        <f aca="false">IF(OR(AU162="",BH162="",AU162=0),"",(AU162-BH162)/AU162)</f>
        <v/>
      </c>
      <c r="BJ162" s="81"/>
      <c r="BK162" s="83"/>
      <c r="BL162" s="43" t="str">
        <f aca="false">IFERROR(INDEX(ЗАКАЗЫ!$N$3:$N$500,MATCH($A162,ЗАКАЗЫ!$F$3:$F$500,0)),"")</f>
        <v/>
      </c>
      <c r="BM162" s="8" t="str">
        <f aca="false">IF(BL162="","",IFERROR(VLOOKUP(BL162,'ТН ВЭД'!$A$4:$C$40,3,0),""))</f>
        <v/>
      </c>
      <c r="BN162" s="7" t="str">
        <f aca="false">IF(COUNTIF(ЗАКАЗЫ!$F$3:$F$500,$A162)=0,"",SUMIF(ЗАКАЗЫ!$F$3:$F$500,$A162,ЗАКАЗЫ!$J$3:$J$500))</f>
        <v/>
      </c>
      <c r="BO162" s="7" t="str">
        <f aca="false">IF(BN162="","",SUMIF(ЗАКАЗЫ!$F$3:$F$500,$A162,ЗАКАЗЫ!$AL$3:$AL$500))</f>
        <v/>
      </c>
      <c r="BP162" s="7" t="str">
        <f aca="false">IF(BN162="","",BN162-BO162)</f>
        <v/>
      </c>
      <c r="BQ162" s="55" t="str">
        <f aca="false">IF(BN162="","",IF(BO162&gt;=BN162,"На складе",IF(BO162&gt;0,"Частично","Ждём")))</f>
        <v/>
      </c>
      <c r="BR162" s="43"/>
      <c r="BS162" s="47" t="str">
        <f aca="false">IF(BN162="","",IF(_xlfn.MAXIFS(ЗАКАЗЫ!$AK$3:$AK$500,ЗАКАЗЫ!$F$3:$F$500,$A162)=0,"",_xlfn.MAXIFS(ЗАКАЗЫ!$AK$3:$AK$500,ЗАКАЗЫ!$F$3:$F$500,$A162)))</f>
        <v/>
      </c>
    </row>
    <row r="163" customFormat="false" ht="15.75" hidden="false" customHeight="true" outlineLevel="0" collapsed="false">
      <c r="A163" s="80" t="s">
        <v>995</v>
      </c>
      <c r="B163" s="81"/>
      <c r="C163" s="81"/>
      <c r="D163" s="81"/>
      <c r="E163" s="83"/>
      <c r="F163" s="81"/>
      <c r="G163" s="83"/>
      <c r="H163" s="83"/>
      <c r="I163" s="84" t="str">
        <f aca="false">IF(E163="","",A163&amp;"_1.jpg")</f>
        <v/>
      </c>
      <c r="J163" s="84" t="str">
        <f aca="false">IF(E163="","",A163&amp;"_2.jpg; "&amp;A163&amp;"_3.jpg")</f>
        <v/>
      </c>
      <c r="K163" s="84" t="str">
        <f aca="false">IF(E163="","",A163&amp;"_schema.jpg")</f>
        <v/>
      </c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 t="s">
        <v>96</v>
      </c>
      <c r="W163" s="81"/>
      <c r="X163" s="81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6" t="str">
        <f aca="false">IF(SUM(Y163:AJ163)=0,"",SUM(Y163:AJ163))</f>
        <v/>
      </c>
      <c r="AL163" s="84" t="str">
        <f aca="false">MID(IF(N(Y163)&gt;0,", "&amp;Y$2,"")&amp;IF(N(Z163)&gt;0,", "&amp;Z$2,"")&amp;IF(N(AA163)&gt;0,", "&amp;AA$2,"")&amp;IF(N(AB163)&gt;0,", "&amp;AB$2,"")&amp;IF(N(AC163)&gt;0,", "&amp;AC$2,"")&amp;IF(N(AD163)&gt;0,", "&amp;AD$2,"")&amp;IF(N(AE163)&gt;0,", "&amp;AE$2,"")&amp;IF(N(AF163)&gt;0,", "&amp;AF$2,"")&amp;IF(N(AG163)&gt;0,", "&amp;AG$2,"")&amp;IF(N(AH163)&gt;0,", "&amp;AH$2,"")&amp;IF(N(AI163)&gt;0,", "&amp;AI$2,"")&amp;IF(N(AJ163)&gt;0,", "&amp;AJ$2,""),3,999)</f>
        <v/>
      </c>
      <c r="AM163" s="87" t="str">
        <f aca="false">IF(E163="","",MID(IF(N(Y163)&gt;0,", "&amp;A163&amp;"-"&amp;Y$2,"")&amp;IF(N(Z163)&gt;0,", "&amp;A163&amp;"-"&amp;Z$2,"")&amp;IF(N(AA163)&gt;0,", "&amp;A163&amp;"-"&amp;AA$2,"")&amp;IF(N(AB163)&gt;0,", "&amp;A163&amp;"-"&amp;AB$2,"")&amp;IF(N(AC163)&gt;0,", "&amp;A163&amp;"-"&amp;AC$2,"")&amp;IF(N(AD163)&gt;0,", "&amp;A163&amp;"-"&amp;AD$2,"")&amp;IF(N(AE163)&gt;0,", "&amp;A163&amp;"-"&amp;AE$2,"")&amp;IF(N(AF163)&gt;0,", "&amp;A163&amp;"-"&amp;AF$2,"")&amp;IF(N(AG163)&gt;0,", "&amp;A163&amp;"-"&amp;AG$2,"")&amp;IF(N(AH163)&gt;0,", "&amp;A163&amp;"-"&amp;AH$2,"")&amp;IF(N(AI163)&gt;0,", "&amp;A163&amp;"-"&amp;AI$2,"")&amp;IF(N(AJ163)&gt;0,", "&amp;A163&amp;"-"&amp;AJ$2,""),3,999))</f>
        <v/>
      </c>
      <c r="AN163" s="81"/>
      <c r="AO163" s="88"/>
      <c r="AP163" s="89" t="str">
        <f aca="false">IF(AO163="","",ROUND(AO163/(1+Справочники!$B$13),2))</f>
        <v/>
      </c>
      <c r="AQ163" s="90" t="str">
        <f aca="false" t="array" ref="AQ163:AQ163">IF(AP163="","",AP163*INDEX(Справочники!$B$4:$B$7,MATCH("RUB",Справочники!$A$4:$A$7,0)))</f>
        <v/>
      </c>
      <c r="AR163" s="90" t="str">
        <f aca="false">IF(AQ163="","",ROUND(AQ163*(1+Справочники!$B$12),0))</f>
        <v/>
      </c>
      <c r="AS163" s="90" t="str">
        <f aca="false">IF(AR163="","",ROUND(AR163*(1-Справочники!$B$11),0))</f>
        <v/>
      </c>
      <c r="AT163" s="88"/>
      <c r="AU163" s="90" t="str">
        <f aca="false">IF(AT163="","",ROUND(AT163/(1+Справочники!$B$12),0))</f>
        <v/>
      </c>
      <c r="AV163" s="90" t="str">
        <f aca="false">IF(AT163="","",ROUND(AT163*(1-Справочники!$B$15),0))</f>
        <v/>
      </c>
      <c r="AW163" s="90" t="str">
        <f aca="false">IF(AT163="","",ROUND(AT163*(1-Справочники!$B$16),0))</f>
        <v/>
      </c>
      <c r="AX163" s="90" t="str">
        <f aca="false">IF(AT163="","",ROUND(AT163*(1-Справочники!$B$17),0))</f>
        <v/>
      </c>
      <c r="AY163" s="90" t="str">
        <f aca="false">IF(AT163="","",ROUND(AT163*(1-Справочники!$B$18),0))</f>
        <v/>
      </c>
      <c r="AZ163" s="90" t="str">
        <f aca="false">IF(AT163="","",ROUND(AT163*(1-Справочники!$B$19),0))</f>
        <v/>
      </c>
      <c r="BA163" s="81"/>
      <c r="BB163" s="81"/>
      <c r="BC163" s="81"/>
      <c r="BD163" s="81"/>
      <c r="BE163" s="91"/>
      <c r="BF163" s="81" t="s">
        <v>103</v>
      </c>
      <c r="BG163" s="89" t="n">
        <f aca="false" t="array" ref="BG163:BG163">IF(BF163="","",IFERROR(INDEX(Справочники!$B$4:$B$7,MATCH(BF163,Справочники!$A$4:$A$7,0)),""))</f>
        <v>68.5</v>
      </c>
      <c r="BH163" s="90" t="str">
        <f aca="false">IF(N(BN163)&gt;0,ROUND(SUMIF(ЗАКАЗЫ!$F$3:$F$500,$A163,ЗАКАЗЫ!$Y$3:$Y$500)/BN163,0),IF(OR(BE163="",BG163=""),"",ROUND(BE163*BG163*(1+Справочники!$B$10),0)))</f>
        <v/>
      </c>
      <c r="BI163" s="92" t="str">
        <f aca="false">IF(OR(AU163="",BH163="",AU163=0),"",(AU163-BH163)/AU163)</f>
        <v/>
      </c>
      <c r="BJ163" s="81"/>
      <c r="BK163" s="83"/>
      <c r="BL163" s="43" t="str">
        <f aca="false">IFERROR(INDEX(ЗАКАЗЫ!$N$3:$N$500,MATCH($A163,ЗАКАЗЫ!$F$3:$F$500,0)),"")</f>
        <v/>
      </c>
      <c r="BM163" s="8" t="str">
        <f aca="false">IF(BL163="","",IFERROR(VLOOKUP(BL163,'ТН ВЭД'!$A$4:$C$40,3,0),""))</f>
        <v/>
      </c>
      <c r="BN163" s="7" t="str">
        <f aca="false">IF(COUNTIF(ЗАКАЗЫ!$F$3:$F$500,$A163)=0,"",SUMIF(ЗАКАЗЫ!$F$3:$F$500,$A163,ЗАКАЗЫ!$J$3:$J$500))</f>
        <v/>
      </c>
      <c r="BO163" s="7" t="str">
        <f aca="false">IF(BN163="","",SUMIF(ЗАКАЗЫ!$F$3:$F$500,$A163,ЗАКАЗЫ!$AL$3:$AL$500))</f>
        <v/>
      </c>
      <c r="BP163" s="7" t="str">
        <f aca="false">IF(BN163="","",BN163-BO163)</f>
        <v/>
      </c>
      <c r="BQ163" s="55" t="str">
        <f aca="false">IF(BN163="","",IF(BO163&gt;=BN163,"На складе",IF(BO163&gt;0,"Частично","Ждём")))</f>
        <v/>
      </c>
      <c r="BR163" s="43"/>
      <c r="BS163" s="47" t="str">
        <f aca="false">IF(BN163="","",IF(_xlfn.MAXIFS(ЗАКАЗЫ!$AK$3:$AK$500,ЗАКАЗЫ!$F$3:$F$500,$A163)=0,"",_xlfn.MAXIFS(ЗАКАЗЫ!$AK$3:$AK$500,ЗАКАЗЫ!$F$3:$F$500,$A163)))</f>
        <v/>
      </c>
    </row>
    <row r="164" customFormat="false" ht="15.75" hidden="false" customHeight="true" outlineLevel="0" collapsed="false">
      <c r="A164" s="80" t="s">
        <v>996</v>
      </c>
      <c r="B164" s="81"/>
      <c r="C164" s="81"/>
      <c r="D164" s="81"/>
      <c r="E164" s="83"/>
      <c r="F164" s="81"/>
      <c r="G164" s="83"/>
      <c r="H164" s="83"/>
      <c r="I164" s="84" t="str">
        <f aca="false">IF(E164="","",A164&amp;"_1.jpg")</f>
        <v/>
      </c>
      <c r="J164" s="84" t="str">
        <f aca="false">IF(E164="","",A164&amp;"_2.jpg; "&amp;A164&amp;"_3.jpg")</f>
        <v/>
      </c>
      <c r="K164" s="84" t="str">
        <f aca="false">IF(E164="","",A164&amp;"_schema.jpg")</f>
        <v/>
      </c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 t="s">
        <v>96</v>
      </c>
      <c r="W164" s="81"/>
      <c r="X164" s="81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6" t="str">
        <f aca="false">IF(SUM(Y164:AJ164)=0,"",SUM(Y164:AJ164))</f>
        <v/>
      </c>
      <c r="AL164" s="84" t="str">
        <f aca="false">MID(IF(N(Y164)&gt;0,", "&amp;Y$2,"")&amp;IF(N(Z164)&gt;0,", "&amp;Z$2,"")&amp;IF(N(AA164)&gt;0,", "&amp;AA$2,"")&amp;IF(N(AB164)&gt;0,", "&amp;AB$2,"")&amp;IF(N(AC164)&gt;0,", "&amp;AC$2,"")&amp;IF(N(AD164)&gt;0,", "&amp;AD$2,"")&amp;IF(N(AE164)&gt;0,", "&amp;AE$2,"")&amp;IF(N(AF164)&gt;0,", "&amp;AF$2,"")&amp;IF(N(AG164)&gt;0,", "&amp;AG$2,"")&amp;IF(N(AH164)&gt;0,", "&amp;AH$2,"")&amp;IF(N(AI164)&gt;0,", "&amp;AI$2,"")&amp;IF(N(AJ164)&gt;0,", "&amp;AJ$2,""),3,999)</f>
        <v/>
      </c>
      <c r="AM164" s="87" t="str">
        <f aca="false">IF(E164="","",MID(IF(N(Y164)&gt;0,", "&amp;A164&amp;"-"&amp;Y$2,"")&amp;IF(N(Z164)&gt;0,", "&amp;A164&amp;"-"&amp;Z$2,"")&amp;IF(N(AA164)&gt;0,", "&amp;A164&amp;"-"&amp;AA$2,"")&amp;IF(N(AB164)&gt;0,", "&amp;A164&amp;"-"&amp;AB$2,"")&amp;IF(N(AC164)&gt;0,", "&amp;A164&amp;"-"&amp;AC$2,"")&amp;IF(N(AD164)&gt;0,", "&amp;A164&amp;"-"&amp;AD$2,"")&amp;IF(N(AE164)&gt;0,", "&amp;A164&amp;"-"&amp;AE$2,"")&amp;IF(N(AF164)&gt;0,", "&amp;A164&amp;"-"&amp;AF$2,"")&amp;IF(N(AG164)&gt;0,", "&amp;A164&amp;"-"&amp;AG$2,"")&amp;IF(N(AH164)&gt;0,", "&amp;A164&amp;"-"&amp;AH$2,"")&amp;IF(N(AI164)&gt;0,", "&amp;A164&amp;"-"&amp;AI$2,"")&amp;IF(N(AJ164)&gt;0,", "&amp;A164&amp;"-"&amp;AJ$2,""),3,999))</f>
        <v/>
      </c>
      <c r="AN164" s="81"/>
      <c r="AO164" s="88"/>
      <c r="AP164" s="89" t="str">
        <f aca="false">IF(AO164="","",ROUND(AO164/(1+Справочники!$B$13),2))</f>
        <v/>
      </c>
      <c r="AQ164" s="90" t="str">
        <f aca="false" t="array" ref="AQ164:AQ164">IF(AP164="","",AP164*INDEX(Справочники!$B$4:$B$7,MATCH("RUB",Справочники!$A$4:$A$7,0)))</f>
        <v/>
      </c>
      <c r="AR164" s="90" t="str">
        <f aca="false">IF(AQ164="","",ROUND(AQ164*(1+Справочники!$B$12),0))</f>
        <v/>
      </c>
      <c r="AS164" s="90" t="str">
        <f aca="false">IF(AR164="","",ROUND(AR164*(1-Справочники!$B$11),0))</f>
        <v/>
      </c>
      <c r="AT164" s="88"/>
      <c r="AU164" s="90" t="str">
        <f aca="false">IF(AT164="","",ROUND(AT164/(1+Справочники!$B$12),0))</f>
        <v/>
      </c>
      <c r="AV164" s="90" t="str">
        <f aca="false">IF(AT164="","",ROUND(AT164*(1-Справочники!$B$15),0))</f>
        <v/>
      </c>
      <c r="AW164" s="90" t="str">
        <f aca="false">IF(AT164="","",ROUND(AT164*(1-Справочники!$B$16),0))</f>
        <v/>
      </c>
      <c r="AX164" s="90" t="str">
        <f aca="false">IF(AT164="","",ROUND(AT164*(1-Справочники!$B$17),0))</f>
        <v/>
      </c>
      <c r="AY164" s="90" t="str">
        <f aca="false">IF(AT164="","",ROUND(AT164*(1-Справочники!$B$18),0))</f>
        <v/>
      </c>
      <c r="AZ164" s="90" t="str">
        <f aca="false">IF(AT164="","",ROUND(AT164*(1-Справочники!$B$19),0))</f>
        <v/>
      </c>
      <c r="BA164" s="81"/>
      <c r="BB164" s="81"/>
      <c r="BC164" s="81"/>
      <c r="BD164" s="81"/>
      <c r="BE164" s="91"/>
      <c r="BF164" s="81" t="s">
        <v>103</v>
      </c>
      <c r="BG164" s="89" t="n">
        <f aca="false" t="array" ref="BG164:BG164">IF(BF164="","",IFERROR(INDEX(Справочники!$B$4:$B$7,MATCH(BF164,Справочники!$A$4:$A$7,0)),""))</f>
        <v>68.5</v>
      </c>
      <c r="BH164" s="90" t="str">
        <f aca="false">IF(N(BN164)&gt;0,ROUND(SUMIF(ЗАКАЗЫ!$F$3:$F$500,$A164,ЗАКАЗЫ!$Y$3:$Y$500)/BN164,0),IF(OR(BE164="",BG164=""),"",ROUND(BE164*BG164*(1+Справочники!$B$10),0)))</f>
        <v/>
      </c>
      <c r="BI164" s="92" t="str">
        <f aca="false">IF(OR(AU164="",BH164="",AU164=0),"",(AU164-BH164)/AU164)</f>
        <v/>
      </c>
      <c r="BJ164" s="81"/>
      <c r="BK164" s="83"/>
      <c r="BL164" s="43" t="str">
        <f aca="false">IFERROR(INDEX(ЗАКАЗЫ!$N$3:$N$500,MATCH($A164,ЗАКАЗЫ!$F$3:$F$500,0)),"")</f>
        <v/>
      </c>
      <c r="BM164" s="8" t="str">
        <f aca="false">IF(BL164="","",IFERROR(VLOOKUP(BL164,'ТН ВЭД'!$A$4:$C$40,3,0),""))</f>
        <v/>
      </c>
      <c r="BN164" s="7" t="str">
        <f aca="false">IF(COUNTIF(ЗАКАЗЫ!$F$3:$F$500,$A164)=0,"",SUMIF(ЗАКАЗЫ!$F$3:$F$500,$A164,ЗАКАЗЫ!$J$3:$J$500))</f>
        <v/>
      </c>
      <c r="BO164" s="7" t="str">
        <f aca="false">IF(BN164="","",SUMIF(ЗАКАЗЫ!$F$3:$F$500,$A164,ЗАКАЗЫ!$AL$3:$AL$500))</f>
        <v/>
      </c>
      <c r="BP164" s="7" t="str">
        <f aca="false">IF(BN164="","",BN164-BO164)</f>
        <v/>
      </c>
      <c r="BQ164" s="55" t="str">
        <f aca="false">IF(BN164="","",IF(BO164&gt;=BN164,"На складе",IF(BO164&gt;0,"Частично","Ждём")))</f>
        <v/>
      </c>
      <c r="BR164" s="43"/>
      <c r="BS164" s="47" t="str">
        <f aca="false">IF(BN164="","",IF(_xlfn.MAXIFS(ЗАКАЗЫ!$AK$3:$AK$500,ЗАКАЗЫ!$F$3:$F$500,$A164)=0,"",_xlfn.MAXIFS(ЗАКАЗЫ!$AK$3:$AK$500,ЗАКАЗЫ!$F$3:$F$500,$A164)))</f>
        <v/>
      </c>
    </row>
    <row r="165" customFormat="false" ht="15.75" hidden="false" customHeight="true" outlineLevel="0" collapsed="false">
      <c r="A165" s="80" t="s">
        <v>997</v>
      </c>
      <c r="B165" s="81"/>
      <c r="C165" s="81"/>
      <c r="D165" s="81"/>
      <c r="E165" s="83"/>
      <c r="F165" s="81"/>
      <c r="G165" s="83"/>
      <c r="H165" s="83"/>
      <c r="I165" s="84" t="str">
        <f aca="false">IF(E165="","",A165&amp;"_1.jpg")</f>
        <v/>
      </c>
      <c r="J165" s="84" t="str">
        <f aca="false">IF(E165="","",A165&amp;"_2.jpg; "&amp;A165&amp;"_3.jpg")</f>
        <v/>
      </c>
      <c r="K165" s="84" t="str">
        <f aca="false">IF(E165="","",A165&amp;"_schema.jpg")</f>
        <v/>
      </c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 t="s">
        <v>96</v>
      </c>
      <c r="W165" s="81"/>
      <c r="X165" s="81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6" t="str">
        <f aca="false">IF(SUM(Y165:AJ165)=0,"",SUM(Y165:AJ165))</f>
        <v/>
      </c>
      <c r="AL165" s="84" t="str">
        <f aca="false">MID(IF(N(Y165)&gt;0,", "&amp;Y$2,"")&amp;IF(N(Z165)&gt;0,", "&amp;Z$2,"")&amp;IF(N(AA165)&gt;0,", "&amp;AA$2,"")&amp;IF(N(AB165)&gt;0,", "&amp;AB$2,"")&amp;IF(N(AC165)&gt;0,", "&amp;AC$2,"")&amp;IF(N(AD165)&gt;0,", "&amp;AD$2,"")&amp;IF(N(AE165)&gt;0,", "&amp;AE$2,"")&amp;IF(N(AF165)&gt;0,", "&amp;AF$2,"")&amp;IF(N(AG165)&gt;0,", "&amp;AG$2,"")&amp;IF(N(AH165)&gt;0,", "&amp;AH$2,"")&amp;IF(N(AI165)&gt;0,", "&amp;AI$2,"")&amp;IF(N(AJ165)&gt;0,", "&amp;AJ$2,""),3,999)</f>
        <v/>
      </c>
      <c r="AM165" s="87" t="str">
        <f aca="false">IF(E165="","",MID(IF(N(Y165)&gt;0,", "&amp;A165&amp;"-"&amp;Y$2,"")&amp;IF(N(Z165)&gt;0,", "&amp;A165&amp;"-"&amp;Z$2,"")&amp;IF(N(AA165)&gt;0,", "&amp;A165&amp;"-"&amp;AA$2,"")&amp;IF(N(AB165)&gt;0,", "&amp;A165&amp;"-"&amp;AB$2,"")&amp;IF(N(AC165)&gt;0,", "&amp;A165&amp;"-"&amp;AC$2,"")&amp;IF(N(AD165)&gt;0,", "&amp;A165&amp;"-"&amp;AD$2,"")&amp;IF(N(AE165)&gt;0,", "&amp;A165&amp;"-"&amp;AE$2,"")&amp;IF(N(AF165)&gt;0,", "&amp;A165&amp;"-"&amp;AF$2,"")&amp;IF(N(AG165)&gt;0,", "&amp;A165&amp;"-"&amp;AG$2,"")&amp;IF(N(AH165)&gt;0,", "&amp;A165&amp;"-"&amp;AH$2,"")&amp;IF(N(AI165)&gt;0,", "&amp;A165&amp;"-"&amp;AI$2,"")&amp;IF(N(AJ165)&gt;0,", "&amp;A165&amp;"-"&amp;AJ$2,""),3,999))</f>
        <v/>
      </c>
      <c r="AN165" s="81"/>
      <c r="AO165" s="88"/>
      <c r="AP165" s="89" t="str">
        <f aca="false">IF(AO165="","",ROUND(AO165/(1+Справочники!$B$13),2))</f>
        <v/>
      </c>
      <c r="AQ165" s="90" t="str">
        <f aca="false" t="array" ref="AQ165:AQ165">IF(AP165="","",AP165*INDEX(Справочники!$B$4:$B$7,MATCH("RUB",Справочники!$A$4:$A$7,0)))</f>
        <v/>
      </c>
      <c r="AR165" s="90" t="str">
        <f aca="false">IF(AQ165="","",ROUND(AQ165*(1+Справочники!$B$12),0))</f>
        <v/>
      </c>
      <c r="AS165" s="90" t="str">
        <f aca="false">IF(AR165="","",ROUND(AR165*(1-Справочники!$B$11),0))</f>
        <v/>
      </c>
      <c r="AT165" s="88"/>
      <c r="AU165" s="90" t="str">
        <f aca="false">IF(AT165="","",ROUND(AT165/(1+Справочники!$B$12),0))</f>
        <v/>
      </c>
      <c r="AV165" s="90" t="str">
        <f aca="false">IF(AT165="","",ROUND(AT165*(1-Справочники!$B$15),0))</f>
        <v/>
      </c>
      <c r="AW165" s="90" t="str">
        <f aca="false">IF(AT165="","",ROUND(AT165*(1-Справочники!$B$16),0))</f>
        <v/>
      </c>
      <c r="AX165" s="90" t="str">
        <f aca="false">IF(AT165="","",ROUND(AT165*(1-Справочники!$B$17),0))</f>
        <v/>
      </c>
      <c r="AY165" s="90" t="str">
        <f aca="false">IF(AT165="","",ROUND(AT165*(1-Справочники!$B$18),0))</f>
        <v/>
      </c>
      <c r="AZ165" s="90" t="str">
        <f aca="false">IF(AT165="","",ROUND(AT165*(1-Справочники!$B$19),0))</f>
        <v/>
      </c>
      <c r="BA165" s="81"/>
      <c r="BB165" s="81"/>
      <c r="BC165" s="81"/>
      <c r="BD165" s="81"/>
      <c r="BE165" s="91"/>
      <c r="BF165" s="81" t="s">
        <v>103</v>
      </c>
      <c r="BG165" s="89" t="n">
        <f aca="false" t="array" ref="BG165:BG165">IF(BF165="","",IFERROR(INDEX(Справочники!$B$4:$B$7,MATCH(BF165,Справочники!$A$4:$A$7,0)),""))</f>
        <v>68.5</v>
      </c>
      <c r="BH165" s="90" t="str">
        <f aca="false">IF(N(BN165)&gt;0,ROUND(SUMIF(ЗАКАЗЫ!$F$3:$F$500,$A165,ЗАКАЗЫ!$Y$3:$Y$500)/BN165,0),IF(OR(BE165="",BG165=""),"",ROUND(BE165*BG165*(1+Справочники!$B$10),0)))</f>
        <v/>
      </c>
      <c r="BI165" s="92" t="str">
        <f aca="false">IF(OR(AU165="",BH165="",AU165=0),"",(AU165-BH165)/AU165)</f>
        <v/>
      </c>
      <c r="BJ165" s="81"/>
      <c r="BK165" s="83"/>
      <c r="BL165" s="43" t="str">
        <f aca="false">IFERROR(INDEX(ЗАКАЗЫ!$N$3:$N$500,MATCH($A165,ЗАКАЗЫ!$F$3:$F$500,0)),"")</f>
        <v/>
      </c>
      <c r="BM165" s="8" t="str">
        <f aca="false">IF(BL165="","",IFERROR(VLOOKUP(BL165,'ТН ВЭД'!$A$4:$C$40,3,0),""))</f>
        <v/>
      </c>
      <c r="BN165" s="7" t="str">
        <f aca="false">IF(COUNTIF(ЗАКАЗЫ!$F$3:$F$500,$A165)=0,"",SUMIF(ЗАКАЗЫ!$F$3:$F$500,$A165,ЗАКАЗЫ!$J$3:$J$500))</f>
        <v/>
      </c>
      <c r="BO165" s="7" t="str">
        <f aca="false">IF(BN165="","",SUMIF(ЗАКАЗЫ!$F$3:$F$500,$A165,ЗАКАЗЫ!$AL$3:$AL$500))</f>
        <v/>
      </c>
      <c r="BP165" s="7" t="str">
        <f aca="false">IF(BN165="","",BN165-BO165)</f>
        <v/>
      </c>
      <c r="BQ165" s="55" t="str">
        <f aca="false">IF(BN165="","",IF(BO165&gt;=BN165,"На складе",IF(BO165&gt;0,"Частично","Ждём")))</f>
        <v/>
      </c>
      <c r="BR165" s="43"/>
      <c r="BS165" s="47" t="str">
        <f aca="false">IF(BN165="","",IF(_xlfn.MAXIFS(ЗАКАЗЫ!$AK$3:$AK$500,ЗАКАЗЫ!$F$3:$F$500,$A165)=0,"",_xlfn.MAXIFS(ЗАКАЗЫ!$AK$3:$AK$500,ЗАКАЗЫ!$F$3:$F$500,$A165)))</f>
        <v/>
      </c>
    </row>
    <row r="166" customFormat="false" ht="15.75" hidden="false" customHeight="true" outlineLevel="0" collapsed="false">
      <c r="A166" s="80" t="s">
        <v>998</v>
      </c>
      <c r="B166" s="81"/>
      <c r="C166" s="81"/>
      <c r="D166" s="81"/>
      <c r="E166" s="83"/>
      <c r="F166" s="81"/>
      <c r="G166" s="83"/>
      <c r="H166" s="83"/>
      <c r="I166" s="84" t="str">
        <f aca="false">IF(E166="","",A166&amp;"_1.jpg")</f>
        <v/>
      </c>
      <c r="J166" s="84" t="str">
        <f aca="false">IF(E166="","",A166&amp;"_2.jpg; "&amp;A166&amp;"_3.jpg")</f>
        <v/>
      </c>
      <c r="K166" s="84" t="str">
        <f aca="false">IF(E166="","",A166&amp;"_schema.jpg")</f>
        <v/>
      </c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 t="s">
        <v>96</v>
      </c>
      <c r="W166" s="81"/>
      <c r="X166" s="81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6" t="str">
        <f aca="false">IF(SUM(Y166:AJ166)=0,"",SUM(Y166:AJ166))</f>
        <v/>
      </c>
      <c r="AL166" s="84" t="str">
        <f aca="false">MID(IF(N(Y166)&gt;0,", "&amp;Y$2,"")&amp;IF(N(Z166)&gt;0,", "&amp;Z$2,"")&amp;IF(N(AA166)&gt;0,", "&amp;AA$2,"")&amp;IF(N(AB166)&gt;0,", "&amp;AB$2,"")&amp;IF(N(AC166)&gt;0,", "&amp;AC$2,"")&amp;IF(N(AD166)&gt;0,", "&amp;AD$2,"")&amp;IF(N(AE166)&gt;0,", "&amp;AE$2,"")&amp;IF(N(AF166)&gt;0,", "&amp;AF$2,"")&amp;IF(N(AG166)&gt;0,", "&amp;AG$2,"")&amp;IF(N(AH166)&gt;0,", "&amp;AH$2,"")&amp;IF(N(AI166)&gt;0,", "&amp;AI$2,"")&amp;IF(N(AJ166)&gt;0,", "&amp;AJ$2,""),3,999)</f>
        <v/>
      </c>
      <c r="AM166" s="87" t="str">
        <f aca="false">IF(E166="","",MID(IF(N(Y166)&gt;0,", "&amp;A166&amp;"-"&amp;Y$2,"")&amp;IF(N(Z166)&gt;0,", "&amp;A166&amp;"-"&amp;Z$2,"")&amp;IF(N(AA166)&gt;0,", "&amp;A166&amp;"-"&amp;AA$2,"")&amp;IF(N(AB166)&gt;0,", "&amp;A166&amp;"-"&amp;AB$2,"")&amp;IF(N(AC166)&gt;0,", "&amp;A166&amp;"-"&amp;AC$2,"")&amp;IF(N(AD166)&gt;0,", "&amp;A166&amp;"-"&amp;AD$2,"")&amp;IF(N(AE166)&gt;0,", "&amp;A166&amp;"-"&amp;AE$2,"")&amp;IF(N(AF166)&gt;0,", "&amp;A166&amp;"-"&amp;AF$2,"")&amp;IF(N(AG166)&gt;0,", "&amp;A166&amp;"-"&amp;AG$2,"")&amp;IF(N(AH166)&gt;0,", "&amp;A166&amp;"-"&amp;AH$2,"")&amp;IF(N(AI166)&gt;0,", "&amp;A166&amp;"-"&amp;AI$2,"")&amp;IF(N(AJ166)&gt;0,", "&amp;A166&amp;"-"&amp;AJ$2,""),3,999))</f>
        <v/>
      </c>
      <c r="AN166" s="81"/>
      <c r="AO166" s="88"/>
      <c r="AP166" s="89" t="str">
        <f aca="false">IF(AO166="","",ROUND(AO166/(1+Справочники!$B$13),2))</f>
        <v/>
      </c>
      <c r="AQ166" s="90" t="str">
        <f aca="false" t="array" ref="AQ166:AQ166">IF(AP166="","",AP166*INDEX(Справочники!$B$4:$B$7,MATCH("RUB",Справочники!$A$4:$A$7,0)))</f>
        <v/>
      </c>
      <c r="AR166" s="90" t="str">
        <f aca="false">IF(AQ166="","",ROUND(AQ166*(1+Справочники!$B$12),0))</f>
        <v/>
      </c>
      <c r="AS166" s="90" t="str">
        <f aca="false">IF(AR166="","",ROUND(AR166*(1-Справочники!$B$11),0))</f>
        <v/>
      </c>
      <c r="AT166" s="88"/>
      <c r="AU166" s="90" t="str">
        <f aca="false">IF(AT166="","",ROUND(AT166/(1+Справочники!$B$12),0))</f>
        <v/>
      </c>
      <c r="AV166" s="90" t="str">
        <f aca="false">IF(AT166="","",ROUND(AT166*(1-Справочники!$B$15),0))</f>
        <v/>
      </c>
      <c r="AW166" s="90" t="str">
        <f aca="false">IF(AT166="","",ROUND(AT166*(1-Справочники!$B$16),0))</f>
        <v/>
      </c>
      <c r="AX166" s="90" t="str">
        <f aca="false">IF(AT166="","",ROUND(AT166*(1-Справочники!$B$17),0))</f>
        <v/>
      </c>
      <c r="AY166" s="90" t="str">
        <f aca="false">IF(AT166="","",ROUND(AT166*(1-Справочники!$B$18),0))</f>
        <v/>
      </c>
      <c r="AZ166" s="90" t="str">
        <f aca="false">IF(AT166="","",ROUND(AT166*(1-Справочники!$B$19),0))</f>
        <v/>
      </c>
      <c r="BA166" s="81"/>
      <c r="BB166" s="81"/>
      <c r="BC166" s="81"/>
      <c r="BD166" s="81"/>
      <c r="BE166" s="91"/>
      <c r="BF166" s="81" t="s">
        <v>103</v>
      </c>
      <c r="BG166" s="89" t="n">
        <f aca="false" t="array" ref="BG166:BG166">IF(BF166="","",IFERROR(INDEX(Справочники!$B$4:$B$7,MATCH(BF166,Справочники!$A$4:$A$7,0)),""))</f>
        <v>68.5</v>
      </c>
      <c r="BH166" s="90" t="str">
        <f aca="false">IF(N(BN166)&gt;0,ROUND(SUMIF(ЗАКАЗЫ!$F$3:$F$500,$A166,ЗАКАЗЫ!$Y$3:$Y$500)/BN166,0),IF(OR(BE166="",BG166=""),"",ROUND(BE166*BG166*(1+Справочники!$B$10),0)))</f>
        <v/>
      </c>
      <c r="BI166" s="92" t="str">
        <f aca="false">IF(OR(AU166="",BH166="",AU166=0),"",(AU166-BH166)/AU166)</f>
        <v/>
      </c>
      <c r="BJ166" s="81"/>
      <c r="BK166" s="83"/>
      <c r="BL166" s="43" t="str">
        <f aca="false">IFERROR(INDEX(ЗАКАЗЫ!$N$3:$N$500,MATCH($A166,ЗАКАЗЫ!$F$3:$F$500,0)),"")</f>
        <v/>
      </c>
      <c r="BM166" s="8" t="str">
        <f aca="false">IF(BL166="","",IFERROR(VLOOKUP(BL166,'ТН ВЭД'!$A$4:$C$40,3,0),""))</f>
        <v/>
      </c>
      <c r="BN166" s="7" t="str">
        <f aca="false">IF(COUNTIF(ЗАКАЗЫ!$F$3:$F$500,$A166)=0,"",SUMIF(ЗАКАЗЫ!$F$3:$F$500,$A166,ЗАКАЗЫ!$J$3:$J$500))</f>
        <v/>
      </c>
      <c r="BO166" s="7" t="str">
        <f aca="false">IF(BN166="","",SUMIF(ЗАКАЗЫ!$F$3:$F$500,$A166,ЗАКАЗЫ!$AL$3:$AL$500))</f>
        <v/>
      </c>
      <c r="BP166" s="7" t="str">
        <f aca="false">IF(BN166="","",BN166-BO166)</f>
        <v/>
      </c>
      <c r="BQ166" s="55" t="str">
        <f aca="false">IF(BN166="","",IF(BO166&gt;=BN166,"На складе",IF(BO166&gt;0,"Частично","Ждём")))</f>
        <v/>
      </c>
      <c r="BR166" s="43"/>
      <c r="BS166" s="47" t="str">
        <f aca="false">IF(BN166="","",IF(_xlfn.MAXIFS(ЗАКАЗЫ!$AK$3:$AK$500,ЗАКАЗЫ!$F$3:$F$500,$A166)=0,"",_xlfn.MAXIFS(ЗАКАЗЫ!$AK$3:$AK$500,ЗАКАЗЫ!$F$3:$F$500,$A166)))</f>
        <v/>
      </c>
    </row>
    <row r="167" customFormat="false" ht="15.75" hidden="false" customHeight="true" outlineLevel="0" collapsed="false">
      <c r="A167" s="80" t="s">
        <v>999</v>
      </c>
      <c r="B167" s="81"/>
      <c r="C167" s="81"/>
      <c r="D167" s="81"/>
      <c r="E167" s="83"/>
      <c r="F167" s="81"/>
      <c r="G167" s="83"/>
      <c r="H167" s="83"/>
      <c r="I167" s="84" t="str">
        <f aca="false">IF(E167="","",A167&amp;"_1.jpg")</f>
        <v/>
      </c>
      <c r="J167" s="84" t="str">
        <f aca="false">IF(E167="","",A167&amp;"_2.jpg; "&amp;A167&amp;"_3.jpg")</f>
        <v/>
      </c>
      <c r="K167" s="84" t="str">
        <f aca="false">IF(E167="","",A167&amp;"_schema.jpg")</f>
        <v/>
      </c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 t="s">
        <v>96</v>
      </c>
      <c r="W167" s="81"/>
      <c r="X167" s="81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6" t="str">
        <f aca="false">IF(SUM(Y167:AJ167)=0,"",SUM(Y167:AJ167))</f>
        <v/>
      </c>
      <c r="AL167" s="84" t="str">
        <f aca="false">MID(IF(N(Y167)&gt;0,", "&amp;Y$2,"")&amp;IF(N(Z167)&gt;0,", "&amp;Z$2,"")&amp;IF(N(AA167)&gt;0,", "&amp;AA$2,"")&amp;IF(N(AB167)&gt;0,", "&amp;AB$2,"")&amp;IF(N(AC167)&gt;0,", "&amp;AC$2,"")&amp;IF(N(AD167)&gt;0,", "&amp;AD$2,"")&amp;IF(N(AE167)&gt;0,", "&amp;AE$2,"")&amp;IF(N(AF167)&gt;0,", "&amp;AF$2,"")&amp;IF(N(AG167)&gt;0,", "&amp;AG$2,"")&amp;IF(N(AH167)&gt;0,", "&amp;AH$2,"")&amp;IF(N(AI167)&gt;0,", "&amp;AI$2,"")&amp;IF(N(AJ167)&gt;0,", "&amp;AJ$2,""),3,999)</f>
        <v/>
      </c>
      <c r="AM167" s="87" t="str">
        <f aca="false">IF(E167="","",MID(IF(N(Y167)&gt;0,", "&amp;A167&amp;"-"&amp;Y$2,"")&amp;IF(N(Z167)&gt;0,", "&amp;A167&amp;"-"&amp;Z$2,"")&amp;IF(N(AA167)&gt;0,", "&amp;A167&amp;"-"&amp;AA$2,"")&amp;IF(N(AB167)&gt;0,", "&amp;A167&amp;"-"&amp;AB$2,"")&amp;IF(N(AC167)&gt;0,", "&amp;A167&amp;"-"&amp;AC$2,"")&amp;IF(N(AD167)&gt;0,", "&amp;A167&amp;"-"&amp;AD$2,"")&amp;IF(N(AE167)&gt;0,", "&amp;A167&amp;"-"&amp;AE$2,"")&amp;IF(N(AF167)&gt;0,", "&amp;A167&amp;"-"&amp;AF$2,"")&amp;IF(N(AG167)&gt;0,", "&amp;A167&amp;"-"&amp;AG$2,"")&amp;IF(N(AH167)&gt;0,", "&amp;A167&amp;"-"&amp;AH$2,"")&amp;IF(N(AI167)&gt;0,", "&amp;A167&amp;"-"&amp;AI$2,"")&amp;IF(N(AJ167)&gt;0,", "&amp;A167&amp;"-"&amp;AJ$2,""),3,999))</f>
        <v/>
      </c>
      <c r="AN167" s="81"/>
      <c r="AO167" s="88"/>
      <c r="AP167" s="89" t="str">
        <f aca="false">IF(AO167="","",ROUND(AO167/(1+Справочники!$B$13),2))</f>
        <v/>
      </c>
      <c r="AQ167" s="90" t="str">
        <f aca="false" t="array" ref="AQ167:AQ167">IF(AP167="","",AP167*INDEX(Справочники!$B$4:$B$7,MATCH("RUB",Справочники!$A$4:$A$7,0)))</f>
        <v/>
      </c>
      <c r="AR167" s="90" t="str">
        <f aca="false">IF(AQ167="","",ROUND(AQ167*(1+Справочники!$B$12),0))</f>
        <v/>
      </c>
      <c r="AS167" s="90" t="str">
        <f aca="false">IF(AR167="","",ROUND(AR167*(1-Справочники!$B$11),0))</f>
        <v/>
      </c>
      <c r="AT167" s="88"/>
      <c r="AU167" s="90" t="str">
        <f aca="false">IF(AT167="","",ROUND(AT167/(1+Справочники!$B$12),0))</f>
        <v/>
      </c>
      <c r="AV167" s="90" t="str">
        <f aca="false">IF(AT167="","",ROUND(AT167*(1-Справочники!$B$15),0))</f>
        <v/>
      </c>
      <c r="AW167" s="90" t="str">
        <f aca="false">IF(AT167="","",ROUND(AT167*(1-Справочники!$B$16),0))</f>
        <v/>
      </c>
      <c r="AX167" s="90" t="str">
        <f aca="false">IF(AT167="","",ROUND(AT167*(1-Справочники!$B$17),0))</f>
        <v/>
      </c>
      <c r="AY167" s="90" t="str">
        <f aca="false">IF(AT167="","",ROUND(AT167*(1-Справочники!$B$18),0))</f>
        <v/>
      </c>
      <c r="AZ167" s="90" t="str">
        <f aca="false">IF(AT167="","",ROUND(AT167*(1-Справочники!$B$19),0))</f>
        <v/>
      </c>
      <c r="BA167" s="81"/>
      <c r="BB167" s="81"/>
      <c r="BC167" s="81"/>
      <c r="BD167" s="81"/>
      <c r="BE167" s="91"/>
      <c r="BF167" s="81" t="s">
        <v>103</v>
      </c>
      <c r="BG167" s="89" t="n">
        <f aca="false" t="array" ref="BG167:BG167">IF(BF167="","",IFERROR(INDEX(Справочники!$B$4:$B$7,MATCH(BF167,Справочники!$A$4:$A$7,0)),""))</f>
        <v>68.5</v>
      </c>
      <c r="BH167" s="90" t="str">
        <f aca="false">IF(N(BN167)&gt;0,ROUND(SUMIF(ЗАКАЗЫ!$F$3:$F$500,$A167,ЗАКАЗЫ!$Y$3:$Y$500)/BN167,0),IF(OR(BE167="",BG167=""),"",ROUND(BE167*BG167*(1+Справочники!$B$10),0)))</f>
        <v/>
      </c>
      <c r="BI167" s="92" t="str">
        <f aca="false">IF(OR(AU167="",BH167="",AU167=0),"",(AU167-BH167)/AU167)</f>
        <v/>
      </c>
      <c r="BJ167" s="81"/>
      <c r="BK167" s="83"/>
      <c r="BL167" s="43" t="str">
        <f aca="false">IFERROR(INDEX(ЗАКАЗЫ!$N$3:$N$500,MATCH($A167,ЗАКАЗЫ!$F$3:$F$500,0)),"")</f>
        <v/>
      </c>
      <c r="BM167" s="8" t="str">
        <f aca="false">IF(BL167="","",IFERROR(VLOOKUP(BL167,'ТН ВЭД'!$A$4:$C$40,3,0),""))</f>
        <v/>
      </c>
      <c r="BN167" s="7" t="str">
        <f aca="false">IF(COUNTIF(ЗАКАЗЫ!$F$3:$F$500,$A167)=0,"",SUMIF(ЗАКАЗЫ!$F$3:$F$500,$A167,ЗАКАЗЫ!$J$3:$J$500))</f>
        <v/>
      </c>
      <c r="BO167" s="7" t="str">
        <f aca="false">IF(BN167="","",SUMIF(ЗАКАЗЫ!$F$3:$F$500,$A167,ЗАКАЗЫ!$AL$3:$AL$500))</f>
        <v/>
      </c>
      <c r="BP167" s="7" t="str">
        <f aca="false">IF(BN167="","",BN167-BO167)</f>
        <v/>
      </c>
      <c r="BQ167" s="55" t="str">
        <f aca="false">IF(BN167="","",IF(BO167&gt;=BN167,"На складе",IF(BO167&gt;0,"Частично","Ждём")))</f>
        <v/>
      </c>
      <c r="BR167" s="43"/>
      <c r="BS167" s="47" t="str">
        <f aca="false">IF(BN167="","",IF(_xlfn.MAXIFS(ЗАКАЗЫ!$AK$3:$AK$500,ЗАКАЗЫ!$F$3:$F$500,$A167)=0,"",_xlfn.MAXIFS(ЗАКАЗЫ!$AK$3:$AK$500,ЗАКАЗЫ!$F$3:$F$500,$A167)))</f>
        <v/>
      </c>
    </row>
    <row r="168" customFormat="false" ht="15.75" hidden="false" customHeight="true" outlineLevel="0" collapsed="false">
      <c r="A168" s="80" t="s">
        <v>1000</v>
      </c>
      <c r="B168" s="81"/>
      <c r="C168" s="81"/>
      <c r="D168" s="81"/>
      <c r="E168" s="83"/>
      <c r="F168" s="81"/>
      <c r="G168" s="83"/>
      <c r="H168" s="83"/>
      <c r="I168" s="84" t="str">
        <f aca="false">IF(E168="","",A168&amp;"_1.jpg")</f>
        <v/>
      </c>
      <c r="J168" s="84" t="str">
        <f aca="false">IF(E168="","",A168&amp;"_2.jpg; "&amp;A168&amp;"_3.jpg")</f>
        <v/>
      </c>
      <c r="K168" s="84" t="str">
        <f aca="false">IF(E168="","",A168&amp;"_schema.jpg")</f>
        <v/>
      </c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 t="s">
        <v>96</v>
      </c>
      <c r="W168" s="81"/>
      <c r="X168" s="81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6" t="str">
        <f aca="false">IF(SUM(Y168:AJ168)=0,"",SUM(Y168:AJ168))</f>
        <v/>
      </c>
      <c r="AL168" s="84" t="str">
        <f aca="false">MID(IF(N(Y168)&gt;0,", "&amp;Y$2,"")&amp;IF(N(Z168)&gt;0,", "&amp;Z$2,"")&amp;IF(N(AA168)&gt;0,", "&amp;AA$2,"")&amp;IF(N(AB168)&gt;0,", "&amp;AB$2,"")&amp;IF(N(AC168)&gt;0,", "&amp;AC$2,"")&amp;IF(N(AD168)&gt;0,", "&amp;AD$2,"")&amp;IF(N(AE168)&gt;0,", "&amp;AE$2,"")&amp;IF(N(AF168)&gt;0,", "&amp;AF$2,"")&amp;IF(N(AG168)&gt;0,", "&amp;AG$2,"")&amp;IF(N(AH168)&gt;0,", "&amp;AH$2,"")&amp;IF(N(AI168)&gt;0,", "&amp;AI$2,"")&amp;IF(N(AJ168)&gt;0,", "&amp;AJ$2,""),3,999)</f>
        <v/>
      </c>
      <c r="AM168" s="87" t="str">
        <f aca="false">IF(E168="","",MID(IF(N(Y168)&gt;0,", "&amp;A168&amp;"-"&amp;Y$2,"")&amp;IF(N(Z168)&gt;0,", "&amp;A168&amp;"-"&amp;Z$2,"")&amp;IF(N(AA168)&gt;0,", "&amp;A168&amp;"-"&amp;AA$2,"")&amp;IF(N(AB168)&gt;0,", "&amp;A168&amp;"-"&amp;AB$2,"")&amp;IF(N(AC168)&gt;0,", "&amp;A168&amp;"-"&amp;AC$2,"")&amp;IF(N(AD168)&gt;0,", "&amp;A168&amp;"-"&amp;AD$2,"")&amp;IF(N(AE168)&gt;0,", "&amp;A168&amp;"-"&amp;AE$2,"")&amp;IF(N(AF168)&gt;0,", "&amp;A168&amp;"-"&amp;AF$2,"")&amp;IF(N(AG168)&gt;0,", "&amp;A168&amp;"-"&amp;AG$2,"")&amp;IF(N(AH168)&gt;0,", "&amp;A168&amp;"-"&amp;AH$2,"")&amp;IF(N(AI168)&gt;0,", "&amp;A168&amp;"-"&amp;AI$2,"")&amp;IF(N(AJ168)&gt;0,", "&amp;A168&amp;"-"&amp;AJ$2,""),3,999))</f>
        <v/>
      </c>
      <c r="AN168" s="81"/>
      <c r="AO168" s="88"/>
      <c r="AP168" s="89" t="str">
        <f aca="false">IF(AO168="","",ROUND(AO168/(1+Справочники!$B$13),2))</f>
        <v/>
      </c>
      <c r="AQ168" s="90" t="str">
        <f aca="false" t="array" ref="AQ168:AQ168">IF(AP168="","",AP168*INDEX(Справочники!$B$4:$B$7,MATCH("RUB",Справочники!$A$4:$A$7,0)))</f>
        <v/>
      </c>
      <c r="AR168" s="90" t="str">
        <f aca="false">IF(AQ168="","",ROUND(AQ168*(1+Справочники!$B$12),0))</f>
        <v/>
      </c>
      <c r="AS168" s="90" t="str">
        <f aca="false">IF(AR168="","",ROUND(AR168*(1-Справочники!$B$11),0))</f>
        <v/>
      </c>
      <c r="AT168" s="88"/>
      <c r="AU168" s="90" t="str">
        <f aca="false">IF(AT168="","",ROUND(AT168/(1+Справочники!$B$12),0))</f>
        <v/>
      </c>
      <c r="AV168" s="90" t="str">
        <f aca="false">IF(AT168="","",ROUND(AT168*(1-Справочники!$B$15),0))</f>
        <v/>
      </c>
      <c r="AW168" s="90" t="str">
        <f aca="false">IF(AT168="","",ROUND(AT168*(1-Справочники!$B$16),0))</f>
        <v/>
      </c>
      <c r="AX168" s="90" t="str">
        <f aca="false">IF(AT168="","",ROUND(AT168*(1-Справочники!$B$17),0))</f>
        <v/>
      </c>
      <c r="AY168" s="90" t="str">
        <f aca="false">IF(AT168="","",ROUND(AT168*(1-Справочники!$B$18),0))</f>
        <v/>
      </c>
      <c r="AZ168" s="90" t="str">
        <f aca="false">IF(AT168="","",ROUND(AT168*(1-Справочники!$B$19),0))</f>
        <v/>
      </c>
      <c r="BA168" s="81"/>
      <c r="BB168" s="81"/>
      <c r="BC168" s="81"/>
      <c r="BD168" s="81"/>
      <c r="BE168" s="91"/>
      <c r="BF168" s="81" t="s">
        <v>103</v>
      </c>
      <c r="BG168" s="89" t="n">
        <f aca="false" t="array" ref="BG168:BG168">IF(BF168="","",IFERROR(INDEX(Справочники!$B$4:$B$7,MATCH(BF168,Справочники!$A$4:$A$7,0)),""))</f>
        <v>68.5</v>
      </c>
      <c r="BH168" s="90" t="str">
        <f aca="false">IF(N(BN168)&gt;0,ROUND(SUMIF(ЗАКАЗЫ!$F$3:$F$500,$A168,ЗАКАЗЫ!$Y$3:$Y$500)/BN168,0),IF(OR(BE168="",BG168=""),"",ROUND(BE168*BG168*(1+Справочники!$B$10),0)))</f>
        <v/>
      </c>
      <c r="BI168" s="92" t="str">
        <f aca="false">IF(OR(AU168="",BH168="",AU168=0),"",(AU168-BH168)/AU168)</f>
        <v/>
      </c>
      <c r="BJ168" s="81"/>
      <c r="BK168" s="83"/>
      <c r="BL168" s="43" t="str">
        <f aca="false">IFERROR(INDEX(ЗАКАЗЫ!$N$3:$N$500,MATCH($A168,ЗАКАЗЫ!$F$3:$F$500,0)),"")</f>
        <v/>
      </c>
      <c r="BM168" s="8" t="str">
        <f aca="false">IF(BL168="","",IFERROR(VLOOKUP(BL168,'ТН ВЭД'!$A$4:$C$40,3,0),""))</f>
        <v/>
      </c>
      <c r="BN168" s="7" t="str">
        <f aca="false">IF(COUNTIF(ЗАКАЗЫ!$F$3:$F$500,$A168)=0,"",SUMIF(ЗАКАЗЫ!$F$3:$F$500,$A168,ЗАКАЗЫ!$J$3:$J$500))</f>
        <v/>
      </c>
      <c r="BO168" s="7" t="str">
        <f aca="false">IF(BN168="","",SUMIF(ЗАКАЗЫ!$F$3:$F$500,$A168,ЗАКАЗЫ!$AL$3:$AL$500))</f>
        <v/>
      </c>
      <c r="BP168" s="7" t="str">
        <f aca="false">IF(BN168="","",BN168-BO168)</f>
        <v/>
      </c>
      <c r="BQ168" s="55" t="str">
        <f aca="false">IF(BN168="","",IF(BO168&gt;=BN168,"На складе",IF(BO168&gt;0,"Частично","Ждём")))</f>
        <v/>
      </c>
      <c r="BR168" s="43"/>
      <c r="BS168" s="47" t="str">
        <f aca="false">IF(BN168="","",IF(_xlfn.MAXIFS(ЗАКАЗЫ!$AK$3:$AK$500,ЗАКАЗЫ!$F$3:$F$500,$A168)=0,"",_xlfn.MAXIFS(ЗАКАЗЫ!$AK$3:$AK$500,ЗАКАЗЫ!$F$3:$F$500,$A168)))</f>
        <v/>
      </c>
    </row>
    <row r="169" customFormat="false" ht="15.75" hidden="false" customHeight="true" outlineLevel="0" collapsed="false">
      <c r="A169" s="80" t="s">
        <v>1001</v>
      </c>
      <c r="B169" s="81"/>
      <c r="C169" s="81"/>
      <c r="D169" s="81"/>
      <c r="E169" s="83"/>
      <c r="F169" s="81"/>
      <c r="G169" s="83"/>
      <c r="H169" s="83"/>
      <c r="I169" s="84" t="str">
        <f aca="false">IF(E169="","",A169&amp;"_1.jpg")</f>
        <v/>
      </c>
      <c r="J169" s="84" t="str">
        <f aca="false">IF(E169="","",A169&amp;"_2.jpg; "&amp;A169&amp;"_3.jpg")</f>
        <v/>
      </c>
      <c r="K169" s="84" t="str">
        <f aca="false">IF(E169="","",A169&amp;"_schema.jpg")</f>
        <v/>
      </c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 t="s">
        <v>96</v>
      </c>
      <c r="W169" s="81"/>
      <c r="X169" s="81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6" t="str">
        <f aca="false">IF(SUM(Y169:AJ169)=0,"",SUM(Y169:AJ169))</f>
        <v/>
      </c>
      <c r="AL169" s="84" t="str">
        <f aca="false">MID(IF(N(Y169)&gt;0,", "&amp;Y$2,"")&amp;IF(N(Z169)&gt;0,", "&amp;Z$2,"")&amp;IF(N(AA169)&gt;0,", "&amp;AA$2,"")&amp;IF(N(AB169)&gt;0,", "&amp;AB$2,"")&amp;IF(N(AC169)&gt;0,", "&amp;AC$2,"")&amp;IF(N(AD169)&gt;0,", "&amp;AD$2,"")&amp;IF(N(AE169)&gt;0,", "&amp;AE$2,"")&amp;IF(N(AF169)&gt;0,", "&amp;AF$2,"")&amp;IF(N(AG169)&gt;0,", "&amp;AG$2,"")&amp;IF(N(AH169)&gt;0,", "&amp;AH$2,"")&amp;IF(N(AI169)&gt;0,", "&amp;AI$2,"")&amp;IF(N(AJ169)&gt;0,", "&amp;AJ$2,""),3,999)</f>
        <v/>
      </c>
      <c r="AM169" s="87" t="str">
        <f aca="false">IF(E169="","",MID(IF(N(Y169)&gt;0,", "&amp;A169&amp;"-"&amp;Y$2,"")&amp;IF(N(Z169)&gt;0,", "&amp;A169&amp;"-"&amp;Z$2,"")&amp;IF(N(AA169)&gt;0,", "&amp;A169&amp;"-"&amp;AA$2,"")&amp;IF(N(AB169)&gt;0,", "&amp;A169&amp;"-"&amp;AB$2,"")&amp;IF(N(AC169)&gt;0,", "&amp;A169&amp;"-"&amp;AC$2,"")&amp;IF(N(AD169)&gt;0,", "&amp;A169&amp;"-"&amp;AD$2,"")&amp;IF(N(AE169)&gt;0,", "&amp;A169&amp;"-"&amp;AE$2,"")&amp;IF(N(AF169)&gt;0,", "&amp;A169&amp;"-"&amp;AF$2,"")&amp;IF(N(AG169)&gt;0,", "&amp;A169&amp;"-"&amp;AG$2,"")&amp;IF(N(AH169)&gt;0,", "&amp;A169&amp;"-"&amp;AH$2,"")&amp;IF(N(AI169)&gt;0,", "&amp;A169&amp;"-"&amp;AI$2,"")&amp;IF(N(AJ169)&gt;0,", "&amp;A169&amp;"-"&amp;AJ$2,""),3,999))</f>
        <v/>
      </c>
      <c r="AN169" s="81"/>
      <c r="AO169" s="88"/>
      <c r="AP169" s="89" t="str">
        <f aca="false">IF(AO169="","",ROUND(AO169/(1+Справочники!$B$13),2))</f>
        <v/>
      </c>
      <c r="AQ169" s="90" t="str">
        <f aca="false" t="array" ref="AQ169:AQ169">IF(AP169="","",AP169*INDEX(Справочники!$B$4:$B$7,MATCH("RUB",Справочники!$A$4:$A$7,0)))</f>
        <v/>
      </c>
      <c r="AR169" s="90" t="str">
        <f aca="false">IF(AQ169="","",ROUND(AQ169*(1+Справочники!$B$12),0))</f>
        <v/>
      </c>
      <c r="AS169" s="90" t="str">
        <f aca="false">IF(AR169="","",ROUND(AR169*(1-Справочники!$B$11),0))</f>
        <v/>
      </c>
      <c r="AT169" s="88"/>
      <c r="AU169" s="90" t="str">
        <f aca="false">IF(AT169="","",ROUND(AT169/(1+Справочники!$B$12),0))</f>
        <v/>
      </c>
      <c r="AV169" s="90" t="str">
        <f aca="false">IF(AT169="","",ROUND(AT169*(1-Справочники!$B$15),0))</f>
        <v/>
      </c>
      <c r="AW169" s="90" t="str">
        <f aca="false">IF(AT169="","",ROUND(AT169*(1-Справочники!$B$16),0))</f>
        <v/>
      </c>
      <c r="AX169" s="90" t="str">
        <f aca="false">IF(AT169="","",ROUND(AT169*(1-Справочники!$B$17),0))</f>
        <v/>
      </c>
      <c r="AY169" s="90" t="str">
        <f aca="false">IF(AT169="","",ROUND(AT169*(1-Справочники!$B$18),0))</f>
        <v/>
      </c>
      <c r="AZ169" s="90" t="str">
        <f aca="false">IF(AT169="","",ROUND(AT169*(1-Справочники!$B$19),0))</f>
        <v/>
      </c>
      <c r="BA169" s="81"/>
      <c r="BB169" s="81"/>
      <c r="BC169" s="81"/>
      <c r="BD169" s="81"/>
      <c r="BE169" s="91"/>
      <c r="BF169" s="81" t="s">
        <v>103</v>
      </c>
      <c r="BG169" s="89" t="n">
        <f aca="false" t="array" ref="BG169:BG169">IF(BF169="","",IFERROR(INDEX(Справочники!$B$4:$B$7,MATCH(BF169,Справочники!$A$4:$A$7,0)),""))</f>
        <v>68.5</v>
      </c>
      <c r="BH169" s="90" t="str">
        <f aca="false">IF(N(BN169)&gt;0,ROUND(SUMIF(ЗАКАЗЫ!$F$3:$F$500,$A169,ЗАКАЗЫ!$Y$3:$Y$500)/BN169,0),IF(OR(BE169="",BG169=""),"",ROUND(BE169*BG169*(1+Справочники!$B$10),0)))</f>
        <v/>
      </c>
      <c r="BI169" s="92" t="str">
        <f aca="false">IF(OR(AU169="",BH169="",AU169=0),"",(AU169-BH169)/AU169)</f>
        <v/>
      </c>
      <c r="BJ169" s="81"/>
      <c r="BK169" s="83"/>
      <c r="BL169" s="43" t="str">
        <f aca="false">IFERROR(INDEX(ЗАКАЗЫ!$N$3:$N$500,MATCH($A169,ЗАКАЗЫ!$F$3:$F$500,0)),"")</f>
        <v/>
      </c>
      <c r="BM169" s="8" t="str">
        <f aca="false">IF(BL169="","",IFERROR(VLOOKUP(BL169,'ТН ВЭД'!$A$4:$C$40,3,0),""))</f>
        <v/>
      </c>
      <c r="BN169" s="7" t="str">
        <f aca="false">IF(COUNTIF(ЗАКАЗЫ!$F$3:$F$500,$A169)=0,"",SUMIF(ЗАКАЗЫ!$F$3:$F$500,$A169,ЗАКАЗЫ!$J$3:$J$500))</f>
        <v/>
      </c>
      <c r="BO169" s="7" t="str">
        <f aca="false">IF(BN169="","",SUMIF(ЗАКАЗЫ!$F$3:$F$500,$A169,ЗАКАЗЫ!$AL$3:$AL$500))</f>
        <v/>
      </c>
      <c r="BP169" s="7" t="str">
        <f aca="false">IF(BN169="","",BN169-BO169)</f>
        <v/>
      </c>
      <c r="BQ169" s="55" t="str">
        <f aca="false">IF(BN169="","",IF(BO169&gt;=BN169,"На складе",IF(BO169&gt;0,"Частично","Ждём")))</f>
        <v/>
      </c>
      <c r="BR169" s="43"/>
      <c r="BS169" s="47" t="str">
        <f aca="false">IF(BN169="","",IF(_xlfn.MAXIFS(ЗАКАЗЫ!$AK$3:$AK$500,ЗАКАЗЫ!$F$3:$F$500,$A169)=0,"",_xlfn.MAXIFS(ЗАКАЗЫ!$AK$3:$AK$500,ЗАКАЗЫ!$F$3:$F$500,$A169)))</f>
        <v/>
      </c>
    </row>
    <row r="170" customFormat="false" ht="15.75" hidden="false" customHeight="true" outlineLevel="0" collapsed="false">
      <c r="A170" s="80" t="s">
        <v>1002</v>
      </c>
      <c r="B170" s="81"/>
      <c r="C170" s="81"/>
      <c r="D170" s="81"/>
      <c r="E170" s="83"/>
      <c r="F170" s="81"/>
      <c r="G170" s="83"/>
      <c r="H170" s="83"/>
      <c r="I170" s="84" t="str">
        <f aca="false">IF(E170="","",A170&amp;"_1.jpg")</f>
        <v/>
      </c>
      <c r="J170" s="84" t="str">
        <f aca="false">IF(E170="","",A170&amp;"_2.jpg; "&amp;A170&amp;"_3.jpg")</f>
        <v/>
      </c>
      <c r="K170" s="84" t="str">
        <f aca="false">IF(E170="","",A170&amp;"_schema.jpg")</f>
        <v/>
      </c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 t="s">
        <v>96</v>
      </c>
      <c r="W170" s="81"/>
      <c r="X170" s="81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6" t="str">
        <f aca="false">IF(SUM(Y170:AJ170)=0,"",SUM(Y170:AJ170))</f>
        <v/>
      </c>
      <c r="AL170" s="84" t="str">
        <f aca="false">MID(IF(N(Y170)&gt;0,", "&amp;Y$2,"")&amp;IF(N(Z170)&gt;0,", "&amp;Z$2,"")&amp;IF(N(AA170)&gt;0,", "&amp;AA$2,"")&amp;IF(N(AB170)&gt;0,", "&amp;AB$2,"")&amp;IF(N(AC170)&gt;0,", "&amp;AC$2,"")&amp;IF(N(AD170)&gt;0,", "&amp;AD$2,"")&amp;IF(N(AE170)&gt;0,", "&amp;AE$2,"")&amp;IF(N(AF170)&gt;0,", "&amp;AF$2,"")&amp;IF(N(AG170)&gt;0,", "&amp;AG$2,"")&amp;IF(N(AH170)&gt;0,", "&amp;AH$2,"")&amp;IF(N(AI170)&gt;0,", "&amp;AI$2,"")&amp;IF(N(AJ170)&gt;0,", "&amp;AJ$2,""),3,999)</f>
        <v/>
      </c>
      <c r="AM170" s="87" t="str">
        <f aca="false">IF(E170="","",MID(IF(N(Y170)&gt;0,", "&amp;A170&amp;"-"&amp;Y$2,"")&amp;IF(N(Z170)&gt;0,", "&amp;A170&amp;"-"&amp;Z$2,"")&amp;IF(N(AA170)&gt;0,", "&amp;A170&amp;"-"&amp;AA$2,"")&amp;IF(N(AB170)&gt;0,", "&amp;A170&amp;"-"&amp;AB$2,"")&amp;IF(N(AC170)&gt;0,", "&amp;A170&amp;"-"&amp;AC$2,"")&amp;IF(N(AD170)&gt;0,", "&amp;A170&amp;"-"&amp;AD$2,"")&amp;IF(N(AE170)&gt;0,", "&amp;A170&amp;"-"&amp;AE$2,"")&amp;IF(N(AF170)&gt;0,", "&amp;A170&amp;"-"&amp;AF$2,"")&amp;IF(N(AG170)&gt;0,", "&amp;A170&amp;"-"&amp;AG$2,"")&amp;IF(N(AH170)&gt;0,", "&amp;A170&amp;"-"&amp;AH$2,"")&amp;IF(N(AI170)&gt;0,", "&amp;A170&amp;"-"&amp;AI$2,"")&amp;IF(N(AJ170)&gt;0,", "&amp;A170&amp;"-"&amp;AJ$2,""),3,999))</f>
        <v/>
      </c>
      <c r="AN170" s="81"/>
      <c r="AO170" s="88"/>
      <c r="AP170" s="89" t="str">
        <f aca="false">IF(AO170="","",ROUND(AO170/(1+Справочники!$B$13),2))</f>
        <v/>
      </c>
      <c r="AQ170" s="90" t="str">
        <f aca="false" t="array" ref="AQ170:AQ170">IF(AP170="","",AP170*INDEX(Справочники!$B$4:$B$7,MATCH("RUB",Справочники!$A$4:$A$7,0)))</f>
        <v/>
      </c>
      <c r="AR170" s="90" t="str">
        <f aca="false">IF(AQ170="","",ROUND(AQ170*(1+Справочники!$B$12),0))</f>
        <v/>
      </c>
      <c r="AS170" s="90" t="str">
        <f aca="false">IF(AR170="","",ROUND(AR170*(1-Справочники!$B$11),0))</f>
        <v/>
      </c>
      <c r="AT170" s="88"/>
      <c r="AU170" s="90" t="str">
        <f aca="false">IF(AT170="","",ROUND(AT170/(1+Справочники!$B$12),0))</f>
        <v/>
      </c>
      <c r="AV170" s="90" t="str">
        <f aca="false">IF(AT170="","",ROUND(AT170*(1-Справочники!$B$15),0))</f>
        <v/>
      </c>
      <c r="AW170" s="90" t="str">
        <f aca="false">IF(AT170="","",ROUND(AT170*(1-Справочники!$B$16),0))</f>
        <v/>
      </c>
      <c r="AX170" s="90" t="str">
        <f aca="false">IF(AT170="","",ROUND(AT170*(1-Справочники!$B$17),0))</f>
        <v/>
      </c>
      <c r="AY170" s="90" t="str">
        <f aca="false">IF(AT170="","",ROUND(AT170*(1-Справочники!$B$18),0))</f>
        <v/>
      </c>
      <c r="AZ170" s="90" t="str">
        <f aca="false">IF(AT170="","",ROUND(AT170*(1-Справочники!$B$19),0))</f>
        <v/>
      </c>
      <c r="BA170" s="81"/>
      <c r="BB170" s="81"/>
      <c r="BC170" s="81"/>
      <c r="BD170" s="81"/>
      <c r="BE170" s="91"/>
      <c r="BF170" s="81" t="s">
        <v>103</v>
      </c>
      <c r="BG170" s="89" t="n">
        <f aca="false" t="array" ref="BG170:BG170">IF(BF170="","",IFERROR(INDEX(Справочники!$B$4:$B$7,MATCH(BF170,Справочники!$A$4:$A$7,0)),""))</f>
        <v>68.5</v>
      </c>
      <c r="BH170" s="90" t="str">
        <f aca="false">IF(N(BN170)&gt;0,ROUND(SUMIF(ЗАКАЗЫ!$F$3:$F$500,$A170,ЗАКАЗЫ!$Y$3:$Y$500)/BN170,0),IF(OR(BE170="",BG170=""),"",ROUND(BE170*BG170*(1+Справочники!$B$10),0)))</f>
        <v/>
      </c>
      <c r="BI170" s="92" t="str">
        <f aca="false">IF(OR(AU170="",BH170="",AU170=0),"",(AU170-BH170)/AU170)</f>
        <v/>
      </c>
      <c r="BJ170" s="81"/>
      <c r="BK170" s="83"/>
      <c r="BL170" s="43" t="str">
        <f aca="false">IFERROR(INDEX(ЗАКАЗЫ!$N$3:$N$500,MATCH($A170,ЗАКАЗЫ!$F$3:$F$500,0)),"")</f>
        <v/>
      </c>
      <c r="BM170" s="8" t="str">
        <f aca="false">IF(BL170="","",IFERROR(VLOOKUP(BL170,'ТН ВЭД'!$A$4:$C$40,3,0),""))</f>
        <v/>
      </c>
      <c r="BN170" s="7" t="str">
        <f aca="false">IF(COUNTIF(ЗАКАЗЫ!$F$3:$F$500,$A170)=0,"",SUMIF(ЗАКАЗЫ!$F$3:$F$500,$A170,ЗАКАЗЫ!$J$3:$J$500))</f>
        <v/>
      </c>
      <c r="BO170" s="7" t="str">
        <f aca="false">IF(BN170="","",SUMIF(ЗАКАЗЫ!$F$3:$F$500,$A170,ЗАКАЗЫ!$AL$3:$AL$500))</f>
        <v/>
      </c>
      <c r="BP170" s="7" t="str">
        <f aca="false">IF(BN170="","",BN170-BO170)</f>
        <v/>
      </c>
      <c r="BQ170" s="55" t="str">
        <f aca="false">IF(BN170="","",IF(BO170&gt;=BN170,"На складе",IF(BO170&gt;0,"Частично","Ждём")))</f>
        <v/>
      </c>
      <c r="BR170" s="43"/>
      <c r="BS170" s="47" t="str">
        <f aca="false">IF(BN170="","",IF(_xlfn.MAXIFS(ЗАКАЗЫ!$AK$3:$AK$500,ЗАКАЗЫ!$F$3:$F$500,$A170)=0,"",_xlfn.MAXIFS(ЗАКАЗЫ!$AK$3:$AK$500,ЗАКАЗЫ!$F$3:$F$500,$A170)))</f>
        <v/>
      </c>
    </row>
    <row r="171" customFormat="false" ht="15.75" hidden="false" customHeight="true" outlineLevel="0" collapsed="false">
      <c r="A171" s="80" t="s">
        <v>1003</v>
      </c>
      <c r="B171" s="81"/>
      <c r="C171" s="81"/>
      <c r="D171" s="81"/>
      <c r="E171" s="83"/>
      <c r="F171" s="81"/>
      <c r="G171" s="83"/>
      <c r="H171" s="83"/>
      <c r="I171" s="84" t="str">
        <f aca="false">IF(E171="","",A171&amp;"_1.jpg")</f>
        <v/>
      </c>
      <c r="J171" s="84" t="str">
        <f aca="false">IF(E171="","",A171&amp;"_2.jpg; "&amp;A171&amp;"_3.jpg")</f>
        <v/>
      </c>
      <c r="K171" s="84" t="str">
        <f aca="false">IF(E171="","",A171&amp;"_schema.jpg")</f>
        <v/>
      </c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 t="s">
        <v>96</v>
      </c>
      <c r="W171" s="81"/>
      <c r="X171" s="81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6" t="str">
        <f aca="false">IF(SUM(Y171:AJ171)=0,"",SUM(Y171:AJ171))</f>
        <v/>
      </c>
      <c r="AL171" s="84" t="str">
        <f aca="false">MID(IF(N(Y171)&gt;0,", "&amp;Y$2,"")&amp;IF(N(Z171)&gt;0,", "&amp;Z$2,"")&amp;IF(N(AA171)&gt;0,", "&amp;AA$2,"")&amp;IF(N(AB171)&gt;0,", "&amp;AB$2,"")&amp;IF(N(AC171)&gt;0,", "&amp;AC$2,"")&amp;IF(N(AD171)&gt;0,", "&amp;AD$2,"")&amp;IF(N(AE171)&gt;0,", "&amp;AE$2,"")&amp;IF(N(AF171)&gt;0,", "&amp;AF$2,"")&amp;IF(N(AG171)&gt;0,", "&amp;AG$2,"")&amp;IF(N(AH171)&gt;0,", "&amp;AH$2,"")&amp;IF(N(AI171)&gt;0,", "&amp;AI$2,"")&amp;IF(N(AJ171)&gt;0,", "&amp;AJ$2,""),3,999)</f>
        <v/>
      </c>
      <c r="AM171" s="87" t="str">
        <f aca="false">IF(E171="","",MID(IF(N(Y171)&gt;0,", "&amp;A171&amp;"-"&amp;Y$2,"")&amp;IF(N(Z171)&gt;0,", "&amp;A171&amp;"-"&amp;Z$2,"")&amp;IF(N(AA171)&gt;0,", "&amp;A171&amp;"-"&amp;AA$2,"")&amp;IF(N(AB171)&gt;0,", "&amp;A171&amp;"-"&amp;AB$2,"")&amp;IF(N(AC171)&gt;0,", "&amp;A171&amp;"-"&amp;AC$2,"")&amp;IF(N(AD171)&gt;0,", "&amp;A171&amp;"-"&amp;AD$2,"")&amp;IF(N(AE171)&gt;0,", "&amp;A171&amp;"-"&amp;AE$2,"")&amp;IF(N(AF171)&gt;0,", "&amp;A171&amp;"-"&amp;AF$2,"")&amp;IF(N(AG171)&gt;0,", "&amp;A171&amp;"-"&amp;AG$2,"")&amp;IF(N(AH171)&gt;0,", "&amp;A171&amp;"-"&amp;AH$2,"")&amp;IF(N(AI171)&gt;0,", "&amp;A171&amp;"-"&amp;AI$2,"")&amp;IF(N(AJ171)&gt;0,", "&amp;A171&amp;"-"&amp;AJ$2,""),3,999))</f>
        <v/>
      </c>
      <c r="AN171" s="81"/>
      <c r="AO171" s="88"/>
      <c r="AP171" s="89" t="str">
        <f aca="false">IF(AO171="","",ROUND(AO171/(1+Справочники!$B$13),2))</f>
        <v/>
      </c>
      <c r="AQ171" s="90" t="str">
        <f aca="false" t="array" ref="AQ171:AQ171">IF(AP171="","",AP171*INDEX(Справочники!$B$4:$B$7,MATCH("RUB",Справочники!$A$4:$A$7,0)))</f>
        <v/>
      </c>
      <c r="AR171" s="90" t="str">
        <f aca="false">IF(AQ171="","",ROUND(AQ171*(1+Справочники!$B$12),0))</f>
        <v/>
      </c>
      <c r="AS171" s="90" t="str">
        <f aca="false">IF(AR171="","",ROUND(AR171*(1-Справочники!$B$11),0))</f>
        <v/>
      </c>
      <c r="AT171" s="88"/>
      <c r="AU171" s="90" t="str">
        <f aca="false">IF(AT171="","",ROUND(AT171/(1+Справочники!$B$12),0))</f>
        <v/>
      </c>
      <c r="AV171" s="90" t="str">
        <f aca="false">IF(AT171="","",ROUND(AT171*(1-Справочники!$B$15),0))</f>
        <v/>
      </c>
      <c r="AW171" s="90" t="str">
        <f aca="false">IF(AT171="","",ROUND(AT171*(1-Справочники!$B$16),0))</f>
        <v/>
      </c>
      <c r="AX171" s="90" t="str">
        <f aca="false">IF(AT171="","",ROUND(AT171*(1-Справочники!$B$17),0))</f>
        <v/>
      </c>
      <c r="AY171" s="90" t="str">
        <f aca="false">IF(AT171="","",ROUND(AT171*(1-Справочники!$B$18),0))</f>
        <v/>
      </c>
      <c r="AZ171" s="90" t="str">
        <f aca="false">IF(AT171="","",ROUND(AT171*(1-Справочники!$B$19),0))</f>
        <v/>
      </c>
      <c r="BA171" s="81"/>
      <c r="BB171" s="81"/>
      <c r="BC171" s="81"/>
      <c r="BD171" s="81"/>
      <c r="BE171" s="91"/>
      <c r="BF171" s="81" t="s">
        <v>103</v>
      </c>
      <c r="BG171" s="89" t="n">
        <f aca="false" t="array" ref="BG171:BG171">IF(BF171="","",IFERROR(INDEX(Справочники!$B$4:$B$7,MATCH(BF171,Справочники!$A$4:$A$7,0)),""))</f>
        <v>68.5</v>
      </c>
      <c r="BH171" s="90" t="str">
        <f aca="false">IF(N(BN171)&gt;0,ROUND(SUMIF(ЗАКАЗЫ!$F$3:$F$500,$A171,ЗАКАЗЫ!$Y$3:$Y$500)/BN171,0),IF(OR(BE171="",BG171=""),"",ROUND(BE171*BG171*(1+Справочники!$B$10),0)))</f>
        <v/>
      </c>
      <c r="BI171" s="92" t="str">
        <f aca="false">IF(OR(AU171="",BH171="",AU171=0),"",(AU171-BH171)/AU171)</f>
        <v/>
      </c>
      <c r="BJ171" s="81"/>
      <c r="BK171" s="83"/>
      <c r="BL171" s="43" t="str">
        <f aca="false">IFERROR(INDEX(ЗАКАЗЫ!$N$3:$N$500,MATCH($A171,ЗАКАЗЫ!$F$3:$F$500,0)),"")</f>
        <v/>
      </c>
      <c r="BM171" s="8" t="str">
        <f aca="false">IF(BL171="","",IFERROR(VLOOKUP(BL171,'ТН ВЭД'!$A$4:$C$40,3,0),""))</f>
        <v/>
      </c>
      <c r="BN171" s="7" t="str">
        <f aca="false">IF(COUNTIF(ЗАКАЗЫ!$F$3:$F$500,$A171)=0,"",SUMIF(ЗАКАЗЫ!$F$3:$F$500,$A171,ЗАКАЗЫ!$J$3:$J$500))</f>
        <v/>
      </c>
      <c r="BO171" s="7" t="str">
        <f aca="false">IF(BN171="","",SUMIF(ЗАКАЗЫ!$F$3:$F$500,$A171,ЗАКАЗЫ!$AL$3:$AL$500))</f>
        <v/>
      </c>
      <c r="BP171" s="7" t="str">
        <f aca="false">IF(BN171="","",BN171-BO171)</f>
        <v/>
      </c>
      <c r="BQ171" s="55" t="str">
        <f aca="false">IF(BN171="","",IF(BO171&gt;=BN171,"На складе",IF(BO171&gt;0,"Частично","Ждём")))</f>
        <v/>
      </c>
      <c r="BR171" s="43"/>
      <c r="BS171" s="47" t="str">
        <f aca="false">IF(BN171="","",IF(_xlfn.MAXIFS(ЗАКАЗЫ!$AK$3:$AK$500,ЗАКАЗЫ!$F$3:$F$500,$A171)=0,"",_xlfn.MAXIFS(ЗАКАЗЫ!$AK$3:$AK$500,ЗАКАЗЫ!$F$3:$F$500,$A171)))</f>
        <v/>
      </c>
    </row>
    <row r="172" customFormat="false" ht="15.75" hidden="false" customHeight="true" outlineLevel="0" collapsed="false">
      <c r="A172" s="80" t="s">
        <v>1004</v>
      </c>
      <c r="B172" s="81"/>
      <c r="C172" s="81"/>
      <c r="D172" s="81"/>
      <c r="E172" s="83"/>
      <c r="F172" s="81"/>
      <c r="G172" s="83"/>
      <c r="H172" s="83"/>
      <c r="I172" s="84" t="str">
        <f aca="false">IF(E172="","",A172&amp;"_1.jpg")</f>
        <v/>
      </c>
      <c r="J172" s="84" t="str">
        <f aca="false">IF(E172="","",A172&amp;"_2.jpg; "&amp;A172&amp;"_3.jpg")</f>
        <v/>
      </c>
      <c r="K172" s="84" t="str">
        <f aca="false">IF(E172="","",A172&amp;"_schema.jpg")</f>
        <v/>
      </c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 t="s">
        <v>96</v>
      </c>
      <c r="W172" s="81"/>
      <c r="X172" s="81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6" t="str">
        <f aca="false">IF(SUM(Y172:AJ172)=0,"",SUM(Y172:AJ172))</f>
        <v/>
      </c>
      <c r="AL172" s="84" t="str">
        <f aca="false">MID(IF(N(Y172)&gt;0,", "&amp;Y$2,"")&amp;IF(N(Z172)&gt;0,", "&amp;Z$2,"")&amp;IF(N(AA172)&gt;0,", "&amp;AA$2,"")&amp;IF(N(AB172)&gt;0,", "&amp;AB$2,"")&amp;IF(N(AC172)&gt;0,", "&amp;AC$2,"")&amp;IF(N(AD172)&gt;0,", "&amp;AD$2,"")&amp;IF(N(AE172)&gt;0,", "&amp;AE$2,"")&amp;IF(N(AF172)&gt;0,", "&amp;AF$2,"")&amp;IF(N(AG172)&gt;0,", "&amp;AG$2,"")&amp;IF(N(AH172)&gt;0,", "&amp;AH$2,"")&amp;IF(N(AI172)&gt;0,", "&amp;AI$2,"")&amp;IF(N(AJ172)&gt;0,", "&amp;AJ$2,""),3,999)</f>
        <v/>
      </c>
      <c r="AM172" s="87" t="str">
        <f aca="false">IF(E172="","",MID(IF(N(Y172)&gt;0,", "&amp;A172&amp;"-"&amp;Y$2,"")&amp;IF(N(Z172)&gt;0,", "&amp;A172&amp;"-"&amp;Z$2,"")&amp;IF(N(AA172)&gt;0,", "&amp;A172&amp;"-"&amp;AA$2,"")&amp;IF(N(AB172)&gt;0,", "&amp;A172&amp;"-"&amp;AB$2,"")&amp;IF(N(AC172)&gt;0,", "&amp;A172&amp;"-"&amp;AC$2,"")&amp;IF(N(AD172)&gt;0,", "&amp;A172&amp;"-"&amp;AD$2,"")&amp;IF(N(AE172)&gt;0,", "&amp;A172&amp;"-"&amp;AE$2,"")&amp;IF(N(AF172)&gt;0,", "&amp;A172&amp;"-"&amp;AF$2,"")&amp;IF(N(AG172)&gt;0,", "&amp;A172&amp;"-"&amp;AG$2,"")&amp;IF(N(AH172)&gt;0,", "&amp;A172&amp;"-"&amp;AH$2,"")&amp;IF(N(AI172)&gt;0,", "&amp;A172&amp;"-"&amp;AI$2,"")&amp;IF(N(AJ172)&gt;0,", "&amp;A172&amp;"-"&amp;AJ$2,""),3,999))</f>
        <v/>
      </c>
      <c r="AN172" s="81"/>
      <c r="AO172" s="88"/>
      <c r="AP172" s="89" t="str">
        <f aca="false">IF(AO172="","",ROUND(AO172/(1+Справочники!$B$13),2))</f>
        <v/>
      </c>
      <c r="AQ172" s="90" t="str">
        <f aca="false" t="array" ref="AQ172:AQ172">IF(AP172="","",AP172*INDEX(Справочники!$B$4:$B$7,MATCH("RUB",Справочники!$A$4:$A$7,0)))</f>
        <v/>
      </c>
      <c r="AR172" s="90" t="str">
        <f aca="false">IF(AQ172="","",ROUND(AQ172*(1+Справочники!$B$12),0))</f>
        <v/>
      </c>
      <c r="AS172" s="90" t="str">
        <f aca="false">IF(AR172="","",ROUND(AR172*(1-Справочники!$B$11),0))</f>
        <v/>
      </c>
      <c r="AT172" s="88"/>
      <c r="AU172" s="90" t="str">
        <f aca="false">IF(AT172="","",ROUND(AT172/(1+Справочники!$B$12),0))</f>
        <v/>
      </c>
      <c r="AV172" s="90" t="str">
        <f aca="false">IF(AT172="","",ROUND(AT172*(1-Справочники!$B$15),0))</f>
        <v/>
      </c>
      <c r="AW172" s="90" t="str">
        <f aca="false">IF(AT172="","",ROUND(AT172*(1-Справочники!$B$16),0))</f>
        <v/>
      </c>
      <c r="AX172" s="90" t="str">
        <f aca="false">IF(AT172="","",ROUND(AT172*(1-Справочники!$B$17),0))</f>
        <v/>
      </c>
      <c r="AY172" s="90" t="str">
        <f aca="false">IF(AT172="","",ROUND(AT172*(1-Справочники!$B$18),0))</f>
        <v/>
      </c>
      <c r="AZ172" s="90" t="str">
        <f aca="false">IF(AT172="","",ROUND(AT172*(1-Справочники!$B$19),0))</f>
        <v/>
      </c>
      <c r="BA172" s="81"/>
      <c r="BB172" s="81"/>
      <c r="BC172" s="81"/>
      <c r="BD172" s="81"/>
      <c r="BE172" s="91"/>
      <c r="BF172" s="81" t="s">
        <v>103</v>
      </c>
      <c r="BG172" s="89" t="n">
        <f aca="false" t="array" ref="BG172:BG172">IF(BF172="","",IFERROR(INDEX(Справочники!$B$4:$B$7,MATCH(BF172,Справочники!$A$4:$A$7,0)),""))</f>
        <v>68.5</v>
      </c>
      <c r="BH172" s="90" t="str">
        <f aca="false">IF(N(BN172)&gt;0,ROUND(SUMIF(ЗАКАЗЫ!$F$3:$F$500,$A172,ЗАКАЗЫ!$Y$3:$Y$500)/BN172,0),IF(OR(BE172="",BG172=""),"",ROUND(BE172*BG172*(1+Справочники!$B$10),0)))</f>
        <v/>
      </c>
      <c r="BI172" s="92" t="str">
        <f aca="false">IF(OR(AU172="",BH172="",AU172=0),"",(AU172-BH172)/AU172)</f>
        <v/>
      </c>
      <c r="BJ172" s="81"/>
      <c r="BK172" s="83"/>
      <c r="BL172" s="43" t="str">
        <f aca="false">IFERROR(INDEX(ЗАКАЗЫ!$N$3:$N$500,MATCH($A172,ЗАКАЗЫ!$F$3:$F$500,0)),"")</f>
        <v/>
      </c>
      <c r="BM172" s="8" t="str">
        <f aca="false">IF(BL172="","",IFERROR(VLOOKUP(BL172,'ТН ВЭД'!$A$4:$C$40,3,0),""))</f>
        <v/>
      </c>
      <c r="BN172" s="7" t="str">
        <f aca="false">IF(COUNTIF(ЗАКАЗЫ!$F$3:$F$500,$A172)=0,"",SUMIF(ЗАКАЗЫ!$F$3:$F$500,$A172,ЗАКАЗЫ!$J$3:$J$500))</f>
        <v/>
      </c>
      <c r="BO172" s="7" t="str">
        <f aca="false">IF(BN172="","",SUMIF(ЗАКАЗЫ!$F$3:$F$500,$A172,ЗАКАЗЫ!$AL$3:$AL$500))</f>
        <v/>
      </c>
      <c r="BP172" s="7" t="str">
        <f aca="false">IF(BN172="","",BN172-BO172)</f>
        <v/>
      </c>
      <c r="BQ172" s="55" t="str">
        <f aca="false">IF(BN172="","",IF(BO172&gt;=BN172,"На складе",IF(BO172&gt;0,"Частично","Ждём")))</f>
        <v/>
      </c>
      <c r="BR172" s="43"/>
      <c r="BS172" s="47" t="str">
        <f aca="false">IF(BN172="","",IF(_xlfn.MAXIFS(ЗАКАЗЫ!$AK$3:$AK$500,ЗАКАЗЫ!$F$3:$F$500,$A172)=0,"",_xlfn.MAXIFS(ЗАКАЗЫ!$AK$3:$AK$500,ЗАКАЗЫ!$F$3:$F$500,$A172)))</f>
        <v/>
      </c>
    </row>
    <row r="173" customFormat="false" ht="15.75" hidden="false" customHeight="true" outlineLevel="0" collapsed="false">
      <c r="A173" s="80" t="s">
        <v>1005</v>
      </c>
      <c r="B173" s="81"/>
      <c r="C173" s="81"/>
      <c r="D173" s="81"/>
      <c r="E173" s="83"/>
      <c r="F173" s="81"/>
      <c r="G173" s="83"/>
      <c r="H173" s="83"/>
      <c r="I173" s="84" t="str">
        <f aca="false">IF(E173="","",A173&amp;"_1.jpg")</f>
        <v/>
      </c>
      <c r="J173" s="84" t="str">
        <f aca="false">IF(E173="","",A173&amp;"_2.jpg; "&amp;A173&amp;"_3.jpg")</f>
        <v/>
      </c>
      <c r="K173" s="84" t="str">
        <f aca="false">IF(E173="","",A173&amp;"_schema.jpg")</f>
        <v/>
      </c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 t="s">
        <v>96</v>
      </c>
      <c r="W173" s="81"/>
      <c r="X173" s="81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6" t="str">
        <f aca="false">IF(SUM(Y173:AJ173)=0,"",SUM(Y173:AJ173))</f>
        <v/>
      </c>
      <c r="AL173" s="84" t="str">
        <f aca="false">MID(IF(N(Y173)&gt;0,", "&amp;Y$2,"")&amp;IF(N(Z173)&gt;0,", "&amp;Z$2,"")&amp;IF(N(AA173)&gt;0,", "&amp;AA$2,"")&amp;IF(N(AB173)&gt;0,", "&amp;AB$2,"")&amp;IF(N(AC173)&gt;0,", "&amp;AC$2,"")&amp;IF(N(AD173)&gt;0,", "&amp;AD$2,"")&amp;IF(N(AE173)&gt;0,", "&amp;AE$2,"")&amp;IF(N(AF173)&gt;0,", "&amp;AF$2,"")&amp;IF(N(AG173)&gt;0,", "&amp;AG$2,"")&amp;IF(N(AH173)&gt;0,", "&amp;AH$2,"")&amp;IF(N(AI173)&gt;0,", "&amp;AI$2,"")&amp;IF(N(AJ173)&gt;0,", "&amp;AJ$2,""),3,999)</f>
        <v/>
      </c>
      <c r="AM173" s="87" t="str">
        <f aca="false">IF(E173="","",MID(IF(N(Y173)&gt;0,", "&amp;A173&amp;"-"&amp;Y$2,"")&amp;IF(N(Z173)&gt;0,", "&amp;A173&amp;"-"&amp;Z$2,"")&amp;IF(N(AA173)&gt;0,", "&amp;A173&amp;"-"&amp;AA$2,"")&amp;IF(N(AB173)&gt;0,", "&amp;A173&amp;"-"&amp;AB$2,"")&amp;IF(N(AC173)&gt;0,", "&amp;A173&amp;"-"&amp;AC$2,"")&amp;IF(N(AD173)&gt;0,", "&amp;A173&amp;"-"&amp;AD$2,"")&amp;IF(N(AE173)&gt;0,", "&amp;A173&amp;"-"&amp;AE$2,"")&amp;IF(N(AF173)&gt;0,", "&amp;A173&amp;"-"&amp;AF$2,"")&amp;IF(N(AG173)&gt;0,", "&amp;A173&amp;"-"&amp;AG$2,"")&amp;IF(N(AH173)&gt;0,", "&amp;A173&amp;"-"&amp;AH$2,"")&amp;IF(N(AI173)&gt;0,", "&amp;A173&amp;"-"&amp;AI$2,"")&amp;IF(N(AJ173)&gt;0,", "&amp;A173&amp;"-"&amp;AJ$2,""),3,999))</f>
        <v/>
      </c>
      <c r="AN173" s="81"/>
      <c r="AO173" s="88"/>
      <c r="AP173" s="89" t="str">
        <f aca="false">IF(AO173="","",ROUND(AO173/(1+Справочники!$B$13),2))</f>
        <v/>
      </c>
      <c r="AQ173" s="90" t="str">
        <f aca="false" t="array" ref="AQ173:AQ173">IF(AP173="","",AP173*INDEX(Справочники!$B$4:$B$7,MATCH("RUB",Справочники!$A$4:$A$7,0)))</f>
        <v/>
      </c>
      <c r="AR173" s="90" t="str">
        <f aca="false">IF(AQ173="","",ROUND(AQ173*(1+Справочники!$B$12),0))</f>
        <v/>
      </c>
      <c r="AS173" s="90" t="str">
        <f aca="false">IF(AR173="","",ROUND(AR173*(1-Справочники!$B$11),0))</f>
        <v/>
      </c>
      <c r="AT173" s="88"/>
      <c r="AU173" s="90" t="str">
        <f aca="false">IF(AT173="","",ROUND(AT173/(1+Справочники!$B$12),0))</f>
        <v/>
      </c>
      <c r="AV173" s="90" t="str">
        <f aca="false">IF(AT173="","",ROUND(AT173*(1-Справочники!$B$15),0))</f>
        <v/>
      </c>
      <c r="AW173" s="90" t="str">
        <f aca="false">IF(AT173="","",ROUND(AT173*(1-Справочники!$B$16),0))</f>
        <v/>
      </c>
      <c r="AX173" s="90" t="str">
        <f aca="false">IF(AT173="","",ROUND(AT173*(1-Справочники!$B$17),0))</f>
        <v/>
      </c>
      <c r="AY173" s="90" t="str">
        <f aca="false">IF(AT173="","",ROUND(AT173*(1-Справочники!$B$18),0))</f>
        <v/>
      </c>
      <c r="AZ173" s="90" t="str">
        <f aca="false">IF(AT173="","",ROUND(AT173*(1-Справочники!$B$19),0))</f>
        <v/>
      </c>
      <c r="BA173" s="81"/>
      <c r="BB173" s="81"/>
      <c r="BC173" s="81"/>
      <c r="BD173" s="81"/>
      <c r="BE173" s="91"/>
      <c r="BF173" s="81" t="s">
        <v>103</v>
      </c>
      <c r="BG173" s="89" t="n">
        <f aca="false" t="array" ref="BG173:BG173">IF(BF173="","",IFERROR(INDEX(Справочники!$B$4:$B$7,MATCH(BF173,Справочники!$A$4:$A$7,0)),""))</f>
        <v>68.5</v>
      </c>
      <c r="BH173" s="90" t="str">
        <f aca="false">IF(N(BN173)&gt;0,ROUND(SUMIF(ЗАКАЗЫ!$F$3:$F$500,$A173,ЗАКАЗЫ!$Y$3:$Y$500)/BN173,0),IF(OR(BE173="",BG173=""),"",ROUND(BE173*BG173*(1+Справочники!$B$10),0)))</f>
        <v/>
      </c>
      <c r="BI173" s="92" t="str">
        <f aca="false">IF(OR(AU173="",BH173="",AU173=0),"",(AU173-BH173)/AU173)</f>
        <v/>
      </c>
      <c r="BJ173" s="81"/>
      <c r="BK173" s="83"/>
      <c r="BL173" s="43" t="str">
        <f aca="false">IFERROR(INDEX(ЗАКАЗЫ!$N$3:$N$500,MATCH($A173,ЗАКАЗЫ!$F$3:$F$500,0)),"")</f>
        <v/>
      </c>
      <c r="BM173" s="8" t="str">
        <f aca="false">IF(BL173="","",IFERROR(VLOOKUP(BL173,'ТН ВЭД'!$A$4:$C$40,3,0),""))</f>
        <v/>
      </c>
      <c r="BN173" s="7" t="str">
        <f aca="false">IF(COUNTIF(ЗАКАЗЫ!$F$3:$F$500,$A173)=0,"",SUMIF(ЗАКАЗЫ!$F$3:$F$500,$A173,ЗАКАЗЫ!$J$3:$J$500))</f>
        <v/>
      </c>
      <c r="BO173" s="7" t="str">
        <f aca="false">IF(BN173="","",SUMIF(ЗАКАЗЫ!$F$3:$F$500,$A173,ЗАКАЗЫ!$AL$3:$AL$500))</f>
        <v/>
      </c>
      <c r="BP173" s="7" t="str">
        <f aca="false">IF(BN173="","",BN173-BO173)</f>
        <v/>
      </c>
      <c r="BQ173" s="55" t="str">
        <f aca="false">IF(BN173="","",IF(BO173&gt;=BN173,"На складе",IF(BO173&gt;0,"Частично","Ждём")))</f>
        <v/>
      </c>
      <c r="BR173" s="43"/>
      <c r="BS173" s="47" t="str">
        <f aca="false">IF(BN173="","",IF(_xlfn.MAXIFS(ЗАКАЗЫ!$AK$3:$AK$500,ЗАКАЗЫ!$F$3:$F$500,$A173)=0,"",_xlfn.MAXIFS(ЗАКАЗЫ!$AK$3:$AK$500,ЗАКАЗЫ!$F$3:$F$500,$A173)))</f>
        <v/>
      </c>
    </row>
    <row r="174" customFormat="false" ht="15.75" hidden="false" customHeight="true" outlineLevel="0" collapsed="false">
      <c r="A174" s="80" t="s">
        <v>1006</v>
      </c>
      <c r="B174" s="81"/>
      <c r="C174" s="81"/>
      <c r="D174" s="81"/>
      <c r="E174" s="83"/>
      <c r="F174" s="81"/>
      <c r="G174" s="83"/>
      <c r="H174" s="83"/>
      <c r="I174" s="84" t="str">
        <f aca="false">IF(E174="","",A174&amp;"_1.jpg")</f>
        <v/>
      </c>
      <c r="J174" s="84" t="str">
        <f aca="false">IF(E174="","",A174&amp;"_2.jpg; "&amp;A174&amp;"_3.jpg")</f>
        <v/>
      </c>
      <c r="K174" s="84" t="str">
        <f aca="false">IF(E174="","",A174&amp;"_schema.jpg")</f>
        <v/>
      </c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 t="s">
        <v>96</v>
      </c>
      <c r="W174" s="81"/>
      <c r="X174" s="81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6" t="str">
        <f aca="false">IF(SUM(Y174:AJ174)=0,"",SUM(Y174:AJ174))</f>
        <v/>
      </c>
      <c r="AL174" s="84" t="str">
        <f aca="false">MID(IF(N(Y174)&gt;0,", "&amp;Y$2,"")&amp;IF(N(Z174)&gt;0,", "&amp;Z$2,"")&amp;IF(N(AA174)&gt;0,", "&amp;AA$2,"")&amp;IF(N(AB174)&gt;0,", "&amp;AB$2,"")&amp;IF(N(AC174)&gt;0,", "&amp;AC$2,"")&amp;IF(N(AD174)&gt;0,", "&amp;AD$2,"")&amp;IF(N(AE174)&gt;0,", "&amp;AE$2,"")&amp;IF(N(AF174)&gt;0,", "&amp;AF$2,"")&amp;IF(N(AG174)&gt;0,", "&amp;AG$2,"")&amp;IF(N(AH174)&gt;0,", "&amp;AH$2,"")&amp;IF(N(AI174)&gt;0,", "&amp;AI$2,"")&amp;IF(N(AJ174)&gt;0,", "&amp;AJ$2,""),3,999)</f>
        <v/>
      </c>
      <c r="AM174" s="87" t="str">
        <f aca="false">IF(E174="","",MID(IF(N(Y174)&gt;0,", "&amp;A174&amp;"-"&amp;Y$2,"")&amp;IF(N(Z174)&gt;0,", "&amp;A174&amp;"-"&amp;Z$2,"")&amp;IF(N(AA174)&gt;0,", "&amp;A174&amp;"-"&amp;AA$2,"")&amp;IF(N(AB174)&gt;0,", "&amp;A174&amp;"-"&amp;AB$2,"")&amp;IF(N(AC174)&gt;0,", "&amp;A174&amp;"-"&amp;AC$2,"")&amp;IF(N(AD174)&gt;0,", "&amp;A174&amp;"-"&amp;AD$2,"")&amp;IF(N(AE174)&gt;0,", "&amp;A174&amp;"-"&amp;AE$2,"")&amp;IF(N(AF174)&gt;0,", "&amp;A174&amp;"-"&amp;AF$2,"")&amp;IF(N(AG174)&gt;0,", "&amp;A174&amp;"-"&amp;AG$2,"")&amp;IF(N(AH174)&gt;0,", "&amp;A174&amp;"-"&amp;AH$2,"")&amp;IF(N(AI174)&gt;0,", "&amp;A174&amp;"-"&amp;AI$2,"")&amp;IF(N(AJ174)&gt;0,", "&amp;A174&amp;"-"&amp;AJ$2,""),3,999))</f>
        <v/>
      </c>
      <c r="AN174" s="81"/>
      <c r="AO174" s="88"/>
      <c r="AP174" s="89" t="str">
        <f aca="false">IF(AO174="","",ROUND(AO174/(1+Справочники!$B$13),2))</f>
        <v/>
      </c>
      <c r="AQ174" s="90" t="str">
        <f aca="false" t="array" ref="AQ174:AQ174">IF(AP174="","",AP174*INDEX(Справочники!$B$4:$B$7,MATCH("RUB",Справочники!$A$4:$A$7,0)))</f>
        <v/>
      </c>
      <c r="AR174" s="90" t="str">
        <f aca="false">IF(AQ174="","",ROUND(AQ174*(1+Справочники!$B$12),0))</f>
        <v/>
      </c>
      <c r="AS174" s="90" t="str">
        <f aca="false">IF(AR174="","",ROUND(AR174*(1-Справочники!$B$11),0))</f>
        <v/>
      </c>
      <c r="AT174" s="88"/>
      <c r="AU174" s="90" t="str">
        <f aca="false">IF(AT174="","",ROUND(AT174/(1+Справочники!$B$12),0))</f>
        <v/>
      </c>
      <c r="AV174" s="90" t="str">
        <f aca="false">IF(AT174="","",ROUND(AT174*(1-Справочники!$B$15),0))</f>
        <v/>
      </c>
      <c r="AW174" s="90" t="str">
        <f aca="false">IF(AT174="","",ROUND(AT174*(1-Справочники!$B$16),0))</f>
        <v/>
      </c>
      <c r="AX174" s="90" t="str">
        <f aca="false">IF(AT174="","",ROUND(AT174*(1-Справочники!$B$17),0))</f>
        <v/>
      </c>
      <c r="AY174" s="90" t="str">
        <f aca="false">IF(AT174="","",ROUND(AT174*(1-Справочники!$B$18),0))</f>
        <v/>
      </c>
      <c r="AZ174" s="90" t="str">
        <f aca="false">IF(AT174="","",ROUND(AT174*(1-Справочники!$B$19),0))</f>
        <v/>
      </c>
      <c r="BA174" s="81"/>
      <c r="BB174" s="81"/>
      <c r="BC174" s="81"/>
      <c r="BD174" s="81"/>
      <c r="BE174" s="91"/>
      <c r="BF174" s="81" t="s">
        <v>103</v>
      </c>
      <c r="BG174" s="89" t="n">
        <f aca="false" t="array" ref="BG174:BG174">IF(BF174="","",IFERROR(INDEX(Справочники!$B$4:$B$7,MATCH(BF174,Справочники!$A$4:$A$7,0)),""))</f>
        <v>68.5</v>
      </c>
      <c r="BH174" s="90" t="str">
        <f aca="false">IF(N(BN174)&gt;0,ROUND(SUMIF(ЗАКАЗЫ!$F$3:$F$500,$A174,ЗАКАЗЫ!$Y$3:$Y$500)/BN174,0),IF(OR(BE174="",BG174=""),"",ROUND(BE174*BG174*(1+Справочники!$B$10),0)))</f>
        <v/>
      </c>
      <c r="BI174" s="92" t="str">
        <f aca="false">IF(OR(AU174="",BH174="",AU174=0),"",(AU174-BH174)/AU174)</f>
        <v/>
      </c>
      <c r="BJ174" s="81"/>
      <c r="BK174" s="83"/>
      <c r="BL174" s="43" t="str">
        <f aca="false">IFERROR(INDEX(ЗАКАЗЫ!$N$3:$N$500,MATCH($A174,ЗАКАЗЫ!$F$3:$F$500,0)),"")</f>
        <v/>
      </c>
      <c r="BM174" s="8" t="str">
        <f aca="false">IF(BL174="","",IFERROR(VLOOKUP(BL174,'ТН ВЭД'!$A$4:$C$40,3,0),""))</f>
        <v/>
      </c>
      <c r="BN174" s="7" t="str">
        <f aca="false">IF(COUNTIF(ЗАКАЗЫ!$F$3:$F$500,$A174)=0,"",SUMIF(ЗАКАЗЫ!$F$3:$F$500,$A174,ЗАКАЗЫ!$J$3:$J$500))</f>
        <v/>
      </c>
      <c r="BO174" s="7" t="str">
        <f aca="false">IF(BN174="","",SUMIF(ЗАКАЗЫ!$F$3:$F$500,$A174,ЗАКАЗЫ!$AL$3:$AL$500))</f>
        <v/>
      </c>
      <c r="BP174" s="7" t="str">
        <f aca="false">IF(BN174="","",BN174-BO174)</f>
        <v/>
      </c>
      <c r="BQ174" s="55" t="str">
        <f aca="false">IF(BN174="","",IF(BO174&gt;=BN174,"На складе",IF(BO174&gt;0,"Частично","Ждём")))</f>
        <v/>
      </c>
      <c r="BR174" s="43"/>
      <c r="BS174" s="47" t="str">
        <f aca="false">IF(BN174="","",IF(_xlfn.MAXIFS(ЗАКАЗЫ!$AK$3:$AK$500,ЗАКАЗЫ!$F$3:$F$500,$A174)=0,"",_xlfn.MAXIFS(ЗАКАЗЫ!$AK$3:$AK$500,ЗАКАЗЫ!$F$3:$F$500,$A174)))</f>
        <v/>
      </c>
    </row>
    <row r="175" customFormat="false" ht="15.75" hidden="false" customHeight="true" outlineLevel="0" collapsed="false">
      <c r="A175" s="80" t="s">
        <v>1007</v>
      </c>
      <c r="B175" s="81"/>
      <c r="C175" s="81"/>
      <c r="D175" s="81"/>
      <c r="E175" s="83"/>
      <c r="F175" s="81"/>
      <c r="G175" s="83"/>
      <c r="H175" s="83"/>
      <c r="I175" s="84" t="str">
        <f aca="false">IF(E175="","",A175&amp;"_1.jpg")</f>
        <v/>
      </c>
      <c r="J175" s="84" t="str">
        <f aca="false">IF(E175="","",A175&amp;"_2.jpg; "&amp;A175&amp;"_3.jpg")</f>
        <v/>
      </c>
      <c r="K175" s="84" t="str">
        <f aca="false">IF(E175="","",A175&amp;"_schema.jpg")</f>
        <v/>
      </c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 t="s">
        <v>96</v>
      </c>
      <c r="W175" s="81"/>
      <c r="X175" s="81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6" t="str">
        <f aca="false">IF(SUM(Y175:AJ175)=0,"",SUM(Y175:AJ175))</f>
        <v/>
      </c>
      <c r="AL175" s="84" t="str">
        <f aca="false">MID(IF(N(Y175)&gt;0,", "&amp;Y$2,"")&amp;IF(N(Z175)&gt;0,", "&amp;Z$2,"")&amp;IF(N(AA175)&gt;0,", "&amp;AA$2,"")&amp;IF(N(AB175)&gt;0,", "&amp;AB$2,"")&amp;IF(N(AC175)&gt;0,", "&amp;AC$2,"")&amp;IF(N(AD175)&gt;0,", "&amp;AD$2,"")&amp;IF(N(AE175)&gt;0,", "&amp;AE$2,"")&amp;IF(N(AF175)&gt;0,", "&amp;AF$2,"")&amp;IF(N(AG175)&gt;0,", "&amp;AG$2,"")&amp;IF(N(AH175)&gt;0,", "&amp;AH$2,"")&amp;IF(N(AI175)&gt;0,", "&amp;AI$2,"")&amp;IF(N(AJ175)&gt;0,", "&amp;AJ$2,""),3,999)</f>
        <v/>
      </c>
      <c r="AM175" s="87" t="str">
        <f aca="false">IF(E175="","",MID(IF(N(Y175)&gt;0,", "&amp;A175&amp;"-"&amp;Y$2,"")&amp;IF(N(Z175)&gt;0,", "&amp;A175&amp;"-"&amp;Z$2,"")&amp;IF(N(AA175)&gt;0,", "&amp;A175&amp;"-"&amp;AA$2,"")&amp;IF(N(AB175)&gt;0,", "&amp;A175&amp;"-"&amp;AB$2,"")&amp;IF(N(AC175)&gt;0,", "&amp;A175&amp;"-"&amp;AC$2,"")&amp;IF(N(AD175)&gt;0,", "&amp;A175&amp;"-"&amp;AD$2,"")&amp;IF(N(AE175)&gt;0,", "&amp;A175&amp;"-"&amp;AE$2,"")&amp;IF(N(AF175)&gt;0,", "&amp;A175&amp;"-"&amp;AF$2,"")&amp;IF(N(AG175)&gt;0,", "&amp;A175&amp;"-"&amp;AG$2,"")&amp;IF(N(AH175)&gt;0,", "&amp;A175&amp;"-"&amp;AH$2,"")&amp;IF(N(AI175)&gt;0,", "&amp;A175&amp;"-"&amp;AI$2,"")&amp;IF(N(AJ175)&gt;0,", "&amp;A175&amp;"-"&amp;AJ$2,""),3,999))</f>
        <v/>
      </c>
      <c r="AN175" s="81"/>
      <c r="AO175" s="88"/>
      <c r="AP175" s="89" t="str">
        <f aca="false">IF(AO175="","",ROUND(AO175/(1+Справочники!$B$13),2))</f>
        <v/>
      </c>
      <c r="AQ175" s="90" t="str">
        <f aca="false" t="array" ref="AQ175:AQ175">IF(AP175="","",AP175*INDEX(Справочники!$B$4:$B$7,MATCH("RUB",Справочники!$A$4:$A$7,0)))</f>
        <v/>
      </c>
      <c r="AR175" s="90" t="str">
        <f aca="false">IF(AQ175="","",ROUND(AQ175*(1+Справочники!$B$12),0))</f>
        <v/>
      </c>
      <c r="AS175" s="90" t="str">
        <f aca="false">IF(AR175="","",ROUND(AR175*(1-Справочники!$B$11),0))</f>
        <v/>
      </c>
      <c r="AT175" s="88"/>
      <c r="AU175" s="90" t="str">
        <f aca="false">IF(AT175="","",ROUND(AT175/(1+Справочники!$B$12),0))</f>
        <v/>
      </c>
      <c r="AV175" s="90" t="str">
        <f aca="false">IF(AT175="","",ROUND(AT175*(1-Справочники!$B$15),0))</f>
        <v/>
      </c>
      <c r="AW175" s="90" t="str">
        <f aca="false">IF(AT175="","",ROUND(AT175*(1-Справочники!$B$16),0))</f>
        <v/>
      </c>
      <c r="AX175" s="90" t="str">
        <f aca="false">IF(AT175="","",ROUND(AT175*(1-Справочники!$B$17),0))</f>
        <v/>
      </c>
      <c r="AY175" s="90" t="str">
        <f aca="false">IF(AT175="","",ROUND(AT175*(1-Справочники!$B$18),0))</f>
        <v/>
      </c>
      <c r="AZ175" s="90" t="str">
        <f aca="false">IF(AT175="","",ROUND(AT175*(1-Справочники!$B$19),0))</f>
        <v/>
      </c>
      <c r="BA175" s="81"/>
      <c r="BB175" s="81"/>
      <c r="BC175" s="81"/>
      <c r="BD175" s="81"/>
      <c r="BE175" s="91"/>
      <c r="BF175" s="81" t="s">
        <v>103</v>
      </c>
      <c r="BG175" s="89" t="n">
        <f aca="false" t="array" ref="BG175:BG175">IF(BF175="","",IFERROR(INDEX(Справочники!$B$4:$B$7,MATCH(BF175,Справочники!$A$4:$A$7,0)),""))</f>
        <v>68.5</v>
      </c>
      <c r="BH175" s="90" t="str">
        <f aca="false">IF(N(BN175)&gt;0,ROUND(SUMIF(ЗАКАЗЫ!$F$3:$F$500,$A175,ЗАКАЗЫ!$Y$3:$Y$500)/BN175,0),IF(OR(BE175="",BG175=""),"",ROUND(BE175*BG175*(1+Справочники!$B$10),0)))</f>
        <v/>
      </c>
      <c r="BI175" s="92" t="str">
        <f aca="false">IF(OR(AU175="",BH175="",AU175=0),"",(AU175-BH175)/AU175)</f>
        <v/>
      </c>
      <c r="BJ175" s="81"/>
      <c r="BK175" s="83"/>
      <c r="BL175" s="43" t="str">
        <f aca="false">IFERROR(INDEX(ЗАКАЗЫ!$N$3:$N$500,MATCH($A175,ЗАКАЗЫ!$F$3:$F$500,0)),"")</f>
        <v/>
      </c>
      <c r="BM175" s="8" t="str">
        <f aca="false">IF(BL175="","",IFERROR(VLOOKUP(BL175,'ТН ВЭД'!$A$4:$C$40,3,0),""))</f>
        <v/>
      </c>
      <c r="BN175" s="7" t="str">
        <f aca="false">IF(COUNTIF(ЗАКАЗЫ!$F$3:$F$500,$A175)=0,"",SUMIF(ЗАКАЗЫ!$F$3:$F$500,$A175,ЗАКАЗЫ!$J$3:$J$500))</f>
        <v/>
      </c>
      <c r="BO175" s="7" t="str">
        <f aca="false">IF(BN175="","",SUMIF(ЗАКАЗЫ!$F$3:$F$500,$A175,ЗАКАЗЫ!$AL$3:$AL$500))</f>
        <v/>
      </c>
      <c r="BP175" s="7" t="str">
        <f aca="false">IF(BN175="","",BN175-BO175)</f>
        <v/>
      </c>
      <c r="BQ175" s="55" t="str">
        <f aca="false">IF(BN175="","",IF(BO175&gt;=BN175,"На складе",IF(BO175&gt;0,"Частично","Ждём")))</f>
        <v/>
      </c>
      <c r="BR175" s="43"/>
      <c r="BS175" s="47" t="str">
        <f aca="false">IF(BN175="","",IF(_xlfn.MAXIFS(ЗАКАЗЫ!$AK$3:$AK$500,ЗАКАЗЫ!$F$3:$F$500,$A175)=0,"",_xlfn.MAXIFS(ЗАКАЗЫ!$AK$3:$AK$500,ЗАКАЗЫ!$F$3:$F$500,$A175)))</f>
        <v/>
      </c>
    </row>
    <row r="176" customFormat="false" ht="15.75" hidden="false" customHeight="true" outlineLevel="0" collapsed="false">
      <c r="A176" s="80" t="s">
        <v>1008</v>
      </c>
      <c r="B176" s="81"/>
      <c r="C176" s="81"/>
      <c r="D176" s="81"/>
      <c r="E176" s="83"/>
      <c r="F176" s="81"/>
      <c r="G176" s="83"/>
      <c r="H176" s="83"/>
      <c r="I176" s="84" t="str">
        <f aca="false">IF(E176="","",A176&amp;"_1.jpg")</f>
        <v/>
      </c>
      <c r="J176" s="84" t="str">
        <f aca="false">IF(E176="","",A176&amp;"_2.jpg; "&amp;A176&amp;"_3.jpg")</f>
        <v/>
      </c>
      <c r="K176" s="84" t="str">
        <f aca="false">IF(E176="","",A176&amp;"_schema.jpg")</f>
        <v/>
      </c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 t="s">
        <v>96</v>
      </c>
      <c r="W176" s="81"/>
      <c r="X176" s="81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6" t="str">
        <f aca="false">IF(SUM(Y176:AJ176)=0,"",SUM(Y176:AJ176))</f>
        <v/>
      </c>
      <c r="AL176" s="84" t="str">
        <f aca="false">MID(IF(N(Y176)&gt;0,", "&amp;Y$2,"")&amp;IF(N(Z176)&gt;0,", "&amp;Z$2,"")&amp;IF(N(AA176)&gt;0,", "&amp;AA$2,"")&amp;IF(N(AB176)&gt;0,", "&amp;AB$2,"")&amp;IF(N(AC176)&gt;0,", "&amp;AC$2,"")&amp;IF(N(AD176)&gt;0,", "&amp;AD$2,"")&amp;IF(N(AE176)&gt;0,", "&amp;AE$2,"")&amp;IF(N(AF176)&gt;0,", "&amp;AF$2,"")&amp;IF(N(AG176)&gt;0,", "&amp;AG$2,"")&amp;IF(N(AH176)&gt;0,", "&amp;AH$2,"")&amp;IF(N(AI176)&gt;0,", "&amp;AI$2,"")&amp;IF(N(AJ176)&gt;0,", "&amp;AJ$2,""),3,999)</f>
        <v/>
      </c>
      <c r="AM176" s="87" t="str">
        <f aca="false">IF(E176="","",MID(IF(N(Y176)&gt;0,", "&amp;A176&amp;"-"&amp;Y$2,"")&amp;IF(N(Z176)&gt;0,", "&amp;A176&amp;"-"&amp;Z$2,"")&amp;IF(N(AA176)&gt;0,", "&amp;A176&amp;"-"&amp;AA$2,"")&amp;IF(N(AB176)&gt;0,", "&amp;A176&amp;"-"&amp;AB$2,"")&amp;IF(N(AC176)&gt;0,", "&amp;A176&amp;"-"&amp;AC$2,"")&amp;IF(N(AD176)&gt;0,", "&amp;A176&amp;"-"&amp;AD$2,"")&amp;IF(N(AE176)&gt;0,", "&amp;A176&amp;"-"&amp;AE$2,"")&amp;IF(N(AF176)&gt;0,", "&amp;A176&amp;"-"&amp;AF$2,"")&amp;IF(N(AG176)&gt;0,", "&amp;A176&amp;"-"&amp;AG$2,"")&amp;IF(N(AH176)&gt;0,", "&amp;A176&amp;"-"&amp;AH$2,"")&amp;IF(N(AI176)&gt;0,", "&amp;A176&amp;"-"&amp;AI$2,"")&amp;IF(N(AJ176)&gt;0,", "&amp;A176&amp;"-"&amp;AJ$2,""),3,999))</f>
        <v/>
      </c>
      <c r="AN176" s="81"/>
      <c r="AO176" s="88"/>
      <c r="AP176" s="89" t="str">
        <f aca="false">IF(AO176="","",ROUND(AO176/(1+Справочники!$B$13),2))</f>
        <v/>
      </c>
      <c r="AQ176" s="90" t="str">
        <f aca="false" t="array" ref="AQ176:AQ176">IF(AP176="","",AP176*INDEX(Справочники!$B$4:$B$7,MATCH("RUB",Справочники!$A$4:$A$7,0)))</f>
        <v/>
      </c>
      <c r="AR176" s="90" t="str">
        <f aca="false">IF(AQ176="","",ROUND(AQ176*(1+Справочники!$B$12),0))</f>
        <v/>
      </c>
      <c r="AS176" s="90" t="str">
        <f aca="false">IF(AR176="","",ROUND(AR176*(1-Справочники!$B$11),0))</f>
        <v/>
      </c>
      <c r="AT176" s="88"/>
      <c r="AU176" s="90" t="str">
        <f aca="false">IF(AT176="","",ROUND(AT176/(1+Справочники!$B$12),0))</f>
        <v/>
      </c>
      <c r="AV176" s="90" t="str">
        <f aca="false">IF(AT176="","",ROUND(AT176*(1-Справочники!$B$15),0))</f>
        <v/>
      </c>
      <c r="AW176" s="90" t="str">
        <f aca="false">IF(AT176="","",ROUND(AT176*(1-Справочники!$B$16),0))</f>
        <v/>
      </c>
      <c r="AX176" s="90" t="str">
        <f aca="false">IF(AT176="","",ROUND(AT176*(1-Справочники!$B$17),0))</f>
        <v/>
      </c>
      <c r="AY176" s="90" t="str">
        <f aca="false">IF(AT176="","",ROUND(AT176*(1-Справочники!$B$18),0))</f>
        <v/>
      </c>
      <c r="AZ176" s="90" t="str">
        <f aca="false">IF(AT176="","",ROUND(AT176*(1-Справочники!$B$19),0))</f>
        <v/>
      </c>
      <c r="BA176" s="81"/>
      <c r="BB176" s="81"/>
      <c r="BC176" s="81"/>
      <c r="BD176" s="81"/>
      <c r="BE176" s="91"/>
      <c r="BF176" s="81" t="s">
        <v>103</v>
      </c>
      <c r="BG176" s="89" t="n">
        <f aca="false" t="array" ref="BG176:BG176">IF(BF176="","",IFERROR(INDEX(Справочники!$B$4:$B$7,MATCH(BF176,Справочники!$A$4:$A$7,0)),""))</f>
        <v>68.5</v>
      </c>
      <c r="BH176" s="90" t="str">
        <f aca="false">IF(N(BN176)&gt;0,ROUND(SUMIF(ЗАКАЗЫ!$F$3:$F$500,$A176,ЗАКАЗЫ!$Y$3:$Y$500)/BN176,0),IF(OR(BE176="",BG176=""),"",ROUND(BE176*BG176*(1+Справочники!$B$10),0)))</f>
        <v/>
      </c>
      <c r="BI176" s="92" t="str">
        <f aca="false">IF(OR(AU176="",BH176="",AU176=0),"",(AU176-BH176)/AU176)</f>
        <v/>
      </c>
      <c r="BJ176" s="81"/>
      <c r="BK176" s="83"/>
      <c r="BL176" s="43" t="str">
        <f aca="false">IFERROR(INDEX(ЗАКАЗЫ!$N$3:$N$500,MATCH($A176,ЗАКАЗЫ!$F$3:$F$500,0)),"")</f>
        <v/>
      </c>
      <c r="BM176" s="8" t="str">
        <f aca="false">IF(BL176="","",IFERROR(VLOOKUP(BL176,'ТН ВЭД'!$A$4:$C$40,3,0),""))</f>
        <v/>
      </c>
      <c r="BN176" s="7" t="str">
        <f aca="false">IF(COUNTIF(ЗАКАЗЫ!$F$3:$F$500,$A176)=0,"",SUMIF(ЗАКАЗЫ!$F$3:$F$500,$A176,ЗАКАЗЫ!$J$3:$J$500))</f>
        <v/>
      </c>
      <c r="BO176" s="7" t="str">
        <f aca="false">IF(BN176="","",SUMIF(ЗАКАЗЫ!$F$3:$F$500,$A176,ЗАКАЗЫ!$AL$3:$AL$500))</f>
        <v/>
      </c>
      <c r="BP176" s="7" t="str">
        <f aca="false">IF(BN176="","",BN176-BO176)</f>
        <v/>
      </c>
      <c r="BQ176" s="55" t="str">
        <f aca="false">IF(BN176="","",IF(BO176&gt;=BN176,"На складе",IF(BO176&gt;0,"Частично","Ждём")))</f>
        <v/>
      </c>
      <c r="BR176" s="43"/>
      <c r="BS176" s="47" t="str">
        <f aca="false">IF(BN176="","",IF(_xlfn.MAXIFS(ЗАКАЗЫ!$AK$3:$AK$500,ЗАКАЗЫ!$F$3:$F$500,$A176)=0,"",_xlfn.MAXIFS(ЗАКАЗЫ!$AK$3:$AK$500,ЗАКАЗЫ!$F$3:$F$500,$A176)))</f>
        <v/>
      </c>
    </row>
    <row r="177" customFormat="false" ht="15.75" hidden="false" customHeight="true" outlineLevel="0" collapsed="false">
      <c r="A177" s="80" t="s">
        <v>1009</v>
      </c>
      <c r="B177" s="81"/>
      <c r="C177" s="81"/>
      <c r="D177" s="81"/>
      <c r="E177" s="83"/>
      <c r="F177" s="81"/>
      <c r="G177" s="83"/>
      <c r="H177" s="83"/>
      <c r="I177" s="84" t="str">
        <f aca="false">IF(E177="","",A177&amp;"_1.jpg")</f>
        <v/>
      </c>
      <c r="J177" s="84" t="str">
        <f aca="false">IF(E177="","",A177&amp;"_2.jpg; "&amp;A177&amp;"_3.jpg")</f>
        <v/>
      </c>
      <c r="K177" s="84" t="str">
        <f aca="false">IF(E177="","",A177&amp;"_schema.jpg")</f>
        <v/>
      </c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 t="s">
        <v>96</v>
      </c>
      <c r="W177" s="81"/>
      <c r="X177" s="81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6" t="str">
        <f aca="false">IF(SUM(Y177:AJ177)=0,"",SUM(Y177:AJ177))</f>
        <v/>
      </c>
      <c r="AL177" s="84" t="str">
        <f aca="false">MID(IF(N(Y177)&gt;0,", "&amp;Y$2,"")&amp;IF(N(Z177)&gt;0,", "&amp;Z$2,"")&amp;IF(N(AA177)&gt;0,", "&amp;AA$2,"")&amp;IF(N(AB177)&gt;0,", "&amp;AB$2,"")&amp;IF(N(AC177)&gt;0,", "&amp;AC$2,"")&amp;IF(N(AD177)&gt;0,", "&amp;AD$2,"")&amp;IF(N(AE177)&gt;0,", "&amp;AE$2,"")&amp;IF(N(AF177)&gt;0,", "&amp;AF$2,"")&amp;IF(N(AG177)&gt;0,", "&amp;AG$2,"")&amp;IF(N(AH177)&gt;0,", "&amp;AH$2,"")&amp;IF(N(AI177)&gt;0,", "&amp;AI$2,"")&amp;IF(N(AJ177)&gt;0,", "&amp;AJ$2,""),3,999)</f>
        <v/>
      </c>
      <c r="AM177" s="87" t="str">
        <f aca="false">IF(E177="","",MID(IF(N(Y177)&gt;0,", "&amp;A177&amp;"-"&amp;Y$2,"")&amp;IF(N(Z177)&gt;0,", "&amp;A177&amp;"-"&amp;Z$2,"")&amp;IF(N(AA177)&gt;0,", "&amp;A177&amp;"-"&amp;AA$2,"")&amp;IF(N(AB177)&gt;0,", "&amp;A177&amp;"-"&amp;AB$2,"")&amp;IF(N(AC177)&gt;0,", "&amp;A177&amp;"-"&amp;AC$2,"")&amp;IF(N(AD177)&gt;0,", "&amp;A177&amp;"-"&amp;AD$2,"")&amp;IF(N(AE177)&gt;0,", "&amp;A177&amp;"-"&amp;AE$2,"")&amp;IF(N(AF177)&gt;0,", "&amp;A177&amp;"-"&amp;AF$2,"")&amp;IF(N(AG177)&gt;0,", "&amp;A177&amp;"-"&amp;AG$2,"")&amp;IF(N(AH177)&gt;0,", "&amp;A177&amp;"-"&amp;AH$2,"")&amp;IF(N(AI177)&gt;0,", "&amp;A177&amp;"-"&amp;AI$2,"")&amp;IF(N(AJ177)&gt;0,", "&amp;A177&amp;"-"&amp;AJ$2,""),3,999))</f>
        <v/>
      </c>
      <c r="AN177" s="81"/>
      <c r="AO177" s="88"/>
      <c r="AP177" s="89" t="str">
        <f aca="false">IF(AO177="","",ROUND(AO177/(1+Справочники!$B$13),2))</f>
        <v/>
      </c>
      <c r="AQ177" s="90" t="str">
        <f aca="false" t="array" ref="AQ177:AQ177">IF(AP177="","",AP177*INDEX(Справочники!$B$4:$B$7,MATCH("RUB",Справочники!$A$4:$A$7,0)))</f>
        <v/>
      </c>
      <c r="AR177" s="90" t="str">
        <f aca="false">IF(AQ177="","",ROUND(AQ177*(1+Справочники!$B$12),0))</f>
        <v/>
      </c>
      <c r="AS177" s="90" t="str">
        <f aca="false">IF(AR177="","",ROUND(AR177*(1-Справочники!$B$11),0))</f>
        <v/>
      </c>
      <c r="AT177" s="88"/>
      <c r="AU177" s="90" t="str">
        <f aca="false">IF(AT177="","",ROUND(AT177/(1+Справочники!$B$12),0))</f>
        <v/>
      </c>
      <c r="AV177" s="90" t="str">
        <f aca="false">IF(AT177="","",ROUND(AT177*(1-Справочники!$B$15),0))</f>
        <v/>
      </c>
      <c r="AW177" s="90" t="str">
        <f aca="false">IF(AT177="","",ROUND(AT177*(1-Справочники!$B$16),0))</f>
        <v/>
      </c>
      <c r="AX177" s="90" t="str">
        <f aca="false">IF(AT177="","",ROUND(AT177*(1-Справочники!$B$17),0))</f>
        <v/>
      </c>
      <c r="AY177" s="90" t="str">
        <f aca="false">IF(AT177="","",ROUND(AT177*(1-Справочники!$B$18),0))</f>
        <v/>
      </c>
      <c r="AZ177" s="90" t="str">
        <f aca="false">IF(AT177="","",ROUND(AT177*(1-Справочники!$B$19),0))</f>
        <v/>
      </c>
      <c r="BA177" s="81"/>
      <c r="BB177" s="81"/>
      <c r="BC177" s="81"/>
      <c r="BD177" s="81"/>
      <c r="BE177" s="91"/>
      <c r="BF177" s="81" t="s">
        <v>103</v>
      </c>
      <c r="BG177" s="89" t="n">
        <f aca="false" t="array" ref="BG177:BG177">IF(BF177="","",IFERROR(INDEX(Справочники!$B$4:$B$7,MATCH(BF177,Справочники!$A$4:$A$7,0)),""))</f>
        <v>68.5</v>
      </c>
      <c r="BH177" s="90" t="str">
        <f aca="false">IF(N(BN177)&gt;0,ROUND(SUMIF(ЗАКАЗЫ!$F$3:$F$500,$A177,ЗАКАЗЫ!$Y$3:$Y$500)/BN177,0),IF(OR(BE177="",BG177=""),"",ROUND(BE177*BG177*(1+Справочники!$B$10),0)))</f>
        <v/>
      </c>
      <c r="BI177" s="92" t="str">
        <f aca="false">IF(OR(AU177="",BH177="",AU177=0),"",(AU177-BH177)/AU177)</f>
        <v/>
      </c>
      <c r="BJ177" s="81"/>
      <c r="BK177" s="83"/>
      <c r="BL177" s="43" t="str">
        <f aca="false">IFERROR(INDEX(ЗАКАЗЫ!$N$3:$N$500,MATCH($A177,ЗАКАЗЫ!$F$3:$F$500,0)),"")</f>
        <v/>
      </c>
      <c r="BM177" s="8" t="str">
        <f aca="false">IF(BL177="","",IFERROR(VLOOKUP(BL177,'ТН ВЭД'!$A$4:$C$40,3,0),""))</f>
        <v/>
      </c>
      <c r="BN177" s="7" t="str">
        <f aca="false">IF(COUNTIF(ЗАКАЗЫ!$F$3:$F$500,$A177)=0,"",SUMIF(ЗАКАЗЫ!$F$3:$F$500,$A177,ЗАКАЗЫ!$J$3:$J$500))</f>
        <v/>
      </c>
      <c r="BO177" s="7" t="str">
        <f aca="false">IF(BN177="","",SUMIF(ЗАКАЗЫ!$F$3:$F$500,$A177,ЗАКАЗЫ!$AL$3:$AL$500))</f>
        <v/>
      </c>
      <c r="BP177" s="7" t="str">
        <f aca="false">IF(BN177="","",BN177-BO177)</f>
        <v/>
      </c>
      <c r="BQ177" s="55" t="str">
        <f aca="false">IF(BN177="","",IF(BO177&gt;=BN177,"На складе",IF(BO177&gt;0,"Частично","Ждём")))</f>
        <v/>
      </c>
      <c r="BR177" s="43"/>
      <c r="BS177" s="47" t="str">
        <f aca="false">IF(BN177="","",IF(_xlfn.MAXIFS(ЗАКАЗЫ!$AK$3:$AK$500,ЗАКАЗЫ!$F$3:$F$500,$A177)=0,"",_xlfn.MAXIFS(ЗАКАЗЫ!$AK$3:$AK$500,ЗАКАЗЫ!$F$3:$F$500,$A177)))</f>
        <v/>
      </c>
    </row>
    <row r="178" customFormat="false" ht="15.75" hidden="false" customHeight="true" outlineLevel="0" collapsed="false">
      <c r="A178" s="80" t="s">
        <v>1010</v>
      </c>
      <c r="B178" s="81"/>
      <c r="C178" s="81"/>
      <c r="D178" s="81"/>
      <c r="E178" s="83"/>
      <c r="F178" s="81"/>
      <c r="G178" s="83"/>
      <c r="H178" s="83"/>
      <c r="I178" s="84" t="str">
        <f aca="false">IF(E178="","",A178&amp;"_1.jpg")</f>
        <v/>
      </c>
      <c r="J178" s="84" t="str">
        <f aca="false">IF(E178="","",A178&amp;"_2.jpg; "&amp;A178&amp;"_3.jpg")</f>
        <v/>
      </c>
      <c r="K178" s="84" t="str">
        <f aca="false">IF(E178="","",A178&amp;"_schema.jpg")</f>
        <v/>
      </c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 t="s">
        <v>96</v>
      </c>
      <c r="W178" s="81"/>
      <c r="X178" s="81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6" t="str">
        <f aca="false">IF(SUM(Y178:AJ178)=0,"",SUM(Y178:AJ178))</f>
        <v/>
      </c>
      <c r="AL178" s="84" t="str">
        <f aca="false">MID(IF(N(Y178)&gt;0,", "&amp;Y$2,"")&amp;IF(N(Z178)&gt;0,", "&amp;Z$2,"")&amp;IF(N(AA178)&gt;0,", "&amp;AA$2,"")&amp;IF(N(AB178)&gt;0,", "&amp;AB$2,"")&amp;IF(N(AC178)&gt;0,", "&amp;AC$2,"")&amp;IF(N(AD178)&gt;0,", "&amp;AD$2,"")&amp;IF(N(AE178)&gt;0,", "&amp;AE$2,"")&amp;IF(N(AF178)&gt;0,", "&amp;AF$2,"")&amp;IF(N(AG178)&gt;0,", "&amp;AG$2,"")&amp;IF(N(AH178)&gt;0,", "&amp;AH$2,"")&amp;IF(N(AI178)&gt;0,", "&amp;AI$2,"")&amp;IF(N(AJ178)&gt;0,", "&amp;AJ$2,""),3,999)</f>
        <v/>
      </c>
      <c r="AM178" s="87" t="str">
        <f aca="false">IF(E178="","",MID(IF(N(Y178)&gt;0,", "&amp;A178&amp;"-"&amp;Y$2,"")&amp;IF(N(Z178)&gt;0,", "&amp;A178&amp;"-"&amp;Z$2,"")&amp;IF(N(AA178)&gt;0,", "&amp;A178&amp;"-"&amp;AA$2,"")&amp;IF(N(AB178)&gt;0,", "&amp;A178&amp;"-"&amp;AB$2,"")&amp;IF(N(AC178)&gt;0,", "&amp;A178&amp;"-"&amp;AC$2,"")&amp;IF(N(AD178)&gt;0,", "&amp;A178&amp;"-"&amp;AD$2,"")&amp;IF(N(AE178)&gt;0,", "&amp;A178&amp;"-"&amp;AE$2,"")&amp;IF(N(AF178)&gt;0,", "&amp;A178&amp;"-"&amp;AF$2,"")&amp;IF(N(AG178)&gt;0,", "&amp;A178&amp;"-"&amp;AG$2,"")&amp;IF(N(AH178)&gt;0,", "&amp;A178&amp;"-"&amp;AH$2,"")&amp;IF(N(AI178)&gt;0,", "&amp;A178&amp;"-"&amp;AI$2,"")&amp;IF(N(AJ178)&gt;0,", "&amp;A178&amp;"-"&amp;AJ$2,""),3,999))</f>
        <v/>
      </c>
      <c r="AN178" s="81"/>
      <c r="AO178" s="88"/>
      <c r="AP178" s="89" t="str">
        <f aca="false">IF(AO178="","",ROUND(AO178/(1+Справочники!$B$13),2))</f>
        <v/>
      </c>
      <c r="AQ178" s="90" t="str">
        <f aca="false" t="array" ref="AQ178:AQ178">IF(AP178="","",AP178*INDEX(Справочники!$B$4:$B$7,MATCH("RUB",Справочники!$A$4:$A$7,0)))</f>
        <v/>
      </c>
      <c r="AR178" s="90" t="str">
        <f aca="false">IF(AQ178="","",ROUND(AQ178*(1+Справочники!$B$12),0))</f>
        <v/>
      </c>
      <c r="AS178" s="90" t="str">
        <f aca="false">IF(AR178="","",ROUND(AR178*(1-Справочники!$B$11),0))</f>
        <v/>
      </c>
      <c r="AT178" s="88"/>
      <c r="AU178" s="90" t="str">
        <f aca="false">IF(AT178="","",ROUND(AT178/(1+Справочники!$B$12),0))</f>
        <v/>
      </c>
      <c r="AV178" s="90" t="str">
        <f aca="false">IF(AT178="","",ROUND(AT178*(1-Справочники!$B$15),0))</f>
        <v/>
      </c>
      <c r="AW178" s="90" t="str">
        <f aca="false">IF(AT178="","",ROUND(AT178*(1-Справочники!$B$16),0))</f>
        <v/>
      </c>
      <c r="AX178" s="90" t="str">
        <f aca="false">IF(AT178="","",ROUND(AT178*(1-Справочники!$B$17),0))</f>
        <v/>
      </c>
      <c r="AY178" s="90" t="str">
        <f aca="false">IF(AT178="","",ROUND(AT178*(1-Справочники!$B$18),0))</f>
        <v/>
      </c>
      <c r="AZ178" s="90" t="str">
        <f aca="false">IF(AT178="","",ROUND(AT178*(1-Справочники!$B$19),0))</f>
        <v/>
      </c>
      <c r="BA178" s="81"/>
      <c r="BB178" s="81"/>
      <c r="BC178" s="81"/>
      <c r="BD178" s="81"/>
      <c r="BE178" s="91"/>
      <c r="BF178" s="81" t="s">
        <v>103</v>
      </c>
      <c r="BG178" s="89" t="n">
        <f aca="false" t="array" ref="BG178:BG178">IF(BF178="","",IFERROR(INDEX(Справочники!$B$4:$B$7,MATCH(BF178,Справочники!$A$4:$A$7,0)),""))</f>
        <v>68.5</v>
      </c>
      <c r="BH178" s="90" t="str">
        <f aca="false">IF(N(BN178)&gt;0,ROUND(SUMIF(ЗАКАЗЫ!$F$3:$F$500,$A178,ЗАКАЗЫ!$Y$3:$Y$500)/BN178,0),IF(OR(BE178="",BG178=""),"",ROUND(BE178*BG178*(1+Справочники!$B$10),0)))</f>
        <v/>
      </c>
      <c r="BI178" s="92" t="str">
        <f aca="false">IF(OR(AU178="",BH178="",AU178=0),"",(AU178-BH178)/AU178)</f>
        <v/>
      </c>
      <c r="BJ178" s="81"/>
      <c r="BK178" s="83"/>
      <c r="BL178" s="43" t="str">
        <f aca="false">IFERROR(INDEX(ЗАКАЗЫ!$N$3:$N$500,MATCH($A178,ЗАКАЗЫ!$F$3:$F$500,0)),"")</f>
        <v/>
      </c>
      <c r="BM178" s="8" t="str">
        <f aca="false">IF(BL178="","",IFERROR(VLOOKUP(BL178,'ТН ВЭД'!$A$4:$C$40,3,0),""))</f>
        <v/>
      </c>
      <c r="BN178" s="7" t="str">
        <f aca="false">IF(COUNTIF(ЗАКАЗЫ!$F$3:$F$500,$A178)=0,"",SUMIF(ЗАКАЗЫ!$F$3:$F$500,$A178,ЗАКАЗЫ!$J$3:$J$500))</f>
        <v/>
      </c>
      <c r="BO178" s="7" t="str">
        <f aca="false">IF(BN178="","",SUMIF(ЗАКАЗЫ!$F$3:$F$500,$A178,ЗАКАЗЫ!$AL$3:$AL$500))</f>
        <v/>
      </c>
      <c r="BP178" s="7" t="str">
        <f aca="false">IF(BN178="","",BN178-BO178)</f>
        <v/>
      </c>
      <c r="BQ178" s="55" t="str">
        <f aca="false">IF(BN178="","",IF(BO178&gt;=BN178,"На складе",IF(BO178&gt;0,"Частично","Ждём")))</f>
        <v/>
      </c>
      <c r="BR178" s="43"/>
      <c r="BS178" s="47" t="str">
        <f aca="false">IF(BN178="","",IF(_xlfn.MAXIFS(ЗАКАЗЫ!$AK$3:$AK$500,ЗАКАЗЫ!$F$3:$F$500,$A178)=0,"",_xlfn.MAXIFS(ЗАКАЗЫ!$AK$3:$AK$500,ЗАКАЗЫ!$F$3:$F$500,$A178)))</f>
        <v/>
      </c>
    </row>
    <row r="179" customFormat="false" ht="15.75" hidden="false" customHeight="true" outlineLevel="0" collapsed="false">
      <c r="A179" s="80" t="s">
        <v>1011</v>
      </c>
      <c r="B179" s="81"/>
      <c r="C179" s="81"/>
      <c r="D179" s="81"/>
      <c r="E179" s="83"/>
      <c r="F179" s="81"/>
      <c r="G179" s="83"/>
      <c r="H179" s="83"/>
      <c r="I179" s="84" t="str">
        <f aca="false">IF(E179="","",A179&amp;"_1.jpg")</f>
        <v/>
      </c>
      <c r="J179" s="84" t="str">
        <f aca="false">IF(E179="","",A179&amp;"_2.jpg; "&amp;A179&amp;"_3.jpg")</f>
        <v/>
      </c>
      <c r="K179" s="84" t="str">
        <f aca="false">IF(E179="","",A179&amp;"_schema.jpg")</f>
        <v/>
      </c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 t="s">
        <v>96</v>
      </c>
      <c r="W179" s="81"/>
      <c r="X179" s="81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6" t="str">
        <f aca="false">IF(SUM(Y179:AJ179)=0,"",SUM(Y179:AJ179))</f>
        <v/>
      </c>
      <c r="AL179" s="84" t="str">
        <f aca="false">MID(IF(N(Y179)&gt;0,", "&amp;Y$2,"")&amp;IF(N(Z179)&gt;0,", "&amp;Z$2,"")&amp;IF(N(AA179)&gt;0,", "&amp;AA$2,"")&amp;IF(N(AB179)&gt;0,", "&amp;AB$2,"")&amp;IF(N(AC179)&gt;0,", "&amp;AC$2,"")&amp;IF(N(AD179)&gt;0,", "&amp;AD$2,"")&amp;IF(N(AE179)&gt;0,", "&amp;AE$2,"")&amp;IF(N(AF179)&gt;0,", "&amp;AF$2,"")&amp;IF(N(AG179)&gt;0,", "&amp;AG$2,"")&amp;IF(N(AH179)&gt;0,", "&amp;AH$2,"")&amp;IF(N(AI179)&gt;0,", "&amp;AI$2,"")&amp;IF(N(AJ179)&gt;0,", "&amp;AJ$2,""),3,999)</f>
        <v/>
      </c>
      <c r="AM179" s="87" t="str">
        <f aca="false">IF(E179="","",MID(IF(N(Y179)&gt;0,", "&amp;A179&amp;"-"&amp;Y$2,"")&amp;IF(N(Z179)&gt;0,", "&amp;A179&amp;"-"&amp;Z$2,"")&amp;IF(N(AA179)&gt;0,", "&amp;A179&amp;"-"&amp;AA$2,"")&amp;IF(N(AB179)&gt;0,", "&amp;A179&amp;"-"&amp;AB$2,"")&amp;IF(N(AC179)&gt;0,", "&amp;A179&amp;"-"&amp;AC$2,"")&amp;IF(N(AD179)&gt;0,", "&amp;A179&amp;"-"&amp;AD$2,"")&amp;IF(N(AE179)&gt;0,", "&amp;A179&amp;"-"&amp;AE$2,"")&amp;IF(N(AF179)&gt;0,", "&amp;A179&amp;"-"&amp;AF$2,"")&amp;IF(N(AG179)&gt;0,", "&amp;A179&amp;"-"&amp;AG$2,"")&amp;IF(N(AH179)&gt;0,", "&amp;A179&amp;"-"&amp;AH$2,"")&amp;IF(N(AI179)&gt;0,", "&amp;A179&amp;"-"&amp;AI$2,"")&amp;IF(N(AJ179)&gt;0,", "&amp;A179&amp;"-"&amp;AJ$2,""),3,999))</f>
        <v/>
      </c>
      <c r="AN179" s="81"/>
      <c r="AO179" s="88"/>
      <c r="AP179" s="89" t="str">
        <f aca="false">IF(AO179="","",ROUND(AO179/(1+Справочники!$B$13),2))</f>
        <v/>
      </c>
      <c r="AQ179" s="90" t="str">
        <f aca="false" t="array" ref="AQ179:AQ179">IF(AP179="","",AP179*INDEX(Справочники!$B$4:$B$7,MATCH("RUB",Справочники!$A$4:$A$7,0)))</f>
        <v/>
      </c>
      <c r="AR179" s="90" t="str">
        <f aca="false">IF(AQ179="","",ROUND(AQ179*(1+Справочники!$B$12),0))</f>
        <v/>
      </c>
      <c r="AS179" s="90" t="str">
        <f aca="false">IF(AR179="","",ROUND(AR179*(1-Справочники!$B$11),0))</f>
        <v/>
      </c>
      <c r="AT179" s="88"/>
      <c r="AU179" s="90" t="str">
        <f aca="false">IF(AT179="","",ROUND(AT179/(1+Справочники!$B$12),0))</f>
        <v/>
      </c>
      <c r="AV179" s="90" t="str">
        <f aca="false">IF(AT179="","",ROUND(AT179*(1-Справочники!$B$15),0))</f>
        <v/>
      </c>
      <c r="AW179" s="90" t="str">
        <f aca="false">IF(AT179="","",ROUND(AT179*(1-Справочники!$B$16),0))</f>
        <v/>
      </c>
      <c r="AX179" s="90" t="str">
        <f aca="false">IF(AT179="","",ROUND(AT179*(1-Справочники!$B$17),0))</f>
        <v/>
      </c>
      <c r="AY179" s="90" t="str">
        <f aca="false">IF(AT179="","",ROUND(AT179*(1-Справочники!$B$18),0))</f>
        <v/>
      </c>
      <c r="AZ179" s="90" t="str">
        <f aca="false">IF(AT179="","",ROUND(AT179*(1-Справочники!$B$19),0))</f>
        <v/>
      </c>
      <c r="BA179" s="81"/>
      <c r="BB179" s="81"/>
      <c r="BC179" s="81"/>
      <c r="BD179" s="81"/>
      <c r="BE179" s="91"/>
      <c r="BF179" s="81" t="s">
        <v>103</v>
      </c>
      <c r="BG179" s="89" t="n">
        <f aca="false" t="array" ref="BG179:BG179">IF(BF179="","",IFERROR(INDEX(Справочники!$B$4:$B$7,MATCH(BF179,Справочники!$A$4:$A$7,0)),""))</f>
        <v>68.5</v>
      </c>
      <c r="BH179" s="90" t="str">
        <f aca="false">IF(N(BN179)&gt;0,ROUND(SUMIF(ЗАКАЗЫ!$F$3:$F$500,$A179,ЗАКАЗЫ!$Y$3:$Y$500)/BN179,0),IF(OR(BE179="",BG179=""),"",ROUND(BE179*BG179*(1+Справочники!$B$10),0)))</f>
        <v/>
      </c>
      <c r="BI179" s="92" t="str">
        <f aca="false">IF(OR(AU179="",BH179="",AU179=0),"",(AU179-BH179)/AU179)</f>
        <v/>
      </c>
      <c r="BJ179" s="81"/>
      <c r="BK179" s="83"/>
      <c r="BL179" s="43" t="str">
        <f aca="false">IFERROR(INDEX(ЗАКАЗЫ!$N$3:$N$500,MATCH($A179,ЗАКАЗЫ!$F$3:$F$500,0)),"")</f>
        <v/>
      </c>
      <c r="BM179" s="8" t="str">
        <f aca="false">IF(BL179="","",IFERROR(VLOOKUP(BL179,'ТН ВЭД'!$A$4:$C$40,3,0),""))</f>
        <v/>
      </c>
      <c r="BN179" s="7" t="str">
        <f aca="false">IF(COUNTIF(ЗАКАЗЫ!$F$3:$F$500,$A179)=0,"",SUMIF(ЗАКАЗЫ!$F$3:$F$500,$A179,ЗАКАЗЫ!$J$3:$J$500))</f>
        <v/>
      </c>
      <c r="BO179" s="7" t="str">
        <f aca="false">IF(BN179="","",SUMIF(ЗАКАЗЫ!$F$3:$F$500,$A179,ЗАКАЗЫ!$AL$3:$AL$500))</f>
        <v/>
      </c>
      <c r="BP179" s="7" t="str">
        <f aca="false">IF(BN179="","",BN179-BO179)</f>
        <v/>
      </c>
      <c r="BQ179" s="55" t="str">
        <f aca="false">IF(BN179="","",IF(BO179&gt;=BN179,"На складе",IF(BO179&gt;0,"Частично","Ждём")))</f>
        <v/>
      </c>
      <c r="BR179" s="43"/>
      <c r="BS179" s="47" t="str">
        <f aca="false">IF(BN179="","",IF(_xlfn.MAXIFS(ЗАКАЗЫ!$AK$3:$AK$500,ЗАКАЗЫ!$F$3:$F$500,$A179)=0,"",_xlfn.MAXIFS(ЗАКАЗЫ!$AK$3:$AK$500,ЗАКАЗЫ!$F$3:$F$500,$A179)))</f>
        <v/>
      </c>
    </row>
    <row r="180" customFormat="false" ht="15.75" hidden="false" customHeight="true" outlineLevel="0" collapsed="false">
      <c r="A180" s="80" t="s">
        <v>1012</v>
      </c>
      <c r="B180" s="81"/>
      <c r="C180" s="81"/>
      <c r="D180" s="81"/>
      <c r="E180" s="83"/>
      <c r="F180" s="81"/>
      <c r="G180" s="83"/>
      <c r="H180" s="83"/>
      <c r="I180" s="84" t="str">
        <f aca="false">IF(E180="","",A180&amp;"_1.jpg")</f>
        <v/>
      </c>
      <c r="J180" s="84" t="str">
        <f aca="false">IF(E180="","",A180&amp;"_2.jpg; "&amp;A180&amp;"_3.jpg")</f>
        <v/>
      </c>
      <c r="K180" s="84" t="str">
        <f aca="false">IF(E180="","",A180&amp;"_schema.jpg")</f>
        <v/>
      </c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 t="s">
        <v>96</v>
      </c>
      <c r="W180" s="81"/>
      <c r="X180" s="81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6" t="str">
        <f aca="false">IF(SUM(Y180:AJ180)=0,"",SUM(Y180:AJ180))</f>
        <v/>
      </c>
      <c r="AL180" s="84" t="str">
        <f aca="false">MID(IF(N(Y180)&gt;0,", "&amp;Y$2,"")&amp;IF(N(Z180)&gt;0,", "&amp;Z$2,"")&amp;IF(N(AA180)&gt;0,", "&amp;AA$2,"")&amp;IF(N(AB180)&gt;0,", "&amp;AB$2,"")&amp;IF(N(AC180)&gt;0,", "&amp;AC$2,"")&amp;IF(N(AD180)&gt;0,", "&amp;AD$2,"")&amp;IF(N(AE180)&gt;0,", "&amp;AE$2,"")&amp;IF(N(AF180)&gt;0,", "&amp;AF$2,"")&amp;IF(N(AG180)&gt;0,", "&amp;AG$2,"")&amp;IF(N(AH180)&gt;0,", "&amp;AH$2,"")&amp;IF(N(AI180)&gt;0,", "&amp;AI$2,"")&amp;IF(N(AJ180)&gt;0,", "&amp;AJ$2,""),3,999)</f>
        <v/>
      </c>
      <c r="AM180" s="87" t="str">
        <f aca="false">IF(E180="","",MID(IF(N(Y180)&gt;0,", "&amp;A180&amp;"-"&amp;Y$2,"")&amp;IF(N(Z180)&gt;0,", "&amp;A180&amp;"-"&amp;Z$2,"")&amp;IF(N(AA180)&gt;0,", "&amp;A180&amp;"-"&amp;AA$2,"")&amp;IF(N(AB180)&gt;0,", "&amp;A180&amp;"-"&amp;AB$2,"")&amp;IF(N(AC180)&gt;0,", "&amp;A180&amp;"-"&amp;AC$2,"")&amp;IF(N(AD180)&gt;0,", "&amp;A180&amp;"-"&amp;AD$2,"")&amp;IF(N(AE180)&gt;0,", "&amp;A180&amp;"-"&amp;AE$2,"")&amp;IF(N(AF180)&gt;0,", "&amp;A180&amp;"-"&amp;AF$2,"")&amp;IF(N(AG180)&gt;0,", "&amp;A180&amp;"-"&amp;AG$2,"")&amp;IF(N(AH180)&gt;0,", "&amp;A180&amp;"-"&amp;AH$2,"")&amp;IF(N(AI180)&gt;0,", "&amp;A180&amp;"-"&amp;AI$2,"")&amp;IF(N(AJ180)&gt;0,", "&amp;A180&amp;"-"&amp;AJ$2,""),3,999))</f>
        <v/>
      </c>
      <c r="AN180" s="81"/>
      <c r="AO180" s="88"/>
      <c r="AP180" s="89" t="str">
        <f aca="false">IF(AO180="","",ROUND(AO180/(1+Справочники!$B$13),2))</f>
        <v/>
      </c>
      <c r="AQ180" s="90" t="str">
        <f aca="false" t="array" ref="AQ180:AQ180">IF(AP180="","",AP180*INDEX(Справочники!$B$4:$B$7,MATCH("RUB",Справочники!$A$4:$A$7,0)))</f>
        <v/>
      </c>
      <c r="AR180" s="90" t="str">
        <f aca="false">IF(AQ180="","",ROUND(AQ180*(1+Справочники!$B$12),0))</f>
        <v/>
      </c>
      <c r="AS180" s="90" t="str">
        <f aca="false">IF(AR180="","",ROUND(AR180*(1-Справочники!$B$11),0))</f>
        <v/>
      </c>
      <c r="AT180" s="88"/>
      <c r="AU180" s="90" t="str">
        <f aca="false">IF(AT180="","",ROUND(AT180/(1+Справочники!$B$12),0))</f>
        <v/>
      </c>
      <c r="AV180" s="90" t="str">
        <f aca="false">IF(AT180="","",ROUND(AT180*(1-Справочники!$B$15),0))</f>
        <v/>
      </c>
      <c r="AW180" s="90" t="str">
        <f aca="false">IF(AT180="","",ROUND(AT180*(1-Справочники!$B$16),0))</f>
        <v/>
      </c>
      <c r="AX180" s="90" t="str">
        <f aca="false">IF(AT180="","",ROUND(AT180*(1-Справочники!$B$17),0))</f>
        <v/>
      </c>
      <c r="AY180" s="90" t="str">
        <f aca="false">IF(AT180="","",ROUND(AT180*(1-Справочники!$B$18),0))</f>
        <v/>
      </c>
      <c r="AZ180" s="90" t="str">
        <f aca="false">IF(AT180="","",ROUND(AT180*(1-Справочники!$B$19),0))</f>
        <v/>
      </c>
      <c r="BA180" s="81"/>
      <c r="BB180" s="81"/>
      <c r="BC180" s="81"/>
      <c r="BD180" s="81"/>
      <c r="BE180" s="91"/>
      <c r="BF180" s="81" t="s">
        <v>103</v>
      </c>
      <c r="BG180" s="89" t="n">
        <f aca="false" t="array" ref="BG180:BG180">IF(BF180="","",IFERROR(INDEX(Справочники!$B$4:$B$7,MATCH(BF180,Справочники!$A$4:$A$7,0)),""))</f>
        <v>68.5</v>
      </c>
      <c r="BH180" s="90" t="str">
        <f aca="false">IF(N(BN180)&gt;0,ROUND(SUMIF(ЗАКАЗЫ!$F$3:$F$500,$A180,ЗАКАЗЫ!$Y$3:$Y$500)/BN180,0),IF(OR(BE180="",BG180=""),"",ROUND(BE180*BG180*(1+Справочники!$B$10),0)))</f>
        <v/>
      </c>
      <c r="BI180" s="92" t="str">
        <f aca="false">IF(OR(AU180="",BH180="",AU180=0),"",(AU180-BH180)/AU180)</f>
        <v/>
      </c>
      <c r="BJ180" s="81"/>
      <c r="BK180" s="83"/>
      <c r="BL180" s="43" t="str">
        <f aca="false">IFERROR(INDEX(ЗАКАЗЫ!$N$3:$N$500,MATCH($A180,ЗАКАЗЫ!$F$3:$F$500,0)),"")</f>
        <v/>
      </c>
      <c r="BM180" s="8" t="str">
        <f aca="false">IF(BL180="","",IFERROR(VLOOKUP(BL180,'ТН ВЭД'!$A$4:$C$40,3,0),""))</f>
        <v/>
      </c>
      <c r="BN180" s="7" t="str">
        <f aca="false">IF(COUNTIF(ЗАКАЗЫ!$F$3:$F$500,$A180)=0,"",SUMIF(ЗАКАЗЫ!$F$3:$F$500,$A180,ЗАКАЗЫ!$J$3:$J$500))</f>
        <v/>
      </c>
      <c r="BO180" s="7" t="str">
        <f aca="false">IF(BN180="","",SUMIF(ЗАКАЗЫ!$F$3:$F$500,$A180,ЗАКАЗЫ!$AL$3:$AL$500))</f>
        <v/>
      </c>
      <c r="BP180" s="7" t="str">
        <f aca="false">IF(BN180="","",BN180-BO180)</f>
        <v/>
      </c>
      <c r="BQ180" s="55" t="str">
        <f aca="false">IF(BN180="","",IF(BO180&gt;=BN180,"На складе",IF(BO180&gt;0,"Частично","Ждём")))</f>
        <v/>
      </c>
      <c r="BR180" s="43"/>
      <c r="BS180" s="47" t="str">
        <f aca="false">IF(BN180="","",IF(_xlfn.MAXIFS(ЗАКАЗЫ!$AK$3:$AK$500,ЗАКАЗЫ!$F$3:$F$500,$A180)=0,"",_xlfn.MAXIFS(ЗАКАЗЫ!$AK$3:$AK$500,ЗАКАЗЫ!$F$3:$F$500,$A180)))</f>
        <v/>
      </c>
    </row>
    <row r="181" customFormat="false" ht="15.75" hidden="false" customHeight="true" outlineLevel="0" collapsed="false">
      <c r="A181" s="80" t="s">
        <v>1013</v>
      </c>
      <c r="B181" s="81"/>
      <c r="C181" s="81"/>
      <c r="D181" s="81"/>
      <c r="E181" s="83"/>
      <c r="F181" s="81"/>
      <c r="G181" s="83"/>
      <c r="H181" s="83"/>
      <c r="I181" s="84" t="str">
        <f aca="false">IF(E181="","",A181&amp;"_1.jpg")</f>
        <v/>
      </c>
      <c r="J181" s="84" t="str">
        <f aca="false">IF(E181="","",A181&amp;"_2.jpg; "&amp;A181&amp;"_3.jpg")</f>
        <v/>
      </c>
      <c r="K181" s="84" t="str">
        <f aca="false">IF(E181="","",A181&amp;"_schema.jpg")</f>
        <v/>
      </c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 t="s">
        <v>96</v>
      </c>
      <c r="W181" s="81"/>
      <c r="X181" s="81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6" t="str">
        <f aca="false">IF(SUM(Y181:AJ181)=0,"",SUM(Y181:AJ181))</f>
        <v/>
      </c>
      <c r="AL181" s="84" t="str">
        <f aca="false">MID(IF(N(Y181)&gt;0,", "&amp;Y$2,"")&amp;IF(N(Z181)&gt;0,", "&amp;Z$2,"")&amp;IF(N(AA181)&gt;0,", "&amp;AA$2,"")&amp;IF(N(AB181)&gt;0,", "&amp;AB$2,"")&amp;IF(N(AC181)&gt;0,", "&amp;AC$2,"")&amp;IF(N(AD181)&gt;0,", "&amp;AD$2,"")&amp;IF(N(AE181)&gt;0,", "&amp;AE$2,"")&amp;IF(N(AF181)&gt;0,", "&amp;AF$2,"")&amp;IF(N(AG181)&gt;0,", "&amp;AG$2,"")&amp;IF(N(AH181)&gt;0,", "&amp;AH$2,"")&amp;IF(N(AI181)&gt;0,", "&amp;AI$2,"")&amp;IF(N(AJ181)&gt;0,", "&amp;AJ$2,""),3,999)</f>
        <v/>
      </c>
      <c r="AM181" s="87" t="str">
        <f aca="false">IF(E181="","",MID(IF(N(Y181)&gt;0,", "&amp;A181&amp;"-"&amp;Y$2,"")&amp;IF(N(Z181)&gt;0,", "&amp;A181&amp;"-"&amp;Z$2,"")&amp;IF(N(AA181)&gt;0,", "&amp;A181&amp;"-"&amp;AA$2,"")&amp;IF(N(AB181)&gt;0,", "&amp;A181&amp;"-"&amp;AB$2,"")&amp;IF(N(AC181)&gt;0,", "&amp;A181&amp;"-"&amp;AC$2,"")&amp;IF(N(AD181)&gt;0,", "&amp;A181&amp;"-"&amp;AD$2,"")&amp;IF(N(AE181)&gt;0,", "&amp;A181&amp;"-"&amp;AE$2,"")&amp;IF(N(AF181)&gt;0,", "&amp;A181&amp;"-"&amp;AF$2,"")&amp;IF(N(AG181)&gt;0,", "&amp;A181&amp;"-"&amp;AG$2,"")&amp;IF(N(AH181)&gt;0,", "&amp;A181&amp;"-"&amp;AH$2,"")&amp;IF(N(AI181)&gt;0,", "&amp;A181&amp;"-"&amp;AI$2,"")&amp;IF(N(AJ181)&gt;0,", "&amp;A181&amp;"-"&amp;AJ$2,""),3,999))</f>
        <v/>
      </c>
      <c r="AN181" s="81"/>
      <c r="AO181" s="88"/>
      <c r="AP181" s="89" t="str">
        <f aca="false">IF(AO181="","",ROUND(AO181/(1+Справочники!$B$13),2))</f>
        <v/>
      </c>
      <c r="AQ181" s="90" t="str">
        <f aca="false" t="array" ref="AQ181:AQ181">IF(AP181="","",AP181*INDEX(Справочники!$B$4:$B$7,MATCH("RUB",Справочники!$A$4:$A$7,0)))</f>
        <v/>
      </c>
      <c r="AR181" s="90" t="str">
        <f aca="false">IF(AQ181="","",ROUND(AQ181*(1+Справочники!$B$12),0))</f>
        <v/>
      </c>
      <c r="AS181" s="90" t="str">
        <f aca="false">IF(AR181="","",ROUND(AR181*(1-Справочники!$B$11),0))</f>
        <v/>
      </c>
      <c r="AT181" s="88"/>
      <c r="AU181" s="90" t="str">
        <f aca="false">IF(AT181="","",ROUND(AT181/(1+Справочники!$B$12),0))</f>
        <v/>
      </c>
      <c r="AV181" s="90" t="str">
        <f aca="false">IF(AT181="","",ROUND(AT181*(1-Справочники!$B$15),0))</f>
        <v/>
      </c>
      <c r="AW181" s="90" t="str">
        <f aca="false">IF(AT181="","",ROUND(AT181*(1-Справочники!$B$16),0))</f>
        <v/>
      </c>
      <c r="AX181" s="90" t="str">
        <f aca="false">IF(AT181="","",ROUND(AT181*(1-Справочники!$B$17),0))</f>
        <v/>
      </c>
      <c r="AY181" s="90" t="str">
        <f aca="false">IF(AT181="","",ROUND(AT181*(1-Справочники!$B$18),0))</f>
        <v/>
      </c>
      <c r="AZ181" s="90" t="str">
        <f aca="false">IF(AT181="","",ROUND(AT181*(1-Справочники!$B$19),0))</f>
        <v/>
      </c>
      <c r="BA181" s="81"/>
      <c r="BB181" s="81"/>
      <c r="BC181" s="81"/>
      <c r="BD181" s="81"/>
      <c r="BE181" s="91"/>
      <c r="BF181" s="81" t="s">
        <v>103</v>
      </c>
      <c r="BG181" s="89" t="n">
        <f aca="false" t="array" ref="BG181:BG181">IF(BF181="","",IFERROR(INDEX(Справочники!$B$4:$B$7,MATCH(BF181,Справочники!$A$4:$A$7,0)),""))</f>
        <v>68.5</v>
      </c>
      <c r="BH181" s="90" t="str">
        <f aca="false">IF(N(BN181)&gt;0,ROUND(SUMIF(ЗАКАЗЫ!$F$3:$F$500,$A181,ЗАКАЗЫ!$Y$3:$Y$500)/BN181,0),IF(OR(BE181="",BG181=""),"",ROUND(BE181*BG181*(1+Справочники!$B$10),0)))</f>
        <v/>
      </c>
      <c r="BI181" s="92" t="str">
        <f aca="false">IF(OR(AU181="",BH181="",AU181=0),"",(AU181-BH181)/AU181)</f>
        <v/>
      </c>
      <c r="BJ181" s="81"/>
      <c r="BK181" s="83"/>
      <c r="BL181" s="43" t="str">
        <f aca="false">IFERROR(INDEX(ЗАКАЗЫ!$N$3:$N$500,MATCH($A181,ЗАКАЗЫ!$F$3:$F$500,0)),"")</f>
        <v/>
      </c>
      <c r="BM181" s="8" t="str">
        <f aca="false">IF(BL181="","",IFERROR(VLOOKUP(BL181,'ТН ВЭД'!$A$4:$C$40,3,0),""))</f>
        <v/>
      </c>
      <c r="BN181" s="7" t="str">
        <f aca="false">IF(COUNTIF(ЗАКАЗЫ!$F$3:$F$500,$A181)=0,"",SUMIF(ЗАКАЗЫ!$F$3:$F$500,$A181,ЗАКАЗЫ!$J$3:$J$500))</f>
        <v/>
      </c>
      <c r="BO181" s="7" t="str">
        <f aca="false">IF(BN181="","",SUMIF(ЗАКАЗЫ!$F$3:$F$500,$A181,ЗАКАЗЫ!$AL$3:$AL$500))</f>
        <v/>
      </c>
      <c r="BP181" s="7" t="str">
        <f aca="false">IF(BN181="","",BN181-BO181)</f>
        <v/>
      </c>
      <c r="BQ181" s="55" t="str">
        <f aca="false">IF(BN181="","",IF(BO181&gt;=BN181,"На складе",IF(BO181&gt;0,"Частично","Ждём")))</f>
        <v/>
      </c>
      <c r="BR181" s="43"/>
      <c r="BS181" s="47" t="str">
        <f aca="false">IF(BN181="","",IF(_xlfn.MAXIFS(ЗАКАЗЫ!$AK$3:$AK$500,ЗАКАЗЫ!$F$3:$F$500,$A181)=0,"",_xlfn.MAXIFS(ЗАКАЗЫ!$AK$3:$AK$500,ЗАКАЗЫ!$F$3:$F$500,$A181)))</f>
        <v/>
      </c>
    </row>
    <row r="182" customFormat="false" ht="15.75" hidden="false" customHeight="true" outlineLevel="0" collapsed="false">
      <c r="A182" s="80" t="s">
        <v>1014</v>
      </c>
      <c r="B182" s="81"/>
      <c r="C182" s="81"/>
      <c r="D182" s="81"/>
      <c r="E182" s="83"/>
      <c r="F182" s="81"/>
      <c r="G182" s="83"/>
      <c r="H182" s="83"/>
      <c r="I182" s="84" t="str">
        <f aca="false">IF(E182="","",A182&amp;"_1.jpg")</f>
        <v/>
      </c>
      <c r="J182" s="84" t="str">
        <f aca="false">IF(E182="","",A182&amp;"_2.jpg; "&amp;A182&amp;"_3.jpg")</f>
        <v/>
      </c>
      <c r="K182" s="84" t="str">
        <f aca="false">IF(E182="","",A182&amp;"_schema.jpg")</f>
        <v/>
      </c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 t="s">
        <v>96</v>
      </c>
      <c r="W182" s="81"/>
      <c r="X182" s="81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6" t="str">
        <f aca="false">IF(SUM(Y182:AJ182)=0,"",SUM(Y182:AJ182))</f>
        <v/>
      </c>
      <c r="AL182" s="84" t="str">
        <f aca="false">MID(IF(N(Y182)&gt;0,", "&amp;Y$2,"")&amp;IF(N(Z182)&gt;0,", "&amp;Z$2,"")&amp;IF(N(AA182)&gt;0,", "&amp;AA$2,"")&amp;IF(N(AB182)&gt;0,", "&amp;AB$2,"")&amp;IF(N(AC182)&gt;0,", "&amp;AC$2,"")&amp;IF(N(AD182)&gt;0,", "&amp;AD$2,"")&amp;IF(N(AE182)&gt;0,", "&amp;AE$2,"")&amp;IF(N(AF182)&gt;0,", "&amp;AF$2,"")&amp;IF(N(AG182)&gt;0,", "&amp;AG$2,"")&amp;IF(N(AH182)&gt;0,", "&amp;AH$2,"")&amp;IF(N(AI182)&gt;0,", "&amp;AI$2,"")&amp;IF(N(AJ182)&gt;0,", "&amp;AJ$2,""),3,999)</f>
        <v/>
      </c>
      <c r="AM182" s="87" t="str">
        <f aca="false">IF(E182="","",MID(IF(N(Y182)&gt;0,", "&amp;A182&amp;"-"&amp;Y$2,"")&amp;IF(N(Z182)&gt;0,", "&amp;A182&amp;"-"&amp;Z$2,"")&amp;IF(N(AA182)&gt;0,", "&amp;A182&amp;"-"&amp;AA$2,"")&amp;IF(N(AB182)&gt;0,", "&amp;A182&amp;"-"&amp;AB$2,"")&amp;IF(N(AC182)&gt;0,", "&amp;A182&amp;"-"&amp;AC$2,"")&amp;IF(N(AD182)&gt;0,", "&amp;A182&amp;"-"&amp;AD$2,"")&amp;IF(N(AE182)&gt;0,", "&amp;A182&amp;"-"&amp;AE$2,"")&amp;IF(N(AF182)&gt;0,", "&amp;A182&amp;"-"&amp;AF$2,"")&amp;IF(N(AG182)&gt;0,", "&amp;A182&amp;"-"&amp;AG$2,"")&amp;IF(N(AH182)&gt;0,", "&amp;A182&amp;"-"&amp;AH$2,"")&amp;IF(N(AI182)&gt;0,", "&amp;A182&amp;"-"&amp;AI$2,"")&amp;IF(N(AJ182)&gt;0,", "&amp;A182&amp;"-"&amp;AJ$2,""),3,999))</f>
        <v/>
      </c>
      <c r="AN182" s="81"/>
      <c r="AO182" s="88"/>
      <c r="AP182" s="89" t="str">
        <f aca="false">IF(AO182="","",ROUND(AO182/(1+Справочники!$B$13),2))</f>
        <v/>
      </c>
      <c r="AQ182" s="90" t="str">
        <f aca="false" t="array" ref="AQ182:AQ182">IF(AP182="","",AP182*INDEX(Справочники!$B$4:$B$7,MATCH("RUB",Справочники!$A$4:$A$7,0)))</f>
        <v/>
      </c>
      <c r="AR182" s="90" t="str">
        <f aca="false">IF(AQ182="","",ROUND(AQ182*(1+Справочники!$B$12),0))</f>
        <v/>
      </c>
      <c r="AS182" s="90" t="str">
        <f aca="false">IF(AR182="","",ROUND(AR182*(1-Справочники!$B$11),0))</f>
        <v/>
      </c>
      <c r="AT182" s="88"/>
      <c r="AU182" s="90" t="str">
        <f aca="false">IF(AT182="","",ROUND(AT182/(1+Справочники!$B$12),0))</f>
        <v/>
      </c>
      <c r="AV182" s="90" t="str">
        <f aca="false">IF(AT182="","",ROUND(AT182*(1-Справочники!$B$15),0))</f>
        <v/>
      </c>
      <c r="AW182" s="90" t="str">
        <f aca="false">IF(AT182="","",ROUND(AT182*(1-Справочники!$B$16),0))</f>
        <v/>
      </c>
      <c r="AX182" s="90" t="str">
        <f aca="false">IF(AT182="","",ROUND(AT182*(1-Справочники!$B$17),0))</f>
        <v/>
      </c>
      <c r="AY182" s="90" t="str">
        <f aca="false">IF(AT182="","",ROUND(AT182*(1-Справочники!$B$18),0))</f>
        <v/>
      </c>
      <c r="AZ182" s="90" t="str">
        <f aca="false">IF(AT182="","",ROUND(AT182*(1-Справочники!$B$19),0))</f>
        <v/>
      </c>
      <c r="BA182" s="81"/>
      <c r="BB182" s="81"/>
      <c r="BC182" s="81"/>
      <c r="BD182" s="81"/>
      <c r="BE182" s="91"/>
      <c r="BF182" s="81" t="s">
        <v>103</v>
      </c>
      <c r="BG182" s="89" t="n">
        <f aca="false" t="array" ref="BG182:BG182">IF(BF182="","",IFERROR(INDEX(Справочники!$B$4:$B$7,MATCH(BF182,Справочники!$A$4:$A$7,0)),""))</f>
        <v>68.5</v>
      </c>
      <c r="BH182" s="90" t="str">
        <f aca="false">IF(N(BN182)&gt;0,ROUND(SUMIF(ЗАКАЗЫ!$F$3:$F$500,$A182,ЗАКАЗЫ!$Y$3:$Y$500)/BN182,0),IF(OR(BE182="",BG182=""),"",ROUND(BE182*BG182*(1+Справочники!$B$10),0)))</f>
        <v/>
      </c>
      <c r="BI182" s="92" t="str">
        <f aca="false">IF(OR(AU182="",BH182="",AU182=0),"",(AU182-BH182)/AU182)</f>
        <v/>
      </c>
      <c r="BJ182" s="81"/>
      <c r="BK182" s="83"/>
      <c r="BL182" s="43" t="str">
        <f aca="false">IFERROR(INDEX(ЗАКАЗЫ!$N$3:$N$500,MATCH($A182,ЗАКАЗЫ!$F$3:$F$500,0)),"")</f>
        <v/>
      </c>
      <c r="BM182" s="8" t="str">
        <f aca="false">IF(BL182="","",IFERROR(VLOOKUP(BL182,'ТН ВЭД'!$A$4:$C$40,3,0),""))</f>
        <v/>
      </c>
      <c r="BN182" s="7" t="str">
        <f aca="false">IF(COUNTIF(ЗАКАЗЫ!$F$3:$F$500,$A182)=0,"",SUMIF(ЗАКАЗЫ!$F$3:$F$500,$A182,ЗАКАЗЫ!$J$3:$J$500))</f>
        <v/>
      </c>
      <c r="BO182" s="7" t="str">
        <f aca="false">IF(BN182="","",SUMIF(ЗАКАЗЫ!$F$3:$F$500,$A182,ЗАКАЗЫ!$AL$3:$AL$500))</f>
        <v/>
      </c>
      <c r="BP182" s="7" t="str">
        <f aca="false">IF(BN182="","",BN182-BO182)</f>
        <v/>
      </c>
      <c r="BQ182" s="55" t="str">
        <f aca="false">IF(BN182="","",IF(BO182&gt;=BN182,"На складе",IF(BO182&gt;0,"Частично","Ждём")))</f>
        <v/>
      </c>
      <c r="BR182" s="43"/>
      <c r="BS182" s="47" t="str">
        <f aca="false">IF(BN182="","",IF(_xlfn.MAXIFS(ЗАКАЗЫ!$AK$3:$AK$500,ЗАКАЗЫ!$F$3:$F$500,$A182)=0,"",_xlfn.MAXIFS(ЗАКАЗЫ!$AK$3:$AK$500,ЗАКАЗЫ!$F$3:$F$500,$A182)))</f>
        <v/>
      </c>
    </row>
    <row r="183" customFormat="false" ht="15.75" hidden="false" customHeight="true" outlineLevel="0" collapsed="false">
      <c r="A183" s="80" t="s">
        <v>1015</v>
      </c>
      <c r="B183" s="81"/>
      <c r="C183" s="81"/>
      <c r="D183" s="81"/>
      <c r="E183" s="83"/>
      <c r="F183" s="81"/>
      <c r="G183" s="83"/>
      <c r="H183" s="83"/>
      <c r="I183" s="84" t="str">
        <f aca="false">IF(E183="","",A183&amp;"_1.jpg")</f>
        <v/>
      </c>
      <c r="J183" s="84" t="str">
        <f aca="false">IF(E183="","",A183&amp;"_2.jpg; "&amp;A183&amp;"_3.jpg")</f>
        <v/>
      </c>
      <c r="K183" s="84" t="str">
        <f aca="false">IF(E183="","",A183&amp;"_schema.jpg")</f>
        <v/>
      </c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 t="s">
        <v>96</v>
      </c>
      <c r="W183" s="81"/>
      <c r="X183" s="81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6" t="str">
        <f aca="false">IF(SUM(Y183:AJ183)=0,"",SUM(Y183:AJ183))</f>
        <v/>
      </c>
      <c r="AL183" s="84" t="str">
        <f aca="false">MID(IF(N(Y183)&gt;0,", "&amp;Y$2,"")&amp;IF(N(Z183)&gt;0,", "&amp;Z$2,"")&amp;IF(N(AA183)&gt;0,", "&amp;AA$2,"")&amp;IF(N(AB183)&gt;0,", "&amp;AB$2,"")&amp;IF(N(AC183)&gt;0,", "&amp;AC$2,"")&amp;IF(N(AD183)&gt;0,", "&amp;AD$2,"")&amp;IF(N(AE183)&gt;0,", "&amp;AE$2,"")&amp;IF(N(AF183)&gt;0,", "&amp;AF$2,"")&amp;IF(N(AG183)&gt;0,", "&amp;AG$2,"")&amp;IF(N(AH183)&gt;0,", "&amp;AH$2,"")&amp;IF(N(AI183)&gt;0,", "&amp;AI$2,"")&amp;IF(N(AJ183)&gt;0,", "&amp;AJ$2,""),3,999)</f>
        <v/>
      </c>
      <c r="AM183" s="87" t="str">
        <f aca="false">IF(E183="","",MID(IF(N(Y183)&gt;0,", "&amp;A183&amp;"-"&amp;Y$2,"")&amp;IF(N(Z183)&gt;0,", "&amp;A183&amp;"-"&amp;Z$2,"")&amp;IF(N(AA183)&gt;0,", "&amp;A183&amp;"-"&amp;AA$2,"")&amp;IF(N(AB183)&gt;0,", "&amp;A183&amp;"-"&amp;AB$2,"")&amp;IF(N(AC183)&gt;0,", "&amp;A183&amp;"-"&amp;AC$2,"")&amp;IF(N(AD183)&gt;0,", "&amp;A183&amp;"-"&amp;AD$2,"")&amp;IF(N(AE183)&gt;0,", "&amp;A183&amp;"-"&amp;AE$2,"")&amp;IF(N(AF183)&gt;0,", "&amp;A183&amp;"-"&amp;AF$2,"")&amp;IF(N(AG183)&gt;0,", "&amp;A183&amp;"-"&amp;AG$2,"")&amp;IF(N(AH183)&gt;0,", "&amp;A183&amp;"-"&amp;AH$2,"")&amp;IF(N(AI183)&gt;0,", "&amp;A183&amp;"-"&amp;AI$2,"")&amp;IF(N(AJ183)&gt;0,", "&amp;A183&amp;"-"&amp;AJ$2,""),3,999))</f>
        <v/>
      </c>
      <c r="AN183" s="81"/>
      <c r="AO183" s="88"/>
      <c r="AP183" s="89" t="str">
        <f aca="false">IF(AO183="","",ROUND(AO183/(1+Справочники!$B$13),2))</f>
        <v/>
      </c>
      <c r="AQ183" s="90" t="str">
        <f aca="false" t="array" ref="AQ183:AQ183">IF(AP183="","",AP183*INDEX(Справочники!$B$4:$B$7,MATCH("RUB",Справочники!$A$4:$A$7,0)))</f>
        <v/>
      </c>
      <c r="AR183" s="90" t="str">
        <f aca="false">IF(AQ183="","",ROUND(AQ183*(1+Справочники!$B$12),0))</f>
        <v/>
      </c>
      <c r="AS183" s="90" t="str">
        <f aca="false">IF(AR183="","",ROUND(AR183*(1-Справочники!$B$11),0))</f>
        <v/>
      </c>
      <c r="AT183" s="88"/>
      <c r="AU183" s="90" t="str">
        <f aca="false">IF(AT183="","",ROUND(AT183/(1+Справочники!$B$12),0))</f>
        <v/>
      </c>
      <c r="AV183" s="90" t="str">
        <f aca="false">IF(AT183="","",ROUND(AT183*(1-Справочники!$B$15),0))</f>
        <v/>
      </c>
      <c r="AW183" s="90" t="str">
        <f aca="false">IF(AT183="","",ROUND(AT183*(1-Справочники!$B$16),0))</f>
        <v/>
      </c>
      <c r="AX183" s="90" t="str">
        <f aca="false">IF(AT183="","",ROUND(AT183*(1-Справочники!$B$17),0))</f>
        <v/>
      </c>
      <c r="AY183" s="90" t="str">
        <f aca="false">IF(AT183="","",ROUND(AT183*(1-Справочники!$B$18),0))</f>
        <v/>
      </c>
      <c r="AZ183" s="90" t="str">
        <f aca="false">IF(AT183="","",ROUND(AT183*(1-Справочники!$B$19),0))</f>
        <v/>
      </c>
      <c r="BA183" s="81"/>
      <c r="BB183" s="81"/>
      <c r="BC183" s="81"/>
      <c r="BD183" s="81"/>
      <c r="BE183" s="91"/>
      <c r="BF183" s="81" t="s">
        <v>103</v>
      </c>
      <c r="BG183" s="89" t="n">
        <f aca="false" t="array" ref="BG183:BG183">IF(BF183="","",IFERROR(INDEX(Справочники!$B$4:$B$7,MATCH(BF183,Справочники!$A$4:$A$7,0)),""))</f>
        <v>68.5</v>
      </c>
      <c r="BH183" s="90" t="str">
        <f aca="false">IF(N(BN183)&gt;0,ROUND(SUMIF(ЗАКАЗЫ!$F$3:$F$500,$A183,ЗАКАЗЫ!$Y$3:$Y$500)/BN183,0),IF(OR(BE183="",BG183=""),"",ROUND(BE183*BG183*(1+Справочники!$B$10),0)))</f>
        <v/>
      </c>
      <c r="BI183" s="92" t="str">
        <f aca="false">IF(OR(AU183="",BH183="",AU183=0),"",(AU183-BH183)/AU183)</f>
        <v/>
      </c>
      <c r="BJ183" s="81"/>
      <c r="BK183" s="83"/>
      <c r="BL183" s="43" t="str">
        <f aca="false">IFERROR(INDEX(ЗАКАЗЫ!$N$3:$N$500,MATCH($A183,ЗАКАЗЫ!$F$3:$F$500,0)),"")</f>
        <v/>
      </c>
      <c r="BM183" s="8" t="str">
        <f aca="false">IF(BL183="","",IFERROR(VLOOKUP(BL183,'ТН ВЭД'!$A$4:$C$40,3,0),""))</f>
        <v/>
      </c>
      <c r="BN183" s="7" t="str">
        <f aca="false">IF(COUNTIF(ЗАКАЗЫ!$F$3:$F$500,$A183)=0,"",SUMIF(ЗАКАЗЫ!$F$3:$F$500,$A183,ЗАКАЗЫ!$J$3:$J$500))</f>
        <v/>
      </c>
      <c r="BO183" s="7" t="str">
        <f aca="false">IF(BN183="","",SUMIF(ЗАКАЗЫ!$F$3:$F$500,$A183,ЗАКАЗЫ!$AL$3:$AL$500))</f>
        <v/>
      </c>
      <c r="BP183" s="7" t="str">
        <f aca="false">IF(BN183="","",BN183-BO183)</f>
        <v/>
      </c>
      <c r="BQ183" s="55" t="str">
        <f aca="false">IF(BN183="","",IF(BO183&gt;=BN183,"На складе",IF(BO183&gt;0,"Частично","Ждём")))</f>
        <v/>
      </c>
      <c r="BR183" s="43"/>
      <c r="BS183" s="47" t="str">
        <f aca="false">IF(BN183="","",IF(_xlfn.MAXIFS(ЗАКАЗЫ!$AK$3:$AK$500,ЗАКАЗЫ!$F$3:$F$500,$A183)=0,"",_xlfn.MAXIFS(ЗАКАЗЫ!$AK$3:$AK$500,ЗАКАЗЫ!$F$3:$F$500,$A183)))</f>
        <v/>
      </c>
    </row>
    <row r="184" customFormat="false" ht="15.75" hidden="false" customHeight="true" outlineLevel="0" collapsed="false">
      <c r="A184" s="80" t="s">
        <v>1016</v>
      </c>
      <c r="B184" s="81"/>
      <c r="C184" s="81"/>
      <c r="D184" s="81"/>
      <c r="E184" s="83"/>
      <c r="F184" s="81"/>
      <c r="G184" s="83"/>
      <c r="H184" s="83"/>
      <c r="I184" s="84" t="str">
        <f aca="false">IF(E184="","",A184&amp;"_1.jpg")</f>
        <v/>
      </c>
      <c r="J184" s="84" t="str">
        <f aca="false">IF(E184="","",A184&amp;"_2.jpg; "&amp;A184&amp;"_3.jpg")</f>
        <v/>
      </c>
      <c r="K184" s="84" t="str">
        <f aca="false">IF(E184="","",A184&amp;"_schema.jpg")</f>
        <v/>
      </c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 t="s">
        <v>96</v>
      </c>
      <c r="W184" s="81"/>
      <c r="X184" s="81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6" t="str">
        <f aca="false">IF(SUM(Y184:AJ184)=0,"",SUM(Y184:AJ184))</f>
        <v/>
      </c>
      <c r="AL184" s="84" t="str">
        <f aca="false">MID(IF(N(Y184)&gt;0,", "&amp;Y$2,"")&amp;IF(N(Z184)&gt;0,", "&amp;Z$2,"")&amp;IF(N(AA184)&gt;0,", "&amp;AA$2,"")&amp;IF(N(AB184)&gt;0,", "&amp;AB$2,"")&amp;IF(N(AC184)&gt;0,", "&amp;AC$2,"")&amp;IF(N(AD184)&gt;0,", "&amp;AD$2,"")&amp;IF(N(AE184)&gt;0,", "&amp;AE$2,"")&amp;IF(N(AF184)&gt;0,", "&amp;AF$2,"")&amp;IF(N(AG184)&gt;0,", "&amp;AG$2,"")&amp;IF(N(AH184)&gt;0,", "&amp;AH$2,"")&amp;IF(N(AI184)&gt;0,", "&amp;AI$2,"")&amp;IF(N(AJ184)&gt;0,", "&amp;AJ$2,""),3,999)</f>
        <v/>
      </c>
      <c r="AM184" s="87" t="str">
        <f aca="false">IF(E184="","",MID(IF(N(Y184)&gt;0,", "&amp;A184&amp;"-"&amp;Y$2,"")&amp;IF(N(Z184)&gt;0,", "&amp;A184&amp;"-"&amp;Z$2,"")&amp;IF(N(AA184)&gt;0,", "&amp;A184&amp;"-"&amp;AA$2,"")&amp;IF(N(AB184)&gt;0,", "&amp;A184&amp;"-"&amp;AB$2,"")&amp;IF(N(AC184)&gt;0,", "&amp;A184&amp;"-"&amp;AC$2,"")&amp;IF(N(AD184)&gt;0,", "&amp;A184&amp;"-"&amp;AD$2,"")&amp;IF(N(AE184)&gt;0,", "&amp;A184&amp;"-"&amp;AE$2,"")&amp;IF(N(AF184)&gt;0,", "&amp;A184&amp;"-"&amp;AF$2,"")&amp;IF(N(AG184)&gt;0,", "&amp;A184&amp;"-"&amp;AG$2,"")&amp;IF(N(AH184)&gt;0,", "&amp;A184&amp;"-"&amp;AH$2,"")&amp;IF(N(AI184)&gt;0,", "&amp;A184&amp;"-"&amp;AI$2,"")&amp;IF(N(AJ184)&gt;0,", "&amp;A184&amp;"-"&amp;AJ$2,""),3,999))</f>
        <v/>
      </c>
      <c r="AN184" s="81"/>
      <c r="AO184" s="88"/>
      <c r="AP184" s="89" t="str">
        <f aca="false">IF(AO184="","",ROUND(AO184/(1+Справочники!$B$13),2))</f>
        <v/>
      </c>
      <c r="AQ184" s="90" t="str">
        <f aca="false" t="array" ref="AQ184:AQ184">IF(AP184="","",AP184*INDEX(Справочники!$B$4:$B$7,MATCH("RUB",Справочники!$A$4:$A$7,0)))</f>
        <v/>
      </c>
      <c r="AR184" s="90" t="str">
        <f aca="false">IF(AQ184="","",ROUND(AQ184*(1+Справочники!$B$12),0))</f>
        <v/>
      </c>
      <c r="AS184" s="90" t="str">
        <f aca="false">IF(AR184="","",ROUND(AR184*(1-Справочники!$B$11),0))</f>
        <v/>
      </c>
      <c r="AT184" s="88"/>
      <c r="AU184" s="90" t="str">
        <f aca="false">IF(AT184="","",ROUND(AT184/(1+Справочники!$B$12),0))</f>
        <v/>
      </c>
      <c r="AV184" s="90" t="str">
        <f aca="false">IF(AT184="","",ROUND(AT184*(1-Справочники!$B$15),0))</f>
        <v/>
      </c>
      <c r="AW184" s="90" t="str">
        <f aca="false">IF(AT184="","",ROUND(AT184*(1-Справочники!$B$16),0))</f>
        <v/>
      </c>
      <c r="AX184" s="90" t="str">
        <f aca="false">IF(AT184="","",ROUND(AT184*(1-Справочники!$B$17),0))</f>
        <v/>
      </c>
      <c r="AY184" s="90" t="str">
        <f aca="false">IF(AT184="","",ROUND(AT184*(1-Справочники!$B$18),0))</f>
        <v/>
      </c>
      <c r="AZ184" s="90" t="str">
        <f aca="false">IF(AT184="","",ROUND(AT184*(1-Справочники!$B$19),0))</f>
        <v/>
      </c>
      <c r="BA184" s="81"/>
      <c r="BB184" s="81"/>
      <c r="BC184" s="81"/>
      <c r="BD184" s="81"/>
      <c r="BE184" s="91"/>
      <c r="BF184" s="81" t="s">
        <v>103</v>
      </c>
      <c r="BG184" s="89" t="n">
        <f aca="false" t="array" ref="BG184:BG184">IF(BF184="","",IFERROR(INDEX(Справочники!$B$4:$B$7,MATCH(BF184,Справочники!$A$4:$A$7,0)),""))</f>
        <v>68.5</v>
      </c>
      <c r="BH184" s="90" t="str">
        <f aca="false">IF(N(BN184)&gt;0,ROUND(SUMIF(ЗАКАЗЫ!$F$3:$F$500,$A184,ЗАКАЗЫ!$Y$3:$Y$500)/BN184,0),IF(OR(BE184="",BG184=""),"",ROUND(BE184*BG184*(1+Справочники!$B$10),0)))</f>
        <v/>
      </c>
      <c r="BI184" s="92" t="str">
        <f aca="false">IF(OR(AU184="",BH184="",AU184=0),"",(AU184-BH184)/AU184)</f>
        <v/>
      </c>
      <c r="BJ184" s="81"/>
      <c r="BK184" s="83"/>
      <c r="BL184" s="43" t="str">
        <f aca="false">IFERROR(INDEX(ЗАКАЗЫ!$N$3:$N$500,MATCH($A184,ЗАКАЗЫ!$F$3:$F$500,0)),"")</f>
        <v/>
      </c>
      <c r="BM184" s="8" t="str">
        <f aca="false">IF(BL184="","",IFERROR(VLOOKUP(BL184,'ТН ВЭД'!$A$4:$C$40,3,0),""))</f>
        <v/>
      </c>
      <c r="BN184" s="7" t="str">
        <f aca="false">IF(COUNTIF(ЗАКАЗЫ!$F$3:$F$500,$A184)=0,"",SUMIF(ЗАКАЗЫ!$F$3:$F$500,$A184,ЗАКАЗЫ!$J$3:$J$500))</f>
        <v/>
      </c>
      <c r="BO184" s="7" t="str">
        <f aca="false">IF(BN184="","",SUMIF(ЗАКАЗЫ!$F$3:$F$500,$A184,ЗАКАЗЫ!$AL$3:$AL$500))</f>
        <v/>
      </c>
      <c r="BP184" s="7" t="str">
        <f aca="false">IF(BN184="","",BN184-BO184)</f>
        <v/>
      </c>
      <c r="BQ184" s="55" t="str">
        <f aca="false">IF(BN184="","",IF(BO184&gt;=BN184,"На складе",IF(BO184&gt;0,"Частично","Ждём")))</f>
        <v/>
      </c>
      <c r="BR184" s="43"/>
      <c r="BS184" s="47" t="str">
        <f aca="false">IF(BN184="","",IF(_xlfn.MAXIFS(ЗАКАЗЫ!$AK$3:$AK$500,ЗАКАЗЫ!$F$3:$F$500,$A184)=0,"",_xlfn.MAXIFS(ЗАКАЗЫ!$AK$3:$AK$500,ЗАКАЗЫ!$F$3:$F$500,$A184)))</f>
        <v/>
      </c>
    </row>
    <row r="185" customFormat="false" ht="15.75" hidden="false" customHeight="true" outlineLevel="0" collapsed="false">
      <c r="A185" s="80" t="s">
        <v>1017</v>
      </c>
      <c r="B185" s="81"/>
      <c r="C185" s="81"/>
      <c r="D185" s="81"/>
      <c r="E185" s="83"/>
      <c r="F185" s="81"/>
      <c r="G185" s="83"/>
      <c r="H185" s="83"/>
      <c r="I185" s="84" t="str">
        <f aca="false">IF(E185="","",A185&amp;"_1.jpg")</f>
        <v/>
      </c>
      <c r="J185" s="84" t="str">
        <f aca="false">IF(E185="","",A185&amp;"_2.jpg; "&amp;A185&amp;"_3.jpg")</f>
        <v/>
      </c>
      <c r="K185" s="84" t="str">
        <f aca="false">IF(E185="","",A185&amp;"_schema.jpg")</f>
        <v/>
      </c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 t="s">
        <v>96</v>
      </c>
      <c r="W185" s="81"/>
      <c r="X185" s="81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6" t="str">
        <f aca="false">IF(SUM(Y185:AJ185)=0,"",SUM(Y185:AJ185))</f>
        <v/>
      </c>
      <c r="AL185" s="84" t="str">
        <f aca="false">MID(IF(N(Y185)&gt;0,", "&amp;Y$2,"")&amp;IF(N(Z185)&gt;0,", "&amp;Z$2,"")&amp;IF(N(AA185)&gt;0,", "&amp;AA$2,"")&amp;IF(N(AB185)&gt;0,", "&amp;AB$2,"")&amp;IF(N(AC185)&gt;0,", "&amp;AC$2,"")&amp;IF(N(AD185)&gt;0,", "&amp;AD$2,"")&amp;IF(N(AE185)&gt;0,", "&amp;AE$2,"")&amp;IF(N(AF185)&gt;0,", "&amp;AF$2,"")&amp;IF(N(AG185)&gt;0,", "&amp;AG$2,"")&amp;IF(N(AH185)&gt;0,", "&amp;AH$2,"")&amp;IF(N(AI185)&gt;0,", "&amp;AI$2,"")&amp;IF(N(AJ185)&gt;0,", "&amp;AJ$2,""),3,999)</f>
        <v/>
      </c>
      <c r="AM185" s="87" t="str">
        <f aca="false">IF(E185="","",MID(IF(N(Y185)&gt;0,", "&amp;A185&amp;"-"&amp;Y$2,"")&amp;IF(N(Z185)&gt;0,", "&amp;A185&amp;"-"&amp;Z$2,"")&amp;IF(N(AA185)&gt;0,", "&amp;A185&amp;"-"&amp;AA$2,"")&amp;IF(N(AB185)&gt;0,", "&amp;A185&amp;"-"&amp;AB$2,"")&amp;IF(N(AC185)&gt;0,", "&amp;A185&amp;"-"&amp;AC$2,"")&amp;IF(N(AD185)&gt;0,", "&amp;A185&amp;"-"&amp;AD$2,"")&amp;IF(N(AE185)&gt;0,", "&amp;A185&amp;"-"&amp;AE$2,"")&amp;IF(N(AF185)&gt;0,", "&amp;A185&amp;"-"&amp;AF$2,"")&amp;IF(N(AG185)&gt;0,", "&amp;A185&amp;"-"&amp;AG$2,"")&amp;IF(N(AH185)&gt;0,", "&amp;A185&amp;"-"&amp;AH$2,"")&amp;IF(N(AI185)&gt;0,", "&amp;A185&amp;"-"&amp;AI$2,"")&amp;IF(N(AJ185)&gt;0,", "&amp;A185&amp;"-"&amp;AJ$2,""),3,999))</f>
        <v/>
      </c>
      <c r="AN185" s="81"/>
      <c r="AO185" s="88"/>
      <c r="AP185" s="89" t="str">
        <f aca="false">IF(AO185="","",ROUND(AO185/(1+Справочники!$B$13),2))</f>
        <v/>
      </c>
      <c r="AQ185" s="90" t="str">
        <f aca="false" t="array" ref="AQ185:AQ185">IF(AP185="","",AP185*INDEX(Справочники!$B$4:$B$7,MATCH("RUB",Справочники!$A$4:$A$7,0)))</f>
        <v/>
      </c>
      <c r="AR185" s="90" t="str">
        <f aca="false">IF(AQ185="","",ROUND(AQ185*(1+Справочники!$B$12),0))</f>
        <v/>
      </c>
      <c r="AS185" s="90" t="str">
        <f aca="false">IF(AR185="","",ROUND(AR185*(1-Справочники!$B$11),0))</f>
        <v/>
      </c>
      <c r="AT185" s="88"/>
      <c r="AU185" s="90" t="str">
        <f aca="false">IF(AT185="","",ROUND(AT185/(1+Справочники!$B$12),0))</f>
        <v/>
      </c>
      <c r="AV185" s="90" t="str">
        <f aca="false">IF(AT185="","",ROUND(AT185*(1-Справочники!$B$15),0))</f>
        <v/>
      </c>
      <c r="AW185" s="90" t="str">
        <f aca="false">IF(AT185="","",ROUND(AT185*(1-Справочники!$B$16),0))</f>
        <v/>
      </c>
      <c r="AX185" s="90" t="str">
        <f aca="false">IF(AT185="","",ROUND(AT185*(1-Справочники!$B$17),0))</f>
        <v/>
      </c>
      <c r="AY185" s="90" t="str">
        <f aca="false">IF(AT185="","",ROUND(AT185*(1-Справочники!$B$18),0))</f>
        <v/>
      </c>
      <c r="AZ185" s="90" t="str">
        <f aca="false">IF(AT185="","",ROUND(AT185*(1-Справочники!$B$19),0))</f>
        <v/>
      </c>
      <c r="BA185" s="81"/>
      <c r="BB185" s="81"/>
      <c r="BC185" s="81"/>
      <c r="BD185" s="81"/>
      <c r="BE185" s="91"/>
      <c r="BF185" s="81" t="s">
        <v>103</v>
      </c>
      <c r="BG185" s="89" t="n">
        <f aca="false" t="array" ref="BG185:BG185">IF(BF185="","",IFERROR(INDEX(Справочники!$B$4:$B$7,MATCH(BF185,Справочники!$A$4:$A$7,0)),""))</f>
        <v>68.5</v>
      </c>
      <c r="BH185" s="90" t="str">
        <f aca="false">IF(N(BN185)&gt;0,ROUND(SUMIF(ЗАКАЗЫ!$F$3:$F$500,$A185,ЗАКАЗЫ!$Y$3:$Y$500)/BN185,0),IF(OR(BE185="",BG185=""),"",ROUND(BE185*BG185*(1+Справочники!$B$10),0)))</f>
        <v/>
      </c>
      <c r="BI185" s="92" t="str">
        <f aca="false">IF(OR(AU185="",BH185="",AU185=0),"",(AU185-BH185)/AU185)</f>
        <v/>
      </c>
      <c r="BJ185" s="81"/>
      <c r="BK185" s="83"/>
      <c r="BL185" s="43" t="str">
        <f aca="false">IFERROR(INDEX(ЗАКАЗЫ!$N$3:$N$500,MATCH($A185,ЗАКАЗЫ!$F$3:$F$500,0)),"")</f>
        <v/>
      </c>
      <c r="BM185" s="8" t="str">
        <f aca="false">IF(BL185="","",IFERROR(VLOOKUP(BL185,'ТН ВЭД'!$A$4:$C$40,3,0),""))</f>
        <v/>
      </c>
      <c r="BN185" s="7" t="str">
        <f aca="false">IF(COUNTIF(ЗАКАЗЫ!$F$3:$F$500,$A185)=0,"",SUMIF(ЗАКАЗЫ!$F$3:$F$500,$A185,ЗАКАЗЫ!$J$3:$J$500))</f>
        <v/>
      </c>
      <c r="BO185" s="7" t="str">
        <f aca="false">IF(BN185="","",SUMIF(ЗАКАЗЫ!$F$3:$F$500,$A185,ЗАКАЗЫ!$AL$3:$AL$500))</f>
        <v/>
      </c>
      <c r="BP185" s="7" t="str">
        <f aca="false">IF(BN185="","",BN185-BO185)</f>
        <v/>
      </c>
      <c r="BQ185" s="55" t="str">
        <f aca="false">IF(BN185="","",IF(BO185&gt;=BN185,"На складе",IF(BO185&gt;0,"Частично","Ждём")))</f>
        <v/>
      </c>
      <c r="BR185" s="43"/>
      <c r="BS185" s="47" t="str">
        <f aca="false">IF(BN185="","",IF(_xlfn.MAXIFS(ЗАКАЗЫ!$AK$3:$AK$500,ЗАКАЗЫ!$F$3:$F$500,$A185)=0,"",_xlfn.MAXIFS(ЗАКАЗЫ!$AK$3:$AK$500,ЗАКАЗЫ!$F$3:$F$500,$A185)))</f>
        <v/>
      </c>
    </row>
    <row r="186" customFormat="false" ht="15.75" hidden="false" customHeight="true" outlineLevel="0" collapsed="false">
      <c r="A186" s="80" t="s">
        <v>1018</v>
      </c>
      <c r="B186" s="81"/>
      <c r="C186" s="81"/>
      <c r="D186" s="81"/>
      <c r="E186" s="83"/>
      <c r="F186" s="81"/>
      <c r="G186" s="83"/>
      <c r="H186" s="83"/>
      <c r="I186" s="84" t="str">
        <f aca="false">IF(E186="","",A186&amp;"_1.jpg")</f>
        <v/>
      </c>
      <c r="J186" s="84" t="str">
        <f aca="false">IF(E186="","",A186&amp;"_2.jpg; "&amp;A186&amp;"_3.jpg")</f>
        <v/>
      </c>
      <c r="K186" s="84" t="str">
        <f aca="false">IF(E186="","",A186&amp;"_schema.jpg")</f>
        <v/>
      </c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 t="s">
        <v>96</v>
      </c>
      <c r="W186" s="81"/>
      <c r="X186" s="81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6" t="str">
        <f aca="false">IF(SUM(Y186:AJ186)=0,"",SUM(Y186:AJ186))</f>
        <v/>
      </c>
      <c r="AL186" s="84" t="str">
        <f aca="false">MID(IF(N(Y186)&gt;0,", "&amp;Y$2,"")&amp;IF(N(Z186)&gt;0,", "&amp;Z$2,"")&amp;IF(N(AA186)&gt;0,", "&amp;AA$2,"")&amp;IF(N(AB186)&gt;0,", "&amp;AB$2,"")&amp;IF(N(AC186)&gt;0,", "&amp;AC$2,"")&amp;IF(N(AD186)&gt;0,", "&amp;AD$2,"")&amp;IF(N(AE186)&gt;0,", "&amp;AE$2,"")&amp;IF(N(AF186)&gt;0,", "&amp;AF$2,"")&amp;IF(N(AG186)&gt;0,", "&amp;AG$2,"")&amp;IF(N(AH186)&gt;0,", "&amp;AH$2,"")&amp;IF(N(AI186)&gt;0,", "&amp;AI$2,"")&amp;IF(N(AJ186)&gt;0,", "&amp;AJ$2,""),3,999)</f>
        <v/>
      </c>
      <c r="AM186" s="87" t="str">
        <f aca="false">IF(E186="","",MID(IF(N(Y186)&gt;0,", "&amp;A186&amp;"-"&amp;Y$2,"")&amp;IF(N(Z186)&gt;0,", "&amp;A186&amp;"-"&amp;Z$2,"")&amp;IF(N(AA186)&gt;0,", "&amp;A186&amp;"-"&amp;AA$2,"")&amp;IF(N(AB186)&gt;0,", "&amp;A186&amp;"-"&amp;AB$2,"")&amp;IF(N(AC186)&gt;0,", "&amp;A186&amp;"-"&amp;AC$2,"")&amp;IF(N(AD186)&gt;0,", "&amp;A186&amp;"-"&amp;AD$2,"")&amp;IF(N(AE186)&gt;0,", "&amp;A186&amp;"-"&amp;AE$2,"")&amp;IF(N(AF186)&gt;0,", "&amp;A186&amp;"-"&amp;AF$2,"")&amp;IF(N(AG186)&gt;0,", "&amp;A186&amp;"-"&amp;AG$2,"")&amp;IF(N(AH186)&gt;0,", "&amp;A186&amp;"-"&amp;AH$2,"")&amp;IF(N(AI186)&gt;0,", "&amp;A186&amp;"-"&amp;AI$2,"")&amp;IF(N(AJ186)&gt;0,", "&amp;A186&amp;"-"&amp;AJ$2,""),3,999))</f>
        <v/>
      </c>
      <c r="AN186" s="81"/>
      <c r="AO186" s="88"/>
      <c r="AP186" s="89" t="str">
        <f aca="false">IF(AO186="","",ROUND(AO186/(1+Справочники!$B$13),2))</f>
        <v/>
      </c>
      <c r="AQ186" s="90" t="str">
        <f aca="false" t="array" ref="AQ186:AQ186">IF(AP186="","",AP186*INDEX(Справочники!$B$4:$B$7,MATCH("RUB",Справочники!$A$4:$A$7,0)))</f>
        <v/>
      </c>
      <c r="AR186" s="90" t="str">
        <f aca="false">IF(AQ186="","",ROUND(AQ186*(1+Справочники!$B$12),0))</f>
        <v/>
      </c>
      <c r="AS186" s="90" t="str">
        <f aca="false">IF(AR186="","",ROUND(AR186*(1-Справочники!$B$11),0))</f>
        <v/>
      </c>
      <c r="AT186" s="88"/>
      <c r="AU186" s="90" t="str">
        <f aca="false">IF(AT186="","",ROUND(AT186/(1+Справочники!$B$12),0))</f>
        <v/>
      </c>
      <c r="AV186" s="90" t="str">
        <f aca="false">IF(AT186="","",ROUND(AT186*(1-Справочники!$B$15),0))</f>
        <v/>
      </c>
      <c r="AW186" s="90" t="str">
        <f aca="false">IF(AT186="","",ROUND(AT186*(1-Справочники!$B$16),0))</f>
        <v/>
      </c>
      <c r="AX186" s="90" t="str">
        <f aca="false">IF(AT186="","",ROUND(AT186*(1-Справочники!$B$17),0))</f>
        <v/>
      </c>
      <c r="AY186" s="90" t="str">
        <f aca="false">IF(AT186="","",ROUND(AT186*(1-Справочники!$B$18),0))</f>
        <v/>
      </c>
      <c r="AZ186" s="90" t="str">
        <f aca="false">IF(AT186="","",ROUND(AT186*(1-Справочники!$B$19),0))</f>
        <v/>
      </c>
      <c r="BA186" s="81"/>
      <c r="BB186" s="81"/>
      <c r="BC186" s="81"/>
      <c r="BD186" s="81"/>
      <c r="BE186" s="91"/>
      <c r="BF186" s="81" t="s">
        <v>103</v>
      </c>
      <c r="BG186" s="89" t="n">
        <f aca="false" t="array" ref="BG186:BG186">IF(BF186="","",IFERROR(INDEX(Справочники!$B$4:$B$7,MATCH(BF186,Справочники!$A$4:$A$7,0)),""))</f>
        <v>68.5</v>
      </c>
      <c r="BH186" s="90" t="str">
        <f aca="false">IF(N(BN186)&gt;0,ROUND(SUMIF(ЗАКАЗЫ!$F$3:$F$500,$A186,ЗАКАЗЫ!$Y$3:$Y$500)/BN186,0),IF(OR(BE186="",BG186=""),"",ROUND(BE186*BG186*(1+Справочники!$B$10),0)))</f>
        <v/>
      </c>
      <c r="BI186" s="92" t="str">
        <f aca="false">IF(OR(AU186="",BH186="",AU186=0),"",(AU186-BH186)/AU186)</f>
        <v/>
      </c>
      <c r="BJ186" s="81"/>
      <c r="BK186" s="83"/>
      <c r="BL186" s="43" t="str">
        <f aca="false">IFERROR(INDEX(ЗАКАЗЫ!$N$3:$N$500,MATCH($A186,ЗАКАЗЫ!$F$3:$F$500,0)),"")</f>
        <v/>
      </c>
      <c r="BM186" s="8" t="str">
        <f aca="false">IF(BL186="","",IFERROR(VLOOKUP(BL186,'ТН ВЭД'!$A$4:$C$40,3,0),""))</f>
        <v/>
      </c>
      <c r="BN186" s="7" t="str">
        <f aca="false">IF(COUNTIF(ЗАКАЗЫ!$F$3:$F$500,$A186)=0,"",SUMIF(ЗАКАЗЫ!$F$3:$F$500,$A186,ЗАКАЗЫ!$J$3:$J$500))</f>
        <v/>
      </c>
      <c r="BO186" s="7" t="str">
        <f aca="false">IF(BN186="","",SUMIF(ЗАКАЗЫ!$F$3:$F$500,$A186,ЗАКАЗЫ!$AL$3:$AL$500))</f>
        <v/>
      </c>
      <c r="BP186" s="7" t="str">
        <f aca="false">IF(BN186="","",BN186-BO186)</f>
        <v/>
      </c>
      <c r="BQ186" s="55" t="str">
        <f aca="false">IF(BN186="","",IF(BO186&gt;=BN186,"На складе",IF(BO186&gt;0,"Частично","Ждём")))</f>
        <v/>
      </c>
      <c r="BR186" s="43"/>
      <c r="BS186" s="47" t="str">
        <f aca="false">IF(BN186="","",IF(_xlfn.MAXIFS(ЗАКАЗЫ!$AK$3:$AK$500,ЗАКАЗЫ!$F$3:$F$500,$A186)=0,"",_xlfn.MAXIFS(ЗАКАЗЫ!$AK$3:$AK$500,ЗАКАЗЫ!$F$3:$F$500,$A186)))</f>
        <v/>
      </c>
    </row>
    <row r="187" customFormat="false" ht="15.75" hidden="false" customHeight="true" outlineLevel="0" collapsed="false">
      <c r="A187" s="80" t="s">
        <v>1019</v>
      </c>
      <c r="B187" s="81"/>
      <c r="C187" s="81"/>
      <c r="D187" s="81"/>
      <c r="E187" s="83"/>
      <c r="F187" s="81"/>
      <c r="G187" s="83"/>
      <c r="H187" s="83"/>
      <c r="I187" s="84" t="str">
        <f aca="false">IF(E187="","",A187&amp;"_1.jpg")</f>
        <v/>
      </c>
      <c r="J187" s="84" t="str">
        <f aca="false">IF(E187="","",A187&amp;"_2.jpg; "&amp;A187&amp;"_3.jpg")</f>
        <v/>
      </c>
      <c r="K187" s="84" t="str">
        <f aca="false">IF(E187="","",A187&amp;"_schema.jpg")</f>
        <v/>
      </c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 t="s">
        <v>96</v>
      </c>
      <c r="W187" s="81"/>
      <c r="X187" s="81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6" t="str">
        <f aca="false">IF(SUM(Y187:AJ187)=0,"",SUM(Y187:AJ187))</f>
        <v/>
      </c>
      <c r="AL187" s="84" t="str">
        <f aca="false">MID(IF(N(Y187)&gt;0,", "&amp;Y$2,"")&amp;IF(N(Z187)&gt;0,", "&amp;Z$2,"")&amp;IF(N(AA187)&gt;0,", "&amp;AA$2,"")&amp;IF(N(AB187)&gt;0,", "&amp;AB$2,"")&amp;IF(N(AC187)&gt;0,", "&amp;AC$2,"")&amp;IF(N(AD187)&gt;0,", "&amp;AD$2,"")&amp;IF(N(AE187)&gt;0,", "&amp;AE$2,"")&amp;IF(N(AF187)&gt;0,", "&amp;AF$2,"")&amp;IF(N(AG187)&gt;0,", "&amp;AG$2,"")&amp;IF(N(AH187)&gt;0,", "&amp;AH$2,"")&amp;IF(N(AI187)&gt;0,", "&amp;AI$2,"")&amp;IF(N(AJ187)&gt;0,", "&amp;AJ$2,""),3,999)</f>
        <v/>
      </c>
      <c r="AM187" s="87" t="str">
        <f aca="false">IF(E187="","",MID(IF(N(Y187)&gt;0,", "&amp;A187&amp;"-"&amp;Y$2,"")&amp;IF(N(Z187)&gt;0,", "&amp;A187&amp;"-"&amp;Z$2,"")&amp;IF(N(AA187)&gt;0,", "&amp;A187&amp;"-"&amp;AA$2,"")&amp;IF(N(AB187)&gt;0,", "&amp;A187&amp;"-"&amp;AB$2,"")&amp;IF(N(AC187)&gt;0,", "&amp;A187&amp;"-"&amp;AC$2,"")&amp;IF(N(AD187)&gt;0,", "&amp;A187&amp;"-"&amp;AD$2,"")&amp;IF(N(AE187)&gt;0,", "&amp;A187&amp;"-"&amp;AE$2,"")&amp;IF(N(AF187)&gt;0,", "&amp;A187&amp;"-"&amp;AF$2,"")&amp;IF(N(AG187)&gt;0,", "&amp;A187&amp;"-"&amp;AG$2,"")&amp;IF(N(AH187)&gt;0,", "&amp;A187&amp;"-"&amp;AH$2,"")&amp;IF(N(AI187)&gt;0,", "&amp;A187&amp;"-"&amp;AI$2,"")&amp;IF(N(AJ187)&gt;0,", "&amp;A187&amp;"-"&amp;AJ$2,""),3,999))</f>
        <v/>
      </c>
      <c r="AN187" s="81"/>
      <c r="AO187" s="88"/>
      <c r="AP187" s="89" t="str">
        <f aca="false">IF(AO187="","",ROUND(AO187/(1+Справочники!$B$13),2))</f>
        <v/>
      </c>
      <c r="AQ187" s="90" t="str">
        <f aca="false" t="array" ref="AQ187:AQ187">IF(AP187="","",AP187*INDEX(Справочники!$B$4:$B$7,MATCH("RUB",Справочники!$A$4:$A$7,0)))</f>
        <v/>
      </c>
      <c r="AR187" s="90" t="str">
        <f aca="false">IF(AQ187="","",ROUND(AQ187*(1+Справочники!$B$12),0))</f>
        <v/>
      </c>
      <c r="AS187" s="90" t="str">
        <f aca="false">IF(AR187="","",ROUND(AR187*(1-Справочники!$B$11),0))</f>
        <v/>
      </c>
      <c r="AT187" s="88"/>
      <c r="AU187" s="90" t="str">
        <f aca="false">IF(AT187="","",ROUND(AT187/(1+Справочники!$B$12),0))</f>
        <v/>
      </c>
      <c r="AV187" s="90" t="str">
        <f aca="false">IF(AT187="","",ROUND(AT187*(1-Справочники!$B$15),0))</f>
        <v/>
      </c>
      <c r="AW187" s="90" t="str">
        <f aca="false">IF(AT187="","",ROUND(AT187*(1-Справочники!$B$16),0))</f>
        <v/>
      </c>
      <c r="AX187" s="90" t="str">
        <f aca="false">IF(AT187="","",ROUND(AT187*(1-Справочники!$B$17),0))</f>
        <v/>
      </c>
      <c r="AY187" s="90" t="str">
        <f aca="false">IF(AT187="","",ROUND(AT187*(1-Справочники!$B$18),0))</f>
        <v/>
      </c>
      <c r="AZ187" s="90" t="str">
        <f aca="false">IF(AT187="","",ROUND(AT187*(1-Справочники!$B$19),0))</f>
        <v/>
      </c>
      <c r="BA187" s="81"/>
      <c r="BB187" s="81"/>
      <c r="BC187" s="81"/>
      <c r="BD187" s="81"/>
      <c r="BE187" s="91"/>
      <c r="BF187" s="81" t="s">
        <v>103</v>
      </c>
      <c r="BG187" s="89" t="n">
        <f aca="false" t="array" ref="BG187:BG187">IF(BF187="","",IFERROR(INDEX(Справочники!$B$4:$B$7,MATCH(BF187,Справочники!$A$4:$A$7,0)),""))</f>
        <v>68.5</v>
      </c>
      <c r="BH187" s="90" t="str">
        <f aca="false">IF(N(BN187)&gt;0,ROUND(SUMIF(ЗАКАЗЫ!$F$3:$F$500,$A187,ЗАКАЗЫ!$Y$3:$Y$500)/BN187,0),IF(OR(BE187="",BG187=""),"",ROUND(BE187*BG187*(1+Справочники!$B$10),0)))</f>
        <v/>
      </c>
      <c r="BI187" s="92" t="str">
        <f aca="false">IF(OR(AU187="",BH187="",AU187=0),"",(AU187-BH187)/AU187)</f>
        <v/>
      </c>
      <c r="BJ187" s="81"/>
      <c r="BK187" s="83"/>
      <c r="BL187" s="43" t="str">
        <f aca="false">IFERROR(INDEX(ЗАКАЗЫ!$N$3:$N$500,MATCH($A187,ЗАКАЗЫ!$F$3:$F$500,0)),"")</f>
        <v/>
      </c>
      <c r="BM187" s="8" t="str">
        <f aca="false">IF(BL187="","",IFERROR(VLOOKUP(BL187,'ТН ВЭД'!$A$4:$C$40,3,0),""))</f>
        <v/>
      </c>
      <c r="BN187" s="7" t="str">
        <f aca="false">IF(COUNTIF(ЗАКАЗЫ!$F$3:$F$500,$A187)=0,"",SUMIF(ЗАКАЗЫ!$F$3:$F$500,$A187,ЗАКАЗЫ!$J$3:$J$500))</f>
        <v/>
      </c>
      <c r="BO187" s="7" t="str">
        <f aca="false">IF(BN187="","",SUMIF(ЗАКАЗЫ!$F$3:$F$500,$A187,ЗАКАЗЫ!$AL$3:$AL$500))</f>
        <v/>
      </c>
      <c r="BP187" s="7" t="str">
        <f aca="false">IF(BN187="","",BN187-BO187)</f>
        <v/>
      </c>
      <c r="BQ187" s="55" t="str">
        <f aca="false">IF(BN187="","",IF(BO187&gt;=BN187,"На складе",IF(BO187&gt;0,"Частично","Ждём")))</f>
        <v/>
      </c>
      <c r="BR187" s="43"/>
      <c r="BS187" s="47" t="str">
        <f aca="false">IF(BN187="","",IF(_xlfn.MAXIFS(ЗАКАЗЫ!$AK$3:$AK$500,ЗАКАЗЫ!$F$3:$F$500,$A187)=0,"",_xlfn.MAXIFS(ЗАКАЗЫ!$AK$3:$AK$500,ЗАКАЗЫ!$F$3:$F$500,$A187)))</f>
        <v/>
      </c>
    </row>
    <row r="188" customFormat="false" ht="15.75" hidden="false" customHeight="true" outlineLevel="0" collapsed="false">
      <c r="A188" s="80" t="s">
        <v>1020</v>
      </c>
      <c r="B188" s="81"/>
      <c r="C188" s="81"/>
      <c r="D188" s="81"/>
      <c r="E188" s="83"/>
      <c r="F188" s="81"/>
      <c r="G188" s="83"/>
      <c r="H188" s="83"/>
      <c r="I188" s="84" t="str">
        <f aca="false">IF(E188="","",A188&amp;"_1.jpg")</f>
        <v/>
      </c>
      <c r="J188" s="84" t="str">
        <f aca="false">IF(E188="","",A188&amp;"_2.jpg; "&amp;A188&amp;"_3.jpg")</f>
        <v/>
      </c>
      <c r="K188" s="84" t="str">
        <f aca="false">IF(E188="","",A188&amp;"_schema.jpg")</f>
        <v/>
      </c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 t="s">
        <v>96</v>
      </c>
      <c r="W188" s="81"/>
      <c r="X188" s="81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6" t="str">
        <f aca="false">IF(SUM(Y188:AJ188)=0,"",SUM(Y188:AJ188))</f>
        <v/>
      </c>
      <c r="AL188" s="84" t="str">
        <f aca="false">MID(IF(N(Y188)&gt;0,", "&amp;Y$2,"")&amp;IF(N(Z188)&gt;0,", "&amp;Z$2,"")&amp;IF(N(AA188)&gt;0,", "&amp;AA$2,"")&amp;IF(N(AB188)&gt;0,", "&amp;AB$2,"")&amp;IF(N(AC188)&gt;0,", "&amp;AC$2,"")&amp;IF(N(AD188)&gt;0,", "&amp;AD$2,"")&amp;IF(N(AE188)&gt;0,", "&amp;AE$2,"")&amp;IF(N(AF188)&gt;0,", "&amp;AF$2,"")&amp;IF(N(AG188)&gt;0,", "&amp;AG$2,"")&amp;IF(N(AH188)&gt;0,", "&amp;AH$2,"")&amp;IF(N(AI188)&gt;0,", "&amp;AI$2,"")&amp;IF(N(AJ188)&gt;0,", "&amp;AJ$2,""),3,999)</f>
        <v/>
      </c>
      <c r="AM188" s="87" t="str">
        <f aca="false">IF(E188="","",MID(IF(N(Y188)&gt;0,", "&amp;A188&amp;"-"&amp;Y$2,"")&amp;IF(N(Z188)&gt;0,", "&amp;A188&amp;"-"&amp;Z$2,"")&amp;IF(N(AA188)&gt;0,", "&amp;A188&amp;"-"&amp;AA$2,"")&amp;IF(N(AB188)&gt;0,", "&amp;A188&amp;"-"&amp;AB$2,"")&amp;IF(N(AC188)&gt;0,", "&amp;A188&amp;"-"&amp;AC$2,"")&amp;IF(N(AD188)&gt;0,", "&amp;A188&amp;"-"&amp;AD$2,"")&amp;IF(N(AE188)&gt;0,", "&amp;A188&amp;"-"&amp;AE$2,"")&amp;IF(N(AF188)&gt;0,", "&amp;A188&amp;"-"&amp;AF$2,"")&amp;IF(N(AG188)&gt;0,", "&amp;A188&amp;"-"&amp;AG$2,"")&amp;IF(N(AH188)&gt;0,", "&amp;A188&amp;"-"&amp;AH$2,"")&amp;IF(N(AI188)&gt;0,", "&amp;A188&amp;"-"&amp;AI$2,"")&amp;IF(N(AJ188)&gt;0,", "&amp;A188&amp;"-"&amp;AJ$2,""),3,999))</f>
        <v/>
      </c>
      <c r="AN188" s="81"/>
      <c r="AO188" s="88"/>
      <c r="AP188" s="89" t="str">
        <f aca="false">IF(AO188="","",ROUND(AO188/(1+Справочники!$B$13),2))</f>
        <v/>
      </c>
      <c r="AQ188" s="90" t="str">
        <f aca="false" t="array" ref="AQ188:AQ188">IF(AP188="","",AP188*INDEX(Справочники!$B$4:$B$7,MATCH("RUB",Справочники!$A$4:$A$7,0)))</f>
        <v/>
      </c>
      <c r="AR188" s="90" t="str">
        <f aca="false">IF(AQ188="","",ROUND(AQ188*(1+Справочники!$B$12),0))</f>
        <v/>
      </c>
      <c r="AS188" s="90" t="str">
        <f aca="false">IF(AR188="","",ROUND(AR188*(1-Справочники!$B$11),0))</f>
        <v/>
      </c>
      <c r="AT188" s="88"/>
      <c r="AU188" s="90" t="str">
        <f aca="false">IF(AT188="","",ROUND(AT188/(1+Справочники!$B$12),0))</f>
        <v/>
      </c>
      <c r="AV188" s="90" t="str">
        <f aca="false">IF(AT188="","",ROUND(AT188*(1-Справочники!$B$15),0))</f>
        <v/>
      </c>
      <c r="AW188" s="90" t="str">
        <f aca="false">IF(AT188="","",ROUND(AT188*(1-Справочники!$B$16),0))</f>
        <v/>
      </c>
      <c r="AX188" s="90" t="str">
        <f aca="false">IF(AT188="","",ROUND(AT188*(1-Справочники!$B$17),0))</f>
        <v/>
      </c>
      <c r="AY188" s="90" t="str">
        <f aca="false">IF(AT188="","",ROUND(AT188*(1-Справочники!$B$18),0))</f>
        <v/>
      </c>
      <c r="AZ188" s="90" t="str">
        <f aca="false">IF(AT188="","",ROUND(AT188*(1-Справочники!$B$19),0))</f>
        <v/>
      </c>
      <c r="BA188" s="81"/>
      <c r="BB188" s="81"/>
      <c r="BC188" s="81"/>
      <c r="BD188" s="81"/>
      <c r="BE188" s="91"/>
      <c r="BF188" s="81" t="s">
        <v>103</v>
      </c>
      <c r="BG188" s="89" t="n">
        <f aca="false" t="array" ref="BG188:BG188">IF(BF188="","",IFERROR(INDEX(Справочники!$B$4:$B$7,MATCH(BF188,Справочники!$A$4:$A$7,0)),""))</f>
        <v>68.5</v>
      </c>
      <c r="BH188" s="90" t="str">
        <f aca="false">IF(N(BN188)&gt;0,ROUND(SUMIF(ЗАКАЗЫ!$F$3:$F$500,$A188,ЗАКАЗЫ!$Y$3:$Y$500)/BN188,0),IF(OR(BE188="",BG188=""),"",ROUND(BE188*BG188*(1+Справочники!$B$10),0)))</f>
        <v/>
      </c>
      <c r="BI188" s="92" t="str">
        <f aca="false">IF(OR(AU188="",BH188="",AU188=0),"",(AU188-BH188)/AU188)</f>
        <v/>
      </c>
      <c r="BJ188" s="81"/>
      <c r="BK188" s="83"/>
      <c r="BL188" s="43" t="str">
        <f aca="false">IFERROR(INDEX(ЗАКАЗЫ!$N$3:$N$500,MATCH($A188,ЗАКАЗЫ!$F$3:$F$500,0)),"")</f>
        <v/>
      </c>
      <c r="BM188" s="8" t="str">
        <f aca="false">IF(BL188="","",IFERROR(VLOOKUP(BL188,'ТН ВЭД'!$A$4:$C$40,3,0),""))</f>
        <v/>
      </c>
      <c r="BN188" s="7" t="str">
        <f aca="false">IF(COUNTIF(ЗАКАЗЫ!$F$3:$F$500,$A188)=0,"",SUMIF(ЗАКАЗЫ!$F$3:$F$500,$A188,ЗАКАЗЫ!$J$3:$J$500))</f>
        <v/>
      </c>
      <c r="BO188" s="7" t="str">
        <f aca="false">IF(BN188="","",SUMIF(ЗАКАЗЫ!$F$3:$F$500,$A188,ЗАКАЗЫ!$AL$3:$AL$500))</f>
        <v/>
      </c>
      <c r="BP188" s="7" t="str">
        <f aca="false">IF(BN188="","",BN188-BO188)</f>
        <v/>
      </c>
      <c r="BQ188" s="55" t="str">
        <f aca="false">IF(BN188="","",IF(BO188&gt;=BN188,"На складе",IF(BO188&gt;0,"Частично","Ждём")))</f>
        <v/>
      </c>
      <c r="BR188" s="43"/>
      <c r="BS188" s="47" t="str">
        <f aca="false">IF(BN188="","",IF(_xlfn.MAXIFS(ЗАКАЗЫ!$AK$3:$AK$500,ЗАКАЗЫ!$F$3:$F$500,$A188)=0,"",_xlfn.MAXIFS(ЗАКАЗЫ!$AK$3:$AK$500,ЗАКАЗЫ!$F$3:$F$500,$A188)))</f>
        <v/>
      </c>
    </row>
    <row r="189" customFormat="false" ht="15.75" hidden="false" customHeight="true" outlineLevel="0" collapsed="false">
      <c r="A189" s="80" t="s">
        <v>1021</v>
      </c>
      <c r="B189" s="81"/>
      <c r="C189" s="81"/>
      <c r="D189" s="81"/>
      <c r="E189" s="83"/>
      <c r="F189" s="81"/>
      <c r="G189" s="83"/>
      <c r="H189" s="83"/>
      <c r="I189" s="84" t="str">
        <f aca="false">IF(E189="","",A189&amp;"_1.jpg")</f>
        <v/>
      </c>
      <c r="J189" s="84" t="str">
        <f aca="false">IF(E189="","",A189&amp;"_2.jpg; "&amp;A189&amp;"_3.jpg")</f>
        <v/>
      </c>
      <c r="K189" s="84" t="str">
        <f aca="false">IF(E189="","",A189&amp;"_schema.jpg")</f>
        <v/>
      </c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 t="s">
        <v>96</v>
      </c>
      <c r="W189" s="81"/>
      <c r="X189" s="81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6" t="str">
        <f aca="false">IF(SUM(Y189:AJ189)=0,"",SUM(Y189:AJ189))</f>
        <v/>
      </c>
      <c r="AL189" s="84" t="str">
        <f aca="false">MID(IF(N(Y189)&gt;0,", "&amp;Y$2,"")&amp;IF(N(Z189)&gt;0,", "&amp;Z$2,"")&amp;IF(N(AA189)&gt;0,", "&amp;AA$2,"")&amp;IF(N(AB189)&gt;0,", "&amp;AB$2,"")&amp;IF(N(AC189)&gt;0,", "&amp;AC$2,"")&amp;IF(N(AD189)&gt;0,", "&amp;AD$2,"")&amp;IF(N(AE189)&gt;0,", "&amp;AE$2,"")&amp;IF(N(AF189)&gt;0,", "&amp;AF$2,"")&amp;IF(N(AG189)&gt;0,", "&amp;AG$2,"")&amp;IF(N(AH189)&gt;0,", "&amp;AH$2,"")&amp;IF(N(AI189)&gt;0,", "&amp;AI$2,"")&amp;IF(N(AJ189)&gt;0,", "&amp;AJ$2,""),3,999)</f>
        <v/>
      </c>
      <c r="AM189" s="87" t="str">
        <f aca="false">IF(E189="","",MID(IF(N(Y189)&gt;0,", "&amp;A189&amp;"-"&amp;Y$2,"")&amp;IF(N(Z189)&gt;0,", "&amp;A189&amp;"-"&amp;Z$2,"")&amp;IF(N(AA189)&gt;0,", "&amp;A189&amp;"-"&amp;AA$2,"")&amp;IF(N(AB189)&gt;0,", "&amp;A189&amp;"-"&amp;AB$2,"")&amp;IF(N(AC189)&gt;0,", "&amp;A189&amp;"-"&amp;AC$2,"")&amp;IF(N(AD189)&gt;0,", "&amp;A189&amp;"-"&amp;AD$2,"")&amp;IF(N(AE189)&gt;0,", "&amp;A189&amp;"-"&amp;AE$2,"")&amp;IF(N(AF189)&gt;0,", "&amp;A189&amp;"-"&amp;AF$2,"")&amp;IF(N(AG189)&gt;0,", "&amp;A189&amp;"-"&amp;AG$2,"")&amp;IF(N(AH189)&gt;0,", "&amp;A189&amp;"-"&amp;AH$2,"")&amp;IF(N(AI189)&gt;0,", "&amp;A189&amp;"-"&amp;AI$2,"")&amp;IF(N(AJ189)&gt;0,", "&amp;A189&amp;"-"&amp;AJ$2,""),3,999))</f>
        <v/>
      </c>
      <c r="AN189" s="81"/>
      <c r="AO189" s="88"/>
      <c r="AP189" s="89" t="str">
        <f aca="false">IF(AO189="","",ROUND(AO189/(1+Справочники!$B$13),2))</f>
        <v/>
      </c>
      <c r="AQ189" s="90" t="str">
        <f aca="false" t="array" ref="AQ189:AQ189">IF(AP189="","",AP189*INDEX(Справочники!$B$4:$B$7,MATCH("RUB",Справочники!$A$4:$A$7,0)))</f>
        <v/>
      </c>
      <c r="AR189" s="90" t="str">
        <f aca="false">IF(AQ189="","",ROUND(AQ189*(1+Справочники!$B$12),0))</f>
        <v/>
      </c>
      <c r="AS189" s="90" t="str">
        <f aca="false">IF(AR189="","",ROUND(AR189*(1-Справочники!$B$11),0))</f>
        <v/>
      </c>
      <c r="AT189" s="88"/>
      <c r="AU189" s="90" t="str">
        <f aca="false">IF(AT189="","",ROUND(AT189/(1+Справочники!$B$12),0))</f>
        <v/>
      </c>
      <c r="AV189" s="90" t="str">
        <f aca="false">IF(AT189="","",ROUND(AT189*(1-Справочники!$B$15),0))</f>
        <v/>
      </c>
      <c r="AW189" s="90" t="str">
        <f aca="false">IF(AT189="","",ROUND(AT189*(1-Справочники!$B$16),0))</f>
        <v/>
      </c>
      <c r="AX189" s="90" t="str">
        <f aca="false">IF(AT189="","",ROUND(AT189*(1-Справочники!$B$17),0))</f>
        <v/>
      </c>
      <c r="AY189" s="90" t="str">
        <f aca="false">IF(AT189="","",ROUND(AT189*(1-Справочники!$B$18),0))</f>
        <v/>
      </c>
      <c r="AZ189" s="90" t="str">
        <f aca="false">IF(AT189="","",ROUND(AT189*(1-Справочники!$B$19),0))</f>
        <v/>
      </c>
      <c r="BA189" s="81"/>
      <c r="BB189" s="81"/>
      <c r="BC189" s="81"/>
      <c r="BD189" s="81"/>
      <c r="BE189" s="91"/>
      <c r="BF189" s="81" t="s">
        <v>103</v>
      </c>
      <c r="BG189" s="89" t="n">
        <f aca="false" t="array" ref="BG189:BG189">IF(BF189="","",IFERROR(INDEX(Справочники!$B$4:$B$7,MATCH(BF189,Справочники!$A$4:$A$7,0)),""))</f>
        <v>68.5</v>
      </c>
      <c r="BH189" s="90" t="str">
        <f aca="false">IF(N(BN189)&gt;0,ROUND(SUMIF(ЗАКАЗЫ!$F$3:$F$500,$A189,ЗАКАЗЫ!$Y$3:$Y$500)/BN189,0),IF(OR(BE189="",BG189=""),"",ROUND(BE189*BG189*(1+Справочники!$B$10),0)))</f>
        <v/>
      </c>
      <c r="BI189" s="92" t="str">
        <f aca="false">IF(OR(AU189="",BH189="",AU189=0),"",(AU189-BH189)/AU189)</f>
        <v/>
      </c>
      <c r="BJ189" s="81"/>
      <c r="BK189" s="83"/>
      <c r="BL189" s="43" t="str">
        <f aca="false">IFERROR(INDEX(ЗАКАЗЫ!$N$3:$N$500,MATCH($A189,ЗАКАЗЫ!$F$3:$F$500,0)),"")</f>
        <v/>
      </c>
      <c r="BM189" s="8" t="str">
        <f aca="false">IF(BL189="","",IFERROR(VLOOKUP(BL189,'ТН ВЭД'!$A$4:$C$40,3,0),""))</f>
        <v/>
      </c>
      <c r="BN189" s="7" t="str">
        <f aca="false">IF(COUNTIF(ЗАКАЗЫ!$F$3:$F$500,$A189)=0,"",SUMIF(ЗАКАЗЫ!$F$3:$F$500,$A189,ЗАКАЗЫ!$J$3:$J$500))</f>
        <v/>
      </c>
      <c r="BO189" s="7" t="str">
        <f aca="false">IF(BN189="","",SUMIF(ЗАКАЗЫ!$F$3:$F$500,$A189,ЗАКАЗЫ!$AL$3:$AL$500))</f>
        <v/>
      </c>
      <c r="BP189" s="7" t="str">
        <f aca="false">IF(BN189="","",BN189-BO189)</f>
        <v/>
      </c>
      <c r="BQ189" s="55" t="str">
        <f aca="false">IF(BN189="","",IF(BO189&gt;=BN189,"На складе",IF(BO189&gt;0,"Частично","Ждём")))</f>
        <v/>
      </c>
      <c r="BR189" s="43"/>
      <c r="BS189" s="47" t="str">
        <f aca="false">IF(BN189="","",IF(_xlfn.MAXIFS(ЗАКАЗЫ!$AK$3:$AK$500,ЗАКАЗЫ!$F$3:$F$500,$A189)=0,"",_xlfn.MAXIFS(ЗАКАЗЫ!$AK$3:$AK$500,ЗАКАЗЫ!$F$3:$F$500,$A189)))</f>
        <v/>
      </c>
    </row>
    <row r="190" customFormat="false" ht="15.75" hidden="false" customHeight="true" outlineLevel="0" collapsed="false">
      <c r="A190" s="80" t="s">
        <v>1022</v>
      </c>
      <c r="B190" s="81"/>
      <c r="C190" s="81"/>
      <c r="D190" s="81"/>
      <c r="E190" s="83"/>
      <c r="F190" s="81"/>
      <c r="G190" s="83"/>
      <c r="H190" s="83"/>
      <c r="I190" s="84" t="str">
        <f aca="false">IF(E190="","",A190&amp;"_1.jpg")</f>
        <v/>
      </c>
      <c r="J190" s="84" t="str">
        <f aca="false">IF(E190="","",A190&amp;"_2.jpg; "&amp;A190&amp;"_3.jpg")</f>
        <v/>
      </c>
      <c r="K190" s="84" t="str">
        <f aca="false">IF(E190="","",A190&amp;"_schema.jpg")</f>
        <v/>
      </c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 t="s">
        <v>96</v>
      </c>
      <c r="W190" s="81"/>
      <c r="X190" s="81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6" t="str">
        <f aca="false">IF(SUM(Y190:AJ190)=0,"",SUM(Y190:AJ190))</f>
        <v/>
      </c>
      <c r="AL190" s="84" t="str">
        <f aca="false">MID(IF(N(Y190)&gt;0,", "&amp;Y$2,"")&amp;IF(N(Z190)&gt;0,", "&amp;Z$2,"")&amp;IF(N(AA190)&gt;0,", "&amp;AA$2,"")&amp;IF(N(AB190)&gt;0,", "&amp;AB$2,"")&amp;IF(N(AC190)&gt;0,", "&amp;AC$2,"")&amp;IF(N(AD190)&gt;0,", "&amp;AD$2,"")&amp;IF(N(AE190)&gt;0,", "&amp;AE$2,"")&amp;IF(N(AF190)&gt;0,", "&amp;AF$2,"")&amp;IF(N(AG190)&gt;0,", "&amp;AG$2,"")&amp;IF(N(AH190)&gt;0,", "&amp;AH$2,"")&amp;IF(N(AI190)&gt;0,", "&amp;AI$2,"")&amp;IF(N(AJ190)&gt;0,", "&amp;AJ$2,""),3,999)</f>
        <v/>
      </c>
      <c r="AM190" s="87" t="str">
        <f aca="false">IF(E190="","",MID(IF(N(Y190)&gt;0,", "&amp;A190&amp;"-"&amp;Y$2,"")&amp;IF(N(Z190)&gt;0,", "&amp;A190&amp;"-"&amp;Z$2,"")&amp;IF(N(AA190)&gt;0,", "&amp;A190&amp;"-"&amp;AA$2,"")&amp;IF(N(AB190)&gt;0,", "&amp;A190&amp;"-"&amp;AB$2,"")&amp;IF(N(AC190)&gt;0,", "&amp;A190&amp;"-"&amp;AC$2,"")&amp;IF(N(AD190)&gt;0,", "&amp;A190&amp;"-"&amp;AD$2,"")&amp;IF(N(AE190)&gt;0,", "&amp;A190&amp;"-"&amp;AE$2,"")&amp;IF(N(AF190)&gt;0,", "&amp;A190&amp;"-"&amp;AF$2,"")&amp;IF(N(AG190)&gt;0,", "&amp;A190&amp;"-"&amp;AG$2,"")&amp;IF(N(AH190)&gt;0,", "&amp;A190&amp;"-"&amp;AH$2,"")&amp;IF(N(AI190)&gt;0,", "&amp;A190&amp;"-"&amp;AI$2,"")&amp;IF(N(AJ190)&gt;0,", "&amp;A190&amp;"-"&amp;AJ$2,""),3,999))</f>
        <v/>
      </c>
      <c r="AN190" s="81"/>
      <c r="AO190" s="88"/>
      <c r="AP190" s="89" t="str">
        <f aca="false">IF(AO190="","",ROUND(AO190/(1+Справочники!$B$13),2))</f>
        <v/>
      </c>
      <c r="AQ190" s="90" t="str">
        <f aca="false" t="array" ref="AQ190:AQ190">IF(AP190="","",AP190*INDEX(Справочники!$B$4:$B$7,MATCH("RUB",Справочники!$A$4:$A$7,0)))</f>
        <v/>
      </c>
      <c r="AR190" s="90" t="str">
        <f aca="false">IF(AQ190="","",ROUND(AQ190*(1+Справочники!$B$12),0))</f>
        <v/>
      </c>
      <c r="AS190" s="90" t="str">
        <f aca="false">IF(AR190="","",ROUND(AR190*(1-Справочники!$B$11),0))</f>
        <v/>
      </c>
      <c r="AT190" s="88"/>
      <c r="AU190" s="90" t="str">
        <f aca="false">IF(AT190="","",ROUND(AT190/(1+Справочники!$B$12),0))</f>
        <v/>
      </c>
      <c r="AV190" s="90" t="str">
        <f aca="false">IF(AT190="","",ROUND(AT190*(1-Справочники!$B$15),0))</f>
        <v/>
      </c>
      <c r="AW190" s="90" t="str">
        <f aca="false">IF(AT190="","",ROUND(AT190*(1-Справочники!$B$16),0))</f>
        <v/>
      </c>
      <c r="AX190" s="90" t="str">
        <f aca="false">IF(AT190="","",ROUND(AT190*(1-Справочники!$B$17),0))</f>
        <v/>
      </c>
      <c r="AY190" s="90" t="str">
        <f aca="false">IF(AT190="","",ROUND(AT190*(1-Справочники!$B$18),0))</f>
        <v/>
      </c>
      <c r="AZ190" s="90" t="str">
        <f aca="false">IF(AT190="","",ROUND(AT190*(1-Справочники!$B$19),0))</f>
        <v/>
      </c>
      <c r="BA190" s="81"/>
      <c r="BB190" s="81"/>
      <c r="BC190" s="81"/>
      <c r="BD190" s="81"/>
      <c r="BE190" s="91"/>
      <c r="BF190" s="81" t="s">
        <v>103</v>
      </c>
      <c r="BG190" s="89" t="n">
        <f aca="false" t="array" ref="BG190:BG190">IF(BF190="","",IFERROR(INDEX(Справочники!$B$4:$B$7,MATCH(BF190,Справочники!$A$4:$A$7,0)),""))</f>
        <v>68.5</v>
      </c>
      <c r="BH190" s="90" t="str">
        <f aca="false">IF(N(BN190)&gt;0,ROUND(SUMIF(ЗАКАЗЫ!$F$3:$F$500,$A190,ЗАКАЗЫ!$Y$3:$Y$500)/BN190,0),IF(OR(BE190="",BG190=""),"",ROUND(BE190*BG190*(1+Справочники!$B$10),0)))</f>
        <v/>
      </c>
      <c r="BI190" s="92" t="str">
        <f aca="false">IF(OR(AU190="",BH190="",AU190=0),"",(AU190-BH190)/AU190)</f>
        <v/>
      </c>
      <c r="BJ190" s="81"/>
      <c r="BK190" s="83"/>
      <c r="BL190" s="43" t="str">
        <f aca="false">IFERROR(INDEX(ЗАКАЗЫ!$N$3:$N$500,MATCH($A190,ЗАКАЗЫ!$F$3:$F$500,0)),"")</f>
        <v/>
      </c>
      <c r="BM190" s="8" t="str">
        <f aca="false">IF(BL190="","",IFERROR(VLOOKUP(BL190,'ТН ВЭД'!$A$4:$C$40,3,0),""))</f>
        <v/>
      </c>
      <c r="BN190" s="7" t="str">
        <f aca="false">IF(COUNTIF(ЗАКАЗЫ!$F$3:$F$500,$A190)=0,"",SUMIF(ЗАКАЗЫ!$F$3:$F$500,$A190,ЗАКАЗЫ!$J$3:$J$500))</f>
        <v/>
      </c>
      <c r="BO190" s="7" t="str">
        <f aca="false">IF(BN190="","",SUMIF(ЗАКАЗЫ!$F$3:$F$500,$A190,ЗАКАЗЫ!$AL$3:$AL$500))</f>
        <v/>
      </c>
      <c r="BP190" s="7" t="str">
        <f aca="false">IF(BN190="","",BN190-BO190)</f>
        <v/>
      </c>
      <c r="BQ190" s="55" t="str">
        <f aca="false">IF(BN190="","",IF(BO190&gt;=BN190,"На складе",IF(BO190&gt;0,"Частично","Ждём")))</f>
        <v/>
      </c>
      <c r="BR190" s="43"/>
      <c r="BS190" s="47" t="str">
        <f aca="false">IF(BN190="","",IF(_xlfn.MAXIFS(ЗАКАЗЫ!$AK$3:$AK$500,ЗАКАЗЫ!$F$3:$F$500,$A190)=0,"",_xlfn.MAXIFS(ЗАКАЗЫ!$AK$3:$AK$500,ЗАКАЗЫ!$F$3:$F$500,$A190)))</f>
        <v/>
      </c>
    </row>
    <row r="191" customFormat="false" ht="15.75" hidden="false" customHeight="true" outlineLevel="0" collapsed="false">
      <c r="A191" s="80" t="s">
        <v>1023</v>
      </c>
      <c r="B191" s="81"/>
      <c r="C191" s="81"/>
      <c r="D191" s="81"/>
      <c r="E191" s="83"/>
      <c r="F191" s="81"/>
      <c r="G191" s="83"/>
      <c r="H191" s="83"/>
      <c r="I191" s="84" t="str">
        <f aca="false">IF(E191="","",A191&amp;"_1.jpg")</f>
        <v/>
      </c>
      <c r="J191" s="84" t="str">
        <f aca="false">IF(E191="","",A191&amp;"_2.jpg; "&amp;A191&amp;"_3.jpg")</f>
        <v/>
      </c>
      <c r="K191" s="84" t="str">
        <f aca="false">IF(E191="","",A191&amp;"_schema.jpg")</f>
        <v/>
      </c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 t="s">
        <v>96</v>
      </c>
      <c r="W191" s="81"/>
      <c r="X191" s="81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6" t="str">
        <f aca="false">IF(SUM(Y191:AJ191)=0,"",SUM(Y191:AJ191))</f>
        <v/>
      </c>
      <c r="AL191" s="84" t="str">
        <f aca="false">MID(IF(N(Y191)&gt;0,", "&amp;Y$2,"")&amp;IF(N(Z191)&gt;0,", "&amp;Z$2,"")&amp;IF(N(AA191)&gt;0,", "&amp;AA$2,"")&amp;IF(N(AB191)&gt;0,", "&amp;AB$2,"")&amp;IF(N(AC191)&gt;0,", "&amp;AC$2,"")&amp;IF(N(AD191)&gt;0,", "&amp;AD$2,"")&amp;IF(N(AE191)&gt;0,", "&amp;AE$2,"")&amp;IF(N(AF191)&gt;0,", "&amp;AF$2,"")&amp;IF(N(AG191)&gt;0,", "&amp;AG$2,"")&amp;IF(N(AH191)&gt;0,", "&amp;AH$2,"")&amp;IF(N(AI191)&gt;0,", "&amp;AI$2,"")&amp;IF(N(AJ191)&gt;0,", "&amp;AJ$2,""),3,999)</f>
        <v/>
      </c>
      <c r="AM191" s="87" t="str">
        <f aca="false">IF(E191="","",MID(IF(N(Y191)&gt;0,", "&amp;A191&amp;"-"&amp;Y$2,"")&amp;IF(N(Z191)&gt;0,", "&amp;A191&amp;"-"&amp;Z$2,"")&amp;IF(N(AA191)&gt;0,", "&amp;A191&amp;"-"&amp;AA$2,"")&amp;IF(N(AB191)&gt;0,", "&amp;A191&amp;"-"&amp;AB$2,"")&amp;IF(N(AC191)&gt;0,", "&amp;A191&amp;"-"&amp;AC$2,"")&amp;IF(N(AD191)&gt;0,", "&amp;A191&amp;"-"&amp;AD$2,"")&amp;IF(N(AE191)&gt;0,", "&amp;A191&amp;"-"&amp;AE$2,"")&amp;IF(N(AF191)&gt;0,", "&amp;A191&amp;"-"&amp;AF$2,"")&amp;IF(N(AG191)&gt;0,", "&amp;A191&amp;"-"&amp;AG$2,"")&amp;IF(N(AH191)&gt;0,", "&amp;A191&amp;"-"&amp;AH$2,"")&amp;IF(N(AI191)&gt;0,", "&amp;A191&amp;"-"&amp;AI$2,"")&amp;IF(N(AJ191)&gt;0,", "&amp;A191&amp;"-"&amp;AJ$2,""),3,999))</f>
        <v/>
      </c>
      <c r="AN191" s="81"/>
      <c r="AO191" s="88"/>
      <c r="AP191" s="89" t="str">
        <f aca="false">IF(AO191="","",ROUND(AO191/(1+Справочники!$B$13),2))</f>
        <v/>
      </c>
      <c r="AQ191" s="90" t="str">
        <f aca="false" t="array" ref="AQ191:AQ191">IF(AP191="","",AP191*INDEX(Справочники!$B$4:$B$7,MATCH("RUB",Справочники!$A$4:$A$7,0)))</f>
        <v/>
      </c>
      <c r="AR191" s="90" t="str">
        <f aca="false">IF(AQ191="","",ROUND(AQ191*(1+Справочники!$B$12),0))</f>
        <v/>
      </c>
      <c r="AS191" s="90" t="str">
        <f aca="false">IF(AR191="","",ROUND(AR191*(1-Справочники!$B$11),0))</f>
        <v/>
      </c>
      <c r="AT191" s="88"/>
      <c r="AU191" s="90" t="str">
        <f aca="false">IF(AT191="","",ROUND(AT191/(1+Справочники!$B$12),0))</f>
        <v/>
      </c>
      <c r="AV191" s="90" t="str">
        <f aca="false">IF(AT191="","",ROUND(AT191*(1-Справочники!$B$15),0))</f>
        <v/>
      </c>
      <c r="AW191" s="90" t="str">
        <f aca="false">IF(AT191="","",ROUND(AT191*(1-Справочники!$B$16),0))</f>
        <v/>
      </c>
      <c r="AX191" s="90" t="str">
        <f aca="false">IF(AT191="","",ROUND(AT191*(1-Справочники!$B$17),0))</f>
        <v/>
      </c>
      <c r="AY191" s="90" t="str">
        <f aca="false">IF(AT191="","",ROUND(AT191*(1-Справочники!$B$18),0))</f>
        <v/>
      </c>
      <c r="AZ191" s="90" t="str">
        <f aca="false">IF(AT191="","",ROUND(AT191*(1-Справочники!$B$19),0))</f>
        <v/>
      </c>
      <c r="BA191" s="81"/>
      <c r="BB191" s="81"/>
      <c r="BC191" s="81"/>
      <c r="BD191" s="81"/>
      <c r="BE191" s="91"/>
      <c r="BF191" s="81" t="s">
        <v>103</v>
      </c>
      <c r="BG191" s="89" t="n">
        <f aca="false" t="array" ref="BG191:BG191">IF(BF191="","",IFERROR(INDEX(Справочники!$B$4:$B$7,MATCH(BF191,Справочники!$A$4:$A$7,0)),""))</f>
        <v>68.5</v>
      </c>
      <c r="BH191" s="90" t="str">
        <f aca="false">IF(N(BN191)&gt;0,ROUND(SUMIF(ЗАКАЗЫ!$F$3:$F$500,$A191,ЗАКАЗЫ!$Y$3:$Y$500)/BN191,0),IF(OR(BE191="",BG191=""),"",ROUND(BE191*BG191*(1+Справочники!$B$10),0)))</f>
        <v/>
      </c>
      <c r="BI191" s="92" t="str">
        <f aca="false">IF(OR(AU191="",BH191="",AU191=0),"",(AU191-BH191)/AU191)</f>
        <v/>
      </c>
      <c r="BJ191" s="81"/>
      <c r="BK191" s="83"/>
      <c r="BL191" s="43" t="str">
        <f aca="false">IFERROR(INDEX(ЗАКАЗЫ!$N$3:$N$500,MATCH($A191,ЗАКАЗЫ!$F$3:$F$500,0)),"")</f>
        <v/>
      </c>
      <c r="BM191" s="8" t="str">
        <f aca="false">IF(BL191="","",IFERROR(VLOOKUP(BL191,'ТН ВЭД'!$A$4:$C$40,3,0),""))</f>
        <v/>
      </c>
      <c r="BN191" s="7" t="str">
        <f aca="false">IF(COUNTIF(ЗАКАЗЫ!$F$3:$F$500,$A191)=0,"",SUMIF(ЗАКАЗЫ!$F$3:$F$500,$A191,ЗАКАЗЫ!$J$3:$J$500))</f>
        <v/>
      </c>
      <c r="BO191" s="7" t="str">
        <f aca="false">IF(BN191="","",SUMIF(ЗАКАЗЫ!$F$3:$F$500,$A191,ЗАКАЗЫ!$AL$3:$AL$500))</f>
        <v/>
      </c>
      <c r="BP191" s="7" t="str">
        <f aca="false">IF(BN191="","",BN191-BO191)</f>
        <v/>
      </c>
      <c r="BQ191" s="55" t="str">
        <f aca="false">IF(BN191="","",IF(BO191&gt;=BN191,"На складе",IF(BO191&gt;0,"Частично","Ждём")))</f>
        <v/>
      </c>
      <c r="BR191" s="43"/>
      <c r="BS191" s="47" t="str">
        <f aca="false">IF(BN191="","",IF(_xlfn.MAXIFS(ЗАКАЗЫ!$AK$3:$AK$500,ЗАКАЗЫ!$F$3:$F$500,$A191)=0,"",_xlfn.MAXIFS(ЗАКАЗЫ!$AK$3:$AK$500,ЗАКАЗЫ!$F$3:$F$500,$A191)))</f>
        <v/>
      </c>
    </row>
    <row r="192" customFormat="false" ht="15.75" hidden="false" customHeight="true" outlineLevel="0" collapsed="false">
      <c r="A192" s="80" t="s">
        <v>1024</v>
      </c>
      <c r="B192" s="81"/>
      <c r="C192" s="81"/>
      <c r="D192" s="81"/>
      <c r="E192" s="83"/>
      <c r="F192" s="81"/>
      <c r="G192" s="83"/>
      <c r="H192" s="83"/>
      <c r="I192" s="84" t="str">
        <f aca="false">IF(E192="","",A192&amp;"_1.jpg")</f>
        <v/>
      </c>
      <c r="J192" s="84" t="str">
        <f aca="false">IF(E192="","",A192&amp;"_2.jpg; "&amp;A192&amp;"_3.jpg")</f>
        <v/>
      </c>
      <c r="K192" s="84" t="str">
        <f aca="false">IF(E192="","",A192&amp;"_schema.jpg")</f>
        <v/>
      </c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 t="s">
        <v>96</v>
      </c>
      <c r="W192" s="81"/>
      <c r="X192" s="81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6" t="str">
        <f aca="false">IF(SUM(Y192:AJ192)=0,"",SUM(Y192:AJ192))</f>
        <v/>
      </c>
      <c r="AL192" s="84" t="str">
        <f aca="false">MID(IF(N(Y192)&gt;0,", "&amp;Y$2,"")&amp;IF(N(Z192)&gt;0,", "&amp;Z$2,"")&amp;IF(N(AA192)&gt;0,", "&amp;AA$2,"")&amp;IF(N(AB192)&gt;0,", "&amp;AB$2,"")&amp;IF(N(AC192)&gt;0,", "&amp;AC$2,"")&amp;IF(N(AD192)&gt;0,", "&amp;AD$2,"")&amp;IF(N(AE192)&gt;0,", "&amp;AE$2,"")&amp;IF(N(AF192)&gt;0,", "&amp;AF$2,"")&amp;IF(N(AG192)&gt;0,", "&amp;AG$2,"")&amp;IF(N(AH192)&gt;0,", "&amp;AH$2,"")&amp;IF(N(AI192)&gt;0,", "&amp;AI$2,"")&amp;IF(N(AJ192)&gt;0,", "&amp;AJ$2,""),3,999)</f>
        <v/>
      </c>
      <c r="AM192" s="87" t="str">
        <f aca="false">IF(E192="","",MID(IF(N(Y192)&gt;0,", "&amp;A192&amp;"-"&amp;Y$2,"")&amp;IF(N(Z192)&gt;0,", "&amp;A192&amp;"-"&amp;Z$2,"")&amp;IF(N(AA192)&gt;0,", "&amp;A192&amp;"-"&amp;AA$2,"")&amp;IF(N(AB192)&gt;0,", "&amp;A192&amp;"-"&amp;AB$2,"")&amp;IF(N(AC192)&gt;0,", "&amp;A192&amp;"-"&amp;AC$2,"")&amp;IF(N(AD192)&gt;0,", "&amp;A192&amp;"-"&amp;AD$2,"")&amp;IF(N(AE192)&gt;0,", "&amp;A192&amp;"-"&amp;AE$2,"")&amp;IF(N(AF192)&gt;0,", "&amp;A192&amp;"-"&amp;AF$2,"")&amp;IF(N(AG192)&gt;0,", "&amp;A192&amp;"-"&amp;AG$2,"")&amp;IF(N(AH192)&gt;0,", "&amp;A192&amp;"-"&amp;AH$2,"")&amp;IF(N(AI192)&gt;0,", "&amp;A192&amp;"-"&amp;AI$2,"")&amp;IF(N(AJ192)&gt;0,", "&amp;A192&amp;"-"&amp;AJ$2,""),3,999))</f>
        <v/>
      </c>
      <c r="AN192" s="81"/>
      <c r="AO192" s="88"/>
      <c r="AP192" s="89" t="str">
        <f aca="false">IF(AO192="","",ROUND(AO192/(1+Справочники!$B$13),2))</f>
        <v/>
      </c>
      <c r="AQ192" s="90" t="str">
        <f aca="false" t="array" ref="AQ192:AQ192">IF(AP192="","",AP192*INDEX(Справочники!$B$4:$B$7,MATCH("RUB",Справочники!$A$4:$A$7,0)))</f>
        <v/>
      </c>
      <c r="AR192" s="90" t="str">
        <f aca="false">IF(AQ192="","",ROUND(AQ192*(1+Справочники!$B$12),0))</f>
        <v/>
      </c>
      <c r="AS192" s="90" t="str">
        <f aca="false">IF(AR192="","",ROUND(AR192*(1-Справочники!$B$11),0))</f>
        <v/>
      </c>
      <c r="AT192" s="88"/>
      <c r="AU192" s="90" t="str">
        <f aca="false">IF(AT192="","",ROUND(AT192/(1+Справочники!$B$12),0))</f>
        <v/>
      </c>
      <c r="AV192" s="90" t="str">
        <f aca="false">IF(AT192="","",ROUND(AT192*(1-Справочники!$B$15),0))</f>
        <v/>
      </c>
      <c r="AW192" s="90" t="str">
        <f aca="false">IF(AT192="","",ROUND(AT192*(1-Справочники!$B$16),0))</f>
        <v/>
      </c>
      <c r="AX192" s="90" t="str">
        <f aca="false">IF(AT192="","",ROUND(AT192*(1-Справочники!$B$17),0))</f>
        <v/>
      </c>
      <c r="AY192" s="90" t="str">
        <f aca="false">IF(AT192="","",ROUND(AT192*(1-Справочники!$B$18),0))</f>
        <v/>
      </c>
      <c r="AZ192" s="90" t="str">
        <f aca="false">IF(AT192="","",ROUND(AT192*(1-Справочники!$B$19),0))</f>
        <v/>
      </c>
      <c r="BA192" s="81"/>
      <c r="BB192" s="81"/>
      <c r="BC192" s="81"/>
      <c r="BD192" s="81"/>
      <c r="BE192" s="91"/>
      <c r="BF192" s="81" t="s">
        <v>103</v>
      </c>
      <c r="BG192" s="89" t="n">
        <f aca="false" t="array" ref="BG192:BG192">IF(BF192="","",IFERROR(INDEX(Справочники!$B$4:$B$7,MATCH(BF192,Справочники!$A$4:$A$7,0)),""))</f>
        <v>68.5</v>
      </c>
      <c r="BH192" s="90" t="str">
        <f aca="false">IF(N(BN192)&gt;0,ROUND(SUMIF(ЗАКАЗЫ!$F$3:$F$500,$A192,ЗАКАЗЫ!$Y$3:$Y$500)/BN192,0),IF(OR(BE192="",BG192=""),"",ROUND(BE192*BG192*(1+Справочники!$B$10),0)))</f>
        <v/>
      </c>
      <c r="BI192" s="92" t="str">
        <f aca="false">IF(OR(AU192="",BH192="",AU192=0),"",(AU192-BH192)/AU192)</f>
        <v/>
      </c>
      <c r="BJ192" s="81"/>
      <c r="BK192" s="83"/>
      <c r="BL192" s="43" t="str">
        <f aca="false">IFERROR(INDEX(ЗАКАЗЫ!$N$3:$N$500,MATCH($A192,ЗАКАЗЫ!$F$3:$F$500,0)),"")</f>
        <v/>
      </c>
      <c r="BM192" s="8" t="str">
        <f aca="false">IF(BL192="","",IFERROR(VLOOKUP(BL192,'ТН ВЭД'!$A$4:$C$40,3,0),""))</f>
        <v/>
      </c>
      <c r="BN192" s="7" t="str">
        <f aca="false">IF(COUNTIF(ЗАКАЗЫ!$F$3:$F$500,$A192)=0,"",SUMIF(ЗАКАЗЫ!$F$3:$F$500,$A192,ЗАКАЗЫ!$J$3:$J$500))</f>
        <v/>
      </c>
      <c r="BO192" s="7" t="str">
        <f aca="false">IF(BN192="","",SUMIF(ЗАКАЗЫ!$F$3:$F$500,$A192,ЗАКАЗЫ!$AL$3:$AL$500))</f>
        <v/>
      </c>
      <c r="BP192" s="7" t="str">
        <f aca="false">IF(BN192="","",BN192-BO192)</f>
        <v/>
      </c>
      <c r="BQ192" s="55" t="str">
        <f aca="false">IF(BN192="","",IF(BO192&gt;=BN192,"На складе",IF(BO192&gt;0,"Частично","Ждём")))</f>
        <v/>
      </c>
      <c r="BR192" s="43"/>
      <c r="BS192" s="47" t="str">
        <f aca="false">IF(BN192="","",IF(_xlfn.MAXIFS(ЗАКАЗЫ!$AK$3:$AK$500,ЗАКАЗЫ!$F$3:$F$500,$A192)=0,"",_xlfn.MAXIFS(ЗАКАЗЫ!$AK$3:$AK$500,ЗАКАЗЫ!$F$3:$F$500,$A192)))</f>
        <v/>
      </c>
    </row>
    <row r="193" customFormat="false" ht="15.75" hidden="false" customHeight="true" outlineLevel="0" collapsed="false">
      <c r="A193" s="80" t="s">
        <v>1025</v>
      </c>
      <c r="B193" s="81"/>
      <c r="C193" s="81"/>
      <c r="D193" s="81"/>
      <c r="E193" s="83"/>
      <c r="F193" s="81"/>
      <c r="G193" s="83"/>
      <c r="H193" s="83"/>
      <c r="I193" s="84" t="str">
        <f aca="false">IF(E193="","",A193&amp;"_1.jpg")</f>
        <v/>
      </c>
      <c r="J193" s="84" t="str">
        <f aca="false">IF(E193="","",A193&amp;"_2.jpg; "&amp;A193&amp;"_3.jpg")</f>
        <v/>
      </c>
      <c r="K193" s="84" t="str">
        <f aca="false">IF(E193="","",A193&amp;"_schema.jpg")</f>
        <v/>
      </c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 t="s">
        <v>96</v>
      </c>
      <c r="W193" s="81"/>
      <c r="X193" s="81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6" t="str">
        <f aca="false">IF(SUM(Y193:AJ193)=0,"",SUM(Y193:AJ193))</f>
        <v/>
      </c>
      <c r="AL193" s="84" t="str">
        <f aca="false">MID(IF(N(Y193)&gt;0,", "&amp;Y$2,"")&amp;IF(N(Z193)&gt;0,", "&amp;Z$2,"")&amp;IF(N(AA193)&gt;0,", "&amp;AA$2,"")&amp;IF(N(AB193)&gt;0,", "&amp;AB$2,"")&amp;IF(N(AC193)&gt;0,", "&amp;AC$2,"")&amp;IF(N(AD193)&gt;0,", "&amp;AD$2,"")&amp;IF(N(AE193)&gt;0,", "&amp;AE$2,"")&amp;IF(N(AF193)&gt;0,", "&amp;AF$2,"")&amp;IF(N(AG193)&gt;0,", "&amp;AG$2,"")&amp;IF(N(AH193)&gt;0,", "&amp;AH$2,"")&amp;IF(N(AI193)&gt;0,", "&amp;AI$2,"")&amp;IF(N(AJ193)&gt;0,", "&amp;AJ$2,""),3,999)</f>
        <v/>
      </c>
      <c r="AM193" s="87" t="str">
        <f aca="false">IF(E193="","",MID(IF(N(Y193)&gt;0,", "&amp;A193&amp;"-"&amp;Y$2,"")&amp;IF(N(Z193)&gt;0,", "&amp;A193&amp;"-"&amp;Z$2,"")&amp;IF(N(AA193)&gt;0,", "&amp;A193&amp;"-"&amp;AA$2,"")&amp;IF(N(AB193)&gt;0,", "&amp;A193&amp;"-"&amp;AB$2,"")&amp;IF(N(AC193)&gt;0,", "&amp;A193&amp;"-"&amp;AC$2,"")&amp;IF(N(AD193)&gt;0,", "&amp;A193&amp;"-"&amp;AD$2,"")&amp;IF(N(AE193)&gt;0,", "&amp;A193&amp;"-"&amp;AE$2,"")&amp;IF(N(AF193)&gt;0,", "&amp;A193&amp;"-"&amp;AF$2,"")&amp;IF(N(AG193)&gt;0,", "&amp;A193&amp;"-"&amp;AG$2,"")&amp;IF(N(AH193)&gt;0,", "&amp;A193&amp;"-"&amp;AH$2,"")&amp;IF(N(AI193)&gt;0,", "&amp;A193&amp;"-"&amp;AI$2,"")&amp;IF(N(AJ193)&gt;0,", "&amp;A193&amp;"-"&amp;AJ$2,""),3,999))</f>
        <v/>
      </c>
      <c r="AN193" s="81"/>
      <c r="AO193" s="88"/>
      <c r="AP193" s="89" t="str">
        <f aca="false">IF(AO193="","",ROUND(AO193/(1+Справочники!$B$13),2))</f>
        <v/>
      </c>
      <c r="AQ193" s="90" t="str">
        <f aca="false" t="array" ref="AQ193:AQ193">IF(AP193="","",AP193*INDEX(Справочники!$B$4:$B$7,MATCH("RUB",Справочники!$A$4:$A$7,0)))</f>
        <v/>
      </c>
      <c r="AR193" s="90" t="str">
        <f aca="false">IF(AQ193="","",ROUND(AQ193*(1+Справочники!$B$12),0))</f>
        <v/>
      </c>
      <c r="AS193" s="90" t="str">
        <f aca="false">IF(AR193="","",ROUND(AR193*(1-Справочники!$B$11),0))</f>
        <v/>
      </c>
      <c r="AT193" s="88"/>
      <c r="AU193" s="90" t="str">
        <f aca="false">IF(AT193="","",ROUND(AT193/(1+Справочники!$B$12),0))</f>
        <v/>
      </c>
      <c r="AV193" s="90" t="str">
        <f aca="false">IF(AT193="","",ROUND(AT193*(1-Справочники!$B$15),0))</f>
        <v/>
      </c>
      <c r="AW193" s="90" t="str">
        <f aca="false">IF(AT193="","",ROUND(AT193*(1-Справочники!$B$16),0))</f>
        <v/>
      </c>
      <c r="AX193" s="90" t="str">
        <f aca="false">IF(AT193="","",ROUND(AT193*(1-Справочники!$B$17),0))</f>
        <v/>
      </c>
      <c r="AY193" s="90" t="str">
        <f aca="false">IF(AT193="","",ROUND(AT193*(1-Справочники!$B$18),0))</f>
        <v/>
      </c>
      <c r="AZ193" s="90" t="str">
        <f aca="false">IF(AT193="","",ROUND(AT193*(1-Справочники!$B$19),0))</f>
        <v/>
      </c>
      <c r="BA193" s="81"/>
      <c r="BB193" s="81"/>
      <c r="BC193" s="81"/>
      <c r="BD193" s="81"/>
      <c r="BE193" s="91"/>
      <c r="BF193" s="81" t="s">
        <v>103</v>
      </c>
      <c r="BG193" s="89" t="n">
        <f aca="false" t="array" ref="BG193:BG193">IF(BF193="","",IFERROR(INDEX(Справочники!$B$4:$B$7,MATCH(BF193,Справочники!$A$4:$A$7,0)),""))</f>
        <v>68.5</v>
      </c>
      <c r="BH193" s="90" t="str">
        <f aca="false">IF(N(BN193)&gt;0,ROUND(SUMIF(ЗАКАЗЫ!$F$3:$F$500,$A193,ЗАКАЗЫ!$Y$3:$Y$500)/BN193,0),IF(OR(BE193="",BG193=""),"",ROUND(BE193*BG193*(1+Справочники!$B$10),0)))</f>
        <v/>
      </c>
      <c r="BI193" s="92" t="str">
        <f aca="false">IF(OR(AU193="",BH193="",AU193=0),"",(AU193-BH193)/AU193)</f>
        <v/>
      </c>
      <c r="BJ193" s="81"/>
      <c r="BK193" s="83"/>
      <c r="BL193" s="43" t="str">
        <f aca="false">IFERROR(INDEX(ЗАКАЗЫ!$N$3:$N$500,MATCH($A193,ЗАКАЗЫ!$F$3:$F$500,0)),"")</f>
        <v/>
      </c>
      <c r="BM193" s="8" t="str">
        <f aca="false">IF(BL193="","",IFERROR(VLOOKUP(BL193,'ТН ВЭД'!$A$4:$C$40,3,0),""))</f>
        <v/>
      </c>
      <c r="BN193" s="7" t="str">
        <f aca="false">IF(COUNTIF(ЗАКАЗЫ!$F$3:$F$500,$A193)=0,"",SUMIF(ЗАКАЗЫ!$F$3:$F$500,$A193,ЗАКАЗЫ!$J$3:$J$500))</f>
        <v/>
      </c>
      <c r="BO193" s="7" t="str">
        <f aca="false">IF(BN193="","",SUMIF(ЗАКАЗЫ!$F$3:$F$500,$A193,ЗАКАЗЫ!$AL$3:$AL$500))</f>
        <v/>
      </c>
      <c r="BP193" s="7" t="str">
        <f aca="false">IF(BN193="","",BN193-BO193)</f>
        <v/>
      </c>
      <c r="BQ193" s="55" t="str">
        <f aca="false">IF(BN193="","",IF(BO193&gt;=BN193,"На складе",IF(BO193&gt;0,"Частично","Ждём")))</f>
        <v/>
      </c>
      <c r="BR193" s="43"/>
      <c r="BS193" s="47" t="str">
        <f aca="false">IF(BN193="","",IF(_xlfn.MAXIFS(ЗАКАЗЫ!$AK$3:$AK$500,ЗАКАЗЫ!$F$3:$F$500,$A193)=0,"",_xlfn.MAXIFS(ЗАКАЗЫ!$AK$3:$AK$500,ЗАКАЗЫ!$F$3:$F$500,$A193)))</f>
        <v/>
      </c>
    </row>
    <row r="194" customFormat="false" ht="15.75" hidden="false" customHeight="true" outlineLevel="0" collapsed="false">
      <c r="A194" s="80" t="s">
        <v>1026</v>
      </c>
      <c r="B194" s="81"/>
      <c r="C194" s="81"/>
      <c r="D194" s="81"/>
      <c r="E194" s="83"/>
      <c r="F194" s="81"/>
      <c r="G194" s="83"/>
      <c r="H194" s="83"/>
      <c r="I194" s="84" t="str">
        <f aca="false">IF(E194="","",A194&amp;"_1.jpg")</f>
        <v/>
      </c>
      <c r="J194" s="84" t="str">
        <f aca="false">IF(E194="","",A194&amp;"_2.jpg; "&amp;A194&amp;"_3.jpg")</f>
        <v/>
      </c>
      <c r="K194" s="84" t="str">
        <f aca="false">IF(E194="","",A194&amp;"_schema.jpg")</f>
        <v/>
      </c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 t="s">
        <v>96</v>
      </c>
      <c r="W194" s="81"/>
      <c r="X194" s="81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6" t="str">
        <f aca="false">IF(SUM(Y194:AJ194)=0,"",SUM(Y194:AJ194))</f>
        <v/>
      </c>
      <c r="AL194" s="84" t="str">
        <f aca="false">MID(IF(N(Y194)&gt;0,", "&amp;Y$2,"")&amp;IF(N(Z194)&gt;0,", "&amp;Z$2,"")&amp;IF(N(AA194)&gt;0,", "&amp;AA$2,"")&amp;IF(N(AB194)&gt;0,", "&amp;AB$2,"")&amp;IF(N(AC194)&gt;0,", "&amp;AC$2,"")&amp;IF(N(AD194)&gt;0,", "&amp;AD$2,"")&amp;IF(N(AE194)&gt;0,", "&amp;AE$2,"")&amp;IF(N(AF194)&gt;0,", "&amp;AF$2,"")&amp;IF(N(AG194)&gt;0,", "&amp;AG$2,"")&amp;IF(N(AH194)&gt;0,", "&amp;AH$2,"")&amp;IF(N(AI194)&gt;0,", "&amp;AI$2,"")&amp;IF(N(AJ194)&gt;0,", "&amp;AJ$2,""),3,999)</f>
        <v/>
      </c>
      <c r="AM194" s="87" t="str">
        <f aca="false">IF(E194="","",MID(IF(N(Y194)&gt;0,", "&amp;A194&amp;"-"&amp;Y$2,"")&amp;IF(N(Z194)&gt;0,", "&amp;A194&amp;"-"&amp;Z$2,"")&amp;IF(N(AA194)&gt;0,", "&amp;A194&amp;"-"&amp;AA$2,"")&amp;IF(N(AB194)&gt;0,", "&amp;A194&amp;"-"&amp;AB$2,"")&amp;IF(N(AC194)&gt;0,", "&amp;A194&amp;"-"&amp;AC$2,"")&amp;IF(N(AD194)&gt;0,", "&amp;A194&amp;"-"&amp;AD$2,"")&amp;IF(N(AE194)&gt;0,", "&amp;A194&amp;"-"&amp;AE$2,"")&amp;IF(N(AF194)&gt;0,", "&amp;A194&amp;"-"&amp;AF$2,"")&amp;IF(N(AG194)&gt;0,", "&amp;A194&amp;"-"&amp;AG$2,"")&amp;IF(N(AH194)&gt;0,", "&amp;A194&amp;"-"&amp;AH$2,"")&amp;IF(N(AI194)&gt;0,", "&amp;A194&amp;"-"&amp;AI$2,"")&amp;IF(N(AJ194)&gt;0,", "&amp;A194&amp;"-"&amp;AJ$2,""),3,999))</f>
        <v/>
      </c>
      <c r="AN194" s="81"/>
      <c r="AO194" s="88"/>
      <c r="AP194" s="89" t="str">
        <f aca="false">IF(AO194="","",ROUND(AO194/(1+Справочники!$B$13),2))</f>
        <v/>
      </c>
      <c r="AQ194" s="90" t="str">
        <f aca="false" t="array" ref="AQ194:AQ194">IF(AP194="","",AP194*INDEX(Справочники!$B$4:$B$7,MATCH("RUB",Справочники!$A$4:$A$7,0)))</f>
        <v/>
      </c>
      <c r="AR194" s="90" t="str">
        <f aca="false">IF(AQ194="","",ROUND(AQ194*(1+Справочники!$B$12),0))</f>
        <v/>
      </c>
      <c r="AS194" s="90" t="str">
        <f aca="false">IF(AR194="","",ROUND(AR194*(1-Справочники!$B$11),0))</f>
        <v/>
      </c>
      <c r="AT194" s="88"/>
      <c r="AU194" s="90" t="str">
        <f aca="false">IF(AT194="","",ROUND(AT194/(1+Справочники!$B$12),0))</f>
        <v/>
      </c>
      <c r="AV194" s="90" t="str">
        <f aca="false">IF(AT194="","",ROUND(AT194*(1-Справочники!$B$15),0))</f>
        <v/>
      </c>
      <c r="AW194" s="90" t="str">
        <f aca="false">IF(AT194="","",ROUND(AT194*(1-Справочники!$B$16),0))</f>
        <v/>
      </c>
      <c r="AX194" s="90" t="str">
        <f aca="false">IF(AT194="","",ROUND(AT194*(1-Справочники!$B$17),0))</f>
        <v/>
      </c>
      <c r="AY194" s="90" t="str">
        <f aca="false">IF(AT194="","",ROUND(AT194*(1-Справочники!$B$18),0))</f>
        <v/>
      </c>
      <c r="AZ194" s="90" t="str">
        <f aca="false">IF(AT194="","",ROUND(AT194*(1-Справочники!$B$19),0))</f>
        <v/>
      </c>
      <c r="BA194" s="81"/>
      <c r="BB194" s="81"/>
      <c r="BC194" s="81"/>
      <c r="BD194" s="81"/>
      <c r="BE194" s="91"/>
      <c r="BF194" s="81" t="s">
        <v>103</v>
      </c>
      <c r="BG194" s="89" t="n">
        <f aca="false" t="array" ref="BG194:BG194">IF(BF194="","",IFERROR(INDEX(Справочники!$B$4:$B$7,MATCH(BF194,Справочники!$A$4:$A$7,0)),""))</f>
        <v>68.5</v>
      </c>
      <c r="BH194" s="90" t="str">
        <f aca="false">IF(N(BN194)&gt;0,ROUND(SUMIF(ЗАКАЗЫ!$F$3:$F$500,$A194,ЗАКАЗЫ!$Y$3:$Y$500)/BN194,0),IF(OR(BE194="",BG194=""),"",ROUND(BE194*BG194*(1+Справочники!$B$10),0)))</f>
        <v/>
      </c>
      <c r="BI194" s="92" t="str">
        <f aca="false">IF(OR(AU194="",BH194="",AU194=0),"",(AU194-BH194)/AU194)</f>
        <v/>
      </c>
      <c r="BJ194" s="81"/>
      <c r="BK194" s="83"/>
      <c r="BL194" s="43" t="str">
        <f aca="false">IFERROR(INDEX(ЗАКАЗЫ!$N$3:$N$500,MATCH($A194,ЗАКАЗЫ!$F$3:$F$500,0)),"")</f>
        <v/>
      </c>
      <c r="BM194" s="8" t="str">
        <f aca="false">IF(BL194="","",IFERROR(VLOOKUP(BL194,'ТН ВЭД'!$A$4:$C$40,3,0),""))</f>
        <v/>
      </c>
      <c r="BN194" s="7" t="str">
        <f aca="false">IF(COUNTIF(ЗАКАЗЫ!$F$3:$F$500,$A194)=0,"",SUMIF(ЗАКАЗЫ!$F$3:$F$500,$A194,ЗАКАЗЫ!$J$3:$J$500))</f>
        <v/>
      </c>
      <c r="BO194" s="7" t="str">
        <f aca="false">IF(BN194="","",SUMIF(ЗАКАЗЫ!$F$3:$F$500,$A194,ЗАКАЗЫ!$AL$3:$AL$500))</f>
        <v/>
      </c>
      <c r="BP194" s="7" t="str">
        <f aca="false">IF(BN194="","",BN194-BO194)</f>
        <v/>
      </c>
      <c r="BQ194" s="55" t="str">
        <f aca="false">IF(BN194="","",IF(BO194&gt;=BN194,"На складе",IF(BO194&gt;0,"Частично","Ждём")))</f>
        <v/>
      </c>
      <c r="BR194" s="43"/>
      <c r="BS194" s="47" t="str">
        <f aca="false">IF(BN194="","",IF(_xlfn.MAXIFS(ЗАКАЗЫ!$AK$3:$AK$500,ЗАКАЗЫ!$F$3:$F$500,$A194)=0,"",_xlfn.MAXIFS(ЗАКАЗЫ!$AK$3:$AK$500,ЗАКАЗЫ!$F$3:$F$500,$A194)))</f>
        <v/>
      </c>
    </row>
    <row r="195" customFormat="false" ht="15.75" hidden="false" customHeight="true" outlineLevel="0" collapsed="false">
      <c r="A195" s="80" t="s">
        <v>1027</v>
      </c>
      <c r="B195" s="81"/>
      <c r="C195" s="81"/>
      <c r="D195" s="81"/>
      <c r="E195" s="83"/>
      <c r="F195" s="81"/>
      <c r="G195" s="83"/>
      <c r="H195" s="83"/>
      <c r="I195" s="84" t="str">
        <f aca="false">IF(E195="","",A195&amp;"_1.jpg")</f>
        <v/>
      </c>
      <c r="J195" s="84" t="str">
        <f aca="false">IF(E195="","",A195&amp;"_2.jpg; "&amp;A195&amp;"_3.jpg")</f>
        <v/>
      </c>
      <c r="K195" s="84" t="str">
        <f aca="false">IF(E195="","",A195&amp;"_schema.jpg")</f>
        <v/>
      </c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 t="s">
        <v>96</v>
      </c>
      <c r="W195" s="81"/>
      <c r="X195" s="81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6" t="str">
        <f aca="false">IF(SUM(Y195:AJ195)=0,"",SUM(Y195:AJ195))</f>
        <v/>
      </c>
      <c r="AL195" s="84" t="str">
        <f aca="false">MID(IF(N(Y195)&gt;0,", "&amp;Y$2,"")&amp;IF(N(Z195)&gt;0,", "&amp;Z$2,"")&amp;IF(N(AA195)&gt;0,", "&amp;AA$2,"")&amp;IF(N(AB195)&gt;0,", "&amp;AB$2,"")&amp;IF(N(AC195)&gt;0,", "&amp;AC$2,"")&amp;IF(N(AD195)&gt;0,", "&amp;AD$2,"")&amp;IF(N(AE195)&gt;0,", "&amp;AE$2,"")&amp;IF(N(AF195)&gt;0,", "&amp;AF$2,"")&amp;IF(N(AG195)&gt;0,", "&amp;AG$2,"")&amp;IF(N(AH195)&gt;0,", "&amp;AH$2,"")&amp;IF(N(AI195)&gt;0,", "&amp;AI$2,"")&amp;IF(N(AJ195)&gt;0,", "&amp;AJ$2,""),3,999)</f>
        <v/>
      </c>
      <c r="AM195" s="87" t="str">
        <f aca="false">IF(E195="","",MID(IF(N(Y195)&gt;0,", "&amp;A195&amp;"-"&amp;Y$2,"")&amp;IF(N(Z195)&gt;0,", "&amp;A195&amp;"-"&amp;Z$2,"")&amp;IF(N(AA195)&gt;0,", "&amp;A195&amp;"-"&amp;AA$2,"")&amp;IF(N(AB195)&gt;0,", "&amp;A195&amp;"-"&amp;AB$2,"")&amp;IF(N(AC195)&gt;0,", "&amp;A195&amp;"-"&amp;AC$2,"")&amp;IF(N(AD195)&gt;0,", "&amp;A195&amp;"-"&amp;AD$2,"")&amp;IF(N(AE195)&gt;0,", "&amp;A195&amp;"-"&amp;AE$2,"")&amp;IF(N(AF195)&gt;0,", "&amp;A195&amp;"-"&amp;AF$2,"")&amp;IF(N(AG195)&gt;0,", "&amp;A195&amp;"-"&amp;AG$2,"")&amp;IF(N(AH195)&gt;0,", "&amp;A195&amp;"-"&amp;AH$2,"")&amp;IF(N(AI195)&gt;0,", "&amp;A195&amp;"-"&amp;AI$2,"")&amp;IF(N(AJ195)&gt;0,", "&amp;A195&amp;"-"&amp;AJ$2,""),3,999))</f>
        <v/>
      </c>
      <c r="AN195" s="81"/>
      <c r="AO195" s="88"/>
      <c r="AP195" s="89" t="str">
        <f aca="false">IF(AO195="","",ROUND(AO195/(1+Справочники!$B$13),2))</f>
        <v/>
      </c>
      <c r="AQ195" s="90" t="str">
        <f aca="false" t="array" ref="AQ195:AQ195">IF(AP195="","",AP195*INDEX(Справочники!$B$4:$B$7,MATCH("RUB",Справочники!$A$4:$A$7,0)))</f>
        <v/>
      </c>
      <c r="AR195" s="90" t="str">
        <f aca="false">IF(AQ195="","",ROUND(AQ195*(1+Справочники!$B$12),0))</f>
        <v/>
      </c>
      <c r="AS195" s="90" t="str">
        <f aca="false">IF(AR195="","",ROUND(AR195*(1-Справочники!$B$11),0))</f>
        <v/>
      </c>
      <c r="AT195" s="88"/>
      <c r="AU195" s="90" t="str">
        <f aca="false">IF(AT195="","",ROUND(AT195/(1+Справочники!$B$12),0))</f>
        <v/>
      </c>
      <c r="AV195" s="90" t="str">
        <f aca="false">IF(AT195="","",ROUND(AT195*(1-Справочники!$B$15),0))</f>
        <v/>
      </c>
      <c r="AW195" s="90" t="str">
        <f aca="false">IF(AT195="","",ROUND(AT195*(1-Справочники!$B$16),0))</f>
        <v/>
      </c>
      <c r="AX195" s="90" t="str">
        <f aca="false">IF(AT195="","",ROUND(AT195*(1-Справочники!$B$17),0))</f>
        <v/>
      </c>
      <c r="AY195" s="90" t="str">
        <f aca="false">IF(AT195="","",ROUND(AT195*(1-Справочники!$B$18),0))</f>
        <v/>
      </c>
      <c r="AZ195" s="90" t="str">
        <f aca="false">IF(AT195="","",ROUND(AT195*(1-Справочники!$B$19),0))</f>
        <v/>
      </c>
      <c r="BA195" s="81"/>
      <c r="BB195" s="81"/>
      <c r="BC195" s="81"/>
      <c r="BD195" s="81"/>
      <c r="BE195" s="91"/>
      <c r="BF195" s="81" t="s">
        <v>103</v>
      </c>
      <c r="BG195" s="89" t="n">
        <f aca="false" t="array" ref="BG195:BG195">IF(BF195="","",IFERROR(INDEX(Справочники!$B$4:$B$7,MATCH(BF195,Справочники!$A$4:$A$7,0)),""))</f>
        <v>68.5</v>
      </c>
      <c r="BH195" s="90" t="str">
        <f aca="false">IF(N(BN195)&gt;0,ROUND(SUMIF(ЗАКАЗЫ!$F$3:$F$500,$A195,ЗАКАЗЫ!$Y$3:$Y$500)/BN195,0),IF(OR(BE195="",BG195=""),"",ROUND(BE195*BG195*(1+Справочники!$B$10),0)))</f>
        <v/>
      </c>
      <c r="BI195" s="92" t="str">
        <f aca="false">IF(OR(AU195="",BH195="",AU195=0),"",(AU195-BH195)/AU195)</f>
        <v/>
      </c>
      <c r="BJ195" s="81"/>
      <c r="BK195" s="83"/>
      <c r="BL195" s="43" t="str">
        <f aca="false">IFERROR(INDEX(ЗАКАЗЫ!$N$3:$N$500,MATCH($A195,ЗАКАЗЫ!$F$3:$F$500,0)),"")</f>
        <v/>
      </c>
      <c r="BM195" s="8" t="str">
        <f aca="false">IF(BL195="","",IFERROR(VLOOKUP(BL195,'ТН ВЭД'!$A$4:$C$40,3,0),""))</f>
        <v/>
      </c>
      <c r="BN195" s="7" t="str">
        <f aca="false">IF(COUNTIF(ЗАКАЗЫ!$F$3:$F$500,$A195)=0,"",SUMIF(ЗАКАЗЫ!$F$3:$F$500,$A195,ЗАКАЗЫ!$J$3:$J$500))</f>
        <v/>
      </c>
      <c r="BO195" s="7" t="str">
        <f aca="false">IF(BN195="","",SUMIF(ЗАКАЗЫ!$F$3:$F$500,$A195,ЗАКАЗЫ!$AL$3:$AL$500))</f>
        <v/>
      </c>
      <c r="BP195" s="7" t="str">
        <f aca="false">IF(BN195="","",BN195-BO195)</f>
        <v/>
      </c>
      <c r="BQ195" s="55" t="str">
        <f aca="false">IF(BN195="","",IF(BO195&gt;=BN195,"На складе",IF(BO195&gt;0,"Частично","Ждём")))</f>
        <v/>
      </c>
      <c r="BR195" s="43"/>
      <c r="BS195" s="47" t="str">
        <f aca="false">IF(BN195="","",IF(_xlfn.MAXIFS(ЗАКАЗЫ!$AK$3:$AK$500,ЗАКАЗЫ!$F$3:$F$500,$A195)=0,"",_xlfn.MAXIFS(ЗАКАЗЫ!$AK$3:$AK$500,ЗАКАЗЫ!$F$3:$F$500,$A195)))</f>
        <v/>
      </c>
    </row>
    <row r="196" customFormat="false" ht="15.75" hidden="false" customHeight="true" outlineLevel="0" collapsed="false">
      <c r="A196" s="80" t="s">
        <v>1028</v>
      </c>
      <c r="B196" s="81"/>
      <c r="C196" s="81"/>
      <c r="D196" s="81"/>
      <c r="E196" s="83"/>
      <c r="F196" s="81"/>
      <c r="G196" s="83"/>
      <c r="H196" s="83"/>
      <c r="I196" s="84" t="str">
        <f aca="false">IF(E196="","",A196&amp;"_1.jpg")</f>
        <v/>
      </c>
      <c r="J196" s="84" t="str">
        <f aca="false">IF(E196="","",A196&amp;"_2.jpg; "&amp;A196&amp;"_3.jpg")</f>
        <v/>
      </c>
      <c r="K196" s="84" t="str">
        <f aca="false">IF(E196="","",A196&amp;"_schema.jpg")</f>
        <v/>
      </c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 t="s">
        <v>96</v>
      </c>
      <c r="W196" s="81"/>
      <c r="X196" s="81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6" t="str">
        <f aca="false">IF(SUM(Y196:AJ196)=0,"",SUM(Y196:AJ196))</f>
        <v/>
      </c>
      <c r="AL196" s="84" t="str">
        <f aca="false">MID(IF(N(Y196)&gt;0,", "&amp;Y$2,"")&amp;IF(N(Z196)&gt;0,", "&amp;Z$2,"")&amp;IF(N(AA196)&gt;0,", "&amp;AA$2,"")&amp;IF(N(AB196)&gt;0,", "&amp;AB$2,"")&amp;IF(N(AC196)&gt;0,", "&amp;AC$2,"")&amp;IF(N(AD196)&gt;0,", "&amp;AD$2,"")&amp;IF(N(AE196)&gt;0,", "&amp;AE$2,"")&amp;IF(N(AF196)&gt;0,", "&amp;AF$2,"")&amp;IF(N(AG196)&gt;0,", "&amp;AG$2,"")&amp;IF(N(AH196)&gt;0,", "&amp;AH$2,"")&amp;IF(N(AI196)&gt;0,", "&amp;AI$2,"")&amp;IF(N(AJ196)&gt;0,", "&amp;AJ$2,""),3,999)</f>
        <v/>
      </c>
      <c r="AM196" s="87" t="str">
        <f aca="false">IF(E196="","",MID(IF(N(Y196)&gt;0,", "&amp;A196&amp;"-"&amp;Y$2,"")&amp;IF(N(Z196)&gt;0,", "&amp;A196&amp;"-"&amp;Z$2,"")&amp;IF(N(AA196)&gt;0,", "&amp;A196&amp;"-"&amp;AA$2,"")&amp;IF(N(AB196)&gt;0,", "&amp;A196&amp;"-"&amp;AB$2,"")&amp;IF(N(AC196)&gt;0,", "&amp;A196&amp;"-"&amp;AC$2,"")&amp;IF(N(AD196)&gt;0,", "&amp;A196&amp;"-"&amp;AD$2,"")&amp;IF(N(AE196)&gt;0,", "&amp;A196&amp;"-"&amp;AE$2,"")&amp;IF(N(AF196)&gt;0,", "&amp;A196&amp;"-"&amp;AF$2,"")&amp;IF(N(AG196)&gt;0,", "&amp;A196&amp;"-"&amp;AG$2,"")&amp;IF(N(AH196)&gt;0,", "&amp;A196&amp;"-"&amp;AH$2,"")&amp;IF(N(AI196)&gt;0,", "&amp;A196&amp;"-"&amp;AI$2,"")&amp;IF(N(AJ196)&gt;0,", "&amp;A196&amp;"-"&amp;AJ$2,""),3,999))</f>
        <v/>
      </c>
      <c r="AN196" s="81"/>
      <c r="AO196" s="88"/>
      <c r="AP196" s="89" t="str">
        <f aca="false">IF(AO196="","",ROUND(AO196/(1+Справочники!$B$13),2))</f>
        <v/>
      </c>
      <c r="AQ196" s="90" t="str">
        <f aca="false" t="array" ref="AQ196:AQ196">IF(AP196="","",AP196*INDEX(Справочники!$B$4:$B$7,MATCH("RUB",Справочники!$A$4:$A$7,0)))</f>
        <v/>
      </c>
      <c r="AR196" s="90" t="str">
        <f aca="false">IF(AQ196="","",ROUND(AQ196*(1+Справочники!$B$12),0))</f>
        <v/>
      </c>
      <c r="AS196" s="90" t="str">
        <f aca="false">IF(AR196="","",ROUND(AR196*(1-Справочники!$B$11),0))</f>
        <v/>
      </c>
      <c r="AT196" s="88"/>
      <c r="AU196" s="90" t="str">
        <f aca="false">IF(AT196="","",ROUND(AT196/(1+Справочники!$B$12),0))</f>
        <v/>
      </c>
      <c r="AV196" s="90" t="str">
        <f aca="false">IF(AT196="","",ROUND(AT196*(1-Справочники!$B$15),0))</f>
        <v/>
      </c>
      <c r="AW196" s="90" t="str">
        <f aca="false">IF(AT196="","",ROUND(AT196*(1-Справочники!$B$16),0))</f>
        <v/>
      </c>
      <c r="AX196" s="90" t="str">
        <f aca="false">IF(AT196="","",ROUND(AT196*(1-Справочники!$B$17),0))</f>
        <v/>
      </c>
      <c r="AY196" s="90" t="str">
        <f aca="false">IF(AT196="","",ROUND(AT196*(1-Справочники!$B$18),0))</f>
        <v/>
      </c>
      <c r="AZ196" s="90" t="str">
        <f aca="false">IF(AT196="","",ROUND(AT196*(1-Справочники!$B$19),0))</f>
        <v/>
      </c>
      <c r="BA196" s="81"/>
      <c r="BB196" s="81"/>
      <c r="BC196" s="81"/>
      <c r="BD196" s="81"/>
      <c r="BE196" s="91"/>
      <c r="BF196" s="81" t="s">
        <v>103</v>
      </c>
      <c r="BG196" s="89" t="n">
        <f aca="false" t="array" ref="BG196:BG196">IF(BF196="","",IFERROR(INDEX(Справочники!$B$4:$B$7,MATCH(BF196,Справочники!$A$4:$A$7,0)),""))</f>
        <v>68.5</v>
      </c>
      <c r="BH196" s="90" t="str">
        <f aca="false">IF(N(BN196)&gt;0,ROUND(SUMIF(ЗАКАЗЫ!$F$3:$F$500,$A196,ЗАКАЗЫ!$Y$3:$Y$500)/BN196,0),IF(OR(BE196="",BG196=""),"",ROUND(BE196*BG196*(1+Справочники!$B$10),0)))</f>
        <v/>
      </c>
      <c r="BI196" s="92" t="str">
        <f aca="false">IF(OR(AU196="",BH196="",AU196=0),"",(AU196-BH196)/AU196)</f>
        <v/>
      </c>
      <c r="BJ196" s="81"/>
      <c r="BK196" s="83"/>
      <c r="BL196" s="43" t="str">
        <f aca="false">IFERROR(INDEX(ЗАКАЗЫ!$N$3:$N$500,MATCH($A196,ЗАКАЗЫ!$F$3:$F$500,0)),"")</f>
        <v/>
      </c>
      <c r="BM196" s="8" t="str">
        <f aca="false">IF(BL196="","",IFERROR(VLOOKUP(BL196,'ТН ВЭД'!$A$4:$C$40,3,0),""))</f>
        <v/>
      </c>
      <c r="BN196" s="7" t="str">
        <f aca="false">IF(COUNTIF(ЗАКАЗЫ!$F$3:$F$500,$A196)=0,"",SUMIF(ЗАКАЗЫ!$F$3:$F$500,$A196,ЗАКАЗЫ!$J$3:$J$500))</f>
        <v/>
      </c>
      <c r="BO196" s="7" t="str">
        <f aca="false">IF(BN196="","",SUMIF(ЗАКАЗЫ!$F$3:$F$500,$A196,ЗАКАЗЫ!$AL$3:$AL$500))</f>
        <v/>
      </c>
      <c r="BP196" s="7" t="str">
        <f aca="false">IF(BN196="","",BN196-BO196)</f>
        <v/>
      </c>
      <c r="BQ196" s="55" t="str">
        <f aca="false">IF(BN196="","",IF(BO196&gt;=BN196,"На складе",IF(BO196&gt;0,"Частично","Ждём")))</f>
        <v/>
      </c>
      <c r="BR196" s="43"/>
      <c r="BS196" s="47" t="str">
        <f aca="false">IF(BN196="","",IF(_xlfn.MAXIFS(ЗАКАЗЫ!$AK$3:$AK$500,ЗАКАЗЫ!$F$3:$F$500,$A196)=0,"",_xlfn.MAXIFS(ЗАКАЗЫ!$AK$3:$AK$500,ЗАКАЗЫ!$F$3:$F$500,$A196)))</f>
        <v/>
      </c>
    </row>
    <row r="197" customFormat="false" ht="15.75" hidden="false" customHeight="true" outlineLevel="0" collapsed="false">
      <c r="A197" s="80" t="s">
        <v>1029</v>
      </c>
      <c r="B197" s="81"/>
      <c r="C197" s="81"/>
      <c r="D197" s="81"/>
      <c r="E197" s="83"/>
      <c r="F197" s="81"/>
      <c r="G197" s="83"/>
      <c r="H197" s="83"/>
      <c r="I197" s="84" t="str">
        <f aca="false">IF(E197="","",A197&amp;"_1.jpg")</f>
        <v/>
      </c>
      <c r="J197" s="84" t="str">
        <f aca="false">IF(E197="","",A197&amp;"_2.jpg; "&amp;A197&amp;"_3.jpg")</f>
        <v/>
      </c>
      <c r="K197" s="84" t="str">
        <f aca="false">IF(E197="","",A197&amp;"_schema.jpg")</f>
        <v/>
      </c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 t="s">
        <v>96</v>
      </c>
      <c r="W197" s="81"/>
      <c r="X197" s="81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6" t="str">
        <f aca="false">IF(SUM(Y197:AJ197)=0,"",SUM(Y197:AJ197))</f>
        <v/>
      </c>
      <c r="AL197" s="84" t="str">
        <f aca="false">MID(IF(N(Y197)&gt;0,", "&amp;Y$2,"")&amp;IF(N(Z197)&gt;0,", "&amp;Z$2,"")&amp;IF(N(AA197)&gt;0,", "&amp;AA$2,"")&amp;IF(N(AB197)&gt;0,", "&amp;AB$2,"")&amp;IF(N(AC197)&gt;0,", "&amp;AC$2,"")&amp;IF(N(AD197)&gt;0,", "&amp;AD$2,"")&amp;IF(N(AE197)&gt;0,", "&amp;AE$2,"")&amp;IF(N(AF197)&gt;0,", "&amp;AF$2,"")&amp;IF(N(AG197)&gt;0,", "&amp;AG$2,"")&amp;IF(N(AH197)&gt;0,", "&amp;AH$2,"")&amp;IF(N(AI197)&gt;0,", "&amp;AI$2,"")&amp;IF(N(AJ197)&gt;0,", "&amp;AJ$2,""),3,999)</f>
        <v/>
      </c>
      <c r="AM197" s="87" t="str">
        <f aca="false">IF(E197="","",MID(IF(N(Y197)&gt;0,", "&amp;A197&amp;"-"&amp;Y$2,"")&amp;IF(N(Z197)&gt;0,", "&amp;A197&amp;"-"&amp;Z$2,"")&amp;IF(N(AA197)&gt;0,", "&amp;A197&amp;"-"&amp;AA$2,"")&amp;IF(N(AB197)&gt;0,", "&amp;A197&amp;"-"&amp;AB$2,"")&amp;IF(N(AC197)&gt;0,", "&amp;A197&amp;"-"&amp;AC$2,"")&amp;IF(N(AD197)&gt;0,", "&amp;A197&amp;"-"&amp;AD$2,"")&amp;IF(N(AE197)&gt;0,", "&amp;A197&amp;"-"&amp;AE$2,"")&amp;IF(N(AF197)&gt;0,", "&amp;A197&amp;"-"&amp;AF$2,"")&amp;IF(N(AG197)&gt;0,", "&amp;A197&amp;"-"&amp;AG$2,"")&amp;IF(N(AH197)&gt;0,", "&amp;A197&amp;"-"&amp;AH$2,"")&amp;IF(N(AI197)&gt;0,", "&amp;A197&amp;"-"&amp;AI$2,"")&amp;IF(N(AJ197)&gt;0,", "&amp;A197&amp;"-"&amp;AJ$2,""),3,999))</f>
        <v/>
      </c>
      <c r="AN197" s="81"/>
      <c r="AO197" s="88"/>
      <c r="AP197" s="89" t="str">
        <f aca="false">IF(AO197="","",ROUND(AO197/(1+Справочники!$B$13),2))</f>
        <v/>
      </c>
      <c r="AQ197" s="90" t="str">
        <f aca="false" t="array" ref="AQ197:AQ197">IF(AP197="","",AP197*INDEX(Справочники!$B$4:$B$7,MATCH("RUB",Справочники!$A$4:$A$7,0)))</f>
        <v/>
      </c>
      <c r="AR197" s="90" t="str">
        <f aca="false">IF(AQ197="","",ROUND(AQ197*(1+Справочники!$B$12),0))</f>
        <v/>
      </c>
      <c r="AS197" s="90" t="str">
        <f aca="false">IF(AR197="","",ROUND(AR197*(1-Справочники!$B$11),0))</f>
        <v/>
      </c>
      <c r="AT197" s="88"/>
      <c r="AU197" s="90" t="str">
        <f aca="false">IF(AT197="","",ROUND(AT197/(1+Справочники!$B$12),0))</f>
        <v/>
      </c>
      <c r="AV197" s="90" t="str">
        <f aca="false">IF(AT197="","",ROUND(AT197*(1-Справочники!$B$15),0))</f>
        <v/>
      </c>
      <c r="AW197" s="90" t="str">
        <f aca="false">IF(AT197="","",ROUND(AT197*(1-Справочники!$B$16),0))</f>
        <v/>
      </c>
      <c r="AX197" s="90" t="str">
        <f aca="false">IF(AT197="","",ROUND(AT197*(1-Справочники!$B$17),0))</f>
        <v/>
      </c>
      <c r="AY197" s="90" t="str">
        <f aca="false">IF(AT197="","",ROUND(AT197*(1-Справочники!$B$18),0))</f>
        <v/>
      </c>
      <c r="AZ197" s="90" t="str">
        <f aca="false">IF(AT197="","",ROUND(AT197*(1-Справочники!$B$19),0))</f>
        <v/>
      </c>
      <c r="BA197" s="81"/>
      <c r="BB197" s="81"/>
      <c r="BC197" s="81"/>
      <c r="BD197" s="81"/>
      <c r="BE197" s="91"/>
      <c r="BF197" s="81" t="s">
        <v>103</v>
      </c>
      <c r="BG197" s="89" t="n">
        <f aca="false" t="array" ref="BG197:BG197">IF(BF197="","",IFERROR(INDEX(Справочники!$B$4:$B$7,MATCH(BF197,Справочники!$A$4:$A$7,0)),""))</f>
        <v>68.5</v>
      </c>
      <c r="BH197" s="90" t="str">
        <f aca="false">IF(N(BN197)&gt;0,ROUND(SUMIF(ЗАКАЗЫ!$F$3:$F$500,$A197,ЗАКАЗЫ!$Y$3:$Y$500)/BN197,0),IF(OR(BE197="",BG197=""),"",ROUND(BE197*BG197*(1+Справочники!$B$10),0)))</f>
        <v/>
      </c>
      <c r="BI197" s="92" t="str">
        <f aca="false">IF(OR(AU197="",BH197="",AU197=0),"",(AU197-BH197)/AU197)</f>
        <v/>
      </c>
      <c r="BJ197" s="81"/>
      <c r="BK197" s="83"/>
      <c r="BL197" s="43" t="str">
        <f aca="false">IFERROR(INDEX(ЗАКАЗЫ!$N$3:$N$500,MATCH($A197,ЗАКАЗЫ!$F$3:$F$500,0)),"")</f>
        <v/>
      </c>
      <c r="BM197" s="8" t="str">
        <f aca="false">IF(BL197="","",IFERROR(VLOOKUP(BL197,'ТН ВЭД'!$A$4:$C$40,3,0),""))</f>
        <v/>
      </c>
      <c r="BN197" s="7" t="str">
        <f aca="false">IF(COUNTIF(ЗАКАЗЫ!$F$3:$F$500,$A197)=0,"",SUMIF(ЗАКАЗЫ!$F$3:$F$500,$A197,ЗАКАЗЫ!$J$3:$J$500))</f>
        <v/>
      </c>
      <c r="BO197" s="7" t="str">
        <f aca="false">IF(BN197="","",SUMIF(ЗАКАЗЫ!$F$3:$F$500,$A197,ЗАКАЗЫ!$AL$3:$AL$500))</f>
        <v/>
      </c>
      <c r="BP197" s="7" t="str">
        <f aca="false">IF(BN197="","",BN197-BO197)</f>
        <v/>
      </c>
      <c r="BQ197" s="55" t="str">
        <f aca="false">IF(BN197="","",IF(BO197&gt;=BN197,"На складе",IF(BO197&gt;0,"Частично","Ждём")))</f>
        <v/>
      </c>
      <c r="BR197" s="43"/>
      <c r="BS197" s="47" t="str">
        <f aca="false">IF(BN197="","",IF(_xlfn.MAXIFS(ЗАКАЗЫ!$AK$3:$AK$500,ЗАКАЗЫ!$F$3:$F$500,$A197)=0,"",_xlfn.MAXIFS(ЗАКАЗЫ!$AK$3:$AK$500,ЗАКАЗЫ!$F$3:$F$500,$A197)))</f>
        <v/>
      </c>
    </row>
    <row r="198" customFormat="false" ht="15.75" hidden="false" customHeight="true" outlineLevel="0" collapsed="false">
      <c r="A198" s="80" t="s">
        <v>1030</v>
      </c>
      <c r="B198" s="81"/>
      <c r="C198" s="81"/>
      <c r="D198" s="81"/>
      <c r="E198" s="83"/>
      <c r="F198" s="81"/>
      <c r="G198" s="83"/>
      <c r="H198" s="83"/>
      <c r="I198" s="84" t="str">
        <f aca="false">IF(E198="","",A198&amp;"_1.jpg")</f>
        <v/>
      </c>
      <c r="J198" s="84" t="str">
        <f aca="false">IF(E198="","",A198&amp;"_2.jpg; "&amp;A198&amp;"_3.jpg")</f>
        <v/>
      </c>
      <c r="K198" s="84" t="str">
        <f aca="false">IF(E198="","",A198&amp;"_schema.jpg")</f>
        <v/>
      </c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 t="s">
        <v>96</v>
      </c>
      <c r="W198" s="81"/>
      <c r="X198" s="81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6" t="str">
        <f aca="false">IF(SUM(Y198:AJ198)=0,"",SUM(Y198:AJ198))</f>
        <v/>
      </c>
      <c r="AL198" s="84" t="str">
        <f aca="false">MID(IF(N(Y198)&gt;0,", "&amp;Y$2,"")&amp;IF(N(Z198)&gt;0,", "&amp;Z$2,"")&amp;IF(N(AA198)&gt;0,", "&amp;AA$2,"")&amp;IF(N(AB198)&gt;0,", "&amp;AB$2,"")&amp;IF(N(AC198)&gt;0,", "&amp;AC$2,"")&amp;IF(N(AD198)&gt;0,", "&amp;AD$2,"")&amp;IF(N(AE198)&gt;0,", "&amp;AE$2,"")&amp;IF(N(AF198)&gt;0,", "&amp;AF$2,"")&amp;IF(N(AG198)&gt;0,", "&amp;AG$2,"")&amp;IF(N(AH198)&gt;0,", "&amp;AH$2,"")&amp;IF(N(AI198)&gt;0,", "&amp;AI$2,"")&amp;IF(N(AJ198)&gt;0,", "&amp;AJ$2,""),3,999)</f>
        <v/>
      </c>
      <c r="AM198" s="87" t="str">
        <f aca="false">IF(E198="","",MID(IF(N(Y198)&gt;0,", "&amp;A198&amp;"-"&amp;Y$2,"")&amp;IF(N(Z198)&gt;0,", "&amp;A198&amp;"-"&amp;Z$2,"")&amp;IF(N(AA198)&gt;0,", "&amp;A198&amp;"-"&amp;AA$2,"")&amp;IF(N(AB198)&gt;0,", "&amp;A198&amp;"-"&amp;AB$2,"")&amp;IF(N(AC198)&gt;0,", "&amp;A198&amp;"-"&amp;AC$2,"")&amp;IF(N(AD198)&gt;0,", "&amp;A198&amp;"-"&amp;AD$2,"")&amp;IF(N(AE198)&gt;0,", "&amp;A198&amp;"-"&amp;AE$2,"")&amp;IF(N(AF198)&gt;0,", "&amp;A198&amp;"-"&amp;AF$2,"")&amp;IF(N(AG198)&gt;0,", "&amp;A198&amp;"-"&amp;AG$2,"")&amp;IF(N(AH198)&gt;0,", "&amp;A198&amp;"-"&amp;AH$2,"")&amp;IF(N(AI198)&gt;0,", "&amp;A198&amp;"-"&amp;AI$2,"")&amp;IF(N(AJ198)&gt;0,", "&amp;A198&amp;"-"&amp;AJ$2,""),3,999))</f>
        <v/>
      </c>
      <c r="AN198" s="81"/>
      <c r="AO198" s="88"/>
      <c r="AP198" s="89" t="str">
        <f aca="false">IF(AO198="","",ROUND(AO198/(1+Справочники!$B$13),2))</f>
        <v/>
      </c>
      <c r="AQ198" s="90" t="str">
        <f aca="false" t="array" ref="AQ198:AQ198">IF(AP198="","",AP198*INDEX(Справочники!$B$4:$B$7,MATCH("RUB",Справочники!$A$4:$A$7,0)))</f>
        <v/>
      </c>
      <c r="AR198" s="90" t="str">
        <f aca="false">IF(AQ198="","",ROUND(AQ198*(1+Справочники!$B$12),0))</f>
        <v/>
      </c>
      <c r="AS198" s="90" t="str">
        <f aca="false">IF(AR198="","",ROUND(AR198*(1-Справочники!$B$11),0))</f>
        <v/>
      </c>
      <c r="AT198" s="88"/>
      <c r="AU198" s="90" t="str">
        <f aca="false">IF(AT198="","",ROUND(AT198/(1+Справочники!$B$12),0))</f>
        <v/>
      </c>
      <c r="AV198" s="90" t="str">
        <f aca="false">IF(AT198="","",ROUND(AT198*(1-Справочники!$B$15),0))</f>
        <v/>
      </c>
      <c r="AW198" s="90" t="str">
        <f aca="false">IF(AT198="","",ROUND(AT198*(1-Справочники!$B$16),0))</f>
        <v/>
      </c>
      <c r="AX198" s="90" t="str">
        <f aca="false">IF(AT198="","",ROUND(AT198*(1-Справочники!$B$17),0))</f>
        <v/>
      </c>
      <c r="AY198" s="90" t="str">
        <f aca="false">IF(AT198="","",ROUND(AT198*(1-Справочники!$B$18),0))</f>
        <v/>
      </c>
      <c r="AZ198" s="90" t="str">
        <f aca="false">IF(AT198="","",ROUND(AT198*(1-Справочники!$B$19),0))</f>
        <v/>
      </c>
      <c r="BA198" s="81"/>
      <c r="BB198" s="81"/>
      <c r="BC198" s="81"/>
      <c r="BD198" s="81"/>
      <c r="BE198" s="91"/>
      <c r="BF198" s="81" t="s">
        <v>103</v>
      </c>
      <c r="BG198" s="89" t="n">
        <f aca="false" t="array" ref="BG198:BG198">IF(BF198="","",IFERROR(INDEX(Справочники!$B$4:$B$7,MATCH(BF198,Справочники!$A$4:$A$7,0)),""))</f>
        <v>68.5</v>
      </c>
      <c r="BH198" s="90" t="str">
        <f aca="false">IF(N(BN198)&gt;0,ROUND(SUMIF(ЗАКАЗЫ!$F$3:$F$500,$A198,ЗАКАЗЫ!$Y$3:$Y$500)/BN198,0),IF(OR(BE198="",BG198=""),"",ROUND(BE198*BG198*(1+Справочники!$B$10),0)))</f>
        <v/>
      </c>
      <c r="BI198" s="92" t="str">
        <f aca="false">IF(OR(AU198="",BH198="",AU198=0),"",(AU198-BH198)/AU198)</f>
        <v/>
      </c>
      <c r="BJ198" s="81"/>
      <c r="BK198" s="83"/>
      <c r="BL198" s="43" t="str">
        <f aca="false">IFERROR(INDEX(ЗАКАЗЫ!$N$3:$N$500,MATCH($A198,ЗАКАЗЫ!$F$3:$F$500,0)),"")</f>
        <v/>
      </c>
      <c r="BM198" s="8" t="str">
        <f aca="false">IF(BL198="","",IFERROR(VLOOKUP(BL198,'ТН ВЭД'!$A$4:$C$40,3,0),""))</f>
        <v/>
      </c>
      <c r="BN198" s="7" t="str">
        <f aca="false">IF(COUNTIF(ЗАКАЗЫ!$F$3:$F$500,$A198)=0,"",SUMIF(ЗАКАЗЫ!$F$3:$F$500,$A198,ЗАКАЗЫ!$J$3:$J$500))</f>
        <v/>
      </c>
      <c r="BO198" s="7" t="str">
        <f aca="false">IF(BN198="","",SUMIF(ЗАКАЗЫ!$F$3:$F$500,$A198,ЗАКАЗЫ!$AL$3:$AL$500))</f>
        <v/>
      </c>
      <c r="BP198" s="7" t="str">
        <f aca="false">IF(BN198="","",BN198-BO198)</f>
        <v/>
      </c>
      <c r="BQ198" s="55" t="str">
        <f aca="false">IF(BN198="","",IF(BO198&gt;=BN198,"На складе",IF(BO198&gt;0,"Частично","Ждём")))</f>
        <v/>
      </c>
      <c r="BR198" s="43"/>
      <c r="BS198" s="47" t="str">
        <f aca="false">IF(BN198="","",IF(_xlfn.MAXIFS(ЗАКАЗЫ!$AK$3:$AK$500,ЗАКАЗЫ!$F$3:$F$500,$A198)=0,"",_xlfn.MAXIFS(ЗАКАЗЫ!$AK$3:$AK$500,ЗАКАЗЫ!$F$3:$F$500,$A198)))</f>
        <v/>
      </c>
    </row>
    <row r="199" customFormat="false" ht="15.75" hidden="false" customHeight="true" outlineLevel="0" collapsed="false">
      <c r="A199" s="80" t="s">
        <v>1031</v>
      </c>
      <c r="B199" s="81"/>
      <c r="C199" s="81"/>
      <c r="D199" s="81"/>
      <c r="E199" s="83"/>
      <c r="F199" s="81"/>
      <c r="G199" s="83"/>
      <c r="H199" s="83"/>
      <c r="I199" s="84" t="str">
        <f aca="false">IF(E199="","",A199&amp;"_1.jpg")</f>
        <v/>
      </c>
      <c r="J199" s="84" t="str">
        <f aca="false">IF(E199="","",A199&amp;"_2.jpg; "&amp;A199&amp;"_3.jpg")</f>
        <v/>
      </c>
      <c r="K199" s="84" t="str">
        <f aca="false">IF(E199="","",A199&amp;"_schema.jpg")</f>
        <v/>
      </c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 t="s">
        <v>96</v>
      </c>
      <c r="W199" s="81"/>
      <c r="X199" s="81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6" t="str">
        <f aca="false">IF(SUM(Y199:AJ199)=0,"",SUM(Y199:AJ199))</f>
        <v/>
      </c>
      <c r="AL199" s="84" t="str">
        <f aca="false">MID(IF(N(Y199)&gt;0,", "&amp;Y$2,"")&amp;IF(N(Z199)&gt;0,", "&amp;Z$2,"")&amp;IF(N(AA199)&gt;0,", "&amp;AA$2,"")&amp;IF(N(AB199)&gt;0,", "&amp;AB$2,"")&amp;IF(N(AC199)&gt;0,", "&amp;AC$2,"")&amp;IF(N(AD199)&gt;0,", "&amp;AD$2,"")&amp;IF(N(AE199)&gt;0,", "&amp;AE$2,"")&amp;IF(N(AF199)&gt;0,", "&amp;AF$2,"")&amp;IF(N(AG199)&gt;0,", "&amp;AG$2,"")&amp;IF(N(AH199)&gt;0,", "&amp;AH$2,"")&amp;IF(N(AI199)&gt;0,", "&amp;AI$2,"")&amp;IF(N(AJ199)&gt;0,", "&amp;AJ$2,""),3,999)</f>
        <v/>
      </c>
      <c r="AM199" s="87" t="str">
        <f aca="false">IF(E199="","",MID(IF(N(Y199)&gt;0,", "&amp;A199&amp;"-"&amp;Y$2,"")&amp;IF(N(Z199)&gt;0,", "&amp;A199&amp;"-"&amp;Z$2,"")&amp;IF(N(AA199)&gt;0,", "&amp;A199&amp;"-"&amp;AA$2,"")&amp;IF(N(AB199)&gt;0,", "&amp;A199&amp;"-"&amp;AB$2,"")&amp;IF(N(AC199)&gt;0,", "&amp;A199&amp;"-"&amp;AC$2,"")&amp;IF(N(AD199)&gt;0,", "&amp;A199&amp;"-"&amp;AD$2,"")&amp;IF(N(AE199)&gt;0,", "&amp;A199&amp;"-"&amp;AE$2,"")&amp;IF(N(AF199)&gt;0,", "&amp;A199&amp;"-"&amp;AF$2,"")&amp;IF(N(AG199)&gt;0,", "&amp;A199&amp;"-"&amp;AG$2,"")&amp;IF(N(AH199)&gt;0,", "&amp;A199&amp;"-"&amp;AH$2,"")&amp;IF(N(AI199)&gt;0,", "&amp;A199&amp;"-"&amp;AI$2,"")&amp;IF(N(AJ199)&gt;0,", "&amp;A199&amp;"-"&amp;AJ$2,""),3,999))</f>
        <v/>
      </c>
      <c r="AN199" s="81"/>
      <c r="AO199" s="88"/>
      <c r="AP199" s="89" t="str">
        <f aca="false">IF(AO199="","",ROUND(AO199/(1+Справочники!$B$13),2))</f>
        <v/>
      </c>
      <c r="AQ199" s="90" t="str">
        <f aca="false" t="array" ref="AQ199:AQ199">IF(AP199="","",AP199*INDEX(Справочники!$B$4:$B$7,MATCH("RUB",Справочники!$A$4:$A$7,0)))</f>
        <v/>
      </c>
      <c r="AR199" s="90" t="str">
        <f aca="false">IF(AQ199="","",ROUND(AQ199*(1+Справочники!$B$12),0))</f>
        <v/>
      </c>
      <c r="AS199" s="90" t="str">
        <f aca="false">IF(AR199="","",ROUND(AR199*(1-Справочники!$B$11),0))</f>
        <v/>
      </c>
      <c r="AT199" s="88"/>
      <c r="AU199" s="90" t="str">
        <f aca="false">IF(AT199="","",ROUND(AT199/(1+Справочники!$B$12),0))</f>
        <v/>
      </c>
      <c r="AV199" s="90" t="str">
        <f aca="false">IF(AT199="","",ROUND(AT199*(1-Справочники!$B$15),0))</f>
        <v/>
      </c>
      <c r="AW199" s="90" t="str">
        <f aca="false">IF(AT199="","",ROUND(AT199*(1-Справочники!$B$16),0))</f>
        <v/>
      </c>
      <c r="AX199" s="90" t="str">
        <f aca="false">IF(AT199="","",ROUND(AT199*(1-Справочники!$B$17),0))</f>
        <v/>
      </c>
      <c r="AY199" s="90" t="str">
        <f aca="false">IF(AT199="","",ROUND(AT199*(1-Справочники!$B$18),0))</f>
        <v/>
      </c>
      <c r="AZ199" s="90" t="str">
        <f aca="false">IF(AT199="","",ROUND(AT199*(1-Справочники!$B$19),0))</f>
        <v/>
      </c>
      <c r="BA199" s="81"/>
      <c r="BB199" s="81"/>
      <c r="BC199" s="81"/>
      <c r="BD199" s="81"/>
      <c r="BE199" s="91"/>
      <c r="BF199" s="81" t="s">
        <v>103</v>
      </c>
      <c r="BG199" s="89" t="n">
        <f aca="false" t="array" ref="BG199:BG199">IF(BF199="","",IFERROR(INDEX(Справочники!$B$4:$B$7,MATCH(BF199,Справочники!$A$4:$A$7,0)),""))</f>
        <v>68.5</v>
      </c>
      <c r="BH199" s="90" t="str">
        <f aca="false">IF(N(BN199)&gt;0,ROUND(SUMIF(ЗАКАЗЫ!$F$3:$F$500,$A199,ЗАКАЗЫ!$Y$3:$Y$500)/BN199,0),IF(OR(BE199="",BG199=""),"",ROUND(BE199*BG199*(1+Справочники!$B$10),0)))</f>
        <v/>
      </c>
      <c r="BI199" s="92" t="str">
        <f aca="false">IF(OR(AU199="",BH199="",AU199=0),"",(AU199-BH199)/AU199)</f>
        <v/>
      </c>
      <c r="BJ199" s="81"/>
      <c r="BK199" s="83"/>
      <c r="BL199" s="43" t="str">
        <f aca="false">IFERROR(INDEX(ЗАКАЗЫ!$N$3:$N$500,MATCH($A199,ЗАКАЗЫ!$F$3:$F$500,0)),"")</f>
        <v/>
      </c>
      <c r="BM199" s="8" t="str">
        <f aca="false">IF(BL199="","",IFERROR(VLOOKUP(BL199,'ТН ВЭД'!$A$4:$C$40,3,0),""))</f>
        <v/>
      </c>
      <c r="BN199" s="7" t="str">
        <f aca="false">IF(COUNTIF(ЗАКАЗЫ!$F$3:$F$500,$A199)=0,"",SUMIF(ЗАКАЗЫ!$F$3:$F$500,$A199,ЗАКАЗЫ!$J$3:$J$500))</f>
        <v/>
      </c>
      <c r="BO199" s="7" t="str">
        <f aca="false">IF(BN199="","",SUMIF(ЗАКАЗЫ!$F$3:$F$500,$A199,ЗАКАЗЫ!$AL$3:$AL$500))</f>
        <v/>
      </c>
      <c r="BP199" s="7" t="str">
        <f aca="false">IF(BN199="","",BN199-BO199)</f>
        <v/>
      </c>
      <c r="BQ199" s="55" t="str">
        <f aca="false">IF(BN199="","",IF(BO199&gt;=BN199,"На складе",IF(BO199&gt;0,"Частично","Ждём")))</f>
        <v/>
      </c>
      <c r="BR199" s="43"/>
      <c r="BS199" s="47" t="str">
        <f aca="false">IF(BN199="","",IF(_xlfn.MAXIFS(ЗАКАЗЫ!$AK$3:$AK$500,ЗАКАЗЫ!$F$3:$F$500,$A199)=0,"",_xlfn.MAXIFS(ЗАКАЗЫ!$AK$3:$AK$500,ЗАКАЗЫ!$F$3:$F$500,$A199)))</f>
        <v/>
      </c>
    </row>
    <row r="200" customFormat="false" ht="15.75" hidden="false" customHeight="true" outlineLevel="0" collapsed="false">
      <c r="A200" s="80" t="s">
        <v>1032</v>
      </c>
      <c r="B200" s="81"/>
      <c r="C200" s="81"/>
      <c r="D200" s="81"/>
      <c r="E200" s="83"/>
      <c r="F200" s="81"/>
      <c r="G200" s="83"/>
      <c r="H200" s="83"/>
      <c r="I200" s="84" t="str">
        <f aca="false">IF(E200="","",A200&amp;"_1.jpg")</f>
        <v/>
      </c>
      <c r="J200" s="84" t="str">
        <f aca="false">IF(E200="","",A200&amp;"_2.jpg; "&amp;A200&amp;"_3.jpg")</f>
        <v/>
      </c>
      <c r="K200" s="84" t="str">
        <f aca="false">IF(E200="","",A200&amp;"_schema.jpg")</f>
        <v/>
      </c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 t="s">
        <v>96</v>
      </c>
      <c r="W200" s="81"/>
      <c r="X200" s="81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6" t="str">
        <f aca="false">IF(SUM(Y200:AJ200)=0,"",SUM(Y200:AJ200))</f>
        <v/>
      </c>
      <c r="AL200" s="84" t="str">
        <f aca="false">MID(IF(N(Y200)&gt;0,", "&amp;Y$2,"")&amp;IF(N(Z200)&gt;0,", "&amp;Z$2,"")&amp;IF(N(AA200)&gt;0,", "&amp;AA$2,"")&amp;IF(N(AB200)&gt;0,", "&amp;AB$2,"")&amp;IF(N(AC200)&gt;0,", "&amp;AC$2,"")&amp;IF(N(AD200)&gt;0,", "&amp;AD$2,"")&amp;IF(N(AE200)&gt;0,", "&amp;AE$2,"")&amp;IF(N(AF200)&gt;0,", "&amp;AF$2,"")&amp;IF(N(AG200)&gt;0,", "&amp;AG$2,"")&amp;IF(N(AH200)&gt;0,", "&amp;AH$2,"")&amp;IF(N(AI200)&gt;0,", "&amp;AI$2,"")&amp;IF(N(AJ200)&gt;0,", "&amp;AJ$2,""),3,999)</f>
        <v/>
      </c>
      <c r="AM200" s="87" t="str">
        <f aca="false">IF(E200="","",MID(IF(N(Y200)&gt;0,", "&amp;A200&amp;"-"&amp;Y$2,"")&amp;IF(N(Z200)&gt;0,", "&amp;A200&amp;"-"&amp;Z$2,"")&amp;IF(N(AA200)&gt;0,", "&amp;A200&amp;"-"&amp;AA$2,"")&amp;IF(N(AB200)&gt;0,", "&amp;A200&amp;"-"&amp;AB$2,"")&amp;IF(N(AC200)&gt;0,", "&amp;A200&amp;"-"&amp;AC$2,"")&amp;IF(N(AD200)&gt;0,", "&amp;A200&amp;"-"&amp;AD$2,"")&amp;IF(N(AE200)&gt;0,", "&amp;A200&amp;"-"&amp;AE$2,"")&amp;IF(N(AF200)&gt;0,", "&amp;A200&amp;"-"&amp;AF$2,"")&amp;IF(N(AG200)&gt;0,", "&amp;A200&amp;"-"&amp;AG$2,"")&amp;IF(N(AH200)&gt;0,", "&amp;A200&amp;"-"&amp;AH$2,"")&amp;IF(N(AI200)&gt;0,", "&amp;A200&amp;"-"&amp;AI$2,"")&amp;IF(N(AJ200)&gt;0,", "&amp;A200&amp;"-"&amp;AJ$2,""),3,999))</f>
        <v/>
      </c>
      <c r="AN200" s="81"/>
      <c r="AO200" s="88"/>
      <c r="AP200" s="89" t="str">
        <f aca="false">IF(AO200="","",ROUND(AO200/(1+Справочники!$B$13),2))</f>
        <v/>
      </c>
      <c r="AQ200" s="90" t="str">
        <f aca="false" t="array" ref="AQ200:AQ200">IF(AP200="","",AP200*INDEX(Справочники!$B$4:$B$7,MATCH("RUB",Справочники!$A$4:$A$7,0)))</f>
        <v/>
      </c>
      <c r="AR200" s="90" t="str">
        <f aca="false">IF(AQ200="","",ROUND(AQ200*(1+Справочники!$B$12),0))</f>
        <v/>
      </c>
      <c r="AS200" s="90" t="str">
        <f aca="false">IF(AR200="","",ROUND(AR200*(1-Справочники!$B$11),0))</f>
        <v/>
      </c>
      <c r="AT200" s="88"/>
      <c r="AU200" s="90" t="str">
        <f aca="false">IF(AT200="","",ROUND(AT200/(1+Справочники!$B$12),0))</f>
        <v/>
      </c>
      <c r="AV200" s="90" t="str">
        <f aca="false">IF(AT200="","",ROUND(AT200*(1-Справочники!$B$15),0))</f>
        <v/>
      </c>
      <c r="AW200" s="90" t="str">
        <f aca="false">IF(AT200="","",ROUND(AT200*(1-Справочники!$B$16),0))</f>
        <v/>
      </c>
      <c r="AX200" s="90" t="str">
        <f aca="false">IF(AT200="","",ROUND(AT200*(1-Справочники!$B$17),0))</f>
        <v/>
      </c>
      <c r="AY200" s="90" t="str">
        <f aca="false">IF(AT200="","",ROUND(AT200*(1-Справочники!$B$18),0))</f>
        <v/>
      </c>
      <c r="AZ200" s="90" t="str">
        <f aca="false">IF(AT200="","",ROUND(AT200*(1-Справочники!$B$19),0))</f>
        <v/>
      </c>
      <c r="BA200" s="81"/>
      <c r="BB200" s="81"/>
      <c r="BC200" s="81"/>
      <c r="BD200" s="81"/>
      <c r="BE200" s="91"/>
      <c r="BF200" s="81" t="s">
        <v>103</v>
      </c>
      <c r="BG200" s="89" t="n">
        <f aca="false" t="array" ref="BG200:BG200">IF(BF200="","",IFERROR(INDEX(Справочники!$B$4:$B$7,MATCH(BF200,Справочники!$A$4:$A$7,0)),""))</f>
        <v>68.5</v>
      </c>
      <c r="BH200" s="90" t="str">
        <f aca="false">IF(N(BN200)&gt;0,ROUND(SUMIF(ЗАКАЗЫ!$F$3:$F$500,$A200,ЗАКАЗЫ!$Y$3:$Y$500)/BN200,0),IF(OR(BE200="",BG200=""),"",ROUND(BE200*BG200*(1+Справочники!$B$10),0)))</f>
        <v/>
      </c>
      <c r="BI200" s="92" t="str">
        <f aca="false">IF(OR(AU200="",BH200="",AU200=0),"",(AU200-BH200)/AU200)</f>
        <v/>
      </c>
      <c r="BJ200" s="81"/>
      <c r="BK200" s="83"/>
      <c r="BL200" s="43" t="str">
        <f aca="false">IFERROR(INDEX(ЗАКАЗЫ!$N$3:$N$500,MATCH($A200,ЗАКАЗЫ!$F$3:$F$500,0)),"")</f>
        <v/>
      </c>
      <c r="BM200" s="8" t="str">
        <f aca="false">IF(BL200="","",IFERROR(VLOOKUP(BL200,'ТН ВЭД'!$A$4:$C$40,3,0),""))</f>
        <v/>
      </c>
      <c r="BN200" s="7" t="str">
        <f aca="false">IF(COUNTIF(ЗАКАЗЫ!$F$3:$F$500,$A200)=0,"",SUMIF(ЗАКАЗЫ!$F$3:$F$500,$A200,ЗАКАЗЫ!$J$3:$J$500))</f>
        <v/>
      </c>
      <c r="BO200" s="7" t="str">
        <f aca="false">IF(BN200="","",SUMIF(ЗАКАЗЫ!$F$3:$F$500,$A200,ЗАКАЗЫ!$AL$3:$AL$500))</f>
        <v/>
      </c>
      <c r="BP200" s="7" t="str">
        <f aca="false">IF(BN200="","",BN200-BO200)</f>
        <v/>
      </c>
      <c r="BQ200" s="55" t="str">
        <f aca="false">IF(BN200="","",IF(BO200&gt;=BN200,"На складе",IF(BO200&gt;0,"Частично","Ждём")))</f>
        <v/>
      </c>
      <c r="BR200" s="43"/>
      <c r="BS200" s="47" t="str">
        <f aca="false">IF(BN200="","",IF(_xlfn.MAXIFS(ЗАКАЗЫ!$AK$3:$AK$500,ЗАКАЗЫ!$F$3:$F$500,$A200)=0,"",_xlfn.MAXIFS(ЗАКАЗЫ!$AK$3:$AK$500,ЗАКАЗЫ!$F$3:$F$500,$A200)))</f>
        <v/>
      </c>
    </row>
    <row r="201" customFormat="false" ht="15.75" hidden="false" customHeight="true" outlineLevel="0" collapsed="false">
      <c r="A201" s="80" t="s">
        <v>1033</v>
      </c>
      <c r="B201" s="81"/>
      <c r="C201" s="81"/>
      <c r="D201" s="81"/>
      <c r="E201" s="83"/>
      <c r="F201" s="81"/>
      <c r="G201" s="83"/>
      <c r="H201" s="83"/>
      <c r="I201" s="84" t="str">
        <f aca="false">IF(E201="","",A201&amp;"_1.jpg")</f>
        <v/>
      </c>
      <c r="J201" s="84" t="str">
        <f aca="false">IF(E201="","",A201&amp;"_2.jpg; "&amp;A201&amp;"_3.jpg")</f>
        <v/>
      </c>
      <c r="K201" s="84" t="str">
        <f aca="false">IF(E201="","",A201&amp;"_schema.jpg")</f>
        <v/>
      </c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 t="s">
        <v>96</v>
      </c>
      <c r="W201" s="81"/>
      <c r="X201" s="81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6" t="str">
        <f aca="false">IF(SUM(Y201:AJ201)=0,"",SUM(Y201:AJ201))</f>
        <v/>
      </c>
      <c r="AL201" s="84" t="str">
        <f aca="false">MID(IF(N(Y201)&gt;0,", "&amp;Y$2,"")&amp;IF(N(Z201)&gt;0,", "&amp;Z$2,"")&amp;IF(N(AA201)&gt;0,", "&amp;AA$2,"")&amp;IF(N(AB201)&gt;0,", "&amp;AB$2,"")&amp;IF(N(AC201)&gt;0,", "&amp;AC$2,"")&amp;IF(N(AD201)&gt;0,", "&amp;AD$2,"")&amp;IF(N(AE201)&gt;0,", "&amp;AE$2,"")&amp;IF(N(AF201)&gt;0,", "&amp;AF$2,"")&amp;IF(N(AG201)&gt;0,", "&amp;AG$2,"")&amp;IF(N(AH201)&gt;0,", "&amp;AH$2,"")&amp;IF(N(AI201)&gt;0,", "&amp;AI$2,"")&amp;IF(N(AJ201)&gt;0,", "&amp;AJ$2,""),3,999)</f>
        <v/>
      </c>
      <c r="AM201" s="87" t="str">
        <f aca="false">IF(E201="","",MID(IF(N(Y201)&gt;0,", "&amp;A201&amp;"-"&amp;Y$2,"")&amp;IF(N(Z201)&gt;0,", "&amp;A201&amp;"-"&amp;Z$2,"")&amp;IF(N(AA201)&gt;0,", "&amp;A201&amp;"-"&amp;AA$2,"")&amp;IF(N(AB201)&gt;0,", "&amp;A201&amp;"-"&amp;AB$2,"")&amp;IF(N(AC201)&gt;0,", "&amp;A201&amp;"-"&amp;AC$2,"")&amp;IF(N(AD201)&gt;0,", "&amp;A201&amp;"-"&amp;AD$2,"")&amp;IF(N(AE201)&gt;0,", "&amp;A201&amp;"-"&amp;AE$2,"")&amp;IF(N(AF201)&gt;0,", "&amp;A201&amp;"-"&amp;AF$2,"")&amp;IF(N(AG201)&gt;0,", "&amp;A201&amp;"-"&amp;AG$2,"")&amp;IF(N(AH201)&gt;0,", "&amp;A201&amp;"-"&amp;AH$2,"")&amp;IF(N(AI201)&gt;0,", "&amp;A201&amp;"-"&amp;AI$2,"")&amp;IF(N(AJ201)&gt;0,", "&amp;A201&amp;"-"&amp;AJ$2,""),3,999))</f>
        <v/>
      </c>
      <c r="AN201" s="81"/>
      <c r="AO201" s="88"/>
      <c r="AP201" s="89" t="str">
        <f aca="false">IF(AO201="","",ROUND(AO201/(1+Справочники!$B$13),2))</f>
        <v/>
      </c>
      <c r="AQ201" s="90" t="str">
        <f aca="false" t="array" ref="AQ201:AQ201">IF(AP201="","",AP201*INDEX(Справочники!$B$4:$B$7,MATCH("RUB",Справочники!$A$4:$A$7,0)))</f>
        <v/>
      </c>
      <c r="AR201" s="90" t="str">
        <f aca="false">IF(AQ201="","",ROUND(AQ201*(1+Справочники!$B$12),0))</f>
        <v/>
      </c>
      <c r="AS201" s="90" t="str">
        <f aca="false">IF(AR201="","",ROUND(AR201*(1-Справочники!$B$11),0))</f>
        <v/>
      </c>
      <c r="AT201" s="88"/>
      <c r="AU201" s="90" t="str">
        <f aca="false">IF(AT201="","",ROUND(AT201/(1+Справочники!$B$12),0))</f>
        <v/>
      </c>
      <c r="AV201" s="90" t="str">
        <f aca="false">IF(AT201="","",ROUND(AT201*(1-Справочники!$B$15),0))</f>
        <v/>
      </c>
      <c r="AW201" s="90" t="str">
        <f aca="false">IF(AT201="","",ROUND(AT201*(1-Справочники!$B$16),0))</f>
        <v/>
      </c>
      <c r="AX201" s="90" t="str">
        <f aca="false">IF(AT201="","",ROUND(AT201*(1-Справочники!$B$17),0))</f>
        <v/>
      </c>
      <c r="AY201" s="90" t="str">
        <f aca="false">IF(AT201="","",ROUND(AT201*(1-Справочники!$B$18),0))</f>
        <v/>
      </c>
      <c r="AZ201" s="90" t="str">
        <f aca="false">IF(AT201="","",ROUND(AT201*(1-Справочники!$B$19),0))</f>
        <v/>
      </c>
      <c r="BA201" s="81"/>
      <c r="BB201" s="81"/>
      <c r="BC201" s="81"/>
      <c r="BD201" s="81"/>
      <c r="BE201" s="91"/>
      <c r="BF201" s="81" t="s">
        <v>103</v>
      </c>
      <c r="BG201" s="89" t="n">
        <f aca="false" t="array" ref="BG201:BG201">IF(BF201="","",IFERROR(INDEX(Справочники!$B$4:$B$7,MATCH(BF201,Справочники!$A$4:$A$7,0)),""))</f>
        <v>68.5</v>
      </c>
      <c r="BH201" s="90" t="str">
        <f aca="false">IF(N(BN201)&gt;0,ROUND(SUMIF(ЗАКАЗЫ!$F$3:$F$500,$A201,ЗАКАЗЫ!$Y$3:$Y$500)/BN201,0),IF(OR(BE201="",BG201=""),"",ROUND(BE201*BG201*(1+Справочники!$B$10),0)))</f>
        <v/>
      </c>
      <c r="BI201" s="92" t="str">
        <f aca="false">IF(OR(AU201="",BH201="",AU201=0),"",(AU201-BH201)/AU201)</f>
        <v/>
      </c>
      <c r="BJ201" s="81"/>
      <c r="BK201" s="83"/>
      <c r="BL201" s="43" t="str">
        <f aca="false">IFERROR(INDEX(ЗАКАЗЫ!$N$3:$N$500,MATCH($A201,ЗАКАЗЫ!$F$3:$F$500,0)),"")</f>
        <v/>
      </c>
      <c r="BM201" s="8" t="str">
        <f aca="false">IF(BL201="","",IFERROR(VLOOKUP(BL201,'ТН ВЭД'!$A$4:$C$40,3,0),""))</f>
        <v/>
      </c>
      <c r="BN201" s="7" t="str">
        <f aca="false">IF(COUNTIF(ЗАКАЗЫ!$F$3:$F$500,$A201)=0,"",SUMIF(ЗАКАЗЫ!$F$3:$F$500,$A201,ЗАКАЗЫ!$J$3:$J$500))</f>
        <v/>
      </c>
      <c r="BO201" s="7" t="str">
        <f aca="false">IF(BN201="","",SUMIF(ЗАКАЗЫ!$F$3:$F$500,$A201,ЗАКАЗЫ!$AL$3:$AL$500))</f>
        <v/>
      </c>
      <c r="BP201" s="7" t="str">
        <f aca="false">IF(BN201="","",BN201-BO201)</f>
        <v/>
      </c>
      <c r="BQ201" s="55" t="str">
        <f aca="false">IF(BN201="","",IF(BO201&gt;=BN201,"На складе",IF(BO201&gt;0,"Частично","Ждём")))</f>
        <v/>
      </c>
      <c r="BR201" s="43"/>
      <c r="BS201" s="47" t="str">
        <f aca="false">IF(BN201="","",IF(_xlfn.MAXIFS(ЗАКАЗЫ!$AK$3:$AK$500,ЗАКАЗЫ!$F$3:$F$500,$A201)=0,"",_xlfn.MAXIFS(ЗАКАЗЫ!$AK$3:$AK$500,ЗАКАЗЫ!$F$3:$F$500,$A201)))</f>
        <v/>
      </c>
    </row>
    <row r="202" customFormat="false" ht="15.75" hidden="false" customHeight="true" outlineLevel="0" collapsed="false">
      <c r="A202" s="80" t="s">
        <v>1034</v>
      </c>
      <c r="B202" s="81"/>
      <c r="C202" s="81"/>
      <c r="D202" s="81"/>
      <c r="E202" s="83"/>
      <c r="F202" s="81"/>
      <c r="G202" s="83"/>
      <c r="H202" s="83"/>
      <c r="I202" s="84" t="str">
        <f aca="false">IF(E202="","",A202&amp;"_1.jpg")</f>
        <v/>
      </c>
      <c r="J202" s="84" t="str">
        <f aca="false">IF(E202="","",A202&amp;"_2.jpg; "&amp;A202&amp;"_3.jpg")</f>
        <v/>
      </c>
      <c r="K202" s="84" t="str">
        <f aca="false">IF(E202="","",A202&amp;"_schema.jpg")</f>
        <v/>
      </c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 t="s">
        <v>96</v>
      </c>
      <c r="W202" s="81"/>
      <c r="X202" s="81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6" t="str">
        <f aca="false">IF(SUM(Y202:AJ202)=0,"",SUM(Y202:AJ202))</f>
        <v/>
      </c>
      <c r="AL202" s="84" t="str">
        <f aca="false">MID(IF(N(Y202)&gt;0,", "&amp;Y$2,"")&amp;IF(N(Z202)&gt;0,", "&amp;Z$2,"")&amp;IF(N(AA202)&gt;0,", "&amp;AA$2,"")&amp;IF(N(AB202)&gt;0,", "&amp;AB$2,"")&amp;IF(N(AC202)&gt;0,", "&amp;AC$2,"")&amp;IF(N(AD202)&gt;0,", "&amp;AD$2,"")&amp;IF(N(AE202)&gt;0,", "&amp;AE$2,"")&amp;IF(N(AF202)&gt;0,", "&amp;AF$2,"")&amp;IF(N(AG202)&gt;0,", "&amp;AG$2,"")&amp;IF(N(AH202)&gt;0,", "&amp;AH$2,"")&amp;IF(N(AI202)&gt;0,", "&amp;AI$2,"")&amp;IF(N(AJ202)&gt;0,", "&amp;AJ$2,""),3,999)</f>
        <v/>
      </c>
      <c r="AM202" s="87" t="str">
        <f aca="false">IF(E202="","",MID(IF(N(Y202)&gt;0,", "&amp;A202&amp;"-"&amp;Y$2,"")&amp;IF(N(Z202)&gt;0,", "&amp;A202&amp;"-"&amp;Z$2,"")&amp;IF(N(AA202)&gt;0,", "&amp;A202&amp;"-"&amp;AA$2,"")&amp;IF(N(AB202)&gt;0,", "&amp;A202&amp;"-"&amp;AB$2,"")&amp;IF(N(AC202)&gt;0,", "&amp;A202&amp;"-"&amp;AC$2,"")&amp;IF(N(AD202)&gt;0,", "&amp;A202&amp;"-"&amp;AD$2,"")&amp;IF(N(AE202)&gt;0,", "&amp;A202&amp;"-"&amp;AE$2,"")&amp;IF(N(AF202)&gt;0,", "&amp;A202&amp;"-"&amp;AF$2,"")&amp;IF(N(AG202)&gt;0,", "&amp;A202&amp;"-"&amp;AG$2,"")&amp;IF(N(AH202)&gt;0,", "&amp;A202&amp;"-"&amp;AH$2,"")&amp;IF(N(AI202)&gt;0,", "&amp;A202&amp;"-"&amp;AI$2,"")&amp;IF(N(AJ202)&gt;0,", "&amp;A202&amp;"-"&amp;AJ$2,""),3,999))</f>
        <v/>
      </c>
      <c r="AN202" s="81"/>
      <c r="AO202" s="88"/>
      <c r="AP202" s="89" t="str">
        <f aca="false">IF(AO202="","",ROUND(AO202/(1+Справочники!$B$13),2))</f>
        <v/>
      </c>
      <c r="AQ202" s="90" t="str">
        <f aca="false" t="array" ref="AQ202:AQ202">IF(AP202="","",AP202*INDEX(Справочники!$B$4:$B$7,MATCH("RUB",Справочники!$A$4:$A$7,0)))</f>
        <v/>
      </c>
      <c r="AR202" s="90" t="str">
        <f aca="false">IF(AQ202="","",ROUND(AQ202*(1+Справочники!$B$12),0))</f>
        <v/>
      </c>
      <c r="AS202" s="90" t="str">
        <f aca="false">IF(AR202="","",ROUND(AR202*(1-Справочники!$B$11),0))</f>
        <v/>
      </c>
      <c r="AT202" s="88"/>
      <c r="AU202" s="90" t="str">
        <f aca="false">IF(AT202="","",ROUND(AT202/(1+Справочники!$B$12),0))</f>
        <v/>
      </c>
      <c r="AV202" s="90" t="str">
        <f aca="false">IF(AT202="","",ROUND(AT202*(1-Справочники!$B$15),0))</f>
        <v/>
      </c>
      <c r="AW202" s="90" t="str">
        <f aca="false">IF(AT202="","",ROUND(AT202*(1-Справочники!$B$16),0))</f>
        <v/>
      </c>
      <c r="AX202" s="90" t="str">
        <f aca="false">IF(AT202="","",ROUND(AT202*(1-Справочники!$B$17),0))</f>
        <v/>
      </c>
      <c r="AY202" s="90" t="str">
        <f aca="false">IF(AT202="","",ROUND(AT202*(1-Справочники!$B$18),0))</f>
        <v/>
      </c>
      <c r="AZ202" s="90" t="str">
        <f aca="false">IF(AT202="","",ROUND(AT202*(1-Справочники!$B$19),0))</f>
        <v/>
      </c>
      <c r="BA202" s="81"/>
      <c r="BB202" s="81"/>
      <c r="BC202" s="81"/>
      <c r="BD202" s="81"/>
      <c r="BE202" s="91"/>
      <c r="BF202" s="81" t="s">
        <v>103</v>
      </c>
      <c r="BG202" s="89" t="n">
        <f aca="false" t="array" ref="BG202:BG202">IF(BF202="","",IFERROR(INDEX(Справочники!$B$4:$B$7,MATCH(BF202,Справочники!$A$4:$A$7,0)),""))</f>
        <v>68.5</v>
      </c>
      <c r="BH202" s="90" t="str">
        <f aca="false">IF(N(BN202)&gt;0,ROUND(SUMIF(ЗАКАЗЫ!$F$3:$F$500,$A202,ЗАКАЗЫ!$Y$3:$Y$500)/BN202,0),IF(OR(BE202="",BG202=""),"",ROUND(BE202*BG202*(1+Справочники!$B$10),0)))</f>
        <v/>
      </c>
      <c r="BI202" s="92" t="str">
        <f aca="false">IF(OR(AU202="",BH202="",AU202=0),"",(AU202-BH202)/AU202)</f>
        <v/>
      </c>
      <c r="BJ202" s="81"/>
      <c r="BK202" s="83"/>
      <c r="BL202" s="43" t="str">
        <f aca="false">IFERROR(INDEX(ЗАКАЗЫ!$N$3:$N$500,MATCH($A202,ЗАКАЗЫ!$F$3:$F$500,0)),"")</f>
        <v/>
      </c>
      <c r="BM202" s="8" t="str">
        <f aca="false">IF(BL202="","",IFERROR(VLOOKUP(BL202,'ТН ВЭД'!$A$4:$C$40,3,0),""))</f>
        <v/>
      </c>
      <c r="BN202" s="7" t="str">
        <f aca="false">IF(COUNTIF(ЗАКАЗЫ!$F$3:$F$500,$A202)=0,"",SUMIF(ЗАКАЗЫ!$F$3:$F$500,$A202,ЗАКАЗЫ!$J$3:$J$500))</f>
        <v/>
      </c>
      <c r="BO202" s="7" t="str">
        <f aca="false">IF(BN202="","",SUMIF(ЗАКАЗЫ!$F$3:$F$500,$A202,ЗАКАЗЫ!$AL$3:$AL$500))</f>
        <v/>
      </c>
      <c r="BP202" s="7" t="str">
        <f aca="false">IF(BN202="","",BN202-BO202)</f>
        <v/>
      </c>
      <c r="BQ202" s="55" t="str">
        <f aca="false">IF(BN202="","",IF(BO202&gt;=BN202,"На складе",IF(BO202&gt;0,"Частично","Ждём")))</f>
        <v/>
      </c>
      <c r="BR202" s="43"/>
      <c r="BS202" s="47" t="str">
        <f aca="false">IF(BN202="","",IF(_xlfn.MAXIFS(ЗАКАЗЫ!$AK$3:$AK$500,ЗАКАЗЫ!$F$3:$F$500,$A202)=0,"",_xlfn.MAXIFS(ЗАКАЗЫ!$AK$3:$AK$500,ЗАКАЗЫ!$F$3:$F$500,$A202)))</f>
        <v/>
      </c>
    </row>
    <row r="203" customFormat="false" ht="15.75" hidden="false" customHeight="true" outlineLevel="0" collapsed="false">
      <c r="A203" s="80" t="s">
        <v>1035</v>
      </c>
      <c r="B203" s="81"/>
      <c r="C203" s="81"/>
      <c r="D203" s="81"/>
      <c r="E203" s="83"/>
      <c r="F203" s="81"/>
      <c r="G203" s="83"/>
      <c r="H203" s="83"/>
      <c r="I203" s="84" t="str">
        <f aca="false">IF(E203="","",A203&amp;"_1.jpg")</f>
        <v/>
      </c>
      <c r="J203" s="84" t="str">
        <f aca="false">IF(E203="","",A203&amp;"_2.jpg; "&amp;A203&amp;"_3.jpg")</f>
        <v/>
      </c>
      <c r="K203" s="84" t="str">
        <f aca="false">IF(E203="","",A203&amp;"_schema.jpg")</f>
        <v/>
      </c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 t="s">
        <v>96</v>
      </c>
      <c r="W203" s="81"/>
      <c r="X203" s="81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6" t="str">
        <f aca="false">IF(SUM(Y203:AJ203)=0,"",SUM(Y203:AJ203))</f>
        <v/>
      </c>
      <c r="AL203" s="84" t="str">
        <f aca="false">MID(IF(N(Y203)&gt;0,", "&amp;Y$2,"")&amp;IF(N(Z203)&gt;0,", "&amp;Z$2,"")&amp;IF(N(AA203)&gt;0,", "&amp;AA$2,"")&amp;IF(N(AB203)&gt;0,", "&amp;AB$2,"")&amp;IF(N(AC203)&gt;0,", "&amp;AC$2,"")&amp;IF(N(AD203)&gt;0,", "&amp;AD$2,"")&amp;IF(N(AE203)&gt;0,", "&amp;AE$2,"")&amp;IF(N(AF203)&gt;0,", "&amp;AF$2,"")&amp;IF(N(AG203)&gt;0,", "&amp;AG$2,"")&amp;IF(N(AH203)&gt;0,", "&amp;AH$2,"")&amp;IF(N(AI203)&gt;0,", "&amp;AI$2,"")&amp;IF(N(AJ203)&gt;0,", "&amp;AJ$2,""),3,999)</f>
        <v/>
      </c>
      <c r="AM203" s="87" t="str">
        <f aca="false">IF(E203="","",MID(IF(N(Y203)&gt;0,", "&amp;A203&amp;"-"&amp;Y$2,"")&amp;IF(N(Z203)&gt;0,", "&amp;A203&amp;"-"&amp;Z$2,"")&amp;IF(N(AA203)&gt;0,", "&amp;A203&amp;"-"&amp;AA$2,"")&amp;IF(N(AB203)&gt;0,", "&amp;A203&amp;"-"&amp;AB$2,"")&amp;IF(N(AC203)&gt;0,", "&amp;A203&amp;"-"&amp;AC$2,"")&amp;IF(N(AD203)&gt;0,", "&amp;A203&amp;"-"&amp;AD$2,"")&amp;IF(N(AE203)&gt;0,", "&amp;A203&amp;"-"&amp;AE$2,"")&amp;IF(N(AF203)&gt;0,", "&amp;A203&amp;"-"&amp;AF$2,"")&amp;IF(N(AG203)&gt;0,", "&amp;A203&amp;"-"&amp;AG$2,"")&amp;IF(N(AH203)&gt;0,", "&amp;A203&amp;"-"&amp;AH$2,"")&amp;IF(N(AI203)&gt;0,", "&amp;A203&amp;"-"&amp;AI$2,"")&amp;IF(N(AJ203)&gt;0,", "&amp;A203&amp;"-"&amp;AJ$2,""),3,999))</f>
        <v/>
      </c>
      <c r="AN203" s="81"/>
      <c r="AO203" s="88"/>
      <c r="AP203" s="89" t="str">
        <f aca="false">IF(AO203="","",ROUND(AO203/(1+Справочники!$B$13),2))</f>
        <v/>
      </c>
      <c r="AQ203" s="90" t="str">
        <f aca="false" t="array" ref="AQ203:AQ203">IF(AP203="","",AP203*INDEX(Справочники!$B$4:$B$7,MATCH("RUB",Справочники!$A$4:$A$7,0)))</f>
        <v/>
      </c>
      <c r="AR203" s="90" t="str">
        <f aca="false">IF(AQ203="","",ROUND(AQ203*(1+Справочники!$B$12),0))</f>
        <v/>
      </c>
      <c r="AS203" s="90" t="str">
        <f aca="false">IF(AR203="","",ROUND(AR203*(1-Справочники!$B$11),0))</f>
        <v/>
      </c>
      <c r="AT203" s="88"/>
      <c r="AU203" s="90" t="str">
        <f aca="false">IF(AT203="","",ROUND(AT203/(1+Справочники!$B$12),0))</f>
        <v/>
      </c>
      <c r="AV203" s="90" t="str">
        <f aca="false">IF(AT203="","",ROUND(AT203*(1-Справочники!$B$15),0))</f>
        <v/>
      </c>
      <c r="AW203" s="90" t="str">
        <f aca="false">IF(AT203="","",ROUND(AT203*(1-Справочники!$B$16),0))</f>
        <v/>
      </c>
      <c r="AX203" s="90" t="str">
        <f aca="false">IF(AT203="","",ROUND(AT203*(1-Справочники!$B$17),0))</f>
        <v/>
      </c>
      <c r="AY203" s="90" t="str">
        <f aca="false">IF(AT203="","",ROUND(AT203*(1-Справочники!$B$18),0))</f>
        <v/>
      </c>
      <c r="AZ203" s="90" t="str">
        <f aca="false">IF(AT203="","",ROUND(AT203*(1-Справочники!$B$19),0))</f>
        <v/>
      </c>
      <c r="BA203" s="81"/>
      <c r="BB203" s="81"/>
      <c r="BC203" s="81"/>
      <c r="BD203" s="81"/>
      <c r="BE203" s="91"/>
      <c r="BF203" s="81" t="s">
        <v>103</v>
      </c>
      <c r="BG203" s="89" t="n">
        <f aca="false" t="array" ref="BG203:BG203">IF(BF203="","",IFERROR(INDEX(Справочники!$B$4:$B$7,MATCH(BF203,Справочники!$A$4:$A$7,0)),""))</f>
        <v>68.5</v>
      </c>
      <c r="BH203" s="90" t="str">
        <f aca="false">IF(N(BN203)&gt;0,ROUND(SUMIF(ЗАКАЗЫ!$F$3:$F$500,$A203,ЗАКАЗЫ!$Y$3:$Y$500)/BN203,0),IF(OR(BE203="",BG203=""),"",ROUND(BE203*BG203*(1+Справочники!$B$10),0)))</f>
        <v/>
      </c>
      <c r="BI203" s="92" t="str">
        <f aca="false">IF(OR(AU203="",BH203="",AU203=0),"",(AU203-BH203)/AU203)</f>
        <v/>
      </c>
      <c r="BJ203" s="81"/>
      <c r="BK203" s="83"/>
      <c r="BL203" s="43" t="str">
        <f aca="false">IFERROR(INDEX(ЗАКАЗЫ!$N$3:$N$500,MATCH($A203,ЗАКАЗЫ!$F$3:$F$500,0)),"")</f>
        <v/>
      </c>
      <c r="BM203" s="8" t="str">
        <f aca="false">IF(BL203="","",IFERROR(VLOOKUP(BL203,'ТН ВЭД'!$A$4:$C$40,3,0),""))</f>
        <v/>
      </c>
      <c r="BN203" s="7" t="str">
        <f aca="false">IF(COUNTIF(ЗАКАЗЫ!$F$3:$F$500,$A203)=0,"",SUMIF(ЗАКАЗЫ!$F$3:$F$500,$A203,ЗАКАЗЫ!$J$3:$J$500))</f>
        <v/>
      </c>
      <c r="BO203" s="7" t="str">
        <f aca="false">IF(BN203="","",SUMIF(ЗАКАЗЫ!$F$3:$F$500,$A203,ЗАКАЗЫ!$AL$3:$AL$500))</f>
        <v/>
      </c>
      <c r="BP203" s="7" t="str">
        <f aca="false">IF(BN203="","",BN203-BO203)</f>
        <v/>
      </c>
      <c r="BQ203" s="55" t="str">
        <f aca="false">IF(BN203="","",IF(BO203&gt;=BN203,"На складе",IF(BO203&gt;0,"Частично","Ждём")))</f>
        <v/>
      </c>
      <c r="BR203" s="43"/>
      <c r="BS203" s="47" t="str">
        <f aca="false">IF(BN203="","",IF(_xlfn.MAXIFS(ЗАКАЗЫ!$AK$3:$AK$500,ЗАКАЗЫ!$F$3:$F$500,$A203)=0,"",_xlfn.MAXIFS(ЗАКАЗЫ!$AK$3:$AK$500,ЗАКАЗЫ!$F$3:$F$500,$A203)))</f>
        <v/>
      </c>
    </row>
    <row r="204" customFormat="false" ht="15.75" hidden="false" customHeight="true" outlineLevel="0" collapsed="false">
      <c r="A204" s="80" t="s">
        <v>1036</v>
      </c>
      <c r="B204" s="81"/>
      <c r="C204" s="81"/>
      <c r="D204" s="81"/>
      <c r="E204" s="83"/>
      <c r="F204" s="81"/>
      <c r="G204" s="83"/>
      <c r="H204" s="83"/>
      <c r="I204" s="84" t="str">
        <f aca="false">IF(E204="","",A204&amp;"_1.jpg")</f>
        <v/>
      </c>
      <c r="J204" s="84" t="str">
        <f aca="false">IF(E204="","",A204&amp;"_2.jpg; "&amp;A204&amp;"_3.jpg")</f>
        <v/>
      </c>
      <c r="K204" s="84" t="str">
        <f aca="false">IF(E204="","",A204&amp;"_schema.jpg")</f>
        <v/>
      </c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 t="s">
        <v>96</v>
      </c>
      <c r="W204" s="81"/>
      <c r="X204" s="81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6" t="str">
        <f aca="false">IF(SUM(Y204:AJ204)=0,"",SUM(Y204:AJ204))</f>
        <v/>
      </c>
      <c r="AL204" s="84" t="str">
        <f aca="false">MID(IF(N(Y204)&gt;0,", "&amp;Y$2,"")&amp;IF(N(Z204)&gt;0,", "&amp;Z$2,"")&amp;IF(N(AA204)&gt;0,", "&amp;AA$2,"")&amp;IF(N(AB204)&gt;0,", "&amp;AB$2,"")&amp;IF(N(AC204)&gt;0,", "&amp;AC$2,"")&amp;IF(N(AD204)&gt;0,", "&amp;AD$2,"")&amp;IF(N(AE204)&gt;0,", "&amp;AE$2,"")&amp;IF(N(AF204)&gt;0,", "&amp;AF$2,"")&amp;IF(N(AG204)&gt;0,", "&amp;AG$2,"")&amp;IF(N(AH204)&gt;0,", "&amp;AH$2,"")&amp;IF(N(AI204)&gt;0,", "&amp;AI$2,"")&amp;IF(N(AJ204)&gt;0,", "&amp;AJ$2,""),3,999)</f>
        <v/>
      </c>
      <c r="AM204" s="87" t="str">
        <f aca="false">IF(E204="","",MID(IF(N(Y204)&gt;0,", "&amp;A204&amp;"-"&amp;Y$2,"")&amp;IF(N(Z204)&gt;0,", "&amp;A204&amp;"-"&amp;Z$2,"")&amp;IF(N(AA204)&gt;0,", "&amp;A204&amp;"-"&amp;AA$2,"")&amp;IF(N(AB204)&gt;0,", "&amp;A204&amp;"-"&amp;AB$2,"")&amp;IF(N(AC204)&gt;0,", "&amp;A204&amp;"-"&amp;AC$2,"")&amp;IF(N(AD204)&gt;0,", "&amp;A204&amp;"-"&amp;AD$2,"")&amp;IF(N(AE204)&gt;0,", "&amp;A204&amp;"-"&amp;AE$2,"")&amp;IF(N(AF204)&gt;0,", "&amp;A204&amp;"-"&amp;AF$2,"")&amp;IF(N(AG204)&gt;0,", "&amp;A204&amp;"-"&amp;AG$2,"")&amp;IF(N(AH204)&gt;0,", "&amp;A204&amp;"-"&amp;AH$2,"")&amp;IF(N(AI204)&gt;0,", "&amp;A204&amp;"-"&amp;AI$2,"")&amp;IF(N(AJ204)&gt;0,", "&amp;A204&amp;"-"&amp;AJ$2,""),3,999))</f>
        <v/>
      </c>
      <c r="AN204" s="81"/>
      <c r="AO204" s="88"/>
      <c r="AP204" s="89" t="str">
        <f aca="false">IF(AO204="","",ROUND(AO204/(1+Справочники!$B$13),2))</f>
        <v/>
      </c>
      <c r="AQ204" s="90" t="str">
        <f aca="false" t="array" ref="AQ204:AQ204">IF(AP204="","",AP204*INDEX(Справочники!$B$4:$B$7,MATCH("RUB",Справочники!$A$4:$A$7,0)))</f>
        <v/>
      </c>
      <c r="AR204" s="90" t="str">
        <f aca="false">IF(AQ204="","",ROUND(AQ204*(1+Справочники!$B$12),0))</f>
        <v/>
      </c>
      <c r="AS204" s="90" t="str">
        <f aca="false">IF(AR204="","",ROUND(AR204*(1-Справочники!$B$11),0))</f>
        <v/>
      </c>
      <c r="AT204" s="88"/>
      <c r="AU204" s="90" t="str">
        <f aca="false">IF(AT204="","",ROUND(AT204/(1+Справочники!$B$12),0))</f>
        <v/>
      </c>
      <c r="AV204" s="90" t="str">
        <f aca="false">IF(AT204="","",ROUND(AT204*(1-Справочники!$B$15),0))</f>
        <v/>
      </c>
      <c r="AW204" s="90" t="str">
        <f aca="false">IF(AT204="","",ROUND(AT204*(1-Справочники!$B$16),0))</f>
        <v/>
      </c>
      <c r="AX204" s="90" t="str">
        <f aca="false">IF(AT204="","",ROUND(AT204*(1-Справочники!$B$17),0))</f>
        <v/>
      </c>
      <c r="AY204" s="90" t="str">
        <f aca="false">IF(AT204="","",ROUND(AT204*(1-Справочники!$B$18),0))</f>
        <v/>
      </c>
      <c r="AZ204" s="90" t="str">
        <f aca="false">IF(AT204="","",ROUND(AT204*(1-Справочники!$B$19),0))</f>
        <v/>
      </c>
      <c r="BA204" s="81"/>
      <c r="BB204" s="81"/>
      <c r="BC204" s="81"/>
      <c r="BD204" s="81"/>
      <c r="BE204" s="91"/>
      <c r="BF204" s="81" t="s">
        <v>103</v>
      </c>
      <c r="BG204" s="89" t="n">
        <f aca="false" t="array" ref="BG204:BG204">IF(BF204="","",IFERROR(INDEX(Справочники!$B$4:$B$7,MATCH(BF204,Справочники!$A$4:$A$7,0)),""))</f>
        <v>68.5</v>
      </c>
      <c r="BH204" s="90" t="str">
        <f aca="false">IF(N(BN204)&gt;0,ROUND(SUMIF(ЗАКАЗЫ!$F$3:$F$500,$A204,ЗАКАЗЫ!$Y$3:$Y$500)/BN204,0),IF(OR(BE204="",BG204=""),"",ROUND(BE204*BG204*(1+Справочники!$B$10),0)))</f>
        <v/>
      </c>
      <c r="BI204" s="92" t="str">
        <f aca="false">IF(OR(AU204="",BH204="",AU204=0),"",(AU204-BH204)/AU204)</f>
        <v/>
      </c>
      <c r="BJ204" s="81"/>
      <c r="BK204" s="83"/>
      <c r="BL204" s="43" t="str">
        <f aca="false">IFERROR(INDEX(ЗАКАЗЫ!$N$3:$N$500,MATCH($A204,ЗАКАЗЫ!$F$3:$F$500,0)),"")</f>
        <v/>
      </c>
      <c r="BM204" s="8" t="str">
        <f aca="false">IF(BL204="","",IFERROR(VLOOKUP(BL204,'ТН ВЭД'!$A$4:$C$40,3,0),""))</f>
        <v/>
      </c>
      <c r="BN204" s="7" t="str">
        <f aca="false">IF(COUNTIF(ЗАКАЗЫ!$F$3:$F$500,$A204)=0,"",SUMIF(ЗАКАЗЫ!$F$3:$F$500,$A204,ЗАКАЗЫ!$J$3:$J$500))</f>
        <v/>
      </c>
      <c r="BO204" s="7" t="str">
        <f aca="false">IF(BN204="","",SUMIF(ЗАКАЗЫ!$F$3:$F$500,$A204,ЗАКАЗЫ!$AL$3:$AL$500))</f>
        <v/>
      </c>
      <c r="BP204" s="7" t="str">
        <f aca="false">IF(BN204="","",BN204-BO204)</f>
        <v/>
      </c>
      <c r="BQ204" s="55" t="str">
        <f aca="false">IF(BN204="","",IF(BO204&gt;=BN204,"На складе",IF(BO204&gt;0,"Частично","Ждём")))</f>
        <v/>
      </c>
      <c r="BR204" s="43"/>
      <c r="BS204" s="47" t="str">
        <f aca="false">IF(BN204="","",IF(_xlfn.MAXIFS(ЗАКАЗЫ!$AK$3:$AK$500,ЗАКАЗЫ!$F$3:$F$500,$A204)=0,"",_xlfn.MAXIFS(ЗАКАЗЫ!$AK$3:$AK$500,ЗАКАЗЫ!$F$3:$F$500,$A204)))</f>
        <v/>
      </c>
    </row>
    <row r="205" customFormat="false" ht="15.75" hidden="false" customHeight="true" outlineLevel="0" collapsed="false">
      <c r="A205" s="80" t="s">
        <v>1037</v>
      </c>
      <c r="B205" s="81"/>
      <c r="C205" s="81"/>
      <c r="D205" s="81"/>
      <c r="E205" s="83"/>
      <c r="F205" s="81"/>
      <c r="G205" s="83"/>
      <c r="H205" s="83"/>
      <c r="I205" s="84" t="str">
        <f aca="false">IF(E205="","",A205&amp;"_1.jpg")</f>
        <v/>
      </c>
      <c r="J205" s="84" t="str">
        <f aca="false">IF(E205="","",A205&amp;"_2.jpg; "&amp;A205&amp;"_3.jpg")</f>
        <v/>
      </c>
      <c r="K205" s="84" t="str">
        <f aca="false">IF(E205="","",A205&amp;"_schema.jpg")</f>
        <v/>
      </c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 t="s">
        <v>96</v>
      </c>
      <c r="W205" s="81"/>
      <c r="X205" s="81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6" t="str">
        <f aca="false">IF(SUM(Y205:AJ205)=0,"",SUM(Y205:AJ205))</f>
        <v/>
      </c>
      <c r="AL205" s="84" t="str">
        <f aca="false">MID(IF(N(Y205)&gt;0,", "&amp;Y$2,"")&amp;IF(N(Z205)&gt;0,", "&amp;Z$2,"")&amp;IF(N(AA205)&gt;0,", "&amp;AA$2,"")&amp;IF(N(AB205)&gt;0,", "&amp;AB$2,"")&amp;IF(N(AC205)&gt;0,", "&amp;AC$2,"")&amp;IF(N(AD205)&gt;0,", "&amp;AD$2,"")&amp;IF(N(AE205)&gt;0,", "&amp;AE$2,"")&amp;IF(N(AF205)&gt;0,", "&amp;AF$2,"")&amp;IF(N(AG205)&gt;0,", "&amp;AG$2,"")&amp;IF(N(AH205)&gt;0,", "&amp;AH$2,"")&amp;IF(N(AI205)&gt;0,", "&amp;AI$2,"")&amp;IF(N(AJ205)&gt;0,", "&amp;AJ$2,""),3,999)</f>
        <v/>
      </c>
      <c r="AM205" s="87" t="str">
        <f aca="false">IF(E205="","",MID(IF(N(Y205)&gt;0,", "&amp;A205&amp;"-"&amp;Y$2,"")&amp;IF(N(Z205)&gt;0,", "&amp;A205&amp;"-"&amp;Z$2,"")&amp;IF(N(AA205)&gt;0,", "&amp;A205&amp;"-"&amp;AA$2,"")&amp;IF(N(AB205)&gt;0,", "&amp;A205&amp;"-"&amp;AB$2,"")&amp;IF(N(AC205)&gt;0,", "&amp;A205&amp;"-"&amp;AC$2,"")&amp;IF(N(AD205)&gt;0,", "&amp;A205&amp;"-"&amp;AD$2,"")&amp;IF(N(AE205)&gt;0,", "&amp;A205&amp;"-"&amp;AE$2,"")&amp;IF(N(AF205)&gt;0,", "&amp;A205&amp;"-"&amp;AF$2,"")&amp;IF(N(AG205)&gt;0,", "&amp;A205&amp;"-"&amp;AG$2,"")&amp;IF(N(AH205)&gt;0,", "&amp;A205&amp;"-"&amp;AH$2,"")&amp;IF(N(AI205)&gt;0,", "&amp;A205&amp;"-"&amp;AI$2,"")&amp;IF(N(AJ205)&gt;0,", "&amp;A205&amp;"-"&amp;AJ$2,""),3,999))</f>
        <v/>
      </c>
      <c r="AN205" s="81"/>
      <c r="AO205" s="88"/>
      <c r="AP205" s="89" t="str">
        <f aca="false">IF(AO205="","",ROUND(AO205/(1+Справочники!$B$13),2))</f>
        <v/>
      </c>
      <c r="AQ205" s="90" t="str">
        <f aca="false" t="array" ref="AQ205:AQ205">IF(AP205="","",AP205*INDEX(Справочники!$B$4:$B$7,MATCH("RUB",Справочники!$A$4:$A$7,0)))</f>
        <v/>
      </c>
      <c r="AR205" s="90" t="str">
        <f aca="false">IF(AQ205="","",ROUND(AQ205*(1+Справочники!$B$12),0))</f>
        <v/>
      </c>
      <c r="AS205" s="90" t="str">
        <f aca="false">IF(AR205="","",ROUND(AR205*(1-Справочники!$B$11),0))</f>
        <v/>
      </c>
      <c r="AT205" s="88"/>
      <c r="AU205" s="90" t="str">
        <f aca="false">IF(AT205="","",ROUND(AT205/(1+Справочники!$B$12),0))</f>
        <v/>
      </c>
      <c r="AV205" s="90" t="str">
        <f aca="false">IF(AT205="","",ROUND(AT205*(1-Справочники!$B$15),0))</f>
        <v/>
      </c>
      <c r="AW205" s="90" t="str">
        <f aca="false">IF(AT205="","",ROUND(AT205*(1-Справочники!$B$16),0))</f>
        <v/>
      </c>
      <c r="AX205" s="90" t="str">
        <f aca="false">IF(AT205="","",ROUND(AT205*(1-Справочники!$B$17),0))</f>
        <v/>
      </c>
      <c r="AY205" s="90" t="str">
        <f aca="false">IF(AT205="","",ROUND(AT205*(1-Справочники!$B$18),0))</f>
        <v/>
      </c>
      <c r="AZ205" s="90" t="str">
        <f aca="false">IF(AT205="","",ROUND(AT205*(1-Справочники!$B$19),0))</f>
        <v/>
      </c>
      <c r="BA205" s="81"/>
      <c r="BB205" s="81"/>
      <c r="BC205" s="81"/>
      <c r="BD205" s="81"/>
      <c r="BE205" s="91"/>
      <c r="BF205" s="81" t="s">
        <v>103</v>
      </c>
      <c r="BG205" s="89" t="n">
        <f aca="false" t="array" ref="BG205:BG205">IF(BF205="","",IFERROR(INDEX(Справочники!$B$4:$B$7,MATCH(BF205,Справочники!$A$4:$A$7,0)),""))</f>
        <v>68.5</v>
      </c>
      <c r="BH205" s="90" t="str">
        <f aca="false">IF(N(BN205)&gt;0,ROUND(SUMIF(ЗАКАЗЫ!$F$3:$F$500,$A205,ЗАКАЗЫ!$Y$3:$Y$500)/BN205,0),IF(OR(BE205="",BG205=""),"",ROUND(BE205*BG205*(1+Справочники!$B$10),0)))</f>
        <v/>
      </c>
      <c r="BI205" s="92" t="str">
        <f aca="false">IF(OR(AU205="",BH205="",AU205=0),"",(AU205-BH205)/AU205)</f>
        <v/>
      </c>
      <c r="BJ205" s="81"/>
      <c r="BK205" s="83"/>
      <c r="BL205" s="43" t="str">
        <f aca="false">IFERROR(INDEX(ЗАКАЗЫ!$N$3:$N$500,MATCH($A205,ЗАКАЗЫ!$F$3:$F$500,0)),"")</f>
        <v/>
      </c>
      <c r="BM205" s="8" t="str">
        <f aca="false">IF(BL205="","",IFERROR(VLOOKUP(BL205,'ТН ВЭД'!$A$4:$C$40,3,0),""))</f>
        <v/>
      </c>
      <c r="BN205" s="7" t="str">
        <f aca="false">IF(COUNTIF(ЗАКАЗЫ!$F$3:$F$500,$A205)=0,"",SUMIF(ЗАКАЗЫ!$F$3:$F$500,$A205,ЗАКАЗЫ!$J$3:$J$500))</f>
        <v/>
      </c>
      <c r="BO205" s="7" t="str">
        <f aca="false">IF(BN205="","",SUMIF(ЗАКАЗЫ!$F$3:$F$500,$A205,ЗАКАЗЫ!$AL$3:$AL$500))</f>
        <v/>
      </c>
      <c r="BP205" s="7" t="str">
        <f aca="false">IF(BN205="","",BN205-BO205)</f>
        <v/>
      </c>
      <c r="BQ205" s="55" t="str">
        <f aca="false">IF(BN205="","",IF(BO205&gt;=BN205,"На складе",IF(BO205&gt;0,"Частично","Ждём")))</f>
        <v/>
      </c>
      <c r="BR205" s="43"/>
      <c r="BS205" s="47" t="str">
        <f aca="false">IF(BN205="","",IF(_xlfn.MAXIFS(ЗАКАЗЫ!$AK$3:$AK$500,ЗАКАЗЫ!$F$3:$F$500,$A205)=0,"",_xlfn.MAXIFS(ЗАКАЗЫ!$AK$3:$AK$500,ЗАКАЗЫ!$F$3:$F$500,$A205)))</f>
        <v/>
      </c>
    </row>
    <row r="206" customFormat="false" ht="15.75" hidden="false" customHeight="true" outlineLevel="0" collapsed="false">
      <c r="A206" s="80" t="s">
        <v>1038</v>
      </c>
      <c r="B206" s="81"/>
      <c r="C206" s="81"/>
      <c r="D206" s="81"/>
      <c r="E206" s="83"/>
      <c r="F206" s="81"/>
      <c r="G206" s="83"/>
      <c r="H206" s="83"/>
      <c r="I206" s="84" t="str">
        <f aca="false">IF(E206="","",A206&amp;"_1.jpg")</f>
        <v/>
      </c>
      <c r="J206" s="84" t="str">
        <f aca="false">IF(E206="","",A206&amp;"_2.jpg; "&amp;A206&amp;"_3.jpg")</f>
        <v/>
      </c>
      <c r="K206" s="84" t="str">
        <f aca="false">IF(E206="","",A206&amp;"_schema.jpg")</f>
        <v/>
      </c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 t="s">
        <v>96</v>
      </c>
      <c r="W206" s="81"/>
      <c r="X206" s="81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6" t="str">
        <f aca="false">IF(SUM(Y206:AJ206)=0,"",SUM(Y206:AJ206))</f>
        <v/>
      </c>
      <c r="AL206" s="84" t="str">
        <f aca="false">MID(IF(N(Y206)&gt;0,", "&amp;Y$2,"")&amp;IF(N(Z206)&gt;0,", "&amp;Z$2,"")&amp;IF(N(AA206)&gt;0,", "&amp;AA$2,"")&amp;IF(N(AB206)&gt;0,", "&amp;AB$2,"")&amp;IF(N(AC206)&gt;0,", "&amp;AC$2,"")&amp;IF(N(AD206)&gt;0,", "&amp;AD$2,"")&amp;IF(N(AE206)&gt;0,", "&amp;AE$2,"")&amp;IF(N(AF206)&gt;0,", "&amp;AF$2,"")&amp;IF(N(AG206)&gt;0,", "&amp;AG$2,"")&amp;IF(N(AH206)&gt;0,", "&amp;AH$2,"")&amp;IF(N(AI206)&gt;0,", "&amp;AI$2,"")&amp;IF(N(AJ206)&gt;0,", "&amp;AJ$2,""),3,999)</f>
        <v/>
      </c>
      <c r="AM206" s="87" t="str">
        <f aca="false">IF(E206="","",MID(IF(N(Y206)&gt;0,", "&amp;A206&amp;"-"&amp;Y$2,"")&amp;IF(N(Z206)&gt;0,", "&amp;A206&amp;"-"&amp;Z$2,"")&amp;IF(N(AA206)&gt;0,", "&amp;A206&amp;"-"&amp;AA$2,"")&amp;IF(N(AB206)&gt;0,", "&amp;A206&amp;"-"&amp;AB$2,"")&amp;IF(N(AC206)&gt;0,", "&amp;A206&amp;"-"&amp;AC$2,"")&amp;IF(N(AD206)&gt;0,", "&amp;A206&amp;"-"&amp;AD$2,"")&amp;IF(N(AE206)&gt;0,", "&amp;A206&amp;"-"&amp;AE$2,"")&amp;IF(N(AF206)&gt;0,", "&amp;A206&amp;"-"&amp;AF$2,"")&amp;IF(N(AG206)&gt;0,", "&amp;A206&amp;"-"&amp;AG$2,"")&amp;IF(N(AH206)&gt;0,", "&amp;A206&amp;"-"&amp;AH$2,"")&amp;IF(N(AI206)&gt;0,", "&amp;A206&amp;"-"&amp;AI$2,"")&amp;IF(N(AJ206)&gt;0,", "&amp;A206&amp;"-"&amp;AJ$2,""),3,999))</f>
        <v/>
      </c>
      <c r="AN206" s="81"/>
      <c r="AO206" s="88"/>
      <c r="AP206" s="89" t="str">
        <f aca="false">IF(AO206="","",ROUND(AO206/(1+Справочники!$B$13),2))</f>
        <v/>
      </c>
      <c r="AQ206" s="90" t="str">
        <f aca="false" t="array" ref="AQ206:AQ206">IF(AP206="","",AP206*INDEX(Справочники!$B$4:$B$7,MATCH("RUB",Справочники!$A$4:$A$7,0)))</f>
        <v/>
      </c>
      <c r="AR206" s="90" t="str">
        <f aca="false">IF(AQ206="","",ROUND(AQ206*(1+Справочники!$B$12),0))</f>
        <v/>
      </c>
      <c r="AS206" s="90" t="str">
        <f aca="false">IF(AR206="","",ROUND(AR206*(1-Справочники!$B$11),0))</f>
        <v/>
      </c>
      <c r="AT206" s="88"/>
      <c r="AU206" s="90" t="str">
        <f aca="false">IF(AT206="","",ROUND(AT206/(1+Справочники!$B$12),0))</f>
        <v/>
      </c>
      <c r="AV206" s="90" t="str">
        <f aca="false">IF(AT206="","",ROUND(AT206*(1-Справочники!$B$15),0))</f>
        <v/>
      </c>
      <c r="AW206" s="90" t="str">
        <f aca="false">IF(AT206="","",ROUND(AT206*(1-Справочники!$B$16),0))</f>
        <v/>
      </c>
      <c r="AX206" s="90" t="str">
        <f aca="false">IF(AT206="","",ROUND(AT206*(1-Справочники!$B$17),0))</f>
        <v/>
      </c>
      <c r="AY206" s="90" t="str">
        <f aca="false">IF(AT206="","",ROUND(AT206*(1-Справочники!$B$18),0))</f>
        <v/>
      </c>
      <c r="AZ206" s="90" t="str">
        <f aca="false">IF(AT206="","",ROUND(AT206*(1-Справочники!$B$19),0))</f>
        <v/>
      </c>
      <c r="BA206" s="81"/>
      <c r="BB206" s="81"/>
      <c r="BC206" s="81"/>
      <c r="BD206" s="81"/>
      <c r="BE206" s="91"/>
      <c r="BF206" s="81" t="s">
        <v>103</v>
      </c>
      <c r="BG206" s="89" t="n">
        <f aca="false" t="array" ref="BG206:BG206">IF(BF206="","",IFERROR(INDEX(Справочники!$B$4:$B$7,MATCH(BF206,Справочники!$A$4:$A$7,0)),""))</f>
        <v>68.5</v>
      </c>
      <c r="BH206" s="90" t="str">
        <f aca="false">IF(N(BN206)&gt;0,ROUND(SUMIF(ЗАКАЗЫ!$F$3:$F$500,$A206,ЗАКАЗЫ!$Y$3:$Y$500)/BN206,0),IF(OR(BE206="",BG206=""),"",ROUND(BE206*BG206*(1+Справочники!$B$10),0)))</f>
        <v/>
      </c>
      <c r="BI206" s="92" t="str">
        <f aca="false">IF(OR(AU206="",BH206="",AU206=0),"",(AU206-BH206)/AU206)</f>
        <v/>
      </c>
      <c r="BJ206" s="81"/>
      <c r="BK206" s="83"/>
      <c r="BL206" s="43" t="str">
        <f aca="false">IFERROR(INDEX(ЗАКАЗЫ!$N$3:$N$500,MATCH($A206,ЗАКАЗЫ!$F$3:$F$500,0)),"")</f>
        <v/>
      </c>
      <c r="BM206" s="8" t="str">
        <f aca="false">IF(BL206="","",IFERROR(VLOOKUP(BL206,'ТН ВЭД'!$A$4:$C$40,3,0),""))</f>
        <v/>
      </c>
      <c r="BN206" s="7" t="str">
        <f aca="false">IF(COUNTIF(ЗАКАЗЫ!$F$3:$F$500,$A206)=0,"",SUMIF(ЗАКАЗЫ!$F$3:$F$500,$A206,ЗАКАЗЫ!$J$3:$J$500))</f>
        <v/>
      </c>
      <c r="BO206" s="7" t="str">
        <f aca="false">IF(BN206="","",SUMIF(ЗАКАЗЫ!$F$3:$F$500,$A206,ЗАКАЗЫ!$AL$3:$AL$500))</f>
        <v/>
      </c>
      <c r="BP206" s="7" t="str">
        <f aca="false">IF(BN206="","",BN206-BO206)</f>
        <v/>
      </c>
      <c r="BQ206" s="55" t="str">
        <f aca="false">IF(BN206="","",IF(BO206&gt;=BN206,"На складе",IF(BO206&gt;0,"Частично","Ждём")))</f>
        <v/>
      </c>
      <c r="BR206" s="43"/>
      <c r="BS206" s="47" t="str">
        <f aca="false">IF(BN206="","",IF(_xlfn.MAXIFS(ЗАКАЗЫ!$AK$3:$AK$500,ЗАКАЗЫ!$F$3:$F$500,$A206)=0,"",_xlfn.MAXIFS(ЗАКАЗЫ!$AK$3:$AK$500,ЗАКАЗЫ!$F$3:$F$500,$A206)))</f>
        <v/>
      </c>
    </row>
    <row r="207" customFormat="false" ht="15.75" hidden="false" customHeight="true" outlineLevel="0" collapsed="false">
      <c r="A207" s="80" t="s">
        <v>1039</v>
      </c>
      <c r="B207" s="81"/>
      <c r="C207" s="81"/>
      <c r="D207" s="81"/>
      <c r="E207" s="83"/>
      <c r="F207" s="81"/>
      <c r="G207" s="83"/>
      <c r="H207" s="83"/>
      <c r="I207" s="84" t="str">
        <f aca="false">IF(E207="","",A207&amp;"_1.jpg")</f>
        <v/>
      </c>
      <c r="J207" s="84" t="str">
        <f aca="false">IF(E207="","",A207&amp;"_2.jpg; "&amp;A207&amp;"_3.jpg")</f>
        <v/>
      </c>
      <c r="K207" s="84" t="str">
        <f aca="false">IF(E207="","",A207&amp;"_schema.jpg")</f>
        <v/>
      </c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 t="s">
        <v>96</v>
      </c>
      <c r="W207" s="81"/>
      <c r="X207" s="81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6" t="str">
        <f aca="false">IF(SUM(Y207:AJ207)=0,"",SUM(Y207:AJ207))</f>
        <v/>
      </c>
      <c r="AL207" s="84" t="str">
        <f aca="false">MID(IF(N(Y207)&gt;0,", "&amp;Y$2,"")&amp;IF(N(Z207)&gt;0,", "&amp;Z$2,"")&amp;IF(N(AA207)&gt;0,", "&amp;AA$2,"")&amp;IF(N(AB207)&gt;0,", "&amp;AB$2,"")&amp;IF(N(AC207)&gt;0,", "&amp;AC$2,"")&amp;IF(N(AD207)&gt;0,", "&amp;AD$2,"")&amp;IF(N(AE207)&gt;0,", "&amp;AE$2,"")&amp;IF(N(AF207)&gt;0,", "&amp;AF$2,"")&amp;IF(N(AG207)&gt;0,", "&amp;AG$2,"")&amp;IF(N(AH207)&gt;0,", "&amp;AH$2,"")&amp;IF(N(AI207)&gt;0,", "&amp;AI$2,"")&amp;IF(N(AJ207)&gt;0,", "&amp;AJ$2,""),3,999)</f>
        <v/>
      </c>
      <c r="AM207" s="87" t="str">
        <f aca="false">IF(E207="","",MID(IF(N(Y207)&gt;0,", "&amp;A207&amp;"-"&amp;Y$2,"")&amp;IF(N(Z207)&gt;0,", "&amp;A207&amp;"-"&amp;Z$2,"")&amp;IF(N(AA207)&gt;0,", "&amp;A207&amp;"-"&amp;AA$2,"")&amp;IF(N(AB207)&gt;0,", "&amp;A207&amp;"-"&amp;AB$2,"")&amp;IF(N(AC207)&gt;0,", "&amp;A207&amp;"-"&amp;AC$2,"")&amp;IF(N(AD207)&gt;0,", "&amp;A207&amp;"-"&amp;AD$2,"")&amp;IF(N(AE207)&gt;0,", "&amp;A207&amp;"-"&amp;AE$2,"")&amp;IF(N(AF207)&gt;0,", "&amp;A207&amp;"-"&amp;AF$2,"")&amp;IF(N(AG207)&gt;0,", "&amp;A207&amp;"-"&amp;AG$2,"")&amp;IF(N(AH207)&gt;0,", "&amp;A207&amp;"-"&amp;AH$2,"")&amp;IF(N(AI207)&gt;0,", "&amp;A207&amp;"-"&amp;AI$2,"")&amp;IF(N(AJ207)&gt;0,", "&amp;A207&amp;"-"&amp;AJ$2,""),3,999))</f>
        <v/>
      </c>
      <c r="AN207" s="81"/>
      <c r="AO207" s="88"/>
      <c r="AP207" s="89" t="str">
        <f aca="false">IF(AO207="","",ROUND(AO207/(1+Справочники!$B$13),2))</f>
        <v/>
      </c>
      <c r="AQ207" s="90" t="str">
        <f aca="false" t="array" ref="AQ207:AQ207">IF(AP207="","",AP207*INDEX(Справочники!$B$4:$B$7,MATCH("RUB",Справочники!$A$4:$A$7,0)))</f>
        <v/>
      </c>
      <c r="AR207" s="90" t="str">
        <f aca="false">IF(AQ207="","",ROUND(AQ207*(1+Справочники!$B$12),0))</f>
        <v/>
      </c>
      <c r="AS207" s="90" t="str">
        <f aca="false">IF(AR207="","",ROUND(AR207*(1-Справочники!$B$11),0))</f>
        <v/>
      </c>
      <c r="AT207" s="88"/>
      <c r="AU207" s="90" t="str">
        <f aca="false">IF(AT207="","",ROUND(AT207/(1+Справочники!$B$12),0))</f>
        <v/>
      </c>
      <c r="AV207" s="90" t="str">
        <f aca="false">IF(AT207="","",ROUND(AT207*(1-Справочники!$B$15),0))</f>
        <v/>
      </c>
      <c r="AW207" s="90" t="str">
        <f aca="false">IF(AT207="","",ROUND(AT207*(1-Справочники!$B$16),0))</f>
        <v/>
      </c>
      <c r="AX207" s="90" t="str">
        <f aca="false">IF(AT207="","",ROUND(AT207*(1-Справочники!$B$17),0))</f>
        <v/>
      </c>
      <c r="AY207" s="90" t="str">
        <f aca="false">IF(AT207="","",ROUND(AT207*(1-Справочники!$B$18),0))</f>
        <v/>
      </c>
      <c r="AZ207" s="90" t="str">
        <f aca="false">IF(AT207="","",ROUND(AT207*(1-Справочники!$B$19),0))</f>
        <v/>
      </c>
      <c r="BA207" s="81"/>
      <c r="BB207" s="81"/>
      <c r="BC207" s="81"/>
      <c r="BD207" s="81"/>
      <c r="BE207" s="91"/>
      <c r="BF207" s="81" t="s">
        <v>103</v>
      </c>
      <c r="BG207" s="89" t="n">
        <f aca="false" t="array" ref="BG207:BG207">IF(BF207="","",IFERROR(INDEX(Справочники!$B$4:$B$7,MATCH(BF207,Справочники!$A$4:$A$7,0)),""))</f>
        <v>68.5</v>
      </c>
      <c r="BH207" s="90" t="str">
        <f aca="false">IF(N(BN207)&gt;0,ROUND(SUMIF(ЗАКАЗЫ!$F$3:$F$500,$A207,ЗАКАЗЫ!$Y$3:$Y$500)/BN207,0),IF(OR(BE207="",BG207=""),"",ROUND(BE207*BG207*(1+Справочники!$B$10),0)))</f>
        <v/>
      </c>
      <c r="BI207" s="92" t="str">
        <f aca="false">IF(OR(AU207="",BH207="",AU207=0),"",(AU207-BH207)/AU207)</f>
        <v/>
      </c>
      <c r="BJ207" s="81"/>
      <c r="BK207" s="83"/>
      <c r="BL207" s="43" t="str">
        <f aca="false">IFERROR(INDEX(ЗАКАЗЫ!$N$3:$N$500,MATCH($A207,ЗАКАЗЫ!$F$3:$F$500,0)),"")</f>
        <v/>
      </c>
      <c r="BM207" s="8" t="str">
        <f aca="false">IF(BL207="","",IFERROR(VLOOKUP(BL207,'ТН ВЭД'!$A$4:$C$40,3,0),""))</f>
        <v/>
      </c>
      <c r="BN207" s="7" t="str">
        <f aca="false">IF(COUNTIF(ЗАКАЗЫ!$F$3:$F$500,$A207)=0,"",SUMIF(ЗАКАЗЫ!$F$3:$F$500,$A207,ЗАКАЗЫ!$J$3:$J$500))</f>
        <v/>
      </c>
      <c r="BO207" s="7" t="str">
        <f aca="false">IF(BN207="","",SUMIF(ЗАКАЗЫ!$F$3:$F$500,$A207,ЗАКАЗЫ!$AL$3:$AL$500))</f>
        <v/>
      </c>
      <c r="BP207" s="7" t="str">
        <f aca="false">IF(BN207="","",BN207-BO207)</f>
        <v/>
      </c>
      <c r="BQ207" s="55" t="str">
        <f aca="false">IF(BN207="","",IF(BO207&gt;=BN207,"На складе",IF(BO207&gt;0,"Частично","Ждём")))</f>
        <v/>
      </c>
      <c r="BR207" s="43"/>
      <c r="BS207" s="47" t="str">
        <f aca="false">IF(BN207="","",IF(_xlfn.MAXIFS(ЗАКАЗЫ!$AK$3:$AK$500,ЗАКАЗЫ!$F$3:$F$500,$A207)=0,"",_xlfn.MAXIFS(ЗАКАЗЫ!$AK$3:$AK$500,ЗАКАЗЫ!$F$3:$F$500,$A207)))</f>
        <v/>
      </c>
    </row>
    <row r="208" customFormat="false" ht="15.75" hidden="false" customHeight="true" outlineLevel="0" collapsed="false">
      <c r="A208" s="80" t="s">
        <v>1040</v>
      </c>
      <c r="B208" s="81"/>
      <c r="C208" s="81"/>
      <c r="D208" s="81"/>
      <c r="E208" s="83"/>
      <c r="F208" s="81"/>
      <c r="G208" s="83"/>
      <c r="H208" s="83"/>
      <c r="I208" s="84" t="str">
        <f aca="false">IF(E208="","",A208&amp;"_1.jpg")</f>
        <v/>
      </c>
      <c r="J208" s="84" t="str">
        <f aca="false">IF(E208="","",A208&amp;"_2.jpg; "&amp;A208&amp;"_3.jpg")</f>
        <v/>
      </c>
      <c r="K208" s="84" t="str">
        <f aca="false">IF(E208="","",A208&amp;"_schema.jpg")</f>
        <v/>
      </c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 t="s">
        <v>96</v>
      </c>
      <c r="W208" s="81"/>
      <c r="X208" s="81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6" t="str">
        <f aca="false">IF(SUM(Y208:AJ208)=0,"",SUM(Y208:AJ208))</f>
        <v/>
      </c>
      <c r="AL208" s="84" t="str">
        <f aca="false">MID(IF(N(Y208)&gt;0,", "&amp;Y$2,"")&amp;IF(N(Z208)&gt;0,", "&amp;Z$2,"")&amp;IF(N(AA208)&gt;0,", "&amp;AA$2,"")&amp;IF(N(AB208)&gt;0,", "&amp;AB$2,"")&amp;IF(N(AC208)&gt;0,", "&amp;AC$2,"")&amp;IF(N(AD208)&gt;0,", "&amp;AD$2,"")&amp;IF(N(AE208)&gt;0,", "&amp;AE$2,"")&amp;IF(N(AF208)&gt;0,", "&amp;AF$2,"")&amp;IF(N(AG208)&gt;0,", "&amp;AG$2,"")&amp;IF(N(AH208)&gt;0,", "&amp;AH$2,"")&amp;IF(N(AI208)&gt;0,", "&amp;AI$2,"")&amp;IF(N(AJ208)&gt;0,", "&amp;AJ$2,""),3,999)</f>
        <v/>
      </c>
      <c r="AM208" s="87" t="str">
        <f aca="false">IF(E208="","",MID(IF(N(Y208)&gt;0,", "&amp;A208&amp;"-"&amp;Y$2,"")&amp;IF(N(Z208)&gt;0,", "&amp;A208&amp;"-"&amp;Z$2,"")&amp;IF(N(AA208)&gt;0,", "&amp;A208&amp;"-"&amp;AA$2,"")&amp;IF(N(AB208)&gt;0,", "&amp;A208&amp;"-"&amp;AB$2,"")&amp;IF(N(AC208)&gt;0,", "&amp;A208&amp;"-"&amp;AC$2,"")&amp;IF(N(AD208)&gt;0,", "&amp;A208&amp;"-"&amp;AD$2,"")&amp;IF(N(AE208)&gt;0,", "&amp;A208&amp;"-"&amp;AE$2,"")&amp;IF(N(AF208)&gt;0,", "&amp;A208&amp;"-"&amp;AF$2,"")&amp;IF(N(AG208)&gt;0,", "&amp;A208&amp;"-"&amp;AG$2,"")&amp;IF(N(AH208)&gt;0,", "&amp;A208&amp;"-"&amp;AH$2,"")&amp;IF(N(AI208)&gt;0,", "&amp;A208&amp;"-"&amp;AI$2,"")&amp;IF(N(AJ208)&gt;0,", "&amp;A208&amp;"-"&amp;AJ$2,""),3,999))</f>
        <v/>
      </c>
      <c r="AN208" s="81"/>
      <c r="AO208" s="88"/>
      <c r="AP208" s="89" t="str">
        <f aca="false">IF(AO208="","",ROUND(AO208/(1+Справочники!$B$13),2))</f>
        <v/>
      </c>
      <c r="AQ208" s="90" t="str">
        <f aca="false" t="array" ref="AQ208:AQ208">IF(AP208="","",AP208*INDEX(Справочники!$B$4:$B$7,MATCH("RUB",Справочники!$A$4:$A$7,0)))</f>
        <v/>
      </c>
      <c r="AR208" s="90" t="str">
        <f aca="false">IF(AQ208="","",ROUND(AQ208*(1+Справочники!$B$12),0))</f>
        <v/>
      </c>
      <c r="AS208" s="90" t="str">
        <f aca="false">IF(AR208="","",ROUND(AR208*(1-Справочники!$B$11),0))</f>
        <v/>
      </c>
      <c r="AT208" s="88"/>
      <c r="AU208" s="90" t="str">
        <f aca="false">IF(AT208="","",ROUND(AT208/(1+Справочники!$B$12),0))</f>
        <v/>
      </c>
      <c r="AV208" s="90" t="str">
        <f aca="false">IF(AT208="","",ROUND(AT208*(1-Справочники!$B$15),0))</f>
        <v/>
      </c>
      <c r="AW208" s="90" t="str">
        <f aca="false">IF(AT208="","",ROUND(AT208*(1-Справочники!$B$16),0))</f>
        <v/>
      </c>
      <c r="AX208" s="90" t="str">
        <f aca="false">IF(AT208="","",ROUND(AT208*(1-Справочники!$B$17),0))</f>
        <v/>
      </c>
      <c r="AY208" s="90" t="str">
        <f aca="false">IF(AT208="","",ROUND(AT208*(1-Справочники!$B$18),0))</f>
        <v/>
      </c>
      <c r="AZ208" s="90" t="str">
        <f aca="false">IF(AT208="","",ROUND(AT208*(1-Справочники!$B$19),0))</f>
        <v/>
      </c>
      <c r="BA208" s="81"/>
      <c r="BB208" s="81"/>
      <c r="BC208" s="81"/>
      <c r="BD208" s="81"/>
      <c r="BE208" s="91"/>
      <c r="BF208" s="81" t="s">
        <v>103</v>
      </c>
      <c r="BG208" s="89" t="n">
        <f aca="false" t="array" ref="BG208:BG208">IF(BF208="","",IFERROR(INDEX(Справочники!$B$4:$B$7,MATCH(BF208,Справочники!$A$4:$A$7,0)),""))</f>
        <v>68.5</v>
      </c>
      <c r="BH208" s="90" t="str">
        <f aca="false">IF(N(BN208)&gt;0,ROUND(SUMIF(ЗАКАЗЫ!$F$3:$F$500,$A208,ЗАКАЗЫ!$Y$3:$Y$500)/BN208,0),IF(OR(BE208="",BG208=""),"",ROUND(BE208*BG208*(1+Справочники!$B$10),0)))</f>
        <v/>
      </c>
      <c r="BI208" s="92" t="str">
        <f aca="false">IF(OR(AU208="",BH208="",AU208=0),"",(AU208-BH208)/AU208)</f>
        <v/>
      </c>
      <c r="BJ208" s="81"/>
      <c r="BK208" s="83"/>
      <c r="BL208" s="43" t="str">
        <f aca="false">IFERROR(INDEX(ЗАКАЗЫ!$N$3:$N$500,MATCH($A208,ЗАКАЗЫ!$F$3:$F$500,0)),"")</f>
        <v/>
      </c>
      <c r="BM208" s="8" t="str">
        <f aca="false">IF(BL208="","",IFERROR(VLOOKUP(BL208,'ТН ВЭД'!$A$4:$C$40,3,0),""))</f>
        <v/>
      </c>
      <c r="BN208" s="7" t="str">
        <f aca="false">IF(COUNTIF(ЗАКАЗЫ!$F$3:$F$500,$A208)=0,"",SUMIF(ЗАКАЗЫ!$F$3:$F$500,$A208,ЗАКАЗЫ!$J$3:$J$500))</f>
        <v/>
      </c>
      <c r="BO208" s="7" t="str">
        <f aca="false">IF(BN208="","",SUMIF(ЗАКАЗЫ!$F$3:$F$500,$A208,ЗАКАЗЫ!$AL$3:$AL$500))</f>
        <v/>
      </c>
      <c r="BP208" s="7" t="str">
        <f aca="false">IF(BN208="","",BN208-BO208)</f>
        <v/>
      </c>
      <c r="BQ208" s="55" t="str">
        <f aca="false">IF(BN208="","",IF(BO208&gt;=BN208,"На складе",IF(BO208&gt;0,"Частично","Ждём")))</f>
        <v/>
      </c>
      <c r="BR208" s="43"/>
      <c r="BS208" s="47" t="str">
        <f aca="false">IF(BN208="","",IF(_xlfn.MAXIFS(ЗАКАЗЫ!$AK$3:$AK$500,ЗАКАЗЫ!$F$3:$F$500,$A208)=0,"",_xlfn.MAXIFS(ЗАКАЗЫ!$AK$3:$AK$500,ЗАКАЗЫ!$F$3:$F$500,$A208)))</f>
        <v/>
      </c>
    </row>
    <row r="209" customFormat="false" ht="15.75" hidden="false" customHeight="true" outlineLevel="0" collapsed="false">
      <c r="A209" s="80" t="s">
        <v>1041</v>
      </c>
      <c r="B209" s="81"/>
      <c r="C209" s="81"/>
      <c r="D209" s="81"/>
      <c r="E209" s="83"/>
      <c r="F209" s="81"/>
      <c r="G209" s="83"/>
      <c r="H209" s="83"/>
      <c r="I209" s="84" t="str">
        <f aca="false">IF(E209="","",A209&amp;"_1.jpg")</f>
        <v/>
      </c>
      <c r="J209" s="84" t="str">
        <f aca="false">IF(E209="","",A209&amp;"_2.jpg; "&amp;A209&amp;"_3.jpg")</f>
        <v/>
      </c>
      <c r="K209" s="84" t="str">
        <f aca="false">IF(E209="","",A209&amp;"_schema.jpg")</f>
        <v/>
      </c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 t="s">
        <v>96</v>
      </c>
      <c r="W209" s="81"/>
      <c r="X209" s="81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6" t="str">
        <f aca="false">IF(SUM(Y209:AJ209)=0,"",SUM(Y209:AJ209))</f>
        <v/>
      </c>
      <c r="AL209" s="84" t="str">
        <f aca="false">MID(IF(N(Y209)&gt;0,", "&amp;Y$2,"")&amp;IF(N(Z209)&gt;0,", "&amp;Z$2,"")&amp;IF(N(AA209)&gt;0,", "&amp;AA$2,"")&amp;IF(N(AB209)&gt;0,", "&amp;AB$2,"")&amp;IF(N(AC209)&gt;0,", "&amp;AC$2,"")&amp;IF(N(AD209)&gt;0,", "&amp;AD$2,"")&amp;IF(N(AE209)&gt;0,", "&amp;AE$2,"")&amp;IF(N(AF209)&gt;0,", "&amp;AF$2,"")&amp;IF(N(AG209)&gt;0,", "&amp;AG$2,"")&amp;IF(N(AH209)&gt;0,", "&amp;AH$2,"")&amp;IF(N(AI209)&gt;0,", "&amp;AI$2,"")&amp;IF(N(AJ209)&gt;0,", "&amp;AJ$2,""),3,999)</f>
        <v/>
      </c>
      <c r="AM209" s="87" t="str">
        <f aca="false">IF(E209="","",MID(IF(N(Y209)&gt;0,", "&amp;A209&amp;"-"&amp;Y$2,"")&amp;IF(N(Z209)&gt;0,", "&amp;A209&amp;"-"&amp;Z$2,"")&amp;IF(N(AA209)&gt;0,", "&amp;A209&amp;"-"&amp;AA$2,"")&amp;IF(N(AB209)&gt;0,", "&amp;A209&amp;"-"&amp;AB$2,"")&amp;IF(N(AC209)&gt;0,", "&amp;A209&amp;"-"&amp;AC$2,"")&amp;IF(N(AD209)&gt;0,", "&amp;A209&amp;"-"&amp;AD$2,"")&amp;IF(N(AE209)&gt;0,", "&amp;A209&amp;"-"&amp;AE$2,"")&amp;IF(N(AF209)&gt;0,", "&amp;A209&amp;"-"&amp;AF$2,"")&amp;IF(N(AG209)&gt;0,", "&amp;A209&amp;"-"&amp;AG$2,"")&amp;IF(N(AH209)&gt;0,", "&amp;A209&amp;"-"&amp;AH$2,"")&amp;IF(N(AI209)&gt;0,", "&amp;A209&amp;"-"&amp;AI$2,"")&amp;IF(N(AJ209)&gt;0,", "&amp;A209&amp;"-"&amp;AJ$2,""),3,999))</f>
        <v/>
      </c>
      <c r="AN209" s="81"/>
      <c r="AO209" s="88"/>
      <c r="AP209" s="89" t="str">
        <f aca="false">IF(AO209="","",ROUND(AO209/(1+Справочники!$B$13),2))</f>
        <v/>
      </c>
      <c r="AQ209" s="90" t="str">
        <f aca="false" t="array" ref="AQ209:AQ209">IF(AP209="","",AP209*INDEX(Справочники!$B$4:$B$7,MATCH("RUB",Справочники!$A$4:$A$7,0)))</f>
        <v/>
      </c>
      <c r="AR209" s="90" t="str">
        <f aca="false">IF(AQ209="","",ROUND(AQ209*(1+Справочники!$B$12),0))</f>
        <v/>
      </c>
      <c r="AS209" s="90" t="str">
        <f aca="false">IF(AR209="","",ROUND(AR209*(1-Справочники!$B$11),0))</f>
        <v/>
      </c>
      <c r="AT209" s="88"/>
      <c r="AU209" s="90" t="str">
        <f aca="false">IF(AT209="","",ROUND(AT209/(1+Справочники!$B$12),0))</f>
        <v/>
      </c>
      <c r="AV209" s="90" t="str">
        <f aca="false">IF(AT209="","",ROUND(AT209*(1-Справочники!$B$15),0))</f>
        <v/>
      </c>
      <c r="AW209" s="90" t="str">
        <f aca="false">IF(AT209="","",ROUND(AT209*(1-Справочники!$B$16),0))</f>
        <v/>
      </c>
      <c r="AX209" s="90" t="str">
        <f aca="false">IF(AT209="","",ROUND(AT209*(1-Справочники!$B$17),0))</f>
        <v/>
      </c>
      <c r="AY209" s="90" t="str">
        <f aca="false">IF(AT209="","",ROUND(AT209*(1-Справочники!$B$18),0))</f>
        <v/>
      </c>
      <c r="AZ209" s="90" t="str">
        <f aca="false">IF(AT209="","",ROUND(AT209*(1-Справочники!$B$19),0))</f>
        <v/>
      </c>
      <c r="BA209" s="81"/>
      <c r="BB209" s="81"/>
      <c r="BC209" s="81"/>
      <c r="BD209" s="81"/>
      <c r="BE209" s="91"/>
      <c r="BF209" s="81" t="s">
        <v>103</v>
      </c>
      <c r="BG209" s="89" t="n">
        <f aca="false" t="array" ref="BG209:BG209">IF(BF209="","",IFERROR(INDEX(Справочники!$B$4:$B$7,MATCH(BF209,Справочники!$A$4:$A$7,0)),""))</f>
        <v>68.5</v>
      </c>
      <c r="BH209" s="90" t="str">
        <f aca="false">IF(N(BN209)&gt;0,ROUND(SUMIF(ЗАКАЗЫ!$F$3:$F$500,$A209,ЗАКАЗЫ!$Y$3:$Y$500)/BN209,0),IF(OR(BE209="",BG209=""),"",ROUND(BE209*BG209*(1+Справочники!$B$10),0)))</f>
        <v/>
      </c>
      <c r="BI209" s="92" t="str">
        <f aca="false">IF(OR(AU209="",BH209="",AU209=0),"",(AU209-BH209)/AU209)</f>
        <v/>
      </c>
      <c r="BJ209" s="81"/>
      <c r="BK209" s="83"/>
      <c r="BL209" s="43" t="str">
        <f aca="false">IFERROR(INDEX(ЗАКАЗЫ!$N$3:$N$500,MATCH($A209,ЗАКАЗЫ!$F$3:$F$500,0)),"")</f>
        <v/>
      </c>
      <c r="BM209" s="8" t="str">
        <f aca="false">IF(BL209="","",IFERROR(VLOOKUP(BL209,'ТН ВЭД'!$A$4:$C$40,3,0),""))</f>
        <v/>
      </c>
      <c r="BN209" s="7" t="str">
        <f aca="false">IF(COUNTIF(ЗАКАЗЫ!$F$3:$F$500,$A209)=0,"",SUMIF(ЗАКАЗЫ!$F$3:$F$500,$A209,ЗАКАЗЫ!$J$3:$J$500))</f>
        <v/>
      </c>
      <c r="BO209" s="7" t="str">
        <f aca="false">IF(BN209="","",SUMIF(ЗАКАЗЫ!$F$3:$F$500,$A209,ЗАКАЗЫ!$AL$3:$AL$500))</f>
        <v/>
      </c>
      <c r="BP209" s="7" t="str">
        <f aca="false">IF(BN209="","",BN209-BO209)</f>
        <v/>
      </c>
      <c r="BQ209" s="55" t="str">
        <f aca="false">IF(BN209="","",IF(BO209&gt;=BN209,"На складе",IF(BO209&gt;0,"Частично","Ждём")))</f>
        <v/>
      </c>
      <c r="BR209" s="43"/>
      <c r="BS209" s="47" t="str">
        <f aca="false">IF(BN209="","",IF(_xlfn.MAXIFS(ЗАКАЗЫ!$AK$3:$AK$500,ЗАКАЗЫ!$F$3:$F$500,$A209)=0,"",_xlfn.MAXIFS(ЗАКАЗЫ!$AK$3:$AK$500,ЗАКАЗЫ!$F$3:$F$500,$A209)))</f>
        <v/>
      </c>
    </row>
    <row r="210" customFormat="false" ht="15.75" hidden="false" customHeight="true" outlineLevel="0" collapsed="false">
      <c r="A210" s="80" t="s">
        <v>1042</v>
      </c>
      <c r="B210" s="81"/>
      <c r="C210" s="81"/>
      <c r="D210" s="81"/>
      <c r="E210" s="83"/>
      <c r="F210" s="81"/>
      <c r="G210" s="83"/>
      <c r="H210" s="83"/>
      <c r="I210" s="84" t="str">
        <f aca="false">IF(E210="","",A210&amp;"_1.jpg")</f>
        <v/>
      </c>
      <c r="J210" s="84" t="str">
        <f aca="false">IF(E210="","",A210&amp;"_2.jpg; "&amp;A210&amp;"_3.jpg")</f>
        <v/>
      </c>
      <c r="K210" s="84" t="str">
        <f aca="false">IF(E210="","",A210&amp;"_schema.jpg")</f>
        <v/>
      </c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 t="s">
        <v>96</v>
      </c>
      <c r="W210" s="81"/>
      <c r="X210" s="81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6" t="str">
        <f aca="false">IF(SUM(Y210:AJ210)=0,"",SUM(Y210:AJ210))</f>
        <v/>
      </c>
      <c r="AL210" s="84" t="str">
        <f aca="false">MID(IF(N(Y210)&gt;0,", "&amp;Y$2,"")&amp;IF(N(Z210)&gt;0,", "&amp;Z$2,"")&amp;IF(N(AA210)&gt;0,", "&amp;AA$2,"")&amp;IF(N(AB210)&gt;0,", "&amp;AB$2,"")&amp;IF(N(AC210)&gt;0,", "&amp;AC$2,"")&amp;IF(N(AD210)&gt;0,", "&amp;AD$2,"")&amp;IF(N(AE210)&gt;0,", "&amp;AE$2,"")&amp;IF(N(AF210)&gt;0,", "&amp;AF$2,"")&amp;IF(N(AG210)&gt;0,", "&amp;AG$2,"")&amp;IF(N(AH210)&gt;0,", "&amp;AH$2,"")&amp;IF(N(AI210)&gt;0,", "&amp;AI$2,"")&amp;IF(N(AJ210)&gt;0,", "&amp;AJ$2,""),3,999)</f>
        <v/>
      </c>
      <c r="AM210" s="87" t="str">
        <f aca="false">IF(E210="","",MID(IF(N(Y210)&gt;0,", "&amp;A210&amp;"-"&amp;Y$2,"")&amp;IF(N(Z210)&gt;0,", "&amp;A210&amp;"-"&amp;Z$2,"")&amp;IF(N(AA210)&gt;0,", "&amp;A210&amp;"-"&amp;AA$2,"")&amp;IF(N(AB210)&gt;0,", "&amp;A210&amp;"-"&amp;AB$2,"")&amp;IF(N(AC210)&gt;0,", "&amp;A210&amp;"-"&amp;AC$2,"")&amp;IF(N(AD210)&gt;0,", "&amp;A210&amp;"-"&amp;AD$2,"")&amp;IF(N(AE210)&gt;0,", "&amp;A210&amp;"-"&amp;AE$2,"")&amp;IF(N(AF210)&gt;0,", "&amp;A210&amp;"-"&amp;AF$2,"")&amp;IF(N(AG210)&gt;0,", "&amp;A210&amp;"-"&amp;AG$2,"")&amp;IF(N(AH210)&gt;0,", "&amp;A210&amp;"-"&amp;AH$2,"")&amp;IF(N(AI210)&gt;0,", "&amp;A210&amp;"-"&amp;AI$2,"")&amp;IF(N(AJ210)&gt;0,", "&amp;A210&amp;"-"&amp;AJ$2,""),3,999))</f>
        <v/>
      </c>
      <c r="AN210" s="81"/>
      <c r="AO210" s="88"/>
      <c r="AP210" s="89" t="str">
        <f aca="false">IF(AO210="","",ROUND(AO210/(1+Справочники!$B$13),2))</f>
        <v/>
      </c>
      <c r="AQ210" s="90" t="str">
        <f aca="false" t="array" ref="AQ210:AQ210">IF(AP210="","",AP210*INDEX(Справочники!$B$4:$B$7,MATCH("RUB",Справочники!$A$4:$A$7,0)))</f>
        <v/>
      </c>
      <c r="AR210" s="90" t="str">
        <f aca="false">IF(AQ210="","",ROUND(AQ210*(1+Справочники!$B$12),0))</f>
        <v/>
      </c>
      <c r="AS210" s="90" t="str">
        <f aca="false">IF(AR210="","",ROUND(AR210*(1-Справочники!$B$11),0))</f>
        <v/>
      </c>
      <c r="AT210" s="88"/>
      <c r="AU210" s="90" t="str">
        <f aca="false">IF(AT210="","",ROUND(AT210/(1+Справочники!$B$12),0))</f>
        <v/>
      </c>
      <c r="AV210" s="90" t="str">
        <f aca="false">IF(AT210="","",ROUND(AT210*(1-Справочники!$B$15),0))</f>
        <v/>
      </c>
      <c r="AW210" s="90" t="str">
        <f aca="false">IF(AT210="","",ROUND(AT210*(1-Справочники!$B$16),0))</f>
        <v/>
      </c>
      <c r="AX210" s="90" t="str">
        <f aca="false">IF(AT210="","",ROUND(AT210*(1-Справочники!$B$17),0))</f>
        <v/>
      </c>
      <c r="AY210" s="90" t="str">
        <f aca="false">IF(AT210="","",ROUND(AT210*(1-Справочники!$B$18),0))</f>
        <v/>
      </c>
      <c r="AZ210" s="90" t="str">
        <f aca="false">IF(AT210="","",ROUND(AT210*(1-Справочники!$B$19),0))</f>
        <v/>
      </c>
      <c r="BA210" s="81"/>
      <c r="BB210" s="81"/>
      <c r="BC210" s="81"/>
      <c r="BD210" s="81"/>
      <c r="BE210" s="91"/>
      <c r="BF210" s="81" t="s">
        <v>103</v>
      </c>
      <c r="BG210" s="89" t="n">
        <f aca="false" t="array" ref="BG210:BG210">IF(BF210="","",IFERROR(INDEX(Справочники!$B$4:$B$7,MATCH(BF210,Справочники!$A$4:$A$7,0)),""))</f>
        <v>68.5</v>
      </c>
      <c r="BH210" s="90" t="str">
        <f aca="false">IF(N(BN210)&gt;0,ROUND(SUMIF(ЗАКАЗЫ!$F$3:$F$500,$A210,ЗАКАЗЫ!$Y$3:$Y$500)/BN210,0),IF(OR(BE210="",BG210=""),"",ROUND(BE210*BG210*(1+Справочники!$B$10),0)))</f>
        <v/>
      </c>
      <c r="BI210" s="92" t="str">
        <f aca="false">IF(OR(AU210="",BH210="",AU210=0),"",(AU210-BH210)/AU210)</f>
        <v/>
      </c>
      <c r="BJ210" s="81"/>
      <c r="BK210" s="83"/>
      <c r="BL210" s="43" t="str">
        <f aca="false">IFERROR(INDEX(ЗАКАЗЫ!$N$3:$N$500,MATCH($A210,ЗАКАЗЫ!$F$3:$F$500,0)),"")</f>
        <v/>
      </c>
      <c r="BM210" s="8" t="str">
        <f aca="false">IF(BL210="","",IFERROR(VLOOKUP(BL210,'ТН ВЭД'!$A$4:$C$40,3,0),""))</f>
        <v/>
      </c>
      <c r="BN210" s="7" t="str">
        <f aca="false">IF(COUNTIF(ЗАКАЗЫ!$F$3:$F$500,$A210)=0,"",SUMIF(ЗАКАЗЫ!$F$3:$F$500,$A210,ЗАКАЗЫ!$J$3:$J$500))</f>
        <v/>
      </c>
      <c r="BO210" s="7" t="str">
        <f aca="false">IF(BN210="","",SUMIF(ЗАКАЗЫ!$F$3:$F$500,$A210,ЗАКАЗЫ!$AL$3:$AL$500))</f>
        <v/>
      </c>
      <c r="BP210" s="7" t="str">
        <f aca="false">IF(BN210="","",BN210-BO210)</f>
        <v/>
      </c>
      <c r="BQ210" s="55" t="str">
        <f aca="false">IF(BN210="","",IF(BO210&gt;=BN210,"На складе",IF(BO210&gt;0,"Частично","Ждём")))</f>
        <v/>
      </c>
      <c r="BR210" s="43"/>
      <c r="BS210" s="47" t="str">
        <f aca="false">IF(BN210="","",IF(_xlfn.MAXIFS(ЗАКАЗЫ!$AK$3:$AK$500,ЗАКАЗЫ!$F$3:$F$500,$A210)=0,"",_xlfn.MAXIFS(ЗАКАЗЫ!$AK$3:$AK$500,ЗАКАЗЫ!$F$3:$F$500,$A210)))</f>
        <v/>
      </c>
    </row>
    <row r="211" customFormat="false" ht="15.75" hidden="false" customHeight="true" outlineLevel="0" collapsed="false">
      <c r="A211" s="80" t="s">
        <v>1043</v>
      </c>
      <c r="B211" s="81"/>
      <c r="C211" s="81"/>
      <c r="D211" s="81"/>
      <c r="E211" s="83"/>
      <c r="F211" s="81"/>
      <c r="G211" s="83"/>
      <c r="H211" s="83"/>
      <c r="I211" s="84" t="str">
        <f aca="false">IF(E211="","",A211&amp;"_1.jpg")</f>
        <v/>
      </c>
      <c r="J211" s="84" t="str">
        <f aca="false">IF(E211="","",A211&amp;"_2.jpg; "&amp;A211&amp;"_3.jpg")</f>
        <v/>
      </c>
      <c r="K211" s="84" t="str">
        <f aca="false">IF(E211="","",A211&amp;"_schema.jpg")</f>
        <v/>
      </c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 t="s">
        <v>96</v>
      </c>
      <c r="W211" s="81"/>
      <c r="X211" s="81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6" t="str">
        <f aca="false">IF(SUM(Y211:AJ211)=0,"",SUM(Y211:AJ211))</f>
        <v/>
      </c>
      <c r="AL211" s="84" t="str">
        <f aca="false">MID(IF(N(Y211)&gt;0,", "&amp;Y$2,"")&amp;IF(N(Z211)&gt;0,", "&amp;Z$2,"")&amp;IF(N(AA211)&gt;0,", "&amp;AA$2,"")&amp;IF(N(AB211)&gt;0,", "&amp;AB$2,"")&amp;IF(N(AC211)&gt;0,", "&amp;AC$2,"")&amp;IF(N(AD211)&gt;0,", "&amp;AD$2,"")&amp;IF(N(AE211)&gt;0,", "&amp;AE$2,"")&amp;IF(N(AF211)&gt;0,", "&amp;AF$2,"")&amp;IF(N(AG211)&gt;0,", "&amp;AG$2,"")&amp;IF(N(AH211)&gt;0,", "&amp;AH$2,"")&amp;IF(N(AI211)&gt;0,", "&amp;AI$2,"")&amp;IF(N(AJ211)&gt;0,", "&amp;AJ$2,""),3,999)</f>
        <v/>
      </c>
      <c r="AM211" s="87" t="str">
        <f aca="false">IF(E211="","",MID(IF(N(Y211)&gt;0,", "&amp;A211&amp;"-"&amp;Y$2,"")&amp;IF(N(Z211)&gt;0,", "&amp;A211&amp;"-"&amp;Z$2,"")&amp;IF(N(AA211)&gt;0,", "&amp;A211&amp;"-"&amp;AA$2,"")&amp;IF(N(AB211)&gt;0,", "&amp;A211&amp;"-"&amp;AB$2,"")&amp;IF(N(AC211)&gt;0,", "&amp;A211&amp;"-"&amp;AC$2,"")&amp;IF(N(AD211)&gt;0,", "&amp;A211&amp;"-"&amp;AD$2,"")&amp;IF(N(AE211)&gt;0,", "&amp;A211&amp;"-"&amp;AE$2,"")&amp;IF(N(AF211)&gt;0,", "&amp;A211&amp;"-"&amp;AF$2,"")&amp;IF(N(AG211)&gt;0,", "&amp;A211&amp;"-"&amp;AG$2,"")&amp;IF(N(AH211)&gt;0,", "&amp;A211&amp;"-"&amp;AH$2,"")&amp;IF(N(AI211)&gt;0,", "&amp;A211&amp;"-"&amp;AI$2,"")&amp;IF(N(AJ211)&gt;0,", "&amp;A211&amp;"-"&amp;AJ$2,""),3,999))</f>
        <v/>
      </c>
      <c r="AN211" s="81"/>
      <c r="AO211" s="88"/>
      <c r="AP211" s="89" t="str">
        <f aca="false">IF(AO211="","",ROUND(AO211/(1+Справочники!$B$13),2))</f>
        <v/>
      </c>
      <c r="AQ211" s="90" t="str">
        <f aca="false" t="array" ref="AQ211:AQ211">IF(AP211="","",AP211*INDEX(Справочники!$B$4:$B$7,MATCH("RUB",Справочники!$A$4:$A$7,0)))</f>
        <v/>
      </c>
      <c r="AR211" s="90" t="str">
        <f aca="false">IF(AQ211="","",ROUND(AQ211*(1+Справочники!$B$12),0))</f>
        <v/>
      </c>
      <c r="AS211" s="90" t="str">
        <f aca="false">IF(AR211="","",ROUND(AR211*(1-Справочники!$B$11),0))</f>
        <v/>
      </c>
      <c r="AT211" s="88"/>
      <c r="AU211" s="90" t="str">
        <f aca="false">IF(AT211="","",ROUND(AT211/(1+Справочники!$B$12),0))</f>
        <v/>
      </c>
      <c r="AV211" s="90" t="str">
        <f aca="false">IF(AT211="","",ROUND(AT211*(1-Справочники!$B$15),0))</f>
        <v/>
      </c>
      <c r="AW211" s="90" t="str">
        <f aca="false">IF(AT211="","",ROUND(AT211*(1-Справочники!$B$16),0))</f>
        <v/>
      </c>
      <c r="AX211" s="90" t="str">
        <f aca="false">IF(AT211="","",ROUND(AT211*(1-Справочники!$B$17),0))</f>
        <v/>
      </c>
      <c r="AY211" s="90" t="str">
        <f aca="false">IF(AT211="","",ROUND(AT211*(1-Справочники!$B$18),0))</f>
        <v/>
      </c>
      <c r="AZ211" s="90" t="str">
        <f aca="false">IF(AT211="","",ROUND(AT211*(1-Справочники!$B$19),0))</f>
        <v/>
      </c>
      <c r="BA211" s="81"/>
      <c r="BB211" s="81"/>
      <c r="BC211" s="81"/>
      <c r="BD211" s="81"/>
      <c r="BE211" s="91"/>
      <c r="BF211" s="81" t="s">
        <v>103</v>
      </c>
      <c r="BG211" s="89" t="n">
        <f aca="false" t="array" ref="BG211:BG211">IF(BF211="","",IFERROR(INDEX(Справочники!$B$4:$B$7,MATCH(BF211,Справочники!$A$4:$A$7,0)),""))</f>
        <v>68.5</v>
      </c>
      <c r="BH211" s="90" t="str">
        <f aca="false">IF(N(BN211)&gt;0,ROUND(SUMIF(ЗАКАЗЫ!$F$3:$F$500,$A211,ЗАКАЗЫ!$Y$3:$Y$500)/BN211,0),IF(OR(BE211="",BG211=""),"",ROUND(BE211*BG211*(1+Справочники!$B$10),0)))</f>
        <v/>
      </c>
      <c r="BI211" s="92" t="str">
        <f aca="false">IF(OR(AU211="",BH211="",AU211=0),"",(AU211-BH211)/AU211)</f>
        <v/>
      </c>
      <c r="BJ211" s="81"/>
      <c r="BK211" s="83"/>
      <c r="BL211" s="43" t="str">
        <f aca="false">IFERROR(INDEX(ЗАКАЗЫ!$N$3:$N$500,MATCH($A211,ЗАКАЗЫ!$F$3:$F$500,0)),"")</f>
        <v/>
      </c>
      <c r="BM211" s="8" t="str">
        <f aca="false">IF(BL211="","",IFERROR(VLOOKUP(BL211,'ТН ВЭД'!$A$4:$C$40,3,0),""))</f>
        <v/>
      </c>
      <c r="BN211" s="7" t="str">
        <f aca="false">IF(COUNTIF(ЗАКАЗЫ!$F$3:$F$500,$A211)=0,"",SUMIF(ЗАКАЗЫ!$F$3:$F$500,$A211,ЗАКАЗЫ!$J$3:$J$500))</f>
        <v/>
      </c>
      <c r="BO211" s="7" t="str">
        <f aca="false">IF(BN211="","",SUMIF(ЗАКАЗЫ!$F$3:$F$500,$A211,ЗАКАЗЫ!$AL$3:$AL$500))</f>
        <v/>
      </c>
      <c r="BP211" s="7" t="str">
        <f aca="false">IF(BN211="","",BN211-BO211)</f>
        <v/>
      </c>
      <c r="BQ211" s="55" t="str">
        <f aca="false">IF(BN211="","",IF(BO211&gt;=BN211,"На складе",IF(BO211&gt;0,"Частично","Ждём")))</f>
        <v/>
      </c>
      <c r="BR211" s="43"/>
      <c r="BS211" s="47" t="str">
        <f aca="false">IF(BN211="","",IF(_xlfn.MAXIFS(ЗАКАЗЫ!$AK$3:$AK$500,ЗАКАЗЫ!$F$3:$F$500,$A211)=0,"",_xlfn.MAXIFS(ЗАКАЗЫ!$AK$3:$AK$500,ЗАКАЗЫ!$F$3:$F$500,$A211)))</f>
        <v/>
      </c>
    </row>
    <row r="212" customFormat="false" ht="15.75" hidden="false" customHeight="true" outlineLevel="0" collapsed="false">
      <c r="A212" s="80" t="s">
        <v>1044</v>
      </c>
      <c r="B212" s="81"/>
      <c r="C212" s="81"/>
      <c r="D212" s="81"/>
      <c r="E212" s="83"/>
      <c r="F212" s="81"/>
      <c r="G212" s="83"/>
      <c r="H212" s="83"/>
      <c r="I212" s="84" t="str">
        <f aca="false">IF(E212="","",A212&amp;"_1.jpg")</f>
        <v/>
      </c>
      <c r="J212" s="84" t="str">
        <f aca="false">IF(E212="","",A212&amp;"_2.jpg; "&amp;A212&amp;"_3.jpg")</f>
        <v/>
      </c>
      <c r="K212" s="84" t="str">
        <f aca="false">IF(E212="","",A212&amp;"_schema.jpg")</f>
        <v/>
      </c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 t="s">
        <v>96</v>
      </c>
      <c r="W212" s="81"/>
      <c r="X212" s="81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6" t="str">
        <f aca="false">IF(SUM(Y212:AJ212)=0,"",SUM(Y212:AJ212))</f>
        <v/>
      </c>
      <c r="AL212" s="84" t="str">
        <f aca="false">MID(IF(N(Y212)&gt;0,", "&amp;Y$2,"")&amp;IF(N(Z212)&gt;0,", "&amp;Z$2,"")&amp;IF(N(AA212)&gt;0,", "&amp;AA$2,"")&amp;IF(N(AB212)&gt;0,", "&amp;AB$2,"")&amp;IF(N(AC212)&gt;0,", "&amp;AC$2,"")&amp;IF(N(AD212)&gt;0,", "&amp;AD$2,"")&amp;IF(N(AE212)&gt;0,", "&amp;AE$2,"")&amp;IF(N(AF212)&gt;0,", "&amp;AF$2,"")&amp;IF(N(AG212)&gt;0,", "&amp;AG$2,"")&amp;IF(N(AH212)&gt;0,", "&amp;AH$2,"")&amp;IF(N(AI212)&gt;0,", "&amp;AI$2,"")&amp;IF(N(AJ212)&gt;0,", "&amp;AJ$2,""),3,999)</f>
        <v/>
      </c>
      <c r="AM212" s="87" t="str">
        <f aca="false">IF(E212="","",MID(IF(N(Y212)&gt;0,", "&amp;A212&amp;"-"&amp;Y$2,"")&amp;IF(N(Z212)&gt;0,", "&amp;A212&amp;"-"&amp;Z$2,"")&amp;IF(N(AA212)&gt;0,", "&amp;A212&amp;"-"&amp;AA$2,"")&amp;IF(N(AB212)&gt;0,", "&amp;A212&amp;"-"&amp;AB$2,"")&amp;IF(N(AC212)&gt;0,", "&amp;A212&amp;"-"&amp;AC$2,"")&amp;IF(N(AD212)&gt;0,", "&amp;A212&amp;"-"&amp;AD$2,"")&amp;IF(N(AE212)&gt;0,", "&amp;A212&amp;"-"&amp;AE$2,"")&amp;IF(N(AF212)&gt;0,", "&amp;A212&amp;"-"&amp;AF$2,"")&amp;IF(N(AG212)&gt;0,", "&amp;A212&amp;"-"&amp;AG$2,"")&amp;IF(N(AH212)&gt;0,", "&amp;A212&amp;"-"&amp;AH$2,"")&amp;IF(N(AI212)&gt;0,", "&amp;A212&amp;"-"&amp;AI$2,"")&amp;IF(N(AJ212)&gt;0,", "&amp;A212&amp;"-"&amp;AJ$2,""),3,999))</f>
        <v/>
      </c>
      <c r="AN212" s="81"/>
      <c r="AO212" s="88"/>
      <c r="AP212" s="89" t="str">
        <f aca="false">IF(AO212="","",ROUND(AO212/(1+Справочники!$B$13),2))</f>
        <v/>
      </c>
      <c r="AQ212" s="90" t="str">
        <f aca="false" t="array" ref="AQ212:AQ212">IF(AP212="","",AP212*INDEX(Справочники!$B$4:$B$7,MATCH("RUB",Справочники!$A$4:$A$7,0)))</f>
        <v/>
      </c>
      <c r="AR212" s="90" t="str">
        <f aca="false">IF(AQ212="","",ROUND(AQ212*(1+Справочники!$B$12),0))</f>
        <v/>
      </c>
      <c r="AS212" s="90" t="str">
        <f aca="false">IF(AR212="","",ROUND(AR212*(1-Справочники!$B$11),0))</f>
        <v/>
      </c>
      <c r="AT212" s="88"/>
      <c r="AU212" s="90" t="str">
        <f aca="false">IF(AT212="","",ROUND(AT212/(1+Справочники!$B$12),0))</f>
        <v/>
      </c>
      <c r="AV212" s="90" t="str">
        <f aca="false">IF(AT212="","",ROUND(AT212*(1-Справочники!$B$15),0))</f>
        <v/>
      </c>
      <c r="AW212" s="90" t="str">
        <f aca="false">IF(AT212="","",ROUND(AT212*(1-Справочники!$B$16),0))</f>
        <v/>
      </c>
      <c r="AX212" s="90" t="str">
        <f aca="false">IF(AT212="","",ROUND(AT212*(1-Справочники!$B$17),0))</f>
        <v/>
      </c>
      <c r="AY212" s="90" t="str">
        <f aca="false">IF(AT212="","",ROUND(AT212*(1-Справочники!$B$18),0))</f>
        <v/>
      </c>
      <c r="AZ212" s="90" t="str">
        <f aca="false">IF(AT212="","",ROUND(AT212*(1-Справочники!$B$19),0))</f>
        <v/>
      </c>
      <c r="BA212" s="81"/>
      <c r="BB212" s="81"/>
      <c r="BC212" s="81"/>
      <c r="BD212" s="81"/>
      <c r="BE212" s="91"/>
      <c r="BF212" s="81" t="s">
        <v>103</v>
      </c>
      <c r="BG212" s="89" t="n">
        <f aca="false" t="array" ref="BG212:BG212">IF(BF212="","",IFERROR(INDEX(Справочники!$B$4:$B$7,MATCH(BF212,Справочники!$A$4:$A$7,0)),""))</f>
        <v>68.5</v>
      </c>
      <c r="BH212" s="90" t="str">
        <f aca="false">IF(N(BN212)&gt;0,ROUND(SUMIF(ЗАКАЗЫ!$F$3:$F$500,$A212,ЗАКАЗЫ!$Y$3:$Y$500)/BN212,0),IF(OR(BE212="",BG212=""),"",ROUND(BE212*BG212*(1+Справочники!$B$10),0)))</f>
        <v/>
      </c>
      <c r="BI212" s="92" t="str">
        <f aca="false">IF(OR(AU212="",BH212="",AU212=0),"",(AU212-BH212)/AU212)</f>
        <v/>
      </c>
      <c r="BJ212" s="81"/>
      <c r="BK212" s="83"/>
      <c r="BL212" s="43" t="str">
        <f aca="false">IFERROR(INDEX(ЗАКАЗЫ!$N$3:$N$500,MATCH($A212,ЗАКАЗЫ!$F$3:$F$500,0)),"")</f>
        <v/>
      </c>
      <c r="BM212" s="8" t="str">
        <f aca="false">IF(BL212="","",IFERROR(VLOOKUP(BL212,'ТН ВЭД'!$A$4:$C$40,3,0),""))</f>
        <v/>
      </c>
      <c r="BN212" s="7" t="str">
        <f aca="false">IF(COUNTIF(ЗАКАЗЫ!$F$3:$F$500,$A212)=0,"",SUMIF(ЗАКАЗЫ!$F$3:$F$500,$A212,ЗАКАЗЫ!$J$3:$J$500))</f>
        <v/>
      </c>
      <c r="BO212" s="7" t="str">
        <f aca="false">IF(BN212="","",SUMIF(ЗАКАЗЫ!$F$3:$F$500,$A212,ЗАКАЗЫ!$AL$3:$AL$500))</f>
        <v/>
      </c>
      <c r="BP212" s="7" t="str">
        <f aca="false">IF(BN212="","",BN212-BO212)</f>
        <v/>
      </c>
      <c r="BQ212" s="55" t="str">
        <f aca="false">IF(BN212="","",IF(BO212&gt;=BN212,"На складе",IF(BO212&gt;0,"Частично","Ждём")))</f>
        <v/>
      </c>
      <c r="BR212" s="43"/>
      <c r="BS212" s="47" t="str">
        <f aca="false">IF(BN212="","",IF(_xlfn.MAXIFS(ЗАКАЗЫ!$AK$3:$AK$500,ЗАКАЗЫ!$F$3:$F$500,$A212)=0,"",_xlfn.MAXIFS(ЗАКАЗЫ!$AK$3:$AK$500,ЗАКАЗЫ!$F$3:$F$500,$A212)))</f>
        <v/>
      </c>
    </row>
    <row r="213" customFormat="false" ht="15.75" hidden="false" customHeight="true" outlineLevel="0" collapsed="false">
      <c r="A213" s="80" t="s">
        <v>1045</v>
      </c>
      <c r="B213" s="81"/>
      <c r="C213" s="81"/>
      <c r="D213" s="81"/>
      <c r="E213" s="83"/>
      <c r="F213" s="81"/>
      <c r="G213" s="83"/>
      <c r="H213" s="83"/>
      <c r="I213" s="84" t="str">
        <f aca="false">IF(E213="","",A213&amp;"_1.jpg")</f>
        <v/>
      </c>
      <c r="J213" s="84" t="str">
        <f aca="false">IF(E213="","",A213&amp;"_2.jpg; "&amp;A213&amp;"_3.jpg")</f>
        <v/>
      </c>
      <c r="K213" s="84" t="str">
        <f aca="false">IF(E213="","",A213&amp;"_schema.jpg")</f>
        <v/>
      </c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 t="s">
        <v>96</v>
      </c>
      <c r="W213" s="81"/>
      <c r="X213" s="81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6" t="str">
        <f aca="false">IF(SUM(Y213:AJ213)=0,"",SUM(Y213:AJ213))</f>
        <v/>
      </c>
      <c r="AL213" s="84" t="str">
        <f aca="false">MID(IF(N(Y213)&gt;0,", "&amp;Y$2,"")&amp;IF(N(Z213)&gt;0,", "&amp;Z$2,"")&amp;IF(N(AA213)&gt;0,", "&amp;AA$2,"")&amp;IF(N(AB213)&gt;0,", "&amp;AB$2,"")&amp;IF(N(AC213)&gt;0,", "&amp;AC$2,"")&amp;IF(N(AD213)&gt;0,", "&amp;AD$2,"")&amp;IF(N(AE213)&gt;0,", "&amp;AE$2,"")&amp;IF(N(AF213)&gt;0,", "&amp;AF$2,"")&amp;IF(N(AG213)&gt;0,", "&amp;AG$2,"")&amp;IF(N(AH213)&gt;0,", "&amp;AH$2,"")&amp;IF(N(AI213)&gt;0,", "&amp;AI$2,"")&amp;IF(N(AJ213)&gt;0,", "&amp;AJ$2,""),3,999)</f>
        <v/>
      </c>
      <c r="AM213" s="87" t="str">
        <f aca="false">IF(E213="","",MID(IF(N(Y213)&gt;0,", "&amp;A213&amp;"-"&amp;Y$2,"")&amp;IF(N(Z213)&gt;0,", "&amp;A213&amp;"-"&amp;Z$2,"")&amp;IF(N(AA213)&gt;0,", "&amp;A213&amp;"-"&amp;AA$2,"")&amp;IF(N(AB213)&gt;0,", "&amp;A213&amp;"-"&amp;AB$2,"")&amp;IF(N(AC213)&gt;0,", "&amp;A213&amp;"-"&amp;AC$2,"")&amp;IF(N(AD213)&gt;0,", "&amp;A213&amp;"-"&amp;AD$2,"")&amp;IF(N(AE213)&gt;0,", "&amp;A213&amp;"-"&amp;AE$2,"")&amp;IF(N(AF213)&gt;0,", "&amp;A213&amp;"-"&amp;AF$2,"")&amp;IF(N(AG213)&gt;0,", "&amp;A213&amp;"-"&amp;AG$2,"")&amp;IF(N(AH213)&gt;0,", "&amp;A213&amp;"-"&amp;AH$2,"")&amp;IF(N(AI213)&gt;0,", "&amp;A213&amp;"-"&amp;AI$2,"")&amp;IF(N(AJ213)&gt;0,", "&amp;A213&amp;"-"&amp;AJ$2,""),3,999))</f>
        <v/>
      </c>
      <c r="AN213" s="81"/>
      <c r="AO213" s="88"/>
      <c r="AP213" s="89" t="str">
        <f aca="false">IF(AO213="","",ROUND(AO213/(1+Справочники!$B$13),2))</f>
        <v/>
      </c>
      <c r="AQ213" s="90" t="str">
        <f aca="false" t="array" ref="AQ213:AQ213">IF(AP213="","",AP213*INDEX(Справочники!$B$4:$B$7,MATCH("RUB",Справочники!$A$4:$A$7,0)))</f>
        <v/>
      </c>
      <c r="AR213" s="90" t="str">
        <f aca="false">IF(AQ213="","",ROUND(AQ213*(1+Справочники!$B$12),0))</f>
        <v/>
      </c>
      <c r="AS213" s="90" t="str">
        <f aca="false">IF(AR213="","",ROUND(AR213*(1-Справочники!$B$11),0))</f>
        <v/>
      </c>
      <c r="AT213" s="88"/>
      <c r="AU213" s="90" t="str">
        <f aca="false">IF(AT213="","",ROUND(AT213/(1+Справочники!$B$12),0))</f>
        <v/>
      </c>
      <c r="AV213" s="90" t="str">
        <f aca="false">IF(AT213="","",ROUND(AT213*(1-Справочники!$B$15),0))</f>
        <v/>
      </c>
      <c r="AW213" s="90" t="str">
        <f aca="false">IF(AT213="","",ROUND(AT213*(1-Справочники!$B$16),0))</f>
        <v/>
      </c>
      <c r="AX213" s="90" t="str">
        <f aca="false">IF(AT213="","",ROUND(AT213*(1-Справочники!$B$17),0))</f>
        <v/>
      </c>
      <c r="AY213" s="90" t="str">
        <f aca="false">IF(AT213="","",ROUND(AT213*(1-Справочники!$B$18),0))</f>
        <v/>
      </c>
      <c r="AZ213" s="90" t="str">
        <f aca="false">IF(AT213="","",ROUND(AT213*(1-Справочники!$B$19),0))</f>
        <v/>
      </c>
      <c r="BA213" s="81"/>
      <c r="BB213" s="81"/>
      <c r="BC213" s="81"/>
      <c r="BD213" s="81"/>
      <c r="BE213" s="91"/>
      <c r="BF213" s="81" t="s">
        <v>103</v>
      </c>
      <c r="BG213" s="89" t="n">
        <f aca="false" t="array" ref="BG213:BG213">IF(BF213="","",IFERROR(INDEX(Справочники!$B$4:$B$7,MATCH(BF213,Справочники!$A$4:$A$7,0)),""))</f>
        <v>68.5</v>
      </c>
      <c r="BH213" s="90" t="str">
        <f aca="false">IF(N(BN213)&gt;0,ROUND(SUMIF(ЗАКАЗЫ!$F$3:$F$500,$A213,ЗАКАЗЫ!$Y$3:$Y$500)/BN213,0),IF(OR(BE213="",BG213=""),"",ROUND(BE213*BG213*(1+Справочники!$B$10),0)))</f>
        <v/>
      </c>
      <c r="BI213" s="92" t="str">
        <f aca="false">IF(OR(AU213="",BH213="",AU213=0),"",(AU213-BH213)/AU213)</f>
        <v/>
      </c>
      <c r="BJ213" s="81"/>
      <c r="BK213" s="83"/>
      <c r="BL213" s="43" t="str">
        <f aca="false">IFERROR(INDEX(ЗАКАЗЫ!$N$3:$N$500,MATCH($A213,ЗАКАЗЫ!$F$3:$F$500,0)),"")</f>
        <v/>
      </c>
      <c r="BM213" s="8" t="str">
        <f aca="false">IF(BL213="","",IFERROR(VLOOKUP(BL213,'ТН ВЭД'!$A$4:$C$40,3,0),""))</f>
        <v/>
      </c>
      <c r="BN213" s="7" t="str">
        <f aca="false">IF(COUNTIF(ЗАКАЗЫ!$F$3:$F$500,$A213)=0,"",SUMIF(ЗАКАЗЫ!$F$3:$F$500,$A213,ЗАКАЗЫ!$J$3:$J$500))</f>
        <v/>
      </c>
      <c r="BO213" s="7" t="str">
        <f aca="false">IF(BN213="","",SUMIF(ЗАКАЗЫ!$F$3:$F$500,$A213,ЗАКАЗЫ!$AL$3:$AL$500))</f>
        <v/>
      </c>
      <c r="BP213" s="7" t="str">
        <f aca="false">IF(BN213="","",BN213-BO213)</f>
        <v/>
      </c>
      <c r="BQ213" s="55" t="str">
        <f aca="false">IF(BN213="","",IF(BO213&gt;=BN213,"На складе",IF(BO213&gt;0,"Частично","Ждём")))</f>
        <v/>
      </c>
      <c r="BR213" s="43"/>
      <c r="BS213" s="47" t="str">
        <f aca="false">IF(BN213="","",IF(_xlfn.MAXIFS(ЗАКАЗЫ!$AK$3:$AK$500,ЗАКАЗЫ!$F$3:$F$500,$A213)=0,"",_xlfn.MAXIFS(ЗАКАЗЫ!$AK$3:$AK$500,ЗАКАЗЫ!$F$3:$F$500,$A213)))</f>
        <v/>
      </c>
    </row>
    <row r="214" customFormat="false" ht="15.75" hidden="false" customHeight="true" outlineLevel="0" collapsed="false">
      <c r="A214" s="80" t="s">
        <v>1046</v>
      </c>
      <c r="B214" s="81"/>
      <c r="C214" s="81"/>
      <c r="D214" s="81"/>
      <c r="E214" s="83"/>
      <c r="F214" s="81"/>
      <c r="G214" s="83"/>
      <c r="H214" s="83"/>
      <c r="I214" s="84" t="str">
        <f aca="false">IF(E214="","",A214&amp;"_1.jpg")</f>
        <v/>
      </c>
      <c r="J214" s="84" t="str">
        <f aca="false">IF(E214="","",A214&amp;"_2.jpg; "&amp;A214&amp;"_3.jpg")</f>
        <v/>
      </c>
      <c r="K214" s="84" t="str">
        <f aca="false">IF(E214="","",A214&amp;"_schema.jpg")</f>
        <v/>
      </c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 t="s">
        <v>96</v>
      </c>
      <c r="W214" s="81"/>
      <c r="X214" s="81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6" t="str">
        <f aca="false">IF(SUM(Y214:AJ214)=0,"",SUM(Y214:AJ214))</f>
        <v/>
      </c>
      <c r="AL214" s="84" t="str">
        <f aca="false">MID(IF(N(Y214)&gt;0,", "&amp;Y$2,"")&amp;IF(N(Z214)&gt;0,", "&amp;Z$2,"")&amp;IF(N(AA214)&gt;0,", "&amp;AA$2,"")&amp;IF(N(AB214)&gt;0,", "&amp;AB$2,"")&amp;IF(N(AC214)&gt;0,", "&amp;AC$2,"")&amp;IF(N(AD214)&gt;0,", "&amp;AD$2,"")&amp;IF(N(AE214)&gt;0,", "&amp;AE$2,"")&amp;IF(N(AF214)&gt;0,", "&amp;AF$2,"")&amp;IF(N(AG214)&gt;0,", "&amp;AG$2,"")&amp;IF(N(AH214)&gt;0,", "&amp;AH$2,"")&amp;IF(N(AI214)&gt;0,", "&amp;AI$2,"")&amp;IF(N(AJ214)&gt;0,", "&amp;AJ$2,""),3,999)</f>
        <v/>
      </c>
      <c r="AM214" s="87" t="str">
        <f aca="false">IF(E214="","",MID(IF(N(Y214)&gt;0,", "&amp;A214&amp;"-"&amp;Y$2,"")&amp;IF(N(Z214)&gt;0,", "&amp;A214&amp;"-"&amp;Z$2,"")&amp;IF(N(AA214)&gt;0,", "&amp;A214&amp;"-"&amp;AA$2,"")&amp;IF(N(AB214)&gt;0,", "&amp;A214&amp;"-"&amp;AB$2,"")&amp;IF(N(AC214)&gt;0,", "&amp;A214&amp;"-"&amp;AC$2,"")&amp;IF(N(AD214)&gt;0,", "&amp;A214&amp;"-"&amp;AD$2,"")&amp;IF(N(AE214)&gt;0,", "&amp;A214&amp;"-"&amp;AE$2,"")&amp;IF(N(AF214)&gt;0,", "&amp;A214&amp;"-"&amp;AF$2,"")&amp;IF(N(AG214)&gt;0,", "&amp;A214&amp;"-"&amp;AG$2,"")&amp;IF(N(AH214)&gt;0,", "&amp;A214&amp;"-"&amp;AH$2,"")&amp;IF(N(AI214)&gt;0,", "&amp;A214&amp;"-"&amp;AI$2,"")&amp;IF(N(AJ214)&gt;0,", "&amp;A214&amp;"-"&amp;AJ$2,""),3,999))</f>
        <v/>
      </c>
      <c r="AN214" s="81"/>
      <c r="AO214" s="88"/>
      <c r="AP214" s="89" t="str">
        <f aca="false">IF(AO214="","",ROUND(AO214/(1+Справочники!$B$13),2))</f>
        <v/>
      </c>
      <c r="AQ214" s="90" t="str">
        <f aca="false" t="array" ref="AQ214:AQ214">IF(AP214="","",AP214*INDEX(Справочники!$B$4:$B$7,MATCH("RUB",Справочники!$A$4:$A$7,0)))</f>
        <v/>
      </c>
      <c r="AR214" s="90" t="str">
        <f aca="false">IF(AQ214="","",ROUND(AQ214*(1+Справочники!$B$12),0))</f>
        <v/>
      </c>
      <c r="AS214" s="90" t="str">
        <f aca="false">IF(AR214="","",ROUND(AR214*(1-Справочники!$B$11),0))</f>
        <v/>
      </c>
      <c r="AT214" s="88"/>
      <c r="AU214" s="90" t="str">
        <f aca="false">IF(AT214="","",ROUND(AT214/(1+Справочники!$B$12),0))</f>
        <v/>
      </c>
      <c r="AV214" s="90" t="str">
        <f aca="false">IF(AT214="","",ROUND(AT214*(1-Справочники!$B$15),0))</f>
        <v/>
      </c>
      <c r="AW214" s="90" t="str">
        <f aca="false">IF(AT214="","",ROUND(AT214*(1-Справочники!$B$16),0))</f>
        <v/>
      </c>
      <c r="AX214" s="90" t="str">
        <f aca="false">IF(AT214="","",ROUND(AT214*(1-Справочники!$B$17),0))</f>
        <v/>
      </c>
      <c r="AY214" s="90" t="str">
        <f aca="false">IF(AT214="","",ROUND(AT214*(1-Справочники!$B$18),0))</f>
        <v/>
      </c>
      <c r="AZ214" s="90" t="str">
        <f aca="false">IF(AT214="","",ROUND(AT214*(1-Справочники!$B$19),0))</f>
        <v/>
      </c>
      <c r="BA214" s="81"/>
      <c r="BB214" s="81"/>
      <c r="BC214" s="81"/>
      <c r="BD214" s="81"/>
      <c r="BE214" s="91"/>
      <c r="BF214" s="81" t="s">
        <v>103</v>
      </c>
      <c r="BG214" s="89" t="n">
        <f aca="false" t="array" ref="BG214:BG214">IF(BF214="","",IFERROR(INDEX(Справочники!$B$4:$B$7,MATCH(BF214,Справочники!$A$4:$A$7,0)),""))</f>
        <v>68.5</v>
      </c>
      <c r="BH214" s="90" t="str">
        <f aca="false">IF(N(BN214)&gt;0,ROUND(SUMIF(ЗАКАЗЫ!$F$3:$F$500,$A214,ЗАКАЗЫ!$Y$3:$Y$500)/BN214,0),IF(OR(BE214="",BG214=""),"",ROUND(BE214*BG214*(1+Справочники!$B$10),0)))</f>
        <v/>
      </c>
      <c r="BI214" s="92" t="str">
        <f aca="false">IF(OR(AU214="",BH214="",AU214=0),"",(AU214-BH214)/AU214)</f>
        <v/>
      </c>
      <c r="BJ214" s="81"/>
      <c r="BK214" s="83"/>
      <c r="BL214" s="43" t="str">
        <f aca="false">IFERROR(INDEX(ЗАКАЗЫ!$N$3:$N$500,MATCH($A214,ЗАКАЗЫ!$F$3:$F$500,0)),"")</f>
        <v/>
      </c>
      <c r="BM214" s="8" t="str">
        <f aca="false">IF(BL214="","",IFERROR(VLOOKUP(BL214,'ТН ВЭД'!$A$4:$C$40,3,0),""))</f>
        <v/>
      </c>
      <c r="BN214" s="7" t="str">
        <f aca="false">IF(COUNTIF(ЗАКАЗЫ!$F$3:$F$500,$A214)=0,"",SUMIF(ЗАКАЗЫ!$F$3:$F$500,$A214,ЗАКАЗЫ!$J$3:$J$500))</f>
        <v/>
      </c>
      <c r="BO214" s="7" t="str">
        <f aca="false">IF(BN214="","",SUMIF(ЗАКАЗЫ!$F$3:$F$500,$A214,ЗАКАЗЫ!$AL$3:$AL$500))</f>
        <v/>
      </c>
      <c r="BP214" s="7" t="str">
        <f aca="false">IF(BN214="","",BN214-BO214)</f>
        <v/>
      </c>
      <c r="BQ214" s="55" t="str">
        <f aca="false">IF(BN214="","",IF(BO214&gt;=BN214,"На складе",IF(BO214&gt;0,"Частично","Ждём")))</f>
        <v/>
      </c>
      <c r="BR214" s="43"/>
      <c r="BS214" s="47" t="str">
        <f aca="false">IF(BN214="","",IF(_xlfn.MAXIFS(ЗАКАЗЫ!$AK$3:$AK$500,ЗАКАЗЫ!$F$3:$F$500,$A214)=0,"",_xlfn.MAXIFS(ЗАКАЗЫ!$AK$3:$AK$500,ЗАКАЗЫ!$F$3:$F$500,$A214)))</f>
        <v/>
      </c>
    </row>
    <row r="215" customFormat="false" ht="15.75" hidden="false" customHeight="true" outlineLevel="0" collapsed="false">
      <c r="A215" s="80" t="s">
        <v>1047</v>
      </c>
      <c r="B215" s="81"/>
      <c r="C215" s="81"/>
      <c r="D215" s="81"/>
      <c r="E215" s="83"/>
      <c r="F215" s="81"/>
      <c r="G215" s="83"/>
      <c r="H215" s="83"/>
      <c r="I215" s="84" t="str">
        <f aca="false">IF(E215="","",A215&amp;"_1.jpg")</f>
        <v/>
      </c>
      <c r="J215" s="84" t="str">
        <f aca="false">IF(E215="","",A215&amp;"_2.jpg; "&amp;A215&amp;"_3.jpg")</f>
        <v/>
      </c>
      <c r="K215" s="84" t="str">
        <f aca="false">IF(E215="","",A215&amp;"_schema.jpg")</f>
        <v/>
      </c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 t="s">
        <v>96</v>
      </c>
      <c r="W215" s="81"/>
      <c r="X215" s="81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6" t="str">
        <f aca="false">IF(SUM(Y215:AJ215)=0,"",SUM(Y215:AJ215))</f>
        <v/>
      </c>
      <c r="AL215" s="84" t="str">
        <f aca="false">MID(IF(N(Y215)&gt;0,", "&amp;Y$2,"")&amp;IF(N(Z215)&gt;0,", "&amp;Z$2,"")&amp;IF(N(AA215)&gt;0,", "&amp;AA$2,"")&amp;IF(N(AB215)&gt;0,", "&amp;AB$2,"")&amp;IF(N(AC215)&gt;0,", "&amp;AC$2,"")&amp;IF(N(AD215)&gt;0,", "&amp;AD$2,"")&amp;IF(N(AE215)&gt;0,", "&amp;AE$2,"")&amp;IF(N(AF215)&gt;0,", "&amp;AF$2,"")&amp;IF(N(AG215)&gt;0,", "&amp;AG$2,"")&amp;IF(N(AH215)&gt;0,", "&amp;AH$2,"")&amp;IF(N(AI215)&gt;0,", "&amp;AI$2,"")&amp;IF(N(AJ215)&gt;0,", "&amp;AJ$2,""),3,999)</f>
        <v/>
      </c>
      <c r="AM215" s="87" t="str">
        <f aca="false">IF(E215="","",MID(IF(N(Y215)&gt;0,", "&amp;A215&amp;"-"&amp;Y$2,"")&amp;IF(N(Z215)&gt;0,", "&amp;A215&amp;"-"&amp;Z$2,"")&amp;IF(N(AA215)&gt;0,", "&amp;A215&amp;"-"&amp;AA$2,"")&amp;IF(N(AB215)&gt;0,", "&amp;A215&amp;"-"&amp;AB$2,"")&amp;IF(N(AC215)&gt;0,", "&amp;A215&amp;"-"&amp;AC$2,"")&amp;IF(N(AD215)&gt;0,", "&amp;A215&amp;"-"&amp;AD$2,"")&amp;IF(N(AE215)&gt;0,", "&amp;A215&amp;"-"&amp;AE$2,"")&amp;IF(N(AF215)&gt;0,", "&amp;A215&amp;"-"&amp;AF$2,"")&amp;IF(N(AG215)&gt;0,", "&amp;A215&amp;"-"&amp;AG$2,"")&amp;IF(N(AH215)&gt;0,", "&amp;A215&amp;"-"&amp;AH$2,"")&amp;IF(N(AI215)&gt;0,", "&amp;A215&amp;"-"&amp;AI$2,"")&amp;IF(N(AJ215)&gt;0,", "&amp;A215&amp;"-"&amp;AJ$2,""),3,999))</f>
        <v/>
      </c>
      <c r="AN215" s="81"/>
      <c r="AO215" s="88"/>
      <c r="AP215" s="89" t="str">
        <f aca="false">IF(AO215="","",ROUND(AO215/(1+Справочники!$B$13),2))</f>
        <v/>
      </c>
      <c r="AQ215" s="90" t="str">
        <f aca="false" t="array" ref="AQ215:AQ215">IF(AP215="","",AP215*INDEX(Справочники!$B$4:$B$7,MATCH("RUB",Справочники!$A$4:$A$7,0)))</f>
        <v/>
      </c>
      <c r="AR215" s="90" t="str">
        <f aca="false">IF(AQ215="","",ROUND(AQ215*(1+Справочники!$B$12),0))</f>
        <v/>
      </c>
      <c r="AS215" s="90" t="str">
        <f aca="false">IF(AR215="","",ROUND(AR215*(1-Справочники!$B$11),0))</f>
        <v/>
      </c>
      <c r="AT215" s="88"/>
      <c r="AU215" s="90" t="str">
        <f aca="false">IF(AT215="","",ROUND(AT215/(1+Справочники!$B$12),0))</f>
        <v/>
      </c>
      <c r="AV215" s="90" t="str">
        <f aca="false">IF(AT215="","",ROUND(AT215*(1-Справочники!$B$15),0))</f>
        <v/>
      </c>
      <c r="AW215" s="90" t="str">
        <f aca="false">IF(AT215="","",ROUND(AT215*(1-Справочники!$B$16),0))</f>
        <v/>
      </c>
      <c r="AX215" s="90" t="str">
        <f aca="false">IF(AT215="","",ROUND(AT215*(1-Справочники!$B$17),0))</f>
        <v/>
      </c>
      <c r="AY215" s="90" t="str">
        <f aca="false">IF(AT215="","",ROUND(AT215*(1-Справочники!$B$18),0))</f>
        <v/>
      </c>
      <c r="AZ215" s="90" t="str">
        <f aca="false">IF(AT215="","",ROUND(AT215*(1-Справочники!$B$19),0))</f>
        <v/>
      </c>
      <c r="BA215" s="81"/>
      <c r="BB215" s="81"/>
      <c r="BC215" s="81"/>
      <c r="BD215" s="81"/>
      <c r="BE215" s="91"/>
      <c r="BF215" s="81" t="s">
        <v>103</v>
      </c>
      <c r="BG215" s="89" t="n">
        <f aca="false" t="array" ref="BG215:BG215">IF(BF215="","",IFERROR(INDEX(Справочники!$B$4:$B$7,MATCH(BF215,Справочники!$A$4:$A$7,0)),""))</f>
        <v>68.5</v>
      </c>
      <c r="BH215" s="90" t="str">
        <f aca="false">IF(N(BN215)&gt;0,ROUND(SUMIF(ЗАКАЗЫ!$F$3:$F$500,$A215,ЗАКАЗЫ!$Y$3:$Y$500)/BN215,0),IF(OR(BE215="",BG215=""),"",ROUND(BE215*BG215*(1+Справочники!$B$10),0)))</f>
        <v/>
      </c>
      <c r="BI215" s="92" t="str">
        <f aca="false">IF(OR(AU215="",BH215="",AU215=0),"",(AU215-BH215)/AU215)</f>
        <v/>
      </c>
      <c r="BJ215" s="81"/>
      <c r="BK215" s="83"/>
      <c r="BL215" s="43" t="str">
        <f aca="false">IFERROR(INDEX(ЗАКАЗЫ!$N$3:$N$500,MATCH($A215,ЗАКАЗЫ!$F$3:$F$500,0)),"")</f>
        <v/>
      </c>
      <c r="BM215" s="8" t="str">
        <f aca="false">IF(BL215="","",IFERROR(VLOOKUP(BL215,'ТН ВЭД'!$A$4:$C$40,3,0),""))</f>
        <v/>
      </c>
      <c r="BN215" s="7" t="str">
        <f aca="false">IF(COUNTIF(ЗАКАЗЫ!$F$3:$F$500,$A215)=0,"",SUMIF(ЗАКАЗЫ!$F$3:$F$500,$A215,ЗАКАЗЫ!$J$3:$J$500))</f>
        <v/>
      </c>
      <c r="BO215" s="7" t="str">
        <f aca="false">IF(BN215="","",SUMIF(ЗАКАЗЫ!$F$3:$F$500,$A215,ЗАКАЗЫ!$AL$3:$AL$500))</f>
        <v/>
      </c>
      <c r="BP215" s="7" t="str">
        <f aca="false">IF(BN215="","",BN215-BO215)</f>
        <v/>
      </c>
      <c r="BQ215" s="55" t="str">
        <f aca="false">IF(BN215="","",IF(BO215&gt;=BN215,"На складе",IF(BO215&gt;0,"Частично","Ждём")))</f>
        <v/>
      </c>
      <c r="BR215" s="43"/>
      <c r="BS215" s="47" t="str">
        <f aca="false">IF(BN215="","",IF(_xlfn.MAXIFS(ЗАКАЗЫ!$AK$3:$AK$500,ЗАКАЗЫ!$F$3:$F$500,$A215)=0,"",_xlfn.MAXIFS(ЗАКАЗЫ!$AK$3:$AK$500,ЗАКАЗЫ!$F$3:$F$500,$A215)))</f>
        <v/>
      </c>
    </row>
    <row r="216" customFormat="false" ht="15.75" hidden="false" customHeight="true" outlineLevel="0" collapsed="false">
      <c r="A216" s="80" t="s">
        <v>1048</v>
      </c>
      <c r="B216" s="81"/>
      <c r="C216" s="81"/>
      <c r="D216" s="81"/>
      <c r="E216" s="83"/>
      <c r="F216" s="81"/>
      <c r="G216" s="83"/>
      <c r="H216" s="83"/>
      <c r="I216" s="84" t="str">
        <f aca="false">IF(E216="","",A216&amp;"_1.jpg")</f>
        <v/>
      </c>
      <c r="J216" s="84" t="str">
        <f aca="false">IF(E216="","",A216&amp;"_2.jpg; "&amp;A216&amp;"_3.jpg")</f>
        <v/>
      </c>
      <c r="K216" s="84" t="str">
        <f aca="false">IF(E216="","",A216&amp;"_schema.jpg")</f>
        <v/>
      </c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 t="s">
        <v>96</v>
      </c>
      <c r="W216" s="81"/>
      <c r="X216" s="81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6" t="str">
        <f aca="false">IF(SUM(Y216:AJ216)=0,"",SUM(Y216:AJ216))</f>
        <v/>
      </c>
      <c r="AL216" s="84" t="str">
        <f aca="false">MID(IF(N(Y216)&gt;0,", "&amp;Y$2,"")&amp;IF(N(Z216)&gt;0,", "&amp;Z$2,"")&amp;IF(N(AA216)&gt;0,", "&amp;AA$2,"")&amp;IF(N(AB216)&gt;0,", "&amp;AB$2,"")&amp;IF(N(AC216)&gt;0,", "&amp;AC$2,"")&amp;IF(N(AD216)&gt;0,", "&amp;AD$2,"")&amp;IF(N(AE216)&gt;0,", "&amp;AE$2,"")&amp;IF(N(AF216)&gt;0,", "&amp;AF$2,"")&amp;IF(N(AG216)&gt;0,", "&amp;AG$2,"")&amp;IF(N(AH216)&gt;0,", "&amp;AH$2,"")&amp;IF(N(AI216)&gt;0,", "&amp;AI$2,"")&amp;IF(N(AJ216)&gt;0,", "&amp;AJ$2,""),3,999)</f>
        <v/>
      </c>
      <c r="AM216" s="87" t="str">
        <f aca="false">IF(E216="","",MID(IF(N(Y216)&gt;0,", "&amp;A216&amp;"-"&amp;Y$2,"")&amp;IF(N(Z216)&gt;0,", "&amp;A216&amp;"-"&amp;Z$2,"")&amp;IF(N(AA216)&gt;0,", "&amp;A216&amp;"-"&amp;AA$2,"")&amp;IF(N(AB216)&gt;0,", "&amp;A216&amp;"-"&amp;AB$2,"")&amp;IF(N(AC216)&gt;0,", "&amp;A216&amp;"-"&amp;AC$2,"")&amp;IF(N(AD216)&gt;0,", "&amp;A216&amp;"-"&amp;AD$2,"")&amp;IF(N(AE216)&gt;0,", "&amp;A216&amp;"-"&amp;AE$2,"")&amp;IF(N(AF216)&gt;0,", "&amp;A216&amp;"-"&amp;AF$2,"")&amp;IF(N(AG216)&gt;0,", "&amp;A216&amp;"-"&amp;AG$2,"")&amp;IF(N(AH216)&gt;0,", "&amp;A216&amp;"-"&amp;AH$2,"")&amp;IF(N(AI216)&gt;0,", "&amp;A216&amp;"-"&amp;AI$2,"")&amp;IF(N(AJ216)&gt;0,", "&amp;A216&amp;"-"&amp;AJ$2,""),3,999))</f>
        <v/>
      </c>
      <c r="AN216" s="81"/>
      <c r="AO216" s="88"/>
      <c r="AP216" s="89" t="str">
        <f aca="false">IF(AO216="","",ROUND(AO216/(1+Справочники!$B$13),2))</f>
        <v/>
      </c>
      <c r="AQ216" s="90" t="str">
        <f aca="false" t="array" ref="AQ216:AQ216">IF(AP216="","",AP216*INDEX(Справочники!$B$4:$B$7,MATCH("RUB",Справочники!$A$4:$A$7,0)))</f>
        <v/>
      </c>
      <c r="AR216" s="90" t="str">
        <f aca="false">IF(AQ216="","",ROUND(AQ216*(1+Справочники!$B$12),0))</f>
        <v/>
      </c>
      <c r="AS216" s="90" t="str">
        <f aca="false">IF(AR216="","",ROUND(AR216*(1-Справочники!$B$11),0))</f>
        <v/>
      </c>
      <c r="AT216" s="88"/>
      <c r="AU216" s="90" t="str">
        <f aca="false">IF(AT216="","",ROUND(AT216/(1+Справочники!$B$12),0))</f>
        <v/>
      </c>
      <c r="AV216" s="90" t="str">
        <f aca="false">IF(AT216="","",ROUND(AT216*(1-Справочники!$B$15),0))</f>
        <v/>
      </c>
      <c r="AW216" s="90" t="str">
        <f aca="false">IF(AT216="","",ROUND(AT216*(1-Справочники!$B$16),0))</f>
        <v/>
      </c>
      <c r="AX216" s="90" t="str">
        <f aca="false">IF(AT216="","",ROUND(AT216*(1-Справочники!$B$17),0))</f>
        <v/>
      </c>
      <c r="AY216" s="90" t="str">
        <f aca="false">IF(AT216="","",ROUND(AT216*(1-Справочники!$B$18),0))</f>
        <v/>
      </c>
      <c r="AZ216" s="90" t="str">
        <f aca="false">IF(AT216="","",ROUND(AT216*(1-Справочники!$B$19),0))</f>
        <v/>
      </c>
      <c r="BA216" s="81"/>
      <c r="BB216" s="81"/>
      <c r="BC216" s="81"/>
      <c r="BD216" s="81"/>
      <c r="BE216" s="91"/>
      <c r="BF216" s="81" t="s">
        <v>103</v>
      </c>
      <c r="BG216" s="89" t="n">
        <f aca="false" t="array" ref="BG216:BG216">IF(BF216="","",IFERROR(INDEX(Справочники!$B$4:$B$7,MATCH(BF216,Справочники!$A$4:$A$7,0)),""))</f>
        <v>68.5</v>
      </c>
      <c r="BH216" s="90" t="str">
        <f aca="false">IF(N(BN216)&gt;0,ROUND(SUMIF(ЗАКАЗЫ!$F$3:$F$500,$A216,ЗАКАЗЫ!$Y$3:$Y$500)/BN216,0),IF(OR(BE216="",BG216=""),"",ROUND(BE216*BG216*(1+Справочники!$B$10),0)))</f>
        <v/>
      </c>
      <c r="BI216" s="92" t="str">
        <f aca="false">IF(OR(AU216="",BH216="",AU216=0),"",(AU216-BH216)/AU216)</f>
        <v/>
      </c>
      <c r="BJ216" s="81"/>
      <c r="BK216" s="83"/>
      <c r="BL216" s="43" t="str">
        <f aca="false">IFERROR(INDEX(ЗАКАЗЫ!$N$3:$N$500,MATCH($A216,ЗАКАЗЫ!$F$3:$F$500,0)),"")</f>
        <v/>
      </c>
      <c r="BM216" s="8" t="str">
        <f aca="false">IF(BL216="","",IFERROR(VLOOKUP(BL216,'ТН ВЭД'!$A$4:$C$40,3,0),""))</f>
        <v/>
      </c>
      <c r="BN216" s="7" t="str">
        <f aca="false">IF(COUNTIF(ЗАКАЗЫ!$F$3:$F$500,$A216)=0,"",SUMIF(ЗАКАЗЫ!$F$3:$F$500,$A216,ЗАКАЗЫ!$J$3:$J$500))</f>
        <v/>
      </c>
      <c r="BO216" s="7" t="str">
        <f aca="false">IF(BN216="","",SUMIF(ЗАКАЗЫ!$F$3:$F$500,$A216,ЗАКАЗЫ!$AL$3:$AL$500))</f>
        <v/>
      </c>
      <c r="BP216" s="7" t="str">
        <f aca="false">IF(BN216="","",BN216-BO216)</f>
        <v/>
      </c>
      <c r="BQ216" s="55" t="str">
        <f aca="false">IF(BN216="","",IF(BO216&gt;=BN216,"На складе",IF(BO216&gt;0,"Частично","Ждём")))</f>
        <v/>
      </c>
      <c r="BR216" s="43"/>
      <c r="BS216" s="47" t="str">
        <f aca="false">IF(BN216="","",IF(_xlfn.MAXIFS(ЗАКАЗЫ!$AK$3:$AK$500,ЗАКАЗЫ!$F$3:$F$500,$A216)=0,"",_xlfn.MAXIFS(ЗАКАЗЫ!$AK$3:$AK$500,ЗАКАЗЫ!$F$3:$F$500,$A216)))</f>
        <v/>
      </c>
    </row>
    <row r="217" customFormat="false" ht="15.75" hidden="false" customHeight="true" outlineLevel="0" collapsed="false">
      <c r="A217" s="80" t="s">
        <v>1049</v>
      </c>
      <c r="B217" s="81"/>
      <c r="C217" s="81"/>
      <c r="D217" s="81"/>
      <c r="E217" s="83"/>
      <c r="F217" s="81"/>
      <c r="G217" s="83"/>
      <c r="H217" s="83"/>
      <c r="I217" s="84" t="str">
        <f aca="false">IF(E217="","",A217&amp;"_1.jpg")</f>
        <v/>
      </c>
      <c r="J217" s="84" t="str">
        <f aca="false">IF(E217="","",A217&amp;"_2.jpg; "&amp;A217&amp;"_3.jpg")</f>
        <v/>
      </c>
      <c r="K217" s="84" t="str">
        <f aca="false">IF(E217="","",A217&amp;"_schema.jpg")</f>
        <v/>
      </c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 t="s">
        <v>96</v>
      </c>
      <c r="W217" s="81"/>
      <c r="X217" s="81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6" t="str">
        <f aca="false">IF(SUM(Y217:AJ217)=0,"",SUM(Y217:AJ217))</f>
        <v/>
      </c>
      <c r="AL217" s="84" t="str">
        <f aca="false">MID(IF(N(Y217)&gt;0,", "&amp;Y$2,"")&amp;IF(N(Z217)&gt;0,", "&amp;Z$2,"")&amp;IF(N(AA217)&gt;0,", "&amp;AA$2,"")&amp;IF(N(AB217)&gt;0,", "&amp;AB$2,"")&amp;IF(N(AC217)&gt;0,", "&amp;AC$2,"")&amp;IF(N(AD217)&gt;0,", "&amp;AD$2,"")&amp;IF(N(AE217)&gt;0,", "&amp;AE$2,"")&amp;IF(N(AF217)&gt;0,", "&amp;AF$2,"")&amp;IF(N(AG217)&gt;0,", "&amp;AG$2,"")&amp;IF(N(AH217)&gt;0,", "&amp;AH$2,"")&amp;IF(N(AI217)&gt;0,", "&amp;AI$2,"")&amp;IF(N(AJ217)&gt;0,", "&amp;AJ$2,""),3,999)</f>
        <v/>
      </c>
      <c r="AM217" s="87" t="str">
        <f aca="false">IF(E217="","",MID(IF(N(Y217)&gt;0,", "&amp;A217&amp;"-"&amp;Y$2,"")&amp;IF(N(Z217)&gt;0,", "&amp;A217&amp;"-"&amp;Z$2,"")&amp;IF(N(AA217)&gt;0,", "&amp;A217&amp;"-"&amp;AA$2,"")&amp;IF(N(AB217)&gt;0,", "&amp;A217&amp;"-"&amp;AB$2,"")&amp;IF(N(AC217)&gt;0,", "&amp;A217&amp;"-"&amp;AC$2,"")&amp;IF(N(AD217)&gt;0,", "&amp;A217&amp;"-"&amp;AD$2,"")&amp;IF(N(AE217)&gt;0,", "&amp;A217&amp;"-"&amp;AE$2,"")&amp;IF(N(AF217)&gt;0,", "&amp;A217&amp;"-"&amp;AF$2,"")&amp;IF(N(AG217)&gt;0,", "&amp;A217&amp;"-"&amp;AG$2,"")&amp;IF(N(AH217)&gt;0,", "&amp;A217&amp;"-"&amp;AH$2,"")&amp;IF(N(AI217)&gt;0,", "&amp;A217&amp;"-"&amp;AI$2,"")&amp;IF(N(AJ217)&gt;0,", "&amp;A217&amp;"-"&amp;AJ$2,""),3,999))</f>
        <v/>
      </c>
      <c r="AN217" s="81"/>
      <c r="AO217" s="88"/>
      <c r="AP217" s="89" t="str">
        <f aca="false">IF(AO217="","",ROUND(AO217/(1+Справочники!$B$13),2))</f>
        <v/>
      </c>
      <c r="AQ217" s="90" t="str">
        <f aca="false" t="array" ref="AQ217:AQ217">IF(AP217="","",AP217*INDEX(Справочники!$B$4:$B$7,MATCH("RUB",Справочники!$A$4:$A$7,0)))</f>
        <v/>
      </c>
      <c r="AR217" s="90" t="str">
        <f aca="false">IF(AQ217="","",ROUND(AQ217*(1+Справочники!$B$12),0))</f>
        <v/>
      </c>
      <c r="AS217" s="90" t="str">
        <f aca="false">IF(AR217="","",ROUND(AR217*(1-Справочники!$B$11),0))</f>
        <v/>
      </c>
      <c r="AT217" s="88"/>
      <c r="AU217" s="90" t="str">
        <f aca="false">IF(AT217="","",ROUND(AT217/(1+Справочники!$B$12),0))</f>
        <v/>
      </c>
      <c r="AV217" s="90" t="str">
        <f aca="false">IF(AT217="","",ROUND(AT217*(1-Справочники!$B$15),0))</f>
        <v/>
      </c>
      <c r="AW217" s="90" t="str">
        <f aca="false">IF(AT217="","",ROUND(AT217*(1-Справочники!$B$16),0))</f>
        <v/>
      </c>
      <c r="AX217" s="90" t="str">
        <f aca="false">IF(AT217="","",ROUND(AT217*(1-Справочники!$B$17),0))</f>
        <v/>
      </c>
      <c r="AY217" s="90" t="str">
        <f aca="false">IF(AT217="","",ROUND(AT217*(1-Справочники!$B$18),0))</f>
        <v/>
      </c>
      <c r="AZ217" s="90" t="str">
        <f aca="false">IF(AT217="","",ROUND(AT217*(1-Справочники!$B$19),0))</f>
        <v/>
      </c>
      <c r="BA217" s="81"/>
      <c r="BB217" s="81"/>
      <c r="BC217" s="81"/>
      <c r="BD217" s="81"/>
      <c r="BE217" s="91"/>
      <c r="BF217" s="81" t="s">
        <v>103</v>
      </c>
      <c r="BG217" s="89" t="n">
        <f aca="false" t="array" ref="BG217:BG217">IF(BF217="","",IFERROR(INDEX(Справочники!$B$4:$B$7,MATCH(BF217,Справочники!$A$4:$A$7,0)),""))</f>
        <v>68.5</v>
      </c>
      <c r="BH217" s="90" t="str">
        <f aca="false">IF(N(BN217)&gt;0,ROUND(SUMIF(ЗАКАЗЫ!$F$3:$F$500,$A217,ЗАКАЗЫ!$Y$3:$Y$500)/BN217,0),IF(OR(BE217="",BG217=""),"",ROUND(BE217*BG217*(1+Справочники!$B$10),0)))</f>
        <v/>
      </c>
      <c r="BI217" s="92" t="str">
        <f aca="false">IF(OR(AU217="",BH217="",AU217=0),"",(AU217-BH217)/AU217)</f>
        <v/>
      </c>
      <c r="BJ217" s="81"/>
      <c r="BK217" s="83"/>
      <c r="BL217" s="43" t="str">
        <f aca="false">IFERROR(INDEX(ЗАКАЗЫ!$N$3:$N$500,MATCH($A217,ЗАКАЗЫ!$F$3:$F$500,0)),"")</f>
        <v/>
      </c>
      <c r="BM217" s="8" t="str">
        <f aca="false">IF(BL217="","",IFERROR(VLOOKUP(BL217,'ТН ВЭД'!$A$4:$C$40,3,0),""))</f>
        <v/>
      </c>
      <c r="BN217" s="7" t="str">
        <f aca="false">IF(COUNTIF(ЗАКАЗЫ!$F$3:$F$500,$A217)=0,"",SUMIF(ЗАКАЗЫ!$F$3:$F$500,$A217,ЗАКАЗЫ!$J$3:$J$500))</f>
        <v/>
      </c>
      <c r="BO217" s="7" t="str">
        <f aca="false">IF(BN217="","",SUMIF(ЗАКАЗЫ!$F$3:$F$500,$A217,ЗАКАЗЫ!$AL$3:$AL$500))</f>
        <v/>
      </c>
      <c r="BP217" s="7" t="str">
        <f aca="false">IF(BN217="","",BN217-BO217)</f>
        <v/>
      </c>
      <c r="BQ217" s="55" t="str">
        <f aca="false">IF(BN217="","",IF(BO217&gt;=BN217,"На складе",IF(BO217&gt;0,"Частично","Ждём")))</f>
        <v/>
      </c>
      <c r="BR217" s="43"/>
      <c r="BS217" s="47" t="str">
        <f aca="false">IF(BN217="","",IF(_xlfn.MAXIFS(ЗАКАЗЫ!$AK$3:$AK$500,ЗАКАЗЫ!$F$3:$F$500,$A217)=0,"",_xlfn.MAXIFS(ЗАКАЗЫ!$AK$3:$AK$500,ЗАКАЗЫ!$F$3:$F$500,$A217)))</f>
        <v/>
      </c>
    </row>
    <row r="218" customFormat="false" ht="15.75" hidden="false" customHeight="true" outlineLevel="0" collapsed="false">
      <c r="A218" s="80" t="s">
        <v>1050</v>
      </c>
      <c r="B218" s="81"/>
      <c r="C218" s="81"/>
      <c r="D218" s="81"/>
      <c r="E218" s="83"/>
      <c r="F218" s="81"/>
      <c r="G218" s="83"/>
      <c r="H218" s="83"/>
      <c r="I218" s="84" t="str">
        <f aca="false">IF(E218="","",A218&amp;"_1.jpg")</f>
        <v/>
      </c>
      <c r="J218" s="84" t="str">
        <f aca="false">IF(E218="","",A218&amp;"_2.jpg; "&amp;A218&amp;"_3.jpg")</f>
        <v/>
      </c>
      <c r="K218" s="84" t="str">
        <f aca="false">IF(E218="","",A218&amp;"_schema.jpg")</f>
        <v/>
      </c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 t="s">
        <v>96</v>
      </c>
      <c r="W218" s="81"/>
      <c r="X218" s="81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6" t="str">
        <f aca="false">IF(SUM(Y218:AJ218)=0,"",SUM(Y218:AJ218))</f>
        <v/>
      </c>
      <c r="AL218" s="84" t="str">
        <f aca="false">MID(IF(N(Y218)&gt;0,", "&amp;Y$2,"")&amp;IF(N(Z218)&gt;0,", "&amp;Z$2,"")&amp;IF(N(AA218)&gt;0,", "&amp;AA$2,"")&amp;IF(N(AB218)&gt;0,", "&amp;AB$2,"")&amp;IF(N(AC218)&gt;0,", "&amp;AC$2,"")&amp;IF(N(AD218)&gt;0,", "&amp;AD$2,"")&amp;IF(N(AE218)&gt;0,", "&amp;AE$2,"")&amp;IF(N(AF218)&gt;0,", "&amp;AF$2,"")&amp;IF(N(AG218)&gt;0,", "&amp;AG$2,"")&amp;IF(N(AH218)&gt;0,", "&amp;AH$2,"")&amp;IF(N(AI218)&gt;0,", "&amp;AI$2,"")&amp;IF(N(AJ218)&gt;0,", "&amp;AJ$2,""),3,999)</f>
        <v/>
      </c>
      <c r="AM218" s="87" t="str">
        <f aca="false">IF(E218="","",MID(IF(N(Y218)&gt;0,", "&amp;A218&amp;"-"&amp;Y$2,"")&amp;IF(N(Z218)&gt;0,", "&amp;A218&amp;"-"&amp;Z$2,"")&amp;IF(N(AA218)&gt;0,", "&amp;A218&amp;"-"&amp;AA$2,"")&amp;IF(N(AB218)&gt;0,", "&amp;A218&amp;"-"&amp;AB$2,"")&amp;IF(N(AC218)&gt;0,", "&amp;A218&amp;"-"&amp;AC$2,"")&amp;IF(N(AD218)&gt;0,", "&amp;A218&amp;"-"&amp;AD$2,"")&amp;IF(N(AE218)&gt;0,", "&amp;A218&amp;"-"&amp;AE$2,"")&amp;IF(N(AF218)&gt;0,", "&amp;A218&amp;"-"&amp;AF$2,"")&amp;IF(N(AG218)&gt;0,", "&amp;A218&amp;"-"&amp;AG$2,"")&amp;IF(N(AH218)&gt;0,", "&amp;A218&amp;"-"&amp;AH$2,"")&amp;IF(N(AI218)&gt;0,", "&amp;A218&amp;"-"&amp;AI$2,"")&amp;IF(N(AJ218)&gt;0,", "&amp;A218&amp;"-"&amp;AJ$2,""),3,999))</f>
        <v/>
      </c>
      <c r="AN218" s="81"/>
      <c r="AO218" s="88"/>
      <c r="AP218" s="89" t="str">
        <f aca="false">IF(AO218="","",ROUND(AO218/(1+Справочники!$B$13),2))</f>
        <v/>
      </c>
      <c r="AQ218" s="90" t="str">
        <f aca="false" t="array" ref="AQ218:AQ218">IF(AP218="","",AP218*INDEX(Справочники!$B$4:$B$7,MATCH("RUB",Справочники!$A$4:$A$7,0)))</f>
        <v/>
      </c>
      <c r="AR218" s="90" t="str">
        <f aca="false">IF(AQ218="","",ROUND(AQ218*(1+Справочники!$B$12),0))</f>
        <v/>
      </c>
      <c r="AS218" s="90" t="str">
        <f aca="false">IF(AR218="","",ROUND(AR218*(1-Справочники!$B$11),0))</f>
        <v/>
      </c>
      <c r="AT218" s="88"/>
      <c r="AU218" s="90" t="str">
        <f aca="false">IF(AT218="","",ROUND(AT218/(1+Справочники!$B$12),0))</f>
        <v/>
      </c>
      <c r="AV218" s="90" t="str">
        <f aca="false">IF(AT218="","",ROUND(AT218*(1-Справочники!$B$15),0))</f>
        <v/>
      </c>
      <c r="AW218" s="90" t="str">
        <f aca="false">IF(AT218="","",ROUND(AT218*(1-Справочники!$B$16),0))</f>
        <v/>
      </c>
      <c r="AX218" s="90" t="str">
        <f aca="false">IF(AT218="","",ROUND(AT218*(1-Справочники!$B$17),0))</f>
        <v/>
      </c>
      <c r="AY218" s="90" t="str">
        <f aca="false">IF(AT218="","",ROUND(AT218*(1-Справочники!$B$18),0))</f>
        <v/>
      </c>
      <c r="AZ218" s="90" t="str">
        <f aca="false">IF(AT218="","",ROUND(AT218*(1-Справочники!$B$19),0))</f>
        <v/>
      </c>
      <c r="BA218" s="81"/>
      <c r="BB218" s="81"/>
      <c r="BC218" s="81"/>
      <c r="BD218" s="81"/>
      <c r="BE218" s="91"/>
      <c r="BF218" s="81" t="s">
        <v>103</v>
      </c>
      <c r="BG218" s="89" t="n">
        <f aca="false" t="array" ref="BG218:BG218">IF(BF218="","",IFERROR(INDEX(Справочники!$B$4:$B$7,MATCH(BF218,Справочники!$A$4:$A$7,0)),""))</f>
        <v>68.5</v>
      </c>
      <c r="BH218" s="90" t="str">
        <f aca="false">IF(N(BN218)&gt;0,ROUND(SUMIF(ЗАКАЗЫ!$F$3:$F$500,$A218,ЗАКАЗЫ!$Y$3:$Y$500)/BN218,0),IF(OR(BE218="",BG218=""),"",ROUND(BE218*BG218*(1+Справочники!$B$10),0)))</f>
        <v/>
      </c>
      <c r="BI218" s="92" t="str">
        <f aca="false">IF(OR(AU218="",BH218="",AU218=0),"",(AU218-BH218)/AU218)</f>
        <v/>
      </c>
      <c r="BJ218" s="81"/>
      <c r="BK218" s="83"/>
      <c r="BL218" s="43" t="str">
        <f aca="false">IFERROR(INDEX(ЗАКАЗЫ!$N$3:$N$500,MATCH($A218,ЗАКАЗЫ!$F$3:$F$500,0)),"")</f>
        <v/>
      </c>
      <c r="BM218" s="8" t="str">
        <f aca="false">IF(BL218="","",IFERROR(VLOOKUP(BL218,'ТН ВЭД'!$A$4:$C$40,3,0),""))</f>
        <v/>
      </c>
      <c r="BN218" s="7" t="str">
        <f aca="false">IF(COUNTIF(ЗАКАЗЫ!$F$3:$F$500,$A218)=0,"",SUMIF(ЗАКАЗЫ!$F$3:$F$500,$A218,ЗАКАЗЫ!$J$3:$J$500))</f>
        <v/>
      </c>
      <c r="BO218" s="7" t="str">
        <f aca="false">IF(BN218="","",SUMIF(ЗАКАЗЫ!$F$3:$F$500,$A218,ЗАКАЗЫ!$AL$3:$AL$500))</f>
        <v/>
      </c>
      <c r="BP218" s="7" t="str">
        <f aca="false">IF(BN218="","",BN218-BO218)</f>
        <v/>
      </c>
      <c r="BQ218" s="55" t="str">
        <f aca="false">IF(BN218="","",IF(BO218&gt;=BN218,"На складе",IF(BO218&gt;0,"Частично","Ждём")))</f>
        <v/>
      </c>
      <c r="BR218" s="43"/>
      <c r="BS218" s="47" t="str">
        <f aca="false">IF(BN218="","",IF(_xlfn.MAXIFS(ЗАКАЗЫ!$AK$3:$AK$500,ЗАКАЗЫ!$F$3:$F$500,$A218)=0,"",_xlfn.MAXIFS(ЗАКАЗЫ!$AK$3:$AK$500,ЗАКАЗЫ!$F$3:$F$500,$A218)))</f>
        <v/>
      </c>
    </row>
    <row r="219" customFormat="false" ht="15.75" hidden="false" customHeight="true" outlineLevel="0" collapsed="false">
      <c r="A219" s="80" t="s">
        <v>1051</v>
      </c>
      <c r="B219" s="81"/>
      <c r="C219" s="81"/>
      <c r="D219" s="81"/>
      <c r="E219" s="83"/>
      <c r="F219" s="81"/>
      <c r="G219" s="83"/>
      <c r="H219" s="83"/>
      <c r="I219" s="84" t="str">
        <f aca="false">IF(E219="","",A219&amp;"_1.jpg")</f>
        <v/>
      </c>
      <c r="J219" s="84" t="str">
        <f aca="false">IF(E219="","",A219&amp;"_2.jpg; "&amp;A219&amp;"_3.jpg")</f>
        <v/>
      </c>
      <c r="K219" s="84" t="str">
        <f aca="false">IF(E219="","",A219&amp;"_schema.jpg")</f>
        <v/>
      </c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 t="s">
        <v>96</v>
      </c>
      <c r="W219" s="81"/>
      <c r="X219" s="81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6" t="str">
        <f aca="false">IF(SUM(Y219:AJ219)=0,"",SUM(Y219:AJ219))</f>
        <v/>
      </c>
      <c r="AL219" s="84" t="str">
        <f aca="false">MID(IF(N(Y219)&gt;0,", "&amp;Y$2,"")&amp;IF(N(Z219)&gt;0,", "&amp;Z$2,"")&amp;IF(N(AA219)&gt;0,", "&amp;AA$2,"")&amp;IF(N(AB219)&gt;0,", "&amp;AB$2,"")&amp;IF(N(AC219)&gt;0,", "&amp;AC$2,"")&amp;IF(N(AD219)&gt;0,", "&amp;AD$2,"")&amp;IF(N(AE219)&gt;0,", "&amp;AE$2,"")&amp;IF(N(AF219)&gt;0,", "&amp;AF$2,"")&amp;IF(N(AG219)&gt;0,", "&amp;AG$2,"")&amp;IF(N(AH219)&gt;0,", "&amp;AH$2,"")&amp;IF(N(AI219)&gt;0,", "&amp;AI$2,"")&amp;IF(N(AJ219)&gt;0,", "&amp;AJ$2,""),3,999)</f>
        <v/>
      </c>
      <c r="AM219" s="87" t="str">
        <f aca="false">IF(E219="","",MID(IF(N(Y219)&gt;0,", "&amp;A219&amp;"-"&amp;Y$2,"")&amp;IF(N(Z219)&gt;0,", "&amp;A219&amp;"-"&amp;Z$2,"")&amp;IF(N(AA219)&gt;0,", "&amp;A219&amp;"-"&amp;AA$2,"")&amp;IF(N(AB219)&gt;0,", "&amp;A219&amp;"-"&amp;AB$2,"")&amp;IF(N(AC219)&gt;0,", "&amp;A219&amp;"-"&amp;AC$2,"")&amp;IF(N(AD219)&gt;0,", "&amp;A219&amp;"-"&amp;AD$2,"")&amp;IF(N(AE219)&gt;0,", "&amp;A219&amp;"-"&amp;AE$2,"")&amp;IF(N(AF219)&gt;0,", "&amp;A219&amp;"-"&amp;AF$2,"")&amp;IF(N(AG219)&gt;0,", "&amp;A219&amp;"-"&amp;AG$2,"")&amp;IF(N(AH219)&gt;0,", "&amp;A219&amp;"-"&amp;AH$2,"")&amp;IF(N(AI219)&gt;0,", "&amp;A219&amp;"-"&amp;AI$2,"")&amp;IF(N(AJ219)&gt;0,", "&amp;A219&amp;"-"&amp;AJ$2,""),3,999))</f>
        <v/>
      </c>
      <c r="AN219" s="81"/>
      <c r="AO219" s="88"/>
      <c r="AP219" s="89" t="str">
        <f aca="false">IF(AO219="","",ROUND(AO219/(1+Справочники!$B$13),2))</f>
        <v/>
      </c>
      <c r="AQ219" s="90" t="str">
        <f aca="false" t="array" ref="AQ219:AQ219">IF(AP219="","",AP219*INDEX(Справочники!$B$4:$B$7,MATCH("RUB",Справочники!$A$4:$A$7,0)))</f>
        <v/>
      </c>
      <c r="AR219" s="90" t="str">
        <f aca="false">IF(AQ219="","",ROUND(AQ219*(1+Справочники!$B$12),0))</f>
        <v/>
      </c>
      <c r="AS219" s="90" t="str">
        <f aca="false">IF(AR219="","",ROUND(AR219*(1-Справочники!$B$11),0))</f>
        <v/>
      </c>
      <c r="AT219" s="88"/>
      <c r="AU219" s="90" t="str">
        <f aca="false">IF(AT219="","",ROUND(AT219/(1+Справочники!$B$12),0))</f>
        <v/>
      </c>
      <c r="AV219" s="90" t="str">
        <f aca="false">IF(AT219="","",ROUND(AT219*(1-Справочники!$B$15),0))</f>
        <v/>
      </c>
      <c r="AW219" s="90" t="str">
        <f aca="false">IF(AT219="","",ROUND(AT219*(1-Справочники!$B$16),0))</f>
        <v/>
      </c>
      <c r="AX219" s="90" t="str">
        <f aca="false">IF(AT219="","",ROUND(AT219*(1-Справочники!$B$17),0))</f>
        <v/>
      </c>
      <c r="AY219" s="90" t="str">
        <f aca="false">IF(AT219="","",ROUND(AT219*(1-Справочники!$B$18),0))</f>
        <v/>
      </c>
      <c r="AZ219" s="90" t="str">
        <f aca="false">IF(AT219="","",ROUND(AT219*(1-Справочники!$B$19),0))</f>
        <v/>
      </c>
      <c r="BA219" s="81"/>
      <c r="BB219" s="81"/>
      <c r="BC219" s="81"/>
      <c r="BD219" s="81"/>
      <c r="BE219" s="91"/>
      <c r="BF219" s="81" t="s">
        <v>103</v>
      </c>
      <c r="BG219" s="89" t="n">
        <f aca="false" t="array" ref="BG219:BG219">IF(BF219="","",IFERROR(INDEX(Справочники!$B$4:$B$7,MATCH(BF219,Справочники!$A$4:$A$7,0)),""))</f>
        <v>68.5</v>
      </c>
      <c r="BH219" s="90" t="str">
        <f aca="false">IF(N(BN219)&gt;0,ROUND(SUMIF(ЗАКАЗЫ!$F$3:$F$500,$A219,ЗАКАЗЫ!$Y$3:$Y$500)/BN219,0),IF(OR(BE219="",BG219=""),"",ROUND(BE219*BG219*(1+Справочники!$B$10),0)))</f>
        <v/>
      </c>
      <c r="BI219" s="92" t="str">
        <f aca="false">IF(OR(AU219="",BH219="",AU219=0),"",(AU219-BH219)/AU219)</f>
        <v/>
      </c>
      <c r="BJ219" s="81"/>
      <c r="BK219" s="83"/>
      <c r="BL219" s="43" t="str">
        <f aca="false">IFERROR(INDEX(ЗАКАЗЫ!$N$3:$N$500,MATCH($A219,ЗАКАЗЫ!$F$3:$F$500,0)),"")</f>
        <v/>
      </c>
      <c r="BM219" s="8" t="str">
        <f aca="false">IF(BL219="","",IFERROR(VLOOKUP(BL219,'ТН ВЭД'!$A$4:$C$40,3,0),""))</f>
        <v/>
      </c>
      <c r="BN219" s="7" t="str">
        <f aca="false">IF(COUNTIF(ЗАКАЗЫ!$F$3:$F$500,$A219)=0,"",SUMIF(ЗАКАЗЫ!$F$3:$F$500,$A219,ЗАКАЗЫ!$J$3:$J$500))</f>
        <v/>
      </c>
      <c r="BO219" s="7" t="str">
        <f aca="false">IF(BN219="","",SUMIF(ЗАКАЗЫ!$F$3:$F$500,$A219,ЗАКАЗЫ!$AL$3:$AL$500))</f>
        <v/>
      </c>
      <c r="BP219" s="7" t="str">
        <f aca="false">IF(BN219="","",BN219-BO219)</f>
        <v/>
      </c>
      <c r="BQ219" s="55" t="str">
        <f aca="false">IF(BN219="","",IF(BO219&gt;=BN219,"На складе",IF(BO219&gt;0,"Частично","Ждём")))</f>
        <v/>
      </c>
      <c r="BR219" s="43"/>
      <c r="BS219" s="47" t="str">
        <f aca="false">IF(BN219="","",IF(_xlfn.MAXIFS(ЗАКАЗЫ!$AK$3:$AK$500,ЗАКАЗЫ!$F$3:$F$500,$A219)=0,"",_xlfn.MAXIFS(ЗАКАЗЫ!$AK$3:$AK$500,ЗАКАЗЫ!$F$3:$F$500,$A219)))</f>
        <v/>
      </c>
    </row>
    <row r="220" customFormat="false" ht="15.75" hidden="false" customHeight="true" outlineLevel="0" collapsed="false">
      <c r="A220" s="80" t="s">
        <v>1052</v>
      </c>
      <c r="B220" s="81"/>
      <c r="C220" s="81"/>
      <c r="D220" s="81"/>
      <c r="E220" s="83"/>
      <c r="F220" s="81"/>
      <c r="G220" s="83"/>
      <c r="H220" s="83"/>
      <c r="I220" s="84" t="str">
        <f aca="false">IF(E220="","",A220&amp;"_1.jpg")</f>
        <v/>
      </c>
      <c r="J220" s="84" t="str">
        <f aca="false">IF(E220="","",A220&amp;"_2.jpg; "&amp;A220&amp;"_3.jpg")</f>
        <v/>
      </c>
      <c r="K220" s="84" t="str">
        <f aca="false">IF(E220="","",A220&amp;"_schema.jpg")</f>
        <v/>
      </c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 t="s">
        <v>96</v>
      </c>
      <c r="W220" s="81"/>
      <c r="X220" s="81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6" t="str">
        <f aca="false">IF(SUM(Y220:AJ220)=0,"",SUM(Y220:AJ220))</f>
        <v/>
      </c>
      <c r="AL220" s="84" t="str">
        <f aca="false">MID(IF(N(Y220)&gt;0,", "&amp;Y$2,"")&amp;IF(N(Z220)&gt;0,", "&amp;Z$2,"")&amp;IF(N(AA220)&gt;0,", "&amp;AA$2,"")&amp;IF(N(AB220)&gt;0,", "&amp;AB$2,"")&amp;IF(N(AC220)&gt;0,", "&amp;AC$2,"")&amp;IF(N(AD220)&gt;0,", "&amp;AD$2,"")&amp;IF(N(AE220)&gt;0,", "&amp;AE$2,"")&amp;IF(N(AF220)&gt;0,", "&amp;AF$2,"")&amp;IF(N(AG220)&gt;0,", "&amp;AG$2,"")&amp;IF(N(AH220)&gt;0,", "&amp;AH$2,"")&amp;IF(N(AI220)&gt;0,", "&amp;AI$2,"")&amp;IF(N(AJ220)&gt;0,", "&amp;AJ$2,""),3,999)</f>
        <v/>
      </c>
      <c r="AM220" s="87" t="str">
        <f aca="false">IF(E220="","",MID(IF(N(Y220)&gt;0,", "&amp;A220&amp;"-"&amp;Y$2,"")&amp;IF(N(Z220)&gt;0,", "&amp;A220&amp;"-"&amp;Z$2,"")&amp;IF(N(AA220)&gt;0,", "&amp;A220&amp;"-"&amp;AA$2,"")&amp;IF(N(AB220)&gt;0,", "&amp;A220&amp;"-"&amp;AB$2,"")&amp;IF(N(AC220)&gt;0,", "&amp;A220&amp;"-"&amp;AC$2,"")&amp;IF(N(AD220)&gt;0,", "&amp;A220&amp;"-"&amp;AD$2,"")&amp;IF(N(AE220)&gt;0,", "&amp;A220&amp;"-"&amp;AE$2,"")&amp;IF(N(AF220)&gt;0,", "&amp;A220&amp;"-"&amp;AF$2,"")&amp;IF(N(AG220)&gt;0,", "&amp;A220&amp;"-"&amp;AG$2,"")&amp;IF(N(AH220)&gt;0,", "&amp;A220&amp;"-"&amp;AH$2,"")&amp;IF(N(AI220)&gt;0,", "&amp;A220&amp;"-"&amp;AI$2,"")&amp;IF(N(AJ220)&gt;0,", "&amp;A220&amp;"-"&amp;AJ$2,""),3,999))</f>
        <v/>
      </c>
      <c r="AN220" s="81"/>
      <c r="AO220" s="88"/>
      <c r="AP220" s="89" t="str">
        <f aca="false">IF(AO220="","",ROUND(AO220/(1+Справочники!$B$13),2))</f>
        <v/>
      </c>
      <c r="AQ220" s="90" t="str">
        <f aca="false" t="array" ref="AQ220:AQ220">IF(AP220="","",AP220*INDEX(Справочники!$B$4:$B$7,MATCH("RUB",Справочники!$A$4:$A$7,0)))</f>
        <v/>
      </c>
      <c r="AR220" s="90" t="str">
        <f aca="false">IF(AQ220="","",ROUND(AQ220*(1+Справочники!$B$12),0))</f>
        <v/>
      </c>
      <c r="AS220" s="90" t="str">
        <f aca="false">IF(AR220="","",ROUND(AR220*(1-Справочники!$B$11),0))</f>
        <v/>
      </c>
      <c r="AT220" s="88"/>
      <c r="AU220" s="90" t="str">
        <f aca="false">IF(AT220="","",ROUND(AT220/(1+Справочники!$B$12),0))</f>
        <v/>
      </c>
      <c r="AV220" s="90" t="str">
        <f aca="false">IF(AT220="","",ROUND(AT220*(1-Справочники!$B$15),0))</f>
        <v/>
      </c>
      <c r="AW220" s="90" t="str">
        <f aca="false">IF(AT220="","",ROUND(AT220*(1-Справочники!$B$16),0))</f>
        <v/>
      </c>
      <c r="AX220" s="90" t="str">
        <f aca="false">IF(AT220="","",ROUND(AT220*(1-Справочники!$B$17),0))</f>
        <v/>
      </c>
      <c r="AY220" s="90" t="str">
        <f aca="false">IF(AT220="","",ROUND(AT220*(1-Справочники!$B$18),0))</f>
        <v/>
      </c>
      <c r="AZ220" s="90" t="str">
        <f aca="false">IF(AT220="","",ROUND(AT220*(1-Справочники!$B$19),0))</f>
        <v/>
      </c>
      <c r="BA220" s="81"/>
      <c r="BB220" s="81"/>
      <c r="BC220" s="81"/>
      <c r="BD220" s="81"/>
      <c r="BE220" s="91"/>
      <c r="BF220" s="81" t="s">
        <v>103</v>
      </c>
      <c r="BG220" s="89" t="n">
        <f aca="false" t="array" ref="BG220:BG220">IF(BF220="","",IFERROR(INDEX(Справочники!$B$4:$B$7,MATCH(BF220,Справочники!$A$4:$A$7,0)),""))</f>
        <v>68.5</v>
      </c>
      <c r="BH220" s="90" t="str">
        <f aca="false">IF(N(BN220)&gt;0,ROUND(SUMIF(ЗАКАЗЫ!$F$3:$F$500,$A220,ЗАКАЗЫ!$Y$3:$Y$500)/BN220,0),IF(OR(BE220="",BG220=""),"",ROUND(BE220*BG220*(1+Справочники!$B$10),0)))</f>
        <v/>
      </c>
      <c r="BI220" s="92" t="str">
        <f aca="false">IF(OR(AU220="",BH220="",AU220=0),"",(AU220-BH220)/AU220)</f>
        <v/>
      </c>
      <c r="BJ220" s="81"/>
      <c r="BK220" s="83"/>
      <c r="BL220" s="43" t="str">
        <f aca="false">IFERROR(INDEX(ЗАКАЗЫ!$N$3:$N$500,MATCH($A220,ЗАКАЗЫ!$F$3:$F$500,0)),"")</f>
        <v/>
      </c>
      <c r="BM220" s="8" t="str">
        <f aca="false">IF(BL220="","",IFERROR(VLOOKUP(BL220,'ТН ВЭД'!$A$4:$C$40,3,0),""))</f>
        <v/>
      </c>
      <c r="BN220" s="7" t="str">
        <f aca="false">IF(COUNTIF(ЗАКАЗЫ!$F$3:$F$500,$A220)=0,"",SUMIF(ЗАКАЗЫ!$F$3:$F$500,$A220,ЗАКАЗЫ!$J$3:$J$500))</f>
        <v/>
      </c>
      <c r="BO220" s="7" t="str">
        <f aca="false">IF(BN220="","",SUMIF(ЗАКАЗЫ!$F$3:$F$500,$A220,ЗАКАЗЫ!$AL$3:$AL$500))</f>
        <v/>
      </c>
      <c r="BP220" s="7" t="str">
        <f aca="false">IF(BN220="","",BN220-BO220)</f>
        <v/>
      </c>
      <c r="BQ220" s="55" t="str">
        <f aca="false">IF(BN220="","",IF(BO220&gt;=BN220,"На складе",IF(BO220&gt;0,"Частично","Ждём")))</f>
        <v/>
      </c>
      <c r="BR220" s="43"/>
      <c r="BS220" s="47" t="str">
        <f aca="false">IF(BN220="","",IF(_xlfn.MAXIFS(ЗАКАЗЫ!$AK$3:$AK$500,ЗАКАЗЫ!$F$3:$F$500,$A220)=0,"",_xlfn.MAXIFS(ЗАКАЗЫ!$AK$3:$AK$500,ЗАКАЗЫ!$F$3:$F$500,$A220)))</f>
        <v/>
      </c>
    </row>
    <row r="221" customFormat="false" ht="15.75" hidden="false" customHeight="true" outlineLevel="0" collapsed="false">
      <c r="A221" s="80" t="s">
        <v>1053</v>
      </c>
      <c r="B221" s="81"/>
      <c r="C221" s="81"/>
      <c r="D221" s="81"/>
      <c r="E221" s="83"/>
      <c r="F221" s="81"/>
      <c r="G221" s="83"/>
      <c r="H221" s="83"/>
      <c r="I221" s="84" t="str">
        <f aca="false">IF(E221="","",A221&amp;"_1.jpg")</f>
        <v/>
      </c>
      <c r="J221" s="84" t="str">
        <f aca="false">IF(E221="","",A221&amp;"_2.jpg; "&amp;A221&amp;"_3.jpg")</f>
        <v/>
      </c>
      <c r="K221" s="84" t="str">
        <f aca="false">IF(E221="","",A221&amp;"_schema.jpg")</f>
        <v/>
      </c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 t="s">
        <v>96</v>
      </c>
      <c r="W221" s="81"/>
      <c r="X221" s="81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6" t="str">
        <f aca="false">IF(SUM(Y221:AJ221)=0,"",SUM(Y221:AJ221))</f>
        <v/>
      </c>
      <c r="AL221" s="84" t="str">
        <f aca="false">MID(IF(N(Y221)&gt;0,", "&amp;Y$2,"")&amp;IF(N(Z221)&gt;0,", "&amp;Z$2,"")&amp;IF(N(AA221)&gt;0,", "&amp;AA$2,"")&amp;IF(N(AB221)&gt;0,", "&amp;AB$2,"")&amp;IF(N(AC221)&gt;0,", "&amp;AC$2,"")&amp;IF(N(AD221)&gt;0,", "&amp;AD$2,"")&amp;IF(N(AE221)&gt;0,", "&amp;AE$2,"")&amp;IF(N(AF221)&gt;0,", "&amp;AF$2,"")&amp;IF(N(AG221)&gt;0,", "&amp;AG$2,"")&amp;IF(N(AH221)&gt;0,", "&amp;AH$2,"")&amp;IF(N(AI221)&gt;0,", "&amp;AI$2,"")&amp;IF(N(AJ221)&gt;0,", "&amp;AJ$2,""),3,999)</f>
        <v/>
      </c>
      <c r="AM221" s="87" t="str">
        <f aca="false">IF(E221="","",MID(IF(N(Y221)&gt;0,", "&amp;A221&amp;"-"&amp;Y$2,"")&amp;IF(N(Z221)&gt;0,", "&amp;A221&amp;"-"&amp;Z$2,"")&amp;IF(N(AA221)&gt;0,", "&amp;A221&amp;"-"&amp;AA$2,"")&amp;IF(N(AB221)&gt;0,", "&amp;A221&amp;"-"&amp;AB$2,"")&amp;IF(N(AC221)&gt;0,", "&amp;A221&amp;"-"&amp;AC$2,"")&amp;IF(N(AD221)&gt;0,", "&amp;A221&amp;"-"&amp;AD$2,"")&amp;IF(N(AE221)&gt;0,", "&amp;A221&amp;"-"&amp;AE$2,"")&amp;IF(N(AF221)&gt;0,", "&amp;A221&amp;"-"&amp;AF$2,"")&amp;IF(N(AG221)&gt;0,", "&amp;A221&amp;"-"&amp;AG$2,"")&amp;IF(N(AH221)&gt;0,", "&amp;A221&amp;"-"&amp;AH$2,"")&amp;IF(N(AI221)&gt;0,", "&amp;A221&amp;"-"&amp;AI$2,"")&amp;IF(N(AJ221)&gt;0,", "&amp;A221&amp;"-"&amp;AJ$2,""),3,999))</f>
        <v/>
      </c>
      <c r="AN221" s="81"/>
      <c r="AO221" s="88"/>
      <c r="AP221" s="89" t="str">
        <f aca="false">IF(AO221="","",ROUND(AO221/(1+Справочники!$B$13),2))</f>
        <v/>
      </c>
      <c r="AQ221" s="90" t="str">
        <f aca="false" t="array" ref="AQ221:AQ221">IF(AP221="","",AP221*INDEX(Справочники!$B$4:$B$7,MATCH("RUB",Справочники!$A$4:$A$7,0)))</f>
        <v/>
      </c>
      <c r="AR221" s="90" t="str">
        <f aca="false">IF(AQ221="","",ROUND(AQ221*(1+Справочники!$B$12),0))</f>
        <v/>
      </c>
      <c r="AS221" s="90" t="str">
        <f aca="false">IF(AR221="","",ROUND(AR221*(1-Справочники!$B$11),0))</f>
        <v/>
      </c>
      <c r="AT221" s="88"/>
      <c r="AU221" s="90" t="str">
        <f aca="false">IF(AT221="","",ROUND(AT221/(1+Справочники!$B$12),0))</f>
        <v/>
      </c>
      <c r="AV221" s="90" t="str">
        <f aca="false">IF(AT221="","",ROUND(AT221*(1-Справочники!$B$15),0))</f>
        <v/>
      </c>
      <c r="AW221" s="90" t="str">
        <f aca="false">IF(AT221="","",ROUND(AT221*(1-Справочники!$B$16),0))</f>
        <v/>
      </c>
      <c r="AX221" s="90" t="str">
        <f aca="false">IF(AT221="","",ROUND(AT221*(1-Справочники!$B$17),0))</f>
        <v/>
      </c>
      <c r="AY221" s="90" t="str">
        <f aca="false">IF(AT221="","",ROUND(AT221*(1-Справочники!$B$18),0))</f>
        <v/>
      </c>
      <c r="AZ221" s="90" t="str">
        <f aca="false">IF(AT221="","",ROUND(AT221*(1-Справочники!$B$19),0))</f>
        <v/>
      </c>
      <c r="BA221" s="81"/>
      <c r="BB221" s="81"/>
      <c r="BC221" s="81"/>
      <c r="BD221" s="81"/>
      <c r="BE221" s="91"/>
      <c r="BF221" s="81" t="s">
        <v>103</v>
      </c>
      <c r="BG221" s="89" t="n">
        <f aca="false" t="array" ref="BG221:BG221">IF(BF221="","",IFERROR(INDEX(Справочники!$B$4:$B$7,MATCH(BF221,Справочники!$A$4:$A$7,0)),""))</f>
        <v>68.5</v>
      </c>
      <c r="BH221" s="90" t="str">
        <f aca="false">IF(N(BN221)&gt;0,ROUND(SUMIF(ЗАКАЗЫ!$F$3:$F$500,$A221,ЗАКАЗЫ!$Y$3:$Y$500)/BN221,0),IF(OR(BE221="",BG221=""),"",ROUND(BE221*BG221*(1+Справочники!$B$10),0)))</f>
        <v/>
      </c>
      <c r="BI221" s="92" t="str">
        <f aca="false">IF(OR(AU221="",BH221="",AU221=0),"",(AU221-BH221)/AU221)</f>
        <v/>
      </c>
      <c r="BJ221" s="81"/>
      <c r="BK221" s="83"/>
      <c r="BL221" s="43" t="str">
        <f aca="false">IFERROR(INDEX(ЗАКАЗЫ!$N$3:$N$500,MATCH($A221,ЗАКАЗЫ!$F$3:$F$500,0)),"")</f>
        <v/>
      </c>
      <c r="BM221" s="8" t="str">
        <f aca="false">IF(BL221="","",IFERROR(VLOOKUP(BL221,'ТН ВЭД'!$A$4:$C$40,3,0),""))</f>
        <v/>
      </c>
      <c r="BN221" s="7" t="str">
        <f aca="false">IF(COUNTIF(ЗАКАЗЫ!$F$3:$F$500,$A221)=0,"",SUMIF(ЗАКАЗЫ!$F$3:$F$500,$A221,ЗАКАЗЫ!$J$3:$J$500))</f>
        <v/>
      </c>
      <c r="BO221" s="7" t="str">
        <f aca="false">IF(BN221="","",SUMIF(ЗАКАЗЫ!$F$3:$F$500,$A221,ЗАКАЗЫ!$AL$3:$AL$500))</f>
        <v/>
      </c>
      <c r="BP221" s="7" t="str">
        <f aca="false">IF(BN221="","",BN221-BO221)</f>
        <v/>
      </c>
      <c r="BQ221" s="55" t="str">
        <f aca="false">IF(BN221="","",IF(BO221&gt;=BN221,"На складе",IF(BO221&gt;0,"Частично","Ждём")))</f>
        <v/>
      </c>
      <c r="BR221" s="43"/>
      <c r="BS221" s="47" t="str">
        <f aca="false">IF(BN221="","",IF(_xlfn.MAXIFS(ЗАКАЗЫ!$AK$3:$AK$500,ЗАКАЗЫ!$F$3:$F$500,$A221)=0,"",_xlfn.MAXIFS(ЗАКАЗЫ!$AK$3:$AK$500,ЗАКАЗЫ!$F$3:$F$500,$A221)))</f>
        <v/>
      </c>
    </row>
    <row r="222" customFormat="false" ht="15.75" hidden="false" customHeight="true" outlineLevel="0" collapsed="false">
      <c r="A222" s="80" t="s">
        <v>1054</v>
      </c>
      <c r="B222" s="81"/>
      <c r="C222" s="81"/>
      <c r="D222" s="81"/>
      <c r="E222" s="83"/>
      <c r="F222" s="81"/>
      <c r="G222" s="83"/>
      <c r="H222" s="83"/>
      <c r="I222" s="84" t="str">
        <f aca="false">IF(E222="","",A222&amp;"_1.jpg")</f>
        <v/>
      </c>
      <c r="J222" s="84" t="str">
        <f aca="false">IF(E222="","",A222&amp;"_2.jpg; "&amp;A222&amp;"_3.jpg")</f>
        <v/>
      </c>
      <c r="K222" s="84" t="str">
        <f aca="false">IF(E222="","",A222&amp;"_schema.jpg")</f>
        <v/>
      </c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 t="s">
        <v>96</v>
      </c>
      <c r="W222" s="81"/>
      <c r="X222" s="81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6" t="str">
        <f aca="false">IF(SUM(Y222:AJ222)=0,"",SUM(Y222:AJ222))</f>
        <v/>
      </c>
      <c r="AL222" s="84" t="str">
        <f aca="false">MID(IF(N(Y222)&gt;0,", "&amp;Y$2,"")&amp;IF(N(Z222)&gt;0,", "&amp;Z$2,"")&amp;IF(N(AA222)&gt;0,", "&amp;AA$2,"")&amp;IF(N(AB222)&gt;0,", "&amp;AB$2,"")&amp;IF(N(AC222)&gt;0,", "&amp;AC$2,"")&amp;IF(N(AD222)&gt;0,", "&amp;AD$2,"")&amp;IF(N(AE222)&gt;0,", "&amp;AE$2,"")&amp;IF(N(AF222)&gt;0,", "&amp;AF$2,"")&amp;IF(N(AG222)&gt;0,", "&amp;AG$2,"")&amp;IF(N(AH222)&gt;0,", "&amp;AH$2,"")&amp;IF(N(AI222)&gt;0,", "&amp;AI$2,"")&amp;IF(N(AJ222)&gt;0,", "&amp;AJ$2,""),3,999)</f>
        <v/>
      </c>
      <c r="AM222" s="87" t="str">
        <f aca="false">IF(E222="","",MID(IF(N(Y222)&gt;0,", "&amp;A222&amp;"-"&amp;Y$2,"")&amp;IF(N(Z222)&gt;0,", "&amp;A222&amp;"-"&amp;Z$2,"")&amp;IF(N(AA222)&gt;0,", "&amp;A222&amp;"-"&amp;AA$2,"")&amp;IF(N(AB222)&gt;0,", "&amp;A222&amp;"-"&amp;AB$2,"")&amp;IF(N(AC222)&gt;0,", "&amp;A222&amp;"-"&amp;AC$2,"")&amp;IF(N(AD222)&gt;0,", "&amp;A222&amp;"-"&amp;AD$2,"")&amp;IF(N(AE222)&gt;0,", "&amp;A222&amp;"-"&amp;AE$2,"")&amp;IF(N(AF222)&gt;0,", "&amp;A222&amp;"-"&amp;AF$2,"")&amp;IF(N(AG222)&gt;0,", "&amp;A222&amp;"-"&amp;AG$2,"")&amp;IF(N(AH222)&gt;0,", "&amp;A222&amp;"-"&amp;AH$2,"")&amp;IF(N(AI222)&gt;0,", "&amp;A222&amp;"-"&amp;AI$2,"")&amp;IF(N(AJ222)&gt;0,", "&amp;A222&amp;"-"&amp;AJ$2,""),3,999))</f>
        <v/>
      </c>
      <c r="AN222" s="81"/>
      <c r="AO222" s="88"/>
      <c r="AP222" s="89" t="str">
        <f aca="false">IF(AO222="","",ROUND(AO222/(1+Справочники!$B$13),2))</f>
        <v/>
      </c>
      <c r="AQ222" s="90" t="str">
        <f aca="false" t="array" ref="AQ222:AQ222">IF(AP222="","",AP222*INDEX(Справочники!$B$4:$B$7,MATCH("RUB",Справочники!$A$4:$A$7,0)))</f>
        <v/>
      </c>
      <c r="AR222" s="90" t="str">
        <f aca="false">IF(AQ222="","",ROUND(AQ222*(1+Справочники!$B$12),0))</f>
        <v/>
      </c>
      <c r="AS222" s="90" t="str">
        <f aca="false">IF(AR222="","",ROUND(AR222*(1-Справочники!$B$11),0))</f>
        <v/>
      </c>
      <c r="AT222" s="88"/>
      <c r="AU222" s="90" t="str">
        <f aca="false">IF(AT222="","",ROUND(AT222/(1+Справочники!$B$12),0))</f>
        <v/>
      </c>
      <c r="AV222" s="90" t="str">
        <f aca="false">IF(AT222="","",ROUND(AT222*(1-Справочники!$B$15),0))</f>
        <v/>
      </c>
      <c r="AW222" s="90" t="str">
        <f aca="false">IF(AT222="","",ROUND(AT222*(1-Справочники!$B$16),0))</f>
        <v/>
      </c>
      <c r="AX222" s="90" t="str">
        <f aca="false">IF(AT222="","",ROUND(AT222*(1-Справочники!$B$17),0))</f>
        <v/>
      </c>
      <c r="AY222" s="90" t="str">
        <f aca="false">IF(AT222="","",ROUND(AT222*(1-Справочники!$B$18),0))</f>
        <v/>
      </c>
      <c r="AZ222" s="90" t="str">
        <f aca="false">IF(AT222="","",ROUND(AT222*(1-Справочники!$B$19),0))</f>
        <v/>
      </c>
      <c r="BA222" s="81"/>
      <c r="BB222" s="81"/>
      <c r="BC222" s="81"/>
      <c r="BD222" s="81"/>
      <c r="BE222" s="91"/>
      <c r="BF222" s="81" t="s">
        <v>103</v>
      </c>
      <c r="BG222" s="89" t="n">
        <f aca="false" t="array" ref="BG222:BG222">IF(BF222="","",IFERROR(INDEX(Справочники!$B$4:$B$7,MATCH(BF222,Справочники!$A$4:$A$7,0)),""))</f>
        <v>68.5</v>
      </c>
      <c r="BH222" s="90" t="str">
        <f aca="false">IF(N(BN222)&gt;0,ROUND(SUMIF(ЗАКАЗЫ!$F$3:$F$500,$A222,ЗАКАЗЫ!$Y$3:$Y$500)/BN222,0),IF(OR(BE222="",BG222=""),"",ROUND(BE222*BG222*(1+Справочники!$B$10),0)))</f>
        <v/>
      </c>
      <c r="BI222" s="92" t="str">
        <f aca="false">IF(OR(AU222="",BH222="",AU222=0),"",(AU222-BH222)/AU222)</f>
        <v/>
      </c>
      <c r="BJ222" s="81"/>
      <c r="BK222" s="83"/>
      <c r="BL222" s="43" t="str">
        <f aca="false">IFERROR(INDEX(ЗАКАЗЫ!$N$3:$N$500,MATCH($A222,ЗАКАЗЫ!$F$3:$F$500,0)),"")</f>
        <v/>
      </c>
      <c r="BM222" s="8" t="str">
        <f aca="false">IF(BL222="","",IFERROR(VLOOKUP(BL222,'ТН ВЭД'!$A$4:$C$40,3,0),""))</f>
        <v/>
      </c>
      <c r="BN222" s="7" t="str">
        <f aca="false">IF(COUNTIF(ЗАКАЗЫ!$F$3:$F$500,$A222)=0,"",SUMIF(ЗАКАЗЫ!$F$3:$F$500,$A222,ЗАКАЗЫ!$J$3:$J$500))</f>
        <v/>
      </c>
      <c r="BO222" s="7" t="str">
        <f aca="false">IF(BN222="","",SUMIF(ЗАКАЗЫ!$F$3:$F$500,$A222,ЗАКАЗЫ!$AL$3:$AL$500))</f>
        <v/>
      </c>
      <c r="BP222" s="7" t="str">
        <f aca="false">IF(BN222="","",BN222-BO222)</f>
        <v/>
      </c>
      <c r="BQ222" s="55" t="str">
        <f aca="false">IF(BN222="","",IF(BO222&gt;=BN222,"На складе",IF(BO222&gt;0,"Частично","Ждём")))</f>
        <v/>
      </c>
      <c r="BR222" s="43"/>
      <c r="BS222" s="47" t="str">
        <f aca="false">IF(BN222="","",IF(_xlfn.MAXIFS(ЗАКАЗЫ!$AK$3:$AK$500,ЗАКАЗЫ!$F$3:$F$500,$A222)=0,"",_xlfn.MAXIFS(ЗАКАЗЫ!$AK$3:$AK$500,ЗАКАЗЫ!$F$3:$F$500,$A222)))</f>
        <v/>
      </c>
    </row>
    <row r="223" customFormat="false" ht="15.75" hidden="false" customHeight="true" outlineLevel="0" collapsed="false">
      <c r="A223" s="80" t="s">
        <v>1055</v>
      </c>
      <c r="B223" s="81"/>
      <c r="C223" s="81"/>
      <c r="D223" s="81"/>
      <c r="E223" s="83"/>
      <c r="F223" s="81"/>
      <c r="G223" s="83"/>
      <c r="H223" s="83"/>
      <c r="I223" s="84" t="str">
        <f aca="false">IF(E223="","",A223&amp;"_1.jpg")</f>
        <v/>
      </c>
      <c r="J223" s="84" t="str">
        <f aca="false">IF(E223="","",A223&amp;"_2.jpg; "&amp;A223&amp;"_3.jpg")</f>
        <v/>
      </c>
      <c r="K223" s="84" t="str">
        <f aca="false">IF(E223="","",A223&amp;"_schema.jpg")</f>
        <v/>
      </c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 t="s">
        <v>96</v>
      </c>
      <c r="W223" s="81"/>
      <c r="X223" s="81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6" t="str">
        <f aca="false">IF(SUM(Y223:AJ223)=0,"",SUM(Y223:AJ223))</f>
        <v/>
      </c>
      <c r="AL223" s="84" t="str">
        <f aca="false">MID(IF(N(Y223)&gt;0,", "&amp;Y$2,"")&amp;IF(N(Z223)&gt;0,", "&amp;Z$2,"")&amp;IF(N(AA223)&gt;0,", "&amp;AA$2,"")&amp;IF(N(AB223)&gt;0,", "&amp;AB$2,"")&amp;IF(N(AC223)&gt;0,", "&amp;AC$2,"")&amp;IF(N(AD223)&gt;0,", "&amp;AD$2,"")&amp;IF(N(AE223)&gt;0,", "&amp;AE$2,"")&amp;IF(N(AF223)&gt;0,", "&amp;AF$2,"")&amp;IF(N(AG223)&gt;0,", "&amp;AG$2,"")&amp;IF(N(AH223)&gt;0,", "&amp;AH$2,"")&amp;IF(N(AI223)&gt;0,", "&amp;AI$2,"")&amp;IF(N(AJ223)&gt;0,", "&amp;AJ$2,""),3,999)</f>
        <v/>
      </c>
      <c r="AM223" s="87" t="str">
        <f aca="false">IF(E223="","",MID(IF(N(Y223)&gt;0,", "&amp;A223&amp;"-"&amp;Y$2,"")&amp;IF(N(Z223)&gt;0,", "&amp;A223&amp;"-"&amp;Z$2,"")&amp;IF(N(AA223)&gt;0,", "&amp;A223&amp;"-"&amp;AA$2,"")&amp;IF(N(AB223)&gt;0,", "&amp;A223&amp;"-"&amp;AB$2,"")&amp;IF(N(AC223)&gt;0,", "&amp;A223&amp;"-"&amp;AC$2,"")&amp;IF(N(AD223)&gt;0,", "&amp;A223&amp;"-"&amp;AD$2,"")&amp;IF(N(AE223)&gt;0,", "&amp;A223&amp;"-"&amp;AE$2,"")&amp;IF(N(AF223)&gt;0,", "&amp;A223&amp;"-"&amp;AF$2,"")&amp;IF(N(AG223)&gt;0,", "&amp;A223&amp;"-"&amp;AG$2,"")&amp;IF(N(AH223)&gt;0,", "&amp;A223&amp;"-"&amp;AH$2,"")&amp;IF(N(AI223)&gt;0,", "&amp;A223&amp;"-"&amp;AI$2,"")&amp;IF(N(AJ223)&gt;0,", "&amp;A223&amp;"-"&amp;AJ$2,""),3,999))</f>
        <v/>
      </c>
      <c r="AN223" s="81"/>
      <c r="AO223" s="88"/>
      <c r="AP223" s="89" t="str">
        <f aca="false">IF(AO223="","",ROUND(AO223/(1+Справочники!$B$13),2))</f>
        <v/>
      </c>
      <c r="AQ223" s="90" t="str">
        <f aca="false" t="array" ref="AQ223:AQ223">IF(AP223="","",AP223*INDEX(Справочники!$B$4:$B$7,MATCH("RUB",Справочники!$A$4:$A$7,0)))</f>
        <v/>
      </c>
      <c r="AR223" s="90" t="str">
        <f aca="false">IF(AQ223="","",ROUND(AQ223*(1+Справочники!$B$12),0))</f>
        <v/>
      </c>
      <c r="AS223" s="90" t="str">
        <f aca="false">IF(AR223="","",ROUND(AR223*(1-Справочники!$B$11),0))</f>
        <v/>
      </c>
      <c r="AT223" s="88"/>
      <c r="AU223" s="90" t="str">
        <f aca="false">IF(AT223="","",ROUND(AT223/(1+Справочники!$B$12),0))</f>
        <v/>
      </c>
      <c r="AV223" s="90" t="str">
        <f aca="false">IF(AT223="","",ROUND(AT223*(1-Справочники!$B$15),0))</f>
        <v/>
      </c>
      <c r="AW223" s="90" t="str">
        <f aca="false">IF(AT223="","",ROUND(AT223*(1-Справочники!$B$16),0))</f>
        <v/>
      </c>
      <c r="AX223" s="90" t="str">
        <f aca="false">IF(AT223="","",ROUND(AT223*(1-Справочники!$B$17),0))</f>
        <v/>
      </c>
      <c r="AY223" s="90" t="str">
        <f aca="false">IF(AT223="","",ROUND(AT223*(1-Справочники!$B$18),0))</f>
        <v/>
      </c>
      <c r="AZ223" s="90" t="str">
        <f aca="false">IF(AT223="","",ROUND(AT223*(1-Справочники!$B$19),0))</f>
        <v/>
      </c>
      <c r="BA223" s="81"/>
      <c r="BB223" s="81"/>
      <c r="BC223" s="81"/>
      <c r="BD223" s="81"/>
      <c r="BE223" s="91"/>
      <c r="BF223" s="81" t="s">
        <v>103</v>
      </c>
      <c r="BG223" s="89" t="n">
        <f aca="false" t="array" ref="BG223:BG223">IF(BF223="","",IFERROR(INDEX(Справочники!$B$4:$B$7,MATCH(BF223,Справочники!$A$4:$A$7,0)),""))</f>
        <v>68.5</v>
      </c>
      <c r="BH223" s="90" t="str">
        <f aca="false">IF(N(BN223)&gt;0,ROUND(SUMIF(ЗАКАЗЫ!$F$3:$F$500,$A223,ЗАКАЗЫ!$Y$3:$Y$500)/BN223,0),IF(OR(BE223="",BG223=""),"",ROUND(BE223*BG223*(1+Справочники!$B$10),0)))</f>
        <v/>
      </c>
      <c r="BI223" s="92" t="str">
        <f aca="false">IF(OR(AU223="",BH223="",AU223=0),"",(AU223-BH223)/AU223)</f>
        <v/>
      </c>
      <c r="BJ223" s="81"/>
      <c r="BK223" s="83"/>
      <c r="BL223" s="43" t="str">
        <f aca="false">IFERROR(INDEX(ЗАКАЗЫ!$N$3:$N$500,MATCH($A223,ЗАКАЗЫ!$F$3:$F$500,0)),"")</f>
        <v/>
      </c>
      <c r="BM223" s="8" t="str">
        <f aca="false">IF(BL223="","",IFERROR(VLOOKUP(BL223,'ТН ВЭД'!$A$4:$C$40,3,0),""))</f>
        <v/>
      </c>
      <c r="BN223" s="7" t="str">
        <f aca="false">IF(COUNTIF(ЗАКАЗЫ!$F$3:$F$500,$A223)=0,"",SUMIF(ЗАКАЗЫ!$F$3:$F$500,$A223,ЗАКАЗЫ!$J$3:$J$500))</f>
        <v/>
      </c>
      <c r="BO223" s="7" t="str">
        <f aca="false">IF(BN223="","",SUMIF(ЗАКАЗЫ!$F$3:$F$500,$A223,ЗАКАЗЫ!$AL$3:$AL$500))</f>
        <v/>
      </c>
      <c r="BP223" s="7" t="str">
        <f aca="false">IF(BN223="","",BN223-BO223)</f>
        <v/>
      </c>
      <c r="BQ223" s="55" t="str">
        <f aca="false">IF(BN223="","",IF(BO223&gt;=BN223,"На складе",IF(BO223&gt;0,"Частично","Ждём")))</f>
        <v/>
      </c>
      <c r="BR223" s="43"/>
      <c r="BS223" s="47" t="str">
        <f aca="false">IF(BN223="","",IF(_xlfn.MAXIFS(ЗАКАЗЫ!$AK$3:$AK$500,ЗАКАЗЫ!$F$3:$F$500,$A223)=0,"",_xlfn.MAXIFS(ЗАКАЗЫ!$AK$3:$AK$500,ЗАКАЗЫ!$F$3:$F$500,$A223)))</f>
        <v/>
      </c>
    </row>
    <row r="224" customFormat="false" ht="15.75" hidden="false" customHeight="true" outlineLevel="0" collapsed="false">
      <c r="A224" s="80" t="s">
        <v>1056</v>
      </c>
      <c r="B224" s="81"/>
      <c r="C224" s="81"/>
      <c r="D224" s="81"/>
      <c r="E224" s="83"/>
      <c r="F224" s="81"/>
      <c r="G224" s="83"/>
      <c r="H224" s="83"/>
      <c r="I224" s="84" t="str">
        <f aca="false">IF(E224="","",A224&amp;"_1.jpg")</f>
        <v/>
      </c>
      <c r="J224" s="84" t="str">
        <f aca="false">IF(E224="","",A224&amp;"_2.jpg; "&amp;A224&amp;"_3.jpg")</f>
        <v/>
      </c>
      <c r="K224" s="84" t="str">
        <f aca="false">IF(E224="","",A224&amp;"_schema.jpg")</f>
        <v/>
      </c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 t="s">
        <v>96</v>
      </c>
      <c r="W224" s="81"/>
      <c r="X224" s="81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6" t="str">
        <f aca="false">IF(SUM(Y224:AJ224)=0,"",SUM(Y224:AJ224))</f>
        <v/>
      </c>
      <c r="AL224" s="84" t="str">
        <f aca="false">MID(IF(N(Y224)&gt;0,", "&amp;Y$2,"")&amp;IF(N(Z224)&gt;0,", "&amp;Z$2,"")&amp;IF(N(AA224)&gt;0,", "&amp;AA$2,"")&amp;IF(N(AB224)&gt;0,", "&amp;AB$2,"")&amp;IF(N(AC224)&gt;0,", "&amp;AC$2,"")&amp;IF(N(AD224)&gt;0,", "&amp;AD$2,"")&amp;IF(N(AE224)&gt;0,", "&amp;AE$2,"")&amp;IF(N(AF224)&gt;0,", "&amp;AF$2,"")&amp;IF(N(AG224)&gt;0,", "&amp;AG$2,"")&amp;IF(N(AH224)&gt;0,", "&amp;AH$2,"")&amp;IF(N(AI224)&gt;0,", "&amp;AI$2,"")&amp;IF(N(AJ224)&gt;0,", "&amp;AJ$2,""),3,999)</f>
        <v/>
      </c>
      <c r="AM224" s="87" t="str">
        <f aca="false">IF(E224="","",MID(IF(N(Y224)&gt;0,", "&amp;A224&amp;"-"&amp;Y$2,"")&amp;IF(N(Z224)&gt;0,", "&amp;A224&amp;"-"&amp;Z$2,"")&amp;IF(N(AA224)&gt;0,", "&amp;A224&amp;"-"&amp;AA$2,"")&amp;IF(N(AB224)&gt;0,", "&amp;A224&amp;"-"&amp;AB$2,"")&amp;IF(N(AC224)&gt;0,", "&amp;A224&amp;"-"&amp;AC$2,"")&amp;IF(N(AD224)&gt;0,", "&amp;A224&amp;"-"&amp;AD$2,"")&amp;IF(N(AE224)&gt;0,", "&amp;A224&amp;"-"&amp;AE$2,"")&amp;IF(N(AF224)&gt;0,", "&amp;A224&amp;"-"&amp;AF$2,"")&amp;IF(N(AG224)&gt;0,", "&amp;A224&amp;"-"&amp;AG$2,"")&amp;IF(N(AH224)&gt;0,", "&amp;A224&amp;"-"&amp;AH$2,"")&amp;IF(N(AI224)&gt;0,", "&amp;A224&amp;"-"&amp;AI$2,"")&amp;IF(N(AJ224)&gt;0,", "&amp;A224&amp;"-"&amp;AJ$2,""),3,999))</f>
        <v/>
      </c>
      <c r="AN224" s="81"/>
      <c r="AO224" s="88"/>
      <c r="AP224" s="89" t="str">
        <f aca="false">IF(AO224="","",ROUND(AO224/(1+Справочники!$B$13),2))</f>
        <v/>
      </c>
      <c r="AQ224" s="90" t="str">
        <f aca="false" t="array" ref="AQ224:AQ224">IF(AP224="","",AP224*INDEX(Справочники!$B$4:$B$7,MATCH("RUB",Справочники!$A$4:$A$7,0)))</f>
        <v/>
      </c>
      <c r="AR224" s="90" t="str">
        <f aca="false">IF(AQ224="","",ROUND(AQ224*(1+Справочники!$B$12),0))</f>
        <v/>
      </c>
      <c r="AS224" s="90" t="str">
        <f aca="false">IF(AR224="","",ROUND(AR224*(1-Справочники!$B$11),0))</f>
        <v/>
      </c>
      <c r="AT224" s="88"/>
      <c r="AU224" s="90" t="str">
        <f aca="false">IF(AT224="","",ROUND(AT224/(1+Справочники!$B$12),0))</f>
        <v/>
      </c>
      <c r="AV224" s="90" t="str">
        <f aca="false">IF(AT224="","",ROUND(AT224*(1-Справочники!$B$15),0))</f>
        <v/>
      </c>
      <c r="AW224" s="90" t="str">
        <f aca="false">IF(AT224="","",ROUND(AT224*(1-Справочники!$B$16),0))</f>
        <v/>
      </c>
      <c r="AX224" s="90" t="str">
        <f aca="false">IF(AT224="","",ROUND(AT224*(1-Справочники!$B$17),0))</f>
        <v/>
      </c>
      <c r="AY224" s="90" t="str">
        <f aca="false">IF(AT224="","",ROUND(AT224*(1-Справочники!$B$18),0))</f>
        <v/>
      </c>
      <c r="AZ224" s="90" t="str">
        <f aca="false">IF(AT224="","",ROUND(AT224*(1-Справочники!$B$19),0))</f>
        <v/>
      </c>
      <c r="BA224" s="81"/>
      <c r="BB224" s="81"/>
      <c r="BC224" s="81"/>
      <c r="BD224" s="81"/>
      <c r="BE224" s="91"/>
      <c r="BF224" s="81" t="s">
        <v>103</v>
      </c>
      <c r="BG224" s="89" t="n">
        <f aca="false" t="array" ref="BG224:BG224">IF(BF224="","",IFERROR(INDEX(Справочники!$B$4:$B$7,MATCH(BF224,Справочники!$A$4:$A$7,0)),""))</f>
        <v>68.5</v>
      </c>
      <c r="BH224" s="90" t="str">
        <f aca="false">IF(N(BN224)&gt;0,ROUND(SUMIF(ЗАКАЗЫ!$F$3:$F$500,$A224,ЗАКАЗЫ!$Y$3:$Y$500)/BN224,0),IF(OR(BE224="",BG224=""),"",ROUND(BE224*BG224*(1+Справочники!$B$10),0)))</f>
        <v/>
      </c>
      <c r="BI224" s="92" t="str">
        <f aca="false">IF(OR(AU224="",BH224="",AU224=0),"",(AU224-BH224)/AU224)</f>
        <v/>
      </c>
      <c r="BJ224" s="81"/>
      <c r="BK224" s="83"/>
      <c r="BL224" s="43" t="str">
        <f aca="false">IFERROR(INDEX(ЗАКАЗЫ!$N$3:$N$500,MATCH($A224,ЗАКАЗЫ!$F$3:$F$500,0)),"")</f>
        <v/>
      </c>
      <c r="BM224" s="8" t="str">
        <f aca="false">IF(BL224="","",IFERROR(VLOOKUP(BL224,'ТН ВЭД'!$A$4:$C$40,3,0),""))</f>
        <v/>
      </c>
      <c r="BN224" s="7" t="str">
        <f aca="false">IF(COUNTIF(ЗАКАЗЫ!$F$3:$F$500,$A224)=0,"",SUMIF(ЗАКАЗЫ!$F$3:$F$500,$A224,ЗАКАЗЫ!$J$3:$J$500))</f>
        <v/>
      </c>
      <c r="BO224" s="7" t="str">
        <f aca="false">IF(BN224="","",SUMIF(ЗАКАЗЫ!$F$3:$F$500,$A224,ЗАКАЗЫ!$AL$3:$AL$500))</f>
        <v/>
      </c>
      <c r="BP224" s="7" t="str">
        <f aca="false">IF(BN224="","",BN224-BO224)</f>
        <v/>
      </c>
      <c r="BQ224" s="55" t="str">
        <f aca="false">IF(BN224="","",IF(BO224&gt;=BN224,"На складе",IF(BO224&gt;0,"Частично","Ждём")))</f>
        <v/>
      </c>
      <c r="BR224" s="43"/>
      <c r="BS224" s="47" t="str">
        <f aca="false">IF(BN224="","",IF(_xlfn.MAXIFS(ЗАКАЗЫ!$AK$3:$AK$500,ЗАКАЗЫ!$F$3:$F$500,$A224)=0,"",_xlfn.MAXIFS(ЗАКАЗЫ!$AK$3:$AK$500,ЗАКАЗЫ!$F$3:$F$500,$A224)))</f>
        <v/>
      </c>
    </row>
    <row r="225" customFormat="false" ht="15.75" hidden="false" customHeight="true" outlineLevel="0" collapsed="false">
      <c r="A225" s="80" t="s">
        <v>1057</v>
      </c>
      <c r="B225" s="81"/>
      <c r="C225" s="81"/>
      <c r="D225" s="81"/>
      <c r="E225" s="83"/>
      <c r="F225" s="81"/>
      <c r="G225" s="83"/>
      <c r="H225" s="83"/>
      <c r="I225" s="84" t="str">
        <f aca="false">IF(E225="","",A225&amp;"_1.jpg")</f>
        <v/>
      </c>
      <c r="J225" s="84" t="str">
        <f aca="false">IF(E225="","",A225&amp;"_2.jpg; "&amp;A225&amp;"_3.jpg")</f>
        <v/>
      </c>
      <c r="K225" s="84" t="str">
        <f aca="false">IF(E225="","",A225&amp;"_schema.jpg")</f>
        <v/>
      </c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 t="s">
        <v>96</v>
      </c>
      <c r="W225" s="81"/>
      <c r="X225" s="81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6" t="str">
        <f aca="false">IF(SUM(Y225:AJ225)=0,"",SUM(Y225:AJ225))</f>
        <v/>
      </c>
      <c r="AL225" s="84" t="str">
        <f aca="false">MID(IF(N(Y225)&gt;0,", "&amp;Y$2,"")&amp;IF(N(Z225)&gt;0,", "&amp;Z$2,"")&amp;IF(N(AA225)&gt;0,", "&amp;AA$2,"")&amp;IF(N(AB225)&gt;0,", "&amp;AB$2,"")&amp;IF(N(AC225)&gt;0,", "&amp;AC$2,"")&amp;IF(N(AD225)&gt;0,", "&amp;AD$2,"")&amp;IF(N(AE225)&gt;0,", "&amp;AE$2,"")&amp;IF(N(AF225)&gt;0,", "&amp;AF$2,"")&amp;IF(N(AG225)&gt;0,", "&amp;AG$2,"")&amp;IF(N(AH225)&gt;0,", "&amp;AH$2,"")&amp;IF(N(AI225)&gt;0,", "&amp;AI$2,"")&amp;IF(N(AJ225)&gt;0,", "&amp;AJ$2,""),3,999)</f>
        <v/>
      </c>
      <c r="AM225" s="87" t="str">
        <f aca="false">IF(E225="","",MID(IF(N(Y225)&gt;0,", "&amp;A225&amp;"-"&amp;Y$2,"")&amp;IF(N(Z225)&gt;0,", "&amp;A225&amp;"-"&amp;Z$2,"")&amp;IF(N(AA225)&gt;0,", "&amp;A225&amp;"-"&amp;AA$2,"")&amp;IF(N(AB225)&gt;0,", "&amp;A225&amp;"-"&amp;AB$2,"")&amp;IF(N(AC225)&gt;0,", "&amp;A225&amp;"-"&amp;AC$2,"")&amp;IF(N(AD225)&gt;0,", "&amp;A225&amp;"-"&amp;AD$2,"")&amp;IF(N(AE225)&gt;0,", "&amp;A225&amp;"-"&amp;AE$2,"")&amp;IF(N(AF225)&gt;0,", "&amp;A225&amp;"-"&amp;AF$2,"")&amp;IF(N(AG225)&gt;0,", "&amp;A225&amp;"-"&amp;AG$2,"")&amp;IF(N(AH225)&gt;0,", "&amp;A225&amp;"-"&amp;AH$2,"")&amp;IF(N(AI225)&gt;0,", "&amp;A225&amp;"-"&amp;AI$2,"")&amp;IF(N(AJ225)&gt;0,", "&amp;A225&amp;"-"&amp;AJ$2,""),3,999))</f>
        <v/>
      </c>
      <c r="AN225" s="81"/>
      <c r="AO225" s="88"/>
      <c r="AP225" s="89" t="str">
        <f aca="false">IF(AO225="","",ROUND(AO225/(1+Справочники!$B$13),2))</f>
        <v/>
      </c>
      <c r="AQ225" s="90" t="str">
        <f aca="false" t="array" ref="AQ225:AQ225">IF(AP225="","",AP225*INDEX(Справочники!$B$4:$B$7,MATCH("RUB",Справочники!$A$4:$A$7,0)))</f>
        <v/>
      </c>
      <c r="AR225" s="90" t="str">
        <f aca="false">IF(AQ225="","",ROUND(AQ225*(1+Справочники!$B$12),0))</f>
        <v/>
      </c>
      <c r="AS225" s="90" t="str">
        <f aca="false">IF(AR225="","",ROUND(AR225*(1-Справочники!$B$11),0))</f>
        <v/>
      </c>
      <c r="AT225" s="88"/>
      <c r="AU225" s="90" t="str">
        <f aca="false">IF(AT225="","",ROUND(AT225/(1+Справочники!$B$12),0))</f>
        <v/>
      </c>
      <c r="AV225" s="90" t="str">
        <f aca="false">IF(AT225="","",ROUND(AT225*(1-Справочники!$B$15),0))</f>
        <v/>
      </c>
      <c r="AW225" s="90" t="str">
        <f aca="false">IF(AT225="","",ROUND(AT225*(1-Справочники!$B$16),0))</f>
        <v/>
      </c>
      <c r="AX225" s="90" t="str">
        <f aca="false">IF(AT225="","",ROUND(AT225*(1-Справочники!$B$17),0))</f>
        <v/>
      </c>
      <c r="AY225" s="90" t="str">
        <f aca="false">IF(AT225="","",ROUND(AT225*(1-Справочники!$B$18),0))</f>
        <v/>
      </c>
      <c r="AZ225" s="90" t="str">
        <f aca="false">IF(AT225="","",ROUND(AT225*(1-Справочники!$B$19),0))</f>
        <v/>
      </c>
      <c r="BA225" s="81"/>
      <c r="BB225" s="81"/>
      <c r="BC225" s="81"/>
      <c r="BD225" s="81"/>
      <c r="BE225" s="91"/>
      <c r="BF225" s="81" t="s">
        <v>103</v>
      </c>
      <c r="BG225" s="89" t="n">
        <f aca="false" t="array" ref="BG225:BG225">IF(BF225="","",IFERROR(INDEX(Справочники!$B$4:$B$7,MATCH(BF225,Справочники!$A$4:$A$7,0)),""))</f>
        <v>68.5</v>
      </c>
      <c r="BH225" s="90" t="str">
        <f aca="false">IF(N(BN225)&gt;0,ROUND(SUMIF(ЗАКАЗЫ!$F$3:$F$500,$A225,ЗАКАЗЫ!$Y$3:$Y$500)/BN225,0),IF(OR(BE225="",BG225=""),"",ROUND(BE225*BG225*(1+Справочники!$B$10),0)))</f>
        <v/>
      </c>
      <c r="BI225" s="92" t="str">
        <f aca="false">IF(OR(AU225="",BH225="",AU225=0),"",(AU225-BH225)/AU225)</f>
        <v/>
      </c>
      <c r="BJ225" s="81"/>
      <c r="BK225" s="83"/>
      <c r="BL225" s="43" t="str">
        <f aca="false">IFERROR(INDEX(ЗАКАЗЫ!$N$3:$N$500,MATCH($A225,ЗАКАЗЫ!$F$3:$F$500,0)),"")</f>
        <v/>
      </c>
      <c r="BM225" s="8" t="str">
        <f aca="false">IF(BL225="","",IFERROR(VLOOKUP(BL225,'ТН ВЭД'!$A$4:$C$40,3,0),""))</f>
        <v/>
      </c>
      <c r="BN225" s="7" t="str">
        <f aca="false">IF(COUNTIF(ЗАКАЗЫ!$F$3:$F$500,$A225)=0,"",SUMIF(ЗАКАЗЫ!$F$3:$F$500,$A225,ЗАКАЗЫ!$J$3:$J$500))</f>
        <v/>
      </c>
      <c r="BO225" s="7" t="str">
        <f aca="false">IF(BN225="","",SUMIF(ЗАКАЗЫ!$F$3:$F$500,$A225,ЗАКАЗЫ!$AL$3:$AL$500))</f>
        <v/>
      </c>
      <c r="BP225" s="7" t="str">
        <f aca="false">IF(BN225="","",BN225-BO225)</f>
        <v/>
      </c>
      <c r="BQ225" s="55" t="str">
        <f aca="false">IF(BN225="","",IF(BO225&gt;=BN225,"На складе",IF(BO225&gt;0,"Частично","Ждём")))</f>
        <v/>
      </c>
      <c r="BR225" s="43"/>
      <c r="BS225" s="47" t="str">
        <f aca="false">IF(BN225="","",IF(_xlfn.MAXIFS(ЗАКАЗЫ!$AK$3:$AK$500,ЗАКАЗЫ!$F$3:$F$500,$A225)=0,"",_xlfn.MAXIFS(ЗАКАЗЫ!$AK$3:$AK$500,ЗАКАЗЫ!$F$3:$F$500,$A225)))</f>
        <v/>
      </c>
    </row>
    <row r="226" customFormat="false" ht="15.75" hidden="false" customHeight="true" outlineLevel="0" collapsed="false">
      <c r="A226" s="80" t="s">
        <v>1058</v>
      </c>
      <c r="B226" s="81"/>
      <c r="C226" s="81"/>
      <c r="D226" s="81"/>
      <c r="E226" s="83"/>
      <c r="F226" s="81"/>
      <c r="G226" s="83"/>
      <c r="H226" s="83"/>
      <c r="I226" s="84" t="str">
        <f aca="false">IF(E226="","",A226&amp;"_1.jpg")</f>
        <v/>
      </c>
      <c r="J226" s="84" t="str">
        <f aca="false">IF(E226="","",A226&amp;"_2.jpg; "&amp;A226&amp;"_3.jpg")</f>
        <v/>
      </c>
      <c r="K226" s="84" t="str">
        <f aca="false">IF(E226="","",A226&amp;"_schema.jpg")</f>
        <v/>
      </c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 t="s">
        <v>96</v>
      </c>
      <c r="W226" s="81"/>
      <c r="X226" s="81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6" t="str">
        <f aca="false">IF(SUM(Y226:AJ226)=0,"",SUM(Y226:AJ226))</f>
        <v/>
      </c>
      <c r="AL226" s="84" t="str">
        <f aca="false">MID(IF(N(Y226)&gt;0,", "&amp;Y$2,"")&amp;IF(N(Z226)&gt;0,", "&amp;Z$2,"")&amp;IF(N(AA226)&gt;0,", "&amp;AA$2,"")&amp;IF(N(AB226)&gt;0,", "&amp;AB$2,"")&amp;IF(N(AC226)&gt;0,", "&amp;AC$2,"")&amp;IF(N(AD226)&gt;0,", "&amp;AD$2,"")&amp;IF(N(AE226)&gt;0,", "&amp;AE$2,"")&amp;IF(N(AF226)&gt;0,", "&amp;AF$2,"")&amp;IF(N(AG226)&gt;0,", "&amp;AG$2,"")&amp;IF(N(AH226)&gt;0,", "&amp;AH$2,"")&amp;IF(N(AI226)&gt;0,", "&amp;AI$2,"")&amp;IF(N(AJ226)&gt;0,", "&amp;AJ$2,""),3,999)</f>
        <v/>
      </c>
      <c r="AM226" s="87" t="str">
        <f aca="false">IF(E226="","",MID(IF(N(Y226)&gt;0,", "&amp;A226&amp;"-"&amp;Y$2,"")&amp;IF(N(Z226)&gt;0,", "&amp;A226&amp;"-"&amp;Z$2,"")&amp;IF(N(AA226)&gt;0,", "&amp;A226&amp;"-"&amp;AA$2,"")&amp;IF(N(AB226)&gt;0,", "&amp;A226&amp;"-"&amp;AB$2,"")&amp;IF(N(AC226)&gt;0,", "&amp;A226&amp;"-"&amp;AC$2,"")&amp;IF(N(AD226)&gt;0,", "&amp;A226&amp;"-"&amp;AD$2,"")&amp;IF(N(AE226)&gt;0,", "&amp;A226&amp;"-"&amp;AE$2,"")&amp;IF(N(AF226)&gt;0,", "&amp;A226&amp;"-"&amp;AF$2,"")&amp;IF(N(AG226)&gt;0,", "&amp;A226&amp;"-"&amp;AG$2,"")&amp;IF(N(AH226)&gt;0,", "&amp;A226&amp;"-"&amp;AH$2,"")&amp;IF(N(AI226)&gt;0,", "&amp;A226&amp;"-"&amp;AI$2,"")&amp;IF(N(AJ226)&gt;0,", "&amp;A226&amp;"-"&amp;AJ$2,""),3,999))</f>
        <v/>
      </c>
      <c r="AN226" s="81"/>
      <c r="AO226" s="88"/>
      <c r="AP226" s="89" t="str">
        <f aca="false">IF(AO226="","",ROUND(AO226/(1+Справочники!$B$13),2))</f>
        <v/>
      </c>
      <c r="AQ226" s="90" t="str">
        <f aca="false" t="array" ref="AQ226:AQ226">IF(AP226="","",AP226*INDEX(Справочники!$B$4:$B$7,MATCH("RUB",Справочники!$A$4:$A$7,0)))</f>
        <v/>
      </c>
      <c r="AR226" s="90" t="str">
        <f aca="false">IF(AQ226="","",ROUND(AQ226*(1+Справочники!$B$12),0))</f>
        <v/>
      </c>
      <c r="AS226" s="90" t="str">
        <f aca="false">IF(AR226="","",ROUND(AR226*(1-Справочники!$B$11),0))</f>
        <v/>
      </c>
      <c r="AT226" s="88"/>
      <c r="AU226" s="90" t="str">
        <f aca="false">IF(AT226="","",ROUND(AT226/(1+Справочники!$B$12),0))</f>
        <v/>
      </c>
      <c r="AV226" s="90" t="str">
        <f aca="false">IF(AT226="","",ROUND(AT226*(1-Справочники!$B$15),0))</f>
        <v/>
      </c>
      <c r="AW226" s="90" t="str">
        <f aca="false">IF(AT226="","",ROUND(AT226*(1-Справочники!$B$16),0))</f>
        <v/>
      </c>
      <c r="AX226" s="90" t="str">
        <f aca="false">IF(AT226="","",ROUND(AT226*(1-Справочники!$B$17),0))</f>
        <v/>
      </c>
      <c r="AY226" s="90" t="str">
        <f aca="false">IF(AT226="","",ROUND(AT226*(1-Справочники!$B$18),0))</f>
        <v/>
      </c>
      <c r="AZ226" s="90" t="str">
        <f aca="false">IF(AT226="","",ROUND(AT226*(1-Справочники!$B$19),0))</f>
        <v/>
      </c>
      <c r="BA226" s="81"/>
      <c r="BB226" s="81"/>
      <c r="BC226" s="81"/>
      <c r="BD226" s="81"/>
      <c r="BE226" s="91"/>
      <c r="BF226" s="81" t="s">
        <v>103</v>
      </c>
      <c r="BG226" s="89" t="n">
        <f aca="false" t="array" ref="BG226:BG226">IF(BF226="","",IFERROR(INDEX(Справочники!$B$4:$B$7,MATCH(BF226,Справочники!$A$4:$A$7,0)),""))</f>
        <v>68.5</v>
      </c>
      <c r="BH226" s="90" t="str">
        <f aca="false">IF(N(BN226)&gt;0,ROUND(SUMIF(ЗАКАЗЫ!$F$3:$F$500,$A226,ЗАКАЗЫ!$Y$3:$Y$500)/BN226,0),IF(OR(BE226="",BG226=""),"",ROUND(BE226*BG226*(1+Справочники!$B$10),0)))</f>
        <v/>
      </c>
      <c r="BI226" s="92" t="str">
        <f aca="false">IF(OR(AU226="",BH226="",AU226=0),"",(AU226-BH226)/AU226)</f>
        <v/>
      </c>
      <c r="BJ226" s="81"/>
      <c r="BK226" s="83"/>
      <c r="BL226" s="43" t="str">
        <f aca="false">IFERROR(INDEX(ЗАКАЗЫ!$N$3:$N$500,MATCH($A226,ЗАКАЗЫ!$F$3:$F$500,0)),"")</f>
        <v/>
      </c>
      <c r="BM226" s="8" t="str">
        <f aca="false">IF(BL226="","",IFERROR(VLOOKUP(BL226,'ТН ВЭД'!$A$4:$C$40,3,0),""))</f>
        <v/>
      </c>
      <c r="BN226" s="7" t="str">
        <f aca="false">IF(COUNTIF(ЗАКАЗЫ!$F$3:$F$500,$A226)=0,"",SUMIF(ЗАКАЗЫ!$F$3:$F$500,$A226,ЗАКАЗЫ!$J$3:$J$500))</f>
        <v/>
      </c>
      <c r="BO226" s="7" t="str">
        <f aca="false">IF(BN226="","",SUMIF(ЗАКАЗЫ!$F$3:$F$500,$A226,ЗАКАЗЫ!$AL$3:$AL$500))</f>
        <v/>
      </c>
      <c r="BP226" s="7" t="str">
        <f aca="false">IF(BN226="","",BN226-BO226)</f>
        <v/>
      </c>
      <c r="BQ226" s="55" t="str">
        <f aca="false">IF(BN226="","",IF(BO226&gt;=BN226,"На складе",IF(BO226&gt;0,"Частично","Ждём")))</f>
        <v/>
      </c>
      <c r="BR226" s="43"/>
      <c r="BS226" s="47" t="str">
        <f aca="false">IF(BN226="","",IF(_xlfn.MAXIFS(ЗАКАЗЫ!$AK$3:$AK$500,ЗАКАЗЫ!$F$3:$F$500,$A226)=0,"",_xlfn.MAXIFS(ЗАКАЗЫ!$AK$3:$AK$500,ЗАКАЗЫ!$F$3:$F$500,$A226)))</f>
        <v/>
      </c>
    </row>
    <row r="227" customFormat="false" ht="15.75" hidden="false" customHeight="true" outlineLevel="0" collapsed="false">
      <c r="A227" s="80" t="s">
        <v>1059</v>
      </c>
      <c r="B227" s="81"/>
      <c r="C227" s="81"/>
      <c r="D227" s="81"/>
      <c r="E227" s="83"/>
      <c r="F227" s="81"/>
      <c r="G227" s="83"/>
      <c r="H227" s="83"/>
      <c r="I227" s="84" t="str">
        <f aca="false">IF(E227="","",A227&amp;"_1.jpg")</f>
        <v/>
      </c>
      <c r="J227" s="84" t="str">
        <f aca="false">IF(E227="","",A227&amp;"_2.jpg; "&amp;A227&amp;"_3.jpg")</f>
        <v/>
      </c>
      <c r="K227" s="84" t="str">
        <f aca="false">IF(E227="","",A227&amp;"_schema.jpg")</f>
        <v/>
      </c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 t="s">
        <v>96</v>
      </c>
      <c r="W227" s="81"/>
      <c r="X227" s="81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6" t="str">
        <f aca="false">IF(SUM(Y227:AJ227)=0,"",SUM(Y227:AJ227))</f>
        <v/>
      </c>
      <c r="AL227" s="84" t="str">
        <f aca="false">MID(IF(N(Y227)&gt;0,", "&amp;Y$2,"")&amp;IF(N(Z227)&gt;0,", "&amp;Z$2,"")&amp;IF(N(AA227)&gt;0,", "&amp;AA$2,"")&amp;IF(N(AB227)&gt;0,", "&amp;AB$2,"")&amp;IF(N(AC227)&gt;0,", "&amp;AC$2,"")&amp;IF(N(AD227)&gt;0,", "&amp;AD$2,"")&amp;IF(N(AE227)&gt;0,", "&amp;AE$2,"")&amp;IF(N(AF227)&gt;0,", "&amp;AF$2,"")&amp;IF(N(AG227)&gt;0,", "&amp;AG$2,"")&amp;IF(N(AH227)&gt;0,", "&amp;AH$2,"")&amp;IF(N(AI227)&gt;0,", "&amp;AI$2,"")&amp;IF(N(AJ227)&gt;0,", "&amp;AJ$2,""),3,999)</f>
        <v/>
      </c>
      <c r="AM227" s="87" t="str">
        <f aca="false">IF(E227="","",MID(IF(N(Y227)&gt;0,", "&amp;A227&amp;"-"&amp;Y$2,"")&amp;IF(N(Z227)&gt;0,", "&amp;A227&amp;"-"&amp;Z$2,"")&amp;IF(N(AA227)&gt;0,", "&amp;A227&amp;"-"&amp;AA$2,"")&amp;IF(N(AB227)&gt;0,", "&amp;A227&amp;"-"&amp;AB$2,"")&amp;IF(N(AC227)&gt;0,", "&amp;A227&amp;"-"&amp;AC$2,"")&amp;IF(N(AD227)&gt;0,", "&amp;A227&amp;"-"&amp;AD$2,"")&amp;IF(N(AE227)&gt;0,", "&amp;A227&amp;"-"&amp;AE$2,"")&amp;IF(N(AF227)&gt;0,", "&amp;A227&amp;"-"&amp;AF$2,"")&amp;IF(N(AG227)&gt;0,", "&amp;A227&amp;"-"&amp;AG$2,"")&amp;IF(N(AH227)&gt;0,", "&amp;A227&amp;"-"&amp;AH$2,"")&amp;IF(N(AI227)&gt;0,", "&amp;A227&amp;"-"&amp;AI$2,"")&amp;IF(N(AJ227)&gt;0,", "&amp;A227&amp;"-"&amp;AJ$2,""),3,999))</f>
        <v/>
      </c>
      <c r="AN227" s="81"/>
      <c r="AO227" s="88"/>
      <c r="AP227" s="89" t="str">
        <f aca="false">IF(AO227="","",ROUND(AO227/(1+Справочники!$B$13),2))</f>
        <v/>
      </c>
      <c r="AQ227" s="90" t="str">
        <f aca="false" t="array" ref="AQ227:AQ227">IF(AP227="","",AP227*INDEX(Справочники!$B$4:$B$7,MATCH("RUB",Справочники!$A$4:$A$7,0)))</f>
        <v/>
      </c>
      <c r="AR227" s="90" t="str">
        <f aca="false">IF(AQ227="","",ROUND(AQ227*(1+Справочники!$B$12),0))</f>
        <v/>
      </c>
      <c r="AS227" s="90" t="str">
        <f aca="false">IF(AR227="","",ROUND(AR227*(1-Справочники!$B$11),0))</f>
        <v/>
      </c>
      <c r="AT227" s="88"/>
      <c r="AU227" s="90" t="str">
        <f aca="false">IF(AT227="","",ROUND(AT227/(1+Справочники!$B$12),0))</f>
        <v/>
      </c>
      <c r="AV227" s="90" t="str">
        <f aca="false">IF(AT227="","",ROUND(AT227*(1-Справочники!$B$15),0))</f>
        <v/>
      </c>
      <c r="AW227" s="90" t="str">
        <f aca="false">IF(AT227="","",ROUND(AT227*(1-Справочники!$B$16),0))</f>
        <v/>
      </c>
      <c r="AX227" s="90" t="str">
        <f aca="false">IF(AT227="","",ROUND(AT227*(1-Справочники!$B$17),0))</f>
        <v/>
      </c>
      <c r="AY227" s="90" t="str">
        <f aca="false">IF(AT227="","",ROUND(AT227*(1-Справочники!$B$18),0))</f>
        <v/>
      </c>
      <c r="AZ227" s="90" t="str">
        <f aca="false">IF(AT227="","",ROUND(AT227*(1-Справочники!$B$19),0))</f>
        <v/>
      </c>
      <c r="BA227" s="81"/>
      <c r="BB227" s="81"/>
      <c r="BC227" s="81"/>
      <c r="BD227" s="81"/>
      <c r="BE227" s="91"/>
      <c r="BF227" s="81" t="s">
        <v>103</v>
      </c>
      <c r="BG227" s="89" t="n">
        <f aca="false" t="array" ref="BG227:BG227">IF(BF227="","",IFERROR(INDEX(Справочники!$B$4:$B$7,MATCH(BF227,Справочники!$A$4:$A$7,0)),""))</f>
        <v>68.5</v>
      </c>
      <c r="BH227" s="90" t="str">
        <f aca="false">IF(N(BN227)&gt;0,ROUND(SUMIF(ЗАКАЗЫ!$F$3:$F$500,$A227,ЗАКАЗЫ!$Y$3:$Y$500)/BN227,0),IF(OR(BE227="",BG227=""),"",ROUND(BE227*BG227*(1+Справочники!$B$10),0)))</f>
        <v/>
      </c>
      <c r="BI227" s="92" t="str">
        <f aca="false">IF(OR(AU227="",BH227="",AU227=0),"",(AU227-BH227)/AU227)</f>
        <v/>
      </c>
      <c r="BJ227" s="81"/>
      <c r="BK227" s="83"/>
      <c r="BL227" s="43" t="str">
        <f aca="false">IFERROR(INDEX(ЗАКАЗЫ!$N$3:$N$500,MATCH($A227,ЗАКАЗЫ!$F$3:$F$500,0)),"")</f>
        <v/>
      </c>
      <c r="BM227" s="8" t="str">
        <f aca="false">IF(BL227="","",IFERROR(VLOOKUP(BL227,'ТН ВЭД'!$A$4:$C$40,3,0),""))</f>
        <v/>
      </c>
      <c r="BN227" s="7" t="str">
        <f aca="false">IF(COUNTIF(ЗАКАЗЫ!$F$3:$F$500,$A227)=0,"",SUMIF(ЗАКАЗЫ!$F$3:$F$500,$A227,ЗАКАЗЫ!$J$3:$J$500))</f>
        <v/>
      </c>
      <c r="BO227" s="7" t="str">
        <f aca="false">IF(BN227="","",SUMIF(ЗАКАЗЫ!$F$3:$F$500,$A227,ЗАКАЗЫ!$AL$3:$AL$500))</f>
        <v/>
      </c>
      <c r="BP227" s="7" t="str">
        <f aca="false">IF(BN227="","",BN227-BO227)</f>
        <v/>
      </c>
      <c r="BQ227" s="55" t="str">
        <f aca="false">IF(BN227="","",IF(BO227&gt;=BN227,"На складе",IF(BO227&gt;0,"Частично","Ждём")))</f>
        <v/>
      </c>
      <c r="BR227" s="43"/>
      <c r="BS227" s="47" t="str">
        <f aca="false">IF(BN227="","",IF(_xlfn.MAXIFS(ЗАКАЗЫ!$AK$3:$AK$500,ЗАКАЗЫ!$F$3:$F$500,$A227)=0,"",_xlfn.MAXIFS(ЗАКАЗЫ!$AK$3:$AK$500,ЗАКАЗЫ!$F$3:$F$500,$A227)))</f>
        <v/>
      </c>
    </row>
    <row r="228" customFormat="false" ht="15.75" hidden="false" customHeight="true" outlineLevel="0" collapsed="false">
      <c r="A228" s="80" t="s">
        <v>1060</v>
      </c>
      <c r="B228" s="81"/>
      <c r="C228" s="81"/>
      <c r="D228" s="81"/>
      <c r="E228" s="83"/>
      <c r="F228" s="81"/>
      <c r="G228" s="83"/>
      <c r="H228" s="83"/>
      <c r="I228" s="84" t="str">
        <f aca="false">IF(E228="","",A228&amp;"_1.jpg")</f>
        <v/>
      </c>
      <c r="J228" s="84" t="str">
        <f aca="false">IF(E228="","",A228&amp;"_2.jpg; "&amp;A228&amp;"_3.jpg")</f>
        <v/>
      </c>
      <c r="K228" s="84" t="str">
        <f aca="false">IF(E228="","",A228&amp;"_schema.jpg")</f>
        <v/>
      </c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 t="s">
        <v>96</v>
      </c>
      <c r="W228" s="81"/>
      <c r="X228" s="81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6" t="str">
        <f aca="false">IF(SUM(Y228:AJ228)=0,"",SUM(Y228:AJ228))</f>
        <v/>
      </c>
      <c r="AL228" s="84" t="str">
        <f aca="false">MID(IF(N(Y228)&gt;0,", "&amp;Y$2,"")&amp;IF(N(Z228)&gt;0,", "&amp;Z$2,"")&amp;IF(N(AA228)&gt;0,", "&amp;AA$2,"")&amp;IF(N(AB228)&gt;0,", "&amp;AB$2,"")&amp;IF(N(AC228)&gt;0,", "&amp;AC$2,"")&amp;IF(N(AD228)&gt;0,", "&amp;AD$2,"")&amp;IF(N(AE228)&gt;0,", "&amp;AE$2,"")&amp;IF(N(AF228)&gt;0,", "&amp;AF$2,"")&amp;IF(N(AG228)&gt;0,", "&amp;AG$2,"")&amp;IF(N(AH228)&gt;0,", "&amp;AH$2,"")&amp;IF(N(AI228)&gt;0,", "&amp;AI$2,"")&amp;IF(N(AJ228)&gt;0,", "&amp;AJ$2,""),3,999)</f>
        <v/>
      </c>
      <c r="AM228" s="87" t="str">
        <f aca="false">IF(E228="","",MID(IF(N(Y228)&gt;0,", "&amp;A228&amp;"-"&amp;Y$2,"")&amp;IF(N(Z228)&gt;0,", "&amp;A228&amp;"-"&amp;Z$2,"")&amp;IF(N(AA228)&gt;0,", "&amp;A228&amp;"-"&amp;AA$2,"")&amp;IF(N(AB228)&gt;0,", "&amp;A228&amp;"-"&amp;AB$2,"")&amp;IF(N(AC228)&gt;0,", "&amp;A228&amp;"-"&amp;AC$2,"")&amp;IF(N(AD228)&gt;0,", "&amp;A228&amp;"-"&amp;AD$2,"")&amp;IF(N(AE228)&gt;0,", "&amp;A228&amp;"-"&amp;AE$2,"")&amp;IF(N(AF228)&gt;0,", "&amp;A228&amp;"-"&amp;AF$2,"")&amp;IF(N(AG228)&gt;0,", "&amp;A228&amp;"-"&amp;AG$2,"")&amp;IF(N(AH228)&gt;0,", "&amp;A228&amp;"-"&amp;AH$2,"")&amp;IF(N(AI228)&gt;0,", "&amp;A228&amp;"-"&amp;AI$2,"")&amp;IF(N(AJ228)&gt;0,", "&amp;A228&amp;"-"&amp;AJ$2,""),3,999))</f>
        <v/>
      </c>
      <c r="AN228" s="81"/>
      <c r="AO228" s="88"/>
      <c r="AP228" s="89" t="str">
        <f aca="false">IF(AO228="","",ROUND(AO228/(1+Справочники!$B$13),2))</f>
        <v/>
      </c>
      <c r="AQ228" s="90" t="str">
        <f aca="false" t="array" ref="AQ228:AQ228">IF(AP228="","",AP228*INDEX(Справочники!$B$4:$B$7,MATCH("RUB",Справочники!$A$4:$A$7,0)))</f>
        <v/>
      </c>
      <c r="AR228" s="90" t="str">
        <f aca="false">IF(AQ228="","",ROUND(AQ228*(1+Справочники!$B$12),0))</f>
        <v/>
      </c>
      <c r="AS228" s="90" t="str">
        <f aca="false">IF(AR228="","",ROUND(AR228*(1-Справочники!$B$11),0))</f>
        <v/>
      </c>
      <c r="AT228" s="88"/>
      <c r="AU228" s="90" t="str">
        <f aca="false">IF(AT228="","",ROUND(AT228/(1+Справочники!$B$12),0))</f>
        <v/>
      </c>
      <c r="AV228" s="90" t="str">
        <f aca="false">IF(AT228="","",ROUND(AT228*(1-Справочники!$B$15),0))</f>
        <v/>
      </c>
      <c r="AW228" s="90" t="str">
        <f aca="false">IF(AT228="","",ROUND(AT228*(1-Справочники!$B$16),0))</f>
        <v/>
      </c>
      <c r="AX228" s="90" t="str">
        <f aca="false">IF(AT228="","",ROUND(AT228*(1-Справочники!$B$17),0))</f>
        <v/>
      </c>
      <c r="AY228" s="90" t="str">
        <f aca="false">IF(AT228="","",ROUND(AT228*(1-Справочники!$B$18),0))</f>
        <v/>
      </c>
      <c r="AZ228" s="90" t="str">
        <f aca="false">IF(AT228="","",ROUND(AT228*(1-Справочники!$B$19),0))</f>
        <v/>
      </c>
      <c r="BA228" s="81"/>
      <c r="BB228" s="81"/>
      <c r="BC228" s="81"/>
      <c r="BD228" s="81"/>
      <c r="BE228" s="91"/>
      <c r="BF228" s="81" t="s">
        <v>103</v>
      </c>
      <c r="BG228" s="89" t="n">
        <f aca="false" t="array" ref="BG228:BG228">IF(BF228="","",IFERROR(INDEX(Справочники!$B$4:$B$7,MATCH(BF228,Справочники!$A$4:$A$7,0)),""))</f>
        <v>68.5</v>
      </c>
      <c r="BH228" s="90" t="str">
        <f aca="false">IF(N(BN228)&gt;0,ROUND(SUMIF(ЗАКАЗЫ!$F$3:$F$500,$A228,ЗАКАЗЫ!$Y$3:$Y$500)/BN228,0),IF(OR(BE228="",BG228=""),"",ROUND(BE228*BG228*(1+Справочники!$B$10),0)))</f>
        <v/>
      </c>
      <c r="BI228" s="92" t="str">
        <f aca="false">IF(OR(AU228="",BH228="",AU228=0),"",(AU228-BH228)/AU228)</f>
        <v/>
      </c>
      <c r="BJ228" s="81"/>
      <c r="BK228" s="83"/>
      <c r="BL228" s="43" t="str">
        <f aca="false">IFERROR(INDEX(ЗАКАЗЫ!$N$3:$N$500,MATCH($A228,ЗАКАЗЫ!$F$3:$F$500,0)),"")</f>
        <v/>
      </c>
      <c r="BM228" s="8" t="str">
        <f aca="false">IF(BL228="","",IFERROR(VLOOKUP(BL228,'ТН ВЭД'!$A$4:$C$40,3,0),""))</f>
        <v/>
      </c>
      <c r="BN228" s="7" t="str">
        <f aca="false">IF(COUNTIF(ЗАКАЗЫ!$F$3:$F$500,$A228)=0,"",SUMIF(ЗАКАЗЫ!$F$3:$F$500,$A228,ЗАКАЗЫ!$J$3:$J$500))</f>
        <v/>
      </c>
      <c r="BO228" s="7" t="str">
        <f aca="false">IF(BN228="","",SUMIF(ЗАКАЗЫ!$F$3:$F$500,$A228,ЗАКАЗЫ!$AL$3:$AL$500))</f>
        <v/>
      </c>
      <c r="BP228" s="7" t="str">
        <f aca="false">IF(BN228="","",BN228-BO228)</f>
        <v/>
      </c>
      <c r="BQ228" s="55" t="str">
        <f aca="false">IF(BN228="","",IF(BO228&gt;=BN228,"На складе",IF(BO228&gt;0,"Частично","Ждём")))</f>
        <v/>
      </c>
      <c r="BR228" s="43"/>
      <c r="BS228" s="47" t="str">
        <f aca="false">IF(BN228="","",IF(_xlfn.MAXIFS(ЗАКАЗЫ!$AK$3:$AK$500,ЗАКАЗЫ!$F$3:$F$500,$A228)=0,"",_xlfn.MAXIFS(ЗАКАЗЫ!$AK$3:$AK$500,ЗАКАЗЫ!$F$3:$F$500,$A228)))</f>
        <v/>
      </c>
    </row>
    <row r="229" customFormat="false" ht="15.75" hidden="false" customHeight="true" outlineLevel="0" collapsed="false">
      <c r="A229" s="80" t="s">
        <v>1061</v>
      </c>
      <c r="B229" s="81"/>
      <c r="C229" s="81"/>
      <c r="D229" s="81"/>
      <c r="E229" s="83"/>
      <c r="F229" s="81"/>
      <c r="G229" s="83"/>
      <c r="H229" s="83"/>
      <c r="I229" s="84" t="str">
        <f aca="false">IF(E229="","",A229&amp;"_1.jpg")</f>
        <v/>
      </c>
      <c r="J229" s="84" t="str">
        <f aca="false">IF(E229="","",A229&amp;"_2.jpg; "&amp;A229&amp;"_3.jpg")</f>
        <v/>
      </c>
      <c r="K229" s="84" t="str">
        <f aca="false">IF(E229="","",A229&amp;"_schema.jpg")</f>
        <v/>
      </c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 t="s">
        <v>96</v>
      </c>
      <c r="W229" s="81"/>
      <c r="X229" s="81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6" t="str">
        <f aca="false">IF(SUM(Y229:AJ229)=0,"",SUM(Y229:AJ229))</f>
        <v/>
      </c>
      <c r="AL229" s="84" t="str">
        <f aca="false">MID(IF(N(Y229)&gt;0,", "&amp;Y$2,"")&amp;IF(N(Z229)&gt;0,", "&amp;Z$2,"")&amp;IF(N(AA229)&gt;0,", "&amp;AA$2,"")&amp;IF(N(AB229)&gt;0,", "&amp;AB$2,"")&amp;IF(N(AC229)&gt;0,", "&amp;AC$2,"")&amp;IF(N(AD229)&gt;0,", "&amp;AD$2,"")&amp;IF(N(AE229)&gt;0,", "&amp;AE$2,"")&amp;IF(N(AF229)&gt;0,", "&amp;AF$2,"")&amp;IF(N(AG229)&gt;0,", "&amp;AG$2,"")&amp;IF(N(AH229)&gt;0,", "&amp;AH$2,"")&amp;IF(N(AI229)&gt;0,", "&amp;AI$2,"")&amp;IF(N(AJ229)&gt;0,", "&amp;AJ$2,""),3,999)</f>
        <v/>
      </c>
      <c r="AM229" s="87" t="str">
        <f aca="false">IF(E229="","",MID(IF(N(Y229)&gt;0,", "&amp;A229&amp;"-"&amp;Y$2,"")&amp;IF(N(Z229)&gt;0,", "&amp;A229&amp;"-"&amp;Z$2,"")&amp;IF(N(AA229)&gt;0,", "&amp;A229&amp;"-"&amp;AA$2,"")&amp;IF(N(AB229)&gt;0,", "&amp;A229&amp;"-"&amp;AB$2,"")&amp;IF(N(AC229)&gt;0,", "&amp;A229&amp;"-"&amp;AC$2,"")&amp;IF(N(AD229)&gt;0,", "&amp;A229&amp;"-"&amp;AD$2,"")&amp;IF(N(AE229)&gt;0,", "&amp;A229&amp;"-"&amp;AE$2,"")&amp;IF(N(AF229)&gt;0,", "&amp;A229&amp;"-"&amp;AF$2,"")&amp;IF(N(AG229)&gt;0,", "&amp;A229&amp;"-"&amp;AG$2,"")&amp;IF(N(AH229)&gt;0,", "&amp;A229&amp;"-"&amp;AH$2,"")&amp;IF(N(AI229)&gt;0,", "&amp;A229&amp;"-"&amp;AI$2,"")&amp;IF(N(AJ229)&gt;0,", "&amp;A229&amp;"-"&amp;AJ$2,""),3,999))</f>
        <v/>
      </c>
      <c r="AN229" s="81"/>
      <c r="AO229" s="88"/>
      <c r="AP229" s="89" t="str">
        <f aca="false">IF(AO229="","",ROUND(AO229/(1+Справочники!$B$13),2))</f>
        <v/>
      </c>
      <c r="AQ229" s="90" t="str">
        <f aca="false" t="array" ref="AQ229:AQ229">IF(AP229="","",AP229*INDEX(Справочники!$B$4:$B$7,MATCH("RUB",Справочники!$A$4:$A$7,0)))</f>
        <v/>
      </c>
      <c r="AR229" s="90" t="str">
        <f aca="false">IF(AQ229="","",ROUND(AQ229*(1+Справочники!$B$12),0))</f>
        <v/>
      </c>
      <c r="AS229" s="90" t="str">
        <f aca="false">IF(AR229="","",ROUND(AR229*(1-Справочники!$B$11),0))</f>
        <v/>
      </c>
      <c r="AT229" s="88"/>
      <c r="AU229" s="90" t="str">
        <f aca="false">IF(AT229="","",ROUND(AT229/(1+Справочники!$B$12),0))</f>
        <v/>
      </c>
      <c r="AV229" s="90" t="str">
        <f aca="false">IF(AT229="","",ROUND(AT229*(1-Справочники!$B$15),0))</f>
        <v/>
      </c>
      <c r="AW229" s="90" t="str">
        <f aca="false">IF(AT229="","",ROUND(AT229*(1-Справочники!$B$16),0))</f>
        <v/>
      </c>
      <c r="AX229" s="90" t="str">
        <f aca="false">IF(AT229="","",ROUND(AT229*(1-Справочники!$B$17),0))</f>
        <v/>
      </c>
      <c r="AY229" s="90" t="str">
        <f aca="false">IF(AT229="","",ROUND(AT229*(1-Справочники!$B$18),0))</f>
        <v/>
      </c>
      <c r="AZ229" s="90" t="str">
        <f aca="false">IF(AT229="","",ROUND(AT229*(1-Справочники!$B$19),0))</f>
        <v/>
      </c>
      <c r="BA229" s="81"/>
      <c r="BB229" s="81"/>
      <c r="BC229" s="81"/>
      <c r="BD229" s="81"/>
      <c r="BE229" s="91"/>
      <c r="BF229" s="81" t="s">
        <v>103</v>
      </c>
      <c r="BG229" s="89" t="n">
        <f aca="false" t="array" ref="BG229:BG229">IF(BF229="","",IFERROR(INDEX(Справочники!$B$4:$B$7,MATCH(BF229,Справочники!$A$4:$A$7,0)),""))</f>
        <v>68.5</v>
      </c>
      <c r="BH229" s="90" t="str">
        <f aca="false">IF(N(BN229)&gt;0,ROUND(SUMIF(ЗАКАЗЫ!$F$3:$F$500,$A229,ЗАКАЗЫ!$Y$3:$Y$500)/BN229,0),IF(OR(BE229="",BG229=""),"",ROUND(BE229*BG229*(1+Справочники!$B$10),0)))</f>
        <v/>
      </c>
      <c r="BI229" s="92" t="str">
        <f aca="false">IF(OR(AU229="",BH229="",AU229=0),"",(AU229-BH229)/AU229)</f>
        <v/>
      </c>
      <c r="BJ229" s="81"/>
      <c r="BK229" s="83"/>
      <c r="BL229" s="43" t="str">
        <f aca="false">IFERROR(INDEX(ЗАКАЗЫ!$N$3:$N$500,MATCH($A229,ЗАКАЗЫ!$F$3:$F$500,0)),"")</f>
        <v/>
      </c>
      <c r="BM229" s="8" t="str">
        <f aca="false">IF(BL229="","",IFERROR(VLOOKUP(BL229,'ТН ВЭД'!$A$4:$C$40,3,0),""))</f>
        <v/>
      </c>
      <c r="BN229" s="7" t="str">
        <f aca="false">IF(COUNTIF(ЗАКАЗЫ!$F$3:$F$500,$A229)=0,"",SUMIF(ЗАКАЗЫ!$F$3:$F$500,$A229,ЗАКАЗЫ!$J$3:$J$500))</f>
        <v/>
      </c>
      <c r="BO229" s="7" t="str">
        <f aca="false">IF(BN229="","",SUMIF(ЗАКАЗЫ!$F$3:$F$500,$A229,ЗАКАЗЫ!$AL$3:$AL$500))</f>
        <v/>
      </c>
      <c r="BP229" s="7" t="str">
        <f aca="false">IF(BN229="","",BN229-BO229)</f>
        <v/>
      </c>
      <c r="BQ229" s="55" t="str">
        <f aca="false">IF(BN229="","",IF(BO229&gt;=BN229,"На складе",IF(BO229&gt;0,"Частично","Ждём")))</f>
        <v/>
      </c>
      <c r="BR229" s="43"/>
      <c r="BS229" s="47" t="str">
        <f aca="false">IF(BN229="","",IF(_xlfn.MAXIFS(ЗАКАЗЫ!$AK$3:$AK$500,ЗАКАЗЫ!$F$3:$F$500,$A229)=0,"",_xlfn.MAXIFS(ЗАКАЗЫ!$AK$3:$AK$500,ЗАКАЗЫ!$F$3:$F$500,$A229)))</f>
        <v/>
      </c>
    </row>
    <row r="230" customFormat="false" ht="15.75" hidden="false" customHeight="true" outlineLevel="0" collapsed="false">
      <c r="A230" s="80" t="s">
        <v>1062</v>
      </c>
      <c r="B230" s="81"/>
      <c r="C230" s="81"/>
      <c r="D230" s="81"/>
      <c r="E230" s="83"/>
      <c r="F230" s="81"/>
      <c r="G230" s="83"/>
      <c r="H230" s="83"/>
      <c r="I230" s="84" t="str">
        <f aca="false">IF(E230="","",A230&amp;"_1.jpg")</f>
        <v/>
      </c>
      <c r="J230" s="84" t="str">
        <f aca="false">IF(E230="","",A230&amp;"_2.jpg; "&amp;A230&amp;"_3.jpg")</f>
        <v/>
      </c>
      <c r="K230" s="84" t="str">
        <f aca="false">IF(E230="","",A230&amp;"_schema.jpg")</f>
        <v/>
      </c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 t="s">
        <v>96</v>
      </c>
      <c r="W230" s="81"/>
      <c r="X230" s="81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6" t="str">
        <f aca="false">IF(SUM(Y230:AJ230)=0,"",SUM(Y230:AJ230))</f>
        <v/>
      </c>
      <c r="AL230" s="84" t="str">
        <f aca="false">MID(IF(N(Y230)&gt;0,", "&amp;Y$2,"")&amp;IF(N(Z230)&gt;0,", "&amp;Z$2,"")&amp;IF(N(AA230)&gt;0,", "&amp;AA$2,"")&amp;IF(N(AB230)&gt;0,", "&amp;AB$2,"")&amp;IF(N(AC230)&gt;0,", "&amp;AC$2,"")&amp;IF(N(AD230)&gt;0,", "&amp;AD$2,"")&amp;IF(N(AE230)&gt;0,", "&amp;AE$2,"")&amp;IF(N(AF230)&gt;0,", "&amp;AF$2,"")&amp;IF(N(AG230)&gt;0,", "&amp;AG$2,"")&amp;IF(N(AH230)&gt;0,", "&amp;AH$2,"")&amp;IF(N(AI230)&gt;0,", "&amp;AI$2,"")&amp;IF(N(AJ230)&gt;0,", "&amp;AJ$2,""),3,999)</f>
        <v/>
      </c>
      <c r="AM230" s="87" t="str">
        <f aca="false">IF(E230="","",MID(IF(N(Y230)&gt;0,", "&amp;A230&amp;"-"&amp;Y$2,"")&amp;IF(N(Z230)&gt;0,", "&amp;A230&amp;"-"&amp;Z$2,"")&amp;IF(N(AA230)&gt;0,", "&amp;A230&amp;"-"&amp;AA$2,"")&amp;IF(N(AB230)&gt;0,", "&amp;A230&amp;"-"&amp;AB$2,"")&amp;IF(N(AC230)&gt;0,", "&amp;A230&amp;"-"&amp;AC$2,"")&amp;IF(N(AD230)&gt;0,", "&amp;A230&amp;"-"&amp;AD$2,"")&amp;IF(N(AE230)&gt;0,", "&amp;A230&amp;"-"&amp;AE$2,"")&amp;IF(N(AF230)&gt;0,", "&amp;A230&amp;"-"&amp;AF$2,"")&amp;IF(N(AG230)&gt;0,", "&amp;A230&amp;"-"&amp;AG$2,"")&amp;IF(N(AH230)&gt;0,", "&amp;A230&amp;"-"&amp;AH$2,"")&amp;IF(N(AI230)&gt;0,", "&amp;A230&amp;"-"&amp;AI$2,"")&amp;IF(N(AJ230)&gt;0,", "&amp;A230&amp;"-"&amp;AJ$2,""),3,999))</f>
        <v/>
      </c>
      <c r="AN230" s="81"/>
      <c r="AO230" s="88"/>
      <c r="AP230" s="89" t="str">
        <f aca="false">IF(AO230="","",ROUND(AO230/(1+Справочники!$B$13),2))</f>
        <v/>
      </c>
      <c r="AQ230" s="90" t="str">
        <f aca="false" t="array" ref="AQ230:AQ230">IF(AP230="","",AP230*INDEX(Справочники!$B$4:$B$7,MATCH("RUB",Справочники!$A$4:$A$7,0)))</f>
        <v/>
      </c>
      <c r="AR230" s="90" t="str">
        <f aca="false">IF(AQ230="","",ROUND(AQ230*(1+Справочники!$B$12),0))</f>
        <v/>
      </c>
      <c r="AS230" s="90" t="str">
        <f aca="false">IF(AR230="","",ROUND(AR230*(1-Справочники!$B$11),0))</f>
        <v/>
      </c>
      <c r="AT230" s="88"/>
      <c r="AU230" s="90" t="str">
        <f aca="false">IF(AT230="","",ROUND(AT230/(1+Справочники!$B$12),0))</f>
        <v/>
      </c>
      <c r="AV230" s="90" t="str">
        <f aca="false">IF(AT230="","",ROUND(AT230*(1-Справочники!$B$15),0))</f>
        <v/>
      </c>
      <c r="AW230" s="90" t="str">
        <f aca="false">IF(AT230="","",ROUND(AT230*(1-Справочники!$B$16),0))</f>
        <v/>
      </c>
      <c r="AX230" s="90" t="str">
        <f aca="false">IF(AT230="","",ROUND(AT230*(1-Справочники!$B$17),0))</f>
        <v/>
      </c>
      <c r="AY230" s="90" t="str">
        <f aca="false">IF(AT230="","",ROUND(AT230*(1-Справочники!$B$18),0))</f>
        <v/>
      </c>
      <c r="AZ230" s="90" t="str">
        <f aca="false">IF(AT230="","",ROUND(AT230*(1-Справочники!$B$19),0))</f>
        <v/>
      </c>
      <c r="BA230" s="81"/>
      <c r="BB230" s="81"/>
      <c r="BC230" s="81"/>
      <c r="BD230" s="81"/>
      <c r="BE230" s="91"/>
      <c r="BF230" s="81" t="s">
        <v>103</v>
      </c>
      <c r="BG230" s="89" t="n">
        <f aca="false" t="array" ref="BG230:BG230">IF(BF230="","",IFERROR(INDEX(Справочники!$B$4:$B$7,MATCH(BF230,Справочники!$A$4:$A$7,0)),""))</f>
        <v>68.5</v>
      </c>
      <c r="BH230" s="90" t="str">
        <f aca="false">IF(N(BN230)&gt;0,ROUND(SUMIF(ЗАКАЗЫ!$F$3:$F$500,$A230,ЗАКАЗЫ!$Y$3:$Y$500)/BN230,0),IF(OR(BE230="",BG230=""),"",ROUND(BE230*BG230*(1+Справочники!$B$10),0)))</f>
        <v/>
      </c>
      <c r="BI230" s="92" t="str">
        <f aca="false">IF(OR(AU230="",BH230="",AU230=0),"",(AU230-BH230)/AU230)</f>
        <v/>
      </c>
      <c r="BJ230" s="81"/>
      <c r="BK230" s="83"/>
      <c r="BL230" s="43" t="str">
        <f aca="false">IFERROR(INDEX(ЗАКАЗЫ!$N$3:$N$500,MATCH($A230,ЗАКАЗЫ!$F$3:$F$500,0)),"")</f>
        <v/>
      </c>
      <c r="BM230" s="8" t="str">
        <f aca="false">IF(BL230="","",IFERROR(VLOOKUP(BL230,'ТН ВЭД'!$A$4:$C$40,3,0),""))</f>
        <v/>
      </c>
      <c r="BN230" s="7" t="str">
        <f aca="false">IF(COUNTIF(ЗАКАЗЫ!$F$3:$F$500,$A230)=0,"",SUMIF(ЗАКАЗЫ!$F$3:$F$500,$A230,ЗАКАЗЫ!$J$3:$J$500))</f>
        <v/>
      </c>
      <c r="BO230" s="7" t="str">
        <f aca="false">IF(BN230="","",SUMIF(ЗАКАЗЫ!$F$3:$F$500,$A230,ЗАКАЗЫ!$AL$3:$AL$500))</f>
        <v/>
      </c>
      <c r="BP230" s="7" t="str">
        <f aca="false">IF(BN230="","",BN230-BO230)</f>
        <v/>
      </c>
      <c r="BQ230" s="55" t="str">
        <f aca="false">IF(BN230="","",IF(BO230&gt;=BN230,"На складе",IF(BO230&gt;0,"Частично","Ждём")))</f>
        <v/>
      </c>
      <c r="BR230" s="43"/>
      <c r="BS230" s="47" t="str">
        <f aca="false">IF(BN230="","",IF(_xlfn.MAXIFS(ЗАКАЗЫ!$AK$3:$AK$500,ЗАКАЗЫ!$F$3:$F$500,$A230)=0,"",_xlfn.MAXIFS(ЗАКАЗЫ!$AK$3:$AK$500,ЗАКАЗЫ!$F$3:$F$500,$A230)))</f>
        <v/>
      </c>
    </row>
    <row r="231" customFormat="false" ht="15.75" hidden="false" customHeight="true" outlineLevel="0" collapsed="false">
      <c r="A231" s="80" t="s">
        <v>1063</v>
      </c>
      <c r="B231" s="81"/>
      <c r="C231" s="81"/>
      <c r="D231" s="81"/>
      <c r="E231" s="83"/>
      <c r="F231" s="81"/>
      <c r="G231" s="83"/>
      <c r="H231" s="83"/>
      <c r="I231" s="84" t="str">
        <f aca="false">IF(E231="","",A231&amp;"_1.jpg")</f>
        <v/>
      </c>
      <c r="J231" s="84" t="str">
        <f aca="false">IF(E231="","",A231&amp;"_2.jpg; "&amp;A231&amp;"_3.jpg")</f>
        <v/>
      </c>
      <c r="K231" s="84" t="str">
        <f aca="false">IF(E231="","",A231&amp;"_schema.jpg")</f>
        <v/>
      </c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 t="s">
        <v>96</v>
      </c>
      <c r="W231" s="81"/>
      <c r="X231" s="81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6" t="str">
        <f aca="false">IF(SUM(Y231:AJ231)=0,"",SUM(Y231:AJ231))</f>
        <v/>
      </c>
      <c r="AL231" s="84" t="str">
        <f aca="false">MID(IF(N(Y231)&gt;0,", "&amp;Y$2,"")&amp;IF(N(Z231)&gt;0,", "&amp;Z$2,"")&amp;IF(N(AA231)&gt;0,", "&amp;AA$2,"")&amp;IF(N(AB231)&gt;0,", "&amp;AB$2,"")&amp;IF(N(AC231)&gt;0,", "&amp;AC$2,"")&amp;IF(N(AD231)&gt;0,", "&amp;AD$2,"")&amp;IF(N(AE231)&gt;0,", "&amp;AE$2,"")&amp;IF(N(AF231)&gt;0,", "&amp;AF$2,"")&amp;IF(N(AG231)&gt;0,", "&amp;AG$2,"")&amp;IF(N(AH231)&gt;0,", "&amp;AH$2,"")&amp;IF(N(AI231)&gt;0,", "&amp;AI$2,"")&amp;IF(N(AJ231)&gt;0,", "&amp;AJ$2,""),3,999)</f>
        <v/>
      </c>
      <c r="AM231" s="87" t="str">
        <f aca="false">IF(E231="","",MID(IF(N(Y231)&gt;0,", "&amp;A231&amp;"-"&amp;Y$2,"")&amp;IF(N(Z231)&gt;0,", "&amp;A231&amp;"-"&amp;Z$2,"")&amp;IF(N(AA231)&gt;0,", "&amp;A231&amp;"-"&amp;AA$2,"")&amp;IF(N(AB231)&gt;0,", "&amp;A231&amp;"-"&amp;AB$2,"")&amp;IF(N(AC231)&gt;0,", "&amp;A231&amp;"-"&amp;AC$2,"")&amp;IF(N(AD231)&gt;0,", "&amp;A231&amp;"-"&amp;AD$2,"")&amp;IF(N(AE231)&gt;0,", "&amp;A231&amp;"-"&amp;AE$2,"")&amp;IF(N(AF231)&gt;0,", "&amp;A231&amp;"-"&amp;AF$2,"")&amp;IF(N(AG231)&gt;0,", "&amp;A231&amp;"-"&amp;AG$2,"")&amp;IF(N(AH231)&gt;0,", "&amp;A231&amp;"-"&amp;AH$2,"")&amp;IF(N(AI231)&gt;0,", "&amp;A231&amp;"-"&amp;AI$2,"")&amp;IF(N(AJ231)&gt;0,", "&amp;A231&amp;"-"&amp;AJ$2,""),3,999))</f>
        <v/>
      </c>
      <c r="AN231" s="81"/>
      <c r="AO231" s="88"/>
      <c r="AP231" s="89" t="str">
        <f aca="false">IF(AO231="","",ROUND(AO231/(1+Справочники!$B$13),2))</f>
        <v/>
      </c>
      <c r="AQ231" s="90" t="str">
        <f aca="false" t="array" ref="AQ231:AQ231">IF(AP231="","",AP231*INDEX(Справочники!$B$4:$B$7,MATCH("RUB",Справочники!$A$4:$A$7,0)))</f>
        <v/>
      </c>
      <c r="AR231" s="90" t="str">
        <f aca="false">IF(AQ231="","",ROUND(AQ231*(1+Справочники!$B$12),0))</f>
        <v/>
      </c>
      <c r="AS231" s="90" t="str">
        <f aca="false">IF(AR231="","",ROUND(AR231*(1-Справочники!$B$11),0))</f>
        <v/>
      </c>
      <c r="AT231" s="88"/>
      <c r="AU231" s="90" t="str">
        <f aca="false">IF(AT231="","",ROUND(AT231/(1+Справочники!$B$12),0))</f>
        <v/>
      </c>
      <c r="AV231" s="90" t="str">
        <f aca="false">IF(AT231="","",ROUND(AT231*(1-Справочники!$B$15),0))</f>
        <v/>
      </c>
      <c r="AW231" s="90" t="str">
        <f aca="false">IF(AT231="","",ROUND(AT231*(1-Справочники!$B$16),0))</f>
        <v/>
      </c>
      <c r="AX231" s="90" t="str">
        <f aca="false">IF(AT231="","",ROUND(AT231*(1-Справочники!$B$17),0))</f>
        <v/>
      </c>
      <c r="AY231" s="90" t="str">
        <f aca="false">IF(AT231="","",ROUND(AT231*(1-Справочники!$B$18),0))</f>
        <v/>
      </c>
      <c r="AZ231" s="90" t="str">
        <f aca="false">IF(AT231="","",ROUND(AT231*(1-Справочники!$B$19),0))</f>
        <v/>
      </c>
      <c r="BA231" s="81"/>
      <c r="BB231" s="81"/>
      <c r="BC231" s="81"/>
      <c r="BD231" s="81"/>
      <c r="BE231" s="91"/>
      <c r="BF231" s="81" t="s">
        <v>103</v>
      </c>
      <c r="BG231" s="89" t="n">
        <f aca="false" t="array" ref="BG231:BG231">IF(BF231="","",IFERROR(INDEX(Справочники!$B$4:$B$7,MATCH(BF231,Справочники!$A$4:$A$7,0)),""))</f>
        <v>68.5</v>
      </c>
      <c r="BH231" s="90" t="str">
        <f aca="false">IF(N(BN231)&gt;0,ROUND(SUMIF(ЗАКАЗЫ!$F$3:$F$500,$A231,ЗАКАЗЫ!$Y$3:$Y$500)/BN231,0),IF(OR(BE231="",BG231=""),"",ROUND(BE231*BG231*(1+Справочники!$B$10),0)))</f>
        <v/>
      </c>
      <c r="BI231" s="92" t="str">
        <f aca="false">IF(OR(AU231="",BH231="",AU231=0),"",(AU231-BH231)/AU231)</f>
        <v/>
      </c>
      <c r="BJ231" s="81"/>
      <c r="BK231" s="83"/>
      <c r="BL231" s="43" t="str">
        <f aca="false">IFERROR(INDEX(ЗАКАЗЫ!$N$3:$N$500,MATCH($A231,ЗАКАЗЫ!$F$3:$F$500,0)),"")</f>
        <v/>
      </c>
      <c r="BM231" s="8" t="str">
        <f aca="false">IF(BL231="","",IFERROR(VLOOKUP(BL231,'ТН ВЭД'!$A$4:$C$40,3,0),""))</f>
        <v/>
      </c>
      <c r="BN231" s="7" t="str">
        <f aca="false">IF(COUNTIF(ЗАКАЗЫ!$F$3:$F$500,$A231)=0,"",SUMIF(ЗАКАЗЫ!$F$3:$F$500,$A231,ЗАКАЗЫ!$J$3:$J$500))</f>
        <v/>
      </c>
      <c r="BO231" s="7" t="str">
        <f aca="false">IF(BN231="","",SUMIF(ЗАКАЗЫ!$F$3:$F$500,$A231,ЗАКАЗЫ!$AL$3:$AL$500))</f>
        <v/>
      </c>
      <c r="BP231" s="7" t="str">
        <f aca="false">IF(BN231="","",BN231-BO231)</f>
        <v/>
      </c>
      <c r="BQ231" s="55" t="str">
        <f aca="false">IF(BN231="","",IF(BO231&gt;=BN231,"На складе",IF(BO231&gt;0,"Частично","Ждём")))</f>
        <v/>
      </c>
      <c r="BR231" s="43"/>
      <c r="BS231" s="47" t="str">
        <f aca="false">IF(BN231="","",IF(_xlfn.MAXIFS(ЗАКАЗЫ!$AK$3:$AK$500,ЗАКАЗЫ!$F$3:$F$500,$A231)=0,"",_xlfn.MAXIFS(ЗАКАЗЫ!$AK$3:$AK$500,ЗАКАЗЫ!$F$3:$F$500,$A231)))</f>
        <v/>
      </c>
    </row>
    <row r="232" customFormat="false" ht="15.75" hidden="false" customHeight="true" outlineLevel="0" collapsed="false">
      <c r="A232" s="80" t="s">
        <v>1064</v>
      </c>
      <c r="B232" s="81"/>
      <c r="C232" s="81"/>
      <c r="D232" s="81"/>
      <c r="E232" s="83"/>
      <c r="F232" s="81"/>
      <c r="G232" s="83"/>
      <c r="H232" s="83"/>
      <c r="I232" s="84" t="str">
        <f aca="false">IF(E232="","",A232&amp;"_1.jpg")</f>
        <v/>
      </c>
      <c r="J232" s="84" t="str">
        <f aca="false">IF(E232="","",A232&amp;"_2.jpg; "&amp;A232&amp;"_3.jpg")</f>
        <v/>
      </c>
      <c r="K232" s="84" t="str">
        <f aca="false">IF(E232="","",A232&amp;"_schema.jpg")</f>
        <v/>
      </c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 t="s">
        <v>96</v>
      </c>
      <c r="W232" s="81"/>
      <c r="X232" s="81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6" t="str">
        <f aca="false">IF(SUM(Y232:AJ232)=0,"",SUM(Y232:AJ232))</f>
        <v/>
      </c>
      <c r="AL232" s="84" t="str">
        <f aca="false">MID(IF(N(Y232)&gt;0,", "&amp;Y$2,"")&amp;IF(N(Z232)&gt;0,", "&amp;Z$2,"")&amp;IF(N(AA232)&gt;0,", "&amp;AA$2,"")&amp;IF(N(AB232)&gt;0,", "&amp;AB$2,"")&amp;IF(N(AC232)&gt;0,", "&amp;AC$2,"")&amp;IF(N(AD232)&gt;0,", "&amp;AD$2,"")&amp;IF(N(AE232)&gt;0,", "&amp;AE$2,"")&amp;IF(N(AF232)&gt;0,", "&amp;AF$2,"")&amp;IF(N(AG232)&gt;0,", "&amp;AG$2,"")&amp;IF(N(AH232)&gt;0,", "&amp;AH$2,"")&amp;IF(N(AI232)&gt;0,", "&amp;AI$2,"")&amp;IF(N(AJ232)&gt;0,", "&amp;AJ$2,""),3,999)</f>
        <v/>
      </c>
      <c r="AM232" s="87" t="str">
        <f aca="false">IF(E232="","",MID(IF(N(Y232)&gt;0,", "&amp;A232&amp;"-"&amp;Y$2,"")&amp;IF(N(Z232)&gt;0,", "&amp;A232&amp;"-"&amp;Z$2,"")&amp;IF(N(AA232)&gt;0,", "&amp;A232&amp;"-"&amp;AA$2,"")&amp;IF(N(AB232)&gt;0,", "&amp;A232&amp;"-"&amp;AB$2,"")&amp;IF(N(AC232)&gt;0,", "&amp;A232&amp;"-"&amp;AC$2,"")&amp;IF(N(AD232)&gt;0,", "&amp;A232&amp;"-"&amp;AD$2,"")&amp;IF(N(AE232)&gt;0,", "&amp;A232&amp;"-"&amp;AE$2,"")&amp;IF(N(AF232)&gt;0,", "&amp;A232&amp;"-"&amp;AF$2,"")&amp;IF(N(AG232)&gt;0,", "&amp;A232&amp;"-"&amp;AG$2,"")&amp;IF(N(AH232)&gt;0,", "&amp;A232&amp;"-"&amp;AH$2,"")&amp;IF(N(AI232)&gt;0,", "&amp;A232&amp;"-"&amp;AI$2,"")&amp;IF(N(AJ232)&gt;0,", "&amp;A232&amp;"-"&amp;AJ$2,""),3,999))</f>
        <v/>
      </c>
      <c r="AN232" s="81"/>
      <c r="AO232" s="88"/>
      <c r="AP232" s="89" t="str">
        <f aca="false">IF(AO232="","",ROUND(AO232/(1+Справочники!$B$13),2))</f>
        <v/>
      </c>
      <c r="AQ232" s="90" t="str">
        <f aca="false" t="array" ref="AQ232:AQ232">IF(AP232="","",AP232*INDEX(Справочники!$B$4:$B$7,MATCH("RUB",Справочники!$A$4:$A$7,0)))</f>
        <v/>
      </c>
      <c r="AR232" s="90" t="str">
        <f aca="false">IF(AQ232="","",ROUND(AQ232*(1+Справочники!$B$12),0))</f>
        <v/>
      </c>
      <c r="AS232" s="90" t="str">
        <f aca="false">IF(AR232="","",ROUND(AR232*(1-Справочники!$B$11),0))</f>
        <v/>
      </c>
      <c r="AT232" s="88"/>
      <c r="AU232" s="90" t="str">
        <f aca="false">IF(AT232="","",ROUND(AT232/(1+Справочники!$B$12),0))</f>
        <v/>
      </c>
      <c r="AV232" s="90" t="str">
        <f aca="false">IF(AT232="","",ROUND(AT232*(1-Справочники!$B$15),0))</f>
        <v/>
      </c>
      <c r="AW232" s="90" t="str">
        <f aca="false">IF(AT232="","",ROUND(AT232*(1-Справочники!$B$16),0))</f>
        <v/>
      </c>
      <c r="AX232" s="90" t="str">
        <f aca="false">IF(AT232="","",ROUND(AT232*(1-Справочники!$B$17),0))</f>
        <v/>
      </c>
      <c r="AY232" s="90" t="str">
        <f aca="false">IF(AT232="","",ROUND(AT232*(1-Справочники!$B$18),0))</f>
        <v/>
      </c>
      <c r="AZ232" s="90" t="str">
        <f aca="false">IF(AT232="","",ROUND(AT232*(1-Справочники!$B$19),0))</f>
        <v/>
      </c>
      <c r="BA232" s="81"/>
      <c r="BB232" s="81"/>
      <c r="BC232" s="81"/>
      <c r="BD232" s="81"/>
      <c r="BE232" s="91"/>
      <c r="BF232" s="81" t="s">
        <v>103</v>
      </c>
      <c r="BG232" s="89" t="n">
        <f aca="false" t="array" ref="BG232:BG232">IF(BF232="","",IFERROR(INDEX(Справочники!$B$4:$B$7,MATCH(BF232,Справочники!$A$4:$A$7,0)),""))</f>
        <v>68.5</v>
      </c>
      <c r="BH232" s="90" t="str">
        <f aca="false">IF(N(BN232)&gt;0,ROUND(SUMIF(ЗАКАЗЫ!$F$3:$F$500,$A232,ЗАКАЗЫ!$Y$3:$Y$500)/BN232,0),IF(OR(BE232="",BG232=""),"",ROUND(BE232*BG232*(1+Справочники!$B$10),0)))</f>
        <v/>
      </c>
      <c r="BI232" s="92" t="str">
        <f aca="false">IF(OR(AU232="",BH232="",AU232=0),"",(AU232-BH232)/AU232)</f>
        <v/>
      </c>
      <c r="BJ232" s="81"/>
      <c r="BK232" s="83"/>
      <c r="BL232" s="43" t="str">
        <f aca="false">IFERROR(INDEX(ЗАКАЗЫ!$N$3:$N$500,MATCH($A232,ЗАКАЗЫ!$F$3:$F$500,0)),"")</f>
        <v/>
      </c>
      <c r="BM232" s="8" t="str">
        <f aca="false">IF(BL232="","",IFERROR(VLOOKUP(BL232,'ТН ВЭД'!$A$4:$C$40,3,0),""))</f>
        <v/>
      </c>
      <c r="BN232" s="7" t="str">
        <f aca="false">IF(COUNTIF(ЗАКАЗЫ!$F$3:$F$500,$A232)=0,"",SUMIF(ЗАКАЗЫ!$F$3:$F$500,$A232,ЗАКАЗЫ!$J$3:$J$500))</f>
        <v/>
      </c>
      <c r="BO232" s="7" t="str">
        <f aca="false">IF(BN232="","",SUMIF(ЗАКАЗЫ!$F$3:$F$500,$A232,ЗАКАЗЫ!$AL$3:$AL$500))</f>
        <v/>
      </c>
      <c r="BP232" s="7" t="str">
        <f aca="false">IF(BN232="","",BN232-BO232)</f>
        <v/>
      </c>
      <c r="BQ232" s="55" t="str">
        <f aca="false">IF(BN232="","",IF(BO232&gt;=BN232,"На складе",IF(BO232&gt;0,"Частично","Ждём")))</f>
        <v/>
      </c>
      <c r="BR232" s="43"/>
      <c r="BS232" s="47" t="str">
        <f aca="false">IF(BN232="","",IF(_xlfn.MAXIFS(ЗАКАЗЫ!$AK$3:$AK$500,ЗАКАЗЫ!$F$3:$F$500,$A232)=0,"",_xlfn.MAXIFS(ЗАКАЗЫ!$AK$3:$AK$500,ЗАКАЗЫ!$F$3:$F$500,$A232)))</f>
        <v/>
      </c>
    </row>
    <row r="233" customFormat="false" ht="15.75" hidden="false" customHeight="true" outlineLevel="0" collapsed="false">
      <c r="A233" s="80" t="s">
        <v>1065</v>
      </c>
      <c r="B233" s="81"/>
      <c r="C233" s="81"/>
      <c r="D233" s="81"/>
      <c r="E233" s="83"/>
      <c r="F233" s="81"/>
      <c r="G233" s="83"/>
      <c r="H233" s="83"/>
      <c r="I233" s="84" t="str">
        <f aca="false">IF(E233="","",A233&amp;"_1.jpg")</f>
        <v/>
      </c>
      <c r="J233" s="84" t="str">
        <f aca="false">IF(E233="","",A233&amp;"_2.jpg; "&amp;A233&amp;"_3.jpg")</f>
        <v/>
      </c>
      <c r="K233" s="84" t="str">
        <f aca="false">IF(E233="","",A233&amp;"_schema.jpg")</f>
        <v/>
      </c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 t="s">
        <v>96</v>
      </c>
      <c r="W233" s="81"/>
      <c r="X233" s="81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6" t="str">
        <f aca="false">IF(SUM(Y233:AJ233)=0,"",SUM(Y233:AJ233))</f>
        <v/>
      </c>
      <c r="AL233" s="84" t="str">
        <f aca="false">MID(IF(N(Y233)&gt;0,", "&amp;Y$2,"")&amp;IF(N(Z233)&gt;0,", "&amp;Z$2,"")&amp;IF(N(AA233)&gt;0,", "&amp;AA$2,"")&amp;IF(N(AB233)&gt;0,", "&amp;AB$2,"")&amp;IF(N(AC233)&gt;0,", "&amp;AC$2,"")&amp;IF(N(AD233)&gt;0,", "&amp;AD$2,"")&amp;IF(N(AE233)&gt;0,", "&amp;AE$2,"")&amp;IF(N(AF233)&gt;0,", "&amp;AF$2,"")&amp;IF(N(AG233)&gt;0,", "&amp;AG$2,"")&amp;IF(N(AH233)&gt;0,", "&amp;AH$2,"")&amp;IF(N(AI233)&gt;0,", "&amp;AI$2,"")&amp;IF(N(AJ233)&gt;0,", "&amp;AJ$2,""),3,999)</f>
        <v/>
      </c>
      <c r="AM233" s="87" t="str">
        <f aca="false">IF(E233="","",MID(IF(N(Y233)&gt;0,", "&amp;A233&amp;"-"&amp;Y$2,"")&amp;IF(N(Z233)&gt;0,", "&amp;A233&amp;"-"&amp;Z$2,"")&amp;IF(N(AA233)&gt;0,", "&amp;A233&amp;"-"&amp;AA$2,"")&amp;IF(N(AB233)&gt;0,", "&amp;A233&amp;"-"&amp;AB$2,"")&amp;IF(N(AC233)&gt;0,", "&amp;A233&amp;"-"&amp;AC$2,"")&amp;IF(N(AD233)&gt;0,", "&amp;A233&amp;"-"&amp;AD$2,"")&amp;IF(N(AE233)&gt;0,", "&amp;A233&amp;"-"&amp;AE$2,"")&amp;IF(N(AF233)&gt;0,", "&amp;A233&amp;"-"&amp;AF$2,"")&amp;IF(N(AG233)&gt;0,", "&amp;A233&amp;"-"&amp;AG$2,"")&amp;IF(N(AH233)&gt;0,", "&amp;A233&amp;"-"&amp;AH$2,"")&amp;IF(N(AI233)&gt;0,", "&amp;A233&amp;"-"&amp;AI$2,"")&amp;IF(N(AJ233)&gt;0,", "&amp;A233&amp;"-"&amp;AJ$2,""),3,999))</f>
        <v/>
      </c>
      <c r="AN233" s="81"/>
      <c r="AO233" s="88"/>
      <c r="AP233" s="89" t="str">
        <f aca="false">IF(AO233="","",ROUND(AO233/(1+Справочники!$B$13),2))</f>
        <v/>
      </c>
      <c r="AQ233" s="90" t="str">
        <f aca="false" t="array" ref="AQ233:AQ233">IF(AP233="","",AP233*INDEX(Справочники!$B$4:$B$7,MATCH("RUB",Справочники!$A$4:$A$7,0)))</f>
        <v/>
      </c>
      <c r="AR233" s="90" t="str">
        <f aca="false">IF(AQ233="","",ROUND(AQ233*(1+Справочники!$B$12),0))</f>
        <v/>
      </c>
      <c r="AS233" s="90" t="str">
        <f aca="false">IF(AR233="","",ROUND(AR233*(1-Справочники!$B$11),0))</f>
        <v/>
      </c>
      <c r="AT233" s="88"/>
      <c r="AU233" s="90" t="str">
        <f aca="false">IF(AT233="","",ROUND(AT233/(1+Справочники!$B$12),0))</f>
        <v/>
      </c>
      <c r="AV233" s="90" t="str">
        <f aca="false">IF(AT233="","",ROUND(AT233*(1-Справочники!$B$15),0))</f>
        <v/>
      </c>
      <c r="AW233" s="90" t="str">
        <f aca="false">IF(AT233="","",ROUND(AT233*(1-Справочники!$B$16),0))</f>
        <v/>
      </c>
      <c r="AX233" s="90" t="str">
        <f aca="false">IF(AT233="","",ROUND(AT233*(1-Справочники!$B$17),0))</f>
        <v/>
      </c>
      <c r="AY233" s="90" t="str">
        <f aca="false">IF(AT233="","",ROUND(AT233*(1-Справочники!$B$18),0))</f>
        <v/>
      </c>
      <c r="AZ233" s="90" t="str">
        <f aca="false">IF(AT233="","",ROUND(AT233*(1-Справочники!$B$19),0))</f>
        <v/>
      </c>
      <c r="BA233" s="81"/>
      <c r="BB233" s="81"/>
      <c r="BC233" s="81"/>
      <c r="BD233" s="81"/>
      <c r="BE233" s="91"/>
      <c r="BF233" s="81" t="s">
        <v>103</v>
      </c>
      <c r="BG233" s="89" t="n">
        <f aca="false" t="array" ref="BG233:BG233">IF(BF233="","",IFERROR(INDEX(Справочники!$B$4:$B$7,MATCH(BF233,Справочники!$A$4:$A$7,0)),""))</f>
        <v>68.5</v>
      </c>
      <c r="BH233" s="90" t="str">
        <f aca="false">IF(N(BN233)&gt;0,ROUND(SUMIF(ЗАКАЗЫ!$F$3:$F$500,$A233,ЗАКАЗЫ!$Y$3:$Y$500)/BN233,0),IF(OR(BE233="",BG233=""),"",ROUND(BE233*BG233*(1+Справочники!$B$10),0)))</f>
        <v/>
      </c>
      <c r="BI233" s="92" t="str">
        <f aca="false">IF(OR(AU233="",BH233="",AU233=0),"",(AU233-BH233)/AU233)</f>
        <v/>
      </c>
      <c r="BJ233" s="81"/>
      <c r="BK233" s="83"/>
      <c r="BL233" s="43" t="str">
        <f aca="false">IFERROR(INDEX(ЗАКАЗЫ!$N$3:$N$500,MATCH($A233,ЗАКАЗЫ!$F$3:$F$500,0)),"")</f>
        <v/>
      </c>
      <c r="BM233" s="8" t="str">
        <f aca="false">IF(BL233="","",IFERROR(VLOOKUP(BL233,'ТН ВЭД'!$A$4:$C$40,3,0),""))</f>
        <v/>
      </c>
      <c r="BN233" s="7" t="str">
        <f aca="false">IF(COUNTIF(ЗАКАЗЫ!$F$3:$F$500,$A233)=0,"",SUMIF(ЗАКАЗЫ!$F$3:$F$500,$A233,ЗАКАЗЫ!$J$3:$J$500))</f>
        <v/>
      </c>
      <c r="BO233" s="7" t="str">
        <f aca="false">IF(BN233="","",SUMIF(ЗАКАЗЫ!$F$3:$F$500,$A233,ЗАКАЗЫ!$AL$3:$AL$500))</f>
        <v/>
      </c>
      <c r="BP233" s="7" t="str">
        <f aca="false">IF(BN233="","",BN233-BO233)</f>
        <v/>
      </c>
      <c r="BQ233" s="55" t="str">
        <f aca="false">IF(BN233="","",IF(BO233&gt;=BN233,"На складе",IF(BO233&gt;0,"Частично","Ждём")))</f>
        <v/>
      </c>
      <c r="BR233" s="43"/>
      <c r="BS233" s="47" t="str">
        <f aca="false">IF(BN233="","",IF(_xlfn.MAXIFS(ЗАКАЗЫ!$AK$3:$AK$500,ЗАКАЗЫ!$F$3:$F$500,$A233)=0,"",_xlfn.MAXIFS(ЗАКАЗЫ!$AK$3:$AK$500,ЗАКАЗЫ!$F$3:$F$500,$A233)))</f>
        <v/>
      </c>
    </row>
    <row r="234" customFormat="false" ht="15.75" hidden="false" customHeight="true" outlineLevel="0" collapsed="false">
      <c r="A234" s="80" t="s">
        <v>1066</v>
      </c>
      <c r="B234" s="81"/>
      <c r="C234" s="81"/>
      <c r="D234" s="81"/>
      <c r="E234" s="83"/>
      <c r="F234" s="81"/>
      <c r="G234" s="83"/>
      <c r="H234" s="83"/>
      <c r="I234" s="84" t="str">
        <f aca="false">IF(E234="","",A234&amp;"_1.jpg")</f>
        <v/>
      </c>
      <c r="J234" s="84" t="str">
        <f aca="false">IF(E234="","",A234&amp;"_2.jpg; "&amp;A234&amp;"_3.jpg")</f>
        <v/>
      </c>
      <c r="K234" s="84" t="str">
        <f aca="false">IF(E234="","",A234&amp;"_schema.jpg")</f>
        <v/>
      </c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 t="s">
        <v>96</v>
      </c>
      <c r="W234" s="81"/>
      <c r="X234" s="81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6" t="str">
        <f aca="false">IF(SUM(Y234:AJ234)=0,"",SUM(Y234:AJ234))</f>
        <v/>
      </c>
      <c r="AL234" s="84" t="str">
        <f aca="false">MID(IF(N(Y234)&gt;0,", "&amp;Y$2,"")&amp;IF(N(Z234)&gt;0,", "&amp;Z$2,"")&amp;IF(N(AA234)&gt;0,", "&amp;AA$2,"")&amp;IF(N(AB234)&gt;0,", "&amp;AB$2,"")&amp;IF(N(AC234)&gt;0,", "&amp;AC$2,"")&amp;IF(N(AD234)&gt;0,", "&amp;AD$2,"")&amp;IF(N(AE234)&gt;0,", "&amp;AE$2,"")&amp;IF(N(AF234)&gt;0,", "&amp;AF$2,"")&amp;IF(N(AG234)&gt;0,", "&amp;AG$2,"")&amp;IF(N(AH234)&gt;0,", "&amp;AH$2,"")&amp;IF(N(AI234)&gt;0,", "&amp;AI$2,"")&amp;IF(N(AJ234)&gt;0,", "&amp;AJ$2,""),3,999)</f>
        <v/>
      </c>
      <c r="AM234" s="87" t="str">
        <f aca="false">IF(E234="","",MID(IF(N(Y234)&gt;0,", "&amp;A234&amp;"-"&amp;Y$2,"")&amp;IF(N(Z234)&gt;0,", "&amp;A234&amp;"-"&amp;Z$2,"")&amp;IF(N(AA234)&gt;0,", "&amp;A234&amp;"-"&amp;AA$2,"")&amp;IF(N(AB234)&gt;0,", "&amp;A234&amp;"-"&amp;AB$2,"")&amp;IF(N(AC234)&gt;0,", "&amp;A234&amp;"-"&amp;AC$2,"")&amp;IF(N(AD234)&gt;0,", "&amp;A234&amp;"-"&amp;AD$2,"")&amp;IF(N(AE234)&gt;0,", "&amp;A234&amp;"-"&amp;AE$2,"")&amp;IF(N(AF234)&gt;0,", "&amp;A234&amp;"-"&amp;AF$2,"")&amp;IF(N(AG234)&gt;0,", "&amp;A234&amp;"-"&amp;AG$2,"")&amp;IF(N(AH234)&gt;0,", "&amp;A234&amp;"-"&amp;AH$2,"")&amp;IF(N(AI234)&gt;0,", "&amp;A234&amp;"-"&amp;AI$2,"")&amp;IF(N(AJ234)&gt;0,", "&amp;A234&amp;"-"&amp;AJ$2,""),3,999))</f>
        <v/>
      </c>
      <c r="AN234" s="81"/>
      <c r="AO234" s="88"/>
      <c r="AP234" s="89" t="str">
        <f aca="false">IF(AO234="","",ROUND(AO234/(1+Справочники!$B$13),2))</f>
        <v/>
      </c>
      <c r="AQ234" s="90" t="str">
        <f aca="false" t="array" ref="AQ234:AQ234">IF(AP234="","",AP234*INDEX(Справочники!$B$4:$B$7,MATCH("RUB",Справочники!$A$4:$A$7,0)))</f>
        <v/>
      </c>
      <c r="AR234" s="90" t="str">
        <f aca="false">IF(AQ234="","",ROUND(AQ234*(1+Справочники!$B$12),0))</f>
        <v/>
      </c>
      <c r="AS234" s="90" t="str">
        <f aca="false">IF(AR234="","",ROUND(AR234*(1-Справочники!$B$11),0))</f>
        <v/>
      </c>
      <c r="AT234" s="88"/>
      <c r="AU234" s="90" t="str">
        <f aca="false">IF(AT234="","",ROUND(AT234/(1+Справочники!$B$12),0))</f>
        <v/>
      </c>
      <c r="AV234" s="90" t="str">
        <f aca="false">IF(AT234="","",ROUND(AT234*(1-Справочники!$B$15),0))</f>
        <v/>
      </c>
      <c r="AW234" s="90" t="str">
        <f aca="false">IF(AT234="","",ROUND(AT234*(1-Справочники!$B$16),0))</f>
        <v/>
      </c>
      <c r="AX234" s="90" t="str">
        <f aca="false">IF(AT234="","",ROUND(AT234*(1-Справочники!$B$17),0))</f>
        <v/>
      </c>
      <c r="AY234" s="90" t="str">
        <f aca="false">IF(AT234="","",ROUND(AT234*(1-Справочники!$B$18),0))</f>
        <v/>
      </c>
      <c r="AZ234" s="90" t="str">
        <f aca="false">IF(AT234="","",ROUND(AT234*(1-Справочники!$B$19),0))</f>
        <v/>
      </c>
      <c r="BA234" s="81"/>
      <c r="BB234" s="81"/>
      <c r="BC234" s="81"/>
      <c r="BD234" s="81"/>
      <c r="BE234" s="91"/>
      <c r="BF234" s="81" t="s">
        <v>103</v>
      </c>
      <c r="BG234" s="89" t="n">
        <f aca="false" t="array" ref="BG234:BG234">IF(BF234="","",IFERROR(INDEX(Справочники!$B$4:$B$7,MATCH(BF234,Справочники!$A$4:$A$7,0)),""))</f>
        <v>68.5</v>
      </c>
      <c r="BH234" s="90" t="str">
        <f aca="false">IF(N(BN234)&gt;0,ROUND(SUMIF(ЗАКАЗЫ!$F$3:$F$500,$A234,ЗАКАЗЫ!$Y$3:$Y$500)/BN234,0),IF(OR(BE234="",BG234=""),"",ROUND(BE234*BG234*(1+Справочники!$B$10),0)))</f>
        <v/>
      </c>
      <c r="BI234" s="92" t="str">
        <f aca="false">IF(OR(AU234="",BH234="",AU234=0),"",(AU234-BH234)/AU234)</f>
        <v/>
      </c>
      <c r="BJ234" s="81"/>
      <c r="BK234" s="83"/>
      <c r="BL234" s="43" t="str">
        <f aca="false">IFERROR(INDEX(ЗАКАЗЫ!$N$3:$N$500,MATCH($A234,ЗАКАЗЫ!$F$3:$F$500,0)),"")</f>
        <v/>
      </c>
      <c r="BM234" s="8" t="str">
        <f aca="false">IF(BL234="","",IFERROR(VLOOKUP(BL234,'ТН ВЭД'!$A$4:$C$40,3,0),""))</f>
        <v/>
      </c>
      <c r="BN234" s="7" t="str">
        <f aca="false">IF(COUNTIF(ЗАКАЗЫ!$F$3:$F$500,$A234)=0,"",SUMIF(ЗАКАЗЫ!$F$3:$F$500,$A234,ЗАКАЗЫ!$J$3:$J$500))</f>
        <v/>
      </c>
      <c r="BO234" s="7" t="str">
        <f aca="false">IF(BN234="","",SUMIF(ЗАКАЗЫ!$F$3:$F$500,$A234,ЗАКАЗЫ!$AL$3:$AL$500))</f>
        <v/>
      </c>
      <c r="BP234" s="7" t="str">
        <f aca="false">IF(BN234="","",BN234-BO234)</f>
        <v/>
      </c>
      <c r="BQ234" s="55" t="str">
        <f aca="false">IF(BN234="","",IF(BO234&gt;=BN234,"На складе",IF(BO234&gt;0,"Частично","Ждём")))</f>
        <v/>
      </c>
      <c r="BR234" s="43"/>
      <c r="BS234" s="47" t="str">
        <f aca="false">IF(BN234="","",IF(_xlfn.MAXIFS(ЗАКАЗЫ!$AK$3:$AK$500,ЗАКАЗЫ!$F$3:$F$500,$A234)=0,"",_xlfn.MAXIFS(ЗАКАЗЫ!$AK$3:$AK$500,ЗАКАЗЫ!$F$3:$F$500,$A234)))</f>
        <v/>
      </c>
    </row>
    <row r="235" customFormat="false" ht="15.75" hidden="false" customHeight="true" outlineLevel="0" collapsed="false">
      <c r="A235" s="80" t="s">
        <v>1067</v>
      </c>
      <c r="B235" s="81"/>
      <c r="C235" s="81"/>
      <c r="D235" s="81"/>
      <c r="E235" s="83"/>
      <c r="F235" s="81"/>
      <c r="G235" s="83"/>
      <c r="H235" s="83"/>
      <c r="I235" s="84" t="str">
        <f aca="false">IF(E235="","",A235&amp;"_1.jpg")</f>
        <v/>
      </c>
      <c r="J235" s="84" t="str">
        <f aca="false">IF(E235="","",A235&amp;"_2.jpg; "&amp;A235&amp;"_3.jpg")</f>
        <v/>
      </c>
      <c r="K235" s="84" t="str">
        <f aca="false">IF(E235="","",A235&amp;"_schema.jpg")</f>
        <v/>
      </c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 t="s">
        <v>96</v>
      </c>
      <c r="W235" s="81"/>
      <c r="X235" s="81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6" t="str">
        <f aca="false">IF(SUM(Y235:AJ235)=0,"",SUM(Y235:AJ235))</f>
        <v/>
      </c>
      <c r="AL235" s="84" t="str">
        <f aca="false">MID(IF(N(Y235)&gt;0,", "&amp;Y$2,"")&amp;IF(N(Z235)&gt;0,", "&amp;Z$2,"")&amp;IF(N(AA235)&gt;0,", "&amp;AA$2,"")&amp;IF(N(AB235)&gt;0,", "&amp;AB$2,"")&amp;IF(N(AC235)&gt;0,", "&amp;AC$2,"")&amp;IF(N(AD235)&gt;0,", "&amp;AD$2,"")&amp;IF(N(AE235)&gt;0,", "&amp;AE$2,"")&amp;IF(N(AF235)&gt;0,", "&amp;AF$2,"")&amp;IF(N(AG235)&gt;0,", "&amp;AG$2,"")&amp;IF(N(AH235)&gt;0,", "&amp;AH$2,"")&amp;IF(N(AI235)&gt;0,", "&amp;AI$2,"")&amp;IF(N(AJ235)&gt;0,", "&amp;AJ$2,""),3,999)</f>
        <v/>
      </c>
      <c r="AM235" s="87" t="str">
        <f aca="false">IF(E235="","",MID(IF(N(Y235)&gt;0,", "&amp;A235&amp;"-"&amp;Y$2,"")&amp;IF(N(Z235)&gt;0,", "&amp;A235&amp;"-"&amp;Z$2,"")&amp;IF(N(AA235)&gt;0,", "&amp;A235&amp;"-"&amp;AA$2,"")&amp;IF(N(AB235)&gt;0,", "&amp;A235&amp;"-"&amp;AB$2,"")&amp;IF(N(AC235)&gt;0,", "&amp;A235&amp;"-"&amp;AC$2,"")&amp;IF(N(AD235)&gt;0,", "&amp;A235&amp;"-"&amp;AD$2,"")&amp;IF(N(AE235)&gt;0,", "&amp;A235&amp;"-"&amp;AE$2,"")&amp;IF(N(AF235)&gt;0,", "&amp;A235&amp;"-"&amp;AF$2,"")&amp;IF(N(AG235)&gt;0,", "&amp;A235&amp;"-"&amp;AG$2,"")&amp;IF(N(AH235)&gt;0,", "&amp;A235&amp;"-"&amp;AH$2,"")&amp;IF(N(AI235)&gt;0,", "&amp;A235&amp;"-"&amp;AI$2,"")&amp;IF(N(AJ235)&gt;0,", "&amp;A235&amp;"-"&amp;AJ$2,""),3,999))</f>
        <v/>
      </c>
      <c r="AN235" s="81"/>
      <c r="AO235" s="88"/>
      <c r="AP235" s="89" t="str">
        <f aca="false">IF(AO235="","",ROUND(AO235/(1+Справочники!$B$13),2))</f>
        <v/>
      </c>
      <c r="AQ235" s="90" t="str">
        <f aca="false" t="array" ref="AQ235:AQ235">IF(AP235="","",AP235*INDEX(Справочники!$B$4:$B$7,MATCH("RUB",Справочники!$A$4:$A$7,0)))</f>
        <v/>
      </c>
      <c r="AR235" s="90" t="str">
        <f aca="false">IF(AQ235="","",ROUND(AQ235*(1+Справочники!$B$12),0))</f>
        <v/>
      </c>
      <c r="AS235" s="90" t="str">
        <f aca="false">IF(AR235="","",ROUND(AR235*(1-Справочники!$B$11),0))</f>
        <v/>
      </c>
      <c r="AT235" s="88"/>
      <c r="AU235" s="90" t="str">
        <f aca="false">IF(AT235="","",ROUND(AT235/(1+Справочники!$B$12),0))</f>
        <v/>
      </c>
      <c r="AV235" s="90" t="str">
        <f aca="false">IF(AT235="","",ROUND(AT235*(1-Справочники!$B$15),0))</f>
        <v/>
      </c>
      <c r="AW235" s="90" t="str">
        <f aca="false">IF(AT235="","",ROUND(AT235*(1-Справочники!$B$16),0))</f>
        <v/>
      </c>
      <c r="AX235" s="90" t="str">
        <f aca="false">IF(AT235="","",ROUND(AT235*(1-Справочники!$B$17),0))</f>
        <v/>
      </c>
      <c r="AY235" s="90" t="str">
        <f aca="false">IF(AT235="","",ROUND(AT235*(1-Справочники!$B$18),0))</f>
        <v/>
      </c>
      <c r="AZ235" s="90" t="str">
        <f aca="false">IF(AT235="","",ROUND(AT235*(1-Справочники!$B$19),0))</f>
        <v/>
      </c>
      <c r="BA235" s="81"/>
      <c r="BB235" s="81"/>
      <c r="BC235" s="81"/>
      <c r="BD235" s="81"/>
      <c r="BE235" s="91"/>
      <c r="BF235" s="81" t="s">
        <v>103</v>
      </c>
      <c r="BG235" s="89" t="n">
        <f aca="false" t="array" ref="BG235:BG235">IF(BF235="","",IFERROR(INDEX(Справочники!$B$4:$B$7,MATCH(BF235,Справочники!$A$4:$A$7,0)),""))</f>
        <v>68.5</v>
      </c>
      <c r="BH235" s="90" t="str">
        <f aca="false">IF(N(BN235)&gt;0,ROUND(SUMIF(ЗАКАЗЫ!$F$3:$F$500,$A235,ЗАКАЗЫ!$Y$3:$Y$500)/BN235,0),IF(OR(BE235="",BG235=""),"",ROUND(BE235*BG235*(1+Справочники!$B$10),0)))</f>
        <v/>
      </c>
      <c r="BI235" s="92" t="str">
        <f aca="false">IF(OR(AU235="",BH235="",AU235=0),"",(AU235-BH235)/AU235)</f>
        <v/>
      </c>
      <c r="BJ235" s="81"/>
      <c r="BK235" s="83"/>
      <c r="BL235" s="43" t="str">
        <f aca="false">IFERROR(INDEX(ЗАКАЗЫ!$N$3:$N$500,MATCH($A235,ЗАКАЗЫ!$F$3:$F$500,0)),"")</f>
        <v/>
      </c>
      <c r="BM235" s="8" t="str">
        <f aca="false">IF(BL235="","",IFERROR(VLOOKUP(BL235,'ТН ВЭД'!$A$4:$C$40,3,0),""))</f>
        <v/>
      </c>
      <c r="BN235" s="7" t="str">
        <f aca="false">IF(COUNTIF(ЗАКАЗЫ!$F$3:$F$500,$A235)=0,"",SUMIF(ЗАКАЗЫ!$F$3:$F$500,$A235,ЗАКАЗЫ!$J$3:$J$500))</f>
        <v/>
      </c>
      <c r="BO235" s="7" t="str">
        <f aca="false">IF(BN235="","",SUMIF(ЗАКАЗЫ!$F$3:$F$500,$A235,ЗАКАЗЫ!$AL$3:$AL$500))</f>
        <v/>
      </c>
      <c r="BP235" s="7" t="str">
        <f aca="false">IF(BN235="","",BN235-BO235)</f>
        <v/>
      </c>
      <c r="BQ235" s="55" t="str">
        <f aca="false">IF(BN235="","",IF(BO235&gt;=BN235,"На складе",IF(BO235&gt;0,"Частично","Ждём")))</f>
        <v/>
      </c>
      <c r="BR235" s="43"/>
      <c r="BS235" s="47" t="str">
        <f aca="false">IF(BN235="","",IF(_xlfn.MAXIFS(ЗАКАЗЫ!$AK$3:$AK$500,ЗАКАЗЫ!$F$3:$F$500,$A235)=0,"",_xlfn.MAXIFS(ЗАКАЗЫ!$AK$3:$AK$500,ЗАКАЗЫ!$F$3:$F$500,$A235)))</f>
        <v/>
      </c>
    </row>
    <row r="236" customFormat="false" ht="15.75" hidden="false" customHeight="true" outlineLevel="0" collapsed="false">
      <c r="A236" s="80" t="s">
        <v>1068</v>
      </c>
      <c r="B236" s="81"/>
      <c r="C236" s="81"/>
      <c r="D236" s="81"/>
      <c r="E236" s="83"/>
      <c r="F236" s="81"/>
      <c r="G236" s="83"/>
      <c r="H236" s="83"/>
      <c r="I236" s="84" t="str">
        <f aca="false">IF(E236="","",A236&amp;"_1.jpg")</f>
        <v/>
      </c>
      <c r="J236" s="84" t="str">
        <f aca="false">IF(E236="","",A236&amp;"_2.jpg; "&amp;A236&amp;"_3.jpg")</f>
        <v/>
      </c>
      <c r="K236" s="84" t="str">
        <f aca="false">IF(E236="","",A236&amp;"_schema.jpg")</f>
        <v/>
      </c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 t="s">
        <v>96</v>
      </c>
      <c r="W236" s="81"/>
      <c r="X236" s="81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6" t="str">
        <f aca="false">IF(SUM(Y236:AJ236)=0,"",SUM(Y236:AJ236))</f>
        <v/>
      </c>
      <c r="AL236" s="84" t="str">
        <f aca="false">MID(IF(N(Y236)&gt;0,", "&amp;Y$2,"")&amp;IF(N(Z236)&gt;0,", "&amp;Z$2,"")&amp;IF(N(AA236)&gt;0,", "&amp;AA$2,"")&amp;IF(N(AB236)&gt;0,", "&amp;AB$2,"")&amp;IF(N(AC236)&gt;0,", "&amp;AC$2,"")&amp;IF(N(AD236)&gt;0,", "&amp;AD$2,"")&amp;IF(N(AE236)&gt;0,", "&amp;AE$2,"")&amp;IF(N(AF236)&gt;0,", "&amp;AF$2,"")&amp;IF(N(AG236)&gt;0,", "&amp;AG$2,"")&amp;IF(N(AH236)&gt;0,", "&amp;AH$2,"")&amp;IF(N(AI236)&gt;0,", "&amp;AI$2,"")&amp;IF(N(AJ236)&gt;0,", "&amp;AJ$2,""),3,999)</f>
        <v/>
      </c>
      <c r="AM236" s="87" t="str">
        <f aca="false">IF(E236="","",MID(IF(N(Y236)&gt;0,", "&amp;A236&amp;"-"&amp;Y$2,"")&amp;IF(N(Z236)&gt;0,", "&amp;A236&amp;"-"&amp;Z$2,"")&amp;IF(N(AA236)&gt;0,", "&amp;A236&amp;"-"&amp;AA$2,"")&amp;IF(N(AB236)&gt;0,", "&amp;A236&amp;"-"&amp;AB$2,"")&amp;IF(N(AC236)&gt;0,", "&amp;A236&amp;"-"&amp;AC$2,"")&amp;IF(N(AD236)&gt;0,", "&amp;A236&amp;"-"&amp;AD$2,"")&amp;IF(N(AE236)&gt;0,", "&amp;A236&amp;"-"&amp;AE$2,"")&amp;IF(N(AF236)&gt;0,", "&amp;A236&amp;"-"&amp;AF$2,"")&amp;IF(N(AG236)&gt;0,", "&amp;A236&amp;"-"&amp;AG$2,"")&amp;IF(N(AH236)&gt;0,", "&amp;A236&amp;"-"&amp;AH$2,"")&amp;IF(N(AI236)&gt;0,", "&amp;A236&amp;"-"&amp;AI$2,"")&amp;IF(N(AJ236)&gt;0,", "&amp;A236&amp;"-"&amp;AJ$2,""),3,999))</f>
        <v/>
      </c>
      <c r="AN236" s="81"/>
      <c r="AO236" s="88"/>
      <c r="AP236" s="89" t="str">
        <f aca="false">IF(AO236="","",ROUND(AO236/(1+Справочники!$B$13),2))</f>
        <v/>
      </c>
      <c r="AQ236" s="90" t="str">
        <f aca="false" t="array" ref="AQ236:AQ236">IF(AP236="","",AP236*INDEX(Справочники!$B$4:$B$7,MATCH("RUB",Справочники!$A$4:$A$7,0)))</f>
        <v/>
      </c>
      <c r="AR236" s="90" t="str">
        <f aca="false">IF(AQ236="","",ROUND(AQ236*(1+Справочники!$B$12),0))</f>
        <v/>
      </c>
      <c r="AS236" s="90" t="str">
        <f aca="false">IF(AR236="","",ROUND(AR236*(1-Справочники!$B$11),0))</f>
        <v/>
      </c>
      <c r="AT236" s="88"/>
      <c r="AU236" s="90" t="str">
        <f aca="false">IF(AT236="","",ROUND(AT236/(1+Справочники!$B$12),0))</f>
        <v/>
      </c>
      <c r="AV236" s="90" t="str">
        <f aca="false">IF(AT236="","",ROUND(AT236*(1-Справочники!$B$15),0))</f>
        <v/>
      </c>
      <c r="AW236" s="90" t="str">
        <f aca="false">IF(AT236="","",ROUND(AT236*(1-Справочники!$B$16),0))</f>
        <v/>
      </c>
      <c r="AX236" s="90" t="str">
        <f aca="false">IF(AT236="","",ROUND(AT236*(1-Справочники!$B$17),0))</f>
        <v/>
      </c>
      <c r="AY236" s="90" t="str">
        <f aca="false">IF(AT236="","",ROUND(AT236*(1-Справочники!$B$18),0))</f>
        <v/>
      </c>
      <c r="AZ236" s="90" t="str">
        <f aca="false">IF(AT236="","",ROUND(AT236*(1-Справочники!$B$19),0))</f>
        <v/>
      </c>
      <c r="BA236" s="81"/>
      <c r="BB236" s="81"/>
      <c r="BC236" s="81"/>
      <c r="BD236" s="81"/>
      <c r="BE236" s="91"/>
      <c r="BF236" s="81" t="s">
        <v>103</v>
      </c>
      <c r="BG236" s="89" t="n">
        <f aca="false" t="array" ref="BG236:BG236">IF(BF236="","",IFERROR(INDEX(Справочники!$B$4:$B$7,MATCH(BF236,Справочники!$A$4:$A$7,0)),""))</f>
        <v>68.5</v>
      </c>
      <c r="BH236" s="90" t="str">
        <f aca="false">IF(N(BN236)&gt;0,ROUND(SUMIF(ЗАКАЗЫ!$F$3:$F$500,$A236,ЗАКАЗЫ!$Y$3:$Y$500)/BN236,0),IF(OR(BE236="",BG236=""),"",ROUND(BE236*BG236*(1+Справочники!$B$10),0)))</f>
        <v/>
      </c>
      <c r="BI236" s="92" t="str">
        <f aca="false">IF(OR(AU236="",BH236="",AU236=0),"",(AU236-BH236)/AU236)</f>
        <v/>
      </c>
      <c r="BJ236" s="81"/>
      <c r="BK236" s="83"/>
      <c r="BL236" s="43" t="str">
        <f aca="false">IFERROR(INDEX(ЗАКАЗЫ!$N$3:$N$500,MATCH($A236,ЗАКАЗЫ!$F$3:$F$500,0)),"")</f>
        <v/>
      </c>
      <c r="BM236" s="8" t="str">
        <f aca="false">IF(BL236="","",IFERROR(VLOOKUP(BL236,'ТН ВЭД'!$A$4:$C$40,3,0),""))</f>
        <v/>
      </c>
      <c r="BN236" s="7" t="str">
        <f aca="false">IF(COUNTIF(ЗАКАЗЫ!$F$3:$F$500,$A236)=0,"",SUMIF(ЗАКАЗЫ!$F$3:$F$500,$A236,ЗАКАЗЫ!$J$3:$J$500))</f>
        <v/>
      </c>
      <c r="BO236" s="7" t="str">
        <f aca="false">IF(BN236="","",SUMIF(ЗАКАЗЫ!$F$3:$F$500,$A236,ЗАКАЗЫ!$AL$3:$AL$500))</f>
        <v/>
      </c>
      <c r="BP236" s="7" t="str">
        <f aca="false">IF(BN236="","",BN236-BO236)</f>
        <v/>
      </c>
      <c r="BQ236" s="55" t="str">
        <f aca="false">IF(BN236="","",IF(BO236&gt;=BN236,"На складе",IF(BO236&gt;0,"Частично","Ждём")))</f>
        <v/>
      </c>
      <c r="BR236" s="43"/>
      <c r="BS236" s="47" t="str">
        <f aca="false">IF(BN236="","",IF(_xlfn.MAXIFS(ЗАКАЗЫ!$AK$3:$AK$500,ЗАКАЗЫ!$F$3:$F$500,$A236)=0,"",_xlfn.MAXIFS(ЗАКАЗЫ!$AK$3:$AK$500,ЗАКАЗЫ!$F$3:$F$500,$A236)))</f>
        <v/>
      </c>
    </row>
    <row r="237" customFormat="false" ht="15.75" hidden="false" customHeight="true" outlineLevel="0" collapsed="false">
      <c r="A237" s="80" t="s">
        <v>1069</v>
      </c>
      <c r="B237" s="81"/>
      <c r="C237" s="81"/>
      <c r="D237" s="81"/>
      <c r="E237" s="83"/>
      <c r="F237" s="81"/>
      <c r="G237" s="83"/>
      <c r="H237" s="83"/>
      <c r="I237" s="84" t="str">
        <f aca="false">IF(E237="","",A237&amp;"_1.jpg")</f>
        <v/>
      </c>
      <c r="J237" s="84" t="str">
        <f aca="false">IF(E237="","",A237&amp;"_2.jpg; "&amp;A237&amp;"_3.jpg")</f>
        <v/>
      </c>
      <c r="K237" s="84" t="str">
        <f aca="false">IF(E237="","",A237&amp;"_schema.jpg")</f>
        <v/>
      </c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 t="s">
        <v>96</v>
      </c>
      <c r="W237" s="81"/>
      <c r="X237" s="81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6" t="str">
        <f aca="false">IF(SUM(Y237:AJ237)=0,"",SUM(Y237:AJ237))</f>
        <v/>
      </c>
      <c r="AL237" s="84" t="str">
        <f aca="false">MID(IF(N(Y237)&gt;0,", "&amp;Y$2,"")&amp;IF(N(Z237)&gt;0,", "&amp;Z$2,"")&amp;IF(N(AA237)&gt;0,", "&amp;AA$2,"")&amp;IF(N(AB237)&gt;0,", "&amp;AB$2,"")&amp;IF(N(AC237)&gt;0,", "&amp;AC$2,"")&amp;IF(N(AD237)&gt;0,", "&amp;AD$2,"")&amp;IF(N(AE237)&gt;0,", "&amp;AE$2,"")&amp;IF(N(AF237)&gt;0,", "&amp;AF$2,"")&amp;IF(N(AG237)&gt;0,", "&amp;AG$2,"")&amp;IF(N(AH237)&gt;0,", "&amp;AH$2,"")&amp;IF(N(AI237)&gt;0,", "&amp;AI$2,"")&amp;IF(N(AJ237)&gt;0,", "&amp;AJ$2,""),3,999)</f>
        <v/>
      </c>
      <c r="AM237" s="87" t="str">
        <f aca="false">IF(E237="","",MID(IF(N(Y237)&gt;0,", "&amp;A237&amp;"-"&amp;Y$2,"")&amp;IF(N(Z237)&gt;0,", "&amp;A237&amp;"-"&amp;Z$2,"")&amp;IF(N(AA237)&gt;0,", "&amp;A237&amp;"-"&amp;AA$2,"")&amp;IF(N(AB237)&gt;0,", "&amp;A237&amp;"-"&amp;AB$2,"")&amp;IF(N(AC237)&gt;0,", "&amp;A237&amp;"-"&amp;AC$2,"")&amp;IF(N(AD237)&gt;0,", "&amp;A237&amp;"-"&amp;AD$2,"")&amp;IF(N(AE237)&gt;0,", "&amp;A237&amp;"-"&amp;AE$2,"")&amp;IF(N(AF237)&gt;0,", "&amp;A237&amp;"-"&amp;AF$2,"")&amp;IF(N(AG237)&gt;0,", "&amp;A237&amp;"-"&amp;AG$2,"")&amp;IF(N(AH237)&gt;0,", "&amp;A237&amp;"-"&amp;AH$2,"")&amp;IF(N(AI237)&gt;0,", "&amp;A237&amp;"-"&amp;AI$2,"")&amp;IF(N(AJ237)&gt;0,", "&amp;A237&amp;"-"&amp;AJ$2,""),3,999))</f>
        <v/>
      </c>
      <c r="AN237" s="81"/>
      <c r="AO237" s="88"/>
      <c r="AP237" s="89" t="str">
        <f aca="false">IF(AO237="","",ROUND(AO237/(1+Справочники!$B$13),2))</f>
        <v/>
      </c>
      <c r="AQ237" s="90" t="str">
        <f aca="false" t="array" ref="AQ237:AQ237">IF(AP237="","",AP237*INDEX(Справочники!$B$4:$B$7,MATCH("RUB",Справочники!$A$4:$A$7,0)))</f>
        <v/>
      </c>
      <c r="AR237" s="90" t="str">
        <f aca="false">IF(AQ237="","",ROUND(AQ237*(1+Справочники!$B$12),0))</f>
        <v/>
      </c>
      <c r="AS237" s="90" t="str">
        <f aca="false">IF(AR237="","",ROUND(AR237*(1-Справочники!$B$11),0))</f>
        <v/>
      </c>
      <c r="AT237" s="88"/>
      <c r="AU237" s="90" t="str">
        <f aca="false">IF(AT237="","",ROUND(AT237/(1+Справочники!$B$12),0))</f>
        <v/>
      </c>
      <c r="AV237" s="90" t="str">
        <f aca="false">IF(AT237="","",ROUND(AT237*(1-Справочники!$B$15),0))</f>
        <v/>
      </c>
      <c r="AW237" s="90" t="str">
        <f aca="false">IF(AT237="","",ROUND(AT237*(1-Справочники!$B$16),0))</f>
        <v/>
      </c>
      <c r="AX237" s="90" t="str">
        <f aca="false">IF(AT237="","",ROUND(AT237*(1-Справочники!$B$17),0))</f>
        <v/>
      </c>
      <c r="AY237" s="90" t="str">
        <f aca="false">IF(AT237="","",ROUND(AT237*(1-Справочники!$B$18),0))</f>
        <v/>
      </c>
      <c r="AZ237" s="90" t="str">
        <f aca="false">IF(AT237="","",ROUND(AT237*(1-Справочники!$B$19),0))</f>
        <v/>
      </c>
      <c r="BA237" s="81"/>
      <c r="BB237" s="81"/>
      <c r="BC237" s="81"/>
      <c r="BD237" s="81"/>
      <c r="BE237" s="91"/>
      <c r="BF237" s="81" t="s">
        <v>103</v>
      </c>
      <c r="BG237" s="89" t="n">
        <f aca="false" t="array" ref="BG237:BG237">IF(BF237="","",IFERROR(INDEX(Справочники!$B$4:$B$7,MATCH(BF237,Справочники!$A$4:$A$7,0)),""))</f>
        <v>68.5</v>
      </c>
      <c r="BH237" s="90" t="str">
        <f aca="false">IF(N(BN237)&gt;0,ROUND(SUMIF(ЗАКАЗЫ!$F$3:$F$500,$A237,ЗАКАЗЫ!$Y$3:$Y$500)/BN237,0),IF(OR(BE237="",BG237=""),"",ROUND(BE237*BG237*(1+Справочники!$B$10),0)))</f>
        <v/>
      </c>
      <c r="BI237" s="92" t="str">
        <f aca="false">IF(OR(AU237="",BH237="",AU237=0),"",(AU237-BH237)/AU237)</f>
        <v/>
      </c>
      <c r="BJ237" s="81"/>
      <c r="BK237" s="83"/>
      <c r="BL237" s="43" t="str">
        <f aca="false">IFERROR(INDEX(ЗАКАЗЫ!$N$3:$N$500,MATCH($A237,ЗАКАЗЫ!$F$3:$F$500,0)),"")</f>
        <v/>
      </c>
      <c r="BM237" s="8" t="str">
        <f aca="false">IF(BL237="","",IFERROR(VLOOKUP(BL237,'ТН ВЭД'!$A$4:$C$40,3,0),""))</f>
        <v/>
      </c>
      <c r="BN237" s="7" t="str">
        <f aca="false">IF(COUNTIF(ЗАКАЗЫ!$F$3:$F$500,$A237)=0,"",SUMIF(ЗАКАЗЫ!$F$3:$F$500,$A237,ЗАКАЗЫ!$J$3:$J$500))</f>
        <v/>
      </c>
      <c r="BO237" s="7" t="str">
        <f aca="false">IF(BN237="","",SUMIF(ЗАКАЗЫ!$F$3:$F$500,$A237,ЗАКАЗЫ!$AL$3:$AL$500))</f>
        <v/>
      </c>
      <c r="BP237" s="7" t="str">
        <f aca="false">IF(BN237="","",BN237-BO237)</f>
        <v/>
      </c>
      <c r="BQ237" s="55" t="str">
        <f aca="false">IF(BN237="","",IF(BO237&gt;=BN237,"На складе",IF(BO237&gt;0,"Частично","Ждём")))</f>
        <v/>
      </c>
      <c r="BR237" s="43"/>
      <c r="BS237" s="47" t="str">
        <f aca="false">IF(BN237="","",IF(_xlfn.MAXIFS(ЗАКАЗЫ!$AK$3:$AK$500,ЗАКАЗЫ!$F$3:$F$500,$A237)=0,"",_xlfn.MAXIFS(ЗАКАЗЫ!$AK$3:$AK$500,ЗАКАЗЫ!$F$3:$F$500,$A237)))</f>
        <v/>
      </c>
    </row>
    <row r="238" customFormat="false" ht="15.75" hidden="false" customHeight="true" outlineLevel="0" collapsed="false">
      <c r="A238" s="80" t="s">
        <v>1070</v>
      </c>
      <c r="B238" s="81"/>
      <c r="C238" s="81"/>
      <c r="D238" s="81"/>
      <c r="E238" s="83"/>
      <c r="F238" s="81"/>
      <c r="G238" s="83"/>
      <c r="H238" s="83"/>
      <c r="I238" s="84" t="str">
        <f aca="false">IF(E238="","",A238&amp;"_1.jpg")</f>
        <v/>
      </c>
      <c r="J238" s="84" t="str">
        <f aca="false">IF(E238="","",A238&amp;"_2.jpg; "&amp;A238&amp;"_3.jpg")</f>
        <v/>
      </c>
      <c r="K238" s="84" t="str">
        <f aca="false">IF(E238="","",A238&amp;"_schema.jpg")</f>
        <v/>
      </c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 t="s">
        <v>96</v>
      </c>
      <c r="W238" s="81"/>
      <c r="X238" s="81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6" t="str">
        <f aca="false">IF(SUM(Y238:AJ238)=0,"",SUM(Y238:AJ238))</f>
        <v/>
      </c>
      <c r="AL238" s="84" t="str">
        <f aca="false">MID(IF(N(Y238)&gt;0,", "&amp;Y$2,"")&amp;IF(N(Z238)&gt;0,", "&amp;Z$2,"")&amp;IF(N(AA238)&gt;0,", "&amp;AA$2,"")&amp;IF(N(AB238)&gt;0,", "&amp;AB$2,"")&amp;IF(N(AC238)&gt;0,", "&amp;AC$2,"")&amp;IF(N(AD238)&gt;0,", "&amp;AD$2,"")&amp;IF(N(AE238)&gt;0,", "&amp;AE$2,"")&amp;IF(N(AF238)&gt;0,", "&amp;AF$2,"")&amp;IF(N(AG238)&gt;0,", "&amp;AG$2,"")&amp;IF(N(AH238)&gt;0,", "&amp;AH$2,"")&amp;IF(N(AI238)&gt;0,", "&amp;AI$2,"")&amp;IF(N(AJ238)&gt;0,", "&amp;AJ$2,""),3,999)</f>
        <v/>
      </c>
      <c r="AM238" s="87" t="str">
        <f aca="false">IF(E238="","",MID(IF(N(Y238)&gt;0,", "&amp;A238&amp;"-"&amp;Y$2,"")&amp;IF(N(Z238)&gt;0,", "&amp;A238&amp;"-"&amp;Z$2,"")&amp;IF(N(AA238)&gt;0,", "&amp;A238&amp;"-"&amp;AA$2,"")&amp;IF(N(AB238)&gt;0,", "&amp;A238&amp;"-"&amp;AB$2,"")&amp;IF(N(AC238)&gt;0,", "&amp;A238&amp;"-"&amp;AC$2,"")&amp;IF(N(AD238)&gt;0,", "&amp;A238&amp;"-"&amp;AD$2,"")&amp;IF(N(AE238)&gt;0,", "&amp;A238&amp;"-"&amp;AE$2,"")&amp;IF(N(AF238)&gt;0,", "&amp;A238&amp;"-"&amp;AF$2,"")&amp;IF(N(AG238)&gt;0,", "&amp;A238&amp;"-"&amp;AG$2,"")&amp;IF(N(AH238)&gt;0,", "&amp;A238&amp;"-"&amp;AH$2,"")&amp;IF(N(AI238)&gt;0,", "&amp;A238&amp;"-"&amp;AI$2,"")&amp;IF(N(AJ238)&gt;0,", "&amp;A238&amp;"-"&amp;AJ$2,""),3,999))</f>
        <v/>
      </c>
      <c r="AN238" s="81"/>
      <c r="AO238" s="88"/>
      <c r="AP238" s="89" t="str">
        <f aca="false">IF(AO238="","",ROUND(AO238/(1+Справочники!$B$13),2))</f>
        <v/>
      </c>
      <c r="AQ238" s="90" t="str">
        <f aca="false" t="array" ref="AQ238:AQ238">IF(AP238="","",AP238*INDEX(Справочники!$B$4:$B$7,MATCH("RUB",Справочники!$A$4:$A$7,0)))</f>
        <v/>
      </c>
      <c r="AR238" s="90" t="str">
        <f aca="false">IF(AQ238="","",ROUND(AQ238*(1+Справочники!$B$12),0))</f>
        <v/>
      </c>
      <c r="AS238" s="90" t="str">
        <f aca="false">IF(AR238="","",ROUND(AR238*(1-Справочники!$B$11),0))</f>
        <v/>
      </c>
      <c r="AT238" s="88"/>
      <c r="AU238" s="90" t="str">
        <f aca="false">IF(AT238="","",ROUND(AT238/(1+Справочники!$B$12),0))</f>
        <v/>
      </c>
      <c r="AV238" s="90" t="str">
        <f aca="false">IF(AT238="","",ROUND(AT238*(1-Справочники!$B$15),0))</f>
        <v/>
      </c>
      <c r="AW238" s="90" t="str">
        <f aca="false">IF(AT238="","",ROUND(AT238*(1-Справочники!$B$16),0))</f>
        <v/>
      </c>
      <c r="AX238" s="90" t="str">
        <f aca="false">IF(AT238="","",ROUND(AT238*(1-Справочники!$B$17),0))</f>
        <v/>
      </c>
      <c r="AY238" s="90" t="str">
        <f aca="false">IF(AT238="","",ROUND(AT238*(1-Справочники!$B$18),0))</f>
        <v/>
      </c>
      <c r="AZ238" s="90" t="str">
        <f aca="false">IF(AT238="","",ROUND(AT238*(1-Справочники!$B$19),0))</f>
        <v/>
      </c>
      <c r="BA238" s="81"/>
      <c r="BB238" s="81"/>
      <c r="BC238" s="81"/>
      <c r="BD238" s="81"/>
      <c r="BE238" s="91"/>
      <c r="BF238" s="81" t="s">
        <v>103</v>
      </c>
      <c r="BG238" s="89" t="n">
        <f aca="false" t="array" ref="BG238:BG238">IF(BF238="","",IFERROR(INDEX(Справочники!$B$4:$B$7,MATCH(BF238,Справочники!$A$4:$A$7,0)),""))</f>
        <v>68.5</v>
      </c>
      <c r="BH238" s="90" t="str">
        <f aca="false">IF(N(BN238)&gt;0,ROUND(SUMIF(ЗАКАЗЫ!$F$3:$F$500,$A238,ЗАКАЗЫ!$Y$3:$Y$500)/BN238,0),IF(OR(BE238="",BG238=""),"",ROUND(BE238*BG238*(1+Справочники!$B$10),0)))</f>
        <v/>
      </c>
      <c r="BI238" s="92" t="str">
        <f aca="false">IF(OR(AU238="",BH238="",AU238=0),"",(AU238-BH238)/AU238)</f>
        <v/>
      </c>
      <c r="BJ238" s="81"/>
      <c r="BK238" s="83"/>
      <c r="BL238" s="43" t="str">
        <f aca="false">IFERROR(INDEX(ЗАКАЗЫ!$N$3:$N$500,MATCH($A238,ЗАКАЗЫ!$F$3:$F$500,0)),"")</f>
        <v/>
      </c>
      <c r="BM238" s="8" t="str">
        <f aca="false">IF(BL238="","",IFERROR(VLOOKUP(BL238,'ТН ВЭД'!$A$4:$C$40,3,0),""))</f>
        <v/>
      </c>
      <c r="BN238" s="7" t="str">
        <f aca="false">IF(COUNTIF(ЗАКАЗЫ!$F$3:$F$500,$A238)=0,"",SUMIF(ЗАКАЗЫ!$F$3:$F$500,$A238,ЗАКАЗЫ!$J$3:$J$500))</f>
        <v/>
      </c>
      <c r="BO238" s="7" t="str">
        <f aca="false">IF(BN238="","",SUMIF(ЗАКАЗЫ!$F$3:$F$500,$A238,ЗАКАЗЫ!$AL$3:$AL$500))</f>
        <v/>
      </c>
      <c r="BP238" s="7" t="str">
        <f aca="false">IF(BN238="","",BN238-BO238)</f>
        <v/>
      </c>
      <c r="BQ238" s="55" t="str">
        <f aca="false">IF(BN238="","",IF(BO238&gt;=BN238,"На складе",IF(BO238&gt;0,"Частично","Ждём")))</f>
        <v/>
      </c>
      <c r="BR238" s="43"/>
      <c r="BS238" s="47" t="str">
        <f aca="false">IF(BN238="","",IF(_xlfn.MAXIFS(ЗАКАЗЫ!$AK$3:$AK$500,ЗАКАЗЫ!$F$3:$F$500,$A238)=0,"",_xlfn.MAXIFS(ЗАКАЗЫ!$AK$3:$AK$500,ЗАКАЗЫ!$F$3:$F$500,$A238)))</f>
        <v/>
      </c>
    </row>
    <row r="239" customFormat="false" ht="15.75" hidden="false" customHeight="true" outlineLevel="0" collapsed="false">
      <c r="A239" s="80" t="s">
        <v>1071</v>
      </c>
      <c r="B239" s="81"/>
      <c r="C239" s="81"/>
      <c r="D239" s="81"/>
      <c r="E239" s="83"/>
      <c r="F239" s="81"/>
      <c r="G239" s="83"/>
      <c r="H239" s="83"/>
      <c r="I239" s="84" t="str">
        <f aca="false">IF(E239="","",A239&amp;"_1.jpg")</f>
        <v/>
      </c>
      <c r="J239" s="84" t="str">
        <f aca="false">IF(E239="","",A239&amp;"_2.jpg; "&amp;A239&amp;"_3.jpg")</f>
        <v/>
      </c>
      <c r="K239" s="84" t="str">
        <f aca="false">IF(E239="","",A239&amp;"_schema.jpg")</f>
        <v/>
      </c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 t="s">
        <v>96</v>
      </c>
      <c r="W239" s="81"/>
      <c r="X239" s="81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6" t="str">
        <f aca="false">IF(SUM(Y239:AJ239)=0,"",SUM(Y239:AJ239))</f>
        <v/>
      </c>
      <c r="AL239" s="84" t="str">
        <f aca="false">MID(IF(N(Y239)&gt;0,", "&amp;Y$2,"")&amp;IF(N(Z239)&gt;0,", "&amp;Z$2,"")&amp;IF(N(AA239)&gt;0,", "&amp;AA$2,"")&amp;IF(N(AB239)&gt;0,", "&amp;AB$2,"")&amp;IF(N(AC239)&gt;0,", "&amp;AC$2,"")&amp;IF(N(AD239)&gt;0,", "&amp;AD$2,"")&amp;IF(N(AE239)&gt;0,", "&amp;AE$2,"")&amp;IF(N(AF239)&gt;0,", "&amp;AF$2,"")&amp;IF(N(AG239)&gt;0,", "&amp;AG$2,"")&amp;IF(N(AH239)&gt;0,", "&amp;AH$2,"")&amp;IF(N(AI239)&gt;0,", "&amp;AI$2,"")&amp;IF(N(AJ239)&gt;0,", "&amp;AJ$2,""),3,999)</f>
        <v/>
      </c>
      <c r="AM239" s="87" t="str">
        <f aca="false">IF(E239="","",MID(IF(N(Y239)&gt;0,", "&amp;A239&amp;"-"&amp;Y$2,"")&amp;IF(N(Z239)&gt;0,", "&amp;A239&amp;"-"&amp;Z$2,"")&amp;IF(N(AA239)&gt;0,", "&amp;A239&amp;"-"&amp;AA$2,"")&amp;IF(N(AB239)&gt;0,", "&amp;A239&amp;"-"&amp;AB$2,"")&amp;IF(N(AC239)&gt;0,", "&amp;A239&amp;"-"&amp;AC$2,"")&amp;IF(N(AD239)&gt;0,", "&amp;A239&amp;"-"&amp;AD$2,"")&amp;IF(N(AE239)&gt;0,", "&amp;A239&amp;"-"&amp;AE$2,"")&amp;IF(N(AF239)&gt;0,", "&amp;A239&amp;"-"&amp;AF$2,"")&amp;IF(N(AG239)&gt;0,", "&amp;A239&amp;"-"&amp;AG$2,"")&amp;IF(N(AH239)&gt;0,", "&amp;A239&amp;"-"&amp;AH$2,"")&amp;IF(N(AI239)&gt;0,", "&amp;A239&amp;"-"&amp;AI$2,"")&amp;IF(N(AJ239)&gt;0,", "&amp;A239&amp;"-"&amp;AJ$2,""),3,999))</f>
        <v/>
      </c>
      <c r="AN239" s="81"/>
      <c r="AO239" s="88"/>
      <c r="AP239" s="89" t="str">
        <f aca="false">IF(AO239="","",ROUND(AO239/(1+Справочники!$B$13),2))</f>
        <v/>
      </c>
      <c r="AQ239" s="90" t="str">
        <f aca="false" t="array" ref="AQ239:AQ239">IF(AP239="","",AP239*INDEX(Справочники!$B$4:$B$7,MATCH("RUB",Справочники!$A$4:$A$7,0)))</f>
        <v/>
      </c>
      <c r="AR239" s="90" t="str">
        <f aca="false">IF(AQ239="","",ROUND(AQ239*(1+Справочники!$B$12),0))</f>
        <v/>
      </c>
      <c r="AS239" s="90" t="str">
        <f aca="false">IF(AR239="","",ROUND(AR239*(1-Справочники!$B$11),0))</f>
        <v/>
      </c>
      <c r="AT239" s="88"/>
      <c r="AU239" s="90" t="str">
        <f aca="false">IF(AT239="","",ROUND(AT239/(1+Справочники!$B$12),0))</f>
        <v/>
      </c>
      <c r="AV239" s="90" t="str">
        <f aca="false">IF(AT239="","",ROUND(AT239*(1-Справочники!$B$15),0))</f>
        <v/>
      </c>
      <c r="AW239" s="90" t="str">
        <f aca="false">IF(AT239="","",ROUND(AT239*(1-Справочники!$B$16),0))</f>
        <v/>
      </c>
      <c r="AX239" s="90" t="str">
        <f aca="false">IF(AT239="","",ROUND(AT239*(1-Справочники!$B$17),0))</f>
        <v/>
      </c>
      <c r="AY239" s="90" t="str">
        <f aca="false">IF(AT239="","",ROUND(AT239*(1-Справочники!$B$18),0))</f>
        <v/>
      </c>
      <c r="AZ239" s="90" t="str">
        <f aca="false">IF(AT239="","",ROUND(AT239*(1-Справочники!$B$19),0))</f>
        <v/>
      </c>
      <c r="BA239" s="81"/>
      <c r="BB239" s="81"/>
      <c r="BC239" s="81"/>
      <c r="BD239" s="81"/>
      <c r="BE239" s="91"/>
      <c r="BF239" s="81" t="s">
        <v>103</v>
      </c>
      <c r="BG239" s="89" t="n">
        <f aca="false" t="array" ref="BG239:BG239">IF(BF239="","",IFERROR(INDEX(Справочники!$B$4:$B$7,MATCH(BF239,Справочники!$A$4:$A$7,0)),""))</f>
        <v>68.5</v>
      </c>
      <c r="BH239" s="90" t="str">
        <f aca="false">IF(N(BN239)&gt;0,ROUND(SUMIF(ЗАКАЗЫ!$F$3:$F$500,$A239,ЗАКАЗЫ!$Y$3:$Y$500)/BN239,0),IF(OR(BE239="",BG239=""),"",ROUND(BE239*BG239*(1+Справочники!$B$10),0)))</f>
        <v/>
      </c>
      <c r="BI239" s="92" t="str">
        <f aca="false">IF(OR(AU239="",BH239="",AU239=0),"",(AU239-BH239)/AU239)</f>
        <v/>
      </c>
      <c r="BJ239" s="81"/>
      <c r="BK239" s="83"/>
      <c r="BL239" s="43" t="str">
        <f aca="false">IFERROR(INDEX(ЗАКАЗЫ!$N$3:$N$500,MATCH($A239,ЗАКАЗЫ!$F$3:$F$500,0)),"")</f>
        <v/>
      </c>
      <c r="BM239" s="8" t="str">
        <f aca="false">IF(BL239="","",IFERROR(VLOOKUP(BL239,'ТН ВЭД'!$A$4:$C$40,3,0),""))</f>
        <v/>
      </c>
      <c r="BN239" s="7" t="str">
        <f aca="false">IF(COUNTIF(ЗАКАЗЫ!$F$3:$F$500,$A239)=0,"",SUMIF(ЗАКАЗЫ!$F$3:$F$500,$A239,ЗАКАЗЫ!$J$3:$J$500))</f>
        <v/>
      </c>
      <c r="BO239" s="7" t="str">
        <f aca="false">IF(BN239="","",SUMIF(ЗАКАЗЫ!$F$3:$F$500,$A239,ЗАКАЗЫ!$AL$3:$AL$500))</f>
        <v/>
      </c>
      <c r="BP239" s="7" t="str">
        <f aca="false">IF(BN239="","",BN239-BO239)</f>
        <v/>
      </c>
      <c r="BQ239" s="55" t="str">
        <f aca="false">IF(BN239="","",IF(BO239&gt;=BN239,"На складе",IF(BO239&gt;0,"Частично","Ждём")))</f>
        <v/>
      </c>
      <c r="BR239" s="43"/>
      <c r="BS239" s="47" t="str">
        <f aca="false">IF(BN239="","",IF(_xlfn.MAXIFS(ЗАКАЗЫ!$AK$3:$AK$500,ЗАКАЗЫ!$F$3:$F$500,$A239)=0,"",_xlfn.MAXIFS(ЗАКАЗЫ!$AK$3:$AK$500,ЗАКАЗЫ!$F$3:$F$500,$A239)))</f>
        <v/>
      </c>
    </row>
    <row r="240" customFormat="false" ht="15.75" hidden="false" customHeight="true" outlineLevel="0" collapsed="false">
      <c r="A240" s="80" t="s">
        <v>1072</v>
      </c>
      <c r="B240" s="81"/>
      <c r="C240" s="81"/>
      <c r="D240" s="81"/>
      <c r="E240" s="83"/>
      <c r="F240" s="81"/>
      <c r="G240" s="83"/>
      <c r="H240" s="83"/>
      <c r="I240" s="84" t="str">
        <f aca="false">IF(E240="","",A240&amp;"_1.jpg")</f>
        <v/>
      </c>
      <c r="J240" s="84" t="str">
        <f aca="false">IF(E240="","",A240&amp;"_2.jpg; "&amp;A240&amp;"_3.jpg")</f>
        <v/>
      </c>
      <c r="K240" s="84" t="str">
        <f aca="false">IF(E240="","",A240&amp;"_schema.jpg")</f>
        <v/>
      </c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 t="s">
        <v>96</v>
      </c>
      <c r="W240" s="81"/>
      <c r="X240" s="81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6" t="str">
        <f aca="false">IF(SUM(Y240:AJ240)=0,"",SUM(Y240:AJ240))</f>
        <v/>
      </c>
      <c r="AL240" s="84" t="str">
        <f aca="false">MID(IF(N(Y240)&gt;0,", "&amp;Y$2,"")&amp;IF(N(Z240)&gt;0,", "&amp;Z$2,"")&amp;IF(N(AA240)&gt;0,", "&amp;AA$2,"")&amp;IF(N(AB240)&gt;0,", "&amp;AB$2,"")&amp;IF(N(AC240)&gt;0,", "&amp;AC$2,"")&amp;IF(N(AD240)&gt;0,", "&amp;AD$2,"")&amp;IF(N(AE240)&gt;0,", "&amp;AE$2,"")&amp;IF(N(AF240)&gt;0,", "&amp;AF$2,"")&amp;IF(N(AG240)&gt;0,", "&amp;AG$2,"")&amp;IF(N(AH240)&gt;0,", "&amp;AH$2,"")&amp;IF(N(AI240)&gt;0,", "&amp;AI$2,"")&amp;IF(N(AJ240)&gt;0,", "&amp;AJ$2,""),3,999)</f>
        <v/>
      </c>
      <c r="AM240" s="87" t="str">
        <f aca="false">IF(E240="","",MID(IF(N(Y240)&gt;0,", "&amp;A240&amp;"-"&amp;Y$2,"")&amp;IF(N(Z240)&gt;0,", "&amp;A240&amp;"-"&amp;Z$2,"")&amp;IF(N(AA240)&gt;0,", "&amp;A240&amp;"-"&amp;AA$2,"")&amp;IF(N(AB240)&gt;0,", "&amp;A240&amp;"-"&amp;AB$2,"")&amp;IF(N(AC240)&gt;0,", "&amp;A240&amp;"-"&amp;AC$2,"")&amp;IF(N(AD240)&gt;0,", "&amp;A240&amp;"-"&amp;AD$2,"")&amp;IF(N(AE240)&gt;0,", "&amp;A240&amp;"-"&amp;AE$2,"")&amp;IF(N(AF240)&gt;0,", "&amp;A240&amp;"-"&amp;AF$2,"")&amp;IF(N(AG240)&gt;0,", "&amp;A240&amp;"-"&amp;AG$2,"")&amp;IF(N(AH240)&gt;0,", "&amp;A240&amp;"-"&amp;AH$2,"")&amp;IF(N(AI240)&gt;0,", "&amp;A240&amp;"-"&amp;AI$2,"")&amp;IF(N(AJ240)&gt;0,", "&amp;A240&amp;"-"&amp;AJ$2,""),3,999))</f>
        <v/>
      </c>
      <c r="AN240" s="81"/>
      <c r="AO240" s="88"/>
      <c r="AP240" s="89" t="str">
        <f aca="false">IF(AO240="","",ROUND(AO240/(1+Справочники!$B$13),2))</f>
        <v/>
      </c>
      <c r="AQ240" s="90" t="str">
        <f aca="false" t="array" ref="AQ240:AQ240">IF(AP240="","",AP240*INDEX(Справочники!$B$4:$B$7,MATCH("RUB",Справочники!$A$4:$A$7,0)))</f>
        <v/>
      </c>
      <c r="AR240" s="90" t="str">
        <f aca="false">IF(AQ240="","",ROUND(AQ240*(1+Справочники!$B$12),0))</f>
        <v/>
      </c>
      <c r="AS240" s="90" t="str">
        <f aca="false">IF(AR240="","",ROUND(AR240*(1-Справочники!$B$11),0))</f>
        <v/>
      </c>
      <c r="AT240" s="88"/>
      <c r="AU240" s="90" t="str">
        <f aca="false">IF(AT240="","",ROUND(AT240/(1+Справочники!$B$12),0))</f>
        <v/>
      </c>
      <c r="AV240" s="90" t="str">
        <f aca="false">IF(AT240="","",ROUND(AT240*(1-Справочники!$B$15),0))</f>
        <v/>
      </c>
      <c r="AW240" s="90" t="str">
        <f aca="false">IF(AT240="","",ROUND(AT240*(1-Справочники!$B$16),0))</f>
        <v/>
      </c>
      <c r="AX240" s="90" t="str">
        <f aca="false">IF(AT240="","",ROUND(AT240*(1-Справочники!$B$17),0))</f>
        <v/>
      </c>
      <c r="AY240" s="90" t="str">
        <f aca="false">IF(AT240="","",ROUND(AT240*(1-Справочники!$B$18),0))</f>
        <v/>
      </c>
      <c r="AZ240" s="90" t="str">
        <f aca="false">IF(AT240="","",ROUND(AT240*(1-Справочники!$B$19),0))</f>
        <v/>
      </c>
      <c r="BA240" s="81"/>
      <c r="BB240" s="81"/>
      <c r="BC240" s="81"/>
      <c r="BD240" s="81"/>
      <c r="BE240" s="91"/>
      <c r="BF240" s="81" t="s">
        <v>103</v>
      </c>
      <c r="BG240" s="89" t="n">
        <f aca="false" t="array" ref="BG240:BG240">IF(BF240="","",IFERROR(INDEX(Справочники!$B$4:$B$7,MATCH(BF240,Справочники!$A$4:$A$7,0)),""))</f>
        <v>68.5</v>
      </c>
      <c r="BH240" s="90" t="str">
        <f aca="false">IF(N(BN240)&gt;0,ROUND(SUMIF(ЗАКАЗЫ!$F$3:$F$500,$A240,ЗАКАЗЫ!$Y$3:$Y$500)/BN240,0),IF(OR(BE240="",BG240=""),"",ROUND(BE240*BG240*(1+Справочники!$B$10),0)))</f>
        <v/>
      </c>
      <c r="BI240" s="92" t="str">
        <f aca="false">IF(OR(AU240="",BH240="",AU240=0),"",(AU240-BH240)/AU240)</f>
        <v/>
      </c>
      <c r="BJ240" s="81"/>
      <c r="BK240" s="83"/>
      <c r="BL240" s="43" t="str">
        <f aca="false">IFERROR(INDEX(ЗАКАЗЫ!$N$3:$N$500,MATCH($A240,ЗАКАЗЫ!$F$3:$F$500,0)),"")</f>
        <v/>
      </c>
      <c r="BM240" s="8" t="str">
        <f aca="false">IF(BL240="","",IFERROR(VLOOKUP(BL240,'ТН ВЭД'!$A$4:$C$40,3,0),""))</f>
        <v/>
      </c>
      <c r="BN240" s="7" t="str">
        <f aca="false">IF(COUNTIF(ЗАКАЗЫ!$F$3:$F$500,$A240)=0,"",SUMIF(ЗАКАЗЫ!$F$3:$F$500,$A240,ЗАКАЗЫ!$J$3:$J$500))</f>
        <v/>
      </c>
      <c r="BO240" s="7" t="str">
        <f aca="false">IF(BN240="","",SUMIF(ЗАКАЗЫ!$F$3:$F$500,$A240,ЗАКАЗЫ!$AL$3:$AL$500))</f>
        <v/>
      </c>
      <c r="BP240" s="7" t="str">
        <f aca="false">IF(BN240="","",BN240-BO240)</f>
        <v/>
      </c>
      <c r="BQ240" s="55" t="str">
        <f aca="false">IF(BN240="","",IF(BO240&gt;=BN240,"На складе",IF(BO240&gt;0,"Частично","Ждём")))</f>
        <v/>
      </c>
      <c r="BR240" s="43"/>
      <c r="BS240" s="47" t="str">
        <f aca="false">IF(BN240="","",IF(_xlfn.MAXIFS(ЗАКАЗЫ!$AK$3:$AK$500,ЗАКАЗЫ!$F$3:$F$500,$A240)=0,"",_xlfn.MAXIFS(ЗАКАЗЫ!$AK$3:$AK$500,ЗАКАЗЫ!$F$3:$F$500,$A240)))</f>
        <v/>
      </c>
    </row>
    <row r="241" customFormat="false" ht="15.75" hidden="false" customHeight="true" outlineLevel="0" collapsed="false">
      <c r="A241" s="80" t="s">
        <v>1073</v>
      </c>
      <c r="B241" s="81"/>
      <c r="C241" s="81"/>
      <c r="D241" s="81"/>
      <c r="E241" s="83"/>
      <c r="F241" s="81"/>
      <c r="G241" s="83"/>
      <c r="H241" s="83"/>
      <c r="I241" s="84" t="str">
        <f aca="false">IF(E241="","",A241&amp;"_1.jpg")</f>
        <v/>
      </c>
      <c r="J241" s="84" t="str">
        <f aca="false">IF(E241="","",A241&amp;"_2.jpg; "&amp;A241&amp;"_3.jpg")</f>
        <v/>
      </c>
      <c r="K241" s="84" t="str">
        <f aca="false">IF(E241="","",A241&amp;"_schema.jpg")</f>
        <v/>
      </c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 t="s">
        <v>96</v>
      </c>
      <c r="W241" s="81"/>
      <c r="X241" s="81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6" t="str">
        <f aca="false">IF(SUM(Y241:AJ241)=0,"",SUM(Y241:AJ241))</f>
        <v/>
      </c>
      <c r="AL241" s="84" t="str">
        <f aca="false">MID(IF(N(Y241)&gt;0,", "&amp;Y$2,"")&amp;IF(N(Z241)&gt;0,", "&amp;Z$2,"")&amp;IF(N(AA241)&gt;0,", "&amp;AA$2,"")&amp;IF(N(AB241)&gt;0,", "&amp;AB$2,"")&amp;IF(N(AC241)&gt;0,", "&amp;AC$2,"")&amp;IF(N(AD241)&gt;0,", "&amp;AD$2,"")&amp;IF(N(AE241)&gt;0,", "&amp;AE$2,"")&amp;IF(N(AF241)&gt;0,", "&amp;AF$2,"")&amp;IF(N(AG241)&gt;0,", "&amp;AG$2,"")&amp;IF(N(AH241)&gt;0,", "&amp;AH$2,"")&amp;IF(N(AI241)&gt;0,", "&amp;AI$2,"")&amp;IF(N(AJ241)&gt;0,", "&amp;AJ$2,""),3,999)</f>
        <v/>
      </c>
      <c r="AM241" s="87" t="str">
        <f aca="false">IF(E241="","",MID(IF(N(Y241)&gt;0,", "&amp;A241&amp;"-"&amp;Y$2,"")&amp;IF(N(Z241)&gt;0,", "&amp;A241&amp;"-"&amp;Z$2,"")&amp;IF(N(AA241)&gt;0,", "&amp;A241&amp;"-"&amp;AA$2,"")&amp;IF(N(AB241)&gt;0,", "&amp;A241&amp;"-"&amp;AB$2,"")&amp;IF(N(AC241)&gt;0,", "&amp;A241&amp;"-"&amp;AC$2,"")&amp;IF(N(AD241)&gt;0,", "&amp;A241&amp;"-"&amp;AD$2,"")&amp;IF(N(AE241)&gt;0,", "&amp;A241&amp;"-"&amp;AE$2,"")&amp;IF(N(AF241)&gt;0,", "&amp;A241&amp;"-"&amp;AF$2,"")&amp;IF(N(AG241)&gt;0,", "&amp;A241&amp;"-"&amp;AG$2,"")&amp;IF(N(AH241)&gt;0,", "&amp;A241&amp;"-"&amp;AH$2,"")&amp;IF(N(AI241)&gt;0,", "&amp;A241&amp;"-"&amp;AI$2,"")&amp;IF(N(AJ241)&gt;0,", "&amp;A241&amp;"-"&amp;AJ$2,""),3,999))</f>
        <v/>
      </c>
      <c r="AN241" s="81"/>
      <c r="AO241" s="88"/>
      <c r="AP241" s="89" t="str">
        <f aca="false">IF(AO241="","",ROUND(AO241/(1+Справочники!$B$13),2))</f>
        <v/>
      </c>
      <c r="AQ241" s="90" t="str">
        <f aca="false" t="array" ref="AQ241:AQ241">IF(AP241="","",AP241*INDEX(Справочники!$B$4:$B$7,MATCH("RUB",Справочники!$A$4:$A$7,0)))</f>
        <v/>
      </c>
      <c r="AR241" s="90" t="str">
        <f aca="false">IF(AQ241="","",ROUND(AQ241*(1+Справочники!$B$12),0))</f>
        <v/>
      </c>
      <c r="AS241" s="90" t="str">
        <f aca="false">IF(AR241="","",ROUND(AR241*(1-Справочники!$B$11),0))</f>
        <v/>
      </c>
      <c r="AT241" s="88"/>
      <c r="AU241" s="90" t="str">
        <f aca="false">IF(AT241="","",ROUND(AT241/(1+Справочники!$B$12),0))</f>
        <v/>
      </c>
      <c r="AV241" s="90" t="str">
        <f aca="false">IF(AT241="","",ROUND(AT241*(1-Справочники!$B$15),0))</f>
        <v/>
      </c>
      <c r="AW241" s="90" t="str">
        <f aca="false">IF(AT241="","",ROUND(AT241*(1-Справочники!$B$16),0))</f>
        <v/>
      </c>
      <c r="AX241" s="90" t="str">
        <f aca="false">IF(AT241="","",ROUND(AT241*(1-Справочники!$B$17),0))</f>
        <v/>
      </c>
      <c r="AY241" s="90" t="str">
        <f aca="false">IF(AT241="","",ROUND(AT241*(1-Справочники!$B$18),0))</f>
        <v/>
      </c>
      <c r="AZ241" s="90" t="str">
        <f aca="false">IF(AT241="","",ROUND(AT241*(1-Справочники!$B$19),0))</f>
        <v/>
      </c>
      <c r="BA241" s="81"/>
      <c r="BB241" s="81"/>
      <c r="BC241" s="81"/>
      <c r="BD241" s="81"/>
      <c r="BE241" s="91"/>
      <c r="BF241" s="81" t="s">
        <v>103</v>
      </c>
      <c r="BG241" s="89" t="n">
        <f aca="false" t="array" ref="BG241:BG241">IF(BF241="","",IFERROR(INDEX(Справочники!$B$4:$B$7,MATCH(BF241,Справочники!$A$4:$A$7,0)),""))</f>
        <v>68.5</v>
      </c>
      <c r="BH241" s="90" t="str">
        <f aca="false">IF(N(BN241)&gt;0,ROUND(SUMIF(ЗАКАЗЫ!$F$3:$F$500,$A241,ЗАКАЗЫ!$Y$3:$Y$500)/BN241,0),IF(OR(BE241="",BG241=""),"",ROUND(BE241*BG241*(1+Справочники!$B$10),0)))</f>
        <v/>
      </c>
      <c r="BI241" s="92" t="str">
        <f aca="false">IF(OR(AU241="",BH241="",AU241=0),"",(AU241-BH241)/AU241)</f>
        <v/>
      </c>
      <c r="BJ241" s="81"/>
      <c r="BK241" s="83"/>
      <c r="BL241" s="43" t="str">
        <f aca="false">IFERROR(INDEX(ЗАКАЗЫ!$N$3:$N$500,MATCH($A241,ЗАКАЗЫ!$F$3:$F$500,0)),"")</f>
        <v/>
      </c>
      <c r="BM241" s="8" t="str">
        <f aca="false">IF(BL241="","",IFERROR(VLOOKUP(BL241,'ТН ВЭД'!$A$4:$C$40,3,0),""))</f>
        <v/>
      </c>
      <c r="BN241" s="7" t="str">
        <f aca="false">IF(COUNTIF(ЗАКАЗЫ!$F$3:$F$500,$A241)=0,"",SUMIF(ЗАКАЗЫ!$F$3:$F$500,$A241,ЗАКАЗЫ!$J$3:$J$500))</f>
        <v/>
      </c>
      <c r="BO241" s="7" t="str">
        <f aca="false">IF(BN241="","",SUMIF(ЗАКАЗЫ!$F$3:$F$500,$A241,ЗАКАЗЫ!$AL$3:$AL$500))</f>
        <v/>
      </c>
      <c r="BP241" s="7" t="str">
        <f aca="false">IF(BN241="","",BN241-BO241)</f>
        <v/>
      </c>
      <c r="BQ241" s="55" t="str">
        <f aca="false">IF(BN241="","",IF(BO241&gt;=BN241,"На складе",IF(BO241&gt;0,"Частично","Ждём")))</f>
        <v/>
      </c>
      <c r="BR241" s="43"/>
      <c r="BS241" s="47" t="str">
        <f aca="false">IF(BN241="","",IF(_xlfn.MAXIFS(ЗАКАЗЫ!$AK$3:$AK$500,ЗАКАЗЫ!$F$3:$F$500,$A241)=0,"",_xlfn.MAXIFS(ЗАКАЗЫ!$AK$3:$AK$500,ЗАКАЗЫ!$F$3:$F$500,$A241)))</f>
        <v/>
      </c>
    </row>
    <row r="242" customFormat="false" ht="15.75" hidden="false" customHeight="true" outlineLevel="0" collapsed="false">
      <c r="A242" s="80" t="s">
        <v>1074</v>
      </c>
      <c r="B242" s="81"/>
      <c r="C242" s="81"/>
      <c r="D242" s="81"/>
      <c r="E242" s="83"/>
      <c r="F242" s="81"/>
      <c r="G242" s="83"/>
      <c r="H242" s="83"/>
      <c r="I242" s="84" t="str">
        <f aca="false">IF(E242="","",A242&amp;"_1.jpg")</f>
        <v/>
      </c>
      <c r="J242" s="84" t="str">
        <f aca="false">IF(E242="","",A242&amp;"_2.jpg; "&amp;A242&amp;"_3.jpg")</f>
        <v/>
      </c>
      <c r="K242" s="84" t="str">
        <f aca="false">IF(E242="","",A242&amp;"_schema.jpg")</f>
        <v/>
      </c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 t="s">
        <v>96</v>
      </c>
      <c r="W242" s="81"/>
      <c r="X242" s="81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6" t="str">
        <f aca="false">IF(SUM(Y242:AJ242)=0,"",SUM(Y242:AJ242))</f>
        <v/>
      </c>
      <c r="AL242" s="84" t="str">
        <f aca="false">MID(IF(N(Y242)&gt;0,", "&amp;Y$2,"")&amp;IF(N(Z242)&gt;0,", "&amp;Z$2,"")&amp;IF(N(AA242)&gt;0,", "&amp;AA$2,"")&amp;IF(N(AB242)&gt;0,", "&amp;AB$2,"")&amp;IF(N(AC242)&gt;0,", "&amp;AC$2,"")&amp;IF(N(AD242)&gt;0,", "&amp;AD$2,"")&amp;IF(N(AE242)&gt;0,", "&amp;AE$2,"")&amp;IF(N(AF242)&gt;0,", "&amp;AF$2,"")&amp;IF(N(AG242)&gt;0,", "&amp;AG$2,"")&amp;IF(N(AH242)&gt;0,", "&amp;AH$2,"")&amp;IF(N(AI242)&gt;0,", "&amp;AI$2,"")&amp;IF(N(AJ242)&gt;0,", "&amp;AJ$2,""),3,999)</f>
        <v/>
      </c>
      <c r="AM242" s="87" t="str">
        <f aca="false">IF(E242="","",MID(IF(N(Y242)&gt;0,", "&amp;A242&amp;"-"&amp;Y$2,"")&amp;IF(N(Z242)&gt;0,", "&amp;A242&amp;"-"&amp;Z$2,"")&amp;IF(N(AA242)&gt;0,", "&amp;A242&amp;"-"&amp;AA$2,"")&amp;IF(N(AB242)&gt;0,", "&amp;A242&amp;"-"&amp;AB$2,"")&amp;IF(N(AC242)&gt;0,", "&amp;A242&amp;"-"&amp;AC$2,"")&amp;IF(N(AD242)&gt;0,", "&amp;A242&amp;"-"&amp;AD$2,"")&amp;IF(N(AE242)&gt;0,", "&amp;A242&amp;"-"&amp;AE$2,"")&amp;IF(N(AF242)&gt;0,", "&amp;A242&amp;"-"&amp;AF$2,"")&amp;IF(N(AG242)&gt;0,", "&amp;A242&amp;"-"&amp;AG$2,"")&amp;IF(N(AH242)&gt;0,", "&amp;A242&amp;"-"&amp;AH$2,"")&amp;IF(N(AI242)&gt;0,", "&amp;A242&amp;"-"&amp;AI$2,"")&amp;IF(N(AJ242)&gt;0,", "&amp;A242&amp;"-"&amp;AJ$2,""),3,999))</f>
        <v/>
      </c>
      <c r="AN242" s="81"/>
      <c r="AO242" s="88"/>
      <c r="AP242" s="89" t="str">
        <f aca="false">IF(AO242="","",ROUND(AO242/(1+Справочники!$B$13),2))</f>
        <v/>
      </c>
      <c r="AQ242" s="90" t="str">
        <f aca="false" t="array" ref="AQ242:AQ242">IF(AP242="","",AP242*INDEX(Справочники!$B$4:$B$7,MATCH("RUB",Справочники!$A$4:$A$7,0)))</f>
        <v/>
      </c>
      <c r="AR242" s="90" t="str">
        <f aca="false">IF(AQ242="","",ROUND(AQ242*(1+Справочники!$B$12),0))</f>
        <v/>
      </c>
      <c r="AS242" s="90" t="str">
        <f aca="false">IF(AR242="","",ROUND(AR242*(1-Справочники!$B$11),0))</f>
        <v/>
      </c>
      <c r="AT242" s="88"/>
      <c r="AU242" s="90" t="str">
        <f aca="false">IF(AT242="","",ROUND(AT242/(1+Справочники!$B$12),0))</f>
        <v/>
      </c>
      <c r="AV242" s="90" t="str">
        <f aca="false">IF(AT242="","",ROUND(AT242*(1-Справочники!$B$15),0))</f>
        <v/>
      </c>
      <c r="AW242" s="90" t="str">
        <f aca="false">IF(AT242="","",ROUND(AT242*(1-Справочники!$B$16),0))</f>
        <v/>
      </c>
      <c r="AX242" s="90" t="str">
        <f aca="false">IF(AT242="","",ROUND(AT242*(1-Справочники!$B$17),0))</f>
        <v/>
      </c>
      <c r="AY242" s="90" t="str">
        <f aca="false">IF(AT242="","",ROUND(AT242*(1-Справочники!$B$18),0))</f>
        <v/>
      </c>
      <c r="AZ242" s="90" t="str">
        <f aca="false">IF(AT242="","",ROUND(AT242*(1-Справочники!$B$19),0))</f>
        <v/>
      </c>
      <c r="BA242" s="81"/>
      <c r="BB242" s="81"/>
      <c r="BC242" s="81"/>
      <c r="BD242" s="81"/>
      <c r="BE242" s="91"/>
      <c r="BF242" s="81" t="s">
        <v>103</v>
      </c>
      <c r="BG242" s="89" t="n">
        <f aca="false" t="array" ref="BG242:BG242">IF(BF242="","",IFERROR(INDEX(Справочники!$B$4:$B$7,MATCH(BF242,Справочники!$A$4:$A$7,0)),""))</f>
        <v>68.5</v>
      </c>
      <c r="BH242" s="90" t="str">
        <f aca="false">IF(N(BN242)&gt;0,ROUND(SUMIF(ЗАКАЗЫ!$F$3:$F$500,$A242,ЗАКАЗЫ!$Y$3:$Y$500)/BN242,0),IF(OR(BE242="",BG242=""),"",ROUND(BE242*BG242*(1+Справочники!$B$10),0)))</f>
        <v/>
      </c>
      <c r="BI242" s="92" t="str">
        <f aca="false">IF(OR(AU242="",BH242="",AU242=0),"",(AU242-BH242)/AU242)</f>
        <v/>
      </c>
      <c r="BJ242" s="81"/>
      <c r="BK242" s="83"/>
      <c r="BL242" s="43" t="str">
        <f aca="false">IFERROR(INDEX(ЗАКАЗЫ!$N$3:$N$500,MATCH($A242,ЗАКАЗЫ!$F$3:$F$500,0)),"")</f>
        <v/>
      </c>
      <c r="BM242" s="8" t="str">
        <f aca="false">IF(BL242="","",IFERROR(VLOOKUP(BL242,'ТН ВЭД'!$A$4:$C$40,3,0),""))</f>
        <v/>
      </c>
      <c r="BN242" s="7" t="str">
        <f aca="false">IF(COUNTIF(ЗАКАЗЫ!$F$3:$F$500,$A242)=0,"",SUMIF(ЗАКАЗЫ!$F$3:$F$500,$A242,ЗАКАЗЫ!$J$3:$J$500))</f>
        <v/>
      </c>
      <c r="BO242" s="7" t="str">
        <f aca="false">IF(BN242="","",SUMIF(ЗАКАЗЫ!$F$3:$F$500,$A242,ЗАКАЗЫ!$AL$3:$AL$500))</f>
        <v/>
      </c>
      <c r="BP242" s="7" t="str">
        <f aca="false">IF(BN242="","",BN242-BO242)</f>
        <v/>
      </c>
      <c r="BQ242" s="55" t="str">
        <f aca="false">IF(BN242="","",IF(BO242&gt;=BN242,"На складе",IF(BO242&gt;0,"Частично","Ждём")))</f>
        <v/>
      </c>
      <c r="BR242" s="43"/>
      <c r="BS242" s="47" t="str">
        <f aca="false">IF(BN242="","",IF(_xlfn.MAXIFS(ЗАКАЗЫ!$AK$3:$AK$500,ЗАКАЗЫ!$F$3:$F$500,$A242)=0,"",_xlfn.MAXIFS(ЗАКАЗЫ!$AK$3:$AK$500,ЗАКАЗЫ!$F$3:$F$500,$A242)))</f>
        <v/>
      </c>
    </row>
    <row r="243" customFormat="false" ht="15.75" hidden="false" customHeight="true" outlineLevel="0" collapsed="false">
      <c r="A243" s="80" t="s">
        <v>1075</v>
      </c>
      <c r="B243" s="81"/>
      <c r="C243" s="81"/>
      <c r="D243" s="81"/>
      <c r="E243" s="83"/>
      <c r="F243" s="81"/>
      <c r="G243" s="83"/>
      <c r="H243" s="83"/>
      <c r="I243" s="84" t="str">
        <f aca="false">IF(E243="","",A243&amp;"_1.jpg")</f>
        <v/>
      </c>
      <c r="J243" s="84" t="str">
        <f aca="false">IF(E243="","",A243&amp;"_2.jpg; "&amp;A243&amp;"_3.jpg")</f>
        <v/>
      </c>
      <c r="K243" s="84" t="str">
        <f aca="false">IF(E243="","",A243&amp;"_schema.jpg")</f>
        <v/>
      </c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 t="s">
        <v>96</v>
      </c>
      <c r="W243" s="81"/>
      <c r="X243" s="81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6" t="str">
        <f aca="false">IF(SUM(Y243:AJ243)=0,"",SUM(Y243:AJ243))</f>
        <v/>
      </c>
      <c r="AL243" s="84" t="str">
        <f aca="false">MID(IF(N(Y243)&gt;0,", "&amp;Y$2,"")&amp;IF(N(Z243)&gt;0,", "&amp;Z$2,"")&amp;IF(N(AA243)&gt;0,", "&amp;AA$2,"")&amp;IF(N(AB243)&gt;0,", "&amp;AB$2,"")&amp;IF(N(AC243)&gt;0,", "&amp;AC$2,"")&amp;IF(N(AD243)&gt;0,", "&amp;AD$2,"")&amp;IF(N(AE243)&gt;0,", "&amp;AE$2,"")&amp;IF(N(AF243)&gt;0,", "&amp;AF$2,"")&amp;IF(N(AG243)&gt;0,", "&amp;AG$2,"")&amp;IF(N(AH243)&gt;0,", "&amp;AH$2,"")&amp;IF(N(AI243)&gt;0,", "&amp;AI$2,"")&amp;IF(N(AJ243)&gt;0,", "&amp;AJ$2,""),3,999)</f>
        <v/>
      </c>
      <c r="AM243" s="87" t="str">
        <f aca="false">IF(E243="","",MID(IF(N(Y243)&gt;0,", "&amp;A243&amp;"-"&amp;Y$2,"")&amp;IF(N(Z243)&gt;0,", "&amp;A243&amp;"-"&amp;Z$2,"")&amp;IF(N(AA243)&gt;0,", "&amp;A243&amp;"-"&amp;AA$2,"")&amp;IF(N(AB243)&gt;0,", "&amp;A243&amp;"-"&amp;AB$2,"")&amp;IF(N(AC243)&gt;0,", "&amp;A243&amp;"-"&amp;AC$2,"")&amp;IF(N(AD243)&gt;0,", "&amp;A243&amp;"-"&amp;AD$2,"")&amp;IF(N(AE243)&gt;0,", "&amp;A243&amp;"-"&amp;AE$2,"")&amp;IF(N(AF243)&gt;0,", "&amp;A243&amp;"-"&amp;AF$2,"")&amp;IF(N(AG243)&gt;0,", "&amp;A243&amp;"-"&amp;AG$2,"")&amp;IF(N(AH243)&gt;0,", "&amp;A243&amp;"-"&amp;AH$2,"")&amp;IF(N(AI243)&gt;0,", "&amp;A243&amp;"-"&amp;AI$2,"")&amp;IF(N(AJ243)&gt;0,", "&amp;A243&amp;"-"&amp;AJ$2,""),3,999))</f>
        <v/>
      </c>
      <c r="AN243" s="81"/>
      <c r="AO243" s="88"/>
      <c r="AP243" s="89" t="str">
        <f aca="false">IF(AO243="","",ROUND(AO243/(1+Справочники!$B$13),2))</f>
        <v/>
      </c>
      <c r="AQ243" s="90" t="str">
        <f aca="false" t="array" ref="AQ243:AQ243">IF(AP243="","",AP243*INDEX(Справочники!$B$4:$B$7,MATCH("RUB",Справочники!$A$4:$A$7,0)))</f>
        <v/>
      </c>
      <c r="AR243" s="90" t="str">
        <f aca="false">IF(AQ243="","",ROUND(AQ243*(1+Справочники!$B$12),0))</f>
        <v/>
      </c>
      <c r="AS243" s="90" t="str">
        <f aca="false">IF(AR243="","",ROUND(AR243*(1-Справочники!$B$11),0))</f>
        <v/>
      </c>
      <c r="AT243" s="88"/>
      <c r="AU243" s="90" t="str">
        <f aca="false">IF(AT243="","",ROUND(AT243/(1+Справочники!$B$12),0))</f>
        <v/>
      </c>
      <c r="AV243" s="90" t="str">
        <f aca="false">IF(AT243="","",ROUND(AT243*(1-Справочники!$B$15),0))</f>
        <v/>
      </c>
      <c r="AW243" s="90" t="str">
        <f aca="false">IF(AT243="","",ROUND(AT243*(1-Справочники!$B$16),0))</f>
        <v/>
      </c>
      <c r="AX243" s="90" t="str">
        <f aca="false">IF(AT243="","",ROUND(AT243*(1-Справочники!$B$17),0))</f>
        <v/>
      </c>
      <c r="AY243" s="90" t="str">
        <f aca="false">IF(AT243="","",ROUND(AT243*(1-Справочники!$B$18),0))</f>
        <v/>
      </c>
      <c r="AZ243" s="90" t="str">
        <f aca="false">IF(AT243="","",ROUND(AT243*(1-Справочники!$B$19),0))</f>
        <v/>
      </c>
      <c r="BA243" s="81"/>
      <c r="BB243" s="81"/>
      <c r="BC243" s="81"/>
      <c r="BD243" s="81"/>
      <c r="BE243" s="91"/>
      <c r="BF243" s="81" t="s">
        <v>103</v>
      </c>
      <c r="BG243" s="89" t="n">
        <f aca="false" t="array" ref="BG243:BG243">IF(BF243="","",IFERROR(INDEX(Справочники!$B$4:$B$7,MATCH(BF243,Справочники!$A$4:$A$7,0)),""))</f>
        <v>68.5</v>
      </c>
      <c r="BH243" s="90" t="str">
        <f aca="false">IF(N(BN243)&gt;0,ROUND(SUMIF(ЗАКАЗЫ!$F$3:$F$500,$A243,ЗАКАЗЫ!$Y$3:$Y$500)/BN243,0),IF(OR(BE243="",BG243=""),"",ROUND(BE243*BG243*(1+Справочники!$B$10),0)))</f>
        <v/>
      </c>
      <c r="BI243" s="92" t="str">
        <f aca="false">IF(OR(AU243="",BH243="",AU243=0),"",(AU243-BH243)/AU243)</f>
        <v/>
      </c>
      <c r="BJ243" s="81"/>
      <c r="BK243" s="83"/>
      <c r="BL243" s="43" t="str">
        <f aca="false">IFERROR(INDEX(ЗАКАЗЫ!$N$3:$N$500,MATCH($A243,ЗАКАЗЫ!$F$3:$F$500,0)),"")</f>
        <v/>
      </c>
      <c r="BM243" s="8" t="str">
        <f aca="false">IF(BL243="","",IFERROR(VLOOKUP(BL243,'ТН ВЭД'!$A$4:$C$40,3,0),""))</f>
        <v/>
      </c>
      <c r="BN243" s="7" t="str">
        <f aca="false">IF(COUNTIF(ЗАКАЗЫ!$F$3:$F$500,$A243)=0,"",SUMIF(ЗАКАЗЫ!$F$3:$F$500,$A243,ЗАКАЗЫ!$J$3:$J$500))</f>
        <v/>
      </c>
      <c r="BO243" s="7" t="str">
        <f aca="false">IF(BN243="","",SUMIF(ЗАКАЗЫ!$F$3:$F$500,$A243,ЗАКАЗЫ!$AL$3:$AL$500))</f>
        <v/>
      </c>
      <c r="BP243" s="7" t="str">
        <f aca="false">IF(BN243="","",BN243-BO243)</f>
        <v/>
      </c>
      <c r="BQ243" s="55" t="str">
        <f aca="false">IF(BN243="","",IF(BO243&gt;=BN243,"На складе",IF(BO243&gt;0,"Частично","Ждём")))</f>
        <v/>
      </c>
      <c r="BR243" s="43"/>
      <c r="BS243" s="47" t="str">
        <f aca="false">IF(BN243="","",IF(_xlfn.MAXIFS(ЗАКАЗЫ!$AK$3:$AK$500,ЗАКАЗЫ!$F$3:$F$500,$A243)=0,"",_xlfn.MAXIFS(ЗАКАЗЫ!$AK$3:$AK$500,ЗАКАЗЫ!$F$3:$F$500,$A243)))</f>
        <v/>
      </c>
    </row>
    <row r="244" customFormat="false" ht="15.75" hidden="false" customHeight="true" outlineLevel="0" collapsed="false">
      <c r="A244" s="80" t="s">
        <v>1076</v>
      </c>
      <c r="B244" s="81"/>
      <c r="C244" s="81"/>
      <c r="D244" s="81"/>
      <c r="E244" s="83"/>
      <c r="F244" s="81"/>
      <c r="G244" s="83"/>
      <c r="H244" s="83"/>
      <c r="I244" s="84" t="str">
        <f aca="false">IF(E244="","",A244&amp;"_1.jpg")</f>
        <v/>
      </c>
      <c r="J244" s="84" t="str">
        <f aca="false">IF(E244="","",A244&amp;"_2.jpg; "&amp;A244&amp;"_3.jpg")</f>
        <v/>
      </c>
      <c r="K244" s="84" t="str">
        <f aca="false">IF(E244="","",A244&amp;"_schema.jpg")</f>
        <v/>
      </c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 t="s">
        <v>96</v>
      </c>
      <c r="W244" s="81"/>
      <c r="X244" s="81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6" t="str">
        <f aca="false">IF(SUM(Y244:AJ244)=0,"",SUM(Y244:AJ244))</f>
        <v/>
      </c>
      <c r="AL244" s="84" t="str">
        <f aca="false">MID(IF(N(Y244)&gt;0,", "&amp;Y$2,"")&amp;IF(N(Z244)&gt;0,", "&amp;Z$2,"")&amp;IF(N(AA244)&gt;0,", "&amp;AA$2,"")&amp;IF(N(AB244)&gt;0,", "&amp;AB$2,"")&amp;IF(N(AC244)&gt;0,", "&amp;AC$2,"")&amp;IF(N(AD244)&gt;0,", "&amp;AD$2,"")&amp;IF(N(AE244)&gt;0,", "&amp;AE$2,"")&amp;IF(N(AF244)&gt;0,", "&amp;AF$2,"")&amp;IF(N(AG244)&gt;0,", "&amp;AG$2,"")&amp;IF(N(AH244)&gt;0,", "&amp;AH$2,"")&amp;IF(N(AI244)&gt;0,", "&amp;AI$2,"")&amp;IF(N(AJ244)&gt;0,", "&amp;AJ$2,""),3,999)</f>
        <v/>
      </c>
      <c r="AM244" s="87" t="str">
        <f aca="false">IF(E244="","",MID(IF(N(Y244)&gt;0,", "&amp;A244&amp;"-"&amp;Y$2,"")&amp;IF(N(Z244)&gt;0,", "&amp;A244&amp;"-"&amp;Z$2,"")&amp;IF(N(AA244)&gt;0,", "&amp;A244&amp;"-"&amp;AA$2,"")&amp;IF(N(AB244)&gt;0,", "&amp;A244&amp;"-"&amp;AB$2,"")&amp;IF(N(AC244)&gt;0,", "&amp;A244&amp;"-"&amp;AC$2,"")&amp;IF(N(AD244)&gt;0,", "&amp;A244&amp;"-"&amp;AD$2,"")&amp;IF(N(AE244)&gt;0,", "&amp;A244&amp;"-"&amp;AE$2,"")&amp;IF(N(AF244)&gt;0,", "&amp;A244&amp;"-"&amp;AF$2,"")&amp;IF(N(AG244)&gt;0,", "&amp;A244&amp;"-"&amp;AG$2,"")&amp;IF(N(AH244)&gt;0,", "&amp;A244&amp;"-"&amp;AH$2,"")&amp;IF(N(AI244)&gt;0,", "&amp;A244&amp;"-"&amp;AI$2,"")&amp;IF(N(AJ244)&gt;0,", "&amp;A244&amp;"-"&amp;AJ$2,""),3,999))</f>
        <v/>
      </c>
      <c r="AN244" s="81"/>
      <c r="AO244" s="88"/>
      <c r="AP244" s="89" t="str">
        <f aca="false">IF(AO244="","",ROUND(AO244/(1+Справочники!$B$13),2))</f>
        <v/>
      </c>
      <c r="AQ244" s="90" t="str">
        <f aca="false" t="array" ref="AQ244:AQ244">IF(AP244="","",AP244*INDEX(Справочники!$B$4:$B$7,MATCH("RUB",Справочники!$A$4:$A$7,0)))</f>
        <v/>
      </c>
      <c r="AR244" s="90" t="str">
        <f aca="false">IF(AQ244="","",ROUND(AQ244*(1+Справочники!$B$12),0))</f>
        <v/>
      </c>
      <c r="AS244" s="90" t="str">
        <f aca="false">IF(AR244="","",ROUND(AR244*(1-Справочники!$B$11),0))</f>
        <v/>
      </c>
      <c r="AT244" s="88"/>
      <c r="AU244" s="90" t="str">
        <f aca="false">IF(AT244="","",ROUND(AT244/(1+Справочники!$B$12),0))</f>
        <v/>
      </c>
      <c r="AV244" s="90" t="str">
        <f aca="false">IF(AT244="","",ROUND(AT244*(1-Справочники!$B$15),0))</f>
        <v/>
      </c>
      <c r="AW244" s="90" t="str">
        <f aca="false">IF(AT244="","",ROUND(AT244*(1-Справочники!$B$16),0))</f>
        <v/>
      </c>
      <c r="AX244" s="90" t="str">
        <f aca="false">IF(AT244="","",ROUND(AT244*(1-Справочники!$B$17),0))</f>
        <v/>
      </c>
      <c r="AY244" s="90" t="str">
        <f aca="false">IF(AT244="","",ROUND(AT244*(1-Справочники!$B$18),0))</f>
        <v/>
      </c>
      <c r="AZ244" s="90" t="str">
        <f aca="false">IF(AT244="","",ROUND(AT244*(1-Справочники!$B$19),0))</f>
        <v/>
      </c>
      <c r="BA244" s="81"/>
      <c r="BB244" s="81"/>
      <c r="BC244" s="81"/>
      <c r="BD244" s="81"/>
      <c r="BE244" s="91"/>
      <c r="BF244" s="81" t="s">
        <v>103</v>
      </c>
      <c r="BG244" s="89" t="n">
        <f aca="false" t="array" ref="BG244:BG244">IF(BF244="","",IFERROR(INDEX(Справочники!$B$4:$B$7,MATCH(BF244,Справочники!$A$4:$A$7,0)),""))</f>
        <v>68.5</v>
      </c>
      <c r="BH244" s="90" t="str">
        <f aca="false">IF(N(BN244)&gt;0,ROUND(SUMIF(ЗАКАЗЫ!$F$3:$F$500,$A244,ЗАКАЗЫ!$Y$3:$Y$500)/BN244,0),IF(OR(BE244="",BG244=""),"",ROUND(BE244*BG244*(1+Справочники!$B$10),0)))</f>
        <v/>
      </c>
      <c r="BI244" s="92" t="str">
        <f aca="false">IF(OR(AU244="",BH244="",AU244=0),"",(AU244-BH244)/AU244)</f>
        <v/>
      </c>
      <c r="BJ244" s="81"/>
      <c r="BK244" s="83"/>
      <c r="BL244" s="43" t="str">
        <f aca="false">IFERROR(INDEX(ЗАКАЗЫ!$N$3:$N$500,MATCH($A244,ЗАКАЗЫ!$F$3:$F$500,0)),"")</f>
        <v/>
      </c>
      <c r="BM244" s="8" t="str">
        <f aca="false">IF(BL244="","",IFERROR(VLOOKUP(BL244,'ТН ВЭД'!$A$4:$C$40,3,0),""))</f>
        <v/>
      </c>
      <c r="BN244" s="7" t="str">
        <f aca="false">IF(COUNTIF(ЗАКАЗЫ!$F$3:$F$500,$A244)=0,"",SUMIF(ЗАКАЗЫ!$F$3:$F$500,$A244,ЗАКАЗЫ!$J$3:$J$500))</f>
        <v/>
      </c>
      <c r="BO244" s="7" t="str">
        <f aca="false">IF(BN244="","",SUMIF(ЗАКАЗЫ!$F$3:$F$500,$A244,ЗАКАЗЫ!$AL$3:$AL$500))</f>
        <v/>
      </c>
      <c r="BP244" s="7" t="str">
        <f aca="false">IF(BN244="","",BN244-BO244)</f>
        <v/>
      </c>
      <c r="BQ244" s="55" t="str">
        <f aca="false">IF(BN244="","",IF(BO244&gt;=BN244,"На складе",IF(BO244&gt;0,"Частично","Ждём")))</f>
        <v/>
      </c>
      <c r="BR244" s="43"/>
      <c r="BS244" s="47" t="str">
        <f aca="false">IF(BN244="","",IF(_xlfn.MAXIFS(ЗАКАЗЫ!$AK$3:$AK$500,ЗАКАЗЫ!$F$3:$F$500,$A244)=0,"",_xlfn.MAXIFS(ЗАКАЗЫ!$AK$3:$AK$500,ЗАКАЗЫ!$F$3:$F$500,$A244)))</f>
        <v/>
      </c>
    </row>
    <row r="245" customFormat="false" ht="15.75" hidden="false" customHeight="true" outlineLevel="0" collapsed="false">
      <c r="A245" s="80" t="s">
        <v>1077</v>
      </c>
      <c r="B245" s="81"/>
      <c r="C245" s="81"/>
      <c r="D245" s="81"/>
      <c r="E245" s="83"/>
      <c r="F245" s="81"/>
      <c r="G245" s="83"/>
      <c r="H245" s="83"/>
      <c r="I245" s="84" t="str">
        <f aca="false">IF(E245="","",A245&amp;"_1.jpg")</f>
        <v/>
      </c>
      <c r="J245" s="84" t="str">
        <f aca="false">IF(E245="","",A245&amp;"_2.jpg; "&amp;A245&amp;"_3.jpg")</f>
        <v/>
      </c>
      <c r="K245" s="84" t="str">
        <f aca="false">IF(E245="","",A245&amp;"_schema.jpg")</f>
        <v/>
      </c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 t="s">
        <v>96</v>
      </c>
      <c r="W245" s="81"/>
      <c r="X245" s="81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6" t="str">
        <f aca="false">IF(SUM(Y245:AJ245)=0,"",SUM(Y245:AJ245))</f>
        <v/>
      </c>
      <c r="AL245" s="84" t="str">
        <f aca="false">MID(IF(N(Y245)&gt;0,", "&amp;Y$2,"")&amp;IF(N(Z245)&gt;0,", "&amp;Z$2,"")&amp;IF(N(AA245)&gt;0,", "&amp;AA$2,"")&amp;IF(N(AB245)&gt;0,", "&amp;AB$2,"")&amp;IF(N(AC245)&gt;0,", "&amp;AC$2,"")&amp;IF(N(AD245)&gt;0,", "&amp;AD$2,"")&amp;IF(N(AE245)&gt;0,", "&amp;AE$2,"")&amp;IF(N(AF245)&gt;0,", "&amp;AF$2,"")&amp;IF(N(AG245)&gt;0,", "&amp;AG$2,"")&amp;IF(N(AH245)&gt;0,", "&amp;AH$2,"")&amp;IF(N(AI245)&gt;0,", "&amp;AI$2,"")&amp;IF(N(AJ245)&gt;0,", "&amp;AJ$2,""),3,999)</f>
        <v/>
      </c>
      <c r="AM245" s="87" t="str">
        <f aca="false">IF(E245="","",MID(IF(N(Y245)&gt;0,", "&amp;A245&amp;"-"&amp;Y$2,"")&amp;IF(N(Z245)&gt;0,", "&amp;A245&amp;"-"&amp;Z$2,"")&amp;IF(N(AA245)&gt;0,", "&amp;A245&amp;"-"&amp;AA$2,"")&amp;IF(N(AB245)&gt;0,", "&amp;A245&amp;"-"&amp;AB$2,"")&amp;IF(N(AC245)&gt;0,", "&amp;A245&amp;"-"&amp;AC$2,"")&amp;IF(N(AD245)&gt;0,", "&amp;A245&amp;"-"&amp;AD$2,"")&amp;IF(N(AE245)&gt;0,", "&amp;A245&amp;"-"&amp;AE$2,"")&amp;IF(N(AF245)&gt;0,", "&amp;A245&amp;"-"&amp;AF$2,"")&amp;IF(N(AG245)&gt;0,", "&amp;A245&amp;"-"&amp;AG$2,"")&amp;IF(N(AH245)&gt;0,", "&amp;A245&amp;"-"&amp;AH$2,"")&amp;IF(N(AI245)&gt;0,", "&amp;A245&amp;"-"&amp;AI$2,"")&amp;IF(N(AJ245)&gt;0,", "&amp;A245&amp;"-"&amp;AJ$2,""),3,999))</f>
        <v/>
      </c>
      <c r="AN245" s="81"/>
      <c r="AO245" s="88"/>
      <c r="AP245" s="89" t="str">
        <f aca="false">IF(AO245="","",ROUND(AO245/(1+Справочники!$B$13),2))</f>
        <v/>
      </c>
      <c r="AQ245" s="90" t="str">
        <f aca="false" t="array" ref="AQ245:AQ245">IF(AP245="","",AP245*INDEX(Справочники!$B$4:$B$7,MATCH("RUB",Справочники!$A$4:$A$7,0)))</f>
        <v/>
      </c>
      <c r="AR245" s="90" t="str">
        <f aca="false">IF(AQ245="","",ROUND(AQ245*(1+Справочники!$B$12),0))</f>
        <v/>
      </c>
      <c r="AS245" s="90" t="str">
        <f aca="false">IF(AR245="","",ROUND(AR245*(1-Справочники!$B$11),0))</f>
        <v/>
      </c>
      <c r="AT245" s="88"/>
      <c r="AU245" s="90" t="str">
        <f aca="false">IF(AT245="","",ROUND(AT245/(1+Справочники!$B$12),0))</f>
        <v/>
      </c>
      <c r="AV245" s="90" t="str">
        <f aca="false">IF(AT245="","",ROUND(AT245*(1-Справочники!$B$15),0))</f>
        <v/>
      </c>
      <c r="AW245" s="90" t="str">
        <f aca="false">IF(AT245="","",ROUND(AT245*(1-Справочники!$B$16),0))</f>
        <v/>
      </c>
      <c r="AX245" s="90" t="str">
        <f aca="false">IF(AT245="","",ROUND(AT245*(1-Справочники!$B$17),0))</f>
        <v/>
      </c>
      <c r="AY245" s="90" t="str">
        <f aca="false">IF(AT245="","",ROUND(AT245*(1-Справочники!$B$18),0))</f>
        <v/>
      </c>
      <c r="AZ245" s="90" t="str">
        <f aca="false">IF(AT245="","",ROUND(AT245*(1-Справочники!$B$19),0))</f>
        <v/>
      </c>
      <c r="BA245" s="81"/>
      <c r="BB245" s="81"/>
      <c r="BC245" s="81"/>
      <c r="BD245" s="81"/>
      <c r="BE245" s="91"/>
      <c r="BF245" s="81" t="s">
        <v>103</v>
      </c>
      <c r="BG245" s="89" t="n">
        <f aca="false" t="array" ref="BG245:BG245">IF(BF245="","",IFERROR(INDEX(Справочники!$B$4:$B$7,MATCH(BF245,Справочники!$A$4:$A$7,0)),""))</f>
        <v>68.5</v>
      </c>
      <c r="BH245" s="90" t="str">
        <f aca="false">IF(N(BN245)&gt;0,ROUND(SUMIF(ЗАКАЗЫ!$F$3:$F$500,$A245,ЗАКАЗЫ!$Y$3:$Y$500)/BN245,0),IF(OR(BE245="",BG245=""),"",ROUND(BE245*BG245*(1+Справочники!$B$10),0)))</f>
        <v/>
      </c>
      <c r="BI245" s="92" t="str">
        <f aca="false">IF(OR(AU245="",BH245="",AU245=0),"",(AU245-BH245)/AU245)</f>
        <v/>
      </c>
      <c r="BJ245" s="81"/>
      <c r="BK245" s="83"/>
      <c r="BL245" s="43" t="str">
        <f aca="false">IFERROR(INDEX(ЗАКАЗЫ!$N$3:$N$500,MATCH($A245,ЗАКАЗЫ!$F$3:$F$500,0)),"")</f>
        <v/>
      </c>
      <c r="BM245" s="8" t="str">
        <f aca="false">IF(BL245="","",IFERROR(VLOOKUP(BL245,'ТН ВЭД'!$A$4:$C$40,3,0),""))</f>
        <v/>
      </c>
      <c r="BN245" s="7" t="str">
        <f aca="false">IF(COUNTIF(ЗАКАЗЫ!$F$3:$F$500,$A245)=0,"",SUMIF(ЗАКАЗЫ!$F$3:$F$500,$A245,ЗАКАЗЫ!$J$3:$J$500))</f>
        <v/>
      </c>
      <c r="BO245" s="7" t="str">
        <f aca="false">IF(BN245="","",SUMIF(ЗАКАЗЫ!$F$3:$F$500,$A245,ЗАКАЗЫ!$AL$3:$AL$500))</f>
        <v/>
      </c>
      <c r="BP245" s="7" t="str">
        <f aca="false">IF(BN245="","",BN245-BO245)</f>
        <v/>
      </c>
      <c r="BQ245" s="55" t="str">
        <f aca="false">IF(BN245="","",IF(BO245&gt;=BN245,"На складе",IF(BO245&gt;0,"Частично","Ждём")))</f>
        <v/>
      </c>
      <c r="BR245" s="43"/>
      <c r="BS245" s="47" t="str">
        <f aca="false">IF(BN245="","",IF(_xlfn.MAXIFS(ЗАКАЗЫ!$AK$3:$AK$500,ЗАКАЗЫ!$F$3:$F$500,$A245)=0,"",_xlfn.MAXIFS(ЗАКАЗЫ!$AK$3:$AK$500,ЗАКАЗЫ!$F$3:$F$500,$A245)))</f>
        <v/>
      </c>
    </row>
    <row r="246" customFormat="false" ht="15.75" hidden="false" customHeight="true" outlineLevel="0" collapsed="false">
      <c r="A246" s="80" t="s">
        <v>1078</v>
      </c>
      <c r="B246" s="81"/>
      <c r="C246" s="81"/>
      <c r="D246" s="81"/>
      <c r="E246" s="83"/>
      <c r="F246" s="81"/>
      <c r="G246" s="83"/>
      <c r="H246" s="83"/>
      <c r="I246" s="84" t="str">
        <f aca="false">IF(E246="","",A246&amp;"_1.jpg")</f>
        <v/>
      </c>
      <c r="J246" s="84" t="str">
        <f aca="false">IF(E246="","",A246&amp;"_2.jpg; "&amp;A246&amp;"_3.jpg")</f>
        <v/>
      </c>
      <c r="K246" s="84" t="str">
        <f aca="false">IF(E246="","",A246&amp;"_schema.jpg")</f>
        <v/>
      </c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 t="s">
        <v>96</v>
      </c>
      <c r="W246" s="81"/>
      <c r="X246" s="81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6" t="str">
        <f aca="false">IF(SUM(Y246:AJ246)=0,"",SUM(Y246:AJ246))</f>
        <v/>
      </c>
      <c r="AL246" s="84" t="str">
        <f aca="false">MID(IF(N(Y246)&gt;0,", "&amp;Y$2,"")&amp;IF(N(Z246)&gt;0,", "&amp;Z$2,"")&amp;IF(N(AA246)&gt;0,", "&amp;AA$2,"")&amp;IF(N(AB246)&gt;0,", "&amp;AB$2,"")&amp;IF(N(AC246)&gt;0,", "&amp;AC$2,"")&amp;IF(N(AD246)&gt;0,", "&amp;AD$2,"")&amp;IF(N(AE246)&gt;0,", "&amp;AE$2,"")&amp;IF(N(AF246)&gt;0,", "&amp;AF$2,"")&amp;IF(N(AG246)&gt;0,", "&amp;AG$2,"")&amp;IF(N(AH246)&gt;0,", "&amp;AH$2,"")&amp;IF(N(AI246)&gt;0,", "&amp;AI$2,"")&amp;IF(N(AJ246)&gt;0,", "&amp;AJ$2,""),3,999)</f>
        <v/>
      </c>
      <c r="AM246" s="87" t="str">
        <f aca="false">IF(E246="","",MID(IF(N(Y246)&gt;0,", "&amp;A246&amp;"-"&amp;Y$2,"")&amp;IF(N(Z246)&gt;0,", "&amp;A246&amp;"-"&amp;Z$2,"")&amp;IF(N(AA246)&gt;0,", "&amp;A246&amp;"-"&amp;AA$2,"")&amp;IF(N(AB246)&gt;0,", "&amp;A246&amp;"-"&amp;AB$2,"")&amp;IF(N(AC246)&gt;0,", "&amp;A246&amp;"-"&amp;AC$2,"")&amp;IF(N(AD246)&gt;0,", "&amp;A246&amp;"-"&amp;AD$2,"")&amp;IF(N(AE246)&gt;0,", "&amp;A246&amp;"-"&amp;AE$2,"")&amp;IF(N(AF246)&gt;0,", "&amp;A246&amp;"-"&amp;AF$2,"")&amp;IF(N(AG246)&gt;0,", "&amp;A246&amp;"-"&amp;AG$2,"")&amp;IF(N(AH246)&gt;0,", "&amp;A246&amp;"-"&amp;AH$2,"")&amp;IF(N(AI246)&gt;0,", "&amp;A246&amp;"-"&amp;AI$2,"")&amp;IF(N(AJ246)&gt;0,", "&amp;A246&amp;"-"&amp;AJ$2,""),3,999))</f>
        <v/>
      </c>
      <c r="AN246" s="81"/>
      <c r="AO246" s="88"/>
      <c r="AP246" s="89" t="str">
        <f aca="false">IF(AO246="","",ROUND(AO246/(1+Справочники!$B$13),2))</f>
        <v/>
      </c>
      <c r="AQ246" s="90" t="str">
        <f aca="false" t="array" ref="AQ246:AQ246">IF(AP246="","",AP246*INDEX(Справочники!$B$4:$B$7,MATCH("RUB",Справочники!$A$4:$A$7,0)))</f>
        <v/>
      </c>
      <c r="AR246" s="90" t="str">
        <f aca="false">IF(AQ246="","",ROUND(AQ246*(1+Справочники!$B$12),0))</f>
        <v/>
      </c>
      <c r="AS246" s="90" t="str">
        <f aca="false">IF(AR246="","",ROUND(AR246*(1-Справочники!$B$11),0))</f>
        <v/>
      </c>
      <c r="AT246" s="88"/>
      <c r="AU246" s="90" t="str">
        <f aca="false">IF(AT246="","",ROUND(AT246/(1+Справочники!$B$12),0))</f>
        <v/>
      </c>
      <c r="AV246" s="90" t="str">
        <f aca="false">IF(AT246="","",ROUND(AT246*(1-Справочники!$B$15),0))</f>
        <v/>
      </c>
      <c r="AW246" s="90" t="str">
        <f aca="false">IF(AT246="","",ROUND(AT246*(1-Справочники!$B$16),0))</f>
        <v/>
      </c>
      <c r="AX246" s="90" t="str">
        <f aca="false">IF(AT246="","",ROUND(AT246*(1-Справочники!$B$17),0))</f>
        <v/>
      </c>
      <c r="AY246" s="90" t="str">
        <f aca="false">IF(AT246="","",ROUND(AT246*(1-Справочники!$B$18),0))</f>
        <v/>
      </c>
      <c r="AZ246" s="90" t="str">
        <f aca="false">IF(AT246="","",ROUND(AT246*(1-Справочники!$B$19),0))</f>
        <v/>
      </c>
      <c r="BA246" s="81"/>
      <c r="BB246" s="81"/>
      <c r="BC246" s="81"/>
      <c r="BD246" s="81"/>
      <c r="BE246" s="91"/>
      <c r="BF246" s="81" t="s">
        <v>103</v>
      </c>
      <c r="BG246" s="89" t="n">
        <f aca="false" t="array" ref="BG246:BG246">IF(BF246="","",IFERROR(INDEX(Справочники!$B$4:$B$7,MATCH(BF246,Справочники!$A$4:$A$7,0)),""))</f>
        <v>68.5</v>
      </c>
      <c r="BH246" s="90" t="str">
        <f aca="false">IF(N(BN246)&gt;0,ROUND(SUMIF(ЗАКАЗЫ!$F$3:$F$500,$A246,ЗАКАЗЫ!$Y$3:$Y$500)/BN246,0),IF(OR(BE246="",BG246=""),"",ROUND(BE246*BG246*(1+Справочники!$B$10),0)))</f>
        <v/>
      </c>
      <c r="BI246" s="92" t="str">
        <f aca="false">IF(OR(AU246="",BH246="",AU246=0),"",(AU246-BH246)/AU246)</f>
        <v/>
      </c>
      <c r="BJ246" s="81"/>
      <c r="BK246" s="83"/>
      <c r="BL246" s="43" t="str">
        <f aca="false">IFERROR(INDEX(ЗАКАЗЫ!$N$3:$N$500,MATCH($A246,ЗАКАЗЫ!$F$3:$F$500,0)),"")</f>
        <v/>
      </c>
      <c r="BM246" s="8" t="str">
        <f aca="false">IF(BL246="","",IFERROR(VLOOKUP(BL246,'ТН ВЭД'!$A$4:$C$40,3,0),""))</f>
        <v/>
      </c>
      <c r="BN246" s="7" t="str">
        <f aca="false">IF(COUNTIF(ЗАКАЗЫ!$F$3:$F$500,$A246)=0,"",SUMIF(ЗАКАЗЫ!$F$3:$F$500,$A246,ЗАКАЗЫ!$J$3:$J$500))</f>
        <v/>
      </c>
      <c r="BO246" s="7" t="str">
        <f aca="false">IF(BN246="","",SUMIF(ЗАКАЗЫ!$F$3:$F$500,$A246,ЗАКАЗЫ!$AL$3:$AL$500))</f>
        <v/>
      </c>
      <c r="BP246" s="7" t="str">
        <f aca="false">IF(BN246="","",BN246-BO246)</f>
        <v/>
      </c>
      <c r="BQ246" s="55" t="str">
        <f aca="false">IF(BN246="","",IF(BO246&gt;=BN246,"На складе",IF(BO246&gt;0,"Частично","Ждём")))</f>
        <v/>
      </c>
      <c r="BR246" s="43"/>
      <c r="BS246" s="47" t="str">
        <f aca="false">IF(BN246="","",IF(_xlfn.MAXIFS(ЗАКАЗЫ!$AK$3:$AK$500,ЗАКАЗЫ!$F$3:$F$500,$A246)=0,"",_xlfn.MAXIFS(ЗАКАЗЫ!$AK$3:$AK$500,ЗАКАЗЫ!$F$3:$F$500,$A246)))</f>
        <v/>
      </c>
    </row>
    <row r="247" customFormat="false" ht="15.75" hidden="false" customHeight="true" outlineLevel="0" collapsed="false">
      <c r="A247" s="80" t="s">
        <v>1079</v>
      </c>
      <c r="B247" s="81"/>
      <c r="C247" s="81"/>
      <c r="D247" s="81"/>
      <c r="E247" s="83"/>
      <c r="F247" s="81"/>
      <c r="G247" s="83"/>
      <c r="H247" s="83"/>
      <c r="I247" s="84" t="str">
        <f aca="false">IF(E247="","",A247&amp;"_1.jpg")</f>
        <v/>
      </c>
      <c r="J247" s="84" t="str">
        <f aca="false">IF(E247="","",A247&amp;"_2.jpg; "&amp;A247&amp;"_3.jpg")</f>
        <v/>
      </c>
      <c r="K247" s="84" t="str">
        <f aca="false">IF(E247="","",A247&amp;"_schema.jpg")</f>
        <v/>
      </c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 t="s">
        <v>96</v>
      </c>
      <c r="W247" s="81"/>
      <c r="X247" s="81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6" t="str">
        <f aca="false">IF(SUM(Y247:AJ247)=0,"",SUM(Y247:AJ247))</f>
        <v/>
      </c>
      <c r="AL247" s="84" t="str">
        <f aca="false">MID(IF(N(Y247)&gt;0,", "&amp;Y$2,"")&amp;IF(N(Z247)&gt;0,", "&amp;Z$2,"")&amp;IF(N(AA247)&gt;0,", "&amp;AA$2,"")&amp;IF(N(AB247)&gt;0,", "&amp;AB$2,"")&amp;IF(N(AC247)&gt;0,", "&amp;AC$2,"")&amp;IF(N(AD247)&gt;0,", "&amp;AD$2,"")&amp;IF(N(AE247)&gt;0,", "&amp;AE$2,"")&amp;IF(N(AF247)&gt;0,", "&amp;AF$2,"")&amp;IF(N(AG247)&gt;0,", "&amp;AG$2,"")&amp;IF(N(AH247)&gt;0,", "&amp;AH$2,"")&amp;IF(N(AI247)&gt;0,", "&amp;AI$2,"")&amp;IF(N(AJ247)&gt;0,", "&amp;AJ$2,""),3,999)</f>
        <v/>
      </c>
      <c r="AM247" s="87" t="str">
        <f aca="false">IF(E247="","",MID(IF(N(Y247)&gt;0,", "&amp;A247&amp;"-"&amp;Y$2,"")&amp;IF(N(Z247)&gt;0,", "&amp;A247&amp;"-"&amp;Z$2,"")&amp;IF(N(AA247)&gt;0,", "&amp;A247&amp;"-"&amp;AA$2,"")&amp;IF(N(AB247)&gt;0,", "&amp;A247&amp;"-"&amp;AB$2,"")&amp;IF(N(AC247)&gt;0,", "&amp;A247&amp;"-"&amp;AC$2,"")&amp;IF(N(AD247)&gt;0,", "&amp;A247&amp;"-"&amp;AD$2,"")&amp;IF(N(AE247)&gt;0,", "&amp;A247&amp;"-"&amp;AE$2,"")&amp;IF(N(AF247)&gt;0,", "&amp;A247&amp;"-"&amp;AF$2,"")&amp;IF(N(AG247)&gt;0,", "&amp;A247&amp;"-"&amp;AG$2,"")&amp;IF(N(AH247)&gt;0,", "&amp;A247&amp;"-"&amp;AH$2,"")&amp;IF(N(AI247)&gt;0,", "&amp;A247&amp;"-"&amp;AI$2,"")&amp;IF(N(AJ247)&gt;0,", "&amp;A247&amp;"-"&amp;AJ$2,""),3,999))</f>
        <v/>
      </c>
      <c r="AN247" s="81"/>
      <c r="AO247" s="88"/>
      <c r="AP247" s="89" t="str">
        <f aca="false">IF(AO247="","",ROUND(AO247/(1+Справочники!$B$13),2))</f>
        <v/>
      </c>
      <c r="AQ247" s="90" t="str">
        <f aca="false" t="array" ref="AQ247:AQ247">IF(AP247="","",AP247*INDEX(Справочники!$B$4:$B$7,MATCH("RUB",Справочники!$A$4:$A$7,0)))</f>
        <v/>
      </c>
      <c r="AR247" s="90" t="str">
        <f aca="false">IF(AQ247="","",ROUND(AQ247*(1+Справочники!$B$12),0))</f>
        <v/>
      </c>
      <c r="AS247" s="90" t="str">
        <f aca="false">IF(AR247="","",ROUND(AR247*(1-Справочники!$B$11),0))</f>
        <v/>
      </c>
      <c r="AT247" s="88"/>
      <c r="AU247" s="90" t="str">
        <f aca="false">IF(AT247="","",ROUND(AT247/(1+Справочники!$B$12),0))</f>
        <v/>
      </c>
      <c r="AV247" s="90" t="str">
        <f aca="false">IF(AT247="","",ROUND(AT247*(1-Справочники!$B$15),0))</f>
        <v/>
      </c>
      <c r="AW247" s="90" t="str">
        <f aca="false">IF(AT247="","",ROUND(AT247*(1-Справочники!$B$16),0))</f>
        <v/>
      </c>
      <c r="AX247" s="90" t="str">
        <f aca="false">IF(AT247="","",ROUND(AT247*(1-Справочники!$B$17),0))</f>
        <v/>
      </c>
      <c r="AY247" s="90" t="str">
        <f aca="false">IF(AT247="","",ROUND(AT247*(1-Справочники!$B$18),0))</f>
        <v/>
      </c>
      <c r="AZ247" s="90" t="str">
        <f aca="false">IF(AT247="","",ROUND(AT247*(1-Справочники!$B$19),0))</f>
        <v/>
      </c>
      <c r="BA247" s="81"/>
      <c r="BB247" s="81"/>
      <c r="BC247" s="81"/>
      <c r="BD247" s="81"/>
      <c r="BE247" s="91"/>
      <c r="BF247" s="81" t="s">
        <v>103</v>
      </c>
      <c r="BG247" s="89" t="n">
        <f aca="false" t="array" ref="BG247:BG247">IF(BF247="","",IFERROR(INDEX(Справочники!$B$4:$B$7,MATCH(BF247,Справочники!$A$4:$A$7,0)),""))</f>
        <v>68.5</v>
      </c>
      <c r="BH247" s="90" t="str">
        <f aca="false">IF(N(BN247)&gt;0,ROUND(SUMIF(ЗАКАЗЫ!$F$3:$F$500,$A247,ЗАКАЗЫ!$Y$3:$Y$500)/BN247,0),IF(OR(BE247="",BG247=""),"",ROUND(BE247*BG247*(1+Справочники!$B$10),0)))</f>
        <v/>
      </c>
      <c r="BI247" s="92" t="str">
        <f aca="false">IF(OR(AU247="",BH247="",AU247=0),"",(AU247-BH247)/AU247)</f>
        <v/>
      </c>
      <c r="BJ247" s="81"/>
      <c r="BK247" s="83"/>
      <c r="BL247" s="43" t="str">
        <f aca="false">IFERROR(INDEX(ЗАКАЗЫ!$N$3:$N$500,MATCH($A247,ЗАКАЗЫ!$F$3:$F$500,0)),"")</f>
        <v/>
      </c>
      <c r="BM247" s="8" t="str">
        <f aca="false">IF(BL247="","",IFERROR(VLOOKUP(BL247,'ТН ВЭД'!$A$4:$C$40,3,0),""))</f>
        <v/>
      </c>
      <c r="BN247" s="7" t="str">
        <f aca="false">IF(COUNTIF(ЗАКАЗЫ!$F$3:$F$500,$A247)=0,"",SUMIF(ЗАКАЗЫ!$F$3:$F$500,$A247,ЗАКАЗЫ!$J$3:$J$500))</f>
        <v/>
      </c>
      <c r="BO247" s="7" t="str">
        <f aca="false">IF(BN247="","",SUMIF(ЗАКАЗЫ!$F$3:$F$500,$A247,ЗАКАЗЫ!$AL$3:$AL$500))</f>
        <v/>
      </c>
      <c r="BP247" s="7" t="str">
        <f aca="false">IF(BN247="","",BN247-BO247)</f>
        <v/>
      </c>
      <c r="BQ247" s="55" t="str">
        <f aca="false">IF(BN247="","",IF(BO247&gt;=BN247,"На складе",IF(BO247&gt;0,"Частично","Ждём")))</f>
        <v/>
      </c>
      <c r="BR247" s="43"/>
      <c r="BS247" s="47" t="str">
        <f aca="false">IF(BN247="","",IF(_xlfn.MAXIFS(ЗАКАЗЫ!$AK$3:$AK$500,ЗАКАЗЫ!$F$3:$F$500,$A247)=0,"",_xlfn.MAXIFS(ЗАКАЗЫ!$AK$3:$AK$500,ЗАКАЗЫ!$F$3:$F$500,$A247)))</f>
        <v/>
      </c>
    </row>
    <row r="248" customFormat="false" ht="15.75" hidden="false" customHeight="true" outlineLevel="0" collapsed="false">
      <c r="A248" s="80" t="s">
        <v>1080</v>
      </c>
      <c r="B248" s="81"/>
      <c r="C248" s="81"/>
      <c r="D248" s="81"/>
      <c r="E248" s="83"/>
      <c r="F248" s="81"/>
      <c r="G248" s="83"/>
      <c r="H248" s="83"/>
      <c r="I248" s="84" t="str">
        <f aca="false">IF(E248="","",A248&amp;"_1.jpg")</f>
        <v/>
      </c>
      <c r="J248" s="84" t="str">
        <f aca="false">IF(E248="","",A248&amp;"_2.jpg; "&amp;A248&amp;"_3.jpg")</f>
        <v/>
      </c>
      <c r="K248" s="84" t="str">
        <f aca="false">IF(E248="","",A248&amp;"_schema.jpg")</f>
        <v/>
      </c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 t="s">
        <v>96</v>
      </c>
      <c r="W248" s="81"/>
      <c r="X248" s="81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6" t="str">
        <f aca="false">IF(SUM(Y248:AJ248)=0,"",SUM(Y248:AJ248))</f>
        <v/>
      </c>
      <c r="AL248" s="84" t="str">
        <f aca="false">MID(IF(N(Y248)&gt;0,", "&amp;Y$2,"")&amp;IF(N(Z248)&gt;0,", "&amp;Z$2,"")&amp;IF(N(AA248)&gt;0,", "&amp;AA$2,"")&amp;IF(N(AB248)&gt;0,", "&amp;AB$2,"")&amp;IF(N(AC248)&gt;0,", "&amp;AC$2,"")&amp;IF(N(AD248)&gt;0,", "&amp;AD$2,"")&amp;IF(N(AE248)&gt;0,", "&amp;AE$2,"")&amp;IF(N(AF248)&gt;0,", "&amp;AF$2,"")&amp;IF(N(AG248)&gt;0,", "&amp;AG$2,"")&amp;IF(N(AH248)&gt;0,", "&amp;AH$2,"")&amp;IF(N(AI248)&gt;0,", "&amp;AI$2,"")&amp;IF(N(AJ248)&gt;0,", "&amp;AJ$2,""),3,999)</f>
        <v/>
      </c>
      <c r="AM248" s="87" t="str">
        <f aca="false">IF(E248="","",MID(IF(N(Y248)&gt;0,", "&amp;A248&amp;"-"&amp;Y$2,"")&amp;IF(N(Z248)&gt;0,", "&amp;A248&amp;"-"&amp;Z$2,"")&amp;IF(N(AA248)&gt;0,", "&amp;A248&amp;"-"&amp;AA$2,"")&amp;IF(N(AB248)&gt;0,", "&amp;A248&amp;"-"&amp;AB$2,"")&amp;IF(N(AC248)&gt;0,", "&amp;A248&amp;"-"&amp;AC$2,"")&amp;IF(N(AD248)&gt;0,", "&amp;A248&amp;"-"&amp;AD$2,"")&amp;IF(N(AE248)&gt;0,", "&amp;A248&amp;"-"&amp;AE$2,"")&amp;IF(N(AF248)&gt;0,", "&amp;A248&amp;"-"&amp;AF$2,"")&amp;IF(N(AG248)&gt;0,", "&amp;A248&amp;"-"&amp;AG$2,"")&amp;IF(N(AH248)&gt;0,", "&amp;A248&amp;"-"&amp;AH$2,"")&amp;IF(N(AI248)&gt;0,", "&amp;A248&amp;"-"&amp;AI$2,"")&amp;IF(N(AJ248)&gt;0,", "&amp;A248&amp;"-"&amp;AJ$2,""),3,999))</f>
        <v/>
      </c>
      <c r="AN248" s="81"/>
      <c r="AO248" s="88"/>
      <c r="AP248" s="89" t="str">
        <f aca="false">IF(AO248="","",ROUND(AO248/(1+Справочники!$B$13),2))</f>
        <v/>
      </c>
      <c r="AQ248" s="90" t="str">
        <f aca="false" t="array" ref="AQ248:AQ248">IF(AP248="","",AP248*INDEX(Справочники!$B$4:$B$7,MATCH("RUB",Справочники!$A$4:$A$7,0)))</f>
        <v/>
      </c>
      <c r="AR248" s="90" t="str">
        <f aca="false">IF(AQ248="","",ROUND(AQ248*(1+Справочники!$B$12),0))</f>
        <v/>
      </c>
      <c r="AS248" s="90" t="str">
        <f aca="false">IF(AR248="","",ROUND(AR248*(1-Справочники!$B$11),0))</f>
        <v/>
      </c>
      <c r="AT248" s="88"/>
      <c r="AU248" s="90" t="str">
        <f aca="false">IF(AT248="","",ROUND(AT248/(1+Справочники!$B$12),0))</f>
        <v/>
      </c>
      <c r="AV248" s="90" t="str">
        <f aca="false">IF(AT248="","",ROUND(AT248*(1-Справочники!$B$15),0))</f>
        <v/>
      </c>
      <c r="AW248" s="90" t="str">
        <f aca="false">IF(AT248="","",ROUND(AT248*(1-Справочники!$B$16),0))</f>
        <v/>
      </c>
      <c r="AX248" s="90" t="str">
        <f aca="false">IF(AT248="","",ROUND(AT248*(1-Справочники!$B$17),0))</f>
        <v/>
      </c>
      <c r="AY248" s="90" t="str">
        <f aca="false">IF(AT248="","",ROUND(AT248*(1-Справочники!$B$18),0))</f>
        <v/>
      </c>
      <c r="AZ248" s="90" t="str">
        <f aca="false">IF(AT248="","",ROUND(AT248*(1-Справочники!$B$19),0))</f>
        <v/>
      </c>
      <c r="BA248" s="81"/>
      <c r="BB248" s="81"/>
      <c r="BC248" s="81"/>
      <c r="BD248" s="81"/>
      <c r="BE248" s="91"/>
      <c r="BF248" s="81" t="s">
        <v>103</v>
      </c>
      <c r="BG248" s="89" t="n">
        <f aca="false" t="array" ref="BG248:BG248">IF(BF248="","",IFERROR(INDEX(Справочники!$B$4:$B$7,MATCH(BF248,Справочники!$A$4:$A$7,0)),""))</f>
        <v>68.5</v>
      </c>
      <c r="BH248" s="90" t="str">
        <f aca="false">IF(N(BN248)&gt;0,ROUND(SUMIF(ЗАКАЗЫ!$F$3:$F$500,$A248,ЗАКАЗЫ!$Y$3:$Y$500)/BN248,0),IF(OR(BE248="",BG248=""),"",ROUND(BE248*BG248*(1+Справочники!$B$10),0)))</f>
        <v/>
      </c>
      <c r="BI248" s="92" t="str">
        <f aca="false">IF(OR(AU248="",BH248="",AU248=0),"",(AU248-BH248)/AU248)</f>
        <v/>
      </c>
      <c r="BJ248" s="81"/>
      <c r="BK248" s="83"/>
      <c r="BL248" s="43" t="str">
        <f aca="false">IFERROR(INDEX(ЗАКАЗЫ!$N$3:$N$500,MATCH($A248,ЗАКАЗЫ!$F$3:$F$500,0)),"")</f>
        <v/>
      </c>
      <c r="BM248" s="8" t="str">
        <f aca="false">IF(BL248="","",IFERROR(VLOOKUP(BL248,'ТН ВЭД'!$A$4:$C$40,3,0),""))</f>
        <v/>
      </c>
      <c r="BN248" s="7" t="str">
        <f aca="false">IF(COUNTIF(ЗАКАЗЫ!$F$3:$F$500,$A248)=0,"",SUMIF(ЗАКАЗЫ!$F$3:$F$500,$A248,ЗАКАЗЫ!$J$3:$J$500))</f>
        <v/>
      </c>
      <c r="BO248" s="7" t="str">
        <f aca="false">IF(BN248="","",SUMIF(ЗАКАЗЫ!$F$3:$F$500,$A248,ЗАКАЗЫ!$AL$3:$AL$500))</f>
        <v/>
      </c>
      <c r="BP248" s="7" t="str">
        <f aca="false">IF(BN248="","",BN248-BO248)</f>
        <v/>
      </c>
      <c r="BQ248" s="55" t="str">
        <f aca="false">IF(BN248="","",IF(BO248&gt;=BN248,"На складе",IF(BO248&gt;0,"Частично","Ждём")))</f>
        <v/>
      </c>
      <c r="BR248" s="43"/>
      <c r="BS248" s="47" t="str">
        <f aca="false">IF(BN248="","",IF(_xlfn.MAXIFS(ЗАКАЗЫ!$AK$3:$AK$500,ЗАКАЗЫ!$F$3:$F$500,$A248)=0,"",_xlfn.MAXIFS(ЗАКАЗЫ!$AK$3:$AK$500,ЗАКАЗЫ!$F$3:$F$500,$A248)))</f>
        <v/>
      </c>
    </row>
    <row r="249" customFormat="false" ht="15.75" hidden="false" customHeight="true" outlineLevel="0" collapsed="false">
      <c r="A249" s="80" t="s">
        <v>1081</v>
      </c>
      <c r="B249" s="81"/>
      <c r="C249" s="81"/>
      <c r="D249" s="81"/>
      <c r="E249" s="83"/>
      <c r="F249" s="81"/>
      <c r="G249" s="83"/>
      <c r="H249" s="83"/>
      <c r="I249" s="84" t="str">
        <f aca="false">IF(E249="","",A249&amp;"_1.jpg")</f>
        <v/>
      </c>
      <c r="J249" s="84" t="str">
        <f aca="false">IF(E249="","",A249&amp;"_2.jpg; "&amp;A249&amp;"_3.jpg")</f>
        <v/>
      </c>
      <c r="K249" s="84" t="str">
        <f aca="false">IF(E249="","",A249&amp;"_schema.jpg")</f>
        <v/>
      </c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 t="s">
        <v>96</v>
      </c>
      <c r="W249" s="81"/>
      <c r="X249" s="81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6" t="str">
        <f aca="false">IF(SUM(Y249:AJ249)=0,"",SUM(Y249:AJ249))</f>
        <v/>
      </c>
      <c r="AL249" s="84" t="str">
        <f aca="false">MID(IF(N(Y249)&gt;0,", "&amp;Y$2,"")&amp;IF(N(Z249)&gt;0,", "&amp;Z$2,"")&amp;IF(N(AA249)&gt;0,", "&amp;AA$2,"")&amp;IF(N(AB249)&gt;0,", "&amp;AB$2,"")&amp;IF(N(AC249)&gt;0,", "&amp;AC$2,"")&amp;IF(N(AD249)&gt;0,", "&amp;AD$2,"")&amp;IF(N(AE249)&gt;0,", "&amp;AE$2,"")&amp;IF(N(AF249)&gt;0,", "&amp;AF$2,"")&amp;IF(N(AG249)&gt;0,", "&amp;AG$2,"")&amp;IF(N(AH249)&gt;0,", "&amp;AH$2,"")&amp;IF(N(AI249)&gt;0,", "&amp;AI$2,"")&amp;IF(N(AJ249)&gt;0,", "&amp;AJ$2,""),3,999)</f>
        <v/>
      </c>
      <c r="AM249" s="87" t="str">
        <f aca="false">IF(E249="","",MID(IF(N(Y249)&gt;0,", "&amp;A249&amp;"-"&amp;Y$2,"")&amp;IF(N(Z249)&gt;0,", "&amp;A249&amp;"-"&amp;Z$2,"")&amp;IF(N(AA249)&gt;0,", "&amp;A249&amp;"-"&amp;AA$2,"")&amp;IF(N(AB249)&gt;0,", "&amp;A249&amp;"-"&amp;AB$2,"")&amp;IF(N(AC249)&gt;0,", "&amp;A249&amp;"-"&amp;AC$2,"")&amp;IF(N(AD249)&gt;0,", "&amp;A249&amp;"-"&amp;AD$2,"")&amp;IF(N(AE249)&gt;0,", "&amp;A249&amp;"-"&amp;AE$2,"")&amp;IF(N(AF249)&gt;0,", "&amp;A249&amp;"-"&amp;AF$2,"")&amp;IF(N(AG249)&gt;0,", "&amp;A249&amp;"-"&amp;AG$2,"")&amp;IF(N(AH249)&gt;0,", "&amp;A249&amp;"-"&amp;AH$2,"")&amp;IF(N(AI249)&gt;0,", "&amp;A249&amp;"-"&amp;AI$2,"")&amp;IF(N(AJ249)&gt;0,", "&amp;A249&amp;"-"&amp;AJ$2,""),3,999))</f>
        <v/>
      </c>
      <c r="AN249" s="81"/>
      <c r="AO249" s="88"/>
      <c r="AP249" s="89" t="str">
        <f aca="false">IF(AO249="","",ROUND(AO249/(1+Справочники!$B$13),2))</f>
        <v/>
      </c>
      <c r="AQ249" s="90" t="str">
        <f aca="false" t="array" ref="AQ249:AQ249">IF(AP249="","",AP249*INDEX(Справочники!$B$4:$B$7,MATCH("RUB",Справочники!$A$4:$A$7,0)))</f>
        <v/>
      </c>
      <c r="AR249" s="90" t="str">
        <f aca="false">IF(AQ249="","",ROUND(AQ249*(1+Справочники!$B$12),0))</f>
        <v/>
      </c>
      <c r="AS249" s="90" t="str">
        <f aca="false">IF(AR249="","",ROUND(AR249*(1-Справочники!$B$11),0))</f>
        <v/>
      </c>
      <c r="AT249" s="88"/>
      <c r="AU249" s="90" t="str">
        <f aca="false">IF(AT249="","",ROUND(AT249/(1+Справочники!$B$12),0))</f>
        <v/>
      </c>
      <c r="AV249" s="90" t="str">
        <f aca="false">IF(AT249="","",ROUND(AT249*(1-Справочники!$B$15),0))</f>
        <v/>
      </c>
      <c r="AW249" s="90" t="str">
        <f aca="false">IF(AT249="","",ROUND(AT249*(1-Справочники!$B$16),0))</f>
        <v/>
      </c>
      <c r="AX249" s="90" t="str">
        <f aca="false">IF(AT249="","",ROUND(AT249*(1-Справочники!$B$17),0))</f>
        <v/>
      </c>
      <c r="AY249" s="90" t="str">
        <f aca="false">IF(AT249="","",ROUND(AT249*(1-Справочники!$B$18),0))</f>
        <v/>
      </c>
      <c r="AZ249" s="90" t="str">
        <f aca="false">IF(AT249="","",ROUND(AT249*(1-Справочники!$B$19),0))</f>
        <v/>
      </c>
      <c r="BA249" s="81"/>
      <c r="BB249" s="81"/>
      <c r="BC249" s="81"/>
      <c r="BD249" s="81"/>
      <c r="BE249" s="91"/>
      <c r="BF249" s="81" t="s">
        <v>103</v>
      </c>
      <c r="BG249" s="89" t="n">
        <f aca="false" t="array" ref="BG249:BG249">IF(BF249="","",IFERROR(INDEX(Справочники!$B$4:$B$7,MATCH(BF249,Справочники!$A$4:$A$7,0)),""))</f>
        <v>68.5</v>
      </c>
      <c r="BH249" s="90" t="str">
        <f aca="false">IF(N(BN249)&gt;0,ROUND(SUMIF(ЗАКАЗЫ!$F$3:$F$500,$A249,ЗАКАЗЫ!$Y$3:$Y$500)/BN249,0),IF(OR(BE249="",BG249=""),"",ROUND(BE249*BG249*(1+Справочники!$B$10),0)))</f>
        <v/>
      </c>
      <c r="BI249" s="92" t="str">
        <f aca="false">IF(OR(AU249="",BH249="",AU249=0),"",(AU249-BH249)/AU249)</f>
        <v/>
      </c>
      <c r="BJ249" s="81"/>
      <c r="BK249" s="83"/>
      <c r="BL249" s="43" t="str">
        <f aca="false">IFERROR(INDEX(ЗАКАЗЫ!$N$3:$N$500,MATCH($A249,ЗАКАЗЫ!$F$3:$F$500,0)),"")</f>
        <v/>
      </c>
      <c r="BM249" s="8" t="str">
        <f aca="false">IF(BL249="","",IFERROR(VLOOKUP(BL249,'ТН ВЭД'!$A$4:$C$40,3,0),""))</f>
        <v/>
      </c>
      <c r="BN249" s="7" t="str">
        <f aca="false">IF(COUNTIF(ЗАКАЗЫ!$F$3:$F$500,$A249)=0,"",SUMIF(ЗАКАЗЫ!$F$3:$F$500,$A249,ЗАКАЗЫ!$J$3:$J$500))</f>
        <v/>
      </c>
      <c r="BO249" s="7" t="str">
        <f aca="false">IF(BN249="","",SUMIF(ЗАКАЗЫ!$F$3:$F$500,$A249,ЗАКАЗЫ!$AL$3:$AL$500))</f>
        <v/>
      </c>
      <c r="BP249" s="7" t="str">
        <f aca="false">IF(BN249="","",BN249-BO249)</f>
        <v/>
      </c>
      <c r="BQ249" s="55" t="str">
        <f aca="false">IF(BN249="","",IF(BO249&gt;=BN249,"На складе",IF(BO249&gt;0,"Частично","Ждём")))</f>
        <v/>
      </c>
      <c r="BR249" s="43"/>
      <c r="BS249" s="47" t="str">
        <f aca="false">IF(BN249="","",IF(_xlfn.MAXIFS(ЗАКАЗЫ!$AK$3:$AK$500,ЗАКАЗЫ!$F$3:$F$500,$A249)=0,"",_xlfn.MAXIFS(ЗАКАЗЫ!$AK$3:$AK$500,ЗАКАЗЫ!$F$3:$F$500,$A249)))</f>
        <v/>
      </c>
    </row>
    <row r="250" customFormat="false" ht="15.75" hidden="false" customHeight="true" outlineLevel="0" collapsed="false">
      <c r="A250" s="80" t="s">
        <v>1082</v>
      </c>
      <c r="B250" s="81"/>
      <c r="C250" s="81"/>
      <c r="D250" s="81"/>
      <c r="E250" s="83"/>
      <c r="F250" s="81"/>
      <c r="G250" s="83"/>
      <c r="H250" s="83"/>
      <c r="I250" s="84" t="str">
        <f aca="false">IF(E250="","",A250&amp;"_1.jpg")</f>
        <v/>
      </c>
      <c r="J250" s="84" t="str">
        <f aca="false">IF(E250="","",A250&amp;"_2.jpg; "&amp;A250&amp;"_3.jpg")</f>
        <v/>
      </c>
      <c r="K250" s="84" t="str">
        <f aca="false">IF(E250="","",A250&amp;"_schema.jpg")</f>
        <v/>
      </c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 t="s">
        <v>96</v>
      </c>
      <c r="W250" s="81"/>
      <c r="X250" s="81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6" t="str">
        <f aca="false">IF(SUM(Y250:AJ250)=0,"",SUM(Y250:AJ250))</f>
        <v/>
      </c>
      <c r="AL250" s="84" t="str">
        <f aca="false">MID(IF(N(Y250)&gt;0,", "&amp;Y$2,"")&amp;IF(N(Z250)&gt;0,", "&amp;Z$2,"")&amp;IF(N(AA250)&gt;0,", "&amp;AA$2,"")&amp;IF(N(AB250)&gt;0,", "&amp;AB$2,"")&amp;IF(N(AC250)&gt;0,", "&amp;AC$2,"")&amp;IF(N(AD250)&gt;0,", "&amp;AD$2,"")&amp;IF(N(AE250)&gt;0,", "&amp;AE$2,"")&amp;IF(N(AF250)&gt;0,", "&amp;AF$2,"")&amp;IF(N(AG250)&gt;0,", "&amp;AG$2,"")&amp;IF(N(AH250)&gt;0,", "&amp;AH$2,"")&amp;IF(N(AI250)&gt;0,", "&amp;AI$2,"")&amp;IF(N(AJ250)&gt;0,", "&amp;AJ$2,""),3,999)</f>
        <v/>
      </c>
      <c r="AM250" s="87" t="str">
        <f aca="false">IF(E250="","",MID(IF(N(Y250)&gt;0,", "&amp;A250&amp;"-"&amp;Y$2,"")&amp;IF(N(Z250)&gt;0,", "&amp;A250&amp;"-"&amp;Z$2,"")&amp;IF(N(AA250)&gt;0,", "&amp;A250&amp;"-"&amp;AA$2,"")&amp;IF(N(AB250)&gt;0,", "&amp;A250&amp;"-"&amp;AB$2,"")&amp;IF(N(AC250)&gt;0,", "&amp;A250&amp;"-"&amp;AC$2,"")&amp;IF(N(AD250)&gt;0,", "&amp;A250&amp;"-"&amp;AD$2,"")&amp;IF(N(AE250)&gt;0,", "&amp;A250&amp;"-"&amp;AE$2,"")&amp;IF(N(AF250)&gt;0,", "&amp;A250&amp;"-"&amp;AF$2,"")&amp;IF(N(AG250)&gt;0,", "&amp;A250&amp;"-"&amp;AG$2,"")&amp;IF(N(AH250)&gt;0,", "&amp;A250&amp;"-"&amp;AH$2,"")&amp;IF(N(AI250)&gt;0,", "&amp;A250&amp;"-"&amp;AI$2,"")&amp;IF(N(AJ250)&gt;0,", "&amp;A250&amp;"-"&amp;AJ$2,""),3,999))</f>
        <v/>
      </c>
      <c r="AN250" s="81"/>
      <c r="AO250" s="88"/>
      <c r="AP250" s="89" t="str">
        <f aca="false">IF(AO250="","",ROUND(AO250/(1+Справочники!$B$13),2))</f>
        <v/>
      </c>
      <c r="AQ250" s="90" t="str">
        <f aca="false" t="array" ref="AQ250:AQ250">IF(AP250="","",AP250*INDEX(Справочники!$B$4:$B$7,MATCH("RUB",Справочники!$A$4:$A$7,0)))</f>
        <v/>
      </c>
      <c r="AR250" s="90" t="str">
        <f aca="false">IF(AQ250="","",ROUND(AQ250*(1+Справочники!$B$12),0))</f>
        <v/>
      </c>
      <c r="AS250" s="90" t="str">
        <f aca="false">IF(AR250="","",ROUND(AR250*(1-Справочники!$B$11),0))</f>
        <v/>
      </c>
      <c r="AT250" s="88"/>
      <c r="AU250" s="90" t="str">
        <f aca="false">IF(AT250="","",ROUND(AT250/(1+Справочники!$B$12),0))</f>
        <v/>
      </c>
      <c r="AV250" s="90" t="str">
        <f aca="false">IF(AT250="","",ROUND(AT250*(1-Справочники!$B$15),0))</f>
        <v/>
      </c>
      <c r="AW250" s="90" t="str">
        <f aca="false">IF(AT250="","",ROUND(AT250*(1-Справочники!$B$16),0))</f>
        <v/>
      </c>
      <c r="AX250" s="90" t="str">
        <f aca="false">IF(AT250="","",ROUND(AT250*(1-Справочники!$B$17),0))</f>
        <v/>
      </c>
      <c r="AY250" s="90" t="str">
        <f aca="false">IF(AT250="","",ROUND(AT250*(1-Справочники!$B$18),0))</f>
        <v/>
      </c>
      <c r="AZ250" s="90" t="str">
        <f aca="false">IF(AT250="","",ROUND(AT250*(1-Справочники!$B$19),0))</f>
        <v/>
      </c>
      <c r="BA250" s="81"/>
      <c r="BB250" s="81"/>
      <c r="BC250" s="81"/>
      <c r="BD250" s="81"/>
      <c r="BE250" s="91"/>
      <c r="BF250" s="81" t="s">
        <v>103</v>
      </c>
      <c r="BG250" s="89" t="n">
        <f aca="false" t="array" ref="BG250:BG250">IF(BF250="","",IFERROR(INDEX(Справочники!$B$4:$B$7,MATCH(BF250,Справочники!$A$4:$A$7,0)),""))</f>
        <v>68.5</v>
      </c>
      <c r="BH250" s="90" t="str">
        <f aca="false">IF(N(BN250)&gt;0,ROUND(SUMIF(ЗАКАЗЫ!$F$3:$F$500,$A250,ЗАКАЗЫ!$Y$3:$Y$500)/BN250,0),IF(OR(BE250="",BG250=""),"",ROUND(BE250*BG250*(1+Справочники!$B$10),0)))</f>
        <v/>
      </c>
      <c r="BI250" s="92" t="str">
        <f aca="false">IF(OR(AU250="",BH250="",AU250=0),"",(AU250-BH250)/AU250)</f>
        <v/>
      </c>
      <c r="BJ250" s="81"/>
      <c r="BK250" s="83"/>
      <c r="BL250" s="43" t="str">
        <f aca="false">IFERROR(INDEX(ЗАКАЗЫ!$N$3:$N$500,MATCH($A250,ЗАКАЗЫ!$F$3:$F$500,0)),"")</f>
        <v/>
      </c>
      <c r="BM250" s="8" t="str">
        <f aca="false">IF(BL250="","",IFERROR(VLOOKUP(BL250,'ТН ВЭД'!$A$4:$C$40,3,0),""))</f>
        <v/>
      </c>
      <c r="BN250" s="7" t="str">
        <f aca="false">IF(COUNTIF(ЗАКАЗЫ!$F$3:$F$500,$A250)=0,"",SUMIF(ЗАКАЗЫ!$F$3:$F$500,$A250,ЗАКАЗЫ!$J$3:$J$500))</f>
        <v/>
      </c>
      <c r="BO250" s="7" t="str">
        <f aca="false">IF(BN250="","",SUMIF(ЗАКАЗЫ!$F$3:$F$500,$A250,ЗАКАЗЫ!$AL$3:$AL$500))</f>
        <v/>
      </c>
      <c r="BP250" s="7" t="str">
        <f aca="false">IF(BN250="","",BN250-BO250)</f>
        <v/>
      </c>
      <c r="BQ250" s="55" t="str">
        <f aca="false">IF(BN250="","",IF(BO250&gt;=BN250,"На складе",IF(BO250&gt;0,"Частично","Ждём")))</f>
        <v/>
      </c>
      <c r="BR250" s="43"/>
      <c r="BS250" s="47" t="str">
        <f aca="false">IF(BN250="","",IF(_xlfn.MAXIFS(ЗАКАЗЫ!$AK$3:$AK$500,ЗАКАЗЫ!$F$3:$F$500,$A250)=0,"",_xlfn.MAXIFS(ЗАКАЗЫ!$AK$3:$AK$500,ЗАКАЗЫ!$F$3:$F$500,$A250)))</f>
        <v/>
      </c>
    </row>
    <row r="251" customFormat="false" ht="15.75" hidden="false" customHeight="true" outlineLevel="0" collapsed="false">
      <c r="A251" s="80" t="s">
        <v>1083</v>
      </c>
      <c r="B251" s="81"/>
      <c r="C251" s="81"/>
      <c r="D251" s="81"/>
      <c r="E251" s="83"/>
      <c r="F251" s="81"/>
      <c r="G251" s="83"/>
      <c r="H251" s="83"/>
      <c r="I251" s="84" t="str">
        <f aca="false">IF(E251="","",A251&amp;"_1.jpg")</f>
        <v/>
      </c>
      <c r="J251" s="84" t="str">
        <f aca="false">IF(E251="","",A251&amp;"_2.jpg; "&amp;A251&amp;"_3.jpg")</f>
        <v/>
      </c>
      <c r="K251" s="84" t="str">
        <f aca="false">IF(E251="","",A251&amp;"_schema.jpg")</f>
        <v/>
      </c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 t="s">
        <v>96</v>
      </c>
      <c r="W251" s="81"/>
      <c r="X251" s="81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6" t="str">
        <f aca="false">IF(SUM(Y251:AJ251)=0,"",SUM(Y251:AJ251))</f>
        <v/>
      </c>
      <c r="AL251" s="84" t="str">
        <f aca="false">MID(IF(N(Y251)&gt;0,", "&amp;Y$2,"")&amp;IF(N(Z251)&gt;0,", "&amp;Z$2,"")&amp;IF(N(AA251)&gt;0,", "&amp;AA$2,"")&amp;IF(N(AB251)&gt;0,", "&amp;AB$2,"")&amp;IF(N(AC251)&gt;0,", "&amp;AC$2,"")&amp;IF(N(AD251)&gt;0,", "&amp;AD$2,"")&amp;IF(N(AE251)&gt;0,", "&amp;AE$2,"")&amp;IF(N(AF251)&gt;0,", "&amp;AF$2,"")&amp;IF(N(AG251)&gt;0,", "&amp;AG$2,"")&amp;IF(N(AH251)&gt;0,", "&amp;AH$2,"")&amp;IF(N(AI251)&gt;0,", "&amp;AI$2,"")&amp;IF(N(AJ251)&gt;0,", "&amp;AJ$2,""),3,999)</f>
        <v/>
      </c>
      <c r="AM251" s="87" t="str">
        <f aca="false">IF(E251="","",MID(IF(N(Y251)&gt;0,", "&amp;A251&amp;"-"&amp;Y$2,"")&amp;IF(N(Z251)&gt;0,", "&amp;A251&amp;"-"&amp;Z$2,"")&amp;IF(N(AA251)&gt;0,", "&amp;A251&amp;"-"&amp;AA$2,"")&amp;IF(N(AB251)&gt;0,", "&amp;A251&amp;"-"&amp;AB$2,"")&amp;IF(N(AC251)&gt;0,", "&amp;A251&amp;"-"&amp;AC$2,"")&amp;IF(N(AD251)&gt;0,", "&amp;A251&amp;"-"&amp;AD$2,"")&amp;IF(N(AE251)&gt;0,", "&amp;A251&amp;"-"&amp;AE$2,"")&amp;IF(N(AF251)&gt;0,", "&amp;A251&amp;"-"&amp;AF$2,"")&amp;IF(N(AG251)&gt;0,", "&amp;A251&amp;"-"&amp;AG$2,"")&amp;IF(N(AH251)&gt;0,", "&amp;A251&amp;"-"&amp;AH$2,"")&amp;IF(N(AI251)&gt;0,", "&amp;A251&amp;"-"&amp;AI$2,"")&amp;IF(N(AJ251)&gt;0,", "&amp;A251&amp;"-"&amp;AJ$2,""),3,999))</f>
        <v/>
      </c>
      <c r="AN251" s="81"/>
      <c r="AO251" s="88"/>
      <c r="AP251" s="89" t="str">
        <f aca="false">IF(AO251="","",ROUND(AO251/(1+Справочники!$B$13),2))</f>
        <v/>
      </c>
      <c r="AQ251" s="90" t="str">
        <f aca="false" t="array" ref="AQ251:AQ251">IF(AP251="","",AP251*INDEX(Справочники!$B$4:$B$7,MATCH("RUB",Справочники!$A$4:$A$7,0)))</f>
        <v/>
      </c>
      <c r="AR251" s="90" t="str">
        <f aca="false">IF(AQ251="","",ROUND(AQ251*(1+Справочники!$B$12),0))</f>
        <v/>
      </c>
      <c r="AS251" s="90" t="str">
        <f aca="false">IF(AR251="","",ROUND(AR251*(1-Справочники!$B$11),0))</f>
        <v/>
      </c>
      <c r="AT251" s="88"/>
      <c r="AU251" s="90" t="str">
        <f aca="false">IF(AT251="","",ROUND(AT251/(1+Справочники!$B$12),0))</f>
        <v/>
      </c>
      <c r="AV251" s="90" t="str">
        <f aca="false">IF(AT251="","",ROUND(AT251*(1-Справочники!$B$15),0))</f>
        <v/>
      </c>
      <c r="AW251" s="90" t="str">
        <f aca="false">IF(AT251="","",ROUND(AT251*(1-Справочники!$B$16),0))</f>
        <v/>
      </c>
      <c r="AX251" s="90" t="str">
        <f aca="false">IF(AT251="","",ROUND(AT251*(1-Справочники!$B$17),0))</f>
        <v/>
      </c>
      <c r="AY251" s="90" t="str">
        <f aca="false">IF(AT251="","",ROUND(AT251*(1-Справочники!$B$18),0))</f>
        <v/>
      </c>
      <c r="AZ251" s="90" t="str">
        <f aca="false">IF(AT251="","",ROUND(AT251*(1-Справочники!$B$19),0))</f>
        <v/>
      </c>
      <c r="BA251" s="81"/>
      <c r="BB251" s="81"/>
      <c r="BC251" s="81"/>
      <c r="BD251" s="81"/>
      <c r="BE251" s="91"/>
      <c r="BF251" s="81" t="s">
        <v>103</v>
      </c>
      <c r="BG251" s="89" t="n">
        <f aca="false" t="array" ref="BG251:BG251">IF(BF251="","",IFERROR(INDEX(Справочники!$B$4:$B$7,MATCH(BF251,Справочники!$A$4:$A$7,0)),""))</f>
        <v>68.5</v>
      </c>
      <c r="BH251" s="90" t="str">
        <f aca="false">IF(N(BN251)&gt;0,ROUND(SUMIF(ЗАКАЗЫ!$F$3:$F$500,$A251,ЗАКАЗЫ!$Y$3:$Y$500)/BN251,0),IF(OR(BE251="",BG251=""),"",ROUND(BE251*BG251*(1+Справочники!$B$10),0)))</f>
        <v/>
      </c>
      <c r="BI251" s="92" t="str">
        <f aca="false">IF(OR(AU251="",BH251="",AU251=0),"",(AU251-BH251)/AU251)</f>
        <v/>
      </c>
      <c r="BJ251" s="81"/>
      <c r="BK251" s="83"/>
      <c r="BL251" s="43" t="str">
        <f aca="false">IFERROR(INDEX(ЗАКАЗЫ!$N$3:$N$500,MATCH($A251,ЗАКАЗЫ!$F$3:$F$500,0)),"")</f>
        <v/>
      </c>
      <c r="BM251" s="8" t="str">
        <f aca="false">IF(BL251="","",IFERROR(VLOOKUP(BL251,'ТН ВЭД'!$A$4:$C$40,3,0),""))</f>
        <v/>
      </c>
      <c r="BN251" s="7" t="str">
        <f aca="false">IF(COUNTIF(ЗАКАЗЫ!$F$3:$F$500,$A251)=0,"",SUMIF(ЗАКАЗЫ!$F$3:$F$500,$A251,ЗАКАЗЫ!$J$3:$J$500))</f>
        <v/>
      </c>
      <c r="BO251" s="7" t="str">
        <f aca="false">IF(BN251="","",SUMIF(ЗАКАЗЫ!$F$3:$F$500,$A251,ЗАКАЗЫ!$AL$3:$AL$500))</f>
        <v/>
      </c>
      <c r="BP251" s="7" t="str">
        <f aca="false">IF(BN251="","",BN251-BO251)</f>
        <v/>
      </c>
      <c r="BQ251" s="55" t="str">
        <f aca="false">IF(BN251="","",IF(BO251&gt;=BN251,"На складе",IF(BO251&gt;0,"Частично","Ждём")))</f>
        <v/>
      </c>
      <c r="BR251" s="43"/>
      <c r="BS251" s="47" t="str">
        <f aca="false">IF(BN251="","",IF(_xlfn.MAXIFS(ЗАКАЗЫ!$AK$3:$AK$500,ЗАКАЗЫ!$F$3:$F$500,$A251)=0,"",_xlfn.MAXIFS(ЗАКАЗЫ!$AK$3:$AK$500,ЗАКАЗЫ!$F$3:$F$500,$A251)))</f>
        <v/>
      </c>
    </row>
    <row r="252" customFormat="false" ht="15.75" hidden="false" customHeight="true" outlineLevel="0" collapsed="false">
      <c r="A252" s="80" t="s">
        <v>1084</v>
      </c>
      <c r="B252" s="81"/>
      <c r="C252" s="81"/>
      <c r="D252" s="81"/>
      <c r="E252" s="83"/>
      <c r="F252" s="81"/>
      <c r="G252" s="83"/>
      <c r="H252" s="83"/>
      <c r="I252" s="84" t="str">
        <f aca="false">IF(E252="","",A252&amp;"_1.jpg")</f>
        <v/>
      </c>
      <c r="J252" s="84" t="str">
        <f aca="false">IF(E252="","",A252&amp;"_2.jpg; "&amp;A252&amp;"_3.jpg")</f>
        <v/>
      </c>
      <c r="K252" s="84" t="str">
        <f aca="false">IF(E252="","",A252&amp;"_schema.jpg")</f>
        <v/>
      </c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 t="s">
        <v>96</v>
      </c>
      <c r="W252" s="81"/>
      <c r="X252" s="81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6" t="str">
        <f aca="false">IF(SUM(Y252:AJ252)=0,"",SUM(Y252:AJ252))</f>
        <v/>
      </c>
      <c r="AL252" s="84" t="str">
        <f aca="false">MID(IF(N(Y252)&gt;0,", "&amp;Y$2,"")&amp;IF(N(Z252)&gt;0,", "&amp;Z$2,"")&amp;IF(N(AA252)&gt;0,", "&amp;AA$2,"")&amp;IF(N(AB252)&gt;0,", "&amp;AB$2,"")&amp;IF(N(AC252)&gt;0,", "&amp;AC$2,"")&amp;IF(N(AD252)&gt;0,", "&amp;AD$2,"")&amp;IF(N(AE252)&gt;0,", "&amp;AE$2,"")&amp;IF(N(AF252)&gt;0,", "&amp;AF$2,"")&amp;IF(N(AG252)&gt;0,", "&amp;AG$2,"")&amp;IF(N(AH252)&gt;0,", "&amp;AH$2,"")&amp;IF(N(AI252)&gt;0,", "&amp;AI$2,"")&amp;IF(N(AJ252)&gt;0,", "&amp;AJ$2,""),3,999)</f>
        <v/>
      </c>
      <c r="AM252" s="87" t="str">
        <f aca="false">IF(E252="","",MID(IF(N(Y252)&gt;0,", "&amp;A252&amp;"-"&amp;Y$2,"")&amp;IF(N(Z252)&gt;0,", "&amp;A252&amp;"-"&amp;Z$2,"")&amp;IF(N(AA252)&gt;0,", "&amp;A252&amp;"-"&amp;AA$2,"")&amp;IF(N(AB252)&gt;0,", "&amp;A252&amp;"-"&amp;AB$2,"")&amp;IF(N(AC252)&gt;0,", "&amp;A252&amp;"-"&amp;AC$2,"")&amp;IF(N(AD252)&gt;0,", "&amp;A252&amp;"-"&amp;AD$2,"")&amp;IF(N(AE252)&gt;0,", "&amp;A252&amp;"-"&amp;AE$2,"")&amp;IF(N(AF252)&gt;0,", "&amp;A252&amp;"-"&amp;AF$2,"")&amp;IF(N(AG252)&gt;0,", "&amp;A252&amp;"-"&amp;AG$2,"")&amp;IF(N(AH252)&gt;0,", "&amp;A252&amp;"-"&amp;AH$2,"")&amp;IF(N(AI252)&gt;0,", "&amp;A252&amp;"-"&amp;AI$2,"")&amp;IF(N(AJ252)&gt;0,", "&amp;A252&amp;"-"&amp;AJ$2,""),3,999))</f>
        <v/>
      </c>
      <c r="AN252" s="81"/>
      <c r="AO252" s="88"/>
      <c r="AP252" s="89" t="str">
        <f aca="false">IF(AO252="","",ROUND(AO252/(1+Справочники!$B$13),2))</f>
        <v/>
      </c>
      <c r="AQ252" s="90" t="str">
        <f aca="false" t="array" ref="AQ252:AQ252">IF(AP252="","",AP252*INDEX(Справочники!$B$4:$B$7,MATCH("RUB",Справочники!$A$4:$A$7,0)))</f>
        <v/>
      </c>
      <c r="AR252" s="90" t="str">
        <f aca="false">IF(AQ252="","",ROUND(AQ252*(1+Справочники!$B$12),0))</f>
        <v/>
      </c>
      <c r="AS252" s="90" t="str">
        <f aca="false">IF(AR252="","",ROUND(AR252*(1-Справочники!$B$11),0))</f>
        <v/>
      </c>
      <c r="AT252" s="88"/>
      <c r="AU252" s="90" t="str">
        <f aca="false">IF(AT252="","",ROUND(AT252/(1+Справочники!$B$12),0))</f>
        <v/>
      </c>
      <c r="AV252" s="90" t="str">
        <f aca="false">IF(AT252="","",ROUND(AT252*(1-Справочники!$B$15),0))</f>
        <v/>
      </c>
      <c r="AW252" s="90" t="str">
        <f aca="false">IF(AT252="","",ROUND(AT252*(1-Справочники!$B$16),0))</f>
        <v/>
      </c>
      <c r="AX252" s="90" t="str">
        <f aca="false">IF(AT252="","",ROUND(AT252*(1-Справочники!$B$17),0))</f>
        <v/>
      </c>
      <c r="AY252" s="90" t="str">
        <f aca="false">IF(AT252="","",ROUND(AT252*(1-Справочники!$B$18),0))</f>
        <v/>
      </c>
      <c r="AZ252" s="90" t="str">
        <f aca="false">IF(AT252="","",ROUND(AT252*(1-Справочники!$B$19),0))</f>
        <v/>
      </c>
      <c r="BA252" s="81"/>
      <c r="BB252" s="81"/>
      <c r="BC252" s="81"/>
      <c r="BD252" s="81"/>
      <c r="BE252" s="91"/>
      <c r="BF252" s="81" t="s">
        <v>103</v>
      </c>
      <c r="BG252" s="89" t="n">
        <f aca="false" t="array" ref="BG252:BG252">IF(BF252="","",IFERROR(INDEX(Справочники!$B$4:$B$7,MATCH(BF252,Справочники!$A$4:$A$7,0)),""))</f>
        <v>68.5</v>
      </c>
      <c r="BH252" s="90" t="str">
        <f aca="false">IF(N(BN252)&gt;0,ROUND(SUMIF(ЗАКАЗЫ!$F$3:$F$500,$A252,ЗАКАЗЫ!$Y$3:$Y$500)/BN252,0),IF(OR(BE252="",BG252=""),"",ROUND(BE252*BG252*(1+Справочники!$B$10),0)))</f>
        <v/>
      </c>
      <c r="BI252" s="92" t="str">
        <f aca="false">IF(OR(AU252="",BH252="",AU252=0),"",(AU252-BH252)/AU252)</f>
        <v/>
      </c>
      <c r="BJ252" s="81"/>
      <c r="BK252" s="83"/>
      <c r="BL252" s="43" t="str">
        <f aca="false">IFERROR(INDEX(ЗАКАЗЫ!$N$3:$N$500,MATCH($A252,ЗАКАЗЫ!$F$3:$F$500,0)),"")</f>
        <v/>
      </c>
      <c r="BM252" s="8" t="str">
        <f aca="false">IF(BL252="","",IFERROR(VLOOKUP(BL252,'ТН ВЭД'!$A$4:$C$40,3,0),""))</f>
        <v/>
      </c>
      <c r="BN252" s="7" t="str">
        <f aca="false">IF(COUNTIF(ЗАКАЗЫ!$F$3:$F$500,$A252)=0,"",SUMIF(ЗАКАЗЫ!$F$3:$F$500,$A252,ЗАКАЗЫ!$J$3:$J$500))</f>
        <v/>
      </c>
      <c r="BO252" s="7" t="str">
        <f aca="false">IF(BN252="","",SUMIF(ЗАКАЗЫ!$F$3:$F$500,$A252,ЗАКАЗЫ!$AL$3:$AL$500))</f>
        <v/>
      </c>
      <c r="BP252" s="7" t="str">
        <f aca="false">IF(BN252="","",BN252-BO252)</f>
        <v/>
      </c>
      <c r="BQ252" s="55" t="str">
        <f aca="false">IF(BN252="","",IF(BO252&gt;=BN252,"На складе",IF(BO252&gt;0,"Частично","Ждём")))</f>
        <v/>
      </c>
      <c r="BR252" s="43"/>
      <c r="BS252" s="47" t="str">
        <f aca="false">IF(BN252="","",IF(_xlfn.MAXIFS(ЗАКАЗЫ!$AK$3:$AK$500,ЗАКАЗЫ!$F$3:$F$500,$A252)=0,"",_xlfn.MAXIFS(ЗАКАЗЫ!$AK$3:$AK$500,ЗАКАЗЫ!$F$3:$F$500,$A252)))</f>
        <v/>
      </c>
    </row>
    <row r="253" customFormat="false" ht="15.75" hidden="false" customHeight="true" outlineLevel="0" collapsed="false">
      <c r="A253" s="80" t="s">
        <v>1085</v>
      </c>
      <c r="B253" s="81"/>
      <c r="C253" s="81"/>
      <c r="D253" s="81"/>
      <c r="E253" s="83"/>
      <c r="F253" s="81"/>
      <c r="G253" s="83"/>
      <c r="H253" s="83"/>
      <c r="I253" s="84" t="str">
        <f aca="false">IF(E253="","",A253&amp;"_1.jpg")</f>
        <v/>
      </c>
      <c r="J253" s="84" t="str">
        <f aca="false">IF(E253="","",A253&amp;"_2.jpg; "&amp;A253&amp;"_3.jpg")</f>
        <v/>
      </c>
      <c r="K253" s="84" t="str">
        <f aca="false">IF(E253="","",A253&amp;"_schema.jpg")</f>
        <v/>
      </c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 t="s">
        <v>96</v>
      </c>
      <c r="W253" s="81"/>
      <c r="X253" s="81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6" t="str">
        <f aca="false">IF(SUM(Y253:AJ253)=0,"",SUM(Y253:AJ253))</f>
        <v/>
      </c>
      <c r="AL253" s="84" t="str">
        <f aca="false">MID(IF(N(Y253)&gt;0,", "&amp;Y$2,"")&amp;IF(N(Z253)&gt;0,", "&amp;Z$2,"")&amp;IF(N(AA253)&gt;0,", "&amp;AA$2,"")&amp;IF(N(AB253)&gt;0,", "&amp;AB$2,"")&amp;IF(N(AC253)&gt;0,", "&amp;AC$2,"")&amp;IF(N(AD253)&gt;0,", "&amp;AD$2,"")&amp;IF(N(AE253)&gt;0,", "&amp;AE$2,"")&amp;IF(N(AF253)&gt;0,", "&amp;AF$2,"")&amp;IF(N(AG253)&gt;0,", "&amp;AG$2,"")&amp;IF(N(AH253)&gt;0,", "&amp;AH$2,"")&amp;IF(N(AI253)&gt;0,", "&amp;AI$2,"")&amp;IF(N(AJ253)&gt;0,", "&amp;AJ$2,""),3,999)</f>
        <v/>
      </c>
      <c r="AM253" s="87" t="str">
        <f aca="false">IF(E253="","",MID(IF(N(Y253)&gt;0,", "&amp;A253&amp;"-"&amp;Y$2,"")&amp;IF(N(Z253)&gt;0,", "&amp;A253&amp;"-"&amp;Z$2,"")&amp;IF(N(AA253)&gt;0,", "&amp;A253&amp;"-"&amp;AA$2,"")&amp;IF(N(AB253)&gt;0,", "&amp;A253&amp;"-"&amp;AB$2,"")&amp;IF(N(AC253)&gt;0,", "&amp;A253&amp;"-"&amp;AC$2,"")&amp;IF(N(AD253)&gt;0,", "&amp;A253&amp;"-"&amp;AD$2,"")&amp;IF(N(AE253)&gt;0,", "&amp;A253&amp;"-"&amp;AE$2,"")&amp;IF(N(AF253)&gt;0,", "&amp;A253&amp;"-"&amp;AF$2,"")&amp;IF(N(AG253)&gt;0,", "&amp;A253&amp;"-"&amp;AG$2,"")&amp;IF(N(AH253)&gt;0,", "&amp;A253&amp;"-"&amp;AH$2,"")&amp;IF(N(AI253)&gt;0,", "&amp;A253&amp;"-"&amp;AI$2,"")&amp;IF(N(AJ253)&gt;0,", "&amp;A253&amp;"-"&amp;AJ$2,""),3,999))</f>
        <v/>
      </c>
      <c r="AN253" s="81"/>
      <c r="AO253" s="88"/>
      <c r="AP253" s="89" t="str">
        <f aca="false">IF(AO253="","",ROUND(AO253/(1+Справочники!$B$13),2))</f>
        <v/>
      </c>
      <c r="AQ253" s="90" t="str">
        <f aca="false" t="array" ref="AQ253:AQ253">IF(AP253="","",AP253*INDEX(Справочники!$B$4:$B$7,MATCH("RUB",Справочники!$A$4:$A$7,0)))</f>
        <v/>
      </c>
      <c r="AR253" s="90" t="str">
        <f aca="false">IF(AQ253="","",ROUND(AQ253*(1+Справочники!$B$12),0))</f>
        <v/>
      </c>
      <c r="AS253" s="90" t="str">
        <f aca="false">IF(AR253="","",ROUND(AR253*(1-Справочники!$B$11),0))</f>
        <v/>
      </c>
      <c r="AT253" s="88"/>
      <c r="AU253" s="90" t="str">
        <f aca="false">IF(AT253="","",ROUND(AT253/(1+Справочники!$B$12),0))</f>
        <v/>
      </c>
      <c r="AV253" s="90" t="str">
        <f aca="false">IF(AT253="","",ROUND(AT253*(1-Справочники!$B$15),0))</f>
        <v/>
      </c>
      <c r="AW253" s="90" t="str">
        <f aca="false">IF(AT253="","",ROUND(AT253*(1-Справочники!$B$16),0))</f>
        <v/>
      </c>
      <c r="AX253" s="90" t="str">
        <f aca="false">IF(AT253="","",ROUND(AT253*(1-Справочники!$B$17),0))</f>
        <v/>
      </c>
      <c r="AY253" s="90" t="str">
        <f aca="false">IF(AT253="","",ROUND(AT253*(1-Справочники!$B$18),0))</f>
        <v/>
      </c>
      <c r="AZ253" s="90" t="str">
        <f aca="false">IF(AT253="","",ROUND(AT253*(1-Справочники!$B$19),0))</f>
        <v/>
      </c>
      <c r="BA253" s="81"/>
      <c r="BB253" s="81"/>
      <c r="BC253" s="81"/>
      <c r="BD253" s="81"/>
      <c r="BE253" s="91"/>
      <c r="BF253" s="81" t="s">
        <v>103</v>
      </c>
      <c r="BG253" s="89" t="n">
        <f aca="false" t="array" ref="BG253:BG253">IF(BF253="","",IFERROR(INDEX(Справочники!$B$4:$B$7,MATCH(BF253,Справочники!$A$4:$A$7,0)),""))</f>
        <v>68.5</v>
      </c>
      <c r="BH253" s="90" t="str">
        <f aca="false">IF(N(BN253)&gt;0,ROUND(SUMIF(ЗАКАЗЫ!$F$3:$F$500,$A253,ЗАКАЗЫ!$Y$3:$Y$500)/BN253,0),IF(OR(BE253="",BG253=""),"",ROUND(BE253*BG253*(1+Справочники!$B$10),0)))</f>
        <v/>
      </c>
      <c r="BI253" s="92" t="str">
        <f aca="false">IF(OR(AU253="",BH253="",AU253=0),"",(AU253-BH253)/AU253)</f>
        <v/>
      </c>
      <c r="BJ253" s="81"/>
      <c r="BK253" s="83"/>
      <c r="BL253" s="43" t="str">
        <f aca="false">IFERROR(INDEX(ЗАКАЗЫ!$N$3:$N$500,MATCH($A253,ЗАКАЗЫ!$F$3:$F$500,0)),"")</f>
        <v/>
      </c>
      <c r="BM253" s="8" t="str">
        <f aca="false">IF(BL253="","",IFERROR(VLOOKUP(BL253,'ТН ВЭД'!$A$4:$C$40,3,0),""))</f>
        <v/>
      </c>
      <c r="BN253" s="7" t="str">
        <f aca="false">IF(COUNTIF(ЗАКАЗЫ!$F$3:$F$500,$A253)=0,"",SUMIF(ЗАКАЗЫ!$F$3:$F$500,$A253,ЗАКАЗЫ!$J$3:$J$500))</f>
        <v/>
      </c>
      <c r="BO253" s="7" t="str">
        <f aca="false">IF(BN253="","",SUMIF(ЗАКАЗЫ!$F$3:$F$500,$A253,ЗАКАЗЫ!$AL$3:$AL$500))</f>
        <v/>
      </c>
      <c r="BP253" s="7" t="str">
        <f aca="false">IF(BN253="","",BN253-BO253)</f>
        <v/>
      </c>
      <c r="BQ253" s="55" t="str">
        <f aca="false">IF(BN253="","",IF(BO253&gt;=BN253,"На складе",IF(BO253&gt;0,"Частично","Ждём")))</f>
        <v/>
      </c>
      <c r="BR253" s="43"/>
      <c r="BS253" s="47" t="str">
        <f aca="false">IF(BN253="","",IF(_xlfn.MAXIFS(ЗАКАЗЫ!$AK$3:$AK$500,ЗАКАЗЫ!$F$3:$F$500,$A253)=0,"",_xlfn.MAXIFS(ЗАКАЗЫ!$AK$3:$AK$500,ЗАКАЗЫ!$F$3:$F$500,$A253)))</f>
        <v/>
      </c>
    </row>
    <row r="254" customFormat="false" ht="15.75" hidden="false" customHeight="true" outlineLevel="0" collapsed="false">
      <c r="A254" s="80" t="s">
        <v>1086</v>
      </c>
      <c r="B254" s="81"/>
      <c r="C254" s="81"/>
      <c r="D254" s="81"/>
      <c r="E254" s="83"/>
      <c r="F254" s="81"/>
      <c r="G254" s="83"/>
      <c r="H254" s="83"/>
      <c r="I254" s="84" t="str">
        <f aca="false">IF(E254="","",A254&amp;"_1.jpg")</f>
        <v/>
      </c>
      <c r="J254" s="84" t="str">
        <f aca="false">IF(E254="","",A254&amp;"_2.jpg; "&amp;A254&amp;"_3.jpg")</f>
        <v/>
      </c>
      <c r="K254" s="84" t="str">
        <f aca="false">IF(E254="","",A254&amp;"_schema.jpg")</f>
        <v/>
      </c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 t="s">
        <v>96</v>
      </c>
      <c r="W254" s="81"/>
      <c r="X254" s="81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6" t="str">
        <f aca="false">IF(SUM(Y254:AJ254)=0,"",SUM(Y254:AJ254))</f>
        <v/>
      </c>
      <c r="AL254" s="84" t="str">
        <f aca="false">MID(IF(N(Y254)&gt;0,", "&amp;Y$2,"")&amp;IF(N(Z254)&gt;0,", "&amp;Z$2,"")&amp;IF(N(AA254)&gt;0,", "&amp;AA$2,"")&amp;IF(N(AB254)&gt;0,", "&amp;AB$2,"")&amp;IF(N(AC254)&gt;0,", "&amp;AC$2,"")&amp;IF(N(AD254)&gt;0,", "&amp;AD$2,"")&amp;IF(N(AE254)&gt;0,", "&amp;AE$2,"")&amp;IF(N(AF254)&gt;0,", "&amp;AF$2,"")&amp;IF(N(AG254)&gt;0,", "&amp;AG$2,"")&amp;IF(N(AH254)&gt;0,", "&amp;AH$2,"")&amp;IF(N(AI254)&gt;0,", "&amp;AI$2,"")&amp;IF(N(AJ254)&gt;0,", "&amp;AJ$2,""),3,999)</f>
        <v/>
      </c>
      <c r="AM254" s="87" t="str">
        <f aca="false">IF(E254="","",MID(IF(N(Y254)&gt;0,", "&amp;A254&amp;"-"&amp;Y$2,"")&amp;IF(N(Z254)&gt;0,", "&amp;A254&amp;"-"&amp;Z$2,"")&amp;IF(N(AA254)&gt;0,", "&amp;A254&amp;"-"&amp;AA$2,"")&amp;IF(N(AB254)&gt;0,", "&amp;A254&amp;"-"&amp;AB$2,"")&amp;IF(N(AC254)&gt;0,", "&amp;A254&amp;"-"&amp;AC$2,"")&amp;IF(N(AD254)&gt;0,", "&amp;A254&amp;"-"&amp;AD$2,"")&amp;IF(N(AE254)&gt;0,", "&amp;A254&amp;"-"&amp;AE$2,"")&amp;IF(N(AF254)&gt;0,", "&amp;A254&amp;"-"&amp;AF$2,"")&amp;IF(N(AG254)&gt;0,", "&amp;A254&amp;"-"&amp;AG$2,"")&amp;IF(N(AH254)&gt;0,", "&amp;A254&amp;"-"&amp;AH$2,"")&amp;IF(N(AI254)&gt;0,", "&amp;A254&amp;"-"&amp;AI$2,"")&amp;IF(N(AJ254)&gt;0,", "&amp;A254&amp;"-"&amp;AJ$2,""),3,999))</f>
        <v/>
      </c>
      <c r="AN254" s="81"/>
      <c r="AO254" s="88"/>
      <c r="AP254" s="89" t="str">
        <f aca="false">IF(AO254="","",ROUND(AO254/(1+Справочники!$B$13),2))</f>
        <v/>
      </c>
      <c r="AQ254" s="90" t="str">
        <f aca="false" t="array" ref="AQ254:AQ254">IF(AP254="","",AP254*INDEX(Справочники!$B$4:$B$7,MATCH("RUB",Справочники!$A$4:$A$7,0)))</f>
        <v/>
      </c>
      <c r="AR254" s="90" t="str">
        <f aca="false">IF(AQ254="","",ROUND(AQ254*(1+Справочники!$B$12),0))</f>
        <v/>
      </c>
      <c r="AS254" s="90" t="str">
        <f aca="false">IF(AR254="","",ROUND(AR254*(1-Справочники!$B$11),0))</f>
        <v/>
      </c>
      <c r="AT254" s="88"/>
      <c r="AU254" s="90" t="str">
        <f aca="false">IF(AT254="","",ROUND(AT254/(1+Справочники!$B$12),0))</f>
        <v/>
      </c>
      <c r="AV254" s="90" t="str">
        <f aca="false">IF(AT254="","",ROUND(AT254*(1-Справочники!$B$15),0))</f>
        <v/>
      </c>
      <c r="AW254" s="90" t="str">
        <f aca="false">IF(AT254="","",ROUND(AT254*(1-Справочники!$B$16),0))</f>
        <v/>
      </c>
      <c r="AX254" s="90" t="str">
        <f aca="false">IF(AT254="","",ROUND(AT254*(1-Справочники!$B$17),0))</f>
        <v/>
      </c>
      <c r="AY254" s="90" t="str">
        <f aca="false">IF(AT254="","",ROUND(AT254*(1-Справочники!$B$18),0))</f>
        <v/>
      </c>
      <c r="AZ254" s="90" t="str">
        <f aca="false">IF(AT254="","",ROUND(AT254*(1-Справочники!$B$19),0))</f>
        <v/>
      </c>
      <c r="BA254" s="81"/>
      <c r="BB254" s="81"/>
      <c r="BC254" s="81"/>
      <c r="BD254" s="81"/>
      <c r="BE254" s="91"/>
      <c r="BF254" s="81" t="s">
        <v>103</v>
      </c>
      <c r="BG254" s="89" t="n">
        <f aca="false" t="array" ref="BG254:BG254">IF(BF254="","",IFERROR(INDEX(Справочники!$B$4:$B$7,MATCH(BF254,Справочники!$A$4:$A$7,0)),""))</f>
        <v>68.5</v>
      </c>
      <c r="BH254" s="90" t="str">
        <f aca="false">IF(N(BN254)&gt;0,ROUND(SUMIF(ЗАКАЗЫ!$F$3:$F$500,$A254,ЗАКАЗЫ!$Y$3:$Y$500)/BN254,0),IF(OR(BE254="",BG254=""),"",ROUND(BE254*BG254*(1+Справочники!$B$10),0)))</f>
        <v/>
      </c>
      <c r="BI254" s="92" t="str">
        <f aca="false">IF(OR(AU254="",BH254="",AU254=0),"",(AU254-BH254)/AU254)</f>
        <v/>
      </c>
      <c r="BJ254" s="81"/>
      <c r="BK254" s="83"/>
      <c r="BL254" s="43" t="str">
        <f aca="false">IFERROR(INDEX(ЗАКАЗЫ!$N$3:$N$500,MATCH($A254,ЗАКАЗЫ!$F$3:$F$500,0)),"")</f>
        <v/>
      </c>
      <c r="BM254" s="8" t="str">
        <f aca="false">IF(BL254="","",IFERROR(VLOOKUP(BL254,'ТН ВЭД'!$A$4:$C$40,3,0),""))</f>
        <v/>
      </c>
      <c r="BN254" s="7" t="str">
        <f aca="false">IF(COUNTIF(ЗАКАЗЫ!$F$3:$F$500,$A254)=0,"",SUMIF(ЗАКАЗЫ!$F$3:$F$500,$A254,ЗАКАЗЫ!$J$3:$J$500))</f>
        <v/>
      </c>
      <c r="BO254" s="7" t="str">
        <f aca="false">IF(BN254="","",SUMIF(ЗАКАЗЫ!$F$3:$F$500,$A254,ЗАКАЗЫ!$AL$3:$AL$500))</f>
        <v/>
      </c>
      <c r="BP254" s="7" t="str">
        <f aca="false">IF(BN254="","",BN254-BO254)</f>
        <v/>
      </c>
      <c r="BQ254" s="55" t="str">
        <f aca="false">IF(BN254="","",IF(BO254&gt;=BN254,"На складе",IF(BO254&gt;0,"Частично","Ждём")))</f>
        <v/>
      </c>
      <c r="BR254" s="43"/>
      <c r="BS254" s="47" t="str">
        <f aca="false">IF(BN254="","",IF(_xlfn.MAXIFS(ЗАКАЗЫ!$AK$3:$AK$500,ЗАКАЗЫ!$F$3:$F$500,$A254)=0,"",_xlfn.MAXIFS(ЗАКАЗЫ!$AK$3:$AK$500,ЗАКАЗЫ!$F$3:$F$500,$A254)))</f>
        <v/>
      </c>
    </row>
    <row r="255" customFormat="false" ht="15.75" hidden="false" customHeight="true" outlineLevel="0" collapsed="false">
      <c r="A255" s="80" t="s">
        <v>1087</v>
      </c>
      <c r="B255" s="81"/>
      <c r="C255" s="81"/>
      <c r="D255" s="81"/>
      <c r="E255" s="83"/>
      <c r="F255" s="81"/>
      <c r="G255" s="83"/>
      <c r="H255" s="83"/>
      <c r="I255" s="84" t="str">
        <f aca="false">IF(E255="","",A255&amp;"_1.jpg")</f>
        <v/>
      </c>
      <c r="J255" s="84" t="str">
        <f aca="false">IF(E255="","",A255&amp;"_2.jpg; "&amp;A255&amp;"_3.jpg")</f>
        <v/>
      </c>
      <c r="K255" s="84" t="str">
        <f aca="false">IF(E255="","",A255&amp;"_schema.jpg")</f>
        <v/>
      </c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 t="s">
        <v>96</v>
      </c>
      <c r="W255" s="81"/>
      <c r="X255" s="81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6" t="str">
        <f aca="false">IF(SUM(Y255:AJ255)=0,"",SUM(Y255:AJ255))</f>
        <v/>
      </c>
      <c r="AL255" s="84" t="str">
        <f aca="false">MID(IF(N(Y255)&gt;0,", "&amp;Y$2,"")&amp;IF(N(Z255)&gt;0,", "&amp;Z$2,"")&amp;IF(N(AA255)&gt;0,", "&amp;AA$2,"")&amp;IF(N(AB255)&gt;0,", "&amp;AB$2,"")&amp;IF(N(AC255)&gt;0,", "&amp;AC$2,"")&amp;IF(N(AD255)&gt;0,", "&amp;AD$2,"")&amp;IF(N(AE255)&gt;0,", "&amp;AE$2,"")&amp;IF(N(AF255)&gt;0,", "&amp;AF$2,"")&amp;IF(N(AG255)&gt;0,", "&amp;AG$2,"")&amp;IF(N(AH255)&gt;0,", "&amp;AH$2,"")&amp;IF(N(AI255)&gt;0,", "&amp;AI$2,"")&amp;IF(N(AJ255)&gt;0,", "&amp;AJ$2,""),3,999)</f>
        <v/>
      </c>
      <c r="AM255" s="87" t="str">
        <f aca="false">IF(E255="","",MID(IF(N(Y255)&gt;0,", "&amp;A255&amp;"-"&amp;Y$2,"")&amp;IF(N(Z255)&gt;0,", "&amp;A255&amp;"-"&amp;Z$2,"")&amp;IF(N(AA255)&gt;0,", "&amp;A255&amp;"-"&amp;AA$2,"")&amp;IF(N(AB255)&gt;0,", "&amp;A255&amp;"-"&amp;AB$2,"")&amp;IF(N(AC255)&gt;0,", "&amp;A255&amp;"-"&amp;AC$2,"")&amp;IF(N(AD255)&gt;0,", "&amp;A255&amp;"-"&amp;AD$2,"")&amp;IF(N(AE255)&gt;0,", "&amp;A255&amp;"-"&amp;AE$2,"")&amp;IF(N(AF255)&gt;0,", "&amp;A255&amp;"-"&amp;AF$2,"")&amp;IF(N(AG255)&gt;0,", "&amp;A255&amp;"-"&amp;AG$2,"")&amp;IF(N(AH255)&gt;0,", "&amp;A255&amp;"-"&amp;AH$2,"")&amp;IF(N(AI255)&gt;0,", "&amp;A255&amp;"-"&amp;AI$2,"")&amp;IF(N(AJ255)&gt;0,", "&amp;A255&amp;"-"&amp;AJ$2,""),3,999))</f>
        <v/>
      </c>
      <c r="AN255" s="81"/>
      <c r="AO255" s="88"/>
      <c r="AP255" s="89" t="str">
        <f aca="false">IF(AO255="","",ROUND(AO255/(1+Справочники!$B$13),2))</f>
        <v/>
      </c>
      <c r="AQ255" s="90" t="str">
        <f aca="false" t="array" ref="AQ255:AQ255">IF(AP255="","",AP255*INDEX(Справочники!$B$4:$B$7,MATCH("RUB",Справочники!$A$4:$A$7,0)))</f>
        <v/>
      </c>
      <c r="AR255" s="90" t="str">
        <f aca="false">IF(AQ255="","",ROUND(AQ255*(1+Справочники!$B$12),0))</f>
        <v/>
      </c>
      <c r="AS255" s="90" t="str">
        <f aca="false">IF(AR255="","",ROUND(AR255*(1-Справочники!$B$11),0))</f>
        <v/>
      </c>
      <c r="AT255" s="88"/>
      <c r="AU255" s="90" t="str">
        <f aca="false">IF(AT255="","",ROUND(AT255/(1+Справочники!$B$12),0))</f>
        <v/>
      </c>
      <c r="AV255" s="90" t="str">
        <f aca="false">IF(AT255="","",ROUND(AT255*(1-Справочники!$B$15),0))</f>
        <v/>
      </c>
      <c r="AW255" s="90" t="str">
        <f aca="false">IF(AT255="","",ROUND(AT255*(1-Справочники!$B$16),0))</f>
        <v/>
      </c>
      <c r="AX255" s="90" t="str">
        <f aca="false">IF(AT255="","",ROUND(AT255*(1-Справочники!$B$17),0))</f>
        <v/>
      </c>
      <c r="AY255" s="90" t="str">
        <f aca="false">IF(AT255="","",ROUND(AT255*(1-Справочники!$B$18),0))</f>
        <v/>
      </c>
      <c r="AZ255" s="90" t="str">
        <f aca="false">IF(AT255="","",ROUND(AT255*(1-Справочники!$B$19),0))</f>
        <v/>
      </c>
      <c r="BA255" s="81"/>
      <c r="BB255" s="81"/>
      <c r="BC255" s="81"/>
      <c r="BD255" s="81"/>
      <c r="BE255" s="91"/>
      <c r="BF255" s="81" t="s">
        <v>103</v>
      </c>
      <c r="BG255" s="89" t="n">
        <f aca="false" t="array" ref="BG255:BG255">IF(BF255="","",IFERROR(INDEX(Справочники!$B$4:$B$7,MATCH(BF255,Справочники!$A$4:$A$7,0)),""))</f>
        <v>68.5</v>
      </c>
      <c r="BH255" s="90" t="str">
        <f aca="false">IF(N(BN255)&gt;0,ROUND(SUMIF(ЗАКАЗЫ!$F$3:$F$500,$A255,ЗАКАЗЫ!$Y$3:$Y$500)/BN255,0),IF(OR(BE255="",BG255=""),"",ROUND(BE255*BG255*(1+Справочники!$B$10),0)))</f>
        <v/>
      </c>
      <c r="BI255" s="92" t="str">
        <f aca="false">IF(OR(AU255="",BH255="",AU255=0),"",(AU255-BH255)/AU255)</f>
        <v/>
      </c>
      <c r="BJ255" s="81"/>
      <c r="BK255" s="83"/>
      <c r="BL255" s="43" t="str">
        <f aca="false">IFERROR(INDEX(ЗАКАЗЫ!$N$3:$N$500,MATCH($A255,ЗАКАЗЫ!$F$3:$F$500,0)),"")</f>
        <v/>
      </c>
      <c r="BM255" s="8" t="str">
        <f aca="false">IF(BL255="","",IFERROR(VLOOKUP(BL255,'ТН ВЭД'!$A$4:$C$40,3,0),""))</f>
        <v/>
      </c>
      <c r="BN255" s="7" t="str">
        <f aca="false">IF(COUNTIF(ЗАКАЗЫ!$F$3:$F$500,$A255)=0,"",SUMIF(ЗАКАЗЫ!$F$3:$F$500,$A255,ЗАКАЗЫ!$J$3:$J$500))</f>
        <v/>
      </c>
      <c r="BO255" s="7" t="str">
        <f aca="false">IF(BN255="","",SUMIF(ЗАКАЗЫ!$F$3:$F$500,$A255,ЗАКАЗЫ!$AL$3:$AL$500))</f>
        <v/>
      </c>
      <c r="BP255" s="7" t="str">
        <f aca="false">IF(BN255="","",BN255-BO255)</f>
        <v/>
      </c>
      <c r="BQ255" s="55" t="str">
        <f aca="false">IF(BN255="","",IF(BO255&gt;=BN255,"На складе",IF(BO255&gt;0,"Частично","Ждём")))</f>
        <v/>
      </c>
      <c r="BR255" s="43"/>
      <c r="BS255" s="47" t="str">
        <f aca="false">IF(BN255="","",IF(_xlfn.MAXIFS(ЗАКАЗЫ!$AK$3:$AK$500,ЗАКАЗЫ!$F$3:$F$500,$A255)=0,"",_xlfn.MAXIFS(ЗАКАЗЫ!$AK$3:$AK$500,ЗАКАЗЫ!$F$3:$F$500,$A255)))</f>
        <v/>
      </c>
    </row>
    <row r="256" customFormat="false" ht="15.75" hidden="false" customHeight="true" outlineLevel="0" collapsed="false">
      <c r="A256" s="80" t="s">
        <v>1088</v>
      </c>
      <c r="B256" s="81"/>
      <c r="C256" s="81"/>
      <c r="D256" s="81"/>
      <c r="E256" s="83"/>
      <c r="F256" s="81"/>
      <c r="G256" s="83"/>
      <c r="H256" s="83"/>
      <c r="I256" s="84" t="str">
        <f aca="false">IF(E256="","",A256&amp;"_1.jpg")</f>
        <v/>
      </c>
      <c r="J256" s="84" t="str">
        <f aca="false">IF(E256="","",A256&amp;"_2.jpg; "&amp;A256&amp;"_3.jpg")</f>
        <v/>
      </c>
      <c r="K256" s="84" t="str">
        <f aca="false">IF(E256="","",A256&amp;"_schema.jpg")</f>
        <v/>
      </c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 t="s">
        <v>96</v>
      </c>
      <c r="W256" s="81"/>
      <c r="X256" s="81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6" t="str">
        <f aca="false">IF(SUM(Y256:AJ256)=0,"",SUM(Y256:AJ256))</f>
        <v/>
      </c>
      <c r="AL256" s="84" t="str">
        <f aca="false">MID(IF(N(Y256)&gt;0,", "&amp;Y$2,"")&amp;IF(N(Z256)&gt;0,", "&amp;Z$2,"")&amp;IF(N(AA256)&gt;0,", "&amp;AA$2,"")&amp;IF(N(AB256)&gt;0,", "&amp;AB$2,"")&amp;IF(N(AC256)&gt;0,", "&amp;AC$2,"")&amp;IF(N(AD256)&gt;0,", "&amp;AD$2,"")&amp;IF(N(AE256)&gt;0,", "&amp;AE$2,"")&amp;IF(N(AF256)&gt;0,", "&amp;AF$2,"")&amp;IF(N(AG256)&gt;0,", "&amp;AG$2,"")&amp;IF(N(AH256)&gt;0,", "&amp;AH$2,"")&amp;IF(N(AI256)&gt;0,", "&amp;AI$2,"")&amp;IF(N(AJ256)&gt;0,", "&amp;AJ$2,""),3,999)</f>
        <v/>
      </c>
      <c r="AM256" s="87" t="str">
        <f aca="false">IF(E256="","",MID(IF(N(Y256)&gt;0,", "&amp;A256&amp;"-"&amp;Y$2,"")&amp;IF(N(Z256)&gt;0,", "&amp;A256&amp;"-"&amp;Z$2,"")&amp;IF(N(AA256)&gt;0,", "&amp;A256&amp;"-"&amp;AA$2,"")&amp;IF(N(AB256)&gt;0,", "&amp;A256&amp;"-"&amp;AB$2,"")&amp;IF(N(AC256)&gt;0,", "&amp;A256&amp;"-"&amp;AC$2,"")&amp;IF(N(AD256)&gt;0,", "&amp;A256&amp;"-"&amp;AD$2,"")&amp;IF(N(AE256)&gt;0,", "&amp;A256&amp;"-"&amp;AE$2,"")&amp;IF(N(AF256)&gt;0,", "&amp;A256&amp;"-"&amp;AF$2,"")&amp;IF(N(AG256)&gt;0,", "&amp;A256&amp;"-"&amp;AG$2,"")&amp;IF(N(AH256)&gt;0,", "&amp;A256&amp;"-"&amp;AH$2,"")&amp;IF(N(AI256)&gt;0,", "&amp;A256&amp;"-"&amp;AI$2,"")&amp;IF(N(AJ256)&gt;0,", "&amp;A256&amp;"-"&amp;AJ$2,""),3,999))</f>
        <v/>
      </c>
      <c r="AN256" s="81"/>
      <c r="AO256" s="88"/>
      <c r="AP256" s="89" t="str">
        <f aca="false">IF(AO256="","",ROUND(AO256/(1+Справочники!$B$13),2))</f>
        <v/>
      </c>
      <c r="AQ256" s="90" t="str">
        <f aca="false" t="array" ref="AQ256:AQ256">IF(AP256="","",AP256*INDEX(Справочники!$B$4:$B$7,MATCH("RUB",Справочники!$A$4:$A$7,0)))</f>
        <v/>
      </c>
      <c r="AR256" s="90" t="str">
        <f aca="false">IF(AQ256="","",ROUND(AQ256*(1+Справочники!$B$12),0))</f>
        <v/>
      </c>
      <c r="AS256" s="90" t="str">
        <f aca="false">IF(AR256="","",ROUND(AR256*(1-Справочники!$B$11),0))</f>
        <v/>
      </c>
      <c r="AT256" s="88"/>
      <c r="AU256" s="90" t="str">
        <f aca="false">IF(AT256="","",ROUND(AT256/(1+Справочники!$B$12),0))</f>
        <v/>
      </c>
      <c r="AV256" s="90" t="str">
        <f aca="false">IF(AT256="","",ROUND(AT256*(1-Справочники!$B$15),0))</f>
        <v/>
      </c>
      <c r="AW256" s="90" t="str">
        <f aca="false">IF(AT256="","",ROUND(AT256*(1-Справочники!$B$16),0))</f>
        <v/>
      </c>
      <c r="AX256" s="90" t="str">
        <f aca="false">IF(AT256="","",ROUND(AT256*(1-Справочники!$B$17),0))</f>
        <v/>
      </c>
      <c r="AY256" s="90" t="str">
        <f aca="false">IF(AT256="","",ROUND(AT256*(1-Справочники!$B$18),0))</f>
        <v/>
      </c>
      <c r="AZ256" s="90" t="str">
        <f aca="false">IF(AT256="","",ROUND(AT256*(1-Справочники!$B$19),0))</f>
        <v/>
      </c>
      <c r="BA256" s="81"/>
      <c r="BB256" s="81"/>
      <c r="BC256" s="81"/>
      <c r="BD256" s="81"/>
      <c r="BE256" s="91"/>
      <c r="BF256" s="81" t="s">
        <v>103</v>
      </c>
      <c r="BG256" s="89" t="n">
        <f aca="false" t="array" ref="BG256:BG256">IF(BF256="","",IFERROR(INDEX(Справочники!$B$4:$B$7,MATCH(BF256,Справочники!$A$4:$A$7,0)),""))</f>
        <v>68.5</v>
      </c>
      <c r="BH256" s="90" t="str">
        <f aca="false">IF(N(BN256)&gt;0,ROUND(SUMIF(ЗАКАЗЫ!$F$3:$F$500,$A256,ЗАКАЗЫ!$Y$3:$Y$500)/BN256,0),IF(OR(BE256="",BG256=""),"",ROUND(BE256*BG256*(1+Справочники!$B$10),0)))</f>
        <v/>
      </c>
      <c r="BI256" s="92" t="str">
        <f aca="false">IF(OR(AU256="",BH256="",AU256=0),"",(AU256-BH256)/AU256)</f>
        <v/>
      </c>
      <c r="BJ256" s="81"/>
      <c r="BK256" s="83"/>
      <c r="BL256" s="43" t="str">
        <f aca="false">IFERROR(INDEX(ЗАКАЗЫ!$N$3:$N$500,MATCH($A256,ЗАКАЗЫ!$F$3:$F$500,0)),"")</f>
        <v/>
      </c>
      <c r="BM256" s="8" t="str">
        <f aca="false">IF(BL256="","",IFERROR(VLOOKUP(BL256,'ТН ВЭД'!$A$4:$C$40,3,0),""))</f>
        <v/>
      </c>
      <c r="BN256" s="7" t="str">
        <f aca="false">IF(COUNTIF(ЗАКАЗЫ!$F$3:$F$500,$A256)=0,"",SUMIF(ЗАКАЗЫ!$F$3:$F$500,$A256,ЗАКАЗЫ!$J$3:$J$500))</f>
        <v/>
      </c>
      <c r="BO256" s="7" t="str">
        <f aca="false">IF(BN256="","",SUMIF(ЗАКАЗЫ!$F$3:$F$500,$A256,ЗАКАЗЫ!$AL$3:$AL$500))</f>
        <v/>
      </c>
      <c r="BP256" s="7" t="str">
        <f aca="false">IF(BN256="","",BN256-BO256)</f>
        <v/>
      </c>
      <c r="BQ256" s="55" t="str">
        <f aca="false">IF(BN256="","",IF(BO256&gt;=BN256,"На складе",IF(BO256&gt;0,"Частично","Ждём")))</f>
        <v/>
      </c>
      <c r="BR256" s="43"/>
      <c r="BS256" s="47" t="str">
        <f aca="false">IF(BN256="","",IF(_xlfn.MAXIFS(ЗАКАЗЫ!$AK$3:$AK$500,ЗАКАЗЫ!$F$3:$F$500,$A256)=0,"",_xlfn.MAXIFS(ЗАКАЗЫ!$AK$3:$AK$500,ЗАКАЗЫ!$F$3:$F$500,$A256)))</f>
        <v/>
      </c>
    </row>
    <row r="257" customFormat="false" ht="15.75" hidden="false" customHeight="true" outlineLevel="0" collapsed="false">
      <c r="A257" s="80" t="s">
        <v>1089</v>
      </c>
      <c r="B257" s="81"/>
      <c r="C257" s="81"/>
      <c r="D257" s="81"/>
      <c r="E257" s="83"/>
      <c r="F257" s="81"/>
      <c r="G257" s="83"/>
      <c r="H257" s="83"/>
      <c r="I257" s="84" t="str">
        <f aca="false">IF(E257="","",A257&amp;"_1.jpg")</f>
        <v/>
      </c>
      <c r="J257" s="84" t="str">
        <f aca="false">IF(E257="","",A257&amp;"_2.jpg; "&amp;A257&amp;"_3.jpg")</f>
        <v/>
      </c>
      <c r="K257" s="84" t="str">
        <f aca="false">IF(E257="","",A257&amp;"_schema.jpg")</f>
        <v/>
      </c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 t="s">
        <v>96</v>
      </c>
      <c r="W257" s="81"/>
      <c r="X257" s="81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6" t="str">
        <f aca="false">IF(SUM(Y257:AJ257)=0,"",SUM(Y257:AJ257))</f>
        <v/>
      </c>
      <c r="AL257" s="84" t="str">
        <f aca="false">MID(IF(N(Y257)&gt;0,", "&amp;Y$2,"")&amp;IF(N(Z257)&gt;0,", "&amp;Z$2,"")&amp;IF(N(AA257)&gt;0,", "&amp;AA$2,"")&amp;IF(N(AB257)&gt;0,", "&amp;AB$2,"")&amp;IF(N(AC257)&gt;0,", "&amp;AC$2,"")&amp;IF(N(AD257)&gt;0,", "&amp;AD$2,"")&amp;IF(N(AE257)&gt;0,", "&amp;AE$2,"")&amp;IF(N(AF257)&gt;0,", "&amp;AF$2,"")&amp;IF(N(AG257)&gt;0,", "&amp;AG$2,"")&amp;IF(N(AH257)&gt;0,", "&amp;AH$2,"")&amp;IF(N(AI257)&gt;0,", "&amp;AI$2,"")&amp;IF(N(AJ257)&gt;0,", "&amp;AJ$2,""),3,999)</f>
        <v/>
      </c>
      <c r="AM257" s="87" t="str">
        <f aca="false">IF(E257="","",MID(IF(N(Y257)&gt;0,", "&amp;A257&amp;"-"&amp;Y$2,"")&amp;IF(N(Z257)&gt;0,", "&amp;A257&amp;"-"&amp;Z$2,"")&amp;IF(N(AA257)&gt;0,", "&amp;A257&amp;"-"&amp;AA$2,"")&amp;IF(N(AB257)&gt;0,", "&amp;A257&amp;"-"&amp;AB$2,"")&amp;IF(N(AC257)&gt;0,", "&amp;A257&amp;"-"&amp;AC$2,"")&amp;IF(N(AD257)&gt;0,", "&amp;A257&amp;"-"&amp;AD$2,"")&amp;IF(N(AE257)&gt;0,", "&amp;A257&amp;"-"&amp;AE$2,"")&amp;IF(N(AF257)&gt;0,", "&amp;A257&amp;"-"&amp;AF$2,"")&amp;IF(N(AG257)&gt;0,", "&amp;A257&amp;"-"&amp;AG$2,"")&amp;IF(N(AH257)&gt;0,", "&amp;A257&amp;"-"&amp;AH$2,"")&amp;IF(N(AI257)&gt;0,", "&amp;A257&amp;"-"&amp;AI$2,"")&amp;IF(N(AJ257)&gt;0,", "&amp;A257&amp;"-"&amp;AJ$2,""),3,999))</f>
        <v/>
      </c>
      <c r="AN257" s="81"/>
      <c r="AO257" s="88"/>
      <c r="AP257" s="89" t="str">
        <f aca="false">IF(AO257="","",ROUND(AO257/(1+Справочники!$B$13),2))</f>
        <v/>
      </c>
      <c r="AQ257" s="90" t="str">
        <f aca="false" t="array" ref="AQ257:AQ257">IF(AP257="","",AP257*INDEX(Справочники!$B$4:$B$7,MATCH("RUB",Справочники!$A$4:$A$7,0)))</f>
        <v/>
      </c>
      <c r="AR257" s="90" t="str">
        <f aca="false">IF(AQ257="","",ROUND(AQ257*(1+Справочники!$B$12),0))</f>
        <v/>
      </c>
      <c r="AS257" s="90" t="str">
        <f aca="false">IF(AR257="","",ROUND(AR257*(1-Справочники!$B$11),0))</f>
        <v/>
      </c>
      <c r="AT257" s="88"/>
      <c r="AU257" s="90" t="str">
        <f aca="false">IF(AT257="","",ROUND(AT257/(1+Справочники!$B$12),0))</f>
        <v/>
      </c>
      <c r="AV257" s="90" t="str">
        <f aca="false">IF(AT257="","",ROUND(AT257*(1-Справочники!$B$15),0))</f>
        <v/>
      </c>
      <c r="AW257" s="90" t="str">
        <f aca="false">IF(AT257="","",ROUND(AT257*(1-Справочники!$B$16),0))</f>
        <v/>
      </c>
      <c r="AX257" s="90" t="str">
        <f aca="false">IF(AT257="","",ROUND(AT257*(1-Справочники!$B$17),0))</f>
        <v/>
      </c>
      <c r="AY257" s="90" t="str">
        <f aca="false">IF(AT257="","",ROUND(AT257*(1-Справочники!$B$18),0))</f>
        <v/>
      </c>
      <c r="AZ257" s="90" t="str">
        <f aca="false">IF(AT257="","",ROUND(AT257*(1-Справочники!$B$19),0))</f>
        <v/>
      </c>
      <c r="BA257" s="81"/>
      <c r="BB257" s="81"/>
      <c r="BC257" s="81"/>
      <c r="BD257" s="81"/>
      <c r="BE257" s="91"/>
      <c r="BF257" s="81" t="s">
        <v>103</v>
      </c>
      <c r="BG257" s="89" t="n">
        <f aca="false" t="array" ref="BG257:BG257">IF(BF257="","",IFERROR(INDEX(Справочники!$B$4:$B$7,MATCH(BF257,Справочники!$A$4:$A$7,0)),""))</f>
        <v>68.5</v>
      </c>
      <c r="BH257" s="90" t="str">
        <f aca="false">IF(N(BN257)&gt;0,ROUND(SUMIF(ЗАКАЗЫ!$F$3:$F$500,$A257,ЗАКАЗЫ!$Y$3:$Y$500)/BN257,0),IF(OR(BE257="",BG257=""),"",ROUND(BE257*BG257*(1+Справочники!$B$10),0)))</f>
        <v/>
      </c>
      <c r="BI257" s="92" t="str">
        <f aca="false">IF(OR(AU257="",BH257="",AU257=0),"",(AU257-BH257)/AU257)</f>
        <v/>
      </c>
      <c r="BJ257" s="81"/>
      <c r="BK257" s="83"/>
      <c r="BL257" s="43" t="str">
        <f aca="false">IFERROR(INDEX(ЗАКАЗЫ!$N$3:$N$500,MATCH($A257,ЗАКАЗЫ!$F$3:$F$500,0)),"")</f>
        <v/>
      </c>
      <c r="BM257" s="8" t="str">
        <f aca="false">IF(BL257="","",IFERROR(VLOOKUP(BL257,'ТН ВЭД'!$A$4:$C$40,3,0),""))</f>
        <v/>
      </c>
      <c r="BN257" s="7" t="str">
        <f aca="false">IF(COUNTIF(ЗАКАЗЫ!$F$3:$F$500,$A257)=0,"",SUMIF(ЗАКАЗЫ!$F$3:$F$500,$A257,ЗАКАЗЫ!$J$3:$J$500))</f>
        <v/>
      </c>
      <c r="BO257" s="7" t="str">
        <f aca="false">IF(BN257="","",SUMIF(ЗАКАЗЫ!$F$3:$F$500,$A257,ЗАКАЗЫ!$AL$3:$AL$500))</f>
        <v/>
      </c>
      <c r="BP257" s="7" t="str">
        <f aca="false">IF(BN257="","",BN257-BO257)</f>
        <v/>
      </c>
      <c r="BQ257" s="55" t="str">
        <f aca="false">IF(BN257="","",IF(BO257&gt;=BN257,"На складе",IF(BO257&gt;0,"Частично","Ждём")))</f>
        <v/>
      </c>
      <c r="BR257" s="43"/>
      <c r="BS257" s="47" t="str">
        <f aca="false">IF(BN257="","",IF(_xlfn.MAXIFS(ЗАКАЗЫ!$AK$3:$AK$500,ЗАКАЗЫ!$F$3:$F$500,$A257)=0,"",_xlfn.MAXIFS(ЗАКАЗЫ!$AK$3:$AK$500,ЗАКАЗЫ!$F$3:$F$500,$A257)))</f>
        <v/>
      </c>
    </row>
    <row r="258" customFormat="false" ht="15.75" hidden="false" customHeight="true" outlineLevel="0" collapsed="false">
      <c r="A258" s="80" t="s">
        <v>1090</v>
      </c>
      <c r="B258" s="81"/>
      <c r="C258" s="81"/>
      <c r="D258" s="81"/>
      <c r="E258" s="83"/>
      <c r="F258" s="81"/>
      <c r="G258" s="83"/>
      <c r="H258" s="83"/>
      <c r="I258" s="84" t="str">
        <f aca="false">IF(E258="","",A258&amp;"_1.jpg")</f>
        <v/>
      </c>
      <c r="J258" s="84" t="str">
        <f aca="false">IF(E258="","",A258&amp;"_2.jpg; "&amp;A258&amp;"_3.jpg")</f>
        <v/>
      </c>
      <c r="K258" s="84" t="str">
        <f aca="false">IF(E258="","",A258&amp;"_schema.jpg")</f>
        <v/>
      </c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 t="s">
        <v>96</v>
      </c>
      <c r="W258" s="81"/>
      <c r="X258" s="81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6" t="str">
        <f aca="false">IF(SUM(Y258:AJ258)=0,"",SUM(Y258:AJ258))</f>
        <v/>
      </c>
      <c r="AL258" s="84" t="str">
        <f aca="false">MID(IF(N(Y258)&gt;0,", "&amp;Y$2,"")&amp;IF(N(Z258)&gt;0,", "&amp;Z$2,"")&amp;IF(N(AA258)&gt;0,", "&amp;AA$2,"")&amp;IF(N(AB258)&gt;0,", "&amp;AB$2,"")&amp;IF(N(AC258)&gt;0,", "&amp;AC$2,"")&amp;IF(N(AD258)&gt;0,", "&amp;AD$2,"")&amp;IF(N(AE258)&gt;0,", "&amp;AE$2,"")&amp;IF(N(AF258)&gt;0,", "&amp;AF$2,"")&amp;IF(N(AG258)&gt;0,", "&amp;AG$2,"")&amp;IF(N(AH258)&gt;0,", "&amp;AH$2,"")&amp;IF(N(AI258)&gt;0,", "&amp;AI$2,"")&amp;IF(N(AJ258)&gt;0,", "&amp;AJ$2,""),3,999)</f>
        <v/>
      </c>
      <c r="AM258" s="87" t="str">
        <f aca="false">IF(E258="","",MID(IF(N(Y258)&gt;0,", "&amp;A258&amp;"-"&amp;Y$2,"")&amp;IF(N(Z258)&gt;0,", "&amp;A258&amp;"-"&amp;Z$2,"")&amp;IF(N(AA258)&gt;0,", "&amp;A258&amp;"-"&amp;AA$2,"")&amp;IF(N(AB258)&gt;0,", "&amp;A258&amp;"-"&amp;AB$2,"")&amp;IF(N(AC258)&gt;0,", "&amp;A258&amp;"-"&amp;AC$2,"")&amp;IF(N(AD258)&gt;0,", "&amp;A258&amp;"-"&amp;AD$2,"")&amp;IF(N(AE258)&gt;0,", "&amp;A258&amp;"-"&amp;AE$2,"")&amp;IF(N(AF258)&gt;0,", "&amp;A258&amp;"-"&amp;AF$2,"")&amp;IF(N(AG258)&gt;0,", "&amp;A258&amp;"-"&amp;AG$2,"")&amp;IF(N(AH258)&gt;0,", "&amp;A258&amp;"-"&amp;AH$2,"")&amp;IF(N(AI258)&gt;0,", "&amp;A258&amp;"-"&amp;AI$2,"")&amp;IF(N(AJ258)&gt;0,", "&amp;A258&amp;"-"&amp;AJ$2,""),3,999))</f>
        <v/>
      </c>
      <c r="AN258" s="81"/>
      <c r="AO258" s="88"/>
      <c r="AP258" s="89" t="str">
        <f aca="false">IF(AO258="","",ROUND(AO258/(1+Справочники!$B$13),2))</f>
        <v/>
      </c>
      <c r="AQ258" s="90" t="str">
        <f aca="false" t="array" ref="AQ258:AQ258">IF(AP258="","",AP258*INDEX(Справочники!$B$4:$B$7,MATCH("RUB",Справочники!$A$4:$A$7,0)))</f>
        <v/>
      </c>
      <c r="AR258" s="90" t="str">
        <f aca="false">IF(AQ258="","",ROUND(AQ258*(1+Справочники!$B$12),0))</f>
        <v/>
      </c>
      <c r="AS258" s="90" t="str">
        <f aca="false">IF(AR258="","",ROUND(AR258*(1-Справочники!$B$11),0))</f>
        <v/>
      </c>
      <c r="AT258" s="88"/>
      <c r="AU258" s="90" t="str">
        <f aca="false">IF(AT258="","",ROUND(AT258/(1+Справочники!$B$12),0))</f>
        <v/>
      </c>
      <c r="AV258" s="90" t="str">
        <f aca="false">IF(AT258="","",ROUND(AT258*(1-Справочники!$B$15),0))</f>
        <v/>
      </c>
      <c r="AW258" s="90" t="str">
        <f aca="false">IF(AT258="","",ROUND(AT258*(1-Справочники!$B$16),0))</f>
        <v/>
      </c>
      <c r="AX258" s="90" t="str">
        <f aca="false">IF(AT258="","",ROUND(AT258*(1-Справочники!$B$17),0))</f>
        <v/>
      </c>
      <c r="AY258" s="90" t="str">
        <f aca="false">IF(AT258="","",ROUND(AT258*(1-Справочники!$B$18),0))</f>
        <v/>
      </c>
      <c r="AZ258" s="90" t="str">
        <f aca="false">IF(AT258="","",ROUND(AT258*(1-Справочники!$B$19),0))</f>
        <v/>
      </c>
      <c r="BA258" s="81"/>
      <c r="BB258" s="81"/>
      <c r="BC258" s="81"/>
      <c r="BD258" s="81"/>
      <c r="BE258" s="91"/>
      <c r="BF258" s="81" t="s">
        <v>103</v>
      </c>
      <c r="BG258" s="89" t="n">
        <f aca="false" t="array" ref="BG258:BG258">IF(BF258="","",IFERROR(INDEX(Справочники!$B$4:$B$7,MATCH(BF258,Справочники!$A$4:$A$7,0)),""))</f>
        <v>68.5</v>
      </c>
      <c r="BH258" s="90" t="str">
        <f aca="false">IF(N(BN258)&gt;0,ROUND(SUMIF(ЗАКАЗЫ!$F$3:$F$500,$A258,ЗАКАЗЫ!$Y$3:$Y$500)/BN258,0),IF(OR(BE258="",BG258=""),"",ROUND(BE258*BG258*(1+Справочники!$B$10),0)))</f>
        <v/>
      </c>
      <c r="BI258" s="92" t="str">
        <f aca="false">IF(OR(AU258="",BH258="",AU258=0),"",(AU258-BH258)/AU258)</f>
        <v/>
      </c>
      <c r="BJ258" s="81"/>
      <c r="BK258" s="83"/>
      <c r="BL258" s="43" t="str">
        <f aca="false">IFERROR(INDEX(ЗАКАЗЫ!$N$3:$N$500,MATCH($A258,ЗАКАЗЫ!$F$3:$F$500,0)),"")</f>
        <v/>
      </c>
      <c r="BM258" s="8" t="str">
        <f aca="false">IF(BL258="","",IFERROR(VLOOKUP(BL258,'ТН ВЭД'!$A$4:$C$40,3,0),""))</f>
        <v/>
      </c>
      <c r="BN258" s="7" t="str">
        <f aca="false">IF(COUNTIF(ЗАКАЗЫ!$F$3:$F$500,$A258)=0,"",SUMIF(ЗАКАЗЫ!$F$3:$F$500,$A258,ЗАКАЗЫ!$J$3:$J$500))</f>
        <v/>
      </c>
      <c r="BO258" s="7" t="str">
        <f aca="false">IF(BN258="","",SUMIF(ЗАКАЗЫ!$F$3:$F$500,$A258,ЗАКАЗЫ!$AL$3:$AL$500))</f>
        <v/>
      </c>
      <c r="BP258" s="7" t="str">
        <f aca="false">IF(BN258="","",BN258-BO258)</f>
        <v/>
      </c>
      <c r="BQ258" s="55" t="str">
        <f aca="false">IF(BN258="","",IF(BO258&gt;=BN258,"На складе",IF(BO258&gt;0,"Частично","Ждём")))</f>
        <v/>
      </c>
      <c r="BR258" s="43"/>
      <c r="BS258" s="47" t="str">
        <f aca="false">IF(BN258="","",IF(_xlfn.MAXIFS(ЗАКАЗЫ!$AK$3:$AK$500,ЗАКАЗЫ!$F$3:$F$500,$A258)=0,"",_xlfn.MAXIFS(ЗАКАЗЫ!$AK$3:$AK$500,ЗАКАЗЫ!$F$3:$F$500,$A258)))</f>
        <v/>
      </c>
    </row>
    <row r="259" customFormat="false" ht="15.75" hidden="false" customHeight="true" outlineLevel="0" collapsed="false">
      <c r="A259" s="80" t="s">
        <v>1091</v>
      </c>
      <c r="B259" s="81"/>
      <c r="C259" s="81"/>
      <c r="D259" s="81"/>
      <c r="E259" s="83"/>
      <c r="F259" s="81"/>
      <c r="G259" s="83"/>
      <c r="H259" s="83"/>
      <c r="I259" s="84" t="str">
        <f aca="false">IF(E259="","",A259&amp;"_1.jpg")</f>
        <v/>
      </c>
      <c r="J259" s="84" t="str">
        <f aca="false">IF(E259="","",A259&amp;"_2.jpg; "&amp;A259&amp;"_3.jpg")</f>
        <v/>
      </c>
      <c r="K259" s="84" t="str">
        <f aca="false">IF(E259="","",A259&amp;"_schema.jpg")</f>
        <v/>
      </c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 t="s">
        <v>96</v>
      </c>
      <c r="W259" s="81"/>
      <c r="X259" s="81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6" t="str">
        <f aca="false">IF(SUM(Y259:AJ259)=0,"",SUM(Y259:AJ259))</f>
        <v/>
      </c>
      <c r="AL259" s="84" t="str">
        <f aca="false">MID(IF(N(Y259)&gt;0,", "&amp;Y$2,"")&amp;IF(N(Z259)&gt;0,", "&amp;Z$2,"")&amp;IF(N(AA259)&gt;0,", "&amp;AA$2,"")&amp;IF(N(AB259)&gt;0,", "&amp;AB$2,"")&amp;IF(N(AC259)&gt;0,", "&amp;AC$2,"")&amp;IF(N(AD259)&gt;0,", "&amp;AD$2,"")&amp;IF(N(AE259)&gt;0,", "&amp;AE$2,"")&amp;IF(N(AF259)&gt;0,", "&amp;AF$2,"")&amp;IF(N(AG259)&gt;0,", "&amp;AG$2,"")&amp;IF(N(AH259)&gt;0,", "&amp;AH$2,"")&amp;IF(N(AI259)&gt;0,", "&amp;AI$2,"")&amp;IF(N(AJ259)&gt;0,", "&amp;AJ$2,""),3,999)</f>
        <v/>
      </c>
      <c r="AM259" s="87" t="str">
        <f aca="false">IF(E259="","",MID(IF(N(Y259)&gt;0,", "&amp;A259&amp;"-"&amp;Y$2,"")&amp;IF(N(Z259)&gt;0,", "&amp;A259&amp;"-"&amp;Z$2,"")&amp;IF(N(AA259)&gt;0,", "&amp;A259&amp;"-"&amp;AA$2,"")&amp;IF(N(AB259)&gt;0,", "&amp;A259&amp;"-"&amp;AB$2,"")&amp;IF(N(AC259)&gt;0,", "&amp;A259&amp;"-"&amp;AC$2,"")&amp;IF(N(AD259)&gt;0,", "&amp;A259&amp;"-"&amp;AD$2,"")&amp;IF(N(AE259)&gt;0,", "&amp;A259&amp;"-"&amp;AE$2,"")&amp;IF(N(AF259)&gt;0,", "&amp;A259&amp;"-"&amp;AF$2,"")&amp;IF(N(AG259)&gt;0,", "&amp;A259&amp;"-"&amp;AG$2,"")&amp;IF(N(AH259)&gt;0,", "&amp;A259&amp;"-"&amp;AH$2,"")&amp;IF(N(AI259)&gt;0,", "&amp;A259&amp;"-"&amp;AI$2,"")&amp;IF(N(AJ259)&gt;0,", "&amp;A259&amp;"-"&amp;AJ$2,""),3,999))</f>
        <v/>
      </c>
      <c r="AN259" s="81"/>
      <c r="AO259" s="88"/>
      <c r="AP259" s="89" t="str">
        <f aca="false">IF(AO259="","",ROUND(AO259/(1+Справочники!$B$13),2))</f>
        <v/>
      </c>
      <c r="AQ259" s="90" t="str">
        <f aca="false" t="array" ref="AQ259:AQ259">IF(AP259="","",AP259*INDEX(Справочники!$B$4:$B$7,MATCH("RUB",Справочники!$A$4:$A$7,0)))</f>
        <v/>
      </c>
      <c r="AR259" s="90" t="str">
        <f aca="false">IF(AQ259="","",ROUND(AQ259*(1+Справочники!$B$12),0))</f>
        <v/>
      </c>
      <c r="AS259" s="90" t="str">
        <f aca="false">IF(AR259="","",ROUND(AR259*(1-Справочники!$B$11),0))</f>
        <v/>
      </c>
      <c r="AT259" s="88"/>
      <c r="AU259" s="90" t="str">
        <f aca="false">IF(AT259="","",ROUND(AT259/(1+Справочники!$B$12),0))</f>
        <v/>
      </c>
      <c r="AV259" s="90" t="str">
        <f aca="false">IF(AT259="","",ROUND(AT259*(1-Справочники!$B$15),0))</f>
        <v/>
      </c>
      <c r="AW259" s="90" t="str">
        <f aca="false">IF(AT259="","",ROUND(AT259*(1-Справочники!$B$16),0))</f>
        <v/>
      </c>
      <c r="AX259" s="90" t="str">
        <f aca="false">IF(AT259="","",ROUND(AT259*(1-Справочники!$B$17),0))</f>
        <v/>
      </c>
      <c r="AY259" s="90" t="str">
        <f aca="false">IF(AT259="","",ROUND(AT259*(1-Справочники!$B$18),0))</f>
        <v/>
      </c>
      <c r="AZ259" s="90" t="str">
        <f aca="false">IF(AT259="","",ROUND(AT259*(1-Справочники!$B$19),0))</f>
        <v/>
      </c>
      <c r="BA259" s="81"/>
      <c r="BB259" s="81"/>
      <c r="BC259" s="81"/>
      <c r="BD259" s="81"/>
      <c r="BE259" s="91"/>
      <c r="BF259" s="81" t="s">
        <v>103</v>
      </c>
      <c r="BG259" s="89" t="n">
        <f aca="false" t="array" ref="BG259:BG259">IF(BF259="","",IFERROR(INDEX(Справочники!$B$4:$B$7,MATCH(BF259,Справочники!$A$4:$A$7,0)),""))</f>
        <v>68.5</v>
      </c>
      <c r="BH259" s="90" t="str">
        <f aca="false">IF(N(BN259)&gt;0,ROUND(SUMIF(ЗАКАЗЫ!$F$3:$F$500,$A259,ЗАКАЗЫ!$Y$3:$Y$500)/BN259,0),IF(OR(BE259="",BG259=""),"",ROUND(BE259*BG259*(1+Справочники!$B$10),0)))</f>
        <v/>
      </c>
      <c r="BI259" s="92" t="str">
        <f aca="false">IF(OR(AU259="",BH259="",AU259=0),"",(AU259-BH259)/AU259)</f>
        <v/>
      </c>
      <c r="BJ259" s="81"/>
      <c r="BK259" s="83"/>
      <c r="BL259" s="43" t="str">
        <f aca="false">IFERROR(INDEX(ЗАКАЗЫ!$N$3:$N$500,MATCH($A259,ЗАКАЗЫ!$F$3:$F$500,0)),"")</f>
        <v/>
      </c>
      <c r="BM259" s="8" t="str">
        <f aca="false">IF(BL259="","",IFERROR(VLOOKUP(BL259,'ТН ВЭД'!$A$4:$C$40,3,0),""))</f>
        <v/>
      </c>
      <c r="BN259" s="7" t="str">
        <f aca="false">IF(COUNTIF(ЗАКАЗЫ!$F$3:$F$500,$A259)=0,"",SUMIF(ЗАКАЗЫ!$F$3:$F$500,$A259,ЗАКАЗЫ!$J$3:$J$500))</f>
        <v/>
      </c>
      <c r="BO259" s="7" t="str">
        <f aca="false">IF(BN259="","",SUMIF(ЗАКАЗЫ!$F$3:$F$500,$A259,ЗАКАЗЫ!$AL$3:$AL$500))</f>
        <v/>
      </c>
      <c r="BP259" s="7" t="str">
        <f aca="false">IF(BN259="","",BN259-BO259)</f>
        <v/>
      </c>
      <c r="BQ259" s="55" t="str">
        <f aca="false">IF(BN259="","",IF(BO259&gt;=BN259,"На складе",IF(BO259&gt;0,"Частично","Ждём")))</f>
        <v/>
      </c>
      <c r="BR259" s="43"/>
      <c r="BS259" s="47" t="str">
        <f aca="false">IF(BN259="","",IF(_xlfn.MAXIFS(ЗАКАЗЫ!$AK$3:$AK$500,ЗАКАЗЫ!$F$3:$F$500,$A259)=0,"",_xlfn.MAXIFS(ЗАКАЗЫ!$AK$3:$AK$500,ЗАКАЗЫ!$F$3:$F$500,$A259)))</f>
        <v/>
      </c>
    </row>
    <row r="260" customFormat="false" ht="15.75" hidden="false" customHeight="true" outlineLevel="0" collapsed="false">
      <c r="A260" s="80" t="s">
        <v>1092</v>
      </c>
      <c r="B260" s="81"/>
      <c r="C260" s="81"/>
      <c r="D260" s="81"/>
      <c r="E260" s="83"/>
      <c r="F260" s="81"/>
      <c r="G260" s="83"/>
      <c r="H260" s="83"/>
      <c r="I260" s="84" t="str">
        <f aca="false">IF(E260="","",A260&amp;"_1.jpg")</f>
        <v/>
      </c>
      <c r="J260" s="84" t="str">
        <f aca="false">IF(E260="","",A260&amp;"_2.jpg; "&amp;A260&amp;"_3.jpg")</f>
        <v/>
      </c>
      <c r="K260" s="84" t="str">
        <f aca="false">IF(E260="","",A260&amp;"_schema.jpg")</f>
        <v/>
      </c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 t="s">
        <v>96</v>
      </c>
      <c r="W260" s="81"/>
      <c r="X260" s="81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6" t="str">
        <f aca="false">IF(SUM(Y260:AJ260)=0,"",SUM(Y260:AJ260))</f>
        <v/>
      </c>
      <c r="AL260" s="84" t="str">
        <f aca="false">MID(IF(N(Y260)&gt;0,", "&amp;Y$2,"")&amp;IF(N(Z260)&gt;0,", "&amp;Z$2,"")&amp;IF(N(AA260)&gt;0,", "&amp;AA$2,"")&amp;IF(N(AB260)&gt;0,", "&amp;AB$2,"")&amp;IF(N(AC260)&gt;0,", "&amp;AC$2,"")&amp;IF(N(AD260)&gt;0,", "&amp;AD$2,"")&amp;IF(N(AE260)&gt;0,", "&amp;AE$2,"")&amp;IF(N(AF260)&gt;0,", "&amp;AF$2,"")&amp;IF(N(AG260)&gt;0,", "&amp;AG$2,"")&amp;IF(N(AH260)&gt;0,", "&amp;AH$2,"")&amp;IF(N(AI260)&gt;0,", "&amp;AI$2,"")&amp;IF(N(AJ260)&gt;0,", "&amp;AJ$2,""),3,999)</f>
        <v/>
      </c>
      <c r="AM260" s="87" t="str">
        <f aca="false">IF(E260="","",MID(IF(N(Y260)&gt;0,", "&amp;A260&amp;"-"&amp;Y$2,"")&amp;IF(N(Z260)&gt;0,", "&amp;A260&amp;"-"&amp;Z$2,"")&amp;IF(N(AA260)&gt;0,", "&amp;A260&amp;"-"&amp;AA$2,"")&amp;IF(N(AB260)&gt;0,", "&amp;A260&amp;"-"&amp;AB$2,"")&amp;IF(N(AC260)&gt;0,", "&amp;A260&amp;"-"&amp;AC$2,"")&amp;IF(N(AD260)&gt;0,", "&amp;A260&amp;"-"&amp;AD$2,"")&amp;IF(N(AE260)&gt;0,", "&amp;A260&amp;"-"&amp;AE$2,"")&amp;IF(N(AF260)&gt;0,", "&amp;A260&amp;"-"&amp;AF$2,"")&amp;IF(N(AG260)&gt;0,", "&amp;A260&amp;"-"&amp;AG$2,"")&amp;IF(N(AH260)&gt;0,", "&amp;A260&amp;"-"&amp;AH$2,"")&amp;IF(N(AI260)&gt;0,", "&amp;A260&amp;"-"&amp;AI$2,"")&amp;IF(N(AJ260)&gt;0,", "&amp;A260&amp;"-"&amp;AJ$2,""),3,999))</f>
        <v/>
      </c>
      <c r="AN260" s="81"/>
      <c r="AO260" s="88"/>
      <c r="AP260" s="89" t="str">
        <f aca="false">IF(AO260="","",ROUND(AO260/(1+Справочники!$B$13),2))</f>
        <v/>
      </c>
      <c r="AQ260" s="90" t="str">
        <f aca="false" t="array" ref="AQ260:AQ260">IF(AP260="","",AP260*INDEX(Справочники!$B$4:$B$7,MATCH("RUB",Справочники!$A$4:$A$7,0)))</f>
        <v/>
      </c>
      <c r="AR260" s="90" t="str">
        <f aca="false">IF(AQ260="","",ROUND(AQ260*(1+Справочники!$B$12),0))</f>
        <v/>
      </c>
      <c r="AS260" s="90" t="str">
        <f aca="false">IF(AR260="","",ROUND(AR260*(1-Справочники!$B$11),0))</f>
        <v/>
      </c>
      <c r="AT260" s="88"/>
      <c r="AU260" s="90" t="str">
        <f aca="false">IF(AT260="","",ROUND(AT260/(1+Справочники!$B$12),0))</f>
        <v/>
      </c>
      <c r="AV260" s="90" t="str">
        <f aca="false">IF(AT260="","",ROUND(AT260*(1-Справочники!$B$15),0))</f>
        <v/>
      </c>
      <c r="AW260" s="90" t="str">
        <f aca="false">IF(AT260="","",ROUND(AT260*(1-Справочники!$B$16),0))</f>
        <v/>
      </c>
      <c r="AX260" s="90" t="str">
        <f aca="false">IF(AT260="","",ROUND(AT260*(1-Справочники!$B$17),0))</f>
        <v/>
      </c>
      <c r="AY260" s="90" t="str">
        <f aca="false">IF(AT260="","",ROUND(AT260*(1-Справочники!$B$18),0))</f>
        <v/>
      </c>
      <c r="AZ260" s="90" t="str">
        <f aca="false">IF(AT260="","",ROUND(AT260*(1-Справочники!$B$19),0))</f>
        <v/>
      </c>
      <c r="BA260" s="81"/>
      <c r="BB260" s="81"/>
      <c r="BC260" s="81"/>
      <c r="BD260" s="81"/>
      <c r="BE260" s="91"/>
      <c r="BF260" s="81" t="s">
        <v>103</v>
      </c>
      <c r="BG260" s="89" t="n">
        <f aca="false" t="array" ref="BG260:BG260">IF(BF260="","",IFERROR(INDEX(Справочники!$B$4:$B$7,MATCH(BF260,Справочники!$A$4:$A$7,0)),""))</f>
        <v>68.5</v>
      </c>
      <c r="BH260" s="90" t="str">
        <f aca="false">IF(N(BN260)&gt;0,ROUND(SUMIF(ЗАКАЗЫ!$F$3:$F$500,$A260,ЗАКАЗЫ!$Y$3:$Y$500)/BN260,0),IF(OR(BE260="",BG260=""),"",ROUND(BE260*BG260*(1+Справочники!$B$10),0)))</f>
        <v/>
      </c>
      <c r="BI260" s="92" t="str">
        <f aca="false">IF(OR(AU260="",BH260="",AU260=0),"",(AU260-BH260)/AU260)</f>
        <v/>
      </c>
      <c r="BJ260" s="81"/>
      <c r="BK260" s="83"/>
      <c r="BL260" s="43" t="str">
        <f aca="false">IFERROR(INDEX(ЗАКАЗЫ!$N$3:$N$500,MATCH($A260,ЗАКАЗЫ!$F$3:$F$500,0)),"")</f>
        <v/>
      </c>
      <c r="BM260" s="8" t="str">
        <f aca="false">IF(BL260="","",IFERROR(VLOOKUP(BL260,'ТН ВЭД'!$A$4:$C$40,3,0),""))</f>
        <v/>
      </c>
      <c r="BN260" s="7" t="str">
        <f aca="false">IF(COUNTIF(ЗАКАЗЫ!$F$3:$F$500,$A260)=0,"",SUMIF(ЗАКАЗЫ!$F$3:$F$500,$A260,ЗАКАЗЫ!$J$3:$J$500))</f>
        <v/>
      </c>
      <c r="BO260" s="7" t="str">
        <f aca="false">IF(BN260="","",SUMIF(ЗАКАЗЫ!$F$3:$F$500,$A260,ЗАКАЗЫ!$AL$3:$AL$500))</f>
        <v/>
      </c>
      <c r="BP260" s="7" t="str">
        <f aca="false">IF(BN260="","",BN260-BO260)</f>
        <v/>
      </c>
      <c r="BQ260" s="55" t="str">
        <f aca="false">IF(BN260="","",IF(BO260&gt;=BN260,"На складе",IF(BO260&gt;0,"Частично","Ждём")))</f>
        <v/>
      </c>
      <c r="BR260" s="43"/>
      <c r="BS260" s="47" t="str">
        <f aca="false">IF(BN260="","",IF(_xlfn.MAXIFS(ЗАКАЗЫ!$AK$3:$AK$500,ЗАКАЗЫ!$F$3:$F$500,$A260)=0,"",_xlfn.MAXIFS(ЗАКАЗЫ!$AK$3:$AK$500,ЗАКАЗЫ!$F$3:$F$500,$A260)))</f>
        <v/>
      </c>
    </row>
    <row r="261" customFormat="false" ht="15.75" hidden="false" customHeight="true" outlineLevel="0" collapsed="false">
      <c r="A261" s="80" t="s">
        <v>1093</v>
      </c>
      <c r="B261" s="81"/>
      <c r="C261" s="81"/>
      <c r="D261" s="81"/>
      <c r="E261" s="83"/>
      <c r="F261" s="81"/>
      <c r="G261" s="83"/>
      <c r="H261" s="83"/>
      <c r="I261" s="84" t="str">
        <f aca="false">IF(E261="","",A261&amp;"_1.jpg")</f>
        <v/>
      </c>
      <c r="J261" s="84" t="str">
        <f aca="false">IF(E261="","",A261&amp;"_2.jpg; "&amp;A261&amp;"_3.jpg")</f>
        <v/>
      </c>
      <c r="K261" s="84" t="str">
        <f aca="false">IF(E261="","",A261&amp;"_schema.jpg")</f>
        <v/>
      </c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 t="s">
        <v>96</v>
      </c>
      <c r="W261" s="81"/>
      <c r="X261" s="81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6" t="str">
        <f aca="false">IF(SUM(Y261:AJ261)=0,"",SUM(Y261:AJ261))</f>
        <v/>
      </c>
      <c r="AL261" s="84" t="str">
        <f aca="false">MID(IF(N(Y261)&gt;0,", "&amp;Y$2,"")&amp;IF(N(Z261)&gt;0,", "&amp;Z$2,"")&amp;IF(N(AA261)&gt;0,", "&amp;AA$2,"")&amp;IF(N(AB261)&gt;0,", "&amp;AB$2,"")&amp;IF(N(AC261)&gt;0,", "&amp;AC$2,"")&amp;IF(N(AD261)&gt;0,", "&amp;AD$2,"")&amp;IF(N(AE261)&gt;0,", "&amp;AE$2,"")&amp;IF(N(AF261)&gt;0,", "&amp;AF$2,"")&amp;IF(N(AG261)&gt;0,", "&amp;AG$2,"")&amp;IF(N(AH261)&gt;0,", "&amp;AH$2,"")&amp;IF(N(AI261)&gt;0,", "&amp;AI$2,"")&amp;IF(N(AJ261)&gt;0,", "&amp;AJ$2,""),3,999)</f>
        <v/>
      </c>
      <c r="AM261" s="87" t="str">
        <f aca="false">IF(E261="","",MID(IF(N(Y261)&gt;0,", "&amp;A261&amp;"-"&amp;Y$2,"")&amp;IF(N(Z261)&gt;0,", "&amp;A261&amp;"-"&amp;Z$2,"")&amp;IF(N(AA261)&gt;0,", "&amp;A261&amp;"-"&amp;AA$2,"")&amp;IF(N(AB261)&gt;0,", "&amp;A261&amp;"-"&amp;AB$2,"")&amp;IF(N(AC261)&gt;0,", "&amp;A261&amp;"-"&amp;AC$2,"")&amp;IF(N(AD261)&gt;0,", "&amp;A261&amp;"-"&amp;AD$2,"")&amp;IF(N(AE261)&gt;0,", "&amp;A261&amp;"-"&amp;AE$2,"")&amp;IF(N(AF261)&gt;0,", "&amp;A261&amp;"-"&amp;AF$2,"")&amp;IF(N(AG261)&gt;0,", "&amp;A261&amp;"-"&amp;AG$2,"")&amp;IF(N(AH261)&gt;0,", "&amp;A261&amp;"-"&amp;AH$2,"")&amp;IF(N(AI261)&gt;0,", "&amp;A261&amp;"-"&amp;AI$2,"")&amp;IF(N(AJ261)&gt;0,", "&amp;A261&amp;"-"&amp;AJ$2,""),3,999))</f>
        <v/>
      </c>
      <c r="AN261" s="81"/>
      <c r="AO261" s="88"/>
      <c r="AP261" s="89" t="str">
        <f aca="false">IF(AO261="","",ROUND(AO261/(1+Справочники!$B$13),2))</f>
        <v/>
      </c>
      <c r="AQ261" s="90" t="str">
        <f aca="false" t="array" ref="AQ261:AQ261">IF(AP261="","",AP261*INDEX(Справочники!$B$4:$B$7,MATCH("RUB",Справочники!$A$4:$A$7,0)))</f>
        <v/>
      </c>
      <c r="AR261" s="90" t="str">
        <f aca="false">IF(AQ261="","",ROUND(AQ261*(1+Справочники!$B$12),0))</f>
        <v/>
      </c>
      <c r="AS261" s="90" t="str">
        <f aca="false">IF(AR261="","",ROUND(AR261*(1-Справочники!$B$11),0))</f>
        <v/>
      </c>
      <c r="AT261" s="88"/>
      <c r="AU261" s="90" t="str">
        <f aca="false">IF(AT261="","",ROUND(AT261/(1+Справочники!$B$12),0))</f>
        <v/>
      </c>
      <c r="AV261" s="90" t="str">
        <f aca="false">IF(AT261="","",ROUND(AT261*(1-Справочники!$B$15),0))</f>
        <v/>
      </c>
      <c r="AW261" s="90" t="str">
        <f aca="false">IF(AT261="","",ROUND(AT261*(1-Справочники!$B$16),0))</f>
        <v/>
      </c>
      <c r="AX261" s="90" t="str">
        <f aca="false">IF(AT261="","",ROUND(AT261*(1-Справочники!$B$17),0))</f>
        <v/>
      </c>
      <c r="AY261" s="90" t="str">
        <f aca="false">IF(AT261="","",ROUND(AT261*(1-Справочники!$B$18),0))</f>
        <v/>
      </c>
      <c r="AZ261" s="90" t="str">
        <f aca="false">IF(AT261="","",ROUND(AT261*(1-Справочники!$B$19),0))</f>
        <v/>
      </c>
      <c r="BA261" s="81"/>
      <c r="BB261" s="81"/>
      <c r="BC261" s="81"/>
      <c r="BD261" s="81"/>
      <c r="BE261" s="91"/>
      <c r="BF261" s="81" t="s">
        <v>103</v>
      </c>
      <c r="BG261" s="89" t="n">
        <f aca="false" t="array" ref="BG261:BG261">IF(BF261="","",IFERROR(INDEX(Справочники!$B$4:$B$7,MATCH(BF261,Справочники!$A$4:$A$7,0)),""))</f>
        <v>68.5</v>
      </c>
      <c r="BH261" s="90" t="str">
        <f aca="false">IF(N(BN261)&gt;0,ROUND(SUMIF(ЗАКАЗЫ!$F$3:$F$500,$A261,ЗАКАЗЫ!$Y$3:$Y$500)/BN261,0),IF(OR(BE261="",BG261=""),"",ROUND(BE261*BG261*(1+Справочники!$B$10),0)))</f>
        <v/>
      </c>
      <c r="BI261" s="92" t="str">
        <f aca="false">IF(OR(AU261="",BH261="",AU261=0),"",(AU261-BH261)/AU261)</f>
        <v/>
      </c>
      <c r="BJ261" s="81"/>
      <c r="BK261" s="83"/>
      <c r="BL261" s="43" t="str">
        <f aca="false">IFERROR(INDEX(ЗАКАЗЫ!$N$3:$N$500,MATCH($A261,ЗАКАЗЫ!$F$3:$F$500,0)),"")</f>
        <v/>
      </c>
      <c r="BM261" s="8" t="str">
        <f aca="false">IF(BL261="","",IFERROR(VLOOKUP(BL261,'ТН ВЭД'!$A$4:$C$40,3,0),""))</f>
        <v/>
      </c>
      <c r="BN261" s="7" t="str">
        <f aca="false">IF(COUNTIF(ЗАКАЗЫ!$F$3:$F$500,$A261)=0,"",SUMIF(ЗАКАЗЫ!$F$3:$F$500,$A261,ЗАКАЗЫ!$J$3:$J$500))</f>
        <v/>
      </c>
      <c r="BO261" s="7" t="str">
        <f aca="false">IF(BN261="","",SUMIF(ЗАКАЗЫ!$F$3:$F$500,$A261,ЗАКАЗЫ!$AL$3:$AL$500))</f>
        <v/>
      </c>
      <c r="BP261" s="7" t="str">
        <f aca="false">IF(BN261="","",BN261-BO261)</f>
        <v/>
      </c>
      <c r="BQ261" s="55" t="str">
        <f aca="false">IF(BN261="","",IF(BO261&gt;=BN261,"На складе",IF(BO261&gt;0,"Частично","Ждём")))</f>
        <v/>
      </c>
      <c r="BR261" s="43"/>
      <c r="BS261" s="47" t="str">
        <f aca="false">IF(BN261="","",IF(_xlfn.MAXIFS(ЗАКАЗЫ!$AK$3:$AK$500,ЗАКАЗЫ!$F$3:$F$500,$A261)=0,"",_xlfn.MAXIFS(ЗАКАЗЫ!$AK$3:$AK$500,ЗАКАЗЫ!$F$3:$F$500,$A261)))</f>
        <v/>
      </c>
    </row>
    <row r="262" customFormat="false" ht="15.75" hidden="false" customHeight="true" outlineLevel="0" collapsed="false">
      <c r="A262" s="80" t="s">
        <v>1094</v>
      </c>
      <c r="B262" s="81"/>
      <c r="C262" s="81"/>
      <c r="D262" s="81"/>
      <c r="E262" s="83"/>
      <c r="F262" s="81"/>
      <c r="G262" s="83"/>
      <c r="H262" s="83"/>
      <c r="I262" s="84" t="str">
        <f aca="false">IF(E262="","",A262&amp;"_1.jpg")</f>
        <v/>
      </c>
      <c r="J262" s="84" t="str">
        <f aca="false">IF(E262="","",A262&amp;"_2.jpg; "&amp;A262&amp;"_3.jpg")</f>
        <v/>
      </c>
      <c r="K262" s="84" t="str">
        <f aca="false">IF(E262="","",A262&amp;"_schema.jpg")</f>
        <v/>
      </c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 t="s">
        <v>96</v>
      </c>
      <c r="W262" s="81"/>
      <c r="X262" s="81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6" t="str">
        <f aca="false">IF(SUM(Y262:AJ262)=0,"",SUM(Y262:AJ262))</f>
        <v/>
      </c>
      <c r="AL262" s="84" t="str">
        <f aca="false">MID(IF(N(Y262)&gt;0,", "&amp;Y$2,"")&amp;IF(N(Z262)&gt;0,", "&amp;Z$2,"")&amp;IF(N(AA262)&gt;0,", "&amp;AA$2,"")&amp;IF(N(AB262)&gt;0,", "&amp;AB$2,"")&amp;IF(N(AC262)&gt;0,", "&amp;AC$2,"")&amp;IF(N(AD262)&gt;0,", "&amp;AD$2,"")&amp;IF(N(AE262)&gt;0,", "&amp;AE$2,"")&amp;IF(N(AF262)&gt;0,", "&amp;AF$2,"")&amp;IF(N(AG262)&gt;0,", "&amp;AG$2,"")&amp;IF(N(AH262)&gt;0,", "&amp;AH$2,"")&amp;IF(N(AI262)&gt;0,", "&amp;AI$2,"")&amp;IF(N(AJ262)&gt;0,", "&amp;AJ$2,""),3,999)</f>
        <v/>
      </c>
      <c r="AM262" s="87" t="str">
        <f aca="false">IF(E262="","",MID(IF(N(Y262)&gt;0,", "&amp;A262&amp;"-"&amp;Y$2,"")&amp;IF(N(Z262)&gt;0,", "&amp;A262&amp;"-"&amp;Z$2,"")&amp;IF(N(AA262)&gt;0,", "&amp;A262&amp;"-"&amp;AA$2,"")&amp;IF(N(AB262)&gt;0,", "&amp;A262&amp;"-"&amp;AB$2,"")&amp;IF(N(AC262)&gt;0,", "&amp;A262&amp;"-"&amp;AC$2,"")&amp;IF(N(AD262)&gt;0,", "&amp;A262&amp;"-"&amp;AD$2,"")&amp;IF(N(AE262)&gt;0,", "&amp;A262&amp;"-"&amp;AE$2,"")&amp;IF(N(AF262)&gt;0,", "&amp;A262&amp;"-"&amp;AF$2,"")&amp;IF(N(AG262)&gt;0,", "&amp;A262&amp;"-"&amp;AG$2,"")&amp;IF(N(AH262)&gt;0,", "&amp;A262&amp;"-"&amp;AH$2,"")&amp;IF(N(AI262)&gt;0,", "&amp;A262&amp;"-"&amp;AI$2,"")&amp;IF(N(AJ262)&gt;0,", "&amp;A262&amp;"-"&amp;AJ$2,""),3,999))</f>
        <v/>
      </c>
      <c r="AN262" s="81"/>
      <c r="AO262" s="88"/>
      <c r="AP262" s="89" t="str">
        <f aca="false">IF(AO262="","",ROUND(AO262/(1+Справочники!$B$13),2))</f>
        <v/>
      </c>
      <c r="AQ262" s="90" t="str">
        <f aca="false" t="array" ref="AQ262:AQ262">IF(AP262="","",AP262*INDEX(Справочники!$B$4:$B$7,MATCH("RUB",Справочники!$A$4:$A$7,0)))</f>
        <v/>
      </c>
      <c r="AR262" s="90" t="str">
        <f aca="false">IF(AQ262="","",ROUND(AQ262*(1+Справочники!$B$12),0))</f>
        <v/>
      </c>
      <c r="AS262" s="90" t="str">
        <f aca="false">IF(AR262="","",ROUND(AR262*(1-Справочники!$B$11),0))</f>
        <v/>
      </c>
      <c r="AT262" s="88"/>
      <c r="AU262" s="90" t="str">
        <f aca="false">IF(AT262="","",ROUND(AT262/(1+Справочники!$B$12),0))</f>
        <v/>
      </c>
      <c r="AV262" s="90" t="str">
        <f aca="false">IF(AT262="","",ROUND(AT262*(1-Справочники!$B$15),0))</f>
        <v/>
      </c>
      <c r="AW262" s="90" t="str">
        <f aca="false">IF(AT262="","",ROUND(AT262*(1-Справочники!$B$16),0))</f>
        <v/>
      </c>
      <c r="AX262" s="90" t="str">
        <f aca="false">IF(AT262="","",ROUND(AT262*(1-Справочники!$B$17),0))</f>
        <v/>
      </c>
      <c r="AY262" s="90" t="str">
        <f aca="false">IF(AT262="","",ROUND(AT262*(1-Справочники!$B$18),0))</f>
        <v/>
      </c>
      <c r="AZ262" s="90" t="str">
        <f aca="false">IF(AT262="","",ROUND(AT262*(1-Справочники!$B$19),0))</f>
        <v/>
      </c>
      <c r="BA262" s="81"/>
      <c r="BB262" s="81"/>
      <c r="BC262" s="81"/>
      <c r="BD262" s="81"/>
      <c r="BE262" s="91"/>
      <c r="BF262" s="81" t="s">
        <v>103</v>
      </c>
      <c r="BG262" s="89" t="n">
        <f aca="false" t="array" ref="BG262:BG262">IF(BF262="","",IFERROR(INDEX(Справочники!$B$4:$B$7,MATCH(BF262,Справочники!$A$4:$A$7,0)),""))</f>
        <v>68.5</v>
      </c>
      <c r="BH262" s="90" t="str">
        <f aca="false">IF(N(BN262)&gt;0,ROUND(SUMIF(ЗАКАЗЫ!$F$3:$F$500,$A262,ЗАКАЗЫ!$Y$3:$Y$500)/BN262,0),IF(OR(BE262="",BG262=""),"",ROUND(BE262*BG262*(1+Справочники!$B$10),0)))</f>
        <v/>
      </c>
      <c r="BI262" s="92" t="str">
        <f aca="false">IF(OR(AU262="",BH262="",AU262=0),"",(AU262-BH262)/AU262)</f>
        <v/>
      </c>
      <c r="BJ262" s="81"/>
      <c r="BK262" s="83"/>
      <c r="BL262" s="43" t="str">
        <f aca="false">IFERROR(INDEX(ЗАКАЗЫ!$N$3:$N$500,MATCH($A262,ЗАКАЗЫ!$F$3:$F$500,0)),"")</f>
        <v/>
      </c>
      <c r="BM262" s="8" t="str">
        <f aca="false">IF(BL262="","",IFERROR(VLOOKUP(BL262,'ТН ВЭД'!$A$4:$C$40,3,0),""))</f>
        <v/>
      </c>
      <c r="BN262" s="7" t="str">
        <f aca="false">IF(COUNTIF(ЗАКАЗЫ!$F$3:$F$500,$A262)=0,"",SUMIF(ЗАКАЗЫ!$F$3:$F$500,$A262,ЗАКАЗЫ!$J$3:$J$500))</f>
        <v/>
      </c>
      <c r="BO262" s="7" t="str">
        <f aca="false">IF(BN262="","",SUMIF(ЗАКАЗЫ!$F$3:$F$500,$A262,ЗАКАЗЫ!$AL$3:$AL$500))</f>
        <v/>
      </c>
      <c r="BP262" s="7" t="str">
        <f aca="false">IF(BN262="","",BN262-BO262)</f>
        <v/>
      </c>
      <c r="BQ262" s="55" t="str">
        <f aca="false">IF(BN262="","",IF(BO262&gt;=BN262,"На складе",IF(BO262&gt;0,"Частично","Ждём")))</f>
        <v/>
      </c>
      <c r="BR262" s="43"/>
      <c r="BS262" s="47" t="str">
        <f aca="false">IF(BN262="","",IF(_xlfn.MAXIFS(ЗАКАЗЫ!$AK$3:$AK$500,ЗАКАЗЫ!$F$3:$F$500,$A262)=0,"",_xlfn.MAXIFS(ЗАКАЗЫ!$AK$3:$AK$500,ЗАКАЗЫ!$F$3:$F$500,$A262)))</f>
        <v/>
      </c>
    </row>
    <row r="263" customFormat="false" ht="15.75" hidden="false" customHeight="true" outlineLevel="0" collapsed="false">
      <c r="A263" s="80" t="s">
        <v>1095</v>
      </c>
      <c r="B263" s="81"/>
      <c r="C263" s="81"/>
      <c r="D263" s="81"/>
      <c r="E263" s="83"/>
      <c r="F263" s="81"/>
      <c r="G263" s="83"/>
      <c r="H263" s="83"/>
      <c r="I263" s="84" t="str">
        <f aca="false">IF(E263="","",A263&amp;"_1.jpg")</f>
        <v/>
      </c>
      <c r="J263" s="84" t="str">
        <f aca="false">IF(E263="","",A263&amp;"_2.jpg; "&amp;A263&amp;"_3.jpg")</f>
        <v/>
      </c>
      <c r="K263" s="84" t="str">
        <f aca="false">IF(E263="","",A263&amp;"_schema.jpg")</f>
        <v/>
      </c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 t="s">
        <v>96</v>
      </c>
      <c r="W263" s="81"/>
      <c r="X263" s="81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6" t="str">
        <f aca="false">IF(SUM(Y263:AJ263)=0,"",SUM(Y263:AJ263))</f>
        <v/>
      </c>
      <c r="AL263" s="84" t="str">
        <f aca="false">MID(IF(N(Y263)&gt;0,", "&amp;Y$2,"")&amp;IF(N(Z263)&gt;0,", "&amp;Z$2,"")&amp;IF(N(AA263)&gt;0,", "&amp;AA$2,"")&amp;IF(N(AB263)&gt;0,", "&amp;AB$2,"")&amp;IF(N(AC263)&gt;0,", "&amp;AC$2,"")&amp;IF(N(AD263)&gt;0,", "&amp;AD$2,"")&amp;IF(N(AE263)&gt;0,", "&amp;AE$2,"")&amp;IF(N(AF263)&gt;0,", "&amp;AF$2,"")&amp;IF(N(AG263)&gt;0,", "&amp;AG$2,"")&amp;IF(N(AH263)&gt;0,", "&amp;AH$2,"")&amp;IF(N(AI263)&gt;0,", "&amp;AI$2,"")&amp;IF(N(AJ263)&gt;0,", "&amp;AJ$2,""),3,999)</f>
        <v/>
      </c>
      <c r="AM263" s="87" t="str">
        <f aca="false">IF(E263="","",MID(IF(N(Y263)&gt;0,", "&amp;A263&amp;"-"&amp;Y$2,"")&amp;IF(N(Z263)&gt;0,", "&amp;A263&amp;"-"&amp;Z$2,"")&amp;IF(N(AA263)&gt;0,", "&amp;A263&amp;"-"&amp;AA$2,"")&amp;IF(N(AB263)&gt;0,", "&amp;A263&amp;"-"&amp;AB$2,"")&amp;IF(N(AC263)&gt;0,", "&amp;A263&amp;"-"&amp;AC$2,"")&amp;IF(N(AD263)&gt;0,", "&amp;A263&amp;"-"&amp;AD$2,"")&amp;IF(N(AE263)&gt;0,", "&amp;A263&amp;"-"&amp;AE$2,"")&amp;IF(N(AF263)&gt;0,", "&amp;A263&amp;"-"&amp;AF$2,"")&amp;IF(N(AG263)&gt;0,", "&amp;A263&amp;"-"&amp;AG$2,"")&amp;IF(N(AH263)&gt;0,", "&amp;A263&amp;"-"&amp;AH$2,"")&amp;IF(N(AI263)&gt;0,", "&amp;A263&amp;"-"&amp;AI$2,"")&amp;IF(N(AJ263)&gt;0,", "&amp;A263&amp;"-"&amp;AJ$2,""),3,999))</f>
        <v/>
      </c>
      <c r="AN263" s="81"/>
      <c r="AO263" s="88"/>
      <c r="AP263" s="89" t="str">
        <f aca="false">IF(AO263="","",ROUND(AO263/(1+Справочники!$B$13),2))</f>
        <v/>
      </c>
      <c r="AQ263" s="90" t="str">
        <f aca="false" t="array" ref="AQ263:AQ263">IF(AP263="","",AP263*INDEX(Справочники!$B$4:$B$7,MATCH("RUB",Справочники!$A$4:$A$7,0)))</f>
        <v/>
      </c>
      <c r="AR263" s="90" t="str">
        <f aca="false">IF(AQ263="","",ROUND(AQ263*(1+Справочники!$B$12),0))</f>
        <v/>
      </c>
      <c r="AS263" s="90" t="str">
        <f aca="false">IF(AR263="","",ROUND(AR263*(1-Справочники!$B$11),0))</f>
        <v/>
      </c>
      <c r="AT263" s="88"/>
      <c r="AU263" s="90" t="str">
        <f aca="false">IF(AT263="","",ROUND(AT263/(1+Справочники!$B$12),0))</f>
        <v/>
      </c>
      <c r="AV263" s="90" t="str">
        <f aca="false">IF(AT263="","",ROUND(AT263*(1-Справочники!$B$15),0))</f>
        <v/>
      </c>
      <c r="AW263" s="90" t="str">
        <f aca="false">IF(AT263="","",ROUND(AT263*(1-Справочники!$B$16),0))</f>
        <v/>
      </c>
      <c r="AX263" s="90" t="str">
        <f aca="false">IF(AT263="","",ROUND(AT263*(1-Справочники!$B$17),0))</f>
        <v/>
      </c>
      <c r="AY263" s="90" t="str">
        <f aca="false">IF(AT263="","",ROUND(AT263*(1-Справочники!$B$18),0))</f>
        <v/>
      </c>
      <c r="AZ263" s="90" t="str">
        <f aca="false">IF(AT263="","",ROUND(AT263*(1-Справочники!$B$19),0))</f>
        <v/>
      </c>
      <c r="BA263" s="81"/>
      <c r="BB263" s="81"/>
      <c r="BC263" s="81"/>
      <c r="BD263" s="81"/>
      <c r="BE263" s="91"/>
      <c r="BF263" s="81" t="s">
        <v>103</v>
      </c>
      <c r="BG263" s="89" t="n">
        <f aca="false" t="array" ref="BG263:BG263">IF(BF263="","",IFERROR(INDEX(Справочники!$B$4:$B$7,MATCH(BF263,Справочники!$A$4:$A$7,0)),""))</f>
        <v>68.5</v>
      </c>
      <c r="BH263" s="90" t="str">
        <f aca="false">IF(N(BN263)&gt;0,ROUND(SUMIF(ЗАКАЗЫ!$F$3:$F$500,$A263,ЗАКАЗЫ!$Y$3:$Y$500)/BN263,0),IF(OR(BE263="",BG263=""),"",ROUND(BE263*BG263*(1+Справочники!$B$10),0)))</f>
        <v/>
      </c>
      <c r="BI263" s="92" t="str">
        <f aca="false">IF(OR(AU263="",BH263="",AU263=0),"",(AU263-BH263)/AU263)</f>
        <v/>
      </c>
      <c r="BJ263" s="81"/>
      <c r="BK263" s="83"/>
      <c r="BL263" s="43" t="str">
        <f aca="false">IFERROR(INDEX(ЗАКАЗЫ!$N$3:$N$500,MATCH($A263,ЗАКАЗЫ!$F$3:$F$500,0)),"")</f>
        <v/>
      </c>
      <c r="BM263" s="8" t="str">
        <f aca="false">IF(BL263="","",IFERROR(VLOOKUP(BL263,'ТН ВЭД'!$A$4:$C$40,3,0),""))</f>
        <v/>
      </c>
      <c r="BN263" s="7" t="str">
        <f aca="false">IF(COUNTIF(ЗАКАЗЫ!$F$3:$F$500,$A263)=0,"",SUMIF(ЗАКАЗЫ!$F$3:$F$500,$A263,ЗАКАЗЫ!$J$3:$J$500))</f>
        <v/>
      </c>
      <c r="BO263" s="7" t="str">
        <f aca="false">IF(BN263="","",SUMIF(ЗАКАЗЫ!$F$3:$F$500,$A263,ЗАКАЗЫ!$AL$3:$AL$500))</f>
        <v/>
      </c>
      <c r="BP263" s="7" t="str">
        <f aca="false">IF(BN263="","",BN263-BO263)</f>
        <v/>
      </c>
      <c r="BQ263" s="55" t="str">
        <f aca="false">IF(BN263="","",IF(BO263&gt;=BN263,"На складе",IF(BO263&gt;0,"Частично","Ждём")))</f>
        <v/>
      </c>
      <c r="BR263" s="43"/>
      <c r="BS263" s="47" t="str">
        <f aca="false">IF(BN263="","",IF(_xlfn.MAXIFS(ЗАКАЗЫ!$AK$3:$AK$500,ЗАКАЗЫ!$F$3:$F$500,$A263)=0,"",_xlfn.MAXIFS(ЗАКАЗЫ!$AK$3:$AK$500,ЗАКАЗЫ!$F$3:$F$500,$A263)))</f>
        <v/>
      </c>
    </row>
    <row r="264" customFormat="false" ht="15.75" hidden="false" customHeight="true" outlineLevel="0" collapsed="false">
      <c r="A264" s="80" t="s">
        <v>1096</v>
      </c>
      <c r="B264" s="81"/>
      <c r="C264" s="81"/>
      <c r="D264" s="81"/>
      <c r="E264" s="83"/>
      <c r="F264" s="81"/>
      <c r="G264" s="83"/>
      <c r="H264" s="83"/>
      <c r="I264" s="84" t="str">
        <f aca="false">IF(E264="","",A264&amp;"_1.jpg")</f>
        <v/>
      </c>
      <c r="J264" s="84" t="str">
        <f aca="false">IF(E264="","",A264&amp;"_2.jpg; "&amp;A264&amp;"_3.jpg")</f>
        <v/>
      </c>
      <c r="K264" s="84" t="str">
        <f aca="false">IF(E264="","",A264&amp;"_schema.jpg")</f>
        <v/>
      </c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 t="s">
        <v>96</v>
      </c>
      <c r="W264" s="81"/>
      <c r="X264" s="81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6" t="str">
        <f aca="false">IF(SUM(Y264:AJ264)=0,"",SUM(Y264:AJ264))</f>
        <v/>
      </c>
      <c r="AL264" s="84" t="str">
        <f aca="false">MID(IF(N(Y264)&gt;0,", "&amp;Y$2,"")&amp;IF(N(Z264)&gt;0,", "&amp;Z$2,"")&amp;IF(N(AA264)&gt;0,", "&amp;AA$2,"")&amp;IF(N(AB264)&gt;0,", "&amp;AB$2,"")&amp;IF(N(AC264)&gt;0,", "&amp;AC$2,"")&amp;IF(N(AD264)&gt;0,", "&amp;AD$2,"")&amp;IF(N(AE264)&gt;0,", "&amp;AE$2,"")&amp;IF(N(AF264)&gt;0,", "&amp;AF$2,"")&amp;IF(N(AG264)&gt;0,", "&amp;AG$2,"")&amp;IF(N(AH264)&gt;0,", "&amp;AH$2,"")&amp;IF(N(AI264)&gt;0,", "&amp;AI$2,"")&amp;IF(N(AJ264)&gt;0,", "&amp;AJ$2,""),3,999)</f>
        <v/>
      </c>
      <c r="AM264" s="87" t="str">
        <f aca="false">IF(E264="","",MID(IF(N(Y264)&gt;0,", "&amp;A264&amp;"-"&amp;Y$2,"")&amp;IF(N(Z264)&gt;0,", "&amp;A264&amp;"-"&amp;Z$2,"")&amp;IF(N(AA264)&gt;0,", "&amp;A264&amp;"-"&amp;AA$2,"")&amp;IF(N(AB264)&gt;0,", "&amp;A264&amp;"-"&amp;AB$2,"")&amp;IF(N(AC264)&gt;0,", "&amp;A264&amp;"-"&amp;AC$2,"")&amp;IF(N(AD264)&gt;0,", "&amp;A264&amp;"-"&amp;AD$2,"")&amp;IF(N(AE264)&gt;0,", "&amp;A264&amp;"-"&amp;AE$2,"")&amp;IF(N(AF264)&gt;0,", "&amp;A264&amp;"-"&amp;AF$2,"")&amp;IF(N(AG264)&gt;0,", "&amp;A264&amp;"-"&amp;AG$2,"")&amp;IF(N(AH264)&gt;0,", "&amp;A264&amp;"-"&amp;AH$2,"")&amp;IF(N(AI264)&gt;0,", "&amp;A264&amp;"-"&amp;AI$2,"")&amp;IF(N(AJ264)&gt;0,", "&amp;A264&amp;"-"&amp;AJ$2,""),3,999))</f>
        <v/>
      </c>
      <c r="AN264" s="81"/>
      <c r="AO264" s="88"/>
      <c r="AP264" s="89" t="str">
        <f aca="false">IF(AO264="","",ROUND(AO264/(1+Справочники!$B$13),2))</f>
        <v/>
      </c>
      <c r="AQ264" s="90" t="str">
        <f aca="false" t="array" ref="AQ264:AQ264">IF(AP264="","",AP264*INDEX(Справочники!$B$4:$B$7,MATCH("RUB",Справочники!$A$4:$A$7,0)))</f>
        <v/>
      </c>
      <c r="AR264" s="90" t="str">
        <f aca="false">IF(AQ264="","",ROUND(AQ264*(1+Справочники!$B$12),0))</f>
        <v/>
      </c>
      <c r="AS264" s="90" t="str">
        <f aca="false">IF(AR264="","",ROUND(AR264*(1-Справочники!$B$11),0))</f>
        <v/>
      </c>
      <c r="AT264" s="88"/>
      <c r="AU264" s="90" t="str">
        <f aca="false">IF(AT264="","",ROUND(AT264/(1+Справочники!$B$12),0))</f>
        <v/>
      </c>
      <c r="AV264" s="90" t="str">
        <f aca="false">IF(AT264="","",ROUND(AT264*(1-Справочники!$B$15),0))</f>
        <v/>
      </c>
      <c r="AW264" s="90" t="str">
        <f aca="false">IF(AT264="","",ROUND(AT264*(1-Справочники!$B$16),0))</f>
        <v/>
      </c>
      <c r="AX264" s="90" t="str">
        <f aca="false">IF(AT264="","",ROUND(AT264*(1-Справочники!$B$17),0))</f>
        <v/>
      </c>
      <c r="AY264" s="90" t="str">
        <f aca="false">IF(AT264="","",ROUND(AT264*(1-Справочники!$B$18),0))</f>
        <v/>
      </c>
      <c r="AZ264" s="90" t="str">
        <f aca="false">IF(AT264="","",ROUND(AT264*(1-Справочники!$B$19),0))</f>
        <v/>
      </c>
      <c r="BA264" s="81"/>
      <c r="BB264" s="81"/>
      <c r="BC264" s="81"/>
      <c r="BD264" s="81"/>
      <c r="BE264" s="91"/>
      <c r="BF264" s="81" t="s">
        <v>103</v>
      </c>
      <c r="BG264" s="89" t="n">
        <f aca="false" t="array" ref="BG264:BG264">IF(BF264="","",IFERROR(INDEX(Справочники!$B$4:$B$7,MATCH(BF264,Справочники!$A$4:$A$7,0)),""))</f>
        <v>68.5</v>
      </c>
      <c r="BH264" s="90" t="str">
        <f aca="false">IF(N(BN264)&gt;0,ROUND(SUMIF(ЗАКАЗЫ!$F$3:$F$500,$A264,ЗАКАЗЫ!$Y$3:$Y$500)/BN264,0),IF(OR(BE264="",BG264=""),"",ROUND(BE264*BG264*(1+Справочники!$B$10),0)))</f>
        <v/>
      </c>
      <c r="BI264" s="92" t="str">
        <f aca="false">IF(OR(AU264="",BH264="",AU264=0),"",(AU264-BH264)/AU264)</f>
        <v/>
      </c>
      <c r="BJ264" s="81"/>
      <c r="BK264" s="83"/>
      <c r="BL264" s="43" t="str">
        <f aca="false">IFERROR(INDEX(ЗАКАЗЫ!$N$3:$N$500,MATCH($A264,ЗАКАЗЫ!$F$3:$F$500,0)),"")</f>
        <v/>
      </c>
      <c r="BM264" s="8" t="str">
        <f aca="false">IF(BL264="","",IFERROR(VLOOKUP(BL264,'ТН ВЭД'!$A$4:$C$40,3,0),""))</f>
        <v/>
      </c>
      <c r="BN264" s="7" t="str">
        <f aca="false">IF(COUNTIF(ЗАКАЗЫ!$F$3:$F$500,$A264)=0,"",SUMIF(ЗАКАЗЫ!$F$3:$F$500,$A264,ЗАКАЗЫ!$J$3:$J$500))</f>
        <v/>
      </c>
      <c r="BO264" s="7" t="str">
        <f aca="false">IF(BN264="","",SUMIF(ЗАКАЗЫ!$F$3:$F$500,$A264,ЗАКАЗЫ!$AL$3:$AL$500))</f>
        <v/>
      </c>
      <c r="BP264" s="7" t="str">
        <f aca="false">IF(BN264="","",BN264-BO264)</f>
        <v/>
      </c>
      <c r="BQ264" s="55" t="str">
        <f aca="false">IF(BN264="","",IF(BO264&gt;=BN264,"На складе",IF(BO264&gt;0,"Частично","Ждём")))</f>
        <v/>
      </c>
      <c r="BR264" s="43"/>
      <c r="BS264" s="47" t="str">
        <f aca="false">IF(BN264="","",IF(_xlfn.MAXIFS(ЗАКАЗЫ!$AK$3:$AK$500,ЗАКАЗЫ!$F$3:$F$500,$A264)=0,"",_xlfn.MAXIFS(ЗАКАЗЫ!$AK$3:$AK$500,ЗАКАЗЫ!$F$3:$F$500,$A264)))</f>
        <v/>
      </c>
    </row>
    <row r="265" customFormat="false" ht="15.75" hidden="false" customHeight="true" outlineLevel="0" collapsed="false">
      <c r="A265" s="80" t="s">
        <v>1097</v>
      </c>
      <c r="B265" s="81"/>
      <c r="C265" s="81"/>
      <c r="D265" s="81"/>
      <c r="E265" s="83"/>
      <c r="F265" s="81"/>
      <c r="G265" s="83"/>
      <c r="H265" s="83"/>
      <c r="I265" s="84" t="str">
        <f aca="false">IF(E265="","",A265&amp;"_1.jpg")</f>
        <v/>
      </c>
      <c r="J265" s="84" t="str">
        <f aca="false">IF(E265="","",A265&amp;"_2.jpg; "&amp;A265&amp;"_3.jpg")</f>
        <v/>
      </c>
      <c r="K265" s="84" t="str">
        <f aca="false">IF(E265="","",A265&amp;"_schema.jpg")</f>
        <v/>
      </c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 t="s">
        <v>96</v>
      </c>
      <c r="W265" s="81"/>
      <c r="X265" s="81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6" t="str">
        <f aca="false">IF(SUM(Y265:AJ265)=0,"",SUM(Y265:AJ265))</f>
        <v/>
      </c>
      <c r="AL265" s="84" t="str">
        <f aca="false">MID(IF(N(Y265)&gt;0,", "&amp;Y$2,"")&amp;IF(N(Z265)&gt;0,", "&amp;Z$2,"")&amp;IF(N(AA265)&gt;0,", "&amp;AA$2,"")&amp;IF(N(AB265)&gt;0,", "&amp;AB$2,"")&amp;IF(N(AC265)&gt;0,", "&amp;AC$2,"")&amp;IF(N(AD265)&gt;0,", "&amp;AD$2,"")&amp;IF(N(AE265)&gt;0,", "&amp;AE$2,"")&amp;IF(N(AF265)&gt;0,", "&amp;AF$2,"")&amp;IF(N(AG265)&gt;0,", "&amp;AG$2,"")&amp;IF(N(AH265)&gt;0,", "&amp;AH$2,"")&amp;IF(N(AI265)&gt;0,", "&amp;AI$2,"")&amp;IF(N(AJ265)&gt;0,", "&amp;AJ$2,""),3,999)</f>
        <v/>
      </c>
      <c r="AM265" s="87" t="str">
        <f aca="false">IF(E265="","",MID(IF(N(Y265)&gt;0,", "&amp;A265&amp;"-"&amp;Y$2,"")&amp;IF(N(Z265)&gt;0,", "&amp;A265&amp;"-"&amp;Z$2,"")&amp;IF(N(AA265)&gt;0,", "&amp;A265&amp;"-"&amp;AA$2,"")&amp;IF(N(AB265)&gt;0,", "&amp;A265&amp;"-"&amp;AB$2,"")&amp;IF(N(AC265)&gt;0,", "&amp;A265&amp;"-"&amp;AC$2,"")&amp;IF(N(AD265)&gt;0,", "&amp;A265&amp;"-"&amp;AD$2,"")&amp;IF(N(AE265)&gt;0,", "&amp;A265&amp;"-"&amp;AE$2,"")&amp;IF(N(AF265)&gt;0,", "&amp;A265&amp;"-"&amp;AF$2,"")&amp;IF(N(AG265)&gt;0,", "&amp;A265&amp;"-"&amp;AG$2,"")&amp;IF(N(AH265)&gt;0,", "&amp;A265&amp;"-"&amp;AH$2,"")&amp;IF(N(AI265)&gt;0,", "&amp;A265&amp;"-"&amp;AI$2,"")&amp;IF(N(AJ265)&gt;0,", "&amp;A265&amp;"-"&amp;AJ$2,""),3,999))</f>
        <v/>
      </c>
      <c r="AN265" s="81"/>
      <c r="AO265" s="88"/>
      <c r="AP265" s="89" t="str">
        <f aca="false">IF(AO265="","",ROUND(AO265/(1+Справочники!$B$13),2))</f>
        <v/>
      </c>
      <c r="AQ265" s="90" t="str">
        <f aca="false" t="array" ref="AQ265:AQ265">IF(AP265="","",AP265*INDEX(Справочники!$B$4:$B$7,MATCH("RUB",Справочники!$A$4:$A$7,0)))</f>
        <v/>
      </c>
      <c r="AR265" s="90" t="str">
        <f aca="false">IF(AQ265="","",ROUND(AQ265*(1+Справочники!$B$12),0))</f>
        <v/>
      </c>
      <c r="AS265" s="90" t="str">
        <f aca="false">IF(AR265="","",ROUND(AR265*(1-Справочники!$B$11),0))</f>
        <v/>
      </c>
      <c r="AT265" s="88"/>
      <c r="AU265" s="90" t="str">
        <f aca="false">IF(AT265="","",ROUND(AT265/(1+Справочники!$B$12),0))</f>
        <v/>
      </c>
      <c r="AV265" s="90" t="str">
        <f aca="false">IF(AT265="","",ROUND(AT265*(1-Справочники!$B$15),0))</f>
        <v/>
      </c>
      <c r="AW265" s="90" t="str">
        <f aca="false">IF(AT265="","",ROUND(AT265*(1-Справочники!$B$16),0))</f>
        <v/>
      </c>
      <c r="AX265" s="90" t="str">
        <f aca="false">IF(AT265="","",ROUND(AT265*(1-Справочники!$B$17),0))</f>
        <v/>
      </c>
      <c r="AY265" s="90" t="str">
        <f aca="false">IF(AT265="","",ROUND(AT265*(1-Справочники!$B$18),0))</f>
        <v/>
      </c>
      <c r="AZ265" s="90" t="str">
        <f aca="false">IF(AT265="","",ROUND(AT265*(1-Справочники!$B$19),0))</f>
        <v/>
      </c>
      <c r="BA265" s="81"/>
      <c r="BB265" s="81"/>
      <c r="BC265" s="81"/>
      <c r="BD265" s="81"/>
      <c r="BE265" s="91"/>
      <c r="BF265" s="81" t="s">
        <v>103</v>
      </c>
      <c r="BG265" s="89" t="n">
        <f aca="false" t="array" ref="BG265:BG265">IF(BF265="","",IFERROR(INDEX(Справочники!$B$4:$B$7,MATCH(BF265,Справочники!$A$4:$A$7,0)),""))</f>
        <v>68.5</v>
      </c>
      <c r="BH265" s="90" t="str">
        <f aca="false">IF(N(BN265)&gt;0,ROUND(SUMIF(ЗАКАЗЫ!$F$3:$F$500,$A265,ЗАКАЗЫ!$Y$3:$Y$500)/BN265,0),IF(OR(BE265="",BG265=""),"",ROUND(BE265*BG265*(1+Справочники!$B$10),0)))</f>
        <v/>
      </c>
      <c r="BI265" s="92" t="str">
        <f aca="false">IF(OR(AU265="",BH265="",AU265=0),"",(AU265-BH265)/AU265)</f>
        <v/>
      </c>
      <c r="BJ265" s="81"/>
      <c r="BK265" s="83"/>
      <c r="BL265" s="43" t="str">
        <f aca="false">IFERROR(INDEX(ЗАКАЗЫ!$N$3:$N$500,MATCH($A265,ЗАКАЗЫ!$F$3:$F$500,0)),"")</f>
        <v/>
      </c>
      <c r="BM265" s="8" t="str">
        <f aca="false">IF(BL265="","",IFERROR(VLOOKUP(BL265,'ТН ВЭД'!$A$4:$C$40,3,0),""))</f>
        <v/>
      </c>
      <c r="BN265" s="7" t="str">
        <f aca="false">IF(COUNTIF(ЗАКАЗЫ!$F$3:$F$500,$A265)=0,"",SUMIF(ЗАКАЗЫ!$F$3:$F$500,$A265,ЗАКАЗЫ!$J$3:$J$500))</f>
        <v/>
      </c>
      <c r="BO265" s="7" t="str">
        <f aca="false">IF(BN265="","",SUMIF(ЗАКАЗЫ!$F$3:$F$500,$A265,ЗАКАЗЫ!$AL$3:$AL$500))</f>
        <v/>
      </c>
      <c r="BP265" s="7" t="str">
        <f aca="false">IF(BN265="","",BN265-BO265)</f>
        <v/>
      </c>
      <c r="BQ265" s="55" t="str">
        <f aca="false">IF(BN265="","",IF(BO265&gt;=BN265,"На складе",IF(BO265&gt;0,"Частично","Ждём")))</f>
        <v/>
      </c>
      <c r="BR265" s="43"/>
      <c r="BS265" s="47" t="str">
        <f aca="false">IF(BN265="","",IF(_xlfn.MAXIFS(ЗАКАЗЫ!$AK$3:$AK$500,ЗАКАЗЫ!$F$3:$F$500,$A265)=0,"",_xlfn.MAXIFS(ЗАКАЗЫ!$AK$3:$AK$500,ЗАКАЗЫ!$F$3:$F$500,$A265)))</f>
        <v/>
      </c>
    </row>
    <row r="266" customFormat="false" ht="15.75" hidden="false" customHeight="true" outlineLevel="0" collapsed="false">
      <c r="A266" s="80" t="s">
        <v>1098</v>
      </c>
      <c r="B266" s="81"/>
      <c r="C266" s="81"/>
      <c r="D266" s="81"/>
      <c r="E266" s="83"/>
      <c r="F266" s="81"/>
      <c r="G266" s="83"/>
      <c r="H266" s="83"/>
      <c r="I266" s="84" t="str">
        <f aca="false">IF(E266="","",A266&amp;"_1.jpg")</f>
        <v/>
      </c>
      <c r="J266" s="84" t="str">
        <f aca="false">IF(E266="","",A266&amp;"_2.jpg; "&amp;A266&amp;"_3.jpg")</f>
        <v/>
      </c>
      <c r="K266" s="84" t="str">
        <f aca="false">IF(E266="","",A266&amp;"_schema.jpg")</f>
        <v/>
      </c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 t="s">
        <v>96</v>
      </c>
      <c r="W266" s="81"/>
      <c r="X266" s="81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6" t="str">
        <f aca="false">IF(SUM(Y266:AJ266)=0,"",SUM(Y266:AJ266))</f>
        <v/>
      </c>
      <c r="AL266" s="84" t="str">
        <f aca="false">MID(IF(N(Y266)&gt;0,", "&amp;Y$2,"")&amp;IF(N(Z266)&gt;0,", "&amp;Z$2,"")&amp;IF(N(AA266)&gt;0,", "&amp;AA$2,"")&amp;IF(N(AB266)&gt;0,", "&amp;AB$2,"")&amp;IF(N(AC266)&gt;0,", "&amp;AC$2,"")&amp;IF(N(AD266)&gt;0,", "&amp;AD$2,"")&amp;IF(N(AE266)&gt;0,", "&amp;AE$2,"")&amp;IF(N(AF266)&gt;0,", "&amp;AF$2,"")&amp;IF(N(AG266)&gt;0,", "&amp;AG$2,"")&amp;IF(N(AH266)&gt;0,", "&amp;AH$2,"")&amp;IF(N(AI266)&gt;0,", "&amp;AI$2,"")&amp;IF(N(AJ266)&gt;0,", "&amp;AJ$2,""),3,999)</f>
        <v/>
      </c>
      <c r="AM266" s="87" t="str">
        <f aca="false">IF(E266="","",MID(IF(N(Y266)&gt;0,", "&amp;A266&amp;"-"&amp;Y$2,"")&amp;IF(N(Z266)&gt;0,", "&amp;A266&amp;"-"&amp;Z$2,"")&amp;IF(N(AA266)&gt;0,", "&amp;A266&amp;"-"&amp;AA$2,"")&amp;IF(N(AB266)&gt;0,", "&amp;A266&amp;"-"&amp;AB$2,"")&amp;IF(N(AC266)&gt;0,", "&amp;A266&amp;"-"&amp;AC$2,"")&amp;IF(N(AD266)&gt;0,", "&amp;A266&amp;"-"&amp;AD$2,"")&amp;IF(N(AE266)&gt;0,", "&amp;A266&amp;"-"&amp;AE$2,"")&amp;IF(N(AF266)&gt;0,", "&amp;A266&amp;"-"&amp;AF$2,"")&amp;IF(N(AG266)&gt;0,", "&amp;A266&amp;"-"&amp;AG$2,"")&amp;IF(N(AH266)&gt;0,", "&amp;A266&amp;"-"&amp;AH$2,"")&amp;IF(N(AI266)&gt;0,", "&amp;A266&amp;"-"&amp;AI$2,"")&amp;IF(N(AJ266)&gt;0,", "&amp;A266&amp;"-"&amp;AJ$2,""),3,999))</f>
        <v/>
      </c>
      <c r="AN266" s="81"/>
      <c r="AO266" s="88"/>
      <c r="AP266" s="89" t="str">
        <f aca="false">IF(AO266="","",ROUND(AO266/(1+Справочники!$B$13),2))</f>
        <v/>
      </c>
      <c r="AQ266" s="90" t="str">
        <f aca="false" t="array" ref="AQ266:AQ266">IF(AP266="","",AP266*INDEX(Справочники!$B$4:$B$7,MATCH("RUB",Справочники!$A$4:$A$7,0)))</f>
        <v/>
      </c>
      <c r="AR266" s="90" t="str">
        <f aca="false">IF(AQ266="","",ROUND(AQ266*(1+Справочники!$B$12),0))</f>
        <v/>
      </c>
      <c r="AS266" s="90" t="str">
        <f aca="false">IF(AR266="","",ROUND(AR266*(1-Справочники!$B$11),0))</f>
        <v/>
      </c>
      <c r="AT266" s="88"/>
      <c r="AU266" s="90" t="str">
        <f aca="false">IF(AT266="","",ROUND(AT266/(1+Справочники!$B$12),0))</f>
        <v/>
      </c>
      <c r="AV266" s="90" t="str">
        <f aca="false">IF(AT266="","",ROUND(AT266*(1-Справочники!$B$15),0))</f>
        <v/>
      </c>
      <c r="AW266" s="90" t="str">
        <f aca="false">IF(AT266="","",ROUND(AT266*(1-Справочники!$B$16),0))</f>
        <v/>
      </c>
      <c r="AX266" s="90" t="str">
        <f aca="false">IF(AT266="","",ROUND(AT266*(1-Справочники!$B$17),0))</f>
        <v/>
      </c>
      <c r="AY266" s="90" t="str">
        <f aca="false">IF(AT266="","",ROUND(AT266*(1-Справочники!$B$18),0))</f>
        <v/>
      </c>
      <c r="AZ266" s="90" t="str">
        <f aca="false">IF(AT266="","",ROUND(AT266*(1-Справочники!$B$19),0))</f>
        <v/>
      </c>
      <c r="BA266" s="81"/>
      <c r="BB266" s="81"/>
      <c r="BC266" s="81"/>
      <c r="BD266" s="81"/>
      <c r="BE266" s="91"/>
      <c r="BF266" s="81" t="s">
        <v>103</v>
      </c>
      <c r="BG266" s="89" t="n">
        <f aca="false" t="array" ref="BG266:BG266">IF(BF266="","",IFERROR(INDEX(Справочники!$B$4:$B$7,MATCH(BF266,Справочники!$A$4:$A$7,0)),""))</f>
        <v>68.5</v>
      </c>
      <c r="BH266" s="90" t="str">
        <f aca="false">IF(N(BN266)&gt;0,ROUND(SUMIF(ЗАКАЗЫ!$F$3:$F$500,$A266,ЗАКАЗЫ!$Y$3:$Y$500)/BN266,0),IF(OR(BE266="",BG266=""),"",ROUND(BE266*BG266*(1+Справочники!$B$10),0)))</f>
        <v/>
      </c>
      <c r="BI266" s="92" t="str">
        <f aca="false">IF(OR(AU266="",BH266="",AU266=0),"",(AU266-BH266)/AU266)</f>
        <v/>
      </c>
      <c r="BJ266" s="81"/>
      <c r="BK266" s="83"/>
      <c r="BL266" s="43" t="str">
        <f aca="false">IFERROR(INDEX(ЗАКАЗЫ!$N$3:$N$500,MATCH($A266,ЗАКАЗЫ!$F$3:$F$500,0)),"")</f>
        <v/>
      </c>
      <c r="BM266" s="8" t="str">
        <f aca="false">IF(BL266="","",IFERROR(VLOOKUP(BL266,'ТН ВЭД'!$A$4:$C$40,3,0),""))</f>
        <v/>
      </c>
      <c r="BN266" s="7" t="str">
        <f aca="false">IF(COUNTIF(ЗАКАЗЫ!$F$3:$F$500,$A266)=0,"",SUMIF(ЗАКАЗЫ!$F$3:$F$500,$A266,ЗАКАЗЫ!$J$3:$J$500))</f>
        <v/>
      </c>
      <c r="BO266" s="7" t="str">
        <f aca="false">IF(BN266="","",SUMIF(ЗАКАЗЫ!$F$3:$F$500,$A266,ЗАКАЗЫ!$AL$3:$AL$500))</f>
        <v/>
      </c>
      <c r="BP266" s="7" t="str">
        <f aca="false">IF(BN266="","",BN266-BO266)</f>
        <v/>
      </c>
      <c r="BQ266" s="55" t="str">
        <f aca="false">IF(BN266="","",IF(BO266&gt;=BN266,"На складе",IF(BO266&gt;0,"Частично","Ждём")))</f>
        <v/>
      </c>
      <c r="BR266" s="43"/>
      <c r="BS266" s="47" t="str">
        <f aca="false">IF(BN266="","",IF(_xlfn.MAXIFS(ЗАКАЗЫ!$AK$3:$AK$500,ЗАКАЗЫ!$F$3:$F$500,$A266)=0,"",_xlfn.MAXIFS(ЗАКАЗЫ!$AK$3:$AK$500,ЗАКАЗЫ!$F$3:$F$500,$A266)))</f>
        <v/>
      </c>
    </row>
    <row r="267" customFormat="false" ht="15.75" hidden="false" customHeight="true" outlineLevel="0" collapsed="false">
      <c r="A267" s="80" t="s">
        <v>1099</v>
      </c>
      <c r="B267" s="81"/>
      <c r="C267" s="81"/>
      <c r="D267" s="81"/>
      <c r="E267" s="83"/>
      <c r="F267" s="81"/>
      <c r="G267" s="83"/>
      <c r="H267" s="83"/>
      <c r="I267" s="84" t="str">
        <f aca="false">IF(E267="","",A267&amp;"_1.jpg")</f>
        <v/>
      </c>
      <c r="J267" s="84" t="str">
        <f aca="false">IF(E267="","",A267&amp;"_2.jpg; "&amp;A267&amp;"_3.jpg")</f>
        <v/>
      </c>
      <c r="K267" s="84" t="str">
        <f aca="false">IF(E267="","",A267&amp;"_schema.jpg")</f>
        <v/>
      </c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 t="s">
        <v>96</v>
      </c>
      <c r="W267" s="81"/>
      <c r="X267" s="81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6" t="str">
        <f aca="false">IF(SUM(Y267:AJ267)=0,"",SUM(Y267:AJ267))</f>
        <v/>
      </c>
      <c r="AL267" s="84" t="str">
        <f aca="false">MID(IF(N(Y267)&gt;0,", "&amp;Y$2,"")&amp;IF(N(Z267)&gt;0,", "&amp;Z$2,"")&amp;IF(N(AA267)&gt;0,", "&amp;AA$2,"")&amp;IF(N(AB267)&gt;0,", "&amp;AB$2,"")&amp;IF(N(AC267)&gt;0,", "&amp;AC$2,"")&amp;IF(N(AD267)&gt;0,", "&amp;AD$2,"")&amp;IF(N(AE267)&gt;0,", "&amp;AE$2,"")&amp;IF(N(AF267)&gt;0,", "&amp;AF$2,"")&amp;IF(N(AG267)&gt;0,", "&amp;AG$2,"")&amp;IF(N(AH267)&gt;0,", "&amp;AH$2,"")&amp;IF(N(AI267)&gt;0,", "&amp;AI$2,"")&amp;IF(N(AJ267)&gt;0,", "&amp;AJ$2,""),3,999)</f>
        <v/>
      </c>
      <c r="AM267" s="87" t="str">
        <f aca="false">IF(E267="","",MID(IF(N(Y267)&gt;0,", "&amp;A267&amp;"-"&amp;Y$2,"")&amp;IF(N(Z267)&gt;0,", "&amp;A267&amp;"-"&amp;Z$2,"")&amp;IF(N(AA267)&gt;0,", "&amp;A267&amp;"-"&amp;AA$2,"")&amp;IF(N(AB267)&gt;0,", "&amp;A267&amp;"-"&amp;AB$2,"")&amp;IF(N(AC267)&gt;0,", "&amp;A267&amp;"-"&amp;AC$2,"")&amp;IF(N(AD267)&gt;0,", "&amp;A267&amp;"-"&amp;AD$2,"")&amp;IF(N(AE267)&gt;0,", "&amp;A267&amp;"-"&amp;AE$2,"")&amp;IF(N(AF267)&gt;0,", "&amp;A267&amp;"-"&amp;AF$2,"")&amp;IF(N(AG267)&gt;0,", "&amp;A267&amp;"-"&amp;AG$2,"")&amp;IF(N(AH267)&gt;0,", "&amp;A267&amp;"-"&amp;AH$2,"")&amp;IF(N(AI267)&gt;0,", "&amp;A267&amp;"-"&amp;AI$2,"")&amp;IF(N(AJ267)&gt;0,", "&amp;A267&amp;"-"&amp;AJ$2,""),3,999))</f>
        <v/>
      </c>
      <c r="AN267" s="81"/>
      <c r="AO267" s="88"/>
      <c r="AP267" s="89" t="str">
        <f aca="false">IF(AO267="","",ROUND(AO267/(1+Справочники!$B$13),2))</f>
        <v/>
      </c>
      <c r="AQ267" s="90" t="str">
        <f aca="false" t="array" ref="AQ267:AQ267">IF(AP267="","",AP267*INDEX(Справочники!$B$4:$B$7,MATCH("RUB",Справочники!$A$4:$A$7,0)))</f>
        <v/>
      </c>
      <c r="AR267" s="90" t="str">
        <f aca="false">IF(AQ267="","",ROUND(AQ267*(1+Справочники!$B$12),0))</f>
        <v/>
      </c>
      <c r="AS267" s="90" t="str">
        <f aca="false">IF(AR267="","",ROUND(AR267*(1-Справочники!$B$11),0))</f>
        <v/>
      </c>
      <c r="AT267" s="88"/>
      <c r="AU267" s="90" t="str">
        <f aca="false">IF(AT267="","",ROUND(AT267/(1+Справочники!$B$12),0))</f>
        <v/>
      </c>
      <c r="AV267" s="90" t="str">
        <f aca="false">IF(AT267="","",ROUND(AT267*(1-Справочники!$B$15),0))</f>
        <v/>
      </c>
      <c r="AW267" s="90" t="str">
        <f aca="false">IF(AT267="","",ROUND(AT267*(1-Справочники!$B$16),0))</f>
        <v/>
      </c>
      <c r="AX267" s="90" t="str">
        <f aca="false">IF(AT267="","",ROUND(AT267*(1-Справочники!$B$17),0))</f>
        <v/>
      </c>
      <c r="AY267" s="90" t="str">
        <f aca="false">IF(AT267="","",ROUND(AT267*(1-Справочники!$B$18),0))</f>
        <v/>
      </c>
      <c r="AZ267" s="90" t="str">
        <f aca="false">IF(AT267="","",ROUND(AT267*(1-Справочники!$B$19),0))</f>
        <v/>
      </c>
      <c r="BA267" s="81"/>
      <c r="BB267" s="81"/>
      <c r="BC267" s="81"/>
      <c r="BD267" s="81"/>
      <c r="BE267" s="91"/>
      <c r="BF267" s="81" t="s">
        <v>103</v>
      </c>
      <c r="BG267" s="89" t="n">
        <f aca="false" t="array" ref="BG267:BG267">IF(BF267="","",IFERROR(INDEX(Справочники!$B$4:$B$7,MATCH(BF267,Справочники!$A$4:$A$7,0)),""))</f>
        <v>68.5</v>
      </c>
      <c r="BH267" s="90" t="str">
        <f aca="false">IF(N(BN267)&gt;0,ROUND(SUMIF(ЗАКАЗЫ!$F$3:$F$500,$A267,ЗАКАЗЫ!$Y$3:$Y$500)/BN267,0),IF(OR(BE267="",BG267=""),"",ROUND(BE267*BG267*(1+Справочники!$B$10),0)))</f>
        <v/>
      </c>
      <c r="BI267" s="92" t="str">
        <f aca="false">IF(OR(AU267="",BH267="",AU267=0),"",(AU267-BH267)/AU267)</f>
        <v/>
      </c>
      <c r="BJ267" s="81"/>
      <c r="BK267" s="83"/>
      <c r="BL267" s="43" t="str">
        <f aca="false">IFERROR(INDEX(ЗАКАЗЫ!$N$3:$N$500,MATCH($A267,ЗАКАЗЫ!$F$3:$F$500,0)),"")</f>
        <v/>
      </c>
      <c r="BM267" s="8" t="str">
        <f aca="false">IF(BL267="","",IFERROR(VLOOKUP(BL267,'ТН ВЭД'!$A$4:$C$40,3,0),""))</f>
        <v/>
      </c>
      <c r="BN267" s="7" t="str">
        <f aca="false">IF(COUNTIF(ЗАКАЗЫ!$F$3:$F$500,$A267)=0,"",SUMIF(ЗАКАЗЫ!$F$3:$F$500,$A267,ЗАКАЗЫ!$J$3:$J$500))</f>
        <v/>
      </c>
      <c r="BO267" s="7" t="str">
        <f aca="false">IF(BN267="","",SUMIF(ЗАКАЗЫ!$F$3:$F$500,$A267,ЗАКАЗЫ!$AL$3:$AL$500))</f>
        <v/>
      </c>
      <c r="BP267" s="7" t="str">
        <f aca="false">IF(BN267="","",BN267-BO267)</f>
        <v/>
      </c>
      <c r="BQ267" s="55" t="str">
        <f aca="false">IF(BN267="","",IF(BO267&gt;=BN267,"На складе",IF(BO267&gt;0,"Частично","Ждём")))</f>
        <v/>
      </c>
      <c r="BR267" s="43"/>
      <c r="BS267" s="47" t="str">
        <f aca="false">IF(BN267="","",IF(_xlfn.MAXIFS(ЗАКАЗЫ!$AK$3:$AK$500,ЗАКАЗЫ!$F$3:$F$500,$A267)=0,"",_xlfn.MAXIFS(ЗАКАЗЫ!$AK$3:$AK$500,ЗАКАЗЫ!$F$3:$F$500,$A267)))</f>
        <v/>
      </c>
    </row>
    <row r="268" customFormat="false" ht="15.75" hidden="false" customHeight="true" outlineLevel="0" collapsed="false">
      <c r="A268" s="80" t="s">
        <v>1100</v>
      </c>
      <c r="B268" s="81"/>
      <c r="C268" s="81"/>
      <c r="D268" s="81"/>
      <c r="E268" s="83"/>
      <c r="F268" s="81"/>
      <c r="G268" s="83"/>
      <c r="H268" s="83"/>
      <c r="I268" s="84" t="str">
        <f aca="false">IF(E268="","",A268&amp;"_1.jpg")</f>
        <v/>
      </c>
      <c r="J268" s="84" t="str">
        <f aca="false">IF(E268="","",A268&amp;"_2.jpg; "&amp;A268&amp;"_3.jpg")</f>
        <v/>
      </c>
      <c r="K268" s="84" t="str">
        <f aca="false">IF(E268="","",A268&amp;"_schema.jpg")</f>
        <v/>
      </c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 t="s">
        <v>96</v>
      </c>
      <c r="W268" s="81"/>
      <c r="X268" s="81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6" t="str">
        <f aca="false">IF(SUM(Y268:AJ268)=0,"",SUM(Y268:AJ268))</f>
        <v/>
      </c>
      <c r="AL268" s="84" t="str">
        <f aca="false">MID(IF(N(Y268)&gt;0,", "&amp;Y$2,"")&amp;IF(N(Z268)&gt;0,", "&amp;Z$2,"")&amp;IF(N(AA268)&gt;0,", "&amp;AA$2,"")&amp;IF(N(AB268)&gt;0,", "&amp;AB$2,"")&amp;IF(N(AC268)&gt;0,", "&amp;AC$2,"")&amp;IF(N(AD268)&gt;0,", "&amp;AD$2,"")&amp;IF(N(AE268)&gt;0,", "&amp;AE$2,"")&amp;IF(N(AF268)&gt;0,", "&amp;AF$2,"")&amp;IF(N(AG268)&gt;0,", "&amp;AG$2,"")&amp;IF(N(AH268)&gt;0,", "&amp;AH$2,"")&amp;IF(N(AI268)&gt;0,", "&amp;AI$2,"")&amp;IF(N(AJ268)&gt;0,", "&amp;AJ$2,""),3,999)</f>
        <v/>
      </c>
      <c r="AM268" s="87" t="str">
        <f aca="false">IF(E268="","",MID(IF(N(Y268)&gt;0,", "&amp;A268&amp;"-"&amp;Y$2,"")&amp;IF(N(Z268)&gt;0,", "&amp;A268&amp;"-"&amp;Z$2,"")&amp;IF(N(AA268)&gt;0,", "&amp;A268&amp;"-"&amp;AA$2,"")&amp;IF(N(AB268)&gt;0,", "&amp;A268&amp;"-"&amp;AB$2,"")&amp;IF(N(AC268)&gt;0,", "&amp;A268&amp;"-"&amp;AC$2,"")&amp;IF(N(AD268)&gt;0,", "&amp;A268&amp;"-"&amp;AD$2,"")&amp;IF(N(AE268)&gt;0,", "&amp;A268&amp;"-"&amp;AE$2,"")&amp;IF(N(AF268)&gt;0,", "&amp;A268&amp;"-"&amp;AF$2,"")&amp;IF(N(AG268)&gt;0,", "&amp;A268&amp;"-"&amp;AG$2,"")&amp;IF(N(AH268)&gt;0,", "&amp;A268&amp;"-"&amp;AH$2,"")&amp;IF(N(AI268)&gt;0,", "&amp;A268&amp;"-"&amp;AI$2,"")&amp;IF(N(AJ268)&gt;0,", "&amp;A268&amp;"-"&amp;AJ$2,""),3,999))</f>
        <v/>
      </c>
      <c r="AN268" s="81"/>
      <c r="AO268" s="88"/>
      <c r="AP268" s="89" t="str">
        <f aca="false">IF(AO268="","",ROUND(AO268/(1+Справочники!$B$13),2))</f>
        <v/>
      </c>
      <c r="AQ268" s="90" t="str">
        <f aca="false" t="array" ref="AQ268:AQ268">IF(AP268="","",AP268*INDEX(Справочники!$B$4:$B$7,MATCH("RUB",Справочники!$A$4:$A$7,0)))</f>
        <v/>
      </c>
      <c r="AR268" s="90" t="str">
        <f aca="false">IF(AQ268="","",ROUND(AQ268*(1+Справочники!$B$12),0))</f>
        <v/>
      </c>
      <c r="AS268" s="90" t="str">
        <f aca="false">IF(AR268="","",ROUND(AR268*(1-Справочники!$B$11),0))</f>
        <v/>
      </c>
      <c r="AT268" s="88"/>
      <c r="AU268" s="90" t="str">
        <f aca="false">IF(AT268="","",ROUND(AT268/(1+Справочники!$B$12),0))</f>
        <v/>
      </c>
      <c r="AV268" s="90" t="str">
        <f aca="false">IF(AT268="","",ROUND(AT268*(1-Справочники!$B$15),0))</f>
        <v/>
      </c>
      <c r="AW268" s="90" t="str">
        <f aca="false">IF(AT268="","",ROUND(AT268*(1-Справочники!$B$16),0))</f>
        <v/>
      </c>
      <c r="AX268" s="90" t="str">
        <f aca="false">IF(AT268="","",ROUND(AT268*(1-Справочники!$B$17),0))</f>
        <v/>
      </c>
      <c r="AY268" s="90" t="str">
        <f aca="false">IF(AT268="","",ROUND(AT268*(1-Справочники!$B$18),0))</f>
        <v/>
      </c>
      <c r="AZ268" s="90" t="str">
        <f aca="false">IF(AT268="","",ROUND(AT268*(1-Справочники!$B$19),0))</f>
        <v/>
      </c>
      <c r="BA268" s="81"/>
      <c r="BB268" s="81"/>
      <c r="BC268" s="81"/>
      <c r="BD268" s="81"/>
      <c r="BE268" s="91"/>
      <c r="BF268" s="81" t="s">
        <v>103</v>
      </c>
      <c r="BG268" s="89" t="n">
        <f aca="false" t="array" ref="BG268:BG268">IF(BF268="","",IFERROR(INDEX(Справочники!$B$4:$B$7,MATCH(BF268,Справочники!$A$4:$A$7,0)),""))</f>
        <v>68.5</v>
      </c>
      <c r="BH268" s="90" t="str">
        <f aca="false">IF(N(BN268)&gt;0,ROUND(SUMIF(ЗАКАЗЫ!$F$3:$F$500,$A268,ЗАКАЗЫ!$Y$3:$Y$500)/BN268,0),IF(OR(BE268="",BG268=""),"",ROUND(BE268*BG268*(1+Справочники!$B$10),0)))</f>
        <v/>
      </c>
      <c r="BI268" s="92" t="str">
        <f aca="false">IF(OR(AU268="",BH268="",AU268=0),"",(AU268-BH268)/AU268)</f>
        <v/>
      </c>
      <c r="BJ268" s="81"/>
      <c r="BK268" s="83"/>
      <c r="BL268" s="43" t="str">
        <f aca="false">IFERROR(INDEX(ЗАКАЗЫ!$N$3:$N$500,MATCH($A268,ЗАКАЗЫ!$F$3:$F$500,0)),"")</f>
        <v/>
      </c>
      <c r="BM268" s="8" t="str">
        <f aca="false">IF(BL268="","",IFERROR(VLOOKUP(BL268,'ТН ВЭД'!$A$4:$C$40,3,0),""))</f>
        <v/>
      </c>
      <c r="BN268" s="7" t="str">
        <f aca="false">IF(COUNTIF(ЗАКАЗЫ!$F$3:$F$500,$A268)=0,"",SUMIF(ЗАКАЗЫ!$F$3:$F$500,$A268,ЗАКАЗЫ!$J$3:$J$500))</f>
        <v/>
      </c>
      <c r="BO268" s="7" t="str">
        <f aca="false">IF(BN268="","",SUMIF(ЗАКАЗЫ!$F$3:$F$500,$A268,ЗАКАЗЫ!$AL$3:$AL$500))</f>
        <v/>
      </c>
      <c r="BP268" s="7" t="str">
        <f aca="false">IF(BN268="","",BN268-BO268)</f>
        <v/>
      </c>
      <c r="BQ268" s="55" t="str">
        <f aca="false">IF(BN268="","",IF(BO268&gt;=BN268,"На складе",IF(BO268&gt;0,"Частично","Ждём")))</f>
        <v/>
      </c>
      <c r="BR268" s="43"/>
      <c r="BS268" s="47" t="str">
        <f aca="false">IF(BN268="","",IF(_xlfn.MAXIFS(ЗАКАЗЫ!$AK$3:$AK$500,ЗАКАЗЫ!$F$3:$F$500,$A268)=0,"",_xlfn.MAXIFS(ЗАКАЗЫ!$AK$3:$AK$500,ЗАКАЗЫ!$F$3:$F$500,$A268)))</f>
        <v/>
      </c>
    </row>
    <row r="269" customFormat="false" ht="15.75" hidden="false" customHeight="true" outlineLevel="0" collapsed="false">
      <c r="A269" s="80" t="s">
        <v>1101</v>
      </c>
      <c r="B269" s="81"/>
      <c r="C269" s="81"/>
      <c r="D269" s="81"/>
      <c r="E269" s="83"/>
      <c r="F269" s="81"/>
      <c r="G269" s="83"/>
      <c r="H269" s="83"/>
      <c r="I269" s="84" t="str">
        <f aca="false">IF(E269="","",A269&amp;"_1.jpg")</f>
        <v/>
      </c>
      <c r="J269" s="84" t="str">
        <f aca="false">IF(E269="","",A269&amp;"_2.jpg; "&amp;A269&amp;"_3.jpg")</f>
        <v/>
      </c>
      <c r="K269" s="84" t="str">
        <f aca="false">IF(E269="","",A269&amp;"_schema.jpg")</f>
        <v/>
      </c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 t="s">
        <v>96</v>
      </c>
      <c r="W269" s="81"/>
      <c r="X269" s="81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6" t="str">
        <f aca="false">IF(SUM(Y269:AJ269)=0,"",SUM(Y269:AJ269))</f>
        <v/>
      </c>
      <c r="AL269" s="84" t="str">
        <f aca="false">MID(IF(N(Y269)&gt;0,", "&amp;Y$2,"")&amp;IF(N(Z269)&gt;0,", "&amp;Z$2,"")&amp;IF(N(AA269)&gt;0,", "&amp;AA$2,"")&amp;IF(N(AB269)&gt;0,", "&amp;AB$2,"")&amp;IF(N(AC269)&gt;0,", "&amp;AC$2,"")&amp;IF(N(AD269)&gt;0,", "&amp;AD$2,"")&amp;IF(N(AE269)&gt;0,", "&amp;AE$2,"")&amp;IF(N(AF269)&gt;0,", "&amp;AF$2,"")&amp;IF(N(AG269)&gt;0,", "&amp;AG$2,"")&amp;IF(N(AH269)&gt;0,", "&amp;AH$2,"")&amp;IF(N(AI269)&gt;0,", "&amp;AI$2,"")&amp;IF(N(AJ269)&gt;0,", "&amp;AJ$2,""),3,999)</f>
        <v/>
      </c>
      <c r="AM269" s="87" t="str">
        <f aca="false">IF(E269="","",MID(IF(N(Y269)&gt;0,", "&amp;A269&amp;"-"&amp;Y$2,"")&amp;IF(N(Z269)&gt;0,", "&amp;A269&amp;"-"&amp;Z$2,"")&amp;IF(N(AA269)&gt;0,", "&amp;A269&amp;"-"&amp;AA$2,"")&amp;IF(N(AB269)&gt;0,", "&amp;A269&amp;"-"&amp;AB$2,"")&amp;IF(N(AC269)&gt;0,", "&amp;A269&amp;"-"&amp;AC$2,"")&amp;IF(N(AD269)&gt;0,", "&amp;A269&amp;"-"&amp;AD$2,"")&amp;IF(N(AE269)&gt;0,", "&amp;A269&amp;"-"&amp;AE$2,"")&amp;IF(N(AF269)&gt;0,", "&amp;A269&amp;"-"&amp;AF$2,"")&amp;IF(N(AG269)&gt;0,", "&amp;A269&amp;"-"&amp;AG$2,"")&amp;IF(N(AH269)&gt;0,", "&amp;A269&amp;"-"&amp;AH$2,"")&amp;IF(N(AI269)&gt;0,", "&amp;A269&amp;"-"&amp;AI$2,"")&amp;IF(N(AJ269)&gt;0,", "&amp;A269&amp;"-"&amp;AJ$2,""),3,999))</f>
        <v/>
      </c>
      <c r="AN269" s="81"/>
      <c r="AO269" s="88"/>
      <c r="AP269" s="89" t="str">
        <f aca="false">IF(AO269="","",ROUND(AO269/(1+Справочники!$B$13),2))</f>
        <v/>
      </c>
      <c r="AQ269" s="90" t="str">
        <f aca="false" t="array" ref="AQ269:AQ269">IF(AP269="","",AP269*INDEX(Справочники!$B$4:$B$7,MATCH("RUB",Справочники!$A$4:$A$7,0)))</f>
        <v/>
      </c>
      <c r="AR269" s="90" t="str">
        <f aca="false">IF(AQ269="","",ROUND(AQ269*(1+Справочники!$B$12),0))</f>
        <v/>
      </c>
      <c r="AS269" s="90" t="str">
        <f aca="false">IF(AR269="","",ROUND(AR269*(1-Справочники!$B$11),0))</f>
        <v/>
      </c>
      <c r="AT269" s="88"/>
      <c r="AU269" s="90" t="str">
        <f aca="false">IF(AT269="","",ROUND(AT269/(1+Справочники!$B$12),0))</f>
        <v/>
      </c>
      <c r="AV269" s="90" t="str">
        <f aca="false">IF(AT269="","",ROUND(AT269*(1-Справочники!$B$15),0))</f>
        <v/>
      </c>
      <c r="AW269" s="90" t="str">
        <f aca="false">IF(AT269="","",ROUND(AT269*(1-Справочники!$B$16),0))</f>
        <v/>
      </c>
      <c r="AX269" s="90" t="str">
        <f aca="false">IF(AT269="","",ROUND(AT269*(1-Справочники!$B$17),0))</f>
        <v/>
      </c>
      <c r="AY269" s="90" t="str">
        <f aca="false">IF(AT269="","",ROUND(AT269*(1-Справочники!$B$18),0))</f>
        <v/>
      </c>
      <c r="AZ269" s="90" t="str">
        <f aca="false">IF(AT269="","",ROUND(AT269*(1-Справочники!$B$19),0))</f>
        <v/>
      </c>
      <c r="BA269" s="81"/>
      <c r="BB269" s="81"/>
      <c r="BC269" s="81"/>
      <c r="BD269" s="81"/>
      <c r="BE269" s="91"/>
      <c r="BF269" s="81" t="s">
        <v>103</v>
      </c>
      <c r="BG269" s="89" t="n">
        <f aca="false" t="array" ref="BG269:BG269">IF(BF269="","",IFERROR(INDEX(Справочники!$B$4:$B$7,MATCH(BF269,Справочники!$A$4:$A$7,0)),""))</f>
        <v>68.5</v>
      </c>
      <c r="BH269" s="90" t="str">
        <f aca="false">IF(N(BN269)&gt;0,ROUND(SUMIF(ЗАКАЗЫ!$F$3:$F$500,$A269,ЗАКАЗЫ!$Y$3:$Y$500)/BN269,0),IF(OR(BE269="",BG269=""),"",ROUND(BE269*BG269*(1+Справочники!$B$10),0)))</f>
        <v/>
      </c>
      <c r="BI269" s="92" t="str">
        <f aca="false">IF(OR(AU269="",BH269="",AU269=0),"",(AU269-BH269)/AU269)</f>
        <v/>
      </c>
      <c r="BJ269" s="81"/>
      <c r="BK269" s="83"/>
      <c r="BL269" s="43" t="str">
        <f aca="false">IFERROR(INDEX(ЗАКАЗЫ!$N$3:$N$500,MATCH($A269,ЗАКАЗЫ!$F$3:$F$500,0)),"")</f>
        <v/>
      </c>
      <c r="BM269" s="8" t="str">
        <f aca="false">IF(BL269="","",IFERROR(VLOOKUP(BL269,'ТН ВЭД'!$A$4:$C$40,3,0),""))</f>
        <v/>
      </c>
      <c r="BN269" s="7" t="str">
        <f aca="false">IF(COUNTIF(ЗАКАЗЫ!$F$3:$F$500,$A269)=0,"",SUMIF(ЗАКАЗЫ!$F$3:$F$500,$A269,ЗАКАЗЫ!$J$3:$J$500))</f>
        <v/>
      </c>
      <c r="BO269" s="7" t="str">
        <f aca="false">IF(BN269="","",SUMIF(ЗАКАЗЫ!$F$3:$F$500,$A269,ЗАКАЗЫ!$AL$3:$AL$500))</f>
        <v/>
      </c>
      <c r="BP269" s="7" t="str">
        <f aca="false">IF(BN269="","",BN269-BO269)</f>
        <v/>
      </c>
      <c r="BQ269" s="55" t="str">
        <f aca="false">IF(BN269="","",IF(BO269&gt;=BN269,"На складе",IF(BO269&gt;0,"Частично","Ждём")))</f>
        <v/>
      </c>
      <c r="BR269" s="43"/>
      <c r="BS269" s="47" t="str">
        <f aca="false">IF(BN269="","",IF(_xlfn.MAXIFS(ЗАКАЗЫ!$AK$3:$AK$500,ЗАКАЗЫ!$F$3:$F$500,$A269)=0,"",_xlfn.MAXIFS(ЗАКАЗЫ!$AK$3:$AK$500,ЗАКАЗЫ!$F$3:$F$500,$A269)))</f>
        <v/>
      </c>
    </row>
    <row r="270" customFormat="false" ht="15.75" hidden="false" customHeight="true" outlineLevel="0" collapsed="false">
      <c r="A270" s="80" t="s">
        <v>1102</v>
      </c>
      <c r="B270" s="81"/>
      <c r="C270" s="81"/>
      <c r="D270" s="81"/>
      <c r="E270" s="83"/>
      <c r="F270" s="81"/>
      <c r="G270" s="83"/>
      <c r="H270" s="83"/>
      <c r="I270" s="84" t="str">
        <f aca="false">IF(E270="","",A270&amp;"_1.jpg")</f>
        <v/>
      </c>
      <c r="J270" s="84" t="str">
        <f aca="false">IF(E270="","",A270&amp;"_2.jpg; "&amp;A270&amp;"_3.jpg")</f>
        <v/>
      </c>
      <c r="K270" s="84" t="str">
        <f aca="false">IF(E270="","",A270&amp;"_schema.jpg")</f>
        <v/>
      </c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 t="s">
        <v>96</v>
      </c>
      <c r="W270" s="81"/>
      <c r="X270" s="81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6" t="str">
        <f aca="false">IF(SUM(Y270:AJ270)=0,"",SUM(Y270:AJ270))</f>
        <v/>
      </c>
      <c r="AL270" s="84" t="str">
        <f aca="false">MID(IF(N(Y270)&gt;0,", "&amp;Y$2,"")&amp;IF(N(Z270)&gt;0,", "&amp;Z$2,"")&amp;IF(N(AA270)&gt;0,", "&amp;AA$2,"")&amp;IF(N(AB270)&gt;0,", "&amp;AB$2,"")&amp;IF(N(AC270)&gt;0,", "&amp;AC$2,"")&amp;IF(N(AD270)&gt;0,", "&amp;AD$2,"")&amp;IF(N(AE270)&gt;0,", "&amp;AE$2,"")&amp;IF(N(AF270)&gt;0,", "&amp;AF$2,"")&amp;IF(N(AG270)&gt;0,", "&amp;AG$2,"")&amp;IF(N(AH270)&gt;0,", "&amp;AH$2,"")&amp;IF(N(AI270)&gt;0,", "&amp;AI$2,"")&amp;IF(N(AJ270)&gt;0,", "&amp;AJ$2,""),3,999)</f>
        <v/>
      </c>
      <c r="AM270" s="87" t="str">
        <f aca="false">IF(E270="","",MID(IF(N(Y270)&gt;0,", "&amp;A270&amp;"-"&amp;Y$2,"")&amp;IF(N(Z270)&gt;0,", "&amp;A270&amp;"-"&amp;Z$2,"")&amp;IF(N(AA270)&gt;0,", "&amp;A270&amp;"-"&amp;AA$2,"")&amp;IF(N(AB270)&gt;0,", "&amp;A270&amp;"-"&amp;AB$2,"")&amp;IF(N(AC270)&gt;0,", "&amp;A270&amp;"-"&amp;AC$2,"")&amp;IF(N(AD270)&gt;0,", "&amp;A270&amp;"-"&amp;AD$2,"")&amp;IF(N(AE270)&gt;0,", "&amp;A270&amp;"-"&amp;AE$2,"")&amp;IF(N(AF270)&gt;0,", "&amp;A270&amp;"-"&amp;AF$2,"")&amp;IF(N(AG270)&gt;0,", "&amp;A270&amp;"-"&amp;AG$2,"")&amp;IF(N(AH270)&gt;0,", "&amp;A270&amp;"-"&amp;AH$2,"")&amp;IF(N(AI270)&gt;0,", "&amp;A270&amp;"-"&amp;AI$2,"")&amp;IF(N(AJ270)&gt;0,", "&amp;A270&amp;"-"&amp;AJ$2,""),3,999))</f>
        <v/>
      </c>
      <c r="AN270" s="81"/>
      <c r="AO270" s="88"/>
      <c r="AP270" s="89" t="str">
        <f aca="false">IF(AO270="","",ROUND(AO270/(1+Справочники!$B$13),2))</f>
        <v/>
      </c>
      <c r="AQ270" s="90" t="str">
        <f aca="false" t="array" ref="AQ270:AQ270">IF(AP270="","",AP270*INDEX(Справочники!$B$4:$B$7,MATCH("RUB",Справочники!$A$4:$A$7,0)))</f>
        <v/>
      </c>
      <c r="AR270" s="90" t="str">
        <f aca="false">IF(AQ270="","",ROUND(AQ270*(1+Справочники!$B$12),0))</f>
        <v/>
      </c>
      <c r="AS270" s="90" t="str">
        <f aca="false">IF(AR270="","",ROUND(AR270*(1-Справочники!$B$11),0))</f>
        <v/>
      </c>
      <c r="AT270" s="88"/>
      <c r="AU270" s="90" t="str">
        <f aca="false">IF(AT270="","",ROUND(AT270/(1+Справочники!$B$12),0))</f>
        <v/>
      </c>
      <c r="AV270" s="90" t="str">
        <f aca="false">IF(AT270="","",ROUND(AT270*(1-Справочники!$B$15),0))</f>
        <v/>
      </c>
      <c r="AW270" s="90" t="str">
        <f aca="false">IF(AT270="","",ROUND(AT270*(1-Справочники!$B$16),0))</f>
        <v/>
      </c>
      <c r="AX270" s="90" t="str">
        <f aca="false">IF(AT270="","",ROUND(AT270*(1-Справочники!$B$17),0))</f>
        <v/>
      </c>
      <c r="AY270" s="90" t="str">
        <f aca="false">IF(AT270="","",ROUND(AT270*(1-Справочники!$B$18),0))</f>
        <v/>
      </c>
      <c r="AZ270" s="90" t="str">
        <f aca="false">IF(AT270="","",ROUND(AT270*(1-Справочники!$B$19),0))</f>
        <v/>
      </c>
      <c r="BA270" s="81"/>
      <c r="BB270" s="81"/>
      <c r="BC270" s="81"/>
      <c r="BD270" s="81"/>
      <c r="BE270" s="91"/>
      <c r="BF270" s="81" t="s">
        <v>103</v>
      </c>
      <c r="BG270" s="89" t="n">
        <f aca="false" t="array" ref="BG270:BG270">IF(BF270="","",IFERROR(INDEX(Справочники!$B$4:$B$7,MATCH(BF270,Справочники!$A$4:$A$7,0)),""))</f>
        <v>68.5</v>
      </c>
      <c r="BH270" s="90" t="str">
        <f aca="false">IF(N(BN270)&gt;0,ROUND(SUMIF(ЗАКАЗЫ!$F$3:$F$500,$A270,ЗАКАЗЫ!$Y$3:$Y$500)/BN270,0),IF(OR(BE270="",BG270=""),"",ROUND(BE270*BG270*(1+Справочники!$B$10),0)))</f>
        <v/>
      </c>
      <c r="BI270" s="92" t="str">
        <f aca="false">IF(OR(AU270="",BH270="",AU270=0),"",(AU270-BH270)/AU270)</f>
        <v/>
      </c>
      <c r="BJ270" s="81"/>
      <c r="BK270" s="83"/>
      <c r="BL270" s="43" t="str">
        <f aca="false">IFERROR(INDEX(ЗАКАЗЫ!$N$3:$N$500,MATCH($A270,ЗАКАЗЫ!$F$3:$F$500,0)),"")</f>
        <v/>
      </c>
      <c r="BM270" s="8" t="str">
        <f aca="false">IF(BL270="","",IFERROR(VLOOKUP(BL270,'ТН ВЭД'!$A$4:$C$40,3,0),""))</f>
        <v/>
      </c>
      <c r="BN270" s="7" t="str">
        <f aca="false">IF(COUNTIF(ЗАКАЗЫ!$F$3:$F$500,$A270)=0,"",SUMIF(ЗАКАЗЫ!$F$3:$F$500,$A270,ЗАКАЗЫ!$J$3:$J$500))</f>
        <v/>
      </c>
      <c r="BO270" s="7" t="str">
        <f aca="false">IF(BN270="","",SUMIF(ЗАКАЗЫ!$F$3:$F$500,$A270,ЗАКАЗЫ!$AL$3:$AL$500))</f>
        <v/>
      </c>
      <c r="BP270" s="7" t="str">
        <f aca="false">IF(BN270="","",BN270-BO270)</f>
        <v/>
      </c>
      <c r="BQ270" s="55" t="str">
        <f aca="false">IF(BN270="","",IF(BO270&gt;=BN270,"На складе",IF(BO270&gt;0,"Частично","Ждём")))</f>
        <v/>
      </c>
      <c r="BR270" s="43"/>
      <c r="BS270" s="47" t="str">
        <f aca="false">IF(BN270="","",IF(_xlfn.MAXIFS(ЗАКАЗЫ!$AK$3:$AK$500,ЗАКАЗЫ!$F$3:$F$500,$A270)=0,"",_xlfn.MAXIFS(ЗАКАЗЫ!$AK$3:$AK$500,ЗАКАЗЫ!$F$3:$F$500,$A270)))</f>
        <v/>
      </c>
    </row>
    <row r="271" customFormat="false" ht="15.75" hidden="false" customHeight="true" outlineLevel="0" collapsed="false">
      <c r="A271" s="80" t="s">
        <v>1103</v>
      </c>
      <c r="B271" s="81"/>
      <c r="C271" s="81"/>
      <c r="D271" s="81"/>
      <c r="E271" s="83"/>
      <c r="F271" s="81"/>
      <c r="G271" s="83"/>
      <c r="H271" s="83"/>
      <c r="I271" s="84" t="str">
        <f aca="false">IF(E271="","",A271&amp;"_1.jpg")</f>
        <v/>
      </c>
      <c r="J271" s="84" t="str">
        <f aca="false">IF(E271="","",A271&amp;"_2.jpg; "&amp;A271&amp;"_3.jpg")</f>
        <v/>
      </c>
      <c r="K271" s="84" t="str">
        <f aca="false">IF(E271="","",A271&amp;"_schema.jpg")</f>
        <v/>
      </c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 t="s">
        <v>96</v>
      </c>
      <c r="W271" s="81"/>
      <c r="X271" s="81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6" t="str">
        <f aca="false">IF(SUM(Y271:AJ271)=0,"",SUM(Y271:AJ271))</f>
        <v/>
      </c>
      <c r="AL271" s="84" t="str">
        <f aca="false">MID(IF(N(Y271)&gt;0,", "&amp;Y$2,"")&amp;IF(N(Z271)&gt;0,", "&amp;Z$2,"")&amp;IF(N(AA271)&gt;0,", "&amp;AA$2,"")&amp;IF(N(AB271)&gt;0,", "&amp;AB$2,"")&amp;IF(N(AC271)&gt;0,", "&amp;AC$2,"")&amp;IF(N(AD271)&gt;0,", "&amp;AD$2,"")&amp;IF(N(AE271)&gt;0,", "&amp;AE$2,"")&amp;IF(N(AF271)&gt;0,", "&amp;AF$2,"")&amp;IF(N(AG271)&gt;0,", "&amp;AG$2,"")&amp;IF(N(AH271)&gt;0,", "&amp;AH$2,"")&amp;IF(N(AI271)&gt;0,", "&amp;AI$2,"")&amp;IF(N(AJ271)&gt;0,", "&amp;AJ$2,""),3,999)</f>
        <v/>
      </c>
      <c r="AM271" s="87" t="str">
        <f aca="false">IF(E271="","",MID(IF(N(Y271)&gt;0,", "&amp;A271&amp;"-"&amp;Y$2,"")&amp;IF(N(Z271)&gt;0,", "&amp;A271&amp;"-"&amp;Z$2,"")&amp;IF(N(AA271)&gt;0,", "&amp;A271&amp;"-"&amp;AA$2,"")&amp;IF(N(AB271)&gt;0,", "&amp;A271&amp;"-"&amp;AB$2,"")&amp;IF(N(AC271)&gt;0,", "&amp;A271&amp;"-"&amp;AC$2,"")&amp;IF(N(AD271)&gt;0,", "&amp;A271&amp;"-"&amp;AD$2,"")&amp;IF(N(AE271)&gt;0,", "&amp;A271&amp;"-"&amp;AE$2,"")&amp;IF(N(AF271)&gt;0,", "&amp;A271&amp;"-"&amp;AF$2,"")&amp;IF(N(AG271)&gt;0,", "&amp;A271&amp;"-"&amp;AG$2,"")&amp;IF(N(AH271)&gt;0,", "&amp;A271&amp;"-"&amp;AH$2,"")&amp;IF(N(AI271)&gt;0,", "&amp;A271&amp;"-"&amp;AI$2,"")&amp;IF(N(AJ271)&gt;0,", "&amp;A271&amp;"-"&amp;AJ$2,""),3,999))</f>
        <v/>
      </c>
      <c r="AN271" s="81"/>
      <c r="AO271" s="88"/>
      <c r="AP271" s="89" t="str">
        <f aca="false">IF(AO271="","",ROUND(AO271/(1+Справочники!$B$13),2))</f>
        <v/>
      </c>
      <c r="AQ271" s="90" t="str">
        <f aca="false" t="array" ref="AQ271:AQ271">IF(AP271="","",AP271*INDEX(Справочники!$B$4:$B$7,MATCH("RUB",Справочники!$A$4:$A$7,0)))</f>
        <v/>
      </c>
      <c r="AR271" s="90" t="str">
        <f aca="false">IF(AQ271="","",ROUND(AQ271*(1+Справочники!$B$12),0))</f>
        <v/>
      </c>
      <c r="AS271" s="90" t="str">
        <f aca="false">IF(AR271="","",ROUND(AR271*(1-Справочники!$B$11),0))</f>
        <v/>
      </c>
      <c r="AT271" s="88"/>
      <c r="AU271" s="90" t="str">
        <f aca="false">IF(AT271="","",ROUND(AT271/(1+Справочники!$B$12),0))</f>
        <v/>
      </c>
      <c r="AV271" s="90" t="str">
        <f aca="false">IF(AT271="","",ROUND(AT271*(1-Справочники!$B$15),0))</f>
        <v/>
      </c>
      <c r="AW271" s="90" t="str">
        <f aca="false">IF(AT271="","",ROUND(AT271*(1-Справочники!$B$16),0))</f>
        <v/>
      </c>
      <c r="AX271" s="90" t="str">
        <f aca="false">IF(AT271="","",ROUND(AT271*(1-Справочники!$B$17),0))</f>
        <v/>
      </c>
      <c r="AY271" s="90" t="str">
        <f aca="false">IF(AT271="","",ROUND(AT271*(1-Справочники!$B$18),0))</f>
        <v/>
      </c>
      <c r="AZ271" s="90" t="str">
        <f aca="false">IF(AT271="","",ROUND(AT271*(1-Справочники!$B$19),0))</f>
        <v/>
      </c>
      <c r="BA271" s="81"/>
      <c r="BB271" s="81"/>
      <c r="BC271" s="81"/>
      <c r="BD271" s="81"/>
      <c r="BE271" s="91"/>
      <c r="BF271" s="81" t="s">
        <v>103</v>
      </c>
      <c r="BG271" s="89" t="n">
        <f aca="false" t="array" ref="BG271:BG271">IF(BF271="","",IFERROR(INDEX(Справочники!$B$4:$B$7,MATCH(BF271,Справочники!$A$4:$A$7,0)),""))</f>
        <v>68.5</v>
      </c>
      <c r="BH271" s="90" t="str">
        <f aca="false">IF(N(BN271)&gt;0,ROUND(SUMIF(ЗАКАЗЫ!$F$3:$F$500,$A271,ЗАКАЗЫ!$Y$3:$Y$500)/BN271,0),IF(OR(BE271="",BG271=""),"",ROUND(BE271*BG271*(1+Справочники!$B$10),0)))</f>
        <v/>
      </c>
      <c r="BI271" s="92" t="str">
        <f aca="false">IF(OR(AU271="",BH271="",AU271=0),"",(AU271-BH271)/AU271)</f>
        <v/>
      </c>
      <c r="BJ271" s="81"/>
      <c r="BK271" s="83"/>
      <c r="BL271" s="43" t="str">
        <f aca="false">IFERROR(INDEX(ЗАКАЗЫ!$N$3:$N$500,MATCH($A271,ЗАКАЗЫ!$F$3:$F$500,0)),"")</f>
        <v/>
      </c>
      <c r="BM271" s="8" t="str">
        <f aca="false">IF(BL271="","",IFERROR(VLOOKUP(BL271,'ТН ВЭД'!$A$4:$C$40,3,0),""))</f>
        <v/>
      </c>
      <c r="BN271" s="7" t="str">
        <f aca="false">IF(COUNTIF(ЗАКАЗЫ!$F$3:$F$500,$A271)=0,"",SUMIF(ЗАКАЗЫ!$F$3:$F$500,$A271,ЗАКАЗЫ!$J$3:$J$500))</f>
        <v/>
      </c>
      <c r="BO271" s="7" t="str">
        <f aca="false">IF(BN271="","",SUMIF(ЗАКАЗЫ!$F$3:$F$500,$A271,ЗАКАЗЫ!$AL$3:$AL$500))</f>
        <v/>
      </c>
      <c r="BP271" s="7" t="str">
        <f aca="false">IF(BN271="","",BN271-BO271)</f>
        <v/>
      </c>
      <c r="BQ271" s="55" t="str">
        <f aca="false">IF(BN271="","",IF(BO271&gt;=BN271,"На складе",IF(BO271&gt;0,"Частично","Ждём")))</f>
        <v/>
      </c>
      <c r="BR271" s="43"/>
      <c r="BS271" s="47" t="str">
        <f aca="false">IF(BN271="","",IF(_xlfn.MAXIFS(ЗАКАЗЫ!$AK$3:$AK$500,ЗАКАЗЫ!$F$3:$F$500,$A271)=0,"",_xlfn.MAXIFS(ЗАКАЗЫ!$AK$3:$AK$500,ЗАКАЗЫ!$F$3:$F$500,$A271)))</f>
        <v/>
      </c>
    </row>
    <row r="272" customFormat="false" ht="15.75" hidden="false" customHeight="true" outlineLevel="0" collapsed="false">
      <c r="A272" s="80" t="s">
        <v>1104</v>
      </c>
      <c r="B272" s="81"/>
      <c r="C272" s="81"/>
      <c r="D272" s="81"/>
      <c r="E272" s="83"/>
      <c r="F272" s="81"/>
      <c r="G272" s="83"/>
      <c r="H272" s="83"/>
      <c r="I272" s="84" t="str">
        <f aca="false">IF(E272="","",A272&amp;"_1.jpg")</f>
        <v/>
      </c>
      <c r="J272" s="84" t="str">
        <f aca="false">IF(E272="","",A272&amp;"_2.jpg; "&amp;A272&amp;"_3.jpg")</f>
        <v/>
      </c>
      <c r="K272" s="84" t="str">
        <f aca="false">IF(E272="","",A272&amp;"_schema.jpg")</f>
        <v/>
      </c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 t="s">
        <v>96</v>
      </c>
      <c r="W272" s="81"/>
      <c r="X272" s="81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6" t="str">
        <f aca="false">IF(SUM(Y272:AJ272)=0,"",SUM(Y272:AJ272))</f>
        <v/>
      </c>
      <c r="AL272" s="84" t="str">
        <f aca="false">MID(IF(N(Y272)&gt;0,", "&amp;Y$2,"")&amp;IF(N(Z272)&gt;0,", "&amp;Z$2,"")&amp;IF(N(AA272)&gt;0,", "&amp;AA$2,"")&amp;IF(N(AB272)&gt;0,", "&amp;AB$2,"")&amp;IF(N(AC272)&gt;0,", "&amp;AC$2,"")&amp;IF(N(AD272)&gt;0,", "&amp;AD$2,"")&amp;IF(N(AE272)&gt;0,", "&amp;AE$2,"")&amp;IF(N(AF272)&gt;0,", "&amp;AF$2,"")&amp;IF(N(AG272)&gt;0,", "&amp;AG$2,"")&amp;IF(N(AH272)&gt;0,", "&amp;AH$2,"")&amp;IF(N(AI272)&gt;0,", "&amp;AI$2,"")&amp;IF(N(AJ272)&gt;0,", "&amp;AJ$2,""),3,999)</f>
        <v/>
      </c>
      <c r="AM272" s="87" t="str">
        <f aca="false">IF(E272="","",MID(IF(N(Y272)&gt;0,", "&amp;A272&amp;"-"&amp;Y$2,"")&amp;IF(N(Z272)&gt;0,", "&amp;A272&amp;"-"&amp;Z$2,"")&amp;IF(N(AA272)&gt;0,", "&amp;A272&amp;"-"&amp;AA$2,"")&amp;IF(N(AB272)&gt;0,", "&amp;A272&amp;"-"&amp;AB$2,"")&amp;IF(N(AC272)&gt;0,", "&amp;A272&amp;"-"&amp;AC$2,"")&amp;IF(N(AD272)&gt;0,", "&amp;A272&amp;"-"&amp;AD$2,"")&amp;IF(N(AE272)&gt;0,", "&amp;A272&amp;"-"&amp;AE$2,"")&amp;IF(N(AF272)&gt;0,", "&amp;A272&amp;"-"&amp;AF$2,"")&amp;IF(N(AG272)&gt;0,", "&amp;A272&amp;"-"&amp;AG$2,"")&amp;IF(N(AH272)&gt;0,", "&amp;A272&amp;"-"&amp;AH$2,"")&amp;IF(N(AI272)&gt;0,", "&amp;A272&amp;"-"&amp;AI$2,"")&amp;IF(N(AJ272)&gt;0,", "&amp;A272&amp;"-"&amp;AJ$2,""),3,999))</f>
        <v/>
      </c>
      <c r="AN272" s="81"/>
      <c r="AO272" s="88"/>
      <c r="AP272" s="89" t="str">
        <f aca="false">IF(AO272="","",ROUND(AO272/(1+Справочники!$B$13),2))</f>
        <v/>
      </c>
      <c r="AQ272" s="90" t="str">
        <f aca="false" t="array" ref="AQ272:AQ272">IF(AP272="","",AP272*INDEX(Справочники!$B$4:$B$7,MATCH("RUB",Справочники!$A$4:$A$7,0)))</f>
        <v/>
      </c>
      <c r="AR272" s="90" t="str">
        <f aca="false">IF(AQ272="","",ROUND(AQ272*(1+Справочники!$B$12),0))</f>
        <v/>
      </c>
      <c r="AS272" s="90" t="str">
        <f aca="false">IF(AR272="","",ROUND(AR272*(1-Справочники!$B$11),0))</f>
        <v/>
      </c>
      <c r="AT272" s="88"/>
      <c r="AU272" s="90" t="str">
        <f aca="false">IF(AT272="","",ROUND(AT272/(1+Справочники!$B$12),0))</f>
        <v/>
      </c>
      <c r="AV272" s="90" t="str">
        <f aca="false">IF(AT272="","",ROUND(AT272*(1-Справочники!$B$15),0))</f>
        <v/>
      </c>
      <c r="AW272" s="90" t="str">
        <f aca="false">IF(AT272="","",ROUND(AT272*(1-Справочники!$B$16),0))</f>
        <v/>
      </c>
      <c r="AX272" s="90" t="str">
        <f aca="false">IF(AT272="","",ROUND(AT272*(1-Справочники!$B$17),0))</f>
        <v/>
      </c>
      <c r="AY272" s="90" t="str">
        <f aca="false">IF(AT272="","",ROUND(AT272*(1-Справочники!$B$18),0))</f>
        <v/>
      </c>
      <c r="AZ272" s="90" t="str">
        <f aca="false">IF(AT272="","",ROUND(AT272*(1-Справочники!$B$19),0))</f>
        <v/>
      </c>
      <c r="BA272" s="81"/>
      <c r="BB272" s="81"/>
      <c r="BC272" s="81"/>
      <c r="BD272" s="81"/>
      <c r="BE272" s="91"/>
      <c r="BF272" s="81" t="s">
        <v>103</v>
      </c>
      <c r="BG272" s="89" t="n">
        <f aca="false" t="array" ref="BG272:BG272">IF(BF272="","",IFERROR(INDEX(Справочники!$B$4:$B$7,MATCH(BF272,Справочники!$A$4:$A$7,0)),""))</f>
        <v>68.5</v>
      </c>
      <c r="BH272" s="90" t="str">
        <f aca="false">IF(N(BN272)&gt;0,ROUND(SUMIF(ЗАКАЗЫ!$F$3:$F$500,$A272,ЗАКАЗЫ!$Y$3:$Y$500)/BN272,0),IF(OR(BE272="",BG272=""),"",ROUND(BE272*BG272*(1+Справочники!$B$10),0)))</f>
        <v/>
      </c>
      <c r="BI272" s="92" t="str">
        <f aca="false">IF(OR(AU272="",BH272="",AU272=0),"",(AU272-BH272)/AU272)</f>
        <v/>
      </c>
      <c r="BJ272" s="81"/>
      <c r="BK272" s="83"/>
      <c r="BL272" s="43" t="str">
        <f aca="false">IFERROR(INDEX(ЗАКАЗЫ!$N$3:$N$500,MATCH($A272,ЗАКАЗЫ!$F$3:$F$500,0)),"")</f>
        <v/>
      </c>
      <c r="BM272" s="8" t="str">
        <f aca="false">IF(BL272="","",IFERROR(VLOOKUP(BL272,'ТН ВЭД'!$A$4:$C$40,3,0),""))</f>
        <v/>
      </c>
      <c r="BN272" s="7" t="str">
        <f aca="false">IF(COUNTIF(ЗАКАЗЫ!$F$3:$F$500,$A272)=0,"",SUMIF(ЗАКАЗЫ!$F$3:$F$500,$A272,ЗАКАЗЫ!$J$3:$J$500))</f>
        <v/>
      </c>
      <c r="BO272" s="7" t="str">
        <f aca="false">IF(BN272="","",SUMIF(ЗАКАЗЫ!$F$3:$F$500,$A272,ЗАКАЗЫ!$AL$3:$AL$500))</f>
        <v/>
      </c>
      <c r="BP272" s="7" t="str">
        <f aca="false">IF(BN272="","",BN272-BO272)</f>
        <v/>
      </c>
      <c r="BQ272" s="55" t="str">
        <f aca="false">IF(BN272="","",IF(BO272&gt;=BN272,"На складе",IF(BO272&gt;0,"Частично","Ждём")))</f>
        <v/>
      </c>
      <c r="BR272" s="43"/>
      <c r="BS272" s="47" t="str">
        <f aca="false">IF(BN272="","",IF(_xlfn.MAXIFS(ЗАКАЗЫ!$AK$3:$AK$500,ЗАКАЗЫ!$F$3:$F$500,$A272)=0,"",_xlfn.MAXIFS(ЗАКАЗЫ!$AK$3:$AK$500,ЗАКАЗЫ!$F$3:$F$500,$A272)))</f>
        <v/>
      </c>
    </row>
    <row r="273" customFormat="false" ht="15.75" hidden="false" customHeight="true" outlineLevel="0" collapsed="false">
      <c r="A273" s="80" t="s">
        <v>1105</v>
      </c>
      <c r="B273" s="81"/>
      <c r="C273" s="81"/>
      <c r="D273" s="81"/>
      <c r="E273" s="83"/>
      <c r="F273" s="81"/>
      <c r="G273" s="83"/>
      <c r="H273" s="83"/>
      <c r="I273" s="84" t="str">
        <f aca="false">IF(E273="","",A273&amp;"_1.jpg")</f>
        <v/>
      </c>
      <c r="J273" s="84" t="str">
        <f aca="false">IF(E273="","",A273&amp;"_2.jpg; "&amp;A273&amp;"_3.jpg")</f>
        <v/>
      </c>
      <c r="K273" s="84" t="str">
        <f aca="false">IF(E273="","",A273&amp;"_schema.jpg")</f>
        <v/>
      </c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 t="s">
        <v>96</v>
      </c>
      <c r="W273" s="81"/>
      <c r="X273" s="81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6" t="str">
        <f aca="false">IF(SUM(Y273:AJ273)=0,"",SUM(Y273:AJ273))</f>
        <v/>
      </c>
      <c r="AL273" s="84" t="str">
        <f aca="false">MID(IF(N(Y273)&gt;0,", "&amp;Y$2,"")&amp;IF(N(Z273)&gt;0,", "&amp;Z$2,"")&amp;IF(N(AA273)&gt;0,", "&amp;AA$2,"")&amp;IF(N(AB273)&gt;0,", "&amp;AB$2,"")&amp;IF(N(AC273)&gt;0,", "&amp;AC$2,"")&amp;IF(N(AD273)&gt;0,", "&amp;AD$2,"")&amp;IF(N(AE273)&gt;0,", "&amp;AE$2,"")&amp;IF(N(AF273)&gt;0,", "&amp;AF$2,"")&amp;IF(N(AG273)&gt;0,", "&amp;AG$2,"")&amp;IF(N(AH273)&gt;0,", "&amp;AH$2,"")&amp;IF(N(AI273)&gt;0,", "&amp;AI$2,"")&amp;IF(N(AJ273)&gt;0,", "&amp;AJ$2,""),3,999)</f>
        <v/>
      </c>
      <c r="AM273" s="87" t="str">
        <f aca="false">IF(E273="","",MID(IF(N(Y273)&gt;0,", "&amp;A273&amp;"-"&amp;Y$2,"")&amp;IF(N(Z273)&gt;0,", "&amp;A273&amp;"-"&amp;Z$2,"")&amp;IF(N(AA273)&gt;0,", "&amp;A273&amp;"-"&amp;AA$2,"")&amp;IF(N(AB273)&gt;0,", "&amp;A273&amp;"-"&amp;AB$2,"")&amp;IF(N(AC273)&gt;0,", "&amp;A273&amp;"-"&amp;AC$2,"")&amp;IF(N(AD273)&gt;0,", "&amp;A273&amp;"-"&amp;AD$2,"")&amp;IF(N(AE273)&gt;0,", "&amp;A273&amp;"-"&amp;AE$2,"")&amp;IF(N(AF273)&gt;0,", "&amp;A273&amp;"-"&amp;AF$2,"")&amp;IF(N(AG273)&gt;0,", "&amp;A273&amp;"-"&amp;AG$2,"")&amp;IF(N(AH273)&gt;0,", "&amp;A273&amp;"-"&amp;AH$2,"")&amp;IF(N(AI273)&gt;0,", "&amp;A273&amp;"-"&amp;AI$2,"")&amp;IF(N(AJ273)&gt;0,", "&amp;A273&amp;"-"&amp;AJ$2,""),3,999))</f>
        <v/>
      </c>
      <c r="AN273" s="81"/>
      <c r="AO273" s="88"/>
      <c r="AP273" s="89" t="str">
        <f aca="false">IF(AO273="","",ROUND(AO273/(1+Справочники!$B$13),2))</f>
        <v/>
      </c>
      <c r="AQ273" s="90" t="str">
        <f aca="false" t="array" ref="AQ273:AQ273">IF(AP273="","",AP273*INDEX(Справочники!$B$4:$B$7,MATCH("RUB",Справочники!$A$4:$A$7,0)))</f>
        <v/>
      </c>
      <c r="AR273" s="90" t="str">
        <f aca="false">IF(AQ273="","",ROUND(AQ273*(1+Справочники!$B$12),0))</f>
        <v/>
      </c>
      <c r="AS273" s="90" t="str">
        <f aca="false">IF(AR273="","",ROUND(AR273*(1-Справочники!$B$11),0))</f>
        <v/>
      </c>
      <c r="AT273" s="88"/>
      <c r="AU273" s="90" t="str">
        <f aca="false">IF(AT273="","",ROUND(AT273/(1+Справочники!$B$12),0))</f>
        <v/>
      </c>
      <c r="AV273" s="90" t="str">
        <f aca="false">IF(AT273="","",ROUND(AT273*(1-Справочники!$B$15),0))</f>
        <v/>
      </c>
      <c r="AW273" s="90" t="str">
        <f aca="false">IF(AT273="","",ROUND(AT273*(1-Справочники!$B$16),0))</f>
        <v/>
      </c>
      <c r="AX273" s="90" t="str">
        <f aca="false">IF(AT273="","",ROUND(AT273*(1-Справочники!$B$17),0))</f>
        <v/>
      </c>
      <c r="AY273" s="90" t="str">
        <f aca="false">IF(AT273="","",ROUND(AT273*(1-Справочники!$B$18),0))</f>
        <v/>
      </c>
      <c r="AZ273" s="90" t="str">
        <f aca="false">IF(AT273="","",ROUND(AT273*(1-Справочники!$B$19),0))</f>
        <v/>
      </c>
      <c r="BA273" s="81"/>
      <c r="BB273" s="81"/>
      <c r="BC273" s="81"/>
      <c r="BD273" s="81"/>
      <c r="BE273" s="91"/>
      <c r="BF273" s="81" t="s">
        <v>103</v>
      </c>
      <c r="BG273" s="89" t="n">
        <f aca="false" t="array" ref="BG273:BG273">IF(BF273="","",IFERROR(INDEX(Справочники!$B$4:$B$7,MATCH(BF273,Справочники!$A$4:$A$7,0)),""))</f>
        <v>68.5</v>
      </c>
      <c r="BH273" s="90" t="str">
        <f aca="false">IF(N(BN273)&gt;0,ROUND(SUMIF(ЗАКАЗЫ!$F$3:$F$500,$A273,ЗАКАЗЫ!$Y$3:$Y$500)/BN273,0),IF(OR(BE273="",BG273=""),"",ROUND(BE273*BG273*(1+Справочники!$B$10),0)))</f>
        <v/>
      </c>
      <c r="BI273" s="92" t="str">
        <f aca="false">IF(OR(AU273="",BH273="",AU273=0),"",(AU273-BH273)/AU273)</f>
        <v/>
      </c>
      <c r="BJ273" s="81"/>
      <c r="BK273" s="83"/>
      <c r="BL273" s="43" t="str">
        <f aca="false">IFERROR(INDEX(ЗАКАЗЫ!$N$3:$N$500,MATCH($A273,ЗАКАЗЫ!$F$3:$F$500,0)),"")</f>
        <v/>
      </c>
      <c r="BM273" s="8" t="str">
        <f aca="false">IF(BL273="","",IFERROR(VLOOKUP(BL273,'ТН ВЭД'!$A$4:$C$40,3,0),""))</f>
        <v/>
      </c>
      <c r="BN273" s="7" t="str">
        <f aca="false">IF(COUNTIF(ЗАКАЗЫ!$F$3:$F$500,$A273)=0,"",SUMIF(ЗАКАЗЫ!$F$3:$F$500,$A273,ЗАКАЗЫ!$J$3:$J$500))</f>
        <v/>
      </c>
      <c r="BO273" s="7" t="str">
        <f aca="false">IF(BN273="","",SUMIF(ЗАКАЗЫ!$F$3:$F$500,$A273,ЗАКАЗЫ!$AL$3:$AL$500))</f>
        <v/>
      </c>
      <c r="BP273" s="7" t="str">
        <f aca="false">IF(BN273="","",BN273-BO273)</f>
        <v/>
      </c>
      <c r="BQ273" s="55" t="str">
        <f aca="false">IF(BN273="","",IF(BO273&gt;=BN273,"На складе",IF(BO273&gt;0,"Частично","Ждём")))</f>
        <v/>
      </c>
      <c r="BR273" s="43"/>
      <c r="BS273" s="47" t="str">
        <f aca="false">IF(BN273="","",IF(_xlfn.MAXIFS(ЗАКАЗЫ!$AK$3:$AK$500,ЗАКАЗЫ!$F$3:$F$500,$A273)=0,"",_xlfn.MAXIFS(ЗАКАЗЫ!$AK$3:$AK$500,ЗАКАЗЫ!$F$3:$F$500,$A273)))</f>
        <v/>
      </c>
    </row>
    <row r="274" customFormat="false" ht="15.75" hidden="false" customHeight="true" outlineLevel="0" collapsed="false">
      <c r="A274" s="80" t="s">
        <v>1106</v>
      </c>
      <c r="B274" s="81"/>
      <c r="C274" s="81"/>
      <c r="D274" s="81"/>
      <c r="E274" s="83"/>
      <c r="F274" s="81"/>
      <c r="G274" s="83"/>
      <c r="H274" s="83"/>
      <c r="I274" s="84" t="str">
        <f aca="false">IF(E274="","",A274&amp;"_1.jpg")</f>
        <v/>
      </c>
      <c r="J274" s="84" t="str">
        <f aca="false">IF(E274="","",A274&amp;"_2.jpg; "&amp;A274&amp;"_3.jpg")</f>
        <v/>
      </c>
      <c r="K274" s="84" t="str">
        <f aca="false">IF(E274="","",A274&amp;"_schema.jpg")</f>
        <v/>
      </c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 t="s">
        <v>96</v>
      </c>
      <c r="W274" s="81"/>
      <c r="X274" s="81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6" t="str">
        <f aca="false">IF(SUM(Y274:AJ274)=0,"",SUM(Y274:AJ274))</f>
        <v/>
      </c>
      <c r="AL274" s="84" t="str">
        <f aca="false">MID(IF(N(Y274)&gt;0,", "&amp;Y$2,"")&amp;IF(N(Z274)&gt;0,", "&amp;Z$2,"")&amp;IF(N(AA274)&gt;0,", "&amp;AA$2,"")&amp;IF(N(AB274)&gt;0,", "&amp;AB$2,"")&amp;IF(N(AC274)&gt;0,", "&amp;AC$2,"")&amp;IF(N(AD274)&gt;0,", "&amp;AD$2,"")&amp;IF(N(AE274)&gt;0,", "&amp;AE$2,"")&amp;IF(N(AF274)&gt;0,", "&amp;AF$2,"")&amp;IF(N(AG274)&gt;0,", "&amp;AG$2,"")&amp;IF(N(AH274)&gt;0,", "&amp;AH$2,"")&amp;IF(N(AI274)&gt;0,", "&amp;AI$2,"")&amp;IF(N(AJ274)&gt;0,", "&amp;AJ$2,""),3,999)</f>
        <v/>
      </c>
      <c r="AM274" s="87" t="str">
        <f aca="false">IF(E274="","",MID(IF(N(Y274)&gt;0,", "&amp;A274&amp;"-"&amp;Y$2,"")&amp;IF(N(Z274)&gt;0,", "&amp;A274&amp;"-"&amp;Z$2,"")&amp;IF(N(AA274)&gt;0,", "&amp;A274&amp;"-"&amp;AA$2,"")&amp;IF(N(AB274)&gt;0,", "&amp;A274&amp;"-"&amp;AB$2,"")&amp;IF(N(AC274)&gt;0,", "&amp;A274&amp;"-"&amp;AC$2,"")&amp;IF(N(AD274)&gt;0,", "&amp;A274&amp;"-"&amp;AD$2,"")&amp;IF(N(AE274)&gt;0,", "&amp;A274&amp;"-"&amp;AE$2,"")&amp;IF(N(AF274)&gt;0,", "&amp;A274&amp;"-"&amp;AF$2,"")&amp;IF(N(AG274)&gt;0,", "&amp;A274&amp;"-"&amp;AG$2,"")&amp;IF(N(AH274)&gt;0,", "&amp;A274&amp;"-"&amp;AH$2,"")&amp;IF(N(AI274)&gt;0,", "&amp;A274&amp;"-"&amp;AI$2,"")&amp;IF(N(AJ274)&gt;0,", "&amp;A274&amp;"-"&amp;AJ$2,""),3,999))</f>
        <v/>
      </c>
      <c r="AN274" s="81"/>
      <c r="AO274" s="88"/>
      <c r="AP274" s="89" t="str">
        <f aca="false">IF(AO274="","",ROUND(AO274/(1+Справочники!$B$13),2))</f>
        <v/>
      </c>
      <c r="AQ274" s="90" t="str">
        <f aca="false" t="array" ref="AQ274:AQ274">IF(AP274="","",AP274*INDEX(Справочники!$B$4:$B$7,MATCH("RUB",Справочники!$A$4:$A$7,0)))</f>
        <v/>
      </c>
      <c r="AR274" s="90" t="str">
        <f aca="false">IF(AQ274="","",ROUND(AQ274*(1+Справочники!$B$12),0))</f>
        <v/>
      </c>
      <c r="AS274" s="90" t="str">
        <f aca="false">IF(AR274="","",ROUND(AR274*(1-Справочники!$B$11),0))</f>
        <v/>
      </c>
      <c r="AT274" s="88"/>
      <c r="AU274" s="90" t="str">
        <f aca="false">IF(AT274="","",ROUND(AT274/(1+Справочники!$B$12),0))</f>
        <v/>
      </c>
      <c r="AV274" s="90" t="str">
        <f aca="false">IF(AT274="","",ROUND(AT274*(1-Справочники!$B$15),0))</f>
        <v/>
      </c>
      <c r="AW274" s="90" t="str">
        <f aca="false">IF(AT274="","",ROUND(AT274*(1-Справочники!$B$16),0))</f>
        <v/>
      </c>
      <c r="AX274" s="90" t="str">
        <f aca="false">IF(AT274="","",ROUND(AT274*(1-Справочники!$B$17),0))</f>
        <v/>
      </c>
      <c r="AY274" s="90" t="str">
        <f aca="false">IF(AT274="","",ROUND(AT274*(1-Справочники!$B$18),0))</f>
        <v/>
      </c>
      <c r="AZ274" s="90" t="str">
        <f aca="false">IF(AT274="","",ROUND(AT274*(1-Справочники!$B$19),0))</f>
        <v/>
      </c>
      <c r="BA274" s="81"/>
      <c r="BB274" s="81"/>
      <c r="BC274" s="81"/>
      <c r="BD274" s="81"/>
      <c r="BE274" s="91"/>
      <c r="BF274" s="81" t="s">
        <v>103</v>
      </c>
      <c r="BG274" s="89" t="n">
        <f aca="false" t="array" ref="BG274:BG274">IF(BF274="","",IFERROR(INDEX(Справочники!$B$4:$B$7,MATCH(BF274,Справочники!$A$4:$A$7,0)),""))</f>
        <v>68.5</v>
      </c>
      <c r="BH274" s="90" t="str">
        <f aca="false">IF(N(BN274)&gt;0,ROUND(SUMIF(ЗАКАЗЫ!$F$3:$F$500,$A274,ЗАКАЗЫ!$Y$3:$Y$500)/BN274,0),IF(OR(BE274="",BG274=""),"",ROUND(BE274*BG274*(1+Справочники!$B$10),0)))</f>
        <v/>
      </c>
      <c r="BI274" s="92" t="str">
        <f aca="false">IF(OR(AU274="",BH274="",AU274=0),"",(AU274-BH274)/AU274)</f>
        <v/>
      </c>
      <c r="BJ274" s="81"/>
      <c r="BK274" s="83"/>
      <c r="BL274" s="43" t="str">
        <f aca="false">IFERROR(INDEX(ЗАКАЗЫ!$N$3:$N$500,MATCH($A274,ЗАКАЗЫ!$F$3:$F$500,0)),"")</f>
        <v/>
      </c>
      <c r="BM274" s="8" t="str">
        <f aca="false">IF(BL274="","",IFERROR(VLOOKUP(BL274,'ТН ВЭД'!$A$4:$C$40,3,0),""))</f>
        <v/>
      </c>
      <c r="BN274" s="7" t="str">
        <f aca="false">IF(COUNTIF(ЗАКАЗЫ!$F$3:$F$500,$A274)=0,"",SUMIF(ЗАКАЗЫ!$F$3:$F$500,$A274,ЗАКАЗЫ!$J$3:$J$500))</f>
        <v/>
      </c>
      <c r="BO274" s="7" t="str">
        <f aca="false">IF(BN274="","",SUMIF(ЗАКАЗЫ!$F$3:$F$500,$A274,ЗАКАЗЫ!$AL$3:$AL$500))</f>
        <v/>
      </c>
      <c r="BP274" s="7" t="str">
        <f aca="false">IF(BN274="","",BN274-BO274)</f>
        <v/>
      </c>
      <c r="BQ274" s="55" t="str">
        <f aca="false">IF(BN274="","",IF(BO274&gt;=BN274,"На складе",IF(BO274&gt;0,"Частично","Ждём")))</f>
        <v/>
      </c>
      <c r="BR274" s="43"/>
      <c r="BS274" s="47" t="str">
        <f aca="false">IF(BN274="","",IF(_xlfn.MAXIFS(ЗАКАЗЫ!$AK$3:$AK$500,ЗАКАЗЫ!$F$3:$F$500,$A274)=0,"",_xlfn.MAXIFS(ЗАКАЗЫ!$AK$3:$AK$500,ЗАКАЗЫ!$F$3:$F$500,$A274)))</f>
        <v/>
      </c>
    </row>
    <row r="275" customFormat="false" ht="15.75" hidden="false" customHeight="true" outlineLevel="0" collapsed="false">
      <c r="A275" s="80" t="s">
        <v>1107</v>
      </c>
      <c r="B275" s="81"/>
      <c r="C275" s="81"/>
      <c r="D275" s="81"/>
      <c r="E275" s="83"/>
      <c r="F275" s="81"/>
      <c r="G275" s="83"/>
      <c r="H275" s="83"/>
      <c r="I275" s="84" t="str">
        <f aca="false">IF(E275="","",A275&amp;"_1.jpg")</f>
        <v/>
      </c>
      <c r="J275" s="84" t="str">
        <f aca="false">IF(E275="","",A275&amp;"_2.jpg; "&amp;A275&amp;"_3.jpg")</f>
        <v/>
      </c>
      <c r="K275" s="84" t="str">
        <f aca="false">IF(E275="","",A275&amp;"_schema.jpg")</f>
        <v/>
      </c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 t="s">
        <v>96</v>
      </c>
      <c r="W275" s="81"/>
      <c r="X275" s="81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6" t="str">
        <f aca="false">IF(SUM(Y275:AJ275)=0,"",SUM(Y275:AJ275))</f>
        <v/>
      </c>
      <c r="AL275" s="84" t="str">
        <f aca="false">MID(IF(N(Y275)&gt;0,", "&amp;Y$2,"")&amp;IF(N(Z275)&gt;0,", "&amp;Z$2,"")&amp;IF(N(AA275)&gt;0,", "&amp;AA$2,"")&amp;IF(N(AB275)&gt;0,", "&amp;AB$2,"")&amp;IF(N(AC275)&gt;0,", "&amp;AC$2,"")&amp;IF(N(AD275)&gt;0,", "&amp;AD$2,"")&amp;IF(N(AE275)&gt;0,", "&amp;AE$2,"")&amp;IF(N(AF275)&gt;0,", "&amp;AF$2,"")&amp;IF(N(AG275)&gt;0,", "&amp;AG$2,"")&amp;IF(N(AH275)&gt;0,", "&amp;AH$2,"")&amp;IF(N(AI275)&gt;0,", "&amp;AI$2,"")&amp;IF(N(AJ275)&gt;0,", "&amp;AJ$2,""),3,999)</f>
        <v/>
      </c>
      <c r="AM275" s="87" t="str">
        <f aca="false">IF(E275="","",MID(IF(N(Y275)&gt;0,", "&amp;A275&amp;"-"&amp;Y$2,"")&amp;IF(N(Z275)&gt;0,", "&amp;A275&amp;"-"&amp;Z$2,"")&amp;IF(N(AA275)&gt;0,", "&amp;A275&amp;"-"&amp;AA$2,"")&amp;IF(N(AB275)&gt;0,", "&amp;A275&amp;"-"&amp;AB$2,"")&amp;IF(N(AC275)&gt;0,", "&amp;A275&amp;"-"&amp;AC$2,"")&amp;IF(N(AD275)&gt;0,", "&amp;A275&amp;"-"&amp;AD$2,"")&amp;IF(N(AE275)&gt;0,", "&amp;A275&amp;"-"&amp;AE$2,"")&amp;IF(N(AF275)&gt;0,", "&amp;A275&amp;"-"&amp;AF$2,"")&amp;IF(N(AG275)&gt;0,", "&amp;A275&amp;"-"&amp;AG$2,"")&amp;IF(N(AH275)&gt;0,", "&amp;A275&amp;"-"&amp;AH$2,"")&amp;IF(N(AI275)&gt;0,", "&amp;A275&amp;"-"&amp;AI$2,"")&amp;IF(N(AJ275)&gt;0,", "&amp;A275&amp;"-"&amp;AJ$2,""),3,999))</f>
        <v/>
      </c>
      <c r="AN275" s="81"/>
      <c r="AO275" s="88"/>
      <c r="AP275" s="89" t="str">
        <f aca="false">IF(AO275="","",ROUND(AO275/(1+Справочники!$B$13),2))</f>
        <v/>
      </c>
      <c r="AQ275" s="90" t="str">
        <f aca="false" t="array" ref="AQ275:AQ275">IF(AP275="","",AP275*INDEX(Справочники!$B$4:$B$7,MATCH("RUB",Справочники!$A$4:$A$7,0)))</f>
        <v/>
      </c>
      <c r="AR275" s="90" t="str">
        <f aca="false">IF(AQ275="","",ROUND(AQ275*(1+Справочники!$B$12),0))</f>
        <v/>
      </c>
      <c r="AS275" s="90" t="str">
        <f aca="false">IF(AR275="","",ROUND(AR275*(1-Справочники!$B$11),0))</f>
        <v/>
      </c>
      <c r="AT275" s="88"/>
      <c r="AU275" s="90" t="str">
        <f aca="false">IF(AT275="","",ROUND(AT275/(1+Справочники!$B$12),0))</f>
        <v/>
      </c>
      <c r="AV275" s="90" t="str">
        <f aca="false">IF(AT275="","",ROUND(AT275*(1-Справочники!$B$15),0))</f>
        <v/>
      </c>
      <c r="AW275" s="90" t="str">
        <f aca="false">IF(AT275="","",ROUND(AT275*(1-Справочники!$B$16),0))</f>
        <v/>
      </c>
      <c r="AX275" s="90" t="str">
        <f aca="false">IF(AT275="","",ROUND(AT275*(1-Справочники!$B$17),0))</f>
        <v/>
      </c>
      <c r="AY275" s="90" t="str">
        <f aca="false">IF(AT275="","",ROUND(AT275*(1-Справочники!$B$18),0))</f>
        <v/>
      </c>
      <c r="AZ275" s="90" t="str">
        <f aca="false">IF(AT275="","",ROUND(AT275*(1-Справочники!$B$19),0))</f>
        <v/>
      </c>
      <c r="BA275" s="81"/>
      <c r="BB275" s="81"/>
      <c r="BC275" s="81"/>
      <c r="BD275" s="81"/>
      <c r="BE275" s="91"/>
      <c r="BF275" s="81" t="s">
        <v>103</v>
      </c>
      <c r="BG275" s="89" t="n">
        <f aca="false" t="array" ref="BG275:BG275">IF(BF275="","",IFERROR(INDEX(Справочники!$B$4:$B$7,MATCH(BF275,Справочники!$A$4:$A$7,0)),""))</f>
        <v>68.5</v>
      </c>
      <c r="BH275" s="90" t="str">
        <f aca="false">IF(N(BN275)&gt;0,ROUND(SUMIF(ЗАКАЗЫ!$F$3:$F$500,$A275,ЗАКАЗЫ!$Y$3:$Y$500)/BN275,0),IF(OR(BE275="",BG275=""),"",ROUND(BE275*BG275*(1+Справочники!$B$10),0)))</f>
        <v/>
      </c>
      <c r="BI275" s="92" t="str">
        <f aca="false">IF(OR(AU275="",BH275="",AU275=0),"",(AU275-BH275)/AU275)</f>
        <v/>
      </c>
      <c r="BJ275" s="81"/>
      <c r="BK275" s="83"/>
      <c r="BL275" s="43" t="str">
        <f aca="false">IFERROR(INDEX(ЗАКАЗЫ!$N$3:$N$500,MATCH($A275,ЗАКАЗЫ!$F$3:$F$500,0)),"")</f>
        <v/>
      </c>
      <c r="BM275" s="8" t="str">
        <f aca="false">IF(BL275="","",IFERROR(VLOOKUP(BL275,'ТН ВЭД'!$A$4:$C$40,3,0),""))</f>
        <v/>
      </c>
      <c r="BN275" s="7" t="str">
        <f aca="false">IF(COUNTIF(ЗАКАЗЫ!$F$3:$F$500,$A275)=0,"",SUMIF(ЗАКАЗЫ!$F$3:$F$500,$A275,ЗАКАЗЫ!$J$3:$J$500))</f>
        <v/>
      </c>
      <c r="BO275" s="7" t="str">
        <f aca="false">IF(BN275="","",SUMIF(ЗАКАЗЫ!$F$3:$F$500,$A275,ЗАКАЗЫ!$AL$3:$AL$500))</f>
        <v/>
      </c>
      <c r="BP275" s="7" t="str">
        <f aca="false">IF(BN275="","",BN275-BO275)</f>
        <v/>
      </c>
      <c r="BQ275" s="55" t="str">
        <f aca="false">IF(BN275="","",IF(BO275&gt;=BN275,"На складе",IF(BO275&gt;0,"Частично","Ждём")))</f>
        <v/>
      </c>
      <c r="BR275" s="43"/>
      <c r="BS275" s="47" t="str">
        <f aca="false">IF(BN275="","",IF(_xlfn.MAXIFS(ЗАКАЗЫ!$AK$3:$AK$500,ЗАКАЗЫ!$F$3:$F$500,$A275)=0,"",_xlfn.MAXIFS(ЗАКАЗЫ!$AK$3:$AK$500,ЗАКАЗЫ!$F$3:$F$500,$A275)))</f>
        <v/>
      </c>
    </row>
    <row r="276" customFormat="false" ht="15.75" hidden="false" customHeight="true" outlineLevel="0" collapsed="false">
      <c r="A276" s="80" t="s">
        <v>1108</v>
      </c>
      <c r="B276" s="81"/>
      <c r="C276" s="81"/>
      <c r="D276" s="81"/>
      <c r="E276" s="83"/>
      <c r="F276" s="81"/>
      <c r="G276" s="83"/>
      <c r="H276" s="83"/>
      <c r="I276" s="84" t="str">
        <f aca="false">IF(E276="","",A276&amp;"_1.jpg")</f>
        <v/>
      </c>
      <c r="J276" s="84" t="str">
        <f aca="false">IF(E276="","",A276&amp;"_2.jpg; "&amp;A276&amp;"_3.jpg")</f>
        <v/>
      </c>
      <c r="K276" s="84" t="str">
        <f aca="false">IF(E276="","",A276&amp;"_schema.jpg")</f>
        <v/>
      </c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 t="s">
        <v>96</v>
      </c>
      <c r="W276" s="81"/>
      <c r="X276" s="81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6" t="str">
        <f aca="false">IF(SUM(Y276:AJ276)=0,"",SUM(Y276:AJ276))</f>
        <v/>
      </c>
      <c r="AL276" s="84" t="str">
        <f aca="false">MID(IF(N(Y276)&gt;0,", "&amp;Y$2,"")&amp;IF(N(Z276)&gt;0,", "&amp;Z$2,"")&amp;IF(N(AA276)&gt;0,", "&amp;AA$2,"")&amp;IF(N(AB276)&gt;0,", "&amp;AB$2,"")&amp;IF(N(AC276)&gt;0,", "&amp;AC$2,"")&amp;IF(N(AD276)&gt;0,", "&amp;AD$2,"")&amp;IF(N(AE276)&gt;0,", "&amp;AE$2,"")&amp;IF(N(AF276)&gt;0,", "&amp;AF$2,"")&amp;IF(N(AG276)&gt;0,", "&amp;AG$2,"")&amp;IF(N(AH276)&gt;0,", "&amp;AH$2,"")&amp;IF(N(AI276)&gt;0,", "&amp;AI$2,"")&amp;IF(N(AJ276)&gt;0,", "&amp;AJ$2,""),3,999)</f>
        <v/>
      </c>
      <c r="AM276" s="87" t="str">
        <f aca="false">IF(E276="","",MID(IF(N(Y276)&gt;0,", "&amp;A276&amp;"-"&amp;Y$2,"")&amp;IF(N(Z276)&gt;0,", "&amp;A276&amp;"-"&amp;Z$2,"")&amp;IF(N(AA276)&gt;0,", "&amp;A276&amp;"-"&amp;AA$2,"")&amp;IF(N(AB276)&gt;0,", "&amp;A276&amp;"-"&amp;AB$2,"")&amp;IF(N(AC276)&gt;0,", "&amp;A276&amp;"-"&amp;AC$2,"")&amp;IF(N(AD276)&gt;0,", "&amp;A276&amp;"-"&amp;AD$2,"")&amp;IF(N(AE276)&gt;0,", "&amp;A276&amp;"-"&amp;AE$2,"")&amp;IF(N(AF276)&gt;0,", "&amp;A276&amp;"-"&amp;AF$2,"")&amp;IF(N(AG276)&gt;0,", "&amp;A276&amp;"-"&amp;AG$2,"")&amp;IF(N(AH276)&gt;0,", "&amp;A276&amp;"-"&amp;AH$2,"")&amp;IF(N(AI276)&gt;0,", "&amp;A276&amp;"-"&amp;AI$2,"")&amp;IF(N(AJ276)&gt;0,", "&amp;A276&amp;"-"&amp;AJ$2,""),3,999))</f>
        <v/>
      </c>
      <c r="AN276" s="81"/>
      <c r="AO276" s="88"/>
      <c r="AP276" s="89" t="str">
        <f aca="false">IF(AO276="","",ROUND(AO276/(1+Справочники!$B$13),2))</f>
        <v/>
      </c>
      <c r="AQ276" s="90" t="str">
        <f aca="false" t="array" ref="AQ276:AQ276">IF(AP276="","",AP276*INDEX(Справочники!$B$4:$B$7,MATCH("RUB",Справочники!$A$4:$A$7,0)))</f>
        <v/>
      </c>
      <c r="AR276" s="90" t="str">
        <f aca="false">IF(AQ276="","",ROUND(AQ276*(1+Справочники!$B$12),0))</f>
        <v/>
      </c>
      <c r="AS276" s="90" t="str">
        <f aca="false">IF(AR276="","",ROUND(AR276*(1-Справочники!$B$11),0))</f>
        <v/>
      </c>
      <c r="AT276" s="88"/>
      <c r="AU276" s="90" t="str">
        <f aca="false">IF(AT276="","",ROUND(AT276/(1+Справочники!$B$12),0))</f>
        <v/>
      </c>
      <c r="AV276" s="90" t="str">
        <f aca="false">IF(AT276="","",ROUND(AT276*(1-Справочники!$B$15),0))</f>
        <v/>
      </c>
      <c r="AW276" s="90" t="str">
        <f aca="false">IF(AT276="","",ROUND(AT276*(1-Справочники!$B$16),0))</f>
        <v/>
      </c>
      <c r="AX276" s="90" t="str">
        <f aca="false">IF(AT276="","",ROUND(AT276*(1-Справочники!$B$17),0))</f>
        <v/>
      </c>
      <c r="AY276" s="90" t="str">
        <f aca="false">IF(AT276="","",ROUND(AT276*(1-Справочники!$B$18),0))</f>
        <v/>
      </c>
      <c r="AZ276" s="90" t="str">
        <f aca="false">IF(AT276="","",ROUND(AT276*(1-Справочники!$B$19),0))</f>
        <v/>
      </c>
      <c r="BA276" s="81"/>
      <c r="BB276" s="81"/>
      <c r="BC276" s="81"/>
      <c r="BD276" s="81"/>
      <c r="BE276" s="91"/>
      <c r="BF276" s="81" t="s">
        <v>103</v>
      </c>
      <c r="BG276" s="89" t="n">
        <f aca="false" t="array" ref="BG276:BG276">IF(BF276="","",IFERROR(INDEX(Справочники!$B$4:$B$7,MATCH(BF276,Справочники!$A$4:$A$7,0)),""))</f>
        <v>68.5</v>
      </c>
      <c r="BH276" s="90" t="str">
        <f aca="false">IF(N(BN276)&gt;0,ROUND(SUMIF(ЗАКАЗЫ!$F$3:$F$500,$A276,ЗАКАЗЫ!$Y$3:$Y$500)/BN276,0),IF(OR(BE276="",BG276=""),"",ROUND(BE276*BG276*(1+Справочники!$B$10),0)))</f>
        <v/>
      </c>
      <c r="BI276" s="92" t="str">
        <f aca="false">IF(OR(AU276="",BH276="",AU276=0),"",(AU276-BH276)/AU276)</f>
        <v/>
      </c>
      <c r="BJ276" s="81"/>
      <c r="BK276" s="83"/>
      <c r="BL276" s="43" t="str">
        <f aca="false">IFERROR(INDEX(ЗАКАЗЫ!$N$3:$N$500,MATCH($A276,ЗАКАЗЫ!$F$3:$F$500,0)),"")</f>
        <v/>
      </c>
      <c r="BM276" s="8" t="str">
        <f aca="false">IF(BL276="","",IFERROR(VLOOKUP(BL276,'ТН ВЭД'!$A$4:$C$40,3,0),""))</f>
        <v/>
      </c>
      <c r="BN276" s="7" t="str">
        <f aca="false">IF(COUNTIF(ЗАКАЗЫ!$F$3:$F$500,$A276)=0,"",SUMIF(ЗАКАЗЫ!$F$3:$F$500,$A276,ЗАКАЗЫ!$J$3:$J$500))</f>
        <v/>
      </c>
      <c r="BO276" s="7" t="str">
        <f aca="false">IF(BN276="","",SUMIF(ЗАКАЗЫ!$F$3:$F$500,$A276,ЗАКАЗЫ!$AL$3:$AL$500))</f>
        <v/>
      </c>
      <c r="BP276" s="7" t="str">
        <f aca="false">IF(BN276="","",BN276-BO276)</f>
        <v/>
      </c>
      <c r="BQ276" s="55" t="str">
        <f aca="false">IF(BN276="","",IF(BO276&gt;=BN276,"На складе",IF(BO276&gt;0,"Частично","Ждём")))</f>
        <v/>
      </c>
      <c r="BR276" s="43"/>
      <c r="BS276" s="47" t="str">
        <f aca="false">IF(BN276="","",IF(_xlfn.MAXIFS(ЗАКАЗЫ!$AK$3:$AK$500,ЗАКАЗЫ!$F$3:$F$500,$A276)=0,"",_xlfn.MAXIFS(ЗАКАЗЫ!$AK$3:$AK$500,ЗАКАЗЫ!$F$3:$F$500,$A276)))</f>
        <v/>
      </c>
    </row>
    <row r="277" customFormat="false" ht="15.75" hidden="false" customHeight="true" outlineLevel="0" collapsed="false">
      <c r="A277" s="80" t="s">
        <v>1109</v>
      </c>
      <c r="B277" s="81"/>
      <c r="C277" s="81"/>
      <c r="D277" s="81"/>
      <c r="E277" s="83"/>
      <c r="F277" s="81"/>
      <c r="G277" s="83"/>
      <c r="H277" s="83"/>
      <c r="I277" s="84" t="str">
        <f aca="false">IF(E277="","",A277&amp;"_1.jpg")</f>
        <v/>
      </c>
      <c r="J277" s="84" t="str">
        <f aca="false">IF(E277="","",A277&amp;"_2.jpg; "&amp;A277&amp;"_3.jpg")</f>
        <v/>
      </c>
      <c r="K277" s="84" t="str">
        <f aca="false">IF(E277="","",A277&amp;"_schema.jpg")</f>
        <v/>
      </c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 t="s">
        <v>96</v>
      </c>
      <c r="W277" s="81"/>
      <c r="X277" s="81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6" t="str">
        <f aca="false">IF(SUM(Y277:AJ277)=0,"",SUM(Y277:AJ277))</f>
        <v/>
      </c>
      <c r="AL277" s="84" t="str">
        <f aca="false">MID(IF(N(Y277)&gt;0,", "&amp;Y$2,"")&amp;IF(N(Z277)&gt;0,", "&amp;Z$2,"")&amp;IF(N(AA277)&gt;0,", "&amp;AA$2,"")&amp;IF(N(AB277)&gt;0,", "&amp;AB$2,"")&amp;IF(N(AC277)&gt;0,", "&amp;AC$2,"")&amp;IF(N(AD277)&gt;0,", "&amp;AD$2,"")&amp;IF(N(AE277)&gt;0,", "&amp;AE$2,"")&amp;IF(N(AF277)&gt;0,", "&amp;AF$2,"")&amp;IF(N(AG277)&gt;0,", "&amp;AG$2,"")&amp;IF(N(AH277)&gt;0,", "&amp;AH$2,"")&amp;IF(N(AI277)&gt;0,", "&amp;AI$2,"")&amp;IF(N(AJ277)&gt;0,", "&amp;AJ$2,""),3,999)</f>
        <v/>
      </c>
      <c r="AM277" s="87" t="str">
        <f aca="false">IF(E277="","",MID(IF(N(Y277)&gt;0,", "&amp;A277&amp;"-"&amp;Y$2,"")&amp;IF(N(Z277)&gt;0,", "&amp;A277&amp;"-"&amp;Z$2,"")&amp;IF(N(AA277)&gt;0,", "&amp;A277&amp;"-"&amp;AA$2,"")&amp;IF(N(AB277)&gt;0,", "&amp;A277&amp;"-"&amp;AB$2,"")&amp;IF(N(AC277)&gt;0,", "&amp;A277&amp;"-"&amp;AC$2,"")&amp;IF(N(AD277)&gt;0,", "&amp;A277&amp;"-"&amp;AD$2,"")&amp;IF(N(AE277)&gt;0,", "&amp;A277&amp;"-"&amp;AE$2,"")&amp;IF(N(AF277)&gt;0,", "&amp;A277&amp;"-"&amp;AF$2,"")&amp;IF(N(AG277)&gt;0,", "&amp;A277&amp;"-"&amp;AG$2,"")&amp;IF(N(AH277)&gt;0,", "&amp;A277&amp;"-"&amp;AH$2,"")&amp;IF(N(AI277)&gt;0,", "&amp;A277&amp;"-"&amp;AI$2,"")&amp;IF(N(AJ277)&gt;0,", "&amp;A277&amp;"-"&amp;AJ$2,""),3,999))</f>
        <v/>
      </c>
      <c r="AN277" s="81"/>
      <c r="AO277" s="88"/>
      <c r="AP277" s="89" t="str">
        <f aca="false">IF(AO277="","",ROUND(AO277/(1+Справочники!$B$13),2))</f>
        <v/>
      </c>
      <c r="AQ277" s="90" t="str">
        <f aca="false" t="array" ref="AQ277:AQ277">IF(AP277="","",AP277*INDEX(Справочники!$B$4:$B$7,MATCH("RUB",Справочники!$A$4:$A$7,0)))</f>
        <v/>
      </c>
      <c r="AR277" s="90" t="str">
        <f aca="false">IF(AQ277="","",ROUND(AQ277*(1+Справочники!$B$12),0))</f>
        <v/>
      </c>
      <c r="AS277" s="90" t="str">
        <f aca="false">IF(AR277="","",ROUND(AR277*(1-Справочники!$B$11),0))</f>
        <v/>
      </c>
      <c r="AT277" s="88"/>
      <c r="AU277" s="90" t="str">
        <f aca="false">IF(AT277="","",ROUND(AT277/(1+Справочники!$B$12),0))</f>
        <v/>
      </c>
      <c r="AV277" s="90" t="str">
        <f aca="false">IF(AT277="","",ROUND(AT277*(1-Справочники!$B$15),0))</f>
        <v/>
      </c>
      <c r="AW277" s="90" t="str">
        <f aca="false">IF(AT277="","",ROUND(AT277*(1-Справочники!$B$16),0))</f>
        <v/>
      </c>
      <c r="AX277" s="90" t="str">
        <f aca="false">IF(AT277="","",ROUND(AT277*(1-Справочники!$B$17),0))</f>
        <v/>
      </c>
      <c r="AY277" s="90" t="str">
        <f aca="false">IF(AT277="","",ROUND(AT277*(1-Справочники!$B$18),0))</f>
        <v/>
      </c>
      <c r="AZ277" s="90" t="str">
        <f aca="false">IF(AT277="","",ROUND(AT277*(1-Справочники!$B$19),0))</f>
        <v/>
      </c>
      <c r="BA277" s="81"/>
      <c r="BB277" s="81"/>
      <c r="BC277" s="81"/>
      <c r="BD277" s="81"/>
      <c r="BE277" s="91"/>
      <c r="BF277" s="81" t="s">
        <v>103</v>
      </c>
      <c r="BG277" s="89" t="n">
        <f aca="false" t="array" ref="BG277:BG277">IF(BF277="","",IFERROR(INDEX(Справочники!$B$4:$B$7,MATCH(BF277,Справочники!$A$4:$A$7,0)),""))</f>
        <v>68.5</v>
      </c>
      <c r="BH277" s="90" t="str">
        <f aca="false">IF(N(BN277)&gt;0,ROUND(SUMIF(ЗАКАЗЫ!$F$3:$F$500,$A277,ЗАКАЗЫ!$Y$3:$Y$500)/BN277,0),IF(OR(BE277="",BG277=""),"",ROUND(BE277*BG277*(1+Справочники!$B$10),0)))</f>
        <v/>
      </c>
      <c r="BI277" s="92" t="str">
        <f aca="false">IF(OR(AU277="",BH277="",AU277=0),"",(AU277-BH277)/AU277)</f>
        <v/>
      </c>
      <c r="BJ277" s="81"/>
      <c r="BK277" s="83"/>
      <c r="BL277" s="43" t="str">
        <f aca="false">IFERROR(INDEX(ЗАКАЗЫ!$N$3:$N$500,MATCH($A277,ЗАКАЗЫ!$F$3:$F$500,0)),"")</f>
        <v/>
      </c>
      <c r="BM277" s="8" t="str">
        <f aca="false">IF(BL277="","",IFERROR(VLOOKUP(BL277,'ТН ВЭД'!$A$4:$C$40,3,0),""))</f>
        <v/>
      </c>
      <c r="BN277" s="7" t="str">
        <f aca="false">IF(COUNTIF(ЗАКАЗЫ!$F$3:$F$500,$A277)=0,"",SUMIF(ЗАКАЗЫ!$F$3:$F$500,$A277,ЗАКАЗЫ!$J$3:$J$500))</f>
        <v/>
      </c>
      <c r="BO277" s="7" t="str">
        <f aca="false">IF(BN277="","",SUMIF(ЗАКАЗЫ!$F$3:$F$500,$A277,ЗАКАЗЫ!$AL$3:$AL$500))</f>
        <v/>
      </c>
      <c r="BP277" s="7" t="str">
        <f aca="false">IF(BN277="","",BN277-BO277)</f>
        <v/>
      </c>
      <c r="BQ277" s="55" t="str">
        <f aca="false">IF(BN277="","",IF(BO277&gt;=BN277,"На складе",IF(BO277&gt;0,"Частично","Ждём")))</f>
        <v/>
      </c>
      <c r="BR277" s="43"/>
      <c r="BS277" s="47" t="str">
        <f aca="false">IF(BN277="","",IF(_xlfn.MAXIFS(ЗАКАЗЫ!$AK$3:$AK$500,ЗАКАЗЫ!$F$3:$F$500,$A277)=0,"",_xlfn.MAXIFS(ЗАКАЗЫ!$AK$3:$AK$500,ЗАКАЗЫ!$F$3:$F$500,$A277)))</f>
        <v/>
      </c>
    </row>
    <row r="278" customFormat="false" ht="15.75" hidden="false" customHeight="true" outlineLevel="0" collapsed="false">
      <c r="A278" s="80" t="s">
        <v>1110</v>
      </c>
      <c r="B278" s="81"/>
      <c r="C278" s="81"/>
      <c r="D278" s="81"/>
      <c r="E278" s="83"/>
      <c r="F278" s="81"/>
      <c r="G278" s="83"/>
      <c r="H278" s="83"/>
      <c r="I278" s="84" t="str">
        <f aca="false">IF(E278="","",A278&amp;"_1.jpg")</f>
        <v/>
      </c>
      <c r="J278" s="84" t="str">
        <f aca="false">IF(E278="","",A278&amp;"_2.jpg; "&amp;A278&amp;"_3.jpg")</f>
        <v/>
      </c>
      <c r="K278" s="84" t="str">
        <f aca="false">IF(E278="","",A278&amp;"_schema.jpg")</f>
        <v/>
      </c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 t="s">
        <v>96</v>
      </c>
      <c r="W278" s="81"/>
      <c r="X278" s="81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6" t="str">
        <f aca="false">IF(SUM(Y278:AJ278)=0,"",SUM(Y278:AJ278))</f>
        <v/>
      </c>
      <c r="AL278" s="84" t="str">
        <f aca="false">MID(IF(N(Y278)&gt;0,", "&amp;Y$2,"")&amp;IF(N(Z278)&gt;0,", "&amp;Z$2,"")&amp;IF(N(AA278)&gt;0,", "&amp;AA$2,"")&amp;IF(N(AB278)&gt;0,", "&amp;AB$2,"")&amp;IF(N(AC278)&gt;0,", "&amp;AC$2,"")&amp;IF(N(AD278)&gt;0,", "&amp;AD$2,"")&amp;IF(N(AE278)&gt;0,", "&amp;AE$2,"")&amp;IF(N(AF278)&gt;0,", "&amp;AF$2,"")&amp;IF(N(AG278)&gt;0,", "&amp;AG$2,"")&amp;IF(N(AH278)&gt;0,", "&amp;AH$2,"")&amp;IF(N(AI278)&gt;0,", "&amp;AI$2,"")&amp;IF(N(AJ278)&gt;0,", "&amp;AJ$2,""),3,999)</f>
        <v/>
      </c>
      <c r="AM278" s="87" t="str">
        <f aca="false">IF(E278="","",MID(IF(N(Y278)&gt;0,", "&amp;A278&amp;"-"&amp;Y$2,"")&amp;IF(N(Z278)&gt;0,", "&amp;A278&amp;"-"&amp;Z$2,"")&amp;IF(N(AA278)&gt;0,", "&amp;A278&amp;"-"&amp;AA$2,"")&amp;IF(N(AB278)&gt;0,", "&amp;A278&amp;"-"&amp;AB$2,"")&amp;IF(N(AC278)&gt;0,", "&amp;A278&amp;"-"&amp;AC$2,"")&amp;IF(N(AD278)&gt;0,", "&amp;A278&amp;"-"&amp;AD$2,"")&amp;IF(N(AE278)&gt;0,", "&amp;A278&amp;"-"&amp;AE$2,"")&amp;IF(N(AF278)&gt;0,", "&amp;A278&amp;"-"&amp;AF$2,"")&amp;IF(N(AG278)&gt;0,", "&amp;A278&amp;"-"&amp;AG$2,"")&amp;IF(N(AH278)&gt;0,", "&amp;A278&amp;"-"&amp;AH$2,"")&amp;IF(N(AI278)&gt;0,", "&amp;A278&amp;"-"&amp;AI$2,"")&amp;IF(N(AJ278)&gt;0,", "&amp;A278&amp;"-"&amp;AJ$2,""),3,999))</f>
        <v/>
      </c>
      <c r="AN278" s="81"/>
      <c r="AO278" s="88"/>
      <c r="AP278" s="89" t="str">
        <f aca="false">IF(AO278="","",ROUND(AO278/(1+Справочники!$B$13),2))</f>
        <v/>
      </c>
      <c r="AQ278" s="90" t="str">
        <f aca="false" t="array" ref="AQ278:AQ278">IF(AP278="","",AP278*INDEX(Справочники!$B$4:$B$7,MATCH("RUB",Справочники!$A$4:$A$7,0)))</f>
        <v/>
      </c>
      <c r="AR278" s="90" t="str">
        <f aca="false">IF(AQ278="","",ROUND(AQ278*(1+Справочники!$B$12),0))</f>
        <v/>
      </c>
      <c r="AS278" s="90" t="str">
        <f aca="false">IF(AR278="","",ROUND(AR278*(1-Справочники!$B$11),0))</f>
        <v/>
      </c>
      <c r="AT278" s="88"/>
      <c r="AU278" s="90" t="str">
        <f aca="false">IF(AT278="","",ROUND(AT278/(1+Справочники!$B$12),0))</f>
        <v/>
      </c>
      <c r="AV278" s="90" t="str">
        <f aca="false">IF(AT278="","",ROUND(AT278*(1-Справочники!$B$15),0))</f>
        <v/>
      </c>
      <c r="AW278" s="90" t="str">
        <f aca="false">IF(AT278="","",ROUND(AT278*(1-Справочники!$B$16),0))</f>
        <v/>
      </c>
      <c r="AX278" s="90" t="str">
        <f aca="false">IF(AT278="","",ROUND(AT278*(1-Справочники!$B$17),0))</f>
        <v/>
      </c>
      <c r="AY278" s="90" t="str">
        <f aca="false">IF(AT278="","",ROUND(AT278*(1-Справочники!$B$18),0))</f>
        <v/>
      </c>
      <c r="AZ278" s="90" t="str">
        <f aca="false">IF(AT278="","",ROUND(AT278*(1-Справочники!$B$19),0))</f>
        <v/>
      </c>
      <c r="BA278" s="81"/>
      <c r="BB278" s="81"/>
      <c r="BC278" s="81"/>
      <c r="BD278" s="81"/>
      <c r="BE278" s="91"/>
      <c r="BF278" s="81" t="s">
        <v>103</v>
      </c>
      <c r="BG278" s="89" t="n">
        <f aca="false" t="array" ref="BG278:BG278">IF(BF278="","",IFERROR(INDEX(Справочники!$B$4:$B$7,MATCH(BF278,Справочники!$A$4:$A$7,0)),""))</f>
        <v>68.5</v>
      </c>
      <c r="BH278" s="90" t="str">
        <f aca="false">IF(N(BN278)&gt;0,ROUND(SUMIF(ЗАКАЗЫ!$F$3:$F$500,$A278,ЗАКАЗЫ!$Y$3:$Y$500)/BN278,0),IF(OR(BE278="",BG278=""),"",ROUND(BE278*BG278*(1+Справочники!$B$10),0)))</f>
        <v/>
      </c>
      <c r="BI278" s="92" t="str">
        <f aca="false">IF(OR(AU278="",BH278="",AU278=0),"",(AU278-BH278)/AU278)</f>
        <v/>
      </c>
      <c r="BJ278" s="81"/>
      <c r="BK278" s="83"/>
      <c r="BL278" s="43" t="str">
        <f aca="false">IFERROR(INDEX(ЗАКАЗЫ!$N$3:$N$500,MATCH($A278,ЗАКАЗЫ!$F$3:$F$500,0)),"")</f>
        <v/>
      </c>
      <c r="BM278" s="8" t="str">
        <f aca="false">IF(BL278="","",IFERROR(VLOOKUP(BL278,'ТН ВЭД'!$A$4:$C$40,3,0),""))</f>
        <v/>
      </c>
      <c r="BN278" s="7" t="str">
        <f aca="false">IF(COUNTIF(ЗАКАЗЫ!$F$3:$F$500,$A278)=0,"",SUMIF(ЗАКАЗЫ!$F$3:$F$500,$A278,ЗАКАЗЫ!$J$3:$J$500))</f>
        <v/>
      </c>
      <c r="BO278" s="7" t="str">
        <f aca="false">IF(BN278="","",SUMIF(ЗАКАЗЫ!$F$3:$F$500,$A278,ЗАКАЗЫ!$AL$3:$AL$500))</f>
        <v/>
      </c>
      <c r="BP278" s="7" t="str">
        <f aca="false">IF(BN278="","",BN278-BO278)</f>
        <v/>
      </c>
      <c r="BQ278" s="55" t="str">
        <f aca="false">IF(BN278="","",IF(BO278&gt;=BN278,"На складе",IF(BO278&gt;0,"Частично","Ждём")))</f>
        <v/>
      </c>
      <c r="BR278" s="43"/>
      <c r="BS278" s="47" t="str">
        <f aca="false">IF(BN278="","",IF(_xlfn.MAXIFS(ЗАКАЗЫ!$AK$3:$AK$500,ЗАКАЗЫ!$F$3:$F$500,$A278)=0,"",_xlfn.MAXIFS(ЗАКАЗЫ!$AK$3:$AK$500,ЗАКАЗЫ!$F$3:$F$500,$A278)))</f>
        <v/>
      </c>
    </row>
    <row r="279" customFormat="false" ht="15.75" hidden="false" customHeight="true" outlineLevel="0" collapsed="false">
      <c r="A279" s="80" t="s">
        <v>1111</v>
      </c>
      <c r="B279" s="81"/>
      <c r="C279" s="81"/>
      <c r="D279" s="81"/>
      <c r="E279" s="83"/>
      <c r="F279" s="81"/>
      <c r="G279" s="83"/>
      <c r="H279" s="83"/>
      <c r="I279" s="84" t="str">
        <f aca="false">IF(E279="","",A279&amp;"_1.jpg")</f>
        <v/>
      </c>
      <c r="J279" s="84" t="str">
        <f aca="false">IF(E279="","",A279&amp;"_2.jpg; "&amp;A279&amp;"_3.jpg")</f>
        <v/>
      </c>
      <c r="K279" s="84" t="str">
        <f aca="false">IF(E279="","",A279&amp;"_schema.jpg")</f>
        <v/>
      </c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 t="s">
        <v>96</v>
      </c>
      <c r="W279" s="81"/>
      <c r="X279" s="81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6" t="str">
        <f aca="false">IF(SUM(Y279:AJ279)=0,"",SUM(Y279:AJ279))</f>
        <v/>
      </c>
      <c r="AL279" s="84" t="str">
        <f aca="false">MID(IF(N(Y279)&gt;0,", "&amp;Y$2,"")&amp;IF(N(Z279)&gt;0,", "&amp;Z$2,"")&amp;IF(N(AA279)&gt;0,", "&amp;AA$2,"")&amp;IF(N(AB279)&gt;0,", "&amp;AB$2,"")&amp;IF(N(AC279)&gt;0,", "&amp;AC$2,"")&amp;IF(N(AD279)&gt;0,", "&amp;AD$2,"")&amp;IF(N(AE279)&gt;0,", "&amp;AE$2,"")&amp;IF(N(AF279)&gt;0,", "&amp;AF$2,"")&amp;IF(N(AG279)&gt;0,", "&amp;AG$2,"")&amp;IF(N(AH279)&gt;0,", "&amp;AH$2,"")&amp;IF(N(AI279)&gt;0,", "&amp;AI$2,"")&amp;IF(N(AJ279)&gt;0,", "&amp;AJ$2,""),3,999)</f>
        <v/>
      </c>
      <c r="AM279" s="87" t="str">
        <f aca="false">IF(E279="","",MID(IF(N(Y279)&gt;0,", "&amp;A279&amp;"-"&amp;Y$2,"")&amp;IF(N(Z279)&gt;0,", "&amp;A279&amp;"-"&amp;Z$2,"")&amp;IF(N(AA279)&gt;0,", "&amp;A279&amp;"-"&amp;AA$2,"")&amp;IF(N(AB279)&gt;0,", "&amp;A279&amp;"-"&amp;AB$2,"")&amp;IF(N(AC279)&gt;0,", "&amp;A279&amp;"-"&amp;AC$2,"")&amp;IF(N(AD279)&gt;0,", "&amp;A279&amp;"-"&amp;AD$2,"")&amp;IF(N(AE279)&gt;0,", "&amp;A279&amp;"-"&amp;AE$2,"")&amp;IF(N(AF279)&gt;0,", "&amp;A279&amp;"-"&amp;AF$2,"")&amp;IF(N(AG279)&gt;0,", "&amp;A279&amp;"-"&amp;AG$2,"")&amp;IF(N(AH279)&gt;0,", "&amp;A279&amp;"-"&amp;AH$2,"")&amp;IF(N(AI279)&gt;0,", "&amp;A279&amp;"-"&amp;AI$2,"")&amp;IF(N(AJ279)&gt;0,", "&amp;A279&amp;"-"&amp;AJ$2,""),3,999))</f>
        <v/>
      </c>
      <c r="AN279" s="81"/>
      <c r="AO279" s="88"/>
      <c r="AP279" s="89" t="str">
        <f aca="false">IF(AO279="","",ROUND(AO279/(1+Справочники!$B$13),2))</f>
        <v/>
      </c>
      <c r="AQ279" s="90" t="str">
        <f aca="false" t="array" ref="AQ279:AQ279">IF(AP279="","",AP279*INDEX(Справочники!$B$4:$B$7,MATCH("RUB",Справочники!$A$4:$A$7,0)))</f>
        <v/>
      </c>
      <c r="AR279" s="90" t="str">
        <f aca="false">IF(AQ279="","",ROUND(AQ279*(1+Справочники!$B$12),0))</f>
        <v/>
      </c>
      <c r="AS279" s="90" t="str">
        <f aca="false">IF(AR279="","",ROUND(AR279*(1-Справочники!$B$11),0))</f>
        <v/>
      </c>
      <c r="AT279" s="88"/>
      <c r="AU279" s="90" t="str">
        <f aca="false">IF(AT279="","",ROUND(AT279/(1+Справочники!$B$12),0))</f>
        <v/>
      </c>
      <c r="AV279" s="90" t="str">
        <f aca="false">IF(AT279="","",ROUND(AT279*(1-Справочники!$B$15),0))</f>
        <v/>
      </c>
      <c r="AW279" s="90" t="str">
        <f aca="false">IF(AT279="","",ROUND(AT279*(1-Справочники!$B$16),0))</f>
        <v/>
      </c>
      <c r="AX279" s="90" t="str">
        <f aca="false">IF(AT279="","",ROUND(AT279*(1-Справочники!$B$17),0))</f>
        <v/>
      </c>
      <c r="AY279" s="90" t="str">
        <f aca="false">IF(AT279="","",ROUND(AT279*(1-Справочники!$B$18),0))</f>
        <v/>
      </c>
      <c r="AZ279" s="90" t="str">
        <f aca="false">IF(AT279="","",ROUND(AT279*(1-Справочники!$B$19),0))</f>
        <v/>
      </c>
      <c r="BA279" s="81"/>
      <c r="BB279" s="81"/>
      <c r="BC279" s="81"/>
      <c r="BD279" s="81"/>
      <c r="BE279" s="91"/>
      <c r="BF279" s="81" t="s">
        <v>103</v>
      </c>
      <c r="BG279" s="89" t="n">
        <f aca="false" t="array" ref="BG279:BG279">IF(BF279="","",IFERROR(INDEX(Справочники!$B$4:$B$7,MATCH(BF279,Справочники!$A$4:$A$7,0)),""))</f>
        <v>68.5</v>
      </c>
      <c r="BH279" s="90" t="str">
        <f aca="false">IF(N(BN279)&gt;0,ROUND(SUMIF(ЗАКАЗЫ!$F$3:$F$500,$A279,ЗАКАЗЫ!$Y$3:$Y$500)/BN279,0),IF(OR(BE279="",BG279=""),"",ROUND(BE279*BG279*(1+Справочники!$B$10),0)))</f>
        <v/>
      </c>
      <c r="BI279" s="92" t="str">
        <f aca="false">IF(OR(AU279="",BH279="",AU279=0),"",(AU279-BH279)/AU279)</f>
        <v/>
      </c>
      <c r="BJ279" s="81"/>
      <c r="BK279" s="83"/>
      <c r="BL279" s="43" t="str">
        <f aca="false">IFERROR(INDEX(ЗАКАЗЫ!$N$3:$N$500,MATCH($A279,ЗАКАЗЫ!$F$3:$F$500,0)),"")</f>
        <v/>
      </c>
      <c r="BM279" s="8" t="str">
        <f aca="false">IF(BL279="","",IFERROR(VLOOKUP(BL279,'ТН ВЭД'!$A$4:$C$40,3,0),""))</f>
        <v/>
      </c>
      <c r="BN279" s="7" t="str">
        <f aca="false">IF(COUNTIF(ЗАКАЗЫ!$F$3:$F$500,$A279)=0,"",SUMIF(ЗАКАЗЫ!$F$3:$F$500,$A279,ЗАКАЗЫ!$J$3:$J$500))</f>
        <v/>
      </c>
      <c r="BO279" s="7" t="str">
        <f aca="false">IF(BN279="","",SUMIF(ЗАКАЗЫ!$F$3:$F$500,$A279,ЗАКАЗЫ!$AL$3:$AL$500))</f>
        <v/>
      </c>
      <c r="BP279" s="7" t="str">
        <f aca="false">IF(BN279="","",BN279-BO279)</f>
        <v/>
      </c>
      <c r="BQ279" s="55" t="str">
        <f aca="false">IF(BN279="","",IF(BO279&gt;=BN279,"На складе",IF(BO279&gt;0,"Частично","Ждём")))</f>
        <v/>
      </c>
      <c r="BR279" s="43"/>
      <c r="BS279" s="47" t="str">
        <f aca="false">IF(BN279="","",IF(_xlfn.MAXIFS(ЗАКАЗЫ!$AK$3:$AK$500,ЗАКАЗЫ!$F$3:$F$500,$A279)=0,"",_xlfn.MAXIFS(ЗАКАЗЫ!$AK$3:$AK$500,ЗАКАЗЫ!$F$3:$F$500,$A279)))</f>
        <v/>
      </c>
    </row>
    <row r="280" customFormat="false" ht="15.75" hidden="false" customHeight="true" outlineLevel="0" collapsed="false">
      <c r="A280" s="80" t="s">
        <v>1112</v>
      </c>
      <c r="B280" s="81"/>
      <c r="C280" s="81"/>
      <c r="D280" s="81"/>
      <c r="E280" s="83"/>
      <c r="F280" s="81"/>
      <c r="G280" s="83"/>
      <c r="H280" s="83"/>
      <c r="I280" s="84" t="str">
        <f aca="false">IF(E280="","",A280&amp;"_1.jpg")</f>
        <v/>
      </c>
      <c r="J280" s="84" t="str">
        <f aca="false">IF(E280="","",A280&amp;"_2.jpg; "&amp;A280&amp;"_3.jpg")</f>
        <v/>
      </c>
      <c r="K280" s="84" t="str">
        <f aca="false">IF(E280="","",A280&amp;"_schema.jpg")</f>
        <v/>
      </c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 t="s">
        <v>96</v>
      </c>
      <c r="W280" s="81"/>
      <c r="X280" s="81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6" t="str">
        <f aca="false">IF(SUM(Y280:AJ280)=0,"",SUM(Y280:AJ280))</f>
        <v/>
      </c>
      <c r="AL280" s="84" t="str">
        <f aca="false">MID(IF(N(Y280)&gt;0,", "&amp;Y$2,"")&amp;IF(N(Z280)&gt;0,", "&amp;Z$2,"")&amp;IF(N(AA280)&gt;0,", "&amp;AA$2,"")&amp;IF(N(AB280)&gt;0,", "&amp;AB$2,"")&amp;IF(N(AC280)&gt;0,", "&amp;AC$2,"")&amp;IF(N(AD280)&gt;0,", "&amp;AD$2,"")&amp;IF(N(AE280)&gt;0,", "&amp;AE$2,"")&amp;IF(N(AF280)&gt;0,", "&amp;AF$2,"")&amp;IF(N(AG280)&gt;0,", "&amp;AG$2,"")&amp;IF(N(AH280)&gt;0,", "&amp;AH$2,"")&amp;IF(N(AI280)&gt;0,", "&amp;AI$2,"")&amp;IF(N(AJ280)&gt;0,", "&amp;AJ$2,""),3,999)</f>
        <v/>
      </c>
      <c r="AM280" s="87" t="str">
        <f aca="false">IF(E280="","",MID(IF(N(Y280)&gt;0,", "&amp;A280&amp;"-"&amp;Y$2,"")&amp;IF(N(Z280)&gt;0,", "&amp;A280&amp;"-"&amp;Z$2,"")&amp;IF(N(AA280)&gt;0,", "&amp;A280&amp;"-"&amp;AA$2,"")&amp;IF(N(AB280)&gt;0,", "&amp;A280&amp;"-"&amp;AB$2,"")&amp;IF(N(AC280)&gt;0,", "&amp;A280&amp;"-"&amp;AC$2,"")&amp;IF(N(AD280)&gt;0,", "&amp;A280&amp;"-"&amp;AD$2,"")&amp;IF(N(AE280)&gt;0,", "&amp;A280&amp;"-"&amp;AE$2,"")&amp;IF(N(AF280)&gt;0,", "&amp;A280&amp;"-"&amp;AF$2,"")&amp;IF(N(AG280)&gt;0,", "&amp;A280&amp;"-"&amp;AG$2,"")&amp;IF(N(AH280)&gt;0,", "&amp;A280&amp;"-"&amp;AH$2,"")&amp;IF(N(AI280)&gt;0,", "&amp;A280&amp;"-"&amp;AI$2,"")&amp;IF(N(AJ280)&gt;0,", "&amp;A280&amp;"-"&amp;AJ$2,""),3,999))</f>
        <v/>
      </c>
      <c r="AN280" s="81"/>
      <c r="AO280" s="88"/>
      <c r="AP280" s="89" t="str">
        <f aca="false">IF(AO280="","",ROUND(AO280/(1+Справочники!$B$13),2))</f>
        <v/>
      </c>
      <c r="AQ280" s="90" t="str">
        <f aca="false" t="array" ref="AQ280:AQ280">IF(AP280="","",AP280*INDEX(Справочники!$B$4:$B$7,MATCH("RUB",Справочники!$A$4:$A$7,0)))</f>
        <v/>
      </c>
      <c r="AR280" s="90" t="str">
        <f aca="false">IF(AQ280="","",ROUND(AQ280*(1+Справочники!$B$12),0))</f>
        <v/>
      </c>
      <c r="AS280" s="90" t="str">
        <f aca="false">IF(AR280="","",ROUND(AR280*(1-Справочники!$B$11),0))</f>
        <v/>
      </c>
      <c r="AT280" s="88"/>
      <c r="AU280" s="90" t="str">
        <f aca="false">IF(AT280="","",ROUND(AT280/(1+Справочники!$B$12),0))</f>
        <v/>
      </c>
      <c r="AV280" s="90" t="str">
        <f aca="false">IF(AT280="","",ROUND(AT280*(1-Справочники!$B$15),0))</f>
        <v/>
      </c>
      <c r="AW280" s="90" t="str">
        <f aca="false">IF(AT280="","",ROUND(AT280*(1-Справочники!$B$16),0))</f>
        <v/>
      </c>
      <c r="AX280" s="90" t="str">
        <f aca="false">IF(AT280="","",ROUND(AT280*(1-Справочники!$B$17),0))</f>
        <v/>
      </c>
      <c r="AY280" s="90" t="str">
        <f aca="false">IF(AT280="","",ROUND(AT280*(1-Справочники!$B$18),0))</f>
        <v/>
      </c>
      <c r="AZ280" s="90" t="str">
        <f aca="false">IF(AT280="","",ROUND(AT280*(1-Справочники!$B$19),0))</f>
        <v/>
      </c>
      <c r="BA280" s="81"/>
      <c r="BB280" s="81"/>
      <c r="BC280" s="81"/>
      <c r="BD280" s="81"/>
      <c r="BE280" s="91"/>
      <c r="BF280" s="81" t="s">
        <v>103</v>
      </c>
      <c r="BG280" s="89" t="n">
        <f aca="false" t="array" ref="BG280:BG280">IF(BF280="","",IFERROR(INDEX(Справочники!$B$4:$B$7,MATCH(BF280,Справочники!$A$4:$A$7,0)),""))</f>
        <v>68.5</v>
      </c>
      <c r="BH280" s="90" t="str">
        <f aca="false">IF(N(BN280)&gt;0,ROUND(SUMIF(ЗАКАЗЫ!$F$3:$F$500,$A280,ЗАКАЗЫ!$Y$3:$Y$500)/BN280,0),IF(OR(BE280="",BG280=""),"",ROUND(BE280*BG280*(1+Справочники!$B$10),0)))</f>
        <v/>
      </c>
      <c r="BI280" s="92" t="str">
        <f aca="false">IF(OR(AU280="",BH280="",AU280=0),"",(AU280-BH280)/AU280)</f>
        <v/>
      </c>
      <c r="BJ280" s="81"/>
      <c r="BK280" s="83"/>
      <c r="BL280" s="43" t="str">
        <f aca="false">IFERROR(INDEX(ЗАКАЗЫ!$N$3:$N$500,MATCH($A280,ЗАКАЗЫ!$F$3:$F$500,0)),"")</f>
        <v/>
      </c>
      <c r="BM280" s="8" t="str">
        <f aca="false">IF(BL280="","",IFERROR(VLOOKUP(BL280,'ТН ВЭД'!$A$4:$C$40,3,0),""))</f>
        <v/>
      </c>
      <c r="BN280" s="7" t="str">
        <f aca="false">IF(COUNTIF(ЗАКАЗЫ!$F$3:$F$500,$A280)=0,"",SUMIF(ЗАКАЗЫ!$F$3:$F$500,$A280,ЗАКАЗЫ!$J$3:$J$500))</f>
        <v/>
      </c>
      <c r="BO280" s="7" t="str">
        <f aca="false">IF(BN280="","",SUMIF(ЗАКАЗЫ!$F$3:$F$500,$A280,ЗАКАЗЫ!$AL$3:$AL$500))</f>
        <v/>
      </c>
      <c r="BP280" s="7" t="str">
        <f aca="false">IF(BN280="","",BN280-BO280)</f>
        <v/>
      </c>
      <c r="BQ280" s="55" t="str">
        <f aca="false">IF(BN280="","",IF(BO280&gt;=BN280,"На складе",IF(BO280&gt;0,"Частично","Ждём")))</f>
        <v/>
      </c>
      <c r="BR280" s="43"/>
      <c r="BS280" s="47" t="str">
        <f aca="false">IF(BN280="","",IF(_xlfn.MAXIFS(ЗАКАЗЫ!$AK$3:$AK$500,ЗАКАЗЫ!$F$3:$F$500,$A280)=0,"",_xlfn.MAXIFS(ЗАКАЗЫ!$AK$3:$AK$500,ЗАКАЗЫ!$F$3:$F$500,$A280)))</f>
        <v/>
      </c>
    </row>
    <row r="281" customFormat="false" ht="15.75" hidden="false" customHeight="true" outlineLevel="0" collapsed="false">
      <c r="A281" s="80" t="s">
        <v>1113</v>
      </c>
      <c r="B281" s="81"/>
      <c r="C281" s="81"/>
      <c r="D281" s="81"/>
      <c r="E281" s="83"/>
      <c r="F281" s="81"/>
      <c r="G281" s="83"/>
      <c r="H281" s="83"/>
      <c r="I281" s="84" t="str">
        <f aca="false">IF(E281="","",A281&amp;"_1.jpg")</f>
        <v/>
      </c>
      <c r="J281" s="84" t="str">
        <f aca="false">IF(E281="","",A281&amp;"_2.jpg; "&amp;A281&amp;"_3.jpg")</f>
        <v/>
      </c>
      <c r="K281" s="84" t="str">
        <f aca="false">IF(E281="","",A281&amp;"_schema.jpg")</f>
        <v/>
      </c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 t="s">
        <v>96</v>
      </c>
      <c r="W281" s="81"/>
      <c r="X281" s="81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6" t="str">
        <f aca="false">IF(SUM(Y281:AJ281)=0,"",SUM(Y281:AJ281))</f>
        <v/>
      </c>
      <c r="AL281" s="84" t="str">
        <f aca="false">MID(IF(N(Y281)&gt;0,", "&amp;Y$2,"")&amp;IF(N(Z281)&gt;0,", "&amp;Z$2,"")&amp;IF(N(AA281)&gt;0,", "&amp;AA$2,"")&amp;IF(N(AB281)&gt;0,", "&amp;AB$2,"")&amp;IF(N(AC281)&gt;0,", "&amp;AC$2,"")&amp;IF(N(AD281)&gt;0,", "&amp;AD$2,"")&amp;IF(N(AE281)&gt;0,", "&amp;AE$2,"")&amp;IF(N(AF281)&gt;0,", "&amp;AF$2,"")&amp;IF(N(AG281)&gt;0,", "&amp;AG$2,"")&amp;IF(N(AH281)&gt;0,", "&amp;AH$2,"")&amp;IF(N(AI281)&gt;0,", "&amp;AI$2,"")&amp;IF(N(AJ281)&gt;0,", "&amp;AJ$2,""),3,999)</f>
        <v/>
      </c>
      <c r="AM281" s="87" t="str">
        <f aca="false">IF(E281="","",MID(IF(N(Y281)&gt;0,", "&amp;A281&amp;"-"&amp;Y$2,"")&amp;IF(N(Z281)&gt;0,", "&amp;A281&amp;"-"&amp;Z$2,"")&amp;IF(N(AA281)&gt;0,", "&amp;A281&amp;"-"&amp;AA$2,"")&amp;IF(N(AB281)&gt;0,", "&amp;A281&amp;"-"&amp;AB$2,"")&amp;IF(N(AC281)&gt;0,", "&amp;A281&amp;"-"&amp;AC$2,"")&amp;IF(N(AD281)&gt;0,", "&amp;A281&amp;"-"&amp;AD$2,"")&amp;IF(N(AE281)&gt;0,", "&amp;A281&amp;"-"&amp;AE$2,"")&amp;IF(N(AF281)&gt;0,", "&amp;A281&amp;"-"&amp;AF$2,"")&amp;IF(N(AG281)&gt;0,", "&amp;A281&amp;"-"&amp;AG$2,"")&amp;IF(N(AH281)&gt;0,", "&amp;A281&amp;"-"&amp;AH$2,"")&amp;IF(N(AI281)&gt;0,", "&amp;A281&amp;"-"&amp;AI$2,"")&amp;IF(N(AJ281)&gt;0,", "&amp;A281&amp;"-"&amp;AJ$2,""),3,999))</f>
        <v/>
      </c>
      <c r="AN281" s="81"/>
      <c r="AO281" s="88"/>
      <c r="AP281" s="89" t="str">
        <f aca="false">IF(AO281="","",ROUND(AO281/(1+Справочники!$B$13),2))</f>
        <v/>
      </c>
      <c r="AQ281" s="90" t="str">
        <f aca="false" t="array" ref="AQ281:AQ281">IF(AP281="","",AP281*INDEX(Справочники!$B$4:$B$7,MATCH("RUB",Справочники!$A$4:$A$7,0)))</f>
        <v/>
      </c>
      <c r="AR281" s="90" t="str">
        <f aca="false">IF(AQ281="","",ROUND(AQ281*(1+Справочники!$B$12),0))</f>
        <v/>
      </c>
      <c r="AS281" s="90" t="str">
        <f aca="false">IF(AR281="","",ROUND(AR281*(1-Справочники!$B$11),0))</f>
        <v/>
      </c>
      <c r="AT281" s="88"/>
      <c r="AU281" s="90" t="str">
        <f aca="false">IF(AT281="","",ROUND(AT281/(1+Справочники!$B$12),0))</f>
        <v/>
      </c>
      <c r="AV281" s="90" t="str">
        <f aca="false">IF(AT281="","",ROUND(AT281*(1-Справочники!$B$15),0))</f>
        <v/>
      </c>
      <c r="AW281" s="90" t="str">
        <f aca="false">IF(AT281="","",ROUND(AT281*(1-Справочники!$B$16),0))</f>
        <v/>
      </c>
      <c r="AX281" s="90" t="str">
        <f aca="false">IF(AT281="","",ROUND(AT281*(1-Справочники!$B$17),0))</f>
        <v/>
      </c>
      <c r="AY281" s="90" t="str">
        <f aca="false">IF(AT281="","",ROUND(AT281*(1-Справочники!$B$18),0))</f>
        <v/>
      </c>
      <c r="AZ281" s="90" t="str">
        <f aca="false">IF(AT281="","",ROUND(AT281*(1-Справочники!$B$19),0))</f>
        <v/>
      </c>
      <c r="BA281" s="81"/>
      <c r="BB281" s="81"/>
      <c r="BC281" s="81"/>
      <c r="BD281" s="81"/>
      <c r="BE281" s="91"/>
      <c r="BF281" s="81" t="s">
        <v>103</v>
      </c>
      <c r="BG281" s="89" t="n">
        <f aca="false" t="array" ref="BG281:BG281">IF(BF281="","",IFERROR(INDEX(Справочники!$B$4:$B$7,MATCH(BF281,Справочники!$A$4:$A$7,0)),""))</f>
        <v>68.5</v>
      </c>
      <c r="BH281" s="90" t="str">
        <f aca="false">IF(N(BN281)&gt;0,ROUND(SUMIF(ЗАКАЗЫ!$F$3:$F$500,$A281,ЗАКАЗЫ!$Y$3:$Y$500)/BN281,0),IF(OR(BE281="",BG281=""),"",ROUND(BE281*BG281*(1+Справочники!$B$10),0)))</f>
        <v/>
      </c>
      <c r="BI281" s="92" t="str">
        <f aca="false">IF(OR(AU281="",BH281="",AU281=0),"",(AU281-BH281)/AU281)</f>
        <v/>
      </c>
      <c r="BJ281" s="81"/>
      <c r="BK281" s="83"/>
      <c r="BL281" s="43" t="str">
        <f aca="false">IFERROR(INDEX(ЗАКАЗЫ!$N$3:$N$500,MATCH($A281,ЗАКАЗЫ!$F$3:$F$500,0)),"")</f>
        <v/>
      </c>
      <c r="BM281" s="8" t="str">
        <f aca="false">IF(BL281="","",IFERROR(VLOOKUP(BL281,'ТН ВЭД'!$A$4:$C$40,3,0),""))</f>
        <v/>
      </c>
      <c r="BN281" s="7" t="str">
        <f aca="false">IF(COUNTIF(ЗАКАЗЫ!$F$3:$F$500,$A281)=0,"",SUMIF(ЗАКАЗЫ!$F$3:$F$500,$A281,ЗАКАЗЫ!$J$3:$J$500))</f>
        <v/>
      </c>
      <c r="BO281" s="7" t="str">
        <f aca="false">IF(BN281="","",SUMIF(ЗАКАЗЫ!$F$3:$F$500,$A281,ЗАКАЗЫ!$AL$3:$AL$500))</f>
        <v/>
      </c>
      <c r="BP281" s="7" t="str">
        <f aca="false">IF(BN281="","",BN281-BO281)</f>
        <v/>
      </c>
      <c r="BQ281" s="55" t="str">
        <f aca="false">IF(BN281="","",IF(BO281&gt;=BN281,"На складе",IF(BO281&gt;0,"Частично","Ждём")))</f>
        <v/>
      </c>
      <c r="BR281" s="43"/>
      <c r="BS281" s="47" t="str">
        <f aca="false">IF(BN281="","",IF(_xlfn.MAXIFS(ЗАКАЗЫ!$AK$3:$AK$500,ЗАКАЗЫ!$F$3:$F$500,$A281)=0,"",_xlfn.MAXIFS(ЗАКАЗЫ!$AK$3:$AK$500,ЗАКАЗЫ!$F$3:$F$500,$A281)))</f>
        <v/>
      </c>
    </row>
    <row r="282" customFormat="false" ht="15.75" hidden="false" customHeight="true" outlineLevel="0" collapsed="false">
      <c r="A282" s="80" t="s">
        <v>1114</v>
      </c>
      <c r="B282" s="81"/>
      <c r="C282" s="81"/>
      <c r="D282" s="81"/>
      <c r="E282" s="83"/>
      <c r="F282" s="81"/>
      <c r="G282" s="83"/>
      <c r="H282" s="83"/>
      <c r="I282" s="84" t="str">
        <f aca="false">IF(E282="","",A282&amp;"_1.jpg")</f>
        <v/>
      </c>
      <c r="J282" s="84" t="str">
        <f aca="false">IF(E282="","",A282&amp;"_2.jpg; "&amp;A282&amp;"_3.jpg")</f>
        <v/>
      </c>
      <c r="K282" s="84" t="str">
        <f aca="false">IF(E282="","",A282&amp;"_schema.jpg")</f>
        <v/>
      </c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 t="s">
        <v>96</v>
      </c>
      <c r="W282" s="81"/>
      <c r="X282" s="81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6" t="str">
        <f aca="false">IF(SUM(Y282:AJ282)=0,"",SUM(Y282:AJ282))</f>
        <v/>
      </c>
      <c r="AL282" s="84" t="str">
        <f aca="false">MID(IF(N(Y282)&gt;0,", "&amp;Y$2,"")&amp;IF(N(Z282)&gt;0,", "&amp;Z$2,"")&amp;IF(N(AA282)&gt;0,", "&amp;AA$2,"")&amp;IF(N(AB282)&gt;0,", "&amp;AB$2,"")&amp;IF(N(AC282)&gt;0,", "&amp;AC$2,"")&amp;IF(N(AD282)&gt;0,", "&amp;AD$2,"")&amp;IF(N(AE282)&gt;0,", "&amp;AE$2,"")&amp;IF(N(AF282)&gt;0,", "&amp;AF$2,"")&amp;IF(N(AG282)&gt;0,", "&amp;AG$2,"")&amp;IF(N(AH282)&gt;0,", "&amp;AH$2,"")&amp;IF(N(AI282)&gt;0,", "&amp;AI$2,"")&amp;IF(N(AJ282)&gt;0,", "&amp;AJ$2,""),3,999)</f>
        <v/>
      </c>
      <c r="AM282" s="87" t="str">
        <f aca="false">IF(E282="","",MID(IF(N(Y282)&gt;0,", "&amp;A282&amp;"-"&amp;Y$2,"")&amp;IF(N(Z282)&gt;0,", "&amp;A282&amp;"-"&amp;Z$2,"")&amp;IF(N(AA282)&gt;0,", "&amp;A282&amp;"-"&amp;AA$2,"")&amp;IF(N(AB282)&gt;0,", "&amp;A282&amp;"-"&amp;AB$2,"")&amp;IF(N(AC282)&gt;0,", "&amp;A282&amp;"-"&amp;AC$2,"")&amp;IF(N(AD282)&gt;0,", "&amp;A282&amp;"-"&amp;AD$2,"")&amp;IF(N(AE282)&gt;0,", "&amp;A282&amp;"-"&amp;AE$2,"")&amp;IF(N(AF282)&gt;0,", "&amp;A282&amp;"-"&amp;AF$2,"")&amp;IF(N(AG282)&gt;0,", "&amp;A282&amp;"-"&amp;AG$2,"")&amp;IF(N(AH282)&gt;0,", "&amp;A282&amp;"-"&amp;AH$2,"")&amp;IF(N(AI282)&gt;0,", "&amp;A282&amp;"-"&amp;AI$2,"")&amp;IF(N(AJ282)&gt;0,", "&amp;A282&amp;"-"&amp;AJ$2,""),3,999))</f>
        <v/>
      </c>
      <c r="AN282" s="81"/>
      <c r="AO282" s="88"/>
      <c r="AP282" s="89" t="str">
        <f aca="false">IF(AO282="","",ROUND(AO282/(1+Справочники!$B$13),2))</f>
        <v/>
      </c>
      <c r="AQ282" s="90" t="str">
        <f aca="false" t="array" ref="AQ282:AQ282">IF(AP282="","",AP282*INDEX(Справочники!$B$4:$B$7,MATCH("RUB",Справочники!$A$4:$A$7,0)))</f>
        <v/>
      </c>
      <c r="AR282" s="90" t="str">
        <f aca="false">IF(AQ282="","",ROUND(AQ282*(1+Справочники!$B$12),0))</f>
        <v/>
      </c>
      <c r="AS282" s="90" t="str">
        <f aca="false">IF(AR282="","",ROUND(AR282*(1-Справочники!$B$11),0))</f>
        <v/>
      </c>
      <c r="AT282" s="88"/>
      <c r="AU282" s="90" t="str">
        <f aca="false">IF(AT282="","",ROUND(AT282/(1+Справочники!$B$12),0))</f>
        <v/>
      </c>
      <c r="AV282" s="90" t="str">
        <f aca="false">IF(AT282="","",ROUND(AT282*(1-Справочники!$B$15),0))</f>
        <v/>
      </c>
      <c r="AW282" s="90" t="str">
        <f aca="false">IF(AT282="","",ROUND(AT282*(1-Справочники!$B$16),0))</f>
        <v/>
      </c>
      <c r="AX282" s="90" t="str">
        <f aca="false">IF(AT282="","",ROUND(AT282*(1-Справочники!$B$17),0))</f>
        <v/>
      </c>
      <c r="AY282" s="90" t="str">
        <f aca="false">IF(AT282="","",ROUND(AT282*(1-Справочники!$B$18),0))</f>
        <v/>
      </c>
      <c r="AZ282" s="90" t="str">
        <f aca="false">IF(AT282="","",ROUND(AT282*(1-Справочники!$B$19),0))</f>
        <v/>
      </c>
      <c r="BA282" s="81"/>
      <c r="BB282" s="81"/>
      <c r="BC282" s="81"/>
      <c r="BD282" s="81"/>
      <c r="BE282" s="91"/>
      <c r="BF282" s="81" t="s">
        <v>103</v>
      </c>
      <c r="BG282" s="89" t="n">
        <f aca="false" t="array" ref="BG282:BG282">IF(BF282="","",IFERROR(INDEX(Справочники!$B$4:$B$7,MATCH(BF282,Справочники!$A$4:$A$7,0)),""))</f>
        <v>68.5</v>
      </c>
      <c r="BH282" s="90" t="str">
        <f aca="false">IF(N(BN282)&gt;0,ROUND(SUMIF(ЗАКАЗЫ!$F$3:$F$500,$A282,ЗАКАЗЫ!$Y$3:$Y$500)/BN282,0),IF(OR(BE282="",BG282=""),"",ROUND(BE282*BG282*(1+Справочники!$B$10),0)))</f>
        <v/>
      </c>
      <c r="BI282" s="92" t="str">
        <f aca="false">IF(OR(AU282="",BH282="",AU282=0),"",(AU282-BH282)/AU282)</f>
        <v/>
      </c>
      <c r="BJ282" s="81"/>
      <c r="BK282" s="83"/>
      <c r="BL282" s="43" t="str">
        <f aca="false">IFERROR(INDEX(ЗАКАЗЫ!$N$3:$N$500,MATCH($A282,ЗАКАЗЫ!$F$3:$F$500,0)),"")</f>
        <v/>
      </c>
      <c r="BM282" s="8" t="str">
        <f aca="false">IF(BL282="","",IFERROR(VLOOKUP(BL282,'ТН ВЭД'!$A$4:$C$40,3,0),""))</f>
        <v/>
      </c>
      <c r="BN282" s="7" t="str">
        <f aca="false">IF(COUNTIF(ЗАКАЗЫ!$F$3:$F$500,$A282)=0,"",SUMIF(ЗАКАЗЫ!$F$3:$F$500,$A282,ЗАКАЗЫ!$J$3:$J$500))</f>
        <v/>
      </c>
      <c r="BO282" s="7" t="str">
        <f aca="false">IF(BN282="","",SUMIF(ЗАКАЗЫ!$F$3:$F$500,$A282,ЗАКАЗЫ!$AL$3:$AL$500))</f>
        <v/>
      </c>
      <c r="BP282" s="7" t="str">
        <f aca="false">IF(BN282="","",BN282-BO282)</f>
        <v/>
      </c>
      <c r="BQ282" s="55" t="str">
        <f aca="false">IF(BN282="","",IF(BO282&gt;=BN282,"На складе",IF(BO282&gt;0,"Частично","Ждём")))</f>
        <v/>
      </c>
      <c r="BR282" s="43"/>
      <c r="BS282" s="47" t="str">
        <f aca="false">IF(BN282="","",IF(_xlfn.MAXIFS(ЗАКАЗЫ!$AK$3:$AK$500,ЗАКАЗЫ!$F$3:$F$500,$A282)=0,"",_xlfn.MAXIFS(ЗАКАЗЫ!$AK$3:$AK$500,ЗАКАЗЫ!$F$3:$F$500,$A282)))</f>
        <v/>
      </c>
    </row>
    <row r="283" customFormat="false" ht="15.75" hidden="false" customHeight="true" outlineLevel="0" collapsed="false">
      <c r="A283" s="80" t="s">
        <v>1115</v>
      </c>
      <c r="B283" s="81"/>
      <c r="C283" s="81"/>
      <c r="D283" s="81"/>
      <c r="E283" s="83"/>
      <c r="F283" s="81"/>
      <c r="G283" s="83"/>
      <c r="H283" s="83"/>
      <c r="I283" s="84" t="str">
        <f aca="false">IF(E283="","",A283&amp;"_1.jpg")</f>
        <v/>
      </c>
      <c r="J283" s="84" t="str">
        <f aca="false">IF(E283="","",A283&amp;"_2.jpg; "&amp;A283&amp;"_3.jpg")</f>
        <v/>
      </c>
      <c r="K283" s="84" t="str">
        <f aca="false">IF(E283="","",A283&amp;"_schema.jpg")</f>
        <v/>
      </c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 t="s">
        <v>96</v>
      </c>
      <c r="W283" s="81"/>
      <c r="X283" s="81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6" t="str">
        <f aca="false">IF(SUM(Y283:AJ283)=0,"",SUM(Y283:AJ283))</f>
        <v/>
      </c>
      <c r="AL283" s="84" t="str">
        <f aca="false">MID(IF(N(Y283)&gt;0,", "&amp;Y$2,"")&amp;IF(N(Z283)&gt;0,", "&amp;Z$2,"")&amp;IF(N(AA283)&gt;0,", "&amp;AA$2,"")&amp;IF(N(AB283)&gt;0,", "&amp;AB$2,"")&amp;IF(N(AC283)&gt;0,", "&amp;AC$2,"")&amp;IF(N(AD283)&gt;0,", "&amp;AD$2,"")&amp;IF(N(AE283)&gt;0,", "&amp;AE$2,"")&amp;IF(N(AF283)&gt;0,", "&amp;AF$2,"")&amp;IF(N(AG283)&gt;0,", "&amp;AG$2,"")&amp;IF(N(AH283)&gt;0,", "&amp;AH$2,"")&amp;IF(N(AI283)&gt;0,", "&amp;AI$2,"")&amp;IF(N(AJ283)&gt;0,", "&amp;AJ$2,""),3,999)</f>
        <v/>
      </c>
      <c r="AM283" s="87" t="str">
        <f aca="false">IF(E283="","",MID(IF(N(Y283)&gt;0,", "&amp;A283&amp;"-"&amp;Y$2,"")&amp;IF(N(Z283)&gt;0,", "&amp;A283&amp;"-"&amp;Z$2,"")&amp;IF(N(AA283)&gt;0,", "&amp;A283&amp;"-"&amp;AA$2,"")&amp;IF(N(AB283)&gt;0,", "&amp;A283&amp;"-"&amp;AB$2,"")&amp;IF(N(AC283)&gt;0,", "&amp;A283&amp;"-"&amp;AC$2,"")&amp;IF(N(AD283)&gt;0,", "&amp;A283&amp;"-"&amp;AD$2,"")&amp;IF(N(AE283)&gt;0,", "&amp;A283&amp;"-"&amp;AE$2,"")&amp;IF(N(AF283)&gt;0,", "&amp;A283&amp;"-"&amp;AF$2,"")&amp;IF(N(AG283)&gt;0,", "&amp;A283&amp;"-"&amp;AG$2,"")&amp;IF(N(AH283)&gt;0,", "&amp;A283&amp;"-"&amp;AH$2,"")&amp;IF(N(AI283)&gt;0,", "&amp;A283&amp;"-"&amp;AI$2,"")&amp;IF(N(AJ283)&gt;0,", "&amp;A283&amp;"-"&amp;AJ$2,""),3,999))</f>
        <v/>
      </c>
      <c r="AN283" s="81"/>
      <c r="AO283" s="88"/>
      <c r="AP283" s="89" t="str">
        <f aca="false">IF(AO283="","",ROUND(AO283/(1+Справочники!$B$13),2))</f>
        <v/>
      </c>
      <c r="AQ283" s="90" t="str">
        <f aca="false" t="array" ref="AQ283:AQ283">IF(AP283="","",AP283*INDEX(Справочники!$B$4:$B$7,MATCH("RUB",Справочники!$A$4:$A$7,0)))</f>
        <v/>
      </c>
      <c r="AR283" s="90" t="str">
        <f aca="false">IF(AQ283="","",ROUND(AQ283*(1+Справочники!$B$12),0))</f>
        <v/>
      </c>
      <c r="AS283" s="90" t="str">
        <f aca="false">IF(AR283="","",ROUND(AR283*(1-Справочники!$B$11),0))</f>
        <v/>
      </c>
      <c r="AT283" s="88"/>
      <c r="AU283" s="90" t="str">
        <f aca="false">IF(AT283="","",ROUND(AT283/(1+Справочники!$B$12),0))</f>
        <v/>
      </c>
      <c r="AV283" s="90" t="str">
        <f aca="false">IF(AT283="","",ROUND(AT283*(1-Справочники!$B$15),0))</f>
        <v/>
      </c>
      <c r="AW283" s="90" t="str">
        <f aca="false">IF(AT283="","",ROUND(AT283*(1-Справочники!$B$16),0))</f>
        <v/>
      </c>
      <c r="AX283" s="90" t="str">
        <f aca="false">IF(AT283="","",ROUND(AT283*(1-Справочники!$B$17),0))</f>
        <v/>
      </c>
      <c r="AY283" s="90" t="str">
        <f aca="false">IF(AT283="","",ROUND(AT283*(1-Справочники!$B$18),0))</f>
        <v/>
      </c>
      <c r="AZ283" s="90" t="str">
        <f aca="false">IF(AT283="","",ROUND(AT283*(1-Справочники!$B$19),0))</f>
        <v/>
      </c>
      <c r="BA283" s="81"/>
      <c r="BB283" s="81"/>
      <c r="BC283" s="81"/>
      <c r="BD283" s="81"/>
      <c r="BE283" s="91"/>
      <c r="BF283" s="81" t="s">
        <v>103</v>
      </c>
      <c r="BG283" s="89" t="n">
        <f aca="false" t="array" ref="BG283:BG283">IF(BF283="","",IFERROR(INDEX(Справочники!$B$4:$B$7,MATCH(BF283,Справочники!$A$4:$A$7,0)),""))</f>
        <v>68.5</v>
      </c>
      <c r="BH283" s="90" t="str">
        <f aca="false">IF(N(BN283)&gt;0,ROUND(SUMIF(ЗАКАЗЫ!$F$3:$F$500,$A283,ЗАКАЗЫ!$Y$3:$Y$500)/BN283,0),IF(OR(BE283="",BG283=""),"",ROUND(BE283*BG283*(1+Справочники!$B$10),0)))</f>
        <v/>
      </c>
      <c r="BI283" s="92" t="str">
        <f aca="false">IF(OR(AU283="",BH283="",AU283=0),"",(AU283-BH283)/AU283)</f>
        <v/>
      </c>
      <c r="BJ283" s="81"/>
      <c r="BK283" s="83"/>
      <c r="BL283" s="43" t="str">
        <f aca="false">IFERROR(INDEX(ЗАКАЗЫ!$N$3:$N$500,MATCH($A283,ЗАКАЗЫ!$F$3:$F$500,0)),"")</f>
        <v/>
      </c>
      <c r="BM283" s="8" t="str">
        <f aca="false">IF(BL283="","",IFERROR(VLOOKUP(BL283,'ТН ВЭД'!$A$4:$C$40,3,0),""))</f>
        <v/>
      </c>
      <c r="BN283" s="7" t="str">
        <f aca="false">IF(COUNTIF(ЗАКАЗЫ!$F$3:$F$500,$A283)=0,"",SUMIF(ЗАКАЗЫ!$F$3:$F$500,$A283,ЗАКАЗЫ!$J$3:$J$500))</f>
        <v/>
      </c>
      <c r="BO283" s="7" t="str">
        <f aca="false">IF(BN283="","",SUMIF(ЗАКАЗЫ!$F$3:$F$500,$A283,ЗАКАЗЫ!$AL$3:$AL$500))</f>
        <v/>
      </c>
      <c r="BP283" s="7" t="str">
        <f aca="false">IF(BN283="","",BN283-BO283)</f>
        <v/>
      </c>
      <c r="BQ283" s="55" t="str">
        <f aca="false">IF(BN283="","",IF(BO283&gt;=BN283,"На складе",IF(BO283&gt;0,"Частично","Ждём")))</f>
        <v/>
      </c>
      <c r="BR283" s="43"/>
      <c r="BS283" s="47" t="str">
        <f aca="false">IF(BN283="","",IF(_xlfn.MAXIFS(ЗАКАЗЫ!$AK$3:$AK$500,ЗАКАЗЫ!$F$3:$F$500,$A283)=0,"",_xlfn.MAXIFS(ЗАКАЗЫ!$AK$3:$AK$500,ЗАКАЗЫ!$F$3:$F$500,$A283)))</f>
        <v/>
      </c>
    </row>
    <row r="284" customFormat="false" ht="15.75" hidden="false" customHeight="true" outlineLevel="0" collapsed="false">
      <c r="A284" s="80" t="s">
        <v>1116</v>
      </c>
      <c r="B284" s="81"/>
      <c r="C284" s="81"/>
      <c r="D284" s="81"/>
      <c r="E284" s="83"/>
      <c r="F284" s="81"/>
      <c r="G284" s="83"/>
      <c r="H284" s="83"/>
      <c r="I284" s="84" t="str">
        <f aca="false">IF(E284="","",A284&amp;"_1.jpg")</f>
        <v/>
      </c>
      <c r="J284" s="84" t="str">
        <f aca="false">IF(E284="","",A284&amp;"_2.jpg; "&amp;A284&amp;"_3.jpg")</f>
        <v/>
      </c>
      <c r="K284" s="84" t="str">
        <f aca="false">IF(E284="","",A284&amp;"_schema.jpg")</f>
        <v/>
      </c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 t="s">
        <v>96</v>
      </c>
      <c r="W284" s="81"/>
      <c r="X284" s="81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6" t="str">
        <f aca="false">IF(SUM(Y284:AJ284)=0,"",SUM(Y284:AJ284))</f>
        <v/>
      </c>
      <c r="AL284" s="84" t="str">
        <f aca="false">MID(IF(N(Y284)&gt;0,", "&amp;Y$2,"")&amp;IF(N(Z284)&gt;0,", "&amp;Z$2,"")&amp;IF(N(AA284)&gt;0,", "&amp;AA$2,"")&amp;IF(N(AB284)&gt;0,", "&amp;AB$2,"")&amp;IF(N(AC284)&gt;0,", "&amp;AC$2,"")&amp;IF(N(AD284)&gt;0,", "&amp;AD$2,"")&amp;IF(N(AE284)&gt;0,", "&amp;AE$2,"")&amp;IF(N(AF284)&gt;0,", "&amp;AF$2,"")&amp;IF(N(AG284)&gt;0,", "&amp;AG$2,"")&amp;IF(N(AH284)&gt;0,", "&amp;AH$2,"")&amp;IF(N(AI284)&gt;0,", "&amp;AI$2,"")&amp;IF(N(AJ284)&gt;0,", "&amp;AJ$2,""),3,999)</f>
        <v/>
      </c>
      <c r="AM284" s="87" t="str">
        <f aca="false">IF(E284="","",MID(IF(N(Y284)&gt;0,", "&amp;A284&amp;"-"&amp;Y$2,"")&amp;IF(N(Z284)&gt;0,", "&amp;A284&amp;"-"&amp;Z$2,"")&amp;IF(N(AA284)&gt;0,", "&amp;A284&amp;"-"&amp;AA$2,"")&amp;IF(N(AB284)&gt;0,", "&amp;A284&amp;"-"&amp;AB$2,"")&amp;IF(N(AC284)&gt;0,", "&amp;A284&amp;"-"&amp;AC$2,"")&amp;IF(N(AD284)&gt;0,", "&amp;A284&amp;"-"&amp;AD$2,"")&amp;IF(N(AE284)&gt;0,", "&amp;A284&amp;"-"&amp;AE$2,"")&amp;IF(N(AF284)&gt;0,", "&amp;A284&amp;"-"&amp;AF$2,"")&amp;IF(N(AG284)&gt;0,", "&amp;A284&amp;"-"&amp;AG$2,"")&amp;IF(N(AH284)&gt;0,", "&amp;A284&amp;"-"&amp;AH$2,"")&amp;IF(N(AI284)&gt;0,", "&amp;A284&amp;"-"&amp;AI$2,"")&amp;IF(N(AJ284)&gt;0,", "&amp;A284&amp;"-"&amp;AJ$2,""),3,999))</f>
        <v/>
      </c>
      <c r="AN284" s="81"/>
      <c r="AO284" s="88"/>
      <c r="AP284" s="89" t="str">
        <f aca="false">IF(AO284="","",ROUND(AO284/(1+Справочники!$B$13),2))</f>
        <v/>
      </c>
      <c r="AQ284" s="90" t="str">
        <f aca="false" t="array" ref="AQ284:AQ284">IF(AP284="","",AP284*INDEX(Справочники!$B$4:$B$7,MATCH("RUB",Справочники!$A$4:$A$7,0)))</f>
        <v/>
      </c>
      <c r="AR284" s="90" t="str">
        <f aca="false">IF(AQ284="","",ROUND(AQ284*(1+Справочники!$B$12),0))</f>
        <v/>
      </c>
      <c r="AS284" s="90" t="str">
        <f aca="false">IF(AR284="","",ROUND(AR284*(1-Справочники!$B$11),0))</f>
        <v/>
      </c>
      <c r="AT284" s="88"/>
      <c r="AU284" s="90" t="str">
        <f aca="false">IF(AT284="","",ROUND(AT284/(1+Справочники!$B$12),0))</f>
        <v/>
      </c>
      <c r="AV284" s="90" t="str">
        <f aca="false">IF(AT284="","",ROUND(AT284*(1-Справочники!$B$15),0))</f>
        <v/>
      </c>
      <c r="AW284" s="90" t="str">
        <f aca="false">IF(AT284="","",ROUND(AT284*(1-Справочники!$B$16),0))</f>
        <v/>
      </c>
      <c r="AX284" s="90" t="str">
        <f aca="false">IF(AT284="","",ROUND(AT284*(1-Справочники!$B$17),0))</f>
        <v/>
      </c>
      <c r="AY284" s="90" t="str">
        <f aca="false">IF(AT284="","",ROUND(AT284*(1-Справочники!$B$18),0))</f>
        <v/>
      </c>
      <c r="AZ284" s="90" t="str">
        <f aca="false">IF(AT284="","",ROUND(AT284*(1-Справочники!$B$19),0))</f>
        <v/>
      </c>
      <c r="BA284" s="81"/>
      <c r="BB284" s="81"/>
      <c r="BC284" s="81"/>
      <c r="BD284" s="81"/>
      <c r="BE284" s="91"/>
      <c r="BF284" s="81" t="s">
        <v>103</v>
      </c>
      <c r="BG284" s="89" t="n">
        <f aca="false" t="array" ref="BG284:BG284">IF(BF284="","",IFERROR(INDEX(Справочники!$B$4:$B$7,MATCH(BF284,Справочники!$A$4:$A$7,0)),""))</f>
        <v>68.5</v>
      </c>
      <c r="BH284" s="90" t="str">
        <f aca="false">IF(N(BN284)&gt;0,ROUND(SUMIF(ЗАКАЗЫ!$F$3:$F$500,$A284,ЗАКАЗЫ!$Y$3:$Y$500)/BN284,0),IF(OR(BE284="",BG284=""),"",ROUND(BE284*BG284*(1+Справочники!$B$10),0)))</f>
        <v/>
      </c>
      <c r="BI284" s="92" t="str">
        <f aca="false">IF(OR(AU284="",BH284="",AU284=0),"",(AU284-BH284)/AU284)</f>
        <v/>
      </c>
      <c r="BJ284" s="81"/>
      <c r="BK284" s="83"/>
      <c r="BL284" s="43" t="str">
        <f aca="false">IFERROR(INDEX(ЗАКАЗЫ!$N$3:$N$500,MATCH($A284,ЗАКАЗЫ!$F$3:$F$500,0)),"")</f>
        <v/>
      </c>
      <c r="BM284" s="8" t="str">
        <f aca="false">IF(BL284="","",IFERROR(VLOOKUP(BL284,'ТН ВЭД'!$A$4:$C$40,3,0),""))</f>
        <v/>
      </c>
      <c r="BN284" s="7" t="str">
        <f aca="false">IF(COUNTIF(ЗАКАЗЫ!$F$3:$F$500,$A284)=0,"",SUMIF(ЗАКАЗЫ!$F$3:$F$500,$A284,ЗАКАЗЫ!$J$3:$J$500))</f>
        <v/>
      </c>
      <c r="BO284" s="7" t="str">
        <f aca="false">IF(BN284="","",SUMIF(ЗАКАЗЫ!$F$3:$F$500,$A284,ЗАКАЗЫ!$AL$3:$AL$500))</f>
        <v/>
      </c>
      <c r="BP284" s="7" t="str">
        <f aca="false">IF(BN284="","",BN284-BO284)</f>
        <v/>
      </c>
      <c r="BQ284" s="55" t="str">
        <f aca="false">IF(BN284="","",IF(BO284&gt;=BN284,"На складе",IF(BO284&gt;0,"Частично","Ждём")))</f>
        <v/>
      </c>
      <c r="BR284" s="43"/>
      <c r="BS284" s="47" t="str">
        <f aca="false">IF(BN284="","",IF(_xlfn.MAXIFS(ЗАКАЗЫ!$AK$3:$AK$500,ЗАКАЗЫ!$F$3:$F$500,$A284)=0,"",_xlfn.MAXIFS(ЗАКАЗЫ!$AK$3:$AK$500,ЗАКАЗЫ!$F$3:$F$500,$A284)))</f>
        <v/>
      </c>
    </row>
    <row r="285" customFormat="false" ht="15.75" hidden="false" customHeight="true" outlineLevel="0" collapsed="false">
      <c r="A285" s="80" t="s">
        <v>1117</v>
      </c>
      <c r="B285" s="81"/>
      <c r="C285" s="81"/>
      <c r="D285" s="81"/>
      <c r="E285" s="83"/>
      <c r="F285" s="81"/>
      <c r="G285" s="83"/>
      <c r="H285" s="83"/>
      <c r="I285" s="84" t="str">
        <f aca="false">IF(E285="","",A285&amp;"_1.jpg")</f>
        <v/>
      </c>
      <c r="J285" s="84" t="str">
        <f aca="false">IF(E285="","",A285&amp;"_2.jpg; "&amp;A285&amp;"_3.jpg")</f>
        <v/>
      </c>
      <c r="K285" s="84" t="str">
        <f aca="false">IF(E285="","",A285&amp;"_schema.jpg")</f>
        <v/>
      </c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 t="s">
        <v>96</v>
      </c>
      <c r="W285" s="81"/>
      <c r="X285" s="81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6" t="str">
        <f aca="false">IF(SUM(Y285:AJ285)=0,"",SUM(Y285:AJ285))</f>
        <v/>
      </c>
      <c r="AL285" s="84" t="str">
        <f aca="false">MID(IF(N(Y285)&gt;0,", "&amp;Y$2,"")&amp;IF(N(Z285)&gt;0,", "&amp;Z$2,"")&amp;IF(N(AA285)&gt;0,", "&amp;AA$2,"")&amp;IF(N(AB285)&gt;0,", "&amp;AB$2,"")&amp;IF(N(AC285)&gt;0,", "&amp;AC$2,"")&amp;IF(N(AD285)&gt;0,", "&amp;AD$2,"")&amp;IF(N(AE285)&gt;0,", "&amp;AE$2,"")&amp;IF(N(AF285)&gt;0,", "&amp;AF$2,"")&amp;IF(N(AG285)&gt;0,", "&amp;AG$2,"")&amp;IF(N(AH285)&gt;0,", "&amp;AH$2,"")&amp;IF(N(AI285)&gt;0,", "&amp;AI$2,"")&amp;IF(N(AJ285)&gt;0,", "&amp;AJ$2,""),3,999)</f>
        <v/>
      </c>
      <c r="AM285" s="87" t="str">
        <f aca="false">IF(E285="","",MID(IF(N(Y285)&gt;0,", "&amp;A285&amp;"-"&amp;Y$2,"")&amp;IF(N(Z285)&gt;0,", "&amp;A285&amp;"-"&amp;Z$2,"")&amp;IF(N(AA285)&gt;0,", "&amp;A285&amp;"-"&amp;AA$2,"")&amp;IF(N(AB285)&gt;0,", "&amp;A285&amp;"-"&amp;AB$2,"")&amp;IF(N(AC285)&gt;0,", "&amp;A285&amp;"-"&amp;AC$2,"")&amp;IF(N(AD285)&gt;0,", "&amp;A285&amp;"-"&amp;AD$2,"")&amp;IF(N(AE285)&gt;0,", "&amp;A285&amp;"-"&amp;AE$2,"")&amp;IF(N(AF285)&gt;0,", "&amp;A285&amp;"-"&amp;AF$2,"")&amp;IF(N(AG285)&gt;0,", "&amp;A285&amp;"-"&amp;AG$2,"")&amp;IF(N(AH285)&gt;0,", "&amp;A285&amp;"-"&amp;AH$2,"")&amp;IF(N(AI285)&gt;0,", "&amp;A285&amp;"-"&amp;AI$2,"")&amp;IF(N(AJ285)&gt;0,", "&amp;A285&amp;"-"&amp;AJ$2,""),3,999))</f>
        <v/>
      </c>
      <c r="AN285" s="81"/>
      <c r="AO285" s="88"/>
      <c r="AP285" s="89" t="str">
        <f aca="false">IF(AO285="","",ROUND(AO285/(1+Справочники!$B$13),2))</f>
        <v/>
      </c>
      <c r="AQ285" s="90" t="str">
        <f aca="false" t="array" ref="AQ285:AQ285">IF(AP285="","",AP285*INDEX(Справочники!$B$4:$B$7,MATCH("RUB",Справочники!$A$4:$A$7,0)))</f>
        <v/>
      </c>
      <c r="AR285" s="90" t="str">
        <f aca="false">IF(AQ285="","",ROUND(AQ285*(1+Справочники!$B$12),0))</f>
        <v/>
      </c>
      <c r="AS285" s="90" t="str">
        <f aca="false">IF(AR285="","",ROUND(AR285*(1-Справочники!$B$11),0))</f>
        <v/>
      </c>
      <c r="AT285" s="88"/>
      <c r="AU285" s="90" t="str">
        <f aca="false">IF(AT285="","",ROUND(AT285/(1+Справочники!$B$12),0))</f>
        <v/>
      </c>
      <c r="AV285" s="90" t="str">
        <f aca="false">IF(AT285="","",ROUND(AT285*(1-Справочники!$B$15),0))</f>
        <v/>
      </c>
      <c r="AW285" s="90" t="str">
        <f aca="false">IF(AT285="","",ROUND(AT285*(1-Справочники!$B$16),0))</f>
        <v/>
      </c>
      <c r="AX285" s="90" t="str">
        <f aca="false">IF(AT285="","",ROUND(AT285*(1-Справочники!$B$17),0))</f>
        <v/>
      </c>
      <c r="AY285" s="90" t="str">
        <f aca="false">IF(AT285="","",ROUND(AT285*(1-Справочники!$B$18),0))</f>
        <v/>
      </c>
      <c r="AZ285" s="90" t="str">
        <f aca="false">IF(AT285="","",ROUND(AT285*(1-Справочники!$B$19),0))</f>
        <v/>
      </c>
      <c r="BA285" s="81"/>
      <c r="BB285" s="81"/>
      <c r="BC285" s="81"/>
      <c r="BD285" s="81"/>
      <c r="BE285" s="91"/>
      <c r="BF285" s="81" t="s">
        <v>103</v>
      </c>
      <c r="BG285" s="89" t="n">
        <f aca="false" t="array" ref="BG285:BG285">IF(BF285="","",IFERROR(INDEX(Справочники!$B$4:$B$7,MATCH(BF285,Справочники!$A$4:$A$7,0)),""))</f>
        <v>68.5</v>
      </c>
      <c r="BH285" s="90" t="str">
        <f aca="false">IF(N(BN285)&gt;0,ROUND(SUMIF(ЗАКАЗЫ!$F$3:$F$500,$A285,ЗАКАЗЫ!$Y$3:$Y$500)/BN285,0),IF(OR(BE285="",BG285=""),"",ROUND(BE285*BG285*(1+Справочники!$B$10),0)))</f>
        <v/>
      </c>
      <c r="BI285" s="92" t="str">
        <f aca="false">IF(OR(AU285="",BH285="",AU285=0),"",(AU285-BH285)/AU285)</f>
        <v/>
      </c>
      <c r="BJ285" s="81"/>
      <c r="BK285" s="83"/>
      <c r="BL285" s="43" t="str">
        <f aca="false">IFERROR(INDEX(ЗАКАЗЫ!$N$3:$N$500,MATCH($A285,ЗАКАЗЫ!$F$3:$F$500,0)),"")</f>
        <v/>
      </c>
      <c r="BM285" s="8" t="str">
        <f aca="false">IF(BL285="","",IFERROR(VLOOKUP(BL285,'ТН ВЭД'!$A$4:$C$40,3,0),""))</f>
        <v/>
      </c>
      <c r="BN285" s="7" t="str">
        <f aca="false">IF(COUNTIF(ЗАКАЗЫ!$F$3:$F$500,$A285)=0,"",SUMIF(ЗАКАЗЫ!$F$3:$F$500,$A285,ЗАКАЗЫ!$J$3:$J$500))</f>
        <v/>
      </c>
      <c r="BO285" s="7" t="str">
        <f aca="false">IF(BN285="","",SUMIF(ЗАКАЗЫ!$F$3:$F$500,$A285,ЗАКАЗЫ!$AL$3:$AL$500))</f>
        <v/>
      </c>
      <c r="BP285" s="7" t="str">
        <f aca="false">IF(BN285="","",BN285-BO285)</f>
        <v/>
      </c>
      <c r="BQ285" s="55" t="str">
        <f aca="false">IF(BN285="","",IF(BO285&gt;=BN285,"На складе",IF(BO285&gt;0,"Частично","Ждём")))</f>
        <v/>
      </c>
      <c r="BR285" s="43"/>
      <c r="BS285" s="47" t="str">
        <f aca="false">IF(BN285="","",IF(_xlfn.MAXIFS(ЗАКАЗЫ!$AK$3:$AK$500,ЗАКАЗЫ!$F$3:$F$500,$A285)=0,"",_xlfn.MAXIFS(ЗАКАЗЫ!$AK$3:$AK$500,ЗАКАЗЫ!$F$3:$F$500,$A285)))</f>
        <v/>
      </c>
    </row>
    <row r="286" customFormat="false" ht="15.75" hidden="false" customHeight="true" outlineLevel="0" collapsed="false">
      <c r="A286" s="80" t="s">
        <v>1118</v>
      </c>
      <c r="B286" s="81"/>
      <c r="C286" s="81"/>
      <c r="D286" s="81"/>
      <c r="E286" s="83"/>
      <c r="F286" s="81"/>
      <c r="G286" s="83"/>
      <c r="H286" s="83"/>
      <c r="I286" s="84" t="str">
        <f aca="false">IF(E286="","",A286&amp;"_1.jpg")</f>
        <v/>
      </c>
      <c r="J286" s="84" t="str">
        <f aca="false">IF(E286="","",A286&amp;"_2.jpg; "&amp;A286&amp;"_3.jpg")</f>
        <v/>
      </c>
      <c r="K286" s="84" t="str">
        <f aca="false">IF(E286="","",A286&amp;"_schema.jpg")</f>
        <v/>
      </c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 t="s">
        <v>96</v>
      </c>
      <c r="W286" s="81"/>
      <c r="X286" s="81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6" t="str">
        <f aca="false">IF(SUM(Y286:AJ286)=0,"",SUM(Y286:AJ286))</f>
        <v/>
      </c>
      <c r="AL286" s="84" t="str">
        <f aca="false">MID(IF(N(Y286)&gt;0,", "&amp;Y$2,"")&amp;IF(N(Z286)&gt;0,", "&amp;Z$2,"")&amp;IF(N(AA286)&gt;0,", "&amp;AA$2,"")&amp;IF(N(AB286)&gt;0,", "&amp;AB$2,"")&amp;IF(N(AC286)&gt;0,", "&amp;AC$2,"")&amp;IF(N(AD286)&gt;0,", "&amp;AD$2,"")&amp;IF(N(AE286)&gt;0,", "&amp;AE$2,"")&amp;IF(N(AF286)&gt;0,", "&amp;AF$2,"")&amp;IF(N(AG286)&gt;0,", "&amp;AG$2,"")&amp;IF(N(AH286)&gt;0,", "&amp;AH$2,"")&amp;IF(N(AI286)&gt;0,", "&amp;AI$2,"")&amp;IF(N(AJ286)&gt;0,", "&amp;AJ$2,""),3,999)</f>
        <v/>
      </c>
      <c r="AM286" s="87" t="str">
        <f aca="false">IF(E286="","",MID(IF(N(Y286)&gt;0,", "&amp;A286&amp;"-"&amp;Y$2,"")&amp;IF(N(Z286)&gt;0,", "&amp;A286&amp;"-"&amp;Z$2,"")&amp;IF(N(AA286)&gt;0,", "&amp;A286&amp;"-"&amp;AA$2,"")&amp;IF(N(AB286)&gt;0,", "&amp;A286&amp;"-"&amp;AB$2,"")&amp;IF(N(AC286)&gt;0,", "&amp;A286&amp;"-"&amp;AC$2,"")&amp;IF(N(AD286)&gt;0,", "&amp;A286&amp;"-"&amp;AD$2,"")&amp;IF(N(AE286)&gt;0,", "&amp;A286&amp;"-"&amp;AE$2,"")&amp;IF(N(AF286)&gt;0,", "&amp;A286&amp;"-"&amp;AF$2,"")&amp;IF(N(AG286)&gt;0,", "&amp;A286&amp;"-"&amp;AG$2,"")&amp;IF(N(AH286)&gt;0,", "&amp;A286&amp;"-"&amp;AH$2,"")&amp;IF(N(AI286)&gt;0,", "&amp;A286&amp;"-"&amp;AI$2,"")&amp;IF(N(AJ286)&gt;0,", "&amp;A286&amp;"-"&amp;AJ$2,""),3,999))</f>
        <v/>
      </c>
      <c r="AN286" s="81"/>
      <c r="AO286" s="88"/>
      <c r="AP286" s="89" t="str">
        <f aca="false">IF(AO286="","",ROUND(AO286/(1+Справочники!$B$13),2))</f>
        <v/>
      </c>
      <c r="AQ286" s="90" t="str">
        <f aca="false" t="array" ref="AQ286:AQ286">IF(AP286="","",AP286*INDEX(Справочники!$B$4:$B$7,MATCH("RUB",Справочники!$A$4:$A$7,0)))</f>
        <v/>
      </c>
      <c r="AR286" s="90" t="str">
        <f aca="false">IF(AQ286="","",ROUND(AQ286*(1+Справочники!$B$12),0))</f>
        <v/>
      </c>
      <c r="AS286" s="90" t="str">
        <f aca="false">IF(AR286="","",ROUND(AR286*(1-Справочники!$B$11),0))</f>
        <v/>
      </c>
      <c r="AT286" s="88"/>
      <c r="AU286" s="90" t="str">
        <f aca="false">IF(AT286="","",ROUND(AT286/(1+Справочники!$B$12),0))</f>
        <v/>
      </c>
      <c r="AV286" s="90" t="str">
        <f aca="false">IF(AT286="","",ROUND(AT286*(1-Справочники!$B$15),0))</f>
        <v/>
      </c>
      <c r="AW286" s="90" t="str">
        <f aca="false">IF(AT286="","",ROUND(AT286*(1-Справочники!$B$16),0))</f>
        <v/>
      </c>
      <c r="AX286" s="90" t="str">
        <f aca="false">IF(AT286="","",ROUND(AT286*(1-Справочники!$B$17),0))</f>
        <v/>
      </c>
      <c r="AY286" s="90" t="str">
        <f aca="false">IF(AT286="","",ROUND(AT286*(1-Справочники!$B$18),0))</f>
        <v/>
      </c>
      <c r="AZ286" s="90" t="str">
        <f aca="false">IF(AT286="","",ROUND(AT286*(1-Справочники!$B$19),0))</f>
        <v/>
      </c>
      <c r="BA286" s="81"/>
      <c r="BB286" s="81"/>
      <c r="BC286" s="81"/>
      <c r="BD286" s="81"/>
      <c r="BE286" s="91"/>
      <c r="BF286" s="81" t="s">
        <v>103</v>
      </c>
      <c r="BG286" s="89" t="n">
        <f aca="false" t="array" ref="BG286:BG286">IF(BF286="","",IFERROR(INDEX(Справочники!$B$4:$B$7,MATCH(BF286,Справочники!$A$4:$A$7,0)),""))</f>
        <v>68.5</v>
      </c>
      <c r="BH286" s="90" t="str">
        <f aca="false">IF(N(BN286)&gt;0,ROUND(SUMIF(ЗАКАЗЫ!$F$3:$F$500,$A286,ЗАКАЗЫ!$Y$3:$Y$500)/BN286,0),IF(OR(BE286="",BG286=""),"",ROUND(BE286*BG286*(1+Справочники!$B$10),0)))</f>
        <v/>
      </c>
      <c r="BI286" s="92" t="str">
        <f aca="false">IF(OR(AU286="",BH286="",AU286=0),"",(AU286-BH286)/AU286)</f>
        <v/>
      </c>
      <c r="BJ286" s="81"/>
      <c r="BK286" s="83"/>
      <c r="BL286" s="43" t="str">
        <f aca="false">IFERROR(INDEX(ЗАКАЗЫ!$N$3:$N$500,MATCH($A286,ЗАКАЗЫ!$F$3:$F$500,0)),"")</f>
        <v/>
      </c>
      <c r="BM286" s="8" t="str">
        <f aca="false">IF(BL286="","",IFERROR(VLOOKUP(BL286,'ТН ВЭД'!$A$4:$C$40,3,0),""))</f>
        <v/>
      </c>
      <c r="BN286" s="7" t="str">
        <f aca="false">IF(COUNTIF(ЗАКАЗЫ!$F$3:$F$500,$A286)=0,"",SUMIF(ЗАКАЗЫ!$F$3:$F$500,$A286,ЗАКАЗЫ!$J$3:$J$500))</f>
        <v/>
      </c>
      <c r="BO286" s="7" t="str">
        <f aca="false">IF(BN286="","",SUMIF(ЗАКАЗЫ!$F$3:$F$500,$A286,ЗАКАЗЫ!$AL$3:$AL$500))</f>
        <v/>
      </c>
      <c r="BP286" s="7" t="str">
        <f aca="false">IF(BN286="","",BN286-BO286)</f>
        <v/>
      </c>
      <c r="BQ286" s="55" t="str">
        <f aca="false">IF(BN286="","",IF(BO286&gt;=BN286,"На складе",IF(BO286&gt;0,"Частично","Ждём")))</f>
        <v/>
      </c>
      <c r="BR286" s="43"/>
      <c r="BS286" s="47" t="str">
        <f aca="false">IF(BN286="","",IF(_xlfn.MAXIFS(ЗАКАЗЫ!$AK$3:$AK$500,ЗАКАЗЫ!$F$3:$F$500,$A286)=0,"",_xlfn.MAXIFS(ЗАКАЗЫ!$AK$3:$AK$500,ЗАКАЗЫ!$F$3:$F$500,$A286)))</f>
        <v/>
      </c>
    </row>
    <row r="287" customFormat="false" ht="15.75" hidden="false" customHeight="true" outlineLevel="0" collapsed="false">
      <c r="A287" s="80" t="s">
        <v>1119</v>
      </c>
      <c r="B287" s="81"/>
      <c r="C287" s="81"/>
      <c r="D287" s="81"/>
      <c r="E287" s="83"/>
      <c r="F287" s="81"/>
      <c r="G287" s="83"/>
      <c r="H287" s="83"/>
      <c r="I287" s="84" t="str">
        <f aca="false">IF(E287="","",A287&amp;"_1.jpg")</f>
        <v/>
      </c>
      <c r="J287" s="84" t="str">
        <f aca="false">IF(E287="","",A287&amp;"_2.jpg; "&amp;A287&amp;"_3.jpg")</f>
        <v/>
      </c>
      <c r="K287" s="84" t="str">
        <f aca="false">IF(E287="","",A287&amp;"_schema.jpg")</f>
        <v/>
      </c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 t="s">
        <v>96</v>
      </c>
      <c r="W287" s="81"/>
      <c r="X287" s="81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6" t="str">
        <f aca="false">IF(SUM(Y287:AJ287)=0,"",SUM(Y287:AJ287))</f>
        <v/>
      </c>
      <c r="AL287" s="84" t="str">
        <f aca="false">MID(IF(N(Y287)&gt;0,", "&amp;Y$2,"")&amp;IF(N(Z287)&gt;0,", "&amp;Z$2,"")&amp;IF(N(AA287)&gt;0,", "&amp;AA$2,"")&amp;IF(N(AB287)&gt;0,", "&amp;AB$2,"")&amp;IF(N(AC287)&gt;0,", "&amp;AC$2,"")&amp;IF(N(AD287)&gt;0,", "&amp;AD$2,"")&amp;IF(N(AE287)&gt;0,", "&amp;AE$2,"")&amp;IF(N(AF287)&gt;0,", "&amp;AF$2,"")&amp;IF(N(AG287)&gt;0,", "&amp;AG$2,"")&amp;IF(N(AH287)&gt;0,", "&amp;AH$2,"")&amp;IF(N(AI287)&gt;0,", "&amp;AI$2,"")&amp;IF(N(AJ287)&gt;0,", "&amp;AJ$2,""),3,999)</f>
        <v/>
      </c>
      <c r="AM287" s="87" t="str">
        <f aca="false">IF(E287="","",MID(IF(N(Y287)&gt;0,", "&amp;A287&amp;"-"&amp;Y$2,"")&amp;IF(N(Z287)&gt;0,", "&amp;A287&amp;"-"&amp;Z$2,"")&amp;IF(N(AA287)&gt;0,", "&amp;A287&amp;"-"&amp;AA$2,"")&amp;IF(N(AB287)&gt;0,", "&amp;A287&amp;"-"&amp;AB$2,"")&amp;IF(N(AC287)&gt;0,", "&amp;A287&amp;"-"&amp;AC$2,"")&amp;IF(N(AD287)&gt;0,", "&amp;A287&amp;"-"&amp;AD$2,"")&amp;IF(N(AE287)&gt;0,", "&amp;A287&amp;"-"&amp;AE$2,"")&amp;IF(N(AF287)&gt;0,", "&amp;A287&amp;"-"&amp;AF$2,"")&amp;IF(N(AG287)&gt;0,", "&amp;A287&amp;"-"&amp;AG$2,"")&amp;IF(N(AH287)&gt;0,", "&amp;A287&amp;"-"&amp;AH$2,"")&amp;IF(N(AI287)&gt;0,", "&amp;A287&amp;"-"&amp;AI$2,"")&amp;IF(N(AJ287)&gt;0,", "&amp;A287&amp;"-"&amp;AJ$2,""),3,999))</f>
        <v/>
      </c>
      <c r="AN287" s="81"/>
      <c r="AO287" s="88"/>
      <c r="AP287" s="89" t="str">
        <f aca="false">IF(AO287="","",ROUND(AO287/(1+Справочники!$B$13),2))</f>
        <v/>
      </c>
      <c r="AQ287" s="90" t="str">
        <f aca="false" t="array" ref="AQ287:AQ287">IF(AP287="","",AP287*INDEX(Справочники!$B$4:$B$7,MATCH("RUB",Справочники!$A$4:$A$7,0)))</f>
        <v/>
      </c>
      <c r="AR287" s="90" t="str">
        <f aca="false">IF(AQ287="","",ROUND(AQ287*(1+Справочники!$B$12),0))</f>
        <v/>
      </c>
      <c r="AS287" s="90" t="str">
        <f aca="false">IF(AR287="","",ROUND(AR287*(1-Справочники!$B$11),0))</f>
        <v/>
      </c>
      <c r="AT287" s="88"/>
      <c r="AU287" s="90" t="str">
        <f aca="false">IF(AT287="","",ROUND(AT287/(1+Справочники!$B$12),0))</f>
        <v/>
      </c>
      <c r="AV287" s="90" t="str">
        <f aca="false">IF(AT287="","",ROUND(AT287*(1-Справочники!$B$15),0))</f>
        <v/>
      </c>
      <c r="AW287" s="90" t="str">
        <f aca="false">IF(AT287="","",ROUND(AT287*(1-Справочники!$B$16),0))</f>
        <v/>
      </c>
      <c r="AX287" s="90" t="str">
        <f aca="false">IF(AT287="","",ROUND(AT287*(1-Справочники!$B$17),0))</f>
        <v/>
      </c>
      <c r="AY287" s="90" t="str">
        <f aca="false">IF(AT287="","",ROUND(AT287*(1-Справочники!$B$18),0))</f>
        <v/>
      </c>
      <c r="AZ287" s="90" t="str">
        <f aca="false">IF(AT287="","",ROUND(AT287*(1-Справочники!$B$19),0))</f>
        <v/>
      </c>
      <c r="BA287" s="81"/>
      <c r="BB287" s="81"/>
      <c r="BC287" s="81"/>
      <c r="BD287" s="81"/>
      <c r="BE287" s="91"/>
      <c r="BF287" s="81" t="s">
        <v>103</v>
      </c>
      <c r="BG287" s="89" t="n">
        <f aca="false" t="array" ref="BG287:BG287">IF(BF287="","",IFERROR(INDEX(Справочники!$B$4:$B$7,MATCH(BF287,Справочники!$A$4:$A$7,0)),""))</f>
        <v>68.5</v>
      </c>
      <c r="BH287" s="90" t="str">
        <f aca="false">IF(N(BN287)&gt;0,ROUND(SUMIF(ЗАКАЗЫ!$F$3:$F$500,$A287,ЗАКАЗЫ!$Y$3:$Y$500)/BN287,0),IF(OR(BE287="",BG287=""),"",ROUND(BE287*BG287*(1+Справочники!$B$10),0)))</f>
        <v/>
      </c>
      <c r="BI287" s="92" t="str">
        <f aca="false">IF(OR(AU287="",BH287="",AU287=0),"",(AU287-BH287)/AU287)</f>
        <v/>
      </c>
      <c r="BJ287" s="81"/>
      <c r="BK287" s="83"/>
      <c r="BL287" s="43" t="str">
        <f aca="false">IFERROR(INDEX(ЗАКАЗЫ!$N$3:$N$500,MATCH($A287,ЗАКАЗЫ!$F$3:$F$500,0)),"")</f>
        <v/>
      </c>
      <c r="BM287" s="8" t="str">
        <f aca="false">IF(BL287="","",IFERROR(VLOOKUP(BL287,'ТН ВЭД'!$A$4:$C$40,3,0),""))</f>
        <v/>
      </c>
      <c r="BN287" s="7" t="str">
        <f aca="false">IF(COUNTIF(ЗАКАЗЫ!$F$3:$F$500,$A287)=0,"",SUMIF(ЗАКАЗЫ!$F$3:$F$500,$A287,ЗАКАЗЫ!$J$3:$J$500))</f>
        <v/>
      </c>
      <c r="BO287" s="7" t="str">
        <f aca="false">IF(BN287="","",SUMIF(ЗАКАЗЫ!$F$3:$F$500,$A287,ЗАКАЗЫ!$AL$3:$AL$500))</f>
        <v/>
      </c>
      <c r="BP287" s="7" t="str">
        <f aca="false">IF(BN287="","",BN287-BO287)</f>
        <v/>
      </c>
      <c r="BQ287" s="55" t="str">
        <f aca="false">IF(BN287="","",IF(BO287&gt;=BN287,"На складе",IF(BO287&gt;0,"Частично","Ждём")))</f>
        <v/>
      </c>
      <c r="BR287" s="43"/>
      <c r="BS287" s="47" t="str">
        <f aca="false">IF(BN287="","",IF(_xlfn.MAXIFS(ЗАКАЗЫ!$AK$3:$AK$500,ЗАКАЗЫ!$F$3:$F$500,$A287)=0,"",_xlfn.MAXIFS(ЗАКАЗЫ!$AK$3:$AK$500,ЗАКАЗЫ!$F$3:$F$500,$A287)))</f>
        <v/>
      </c>
    </row>
    <row r="288" customFormat="false" ht="15.75" hidden="false" customHeight="true" outlineLevel="0" collapsed="false">
      <c r="A288" s="80" t="s">
        <v>1120</v>
      </c>
      <c r="B288" s="81"/>
      <c r="C288" s="81"/>
      <c r="D288" s="81"/>
      <c r="E288" s="83"/>
      <c r="F288" s="81"/>
      <c r="G288" s="83"/>
      <c r="H288" s="83"/>
      <c r="I288" s="84" t="str">
        <f aca="false">IF(E288="","",A288&amp;"_1.jpg")</f>
        <v/>
      </c>
      <c r="J288" s="84" t="str">
        <f aca="false">IF(E288="","",A288&amp;"_2.jpg; "&amp;A288&amp;"_3.jpg")</f>
        <v/>
      </c>
      <c r="K288" s="84" t="str">
        <f aca="false">IF(E288="","",A288&amp;"_schema.jpg")</f>
        <v/>
      </c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 t="s">
        <v>96</v>
      </c>
      <c r="W288" s="81"/>
      <c r="X288" s="81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6" t="str">
        <f aca="false">IF(SUM(Y288:AJ288)=0,"",SUM(Y288:AJ288))</f>
        <v/>
      </c>
      <c r="AL288" s="84" t="str">
        <f aca="false">MID(IF(N(Y288)&gt;0,", "&amp;Y$2,"")&amp;IF(N(Z288)&gt;0,", "&amp;Z$2,"")&amp;IF(N(AA288)&gt;0,", "&amp;AA$2,"")&amp;IF(N(AB288)&gt;0,", "&amp;AB$2,"")&amp;IF(N(AC288)&gt;0,", "&amp;AC$2,"")&amp;IF(N(AD288)&gt;0,", "&amp;AD$2,"")&amp;IF(N(AE288)&gt;0,", "&amp;AE$2,"")&amp;IF(N(AF288)&gt;0,", "&amp;AF$2,"")&amp;IF(N(AG288)&gt;0,", "&amp;AG$2,"")&amp;IF(N(AH288)&gt;0,", "&amp;AH$2,"")&amp;IF(N(AI288)&gt;0,", "&amp;AI$2,"")&amp;IF(N(AJ288)&gt;0,", "&amp;AJ$2,""),3,999)</f>
        <v/>
      </c>
      <c r="AM288" s="87" t="str">
        <f aca="false">IF(E288="","",MID(IF(N(Y288)&gt;0,", "&amp;A288&amp;"-"&amp;Y$2,"")&amp;IF(N(Z288)&gt;0,", "&amp;A288&amp;"-"&amp;Z$2,"")&amp;IF(N(AA288)&gt;0,", "&amp;A288&amp;"-"&amp;AA$2,"")&amp;IF(N(AB288)&gt;0,", "&amp;A288&amp;"-"&amp;AB$2,"")&amp;IF(N(AC288)&gt;0,", "&amp;A288&amp;"-"&amp;AC$2,"")&amp;IF(N(AD288)&gt;0,", "&amp;A288&amp;"-"&amp;AD$2,"")&amp;IF(N(AE288)&gt;0,", "&amp;A288&amp;"-"&amp;AE$2,"")&amp;IF(N(AF288)&gt;0,", "&amp;A288&amp;"-"&amp;AF$2,"")&amp;IF(N(AG288)&gt;0,", "&amp;A288&amp;"-"&amp;AG$2,"")&amp;IF(N(AH288)&gt;0,", "&amp;A288&amp;"-"&amp;AH$2,"")&amp;IF(N(AI288)&gt;0,", "&amp;A288&amp;"-"&amp;AI$2,"")&amp;IF(N(AJ288)&gt;0,", "&amp;A288&amp;"-"&amp;AJ$2,""),3,999))</f>
        <v/>
      </c>
      <c r="AN288" s="81"/>
      <c r="AO288" s="88"/>
      <c r="AP288" s="89" t="str">
        <f aca="false">IF(AO288="","",ROUND(AO288/(1+Справочники!$B$13),2))</f>
        <v/>
      </c>
      <c r="AQ288" s="90" t="str">
        <f aca="false" t="array" ref="AQ288:AQ288">IF(AP288="","",AP288*INDEX(Справочники!$B$4:$B$7,MATCH("RUB",Справочники!$A$4:$A$7,0)))</f>
        <v/>
      </c>
      <c r="AR288" s="90" t="str">
        <f aca="false">IF(AQ288="","",ROUND(AQ288*(1+Справочники!$B$12),0))</f>
        <v/>
      </c>
      <c r="AS288" s="90" t="str">
        <f aca="false">IF(AR288="","",ROUND(AR288*(1-Справочники!$B$11),0))</f>
        <v/>
      </c>
      <c r="AT288" s="88"/>
      <c r="AU288" s="90" t="str">
        <f aca="false">IF(AT288="","",ROUND(AT288/(1+Справочники!$B$12),0))</f>
        <v/>
      </c>
      <c r="AV288" s="90" t="str">
        <f aca="false">IF(AT288="","",ROUND(AT288*(1-Справочники!$B$15),0))</f>
        <v/>
      </c>
      <c r="AW288" s="90" t="str">
        <f aca="false">IF(AT288="","",ROUND(AT288*(1-Справочники!$B$16),0))</f>
        <v/>
      </c>
      <c r="AX288" s="90" t="str">
        <f aca="false">IF(AT288="","",ROUND(AT288*(1-Справочники!$B$17),0))</f>
        <v/>
      </c>
      <c r="AY288" s="90" t="str">
        <f aca="false">IF(AT288="","",ROUND(AT288*(1-Справочники!$B$18),0))</f>
        <v/>
      </c>
      <c r="AZ288" s="90" t="str">
        <f aca="false">IF(AT288="","",ROUND(AT288*(1-Справочники!$B$19),0))</f>
        <v/>
      </c>
      <c r="BA288" s="81"/>
      <c r="BB288" s="81"/>
      <c r="BC288" s="81"/>
      <c r="BD288" s="81"/>
      <c r="BE288" s="91"/>
      <c r="BF288" s="81" t="s">
        <v>103</v>
      </c>
      <c r="BG288" s="89" t="n">
        <f aca="false" t="array" ref="BG288:BG288">IF(BF288="","",IFERROR(INDEX(Справочники!$B$4:$B$7,MATCH(BF288,Справочники!$A$4:$A$7,0)),""))</f>
        <v>68.5</v>
      </c>
      <c r="BH288" s="90" t="str">
        <f aca="false">IF(N(BN288)&gt;0,ROUND(SUMIF(ЗАКАЗЫ!$F$3:$F$500,$A288,ЗАКАЗЫ!$Y$3:$Y$500)/BN288,0),IF(OR(BE288="",BG288=""),"",ROUND(BE288*BG288*(1+Справочники!$B$10),0)))</f>
        <v/>
      </c>
      <c r="BI288" s="92" t="str">
        <f aca="false">IF(OR(AU288="",BH288="",AU288=0),"",(AU288-BH288)/AU288)</f>
        <v/>
      </c>
      <c r="BJ288" s="81"/>
      <c r="BK288" s="83"/>
      <c r="BL288" s="43" t="str">
        <f aca="false">IFERROR(INDEX(ЗАКАЗЫ!$N$3:$N$500,MATCH($A288,ЗАКАЗЫ!$F$3:$F$500,0)),"")</f>
        <v/>
      </c>
      <c r="BM288" s="8" t="str">
        <f aca="false">IF(BL288="","",IFERROR(VLOOKUP(BL288,'ТН ВЭД'!$A$4:$C$40,3,0),""))</f>
        <v/>
      </c>
      <c r="BN288" s="7" t="str">
        <f aca="false">IF(COUNTIF(ЗАКАЗЫ!$F$3:$F$500,$A288)=0,"",SUMIF(ЗАКАЗЫ!$F$3:$F$500,$A288,ЗАКАЗЫ!$J$3:$J$500))</f>
        <v/>
      </c>
      <c r="BO288" s="7" t="str">
        <f aca="false">IF(BN288="","",SUMIF(ЗАКАЗЫ!$F$3:$F$500,$A288,ЗАКАЗЫ!$AL$3:$AL$500))</f>
        <v/>
      </c>
      <c r="BP288" s="7" t="str">
        <f aca="false">IF(BN288="","",BN288-BO288)</f>
        <v/>
      </c>
      <c r="BQ288" s="55" t="str">
        <f aca="false">IF(BN288="","",IF(BO288&gt;=BN288,"На складе",IF(BO288&gt;0,"Частично","Ждём")))</f>
        <v/>
      </c>
      <c r="BR288" s="43"/>
      <c r="BS288" s="47" t="str">
        <f aca="false">IF(BN288="","",IF(_xlfn.MAXIFS(ЗАКАЗЫ!$AK$3:$AK$500,ЗАКАЗЫ!$F$3:$F$500,$A288)=0,"",_xlfn.MAXIFS(ЗАКАЗЫ!$AK$3:$AK$500,ЗАКАЗЫ!$F$3:$F$500,$A288)))</f>
        <v/>
      </c>
    </row>
    <row r="289" customFormat="false" ht="15.75" hidden="false" customHeight="true" outlineLevel="0" collapsed="false">
      <c r="A289" s="80" t="s">
        <v>1121</v>
      </c>
      <c r="B289" s="81"/>
      <c r="C289" s="81"/>
      <c r="D289" s="81"/>
      <c r="E289" s="83"/>
      <c r="F289" s="81"/>
      <c r="G289" s="83"/>
      <c r="H289" s="83"/>
      <c r="I289" s="84" t="str">
        <f aca="false">IF(E289="","",A289&amp;"_1.jpg")</f>
        <v/>
      </c>
      <c r="J289" s="84" t="str">
        <f aca="false">IF(E289="","",A289&amp;"_2.jpg; "&amp;A289&amp;"_3.jpg")</f>
        <v/>
      </c>
      <c r="K289" s="84" t="str">
        <f aca="false">IF(E289="","",A289&amp;"_schema.jpg")</f>
        <v/>
      </c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 t="s">
        <v>96</v>
      </c>
      <c r="W289" s="81"/>
      <c r="X289" s="81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6" t="str">
        <f aca="false">IF(SUM(Y289:AJ289)=0,"",SUM(Y289:AJ289))</f>
        <v/>
      </c>
      <c r="AL289" s="84" t="str">
        <f aca="false">MID(IF(N(Y289)&gt;0,", "&amp;Y$2,"")&amp;IF(N(Z289)&gt;0,", "&amp;Z$2,"")&amp;IF(N(AA289)&gt;0,", "&amp;AA$2,"")&amp;IF(N(AB289)&gt;0,", "&amp;AB$2,"")&amp;IF(N(AC289)&gt;0,", "&amp;AC$2,"")&amp;IF(N(AD289)&gt;0,", "&amp;AD$2,"")&amp;IF(N(AE289)&gt;0,", "&amp;AE$2,"")&amp;IF(N(AF289)&gt;0,", "&amp;AF$2,"")&amp;IF(N(AG289)&gt;0,", "&amp;AG$2,"")&amp;IF(N(AH289)&gt;0,", "&amp;AH$2,"")&amp;IF(N(AI289)&gt;0,", "&amp;AI$2,"")&amp;IF(N(AJ289)&gt;0,", "&amp;AJ$2,""),3,999)</f>
        <v/>
      </c>
      <c r="AM289" s="87" t="str">
        <f aca="false">IF(E289="","",MID(IF(N(Y289)&gt;0,", "&amp;A289&amp;"-"&amp;Y$2,"")&amp;IF(N(Z289)&gt;0,", "&amp;A289&amp;"-"&amp;Z$2,"")&amp;IF(N(AA289)&gt;0,", "&amp;A289&amp;"-"&amp;AA$2,"")&amp;IF(N(AB289)&gt;0,", "&amp;A289&amp;"-"&amp;AB$2,"")&amp;IF(N(AC289)&gt;0,", "&amp;A289&amp;"-"&amp;AC$2,"")&amp;IF(N(AD289)&gt;0,", "&amp;A289&amp;"-"&amp;AD$2,"")&amp;IF(N(AE289)&gt;0,", "&amp;A289&amp;"-"&amp;AE$2,"")&amp;IF(N(AF289)&gt;0,", "&amp;A289&amp;"-"&amp;AF$2,"")&amp;IF(N(AG289)&gt;0,", "&amp;A289&amp;"-"&amp;AG$2,"")&amp;IF(N(AH289)&gt;0,", "&amp;A289&amp;"-"&amp;AH$2,"")&amp;IF(N(AI289)&gt;0,", "&amp;A289&amp;"-"&amp;AI$2,"")&amp;IF(N(AJ289)&gt;0,", "&amp;A289&amp;"-"&amp;AJ$2,""),3,999))</f>
        <v/>
      </c>
      <c r="AN289" s="81"/>
      <c r="AO289" s="88"/>
      <c r="AP289" s="89" t="str">
        <f aca="false">IF(AO289="","",ROUND(AO289/(1+Справочники!$B$13),2))</f>
        <v/>
      </c>
      <c r="AQ289" s="90" t="str">
        <f aca="false" t="array" ref="AQ289:AQ289">IF(AP289="","",AP289*INDEX(Справочники!$B$4:$B$7,MATCH("RUB",Справочники!$A$4:$A$7,0)))</f>
        <v/>
      </c>
      <c r="AR289" s="90" t="str">
        <f aca="false">IF(AQ289="","",ROUND(AQ289*(1+Справочники!$B$12),0))</f>
        <v/>
      </c>
      <c r="AS289" s="90" t="str">
        <f aca="false">IF(AR289="","",ROUND(AR289*(1-Справочники!$B$11),0))</f>
        <v/>
      </c>
      <c r="AT289" s="88"/>
      <c r="AU289" s="90" t="str">
        <f aca="false">IF(AT289="","",ROUND(AT289/(1+Справочники!$B$12),0))</f>
        <v/>
      </c>
      <c r="AV289" s="90" t="str">
        <f aca="false">IF(AT289="","",ROUND(AT289*(1-Справочники!$B$15),0))</f>
        <v/>
      </c>
      <c r="AW289" s="90" t="str">
        <f aca="false">IF(AT289="","",ROUND(AT289*(1-Справочники!$B$16),0))</f>
        <v/>
      </c>
      <c r="AX289" s="90" t="str">
        <f aca="false">IF(AT289="","",ROUND(AT289*(1-Справочники!$B$17),0))</f>
        <v/>
      </c>
      <c r="AY289" s="90" t="str">
        <f aca="false">IF(AT289="","",ROUND(AT289*(1-Справочники!$B$18),0))</f>
        <v/>
      </c>
      <c r="AZ289" s="90" t="str">
        <f aca="false">IF(AT289="","",ROUND(AT289*(1-Справочники!$B$19),0))</f>
        <v/>
      </c>
      <c r="BA289" s="81"/>
      <c r="BB289" s="81"/>
      <c r="BC289" s="81"/>
      <c r="BD289" s="81"/>
      <c r="BE289" s="91"/>
      <c r="BF289" s="81" t="s">
        <v>103</v>
      </c>
      <c r="BG289" s="89" t="n">
        <f aca="false" t="array" ref="BG289:BG289">IF(BF289="","",IFERROR(INDEX(Справочники!$B$4:$B$7,MATCH(BF289,Справочники!$A$4:$A$7,0)),""))</f>
        <v>68.5</v>
      </c>
      <c r="BH289" s="90" t="str">
        <f aca="false">IF(N(BN289)&gt;0,ROUND(SUMIF(ЗАКАЗЫ!$F$3:$F$500,$A289,ЗАКАЗЫ!$Y$3:$Y$500)/BN289,0),IF(OR(BE289="",BG289=""),"",ROUND(BE289*BG289*(1+Справочники!$B$10),0)))</f>
        <v/>
      </c>
      <c r="BI289" s="92" t="str">
        <f aca="false">IF(OR(AU289="",BH289="",AU289=0),"",(AU289-BH289)/AU289)</f>
        <v/>
      </c>
      <c r="BJ289" s="81"/>
      <c r="BK289" s="83"/>
      <c r="BL289" s="43" t="str">
        <f aca="false">IFERROR(INDEX(ЗАКАЗЫ!$N$3:$N$500,MATCH($A289,ЗАКАЗЫ!$F$3:$F$500,0)),"")</f>
        <v/>
      </c>
      <c r="BM289" s="8" t="str">
        <f aca="false">IF(BL289="","",IFERROR(VLOOKUP(BL289,'ТН ВЭД'!$A$4:$C$40,3,0),""))</f>
        <v/>
      </c>
      <c r="BN289" s="7" t="str">
        <f aca="false">IF(COUNTIF(ЗАКАЗЫ!$F$3:$F$500,$A289)=0,"",SUMIF(ЗАКАЗЫ!$F$3:$F$500,$A289,ЗАКАЗЫ!$J$3:$J$500))</f>
        <v/>
      </c>
      <c r="BO289" s="7" t="str">
        <f aca="false">IF(BN289="","",SUMIF(ЗАКАЗЫ!$F$3:$F$500,$A289,ЗАКАЗЫ!$AL$3:$AL$500))</f>
        <v/>
      </c>
      <c r="BP289" s="7" t="str">
        <f aca="false">IF(BN289="","",BN289-BO289)</f>
        <v/>
      </c>
      <c r="BQ289" s="55" t="str">
        <f aca="false">IF(BN289="","",IF(BO289&gt;=BN289,"На складе",IF(BO289&gt;0,"Частично","Ждём")))</f>
        <v/>
      </c>
      <c r="BR289" s="43"/>
      <c r="BS289" s="47" t="str">
        <f aca="false">IF(BN289="","",IF(_xlfn.MAXIFS(ЗАКАЗЫ!$AK$3:$AK$500,ЗАКАЗЫ!$F$3:$F$500,$A289)=0,"",_xlfn.MAXIFS(ЗАКАЗЫ!$AK$3:$AK$500,ЗАКАЗЫ!$F$3:$F$500,$A289)))</f>
        <v/>
      </c>
    </row>
    <row r="290" customFormat="false" ht="15.75" hidden="false" customHeight="true" outlineLevel="0" collapsed="false">
      <c r="A290" s="80" t="s">
        <v>1122</v>
      </c>
      <c r="B290" s="81"/>
      <c r="C290" s="81"/>
      <c r="D290" s="81"/>
      <c r="E290" s="83"/>
      <c r="F290" s="81"/>
      <c r="G290" s="83"/>
      <c r="H290" s="83"/>
      <c r="I290" s="84" t="str">
        <f aca="false">IF(E290="","",A290&amp;"_1.jpg")</f>
        <v/>
      </c>
      <c r="J290" s="84" t="str">
        <f aca="false">IF(E290="","",A290&amp;"_2.jpg; "&amp;A290&amp;"_3.jpg")</f>
        <v/>
      </c>
      <c r="K290" s="84" t="str">
        <f aca="false">IF(E290="","",A290&amp;"_schema.jpg")</f>
        <v/>
      </c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 t="s">
        <v>96</v>
      </c>
      <c r="W290" s="81"/>
      <c r="X290" s="81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6" t="str">
        <f aca="false">IF(SUM(Y290:AJ290)=0,"",SUM(Y290:AJ290))</f>
        <v/>
      </c>
      <c r="AL290" s="84" t="str">
        <f aca="false">MID(IF(N(Y290)&gt;0,", "&amp;Y$2,"")&amp;IF(N(Z290)&gt;0,", "&amp;Z$2,"")&amp;IF(N(AA290)&gt;0,", "&amp;AA$2,"")&amp;IF(N(AB290)&gt;0,", "&amp;AB$2,"")&amp;IF(N(AC290)&gt;0,", "&amp;AC$2,"")&amp;IF(N(AD290)&gt;0,", "&amp;AD$2,"")&amp;IF(N(AE290)&gt;0,", "&amp;AE$2,"")&amp;IF(N(AF290)&gt;0,", "&amp;AF$2,"")&amp;IF(N(AG290)&gt;0,", "&amp;AG$2,"")&amp;IF(N(AH290)&gt;0,", "&amp;AH$2,"")&amp;IF(N(AI290)&gt;0,", "&amp;AI$2,"")&amp;IF(N(AJ290)&gt;0,", "&amp;AJ$2,""),3,999)</f>
        <v/>
      </c>
      <c r="AM290" s="87" t="str">
        <f aca="false">IF(E290="","",MID(IF(N(Y290)&gt;0,", "&amp;A290&amp;"-"&amp;Y$2,"")&amp;IF(N(Z290)&gt;0,", "&amp;A290&amp;"-"&amp;Z$2,"")&amp;IF(N(AA290)&gt;0,", "&amp;A290&amp;"-"&amp;AA$2,"")&amp;IF(N(AB290)&gt;0,", "&amp;A290&amp;"-"&amp;AB$2,"")&amp;IF(N(AC290)&gt;0,", "&amp;A290&amp;"-"&amp;AC$2,"")&amp;IF(N(AD290)&gt;0,", "&amp;A290&amp;"-"&amp;AD$2,"")&amp;IF(N(AE290)&gt;0,", "&amp;A290&amp;"-"&amp;AE$2,"")&amp;IF(N(AF290)&gt;0,", "&amp;A290&amp;"-"&amp;AF$2,"")&amp;IF(N(AG290)&gt;0,", "&amp;A290&amp;"-"&amp;AG$2,"")&amp;IF(N(AH290)&gt;0,", "&amp;A290&amp;"-"&amp;AH$2,"")&amp;IF(N(AI290)&gt;0,", "&amp;A290&amp;"-"&amp;AI$2,"")&amp;IF(N(AJ290)&gt;0,", "&amp;A290&amp;"-"&amp;AJ$2,""),3,999))</f>
        <v/>
      </c>
      <c r="AN290" s="81"/>
      <c r="AO290" s="88"/>
      <c r="AP290" s="89" t="str">
        <f aca="false">IF(AO290="","",ROUND(AO290/(1+Справочники!$B$13),2))</f>
        <v/>
      </c>
      <c r="AQ290" s="90" t="str">
        <f aca="false" t="array" ref="AQ290:AQ290">IF(AP290="","",AP290*INDEX(Справочники!$B$4:$B$7,MATCH("RUB",Справочники!$A$4:$A$7,0)))</f>
        <v/>
      </c>
      <c r="AR290" s="90" t="str">
        <f aca="false">IF(AQ290="","",ROUND(AQ290*(1+Справочники!$B$12),0))</f>
        <v/>
      </c>
      <c r="AS290" s="90" t="str">
        <f aca="false">IF(AR290="","",ROUND(AR290*(1-Справочники!$B$11),0))</f>
        <v/>
      </c>
      <c r="AT290" s="88"/>
      <c r="AU290" s="90" t="str">
        <f aca="false">IF(AT290="","",ROUND(AT290/(1+Справочники!$B$12),0))</f>
        <v/>
      </c>
      <c r="AV290" s="90" t="str">
        <f aca="false">IF(AT290="","",ROUND(AT290*(1-Справочники!$B$15),0))</f>
        <v/>
      </c>
      <c r="AW290" s="90" t="str">
        <f aca="false">IF(AT290="","",ROUND(AT290*(1-Справочники!$B$16),0))</f>
        <v/>
      </c>
      <c r="AX290" s="90" t="str">
        <f aca="false">IF(AT290="","",ROUND(AT290*(1-Справочники!$B$17),0))</f>
        <v/>
      </c>
      <c r="AY290" s="90" t="str">
        <f aca="false">IF(AT290="","",ROUND(AT290*(1-Справочники!$B$18),0))</f>
        <v/>
      </c>
      <c r="AZ290" s="90" t="str">
        <f aca="false">IF(AT290="","",ROUND(AT290*(1-Справочники!$B$19),0))</f>
        <v/>
      </c>
      <c r="BA290" s="81"/>
      <c r="BB290" s="81"/>
      <c r="BC290" s="81"/>
      <c r="BD290" s="81"/>
      <c r="BE290" s="91"/>
      <c r="BF290" s="81" t="s">
        <v>103</v>
      </c>
      <c r="BG290" s="89" t="n">
        <f aca="false" t="array" ref="BG290:BG290">IF(BF290="","",IFERROR(INDEX(Справочники!$B$4:$B$7,MATCH(BF290,Справочники!$A$4:$A$7,0)),""))</f>
        <v>68.5</v>
      </c>
      <c r="BH290" s="90" t="str">
        <f aca="false">IF(N(BN290)&gt;0,ROUND(SUMIF(ЗАКАЗЫ!$F$3:$F$500,$A290,ЗАКАЗЫ!$Y$3:$Y$500)/BN290,0),IF(OR(BE290="",BG290=""),"",ROUND(BE290*BG290*(1+Справочники!$B$10),0)))</f>
        <v/>
      </c>
      <c r="BI290" s="92" t="str">
        <f aca="false">IF(OR(AU290="",BH290="",AU290=0),"",(AU290-BH290)/AU290)</f>
        <v/>
      </c>
      <c r="BJ290" s="81"/>
      <c r="BK290" s="83"/>
      <c r="BL290" s="43" t="str">
        <f aca="false">IFERROR(INDEX(ЗАКАЗЫ!$N$3:$N$500,MATCH($A290,ЗАКАЗЫ!$F$3:$F$500,0)),"")</f>
        <v/>
      </c>
      <c r="BM290" s="8" t="str">
        <f aca="false">IF(BL290="","",IFERROR(VLOOKUP(BL290,'ТН ВЭД'!$A$4:$C$40,3,0),""))</f>
        <v/>
      </c>
      <c r="BN290" s="7" t="str">
        <f aca="false">IF(COUNTIF(ЗАКАЗЫ!$F$3:$F$500,$A290)=0,"",SUMIF(ЗАКАЗЫ!$F$3:$F$500,$A290,ЗАКАЗЫ!$J$3:$J$500))</f>
        <v/>
      </c>
      <c r="BO290" s="7" t="str">
        <f aca="false">IF(BN290="","",SUMIF(ЗАКАЗЫ!$F$3:$F$500,$A290,ЗАКАЗЫ!$AL$3:$AL$500))</f>
        <v/>
      </c>
      <c r="BP290" s="7" t="str">
        <f aca="false">IF(BN290="","",BN290-BO290)</f>
        <v/>
      </c>
      <c r="BQ290" s="55" t="str">
        <f aca="false">IF(BN290="","",IF(BO290&gt;=BN290,"На складе",IF(BO290&gt;0,"Частично","Ждём")))</f>
        <v/>
      </c>
      <c r="BR290" s="43"/>
      <c r="BS290" s="47" t="str">
        <f aca="false">IF(BN290="","",IF(_xlfn.MAXIFS(ЗАКАЗЫ!$AK$3:$AK$500,ЗАКАЗЫ!$F$3:$F$500,$A290)=0,"",_xlfn.MAXIFS(ЗАКАЗЫ!$AK$3:$AK$500,ЗАКАЗЫ!$F$3:$F$500,$A290)))</f>
        <v/>
      </c>
    </row>
    <row r="291" customFormat="false" ht="15.75" hidden="false" customHeight="true" outlineLevel="0" collapsed="false">
      <c r="A291" s="80" t="s">
        <v>1123</v>
      </c>
      <c r="B291" s="81"/>
      <c r="C291" s="81"/>
      <c r="D291" s="81"/>
      <c r="E291" s="83"/>
      <c r="F291" s="81"/>
      <c r="G291" s="83"/>
      <c r="H291" s="83"/>
      <c r="I291" s="84" t="str">
        <f aca="false">IF(E291="","",A291&amp;"_1.jpg")</f>
        <v/>
      </c>
      <c r="J291" s="84" t="str">
        <f aca="false">IF(E291="","",A291&amp;"_2.jpg; "&amp;A291&amp;"_3.jpg")</f>
        <v/>
      </c>
      <c r="K291" s="84" t="str">
        <f aca="false">IF(E291="","",A291&amp;"_schema.jpg")</f>
        <v/>
      </c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 t="s">
        <v>96</v>
      </c>
      <c r="W291" s="81"/>
      <c r="X291" s="81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6" t="str">
        <f aca="false">IF(SUM(Y291:AJ291)=0,"",SUM(Y291:AJ291))</f>
        <v/>
      </c>
      <c r="AL291" s="84" t="str">
        <f aca="false">MID(IF(N(Y291)&gt;0,", "&amp;Y$2,"")&amp;IF(N(Z291)&gt;0,", "&amp;Z$2,"")&amp;IF(N(AA291)&gt;0,", "&amp;AA$2,"")&amp;IF(N(AB291)&gt;0,", "&amp;AB$2,"")&amp;IF(N(AC291)&gt;0,", "&amp;AC$2,"")&amp;IF(N(AD291)&gt;0,", "&amp;AD$2,"")&amp;IF(N(AE291)&gt;0,", "&amp;AE$2,"")&amp;IF(N(AF291)&gt;0,", "&amp;AF$2,"")&amp;IF(N(AG291)&gt;0,", "&amp;AG$2,"")&amp;IF(N(AH291)&gt;0,", "&amp;AH$2,"")&amp;IF(N(AI291)&gt;0,", "&amp;AI$2,"")&amp;IF(N(AJ291)&gt;0,", "&amp;AJ$2,""),3,999)</f>
        <v/>
      </c>
      <c r="AM291" s="87" t="str">
        <f aca="false">IF(E291="","",MID(IF(N(Y291)&gt;0,", "&amp;A291&amp;"-"&amp;Y$2,"")&amp;IF(N(Z291)&gt;0,", "&amp;A291&amp;"-"&amp;Z$2,"")&amp;IF(N(AA291)&gt;0,", "&amp;A291&amp;"-"&amp;AA$2,"")&amp;IF(N(AB291)&gt;0,", "&amp;A291&amp;"-"&amp;AB$2,"")&amp;IF(N(AC291)&gt;0,", "&amp;A291&amp;"-"&amp;AC$2,"")&amp;IF(N(AD291)&gt;0,", "&amp;A291&amp;"-"&amp;AD$2,"")&amp;IF(N(AE291)&gt;0,", "&amp;A291&amp;"-"&amp;AE$2,"")&amp;IF(N(AF291)&gt;0,", "&amp;A291&amp;"-"&amp;AF$2,"")&amp;IF(N(AG291)&gt;0,", "&amp;A291&amp;"-"&amp;AG$2,"")&amp;IF(N(AH291)&gt;0,", "&amp;A291&amp;"-"&amp;AH$2,"")&amp;IF(N(AI291)&gt;0,", "&amp;A291&amp;"-"&amp;AI$2,"")&amp;IF(N(AJ291)&gt;0,", "&amp;A291&amp;"-"&amp;AJ$2,""),3,999))</f>
        <v/>
      </c>
      <c r="AN291" s="81"/>
      <c r="AO291" s="88"/>
      <c r="AP291" s="89" t="str">
        <f aca="false">IF(AO291="","",ROUND(AO291/(1+Справочники!$B$13),2))</f>
        <v/>
      </c>
      <c r="AQ291" s="90" t="str">
        <f aca="false" t="array" ref="AQ291:AQ291">IF(AP291="","",AP291*INDEX(Справочники!$B$4:$B$7,MATCH("RUB",Справочники!$A$4:$A$7,0)))</f>
        <v/>
      </c>
      <c r="AR291" s="90" t="str">
        <f aca="false">IF(AQ291="","",ROUND(AQ291*(1+Справочники!$B$12),0))</f>
        <v/>
      </c>
      <c r="AS291" s="90" t="str">
        <f aca="false">IF(AR291="","",ROUND(AR291*(1-Справочники!$B$11),0))</f>
        <v/>
      </c>
      <c r="AT291" s="88"/>
      <c r="AU291" s="90" t="str">
        <f aca="false">IF(AT291="","",ROUND(AT291/(1+Справочники!$B$12),0))</f>
        <v/>
      </c>
      <c r="AV291" s="90" t="str">
        <f aca="false">IF(AT291="","",ROUND(AT291*(1-Справочники!$B$15),0))</f>
        <v/>
      </c>
      <c r="AW291" s="90" t="str">
        <f aca="false">IF(AT291="","",ROUND(AT291*(1-Справочники!$B$16),0))</f>
        <v/>
      </c>
      <c r="AX291" s="90" t="str">
        <f aca="false">IF(AT291="","",ROUND(AT291*(1-Справочники!$B$17),0))</f>
        <v/>
      </c>
      <c r="AY291" s="90" t="str">
        <f aca="false">IF(AT291="","",ROUND(AT291*(1-Справочники!$B$18),0))</f>
        <v/>
      </c>
      <c r="AZ291" s="90" t="str">
        <f aca="false">IF(AT291="","",ROUND(AT291*(1-Справочники!$B$19),0))</f>
        <v/>
      </c>
      <c r="BA291" s="81"/>
      <c r="BB291" s="81"/>
      <c r="BC291" s="81"/>
      <c r="BD291" s="81"/>
      <c r="BE291" s="91"/>
      <c r="BF291" s="81" t="s">
        <v>103</v>
      </c>
      <c r="BG291" s="89" t="n">
        <f aca="false" t="array" ref="BG291:BG291">IF(BF291="","",IFERROR(INDEX(Справочники!$B$4:$B$7,MATCH(BF291,Справочники!$A$4:$A$7,0)),""))</f>
        <v>68.5</v>
      </c>
      <c r="BH291" s="90" t="str">
        <f aca="false">IF(N(BN291)&gt;0,ROUND(SUMIF(ЗАКАЗЫ!$F$3:$F$500,$A291,ЗАКАЗЫ!$Y$3:$Y$500)/BN291,0),IF(OR(BE291="",BG291=""),"",ROUND(BE291*BG291*(1+Справочники!$B$10),0)))</f>
        <v/>
      </c>
      <c r="BI291" s="92" t="str">
        <f aca="false">IF(OR(AU291="",BH291="",AU291=0),"",(AU291-BH291)/AU291)</f>
        <v/>
      </c>
      <c r="BJ291" s="81"/>
      <c r="BK291" s="83"/>
      <c r="BL291" s="43" t="str">
        <f aca="false">IFERROR(INDEX(ЗАКАЗЫ!$N$3:$N$500,MATCH($A291,ЗАКАЗЫ!$F$3:$F$500,0)),"")</f>
        <v/>
      </c>
      <c r="BM291" s="8" t="str">
        <f aca="false">IF(BL291="","",IFERROR(VLOOKUP(BL291,'ТН ВЭД'!$A$4:$C$40,3,0),""))</f>
        <v/>
      </c>
      <c r="BN291" s="7" t="str">
        <f aca="false">IF(COUNTIF(ЗАКАЗЫ!$F$3:$F$500,$A291)=0,"",SUMIF(ЗАКАЗЫ!$F$3:$F$500,$A291,ЗАКАЗЫ!$J$3:$J$500))</f>
        <v/>
      </c>
      <c r="BO291" s="7" t="str">
        <f aca="false">IF(BN291="","",SUMIF(ЗАКАЗЫ!$F$3:$F$500,$A291,ЗАКАЗЫ!$AL$3:$AL$500))</f>
        <v/>
      </c>
      <c r="BP291" s="7" t="str">
        <f aca="false">IF(BN291="","",BN291-BO291)</f>
        <v/>
      </c>
      <c r="BQ291" s="55" t="str">
        <f aca="false">IF(BN291="","",IF(BO291&gt;=BN291,"На складе",IF(BO291&gt;0,"Частично","Ждём")))</f>
        <v/>
      </c>
      <c r="BR291" s="43"/>
      <c r="BS291" s="47" t="str">
        <f aca="false">IF(BN291="","",IF(_xlfn.MAXIFS(ЗАКАЗЫ!$AK$3:$AK$500,ЗАКАЗЫ!$F$3:$F$500,$A291)=0,"",_xlfn.MAXIFS(ЗАКАЗЫ!$AK$3:$AK$500,ЗАКАЗЫ!$F$3:$F$500,$A291)))</f>
        <v/>
      </c>
    </row>
    <row r="292" customFormat="false" ht="15.75" hidden="false" customHeight="true" outlineLevel="0" collapsed="false">
      <c r="A292" s="80" t="s">
        <v>1124</v>
      </c>
      <c r="B292" s="81"/>
      <c r="C292" s="81"/>
      <c r="D292" s="81"/>
      <c r="E292" s="83"/>
      <c r="F292" s="81"/>
      <c r="G292" s="83"/>
      <c r="H292" s="83"/>
      <c r="I292" s="84" t="str">
        <f aca="false">IF(E292="","",A292&amp;"_1.jpg")</f>
        <v/>
      </c>
      <c r="J292" s="84" t="str">
        <f aca="false">IF(E292="","",A292&amp;"_2.jpg; "&amp;A292&amp;"_3.jpg")</f>
        <v/>
      </c>
      <c r="K292" s="84" t="str">
        <f aca="false">IF(E292="","",A292&amp;"_schema.jpg")</f>
        <v/>
      </c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 t="s">
        <v>96</v>
      </c>
      <c r="W292" s="81"/>
      <c r="X292" s="81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6" t="str">
        <f aca="false">IF(SUM(Y292:AJ292)=0,"",SUM(Y292:AJ292))</f>
        <v/>
      </c>
      <c r="AL292" s="84" t="str">
        <f aca="false">MID(IF(N(Y292)&gt;0,", "&amp;Y$2,"")&amp;IF(N(Z292)&gt;0,", "&amp;Z$2,"")&amp;IF(N(AA292)&gt;0,", "&amp;AA$2,"")&amp;IF(N(AB292)&gt;0,", "&amp;AB$2,"")&amp;IF(N(AC292)&gt;0,", "&amp;AC$2,"")&amp;IF(N(AD292)&gt;0,", "&amp;AD$2,"")&amp;IF(N(AE292)&gt;0,", "&amp;AE$2,"")&amp;IF(N(AF292)&gt;0,", "&amp;AF$2,"")&amp;IF(N(AG292)&gt;0,", "&amp;AG$2,"")&amp;IF(N(AH292)&gt;0,", "&amp;AH$2,"")&amp;IF(N(AI292)&gt;0,", "&amp;AI$2,"")&amp;IF(N(AJ292)&gt;0,", "&amp;AJ$2,""),3,999)</f>
        <v/>
      </c>
      <c r="AM292" s="87" t="str">
        <f aca="false">IF(E292="","",MID(IF(N(Y292)&gt;0,", "&amp;A292&amp;"-"&amp;Y$2,"")&amp;IF(N(Z292)&gt;0,", "&amp;A292&amp;"-"&amp;Z$2,"")&amp;IF(N(AA292)&gt;0,", "&amp;A292&amp;"-"&amp;AA$2,"")&amp;IF(N(AB292)&gt;0,", "&amp;A292&amp;"-"&amp;AB$2,"")&amp;IF(N(AC292)&gt;0,", "&amp;A292&amp;"-"&amp;AC$2,"")&amp;IF(N(AD292)&gt;0,", "&amp;A292&amp;"-"&amp;AD$2,"")&amp;IF(N(AE292)&gt;0,", "&amp;A292&amp;"-"&amp;AE$2,"")&amp;IF(N(AF292)&gt;0,", "&amp;A292&amp;"-"&amp;AF$2,"")&amp;IF(N(AG292)&gt;0,", "&amp;A292&amp;"-"&amp;AG$2,"")&amp;IF(N(AH292)&gt;0,", "&amp;A292&amp;"-"&amp;AH$2,"")&amp;IF(N(AI292)&gt;0,", "&amp;A292&amp;"-"&amp;AI$2,"")&amp;IF(N(AJ292)&gt;0,", "&amp;A292&amp;"-"&amp;AJ$2,""),3,999))</f>
        <v/>
      </c>
      <c r="AN292" s="81"/>
      <c r="AO292" s="88"/>
      <c r="AP292" s="89" t="str">
        <f aca="false">IF(AO292="","",ROUND(AO292/(1+Справочники!$B$13),2))</f>
        <v/>
      </c>
      <c r="AQ292" s="90" t="str">
        <f aca="false" t="array" ref="AQ292:AQ292">IF(AP292="","",AP292*INDEX(Справочники!$B$4:$B$7,MATCH("RUB",Справочники!$A$4:$A$7,0)))</f>
        <v/>
      </c>
      <c r="AR292" s="90" t="str">
        <f aca="false">IF(AQ292="","",ROUND(AQ292*(1+Справочники!$B$12),0))</f>
        <v/>
      </c>
      <c r="AS292" s="90" t="str">
        <f aca="false">IF(AR292="","",ROUND(AR292*(1-Справочники!$B$11),0))</f>
        <v/>
      </c>
      <c r="AT292" s="88"/>
      <c r="AU292" s="90" t="str">
        <f aca="false">IF(AT292="","",ROUND(AT292/(1+Справочники!$B$12),0))</f>
        <v/>
      </c>
      <c r="AV292" s="90" t="str">
        <f aca="false">IF(AT292="","",ROUND(AT292*(1-Справочники!$B$15),0))</f>
        <v/>
      </c>
      <c r="AW292" s="90" t="str">
        <f aca="false">IF(AT292="","",ROUND(AT292*(1-Справочники!$B$16),0))</f>
        <v/>
      </c>
      <c r="AX292" s="90" t="str">
        <f aca="false">IF(AT292="","",ROUND(AT292*(1-Справочники!$B$17),0))</f>
        <v/>
      </c>
      <c r="AY292" s="90" t="str">
        <f aca="false">IF(AT292="","",ROUND(AT292*(1-Справочники!$B$18),0))</f>
        <v/>
      </c>
      <c r="AZ292" s="90" t="str">
        <f aca="false">IF(AT292="","",ROUND(AT292*(1-Справочники!$B$19),0))</f>
        <v/>
      </c>
      <c r="BA292" s="81"/>
      <c r="BB292" s="81"/>
      <c r="BC292" s="81"/>
      <c r="BD292" s="81"/>
      <c r="BE292" s="91"/>
      <c r="BF292" s="81" t="s">
        <v>103</v>
      </c>
      <c r="BG292" s="89" t="n">
        <f aca="false" t="array" ref="BG292:BG292">IF(BF292="","",IFERROR(INDEX(Справочники!$B$4:$B$7,MATCH(BF292,Справочники!$A$4:$A$7,0)),""))</f>
        <v>68.5</v>
      </c>
      <c r="BH292" s="90" t="str">
        <f aca="false">IF(N(BN292)&gt;0,ROUND(SUMIF(ЗАКАЗЫ!$F$3:$F$500,$A292,ЗАКАЗЫ!$Y$3:$Y$500)/BN292,0),IF(OR(BE292="",BG292=""),"",ROUND(BE292*BG292*(1+Справочники!$B$10),0)))</f>
        <v/>
      </c>
      <c r="BI292" s="92" t="str">
        <f aca="false">IF(OR(AU292="",BH292="",AU292=0),"",(AU292-BH292)/AU292)</f>
        <v/>
      </c>
      <c r="BJ292" s="81"/>
      <c r="BK292" s="83"/>
      <c r="BL292" s="43" t="str">
        <f aca="false">IFERROR(INDEX(ЗАКАЗЫ!$N$3:$N$500,MATCH($A292,ЗАКАЗЫ!$F$3:$F$500,0)),"")</f>
        <v/>
      </c>
      <c r="BM292" s="8" t="str">
        <f aca="false">IF(BL292="","",IFERROR(VLOOKUP(BL292,'ТН ВЭД'!$A$4:$C$40,3,0),""))</f>
        <v/>
      </c>
      <c r="BN292" s="7" t="str">
        <f aca="false">IF(COUNTIF(ЗАКАЗЫ!$F$3:$F$500,$A292)=0,"",SUMIF(ЗАКАЗЫ!$F$3:$F$500,$A292,ЗАКАЗЫ!$J$3:$J$500))</f>
        <v/>
      </c>
      <c r="BO292" s="7" t="str">
        <f aca="false">IF(BN292="","",SUMIF(ЗАКАЗЫ!$F$3:$F$500,$A292,ЗАКАЗЫ!$AL$3:$AL$500))</f>
        <v/>
      </c>
      <c r="BP292" s="7" t="str">
        <f aca="false">IF(BN292="","",BN292-BO292)</f>
        <v/>
      </c>
      <c r="BQ292" s="55" t="str">
        <f aca="false">IF(BN292="","",IF(BO292&gt;=BN292,"На складе",IF(BO292&gt;0,"Частично","Ждём")))</f>
        <v/>
      </c>
      <c r="BR292" s="43"/>
      <c r="BS292" s="47" t="str">
        <f aca="false">IF(BN292="","",IF(_xlfn.MAXIFS(ЗАКАЗЫ!$AK$3:$AK$500,ЗАКАЗЫ!$F$3:$F$500,$A292)=0,"",_xlfn.MAXIFS(ЗАКАЗЫ!$AK$3:$AK$500,ЗАКАЗЫ!$F$3:$F$500,$A292)))</f>
        <v/>
      </c>
    </row>
    <row r="293" customFormat="false" ht="15.75" hidden="false" customHeight="true" outlineLevel="0" collapsed="false">
      <c r="A293" s="80" t="s">
        <v>1125</v>
      </c>
      <c r="B293" s="81"/>
      <c r="C293" s="81"/>
      <c r="D293" s="81"/>
      <c r="E293" s="83"/>
      <c r="F293" s="81"/>
      <c r="G293" s="83"/>
      <c r="H293" s="83"/>
      <c r="I293" s="84" t="str">
        <f aca="false">IF(E293="","",A293&amp;"_1.jpg")</f>
        <v/>
      </c>
      <c r="J293" s="84" t="str">
        <f aca="false">IF(E293="","",A293&amp;"_2.jpg; "&amp;A293&amp;"_3.jpg")</f>
        <v/>
      </c>
      <c r="K293" s="84" t="str">
        <f aca="false">IF(E293="","",A293&amp;"_schema.jpg")</f>
        <v/>
      </c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 t="s">
        <v>96</v>
      </c>
      <c r="W293" s="81"/>
      <c r="X293" s="81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6" t="str">
        <f aca="false">IF(SUM(Y293:AJ293)=0,"",SUM(Y293:AJ293))</f>
        <v/>
      </c>
      <c r="AL293" s="84" t="str">
        <f aca="false">MID(IF(N(Y293)&gt;0,", "&amp;Y$2,"")&amp;IF(N(Z293)&gt;0,", "&amp;Z$2,"")&amp;IF(N(AA293)&gt;0,", "&amp;AA$2,"")&amp;IF(N(AB293)&gt;0,", "&amp;AB$2,"")&amp;IF(N(AC293)&gt;0,", "&amp;AC$2,"")&amp;IF(N(AD293)&gt;0,", "&amp;AD$2,"")&amp;IF(N(AE293)&gt;0,", "&amp;AE$2,"")&amp;IF(N(AF293)&gt;0,", "&amp;AF$2,"")&amp;IF(N(AG293)&gt;0,", "&amp;AG$2,"")&amp;IF(N(AH293)&gt;0,", "&amp;AH$2,"")&amp;IF(N(AI293)&gt;0,", "&amp;AI$2,"")&amp;IF(N(AJ293)&gt;0,", "&amp;AJ$2,""),3,999)</f>
        <v/>
      </c>
      <c r="AM293" s="87" t="str">
        <f aca="false">IF(E293="","",MID(IF(N(Y293)&gt;0,", "&amp;A293&amp;"-"&amp;Y$2,"")&amp;IF(N(Z293)&gt;0,", "&amp;A293&amp;"-"&amp;Z$2,"")&amp;IF(N(AA293)&gt;0,", "&amp;A293&amp;"-"&amp;AA$2,"")&amp;IF(N(AB293)&gt;0,", "&amp;A293&amp;"-"&amp;AB$2,"")&amp;IF(N(AC293)&gt;0,", "&amp;A293&amp;"-"&amp;AC$2,"")&amp;IF(N(AD293)&gt;0,", "&amp;A293&amp;"-"&amp;AD$2,"")&amp;IF(N(AE293)&gt;0,", "&amp;A293&amp;"-"&amp;AE$2,"")&amp;IF(N(AF293)&gt;0,", "&amp;A293&amp;"-"&amp;AF$2,"")&amp;IF(N(AG293)&gt;0,", "&amp;A293&amp;"-"&amp;AG$2,"")&amp;IF(N(AH293)&gt;0,", "&amp;A293&amp;"-"&amp;AH$2,"")&amp;IF(N(AI293)&gt;0,", "&amp;A293&amp;"-"&amp;AI$2,"")&amp;IF(N(AJ293)&gt;0,", "&amp;A293&amp;"-"&amp;AJ$2,""),3,999))</f>
        <v/>
      </c>
      <c r="AN293" s="81"/>
      <c r="AO293" s="88"/>
      <c r="AP293" s="89" t="str">
        <f aca="false">IF(AO293="","",ROUND(AO293/(1+Справочники!$B$13),2))</f>
        <v/>
      </c>
      <c r="AQ293" s="90" t="str">
        <f aca="false" t="array" ref="AQ293:AQ293">IF(AP293="","",AP293*INDEX(Справочники!$B$4:$B$7,MATCH("RUB",Справочники!$A$4:$A$7,0)))</f>
        <v/>
      </c>
      <c r="AR293" s="90" t="str">
        <f aca="false">IF(AQ293="","",ROUND(AQ293*(1+Справочники!$B$12),0))</f>
        <v/>
      </c>
      <c r="AS293" s="90" t="str">
        <f aca="false">IF(AR293="","",ROUND(AR293*(1-Справочники!$B$11),0))</f>
        <v/>
      </c>
      <c r="AT293" s="88"/>
      <c r="AU293" s="90" t="str">
        <f aca="false">IF(AT293="","",ROUND(AT293/(1+Справочники!$B$12),0))</f>
        <v/>
      </c>
      <c r="AV293" s="90" t="str">
        <f aca="false">IF(AT293="","",ROUND(AT293*(1-Справочники!$B$15),0))</f>
        <v/>
      </c>
      <c r="AW293" s="90" t="str">
        <f aca="false">IF(AT293="","",ROUND(AT293*(1-Справочники!$B$16),0))</f>
        <v/>
      </c>
      <c r="AX293" s="90" t="str">
        <f aca="false">IF(AT293="","",ROUND(AT293*(1-Справочники!$B$17),0))</f>
        <v/>
      </c>
      <c r="AY293" s="90" t="str">
        <f aca="false">IF(AT293="","",ROUND(AT293*(1-Справочники!$B$18),0))</f>
        <v/>
      </c>
      <c r="AZ293" s="90" t="str">
        <f aca="false">IF(AT293="","",ROUND(AT293*(1-Справочники!$B$19),0))</f>
        <v/>
      </c>
      <c r="BA293" s="81"/>
      <c r="BB293" s="81"/>
      <c r="BC293" s="81"/>
      <c r="BD293" s="81"/>
      <c r="BE293" s="91"/>
      <c r="BF293" s="81" t="s">
        <v>103</v>
      </c>
      <c r="BG293" s="89" t="n">
        <f aca="false" t="array" ref="BG293:BG293">IF(BF293="","",IFERROR(INDEX(Справочники!$B$4:$B$7,MATCH(BF293,Справочники!$A$4:$A$7,0)),""))</f>
        <v>68.5</v>
      </c>
      <c r="BH293" s="90" t="str">
        <f aca="false">IF(N(BN293)&gt;0,ROUND(SUMIF(ЗАКАЗЫ!$F$3:$F$500,$A293,ЗАКАЗЫ!$Y$3:$Y$500)/BN293,0),IF(OR(BE293="",BG293=""),"",ROUND(BE293*BG293*(1+Справочники!$B$10),0)))</f>
        <v/>
      </c>
      <c r="BI293" s="92" t="str">
        <f aca="false">IF(OR(AU293="",BH293="",AU293=0),"",(AU293-BH293)/AU293)</f>
        <v/>
      </c>
      <c r="BJ293" s="81"/>
      <c r="BK293" s="83"/>
      <c r="BL293" s="43" t="str">
        <f aca="false">IFERROR(INDEX(ЗАКАЗЫ!$N$3:$N$500,MATCH($A293,ЗАКАЗЫ!$F$3:$F$500,0)),"")</f>
        <v/>
      </c>
      <c r="BM293" s="8" t="str">
        <f aca="false">IF(BL293="","",IFERROR(VLOOKUP(BL293,'ТН ВЭД'!$A$4:$C$40,3,0),""))</f>
        <v/>
      </c>
      <c r="BN293" s="7" t="str">
        <f aca="false">IF(COUNTIF(ЗАКАЗЫ!$F$3:$F$500,$A293)=0,"",SUMIF(ЗАКАЗЫ!$F$3:$F$500,$A293,ЗАКАЗЫ!$J$3:$J$500))</f>
        <v/>
      </c>
      <c r="BO293" s="7" t="str">
        <f aca="false">IF(BN293="","",SUMIF(ЗАКАЗЫ!$F$3:$F$500,$A293,ЗАКАЗЫ!$AL$3:$AL$500))</f>
        <v/>
      </c>
      <c r="BP293" s="7" t="str">
        <f aca="false">IF(BN293="","",BN293-BO293)</f>
        <v/>
      </c>
      <c r="BQ293" s="55" t="str">
        <f aca="false">IF(BN293="","",IF(BO293&gt;=BN293,"На складе",IF(BO293&gt;0,"Частично","Ждём")))</f>
        <v/>
      </c>
      <c r="BR293" s="43"/>
      <c r="BS293" s="47" t="str">
        <f aca="false">IF(BN293="","",IF(_xlfn.MAXIFS(ЗАКАЗЫ!$AK$3:$AK$500,ЗАКАЗЫ!$F$3:$F$500,$A293)=0,"",_xlfn.MAXIFS(ЗАКАЗЫ!$AK$3:$AK$500,ЗАКАЗЫ!$F$3:$F$500,$A293)))</f>
        <v/>
      </c>
    </row>
    <row r="294" customFormat="false" ht="15.75" hidden="false" customHeight="true" outlineLevel="0" collapsed="false">
      <c r="A294" s="80" t="s">
        <v>1126</v>
      </c>
      <c r="B294" s="81"/>
      <c r="C294" s="81"/>
      <c r="D294" s="81"/>
      <c r="E294" s="83"/>
      <c r="F294" s="81"/>
      <c r="G294" s="83"/>
      <c r="H294" s="83"/>
      <c r="I294" s="84" t="str">
        <f aca="false">IF(E294="","",A294&amp;"_1.jpg")</f>
        <v/>
      </c>
      <c r="J294" s="84" t="str">
        <f aca="false">IF(E294="","",A294&amp;"_2.jpg; "&amp;A294&amp;"_3.jpg")</f>
        <v/>
      </c>
      <c r="K294" s="84" t="str">
        <f aca="false">IF(E294="","",A294&amp;"_schema.jpg")</f>
        <v/>
      </c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 t="s">
        <v>96</v>
      </c>
      <c r="W294" s="81"/>
      <c r="X294" s="81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6" t="str">
        <f aca="false">IF(SUM(Y294:AJ294)=0,"",SUM(Y294:AJ294))</f>
        <v/>
      </c>
      <c r="AL294" s="84" t="str">
        <f aca="false">MID(IF(N(Y294)&gt;0,", "&amp;Y$2,"")&amp;IF(N(Z294)&gt;0,", "&amp;Z$2,"")&amp;IF(N(AA294)&gt;0,", "&amp;AA$2,"")&amp;IF(N(AB294)&gt;0,", "&amp;AB$2,"")&amp;IF(N(AC294)&gt;0,", "&amp;AC$2,"")&amp;IF(N(AD294)&gt;0,", "&amp;AD$2,"")&amp;IF(N(AE294)&gt;0,", "&amp;AE$2,"")&amp;IF(N(AF294)&gt;0,", "&amp;AF$2,"")&amp;IF(N(AG294)&gt;0,", "&amp;AG$2,"")&amp;IF(N(AH294)&gt;0,", "&amp;AH$2,"")&amp;IF(N(AI294)&gt;0,", "&amp;AI$2,"")&amp;IF(N(AJ294)&gt;0,", "&amp;AJ$2,""),3,999)</f>
        <v/>
      </c>
      <c r="AM294" s="87" t="str">
        <f aca="false">IF(E294="","",MID(IF(N(Y294)&gt;0,", "&amp;A294&amp;"-"&amp;Y$2,"")&amp;IF(N(Z294)&gt;0,", "&amp;A294&amp;"-"&amp;Z$2,"")&amp;IF(N(AA294)&gt;0,", "&amp;A294&amp;"-"&amp;AA$2,"")&amp;IF(N(AB294)&gt;0,", "&amp;A294&amp;"-"&amp;AB$2,"")&amp;IF(N(AC294)&gt;0,", "&amp;A294&amp;"-"&amp;AC$2,"")&amp;IF(N(AD294)&gt;0,", "&amp;A294&amp;"-"&amp;AD$2,"")&amp;IF(N(AE294)&gt;0,", "&amp;A294&amp;"-"&amp;AE$2,"")&amp;IF(N(AF294)&gt;0,", "&amp;A294&amp;"-"&amp;AF$2,"")&amp;IF(N(AG294)&gt;0,", "&amp;A294&amp;"-"&amp;AG$2,"")&amp;IF(N(AH294)&gt;0,", "&amp;A294&amp;"-"&amp;AH$2,"")&amp;IF(N(AI294)&gt;0,", "&amp;A294&amp;"-"&amp;AI$2,"")&amp;IF(N(AJ294)&gt;0,", "&amp;A294&amp;"-"&amp;AJ$2,""),3,999))</f>
        <v/>
      </c>
      <c r="AN294" s="81"/>
      <c r="AO294" s="88"/>
      <c r="AP294" s="89" t="str">
        <f aca="false">IF(AO294="","",ROUND(AO294/(1+Справочники!$B$13),2))</f>
        <v/>
      </c>
      <c r="AQ294" s="90" t="str">
        <f aca="false" t="array" ref="AQ294:AQ294">IF(AP294="","",AP294*INDEX(Справочники!$B$4:$B$7,MATCH("RUB",Справочники!$A$4:$A$7,0)))</f>
        <v/>
      </c>
      <c r="AR294" s="90" t="str">
        <f aca="false">IF(AQ294="","",ROUND(AQ294*(1+Справочники!$B$12),0))</f>
        <v/>
      </c>
      <c r="AS294" s="90" t="str">
        <f aca="false">IF(AR294="","",ROUND(AR294*(1-Справочники!$B$11),0))</f>
        <v/>
      </c>
      <c r="AT294" s="88"/>
      <c r="AU294" s="90" t="str">
        <f aca="false">IF(AT294="","",ROUND(AT294/(1+Справочники!$B$12),0))</f>
        <v/>
      </c>
      <c r="AV294" s="90" t="str">
        <f aca="false">IF(AT294="","",ROUND(AT294*(1-Справочники!$B$15),0))</f>
        <v/>
      </c>
      <c r="AW294" s="90" t="str">
        <f aca="false">IF(AT294="","",ROUND(AT294*(1-Справочники!$B$16),0))</f>
        <v/>
      </c>
      <c r="AX294" s="90" t="str">
        <f aca="false">IF(AT294="","",ROUND(AT294*(1-Справочники!$B$17),0))</f>
        <v/>
      </c>
      <c r="AY294" s="90" t="str">
        <f aca="false">IF(AT294="","",ROUND(AT294*(1-Справочники!$B$18),0))</f>
        <v/>
      </c>
      <c r="AZ294" s="90" t="str">
        <f aca="false">IF(AT294="","",ROUND(AT294*(1-Справочники!$B$19),0))</f>
        <v/>
      </c>
      <c r="BA294" s="81"/>
      <c r="BB294" s="81"/>
      <c r="BC294" s="81"/>
      <c r="BD294" s="81"/>
      <c r="BE294" s="91"/>
      <c r="BF294" s="81" t="s">
        <v>103</v>
      </c>
      <c r="BG294" s="89" t="n">
        <f aca="false" t="array" ref="BG294:BG294">IF(BF294="","",IFERROR(INDEX(Справочники!$B$4:$B$7,MATCH(BF294,Справочники!$A$4:$A$7,0)),""))</f>
        <v>68.5</v>
      </c>
      <c r="BH294" s="90" t="str">
        <f aca="false">IF(N(BN294)&gt;0,ROUND(SUMIF(ЗАКАЗЫ!$F$3:$F$500,$A294,ЗАКАЗЫ!$Y$3:$Y$500)/BN294,0),IF(OR(BE294="",BG294=""),"",ROUND(BE294*BG294*(1+Справочники!$B$10),0)))</f>
        <v/>
      </c>
      <c r="BI294" s="92" t="str">
        <f aca="false">IF(OR(AU294="",BH294="",AU294=0),"",(AU294-BH294)/AU294)</f>
        <v/>
      </c>
      <c r="BJ294" s="81"/>
      <c r="BK294" s="83"/>
      <c r="BL294" s="43" t="str">
        <f aca="false">IFERROR(INDEX(ЗАКАЗЫ!$N$3:$N$500,MATCH($A294,ЗАКАЗЫ!$F$3:$F$500,0)),"")</f>
        <v/>
      </c>
      <c r="BM294" s="8" t="str">
        <f aca="false">IF(BL294="","",IFERROR(VLOOKUP(BL294,'ТН ВЭД'!$A$4:$C$40,3,0),""))</f>
        <v/>
      </c>
      <c r="BN294" s="7" t="str">
        <f aca="false">IF(COUNTIF(ЗАКАЗЫ!$F$3:$F$500,$A294)=0,"",SUMIF(ЗАКАЗЫ!$F$3:$F$500,$A294,ЗАКАЗЫ!$J$3:$J$500))</f>
        <v/>
      </c>
      <c r="BO294" s="7" t="str">
        <f aca="false">IF(BN294="","",SUMIF(ЗАКАЗЫ!$F$3:$F$500,$A294,ЗАКАЗЫ!$AL$3:$AL$500))</f>
        <v/>
      </c>
      <c r="BP294" s="7" t="str">
        <f aca="false">IF(BN294="","",BN294-BO294)</f>
        <v/>
      </c>
      <c r="BQ294" s="55" t="str">
        <f aca="false">IF(BN294="","",IF(BO294&gt;=BN294,"На складе",IF(BO294&gt;0,"Частично","Ждём")))</f>
        <v/>
      </c>
      <c r="BR294" s="43"/>
      <c r="BS294" s="47" t="str">
        <f aca="false">IF(BN294="","",IF(_xlfn.MAXIFS(ЗАКАЗЫ!$AK$3:$AK$500,ЗАКАЗЫ!$F$3:$F$500,$A294)=0,"",_xlfn.MAXIFS(ЗАКАЗЫ!$AK$3:$AK$500,ЗАКАЗЫ!$F$3:$F$500,$A294)))</f>
        <v/>
      </c>
    </row>
    <row r="295" customFormat="false" ht="15.75" hidden="false" customHeight="true" outlineLevel="0" collapsed="false">
      <c r="A295" s="80" t="s">
        <v>1127</v>
      </c>
      <c r="B295" s="81"/>
      <c r="C295" s="81"/>
      <c r="D295" s="81"/>
      <c r="E295" s="83"/>
      <c r="F295" s="81"/>
      <c r="G295" s="83"/>
      <c r="H295" s="83"/>
      <c r="I295" s="84" t="str">
        <f aca="false">IF(E295="","",A295&amp;"_1.jpg")</f>
        <v/>
      </c>
      <c r="J295" s="84" t="str">
        <f aca="false">IF(E295="","",A295&amp;"_2.jpg; "&amp;A295&amp;"_3.jpg")</f>
        <v/>
      </c>
      <c r="K295" s="84" t="str">
        <f aca="false">IF(E295="","",A295&amp;"_schema.jpg")</f>
        <v/>
      </c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 t="s">
        <v>96</v>
      </c>
      <c r="W295" s="81"/>
      <c r="X295" s="81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6" t="str">
        <f aca="false">IF(SUM(Y295:AJ295)=0,"",SUM(Y295:AJ295))</f>
        <v/>
      </c>
      <c r="AL295" s="84" t="str">
        <f aca="false">MID(IF(N(Y295)&gt;0,", "&amp;Y$2,"")&amp;IF(N(Z295)&gt;0,", "&amp;Z$2,"")&amp;IF(N(AA295)&gt;0,", "&amp;AA$2,"")&amp;IF(N(AB295)&gt;0,", "&amp;AB$2,"")&amp;IF(N(AC295)&gt;0,", "&amp;AC$2,"")&amp;IF(N(AD295)&gt;0,", "&amp;AD$2,"")&amp;IF(N(AE295)&gt;0,", "&amp;AE$2,"")&amp;IF(N(AF295)&gt;0,", "&amp;AF$2,"")&amp;IF(N(AG295)&gt;0,", "&amp;AG$2,"")&amp;IF(N(AH295)&gt;0,", "&amp;AH$2,"")&amp;IF(N(AI295)&gt;0,", "&amp;AI$2,"")&amp;IF(N(AJ295)&gt;0,", "&amp;AJ$2,""),3,999)</f>
        <v/>
      </c>
      <c r="AM295" s="87" t="str">
        <f aca="false">IF(E295="","",MID(IF(N(Y295)&gt;0,", "&amp;A295&amp;"-"&amp;Y$2,"")&amp;IF(N(Z295)&gt;0,", "&amp;A295&amp;"-"&amp;Z$2,"")&amp;IF(N(AA295)&gt;0,", "&amp;A295&amp;"-"&amp;AA$2,"")&amp;IF(N(AB295)&gt;0,", "&amp;A295&amp;"-"&amp;AB$2,"")&amp;IF(N(AC295)&gt;0,", "&amp;A295&amp;"-"&amp;AC$2,"")&amp;IF(N(AD295)&gt;0,", "&amp;A295&amp;"-"&amp;AD$2,"")&amp;IF(N(AE295)&gt;0,", "&amp;A295&amp;"-"&amp;AE$2,"")&amp;IF(N(AF295)&gt;0,", "&amp;A295&amp;"-"&amp;AF$2,"")&amp;IF(N(AG295)&gt;0,", "&amp;A295&amp;"-"&amp;AG$2,"")&amp;IF(N(AH295)&gt;0,", "&amp;A295&amp;"-"&amp;AH$2,"")&amp;IF(N(AI295)&gt;0,", "&amp;A295&amp;"-"&amp;AI$2,"")&amp;IF(N(AJ295)&gt;0,", "&amp;A295&amp;"-"&amp;AJ$2,""),3,999))</f>
        <v/>
      </c>
      <c r="AN295" s="81"/>
      <c r="AO295" s="88"/>
      <c r="AP295" s="89" t="str">
        <f aca="false">IF(AO295="","",ROUND(AO295/(1+Справочники!$B$13),2))</f>
        <v/>
      </c>
      <c r="AQ295" s="90" t="str">
        <f aca="false" t="array" ref="AQ295:AQ295">IF(AP295="","",AP295*INDEX(Справочники!$B$4:$B$7,MATCH("RUB",Справочники!$A$4:$A$7,0)))</f>
        <v/>
      </c>
      <c r="AR295" s="90" t="str">
        <f aca="false">IF(AQ295="","",ROUND(AQ295*(1+Справочники!$B$12),0))</f>
        <v/>
      </c>
      <c r="AS295" s="90" t="str">
        <f aca="false">IF(AR295="","",ROUND(AR295*(1-Справочники!$B$11),0))</f>
        <v/>
      </c>
      <c r="AT295" s="88"/>
      <c r="AU295" s="90" t="str">
        <f aca="false">IF(AT295="","",ROUND(AT295/(1+Справочники!$B$12),0))</f>
        <v/>
      </c>
      <c r="AV295" s="90" t="str">
        <f aca="false">IF(AT295="","",ROUND(AT295*(1-Справочники!$B$15),0))</f>
        <v/>
      </c>
      <c r="AW295" s="90" t="str">
        <f aca="false">IF(AT295="","",ROUND(AT295*(1-Справочники!$B$16),0))</f>
        <v/>
      </c>
      <c r="AX295" s="90" t="str">
        <f aca="false">IF(AT295="","",ROUND(AT295*(1-Справочники!$B$17),0))</f>
        <v/>
      </c>
      <c r="AY295" s="90" t="str">
        <f aca="false">IF(AT295="","",ROUND(AT295*(1-Справочники!$B$18),0))</f>
        <v/>
      </c>
      <c r="AZ295" s="90" t="str">
        <f aca="false">IF(AT295="","",ROUND(AT295*(1-Справочники!$B$19),0))</f>
        <v/>
      </c>
      <c r="BA295" s="81"/>
      <c r="BB295" s="81"/>
      <c r="BC295" s="81"/>
      <c r="BD295" s="81"/>
      <c r="BE295" s="91"/>
      <c r="BF295" s="81" t="s">
        <v>103</v>
      </c>
      <c r="BG295" s="89" t="n">
        <f aca="false" t="array" ref="BG295:BG295">IF(BF295="","",IFERROR(INDEX(Справочники!$B$4:$B$7,MATCH(BF295,Справочники!$A$4:$A$7,0)),""))</f>
        <v>68.5</v>
      </c>
      <c r="BH295" s="90" t="str">
        <f aca="false">IF(N(BN295)&gt;0,ROUND(SUMIF(ЗАКАЗЫ!$F$3:$F$500,$A295,ЗАКАЗЫ!$Y$3:$Y$500)/BN295,0),IF(OR(BE295="",BG295=""),"",ROUND(BE295*BG295*(1+Справочники!$B$10),0)))</f>
        <v/>
      </c>
      <c r="BI295" s="92" t="str">
        <f aca="false">IF(OR(AU295="",BH295="",AU295=0),"",(AU295-BH295)/AU295)</f>
        <v/>
      </c>
      <c r="BJ295" s="81"/>
      <c r="BK295" s="83"/>
      <c r="BL295" s="43" t="str">
        <f aca="false">IFERROR(INDEX(ЗАКАЗЫ!$N$3:$N$500,MATCH($A295,ЗАКАЗЫ!$F$3:$F$500,0)),"")</f>
        <v/>
      </c>
      <c r="BM295" s="8" t="str">
        <f aca="false">IF(BL295="","",IFERROR(VLOOKUP(BL295,'ТН ВЭД'!$A$4:$C$40,3,0),""))</f>
        <v/>
      </c>
      <c r="BN295" s="7" t="str">
        <f aca="false">IF(COUNTIF(ЗАКАЗЫ!$F$3:$F$500,$A295)=0,"",SUMIF(ЗАКАЗЫ!$F$3:$F$500,$A295,ЗАКАЗЫ!$J$3:$J$500))</f>
        <v/>
      </c>
      <c r="BO295" s="7" t="str">
        <f aca="false">IF(BN295="","",SUMIF(ЗАКАЗЫ!$F$3:$F$500,$A295,ЗАКАЗЫ!$AL$3:$AL$500))</f>
        <v/>
      </c>
      <c r="BP295" s="7" t="str">
        <f aca="false">IF(BN295="","",BN295-BO295)</f>
        <v/>
      </c>
      <c r="BQ295" s="55" t="str">
        <f aca="false">IF(BN295="","",IF(BO295&gt;=BN295,"На складе",IF(BO295&gt;0,"Частично","Ждём")))</f>
        <v/>
      </c>
      <c r="BR295" s="43"/>
      <c r="BS295" s="47" t="str">
        <f aca="false">IF(BN295="","",IF(_xlfn.MAXIFS(ЗАКАЗЫ!$AK$3:$AK$500,ЗАКАЗЫ!$F$3:$F$500,$A295)=0,"",_xlfn.MAXIFS(ЗАКАЗЫ!$AK$3:$AK$500,ЗАКАЗЫ!$F$3:$F$500,$A295)))</f>
        <v/>
      </c>
    </row>
    <row r="296" customFormat="false" ht="15.75" hidden="false" customHeight="true" outlineLevel="0" collapsed="false">
      <c r="A296" s="80" t="s">
        <v>1128</v>
      </c>
      <c r="B296" s="81"/>
      <c r="C296" s="81"/>
      <c r="D296" s="81"/>
      <c r="E296" s="83"/>
      <c r="F296" s="81"/>
      <c r="G296" s="83"/>
      <c r="H296" s="83"/>
      <c r="I296" s="84" t="str">
        <f aca="false">IF(E296="","",A296&amp;"_1.jpg")</f>
        <v/>
      </c>
      <c r="J296" s="84" t="str">
        <f aca="false">IF(E296="","",A296&amp;"_2.jpg; "&amp;A296&amp;"_3.jpg")</f>
        <v/>
      </c>
      <c r="K296" s="84" t="str">
        <f aca="false">IF(E296="","",A296&amp;"_schema.jpg")</f>
        <v/>
      </c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 t="s">
        <v>96</v>
      </c>
      <c r="W296" s="81"/>
      <c r="X296" s="81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6" t="str">
        <f aca="false">IF(SUM(Y296:AJ296)=0,"",SUM(Y296:AJ296))</f>
        <v/>
      </c>
      <c r="AL296" s="84" t="str">
        <f aca="false">MID(IF(N(Y296)&gt;0,", "&amp;Y$2,"")&amp;IF(N(Z296)&gt;0,", "&amp;Z$2,"")&amp;IF(N(AA296)&gt;0,", "&amp;AA$2,"")&amp;IF(N(AB296)&gt;0,", "&amp;AB$2,"")&amp;IF(N(AC296)&gt;0,", "&amp;AC$2,"")&amp;IF(N(AD296)&gt;0,", "&amp;AD$2,"")&amp;IF(N(AE296)&gt;0,", "&amp;AE$2,"")&amp;IF(N(AF296)&gt;0,", "&amp;AF$2,"")&amp;IF(N(AG296)&gt;0,", "&amp;AG$2,"")&amp;IF(N(AH296)&gt;0,", "&amp;AH$2,"")&amp;IF(N(AI296)&gt;0,", "&amp;AI$2,"")&amp;IF(N(AJ296)&gt;0,", "&amp;AJ$2,""),3,999)</f>
        <v/>
      </c>
      <c r="AM296" s="87" t="str">
        <f aca="false">IF(E296="","",MID(IF(N(Y296)&gt;0,", "&amp;A296&amp;"-"&amp;Y$2,"")&amp;IF(N(Z296)&gt;0,", "&amp;A296&amp;"-"&amp;Z$2,"")&amp;IF(N(AA296)&gt;0,", "&amp;A296&amp;"-"&amp;AA$2,"")&amp;IF(N(AB296)&gt;0,", "&amp;A296&amp;"-"&amp;AB$2,"")&amp;IF(N(AC296)&gt;0,", "&amp;A296&amp;"-"&amp;AC$2,"")&amp;IF(N(AD296)&gt;0,", "&amp;A296&amp;"-"&amp;AD$2,"")&amp;IF(N(AE296)&gt;0,", "&amp;A296&amp;"-"&amp;AE$2,"")&amp;IF(N(AF296)&gt;0,", "&amp;A296&amp;"-"&amp;AF$2,"")&amp;IF(N(AG296)&gt;0,", "&amp;A296&amp;"-"&amp;AG$2,"")&amp;IF(N(AH296)&gt;0,", "&amp;A296&amp;"-"&amp;AH$2,"")&amp;IF(N(AI296)&gt;0,", "&amp;A296&amp;"-"&amp;AI$2,"")&amp;IF(N(AJ296)&gt;0,", "&amp;A296&amp;"-"&amp;AJ$2,""),3,999))</f>
        <v/>
      </c>
      <c r="AN296" s="81"/>
      <c r="AO296" s="88"/>
      <c r="AP296" s="89" t="str">
        <f aca="false">IF(AO296="","",ROUND(AO296/(1+Справочники!$B$13),2))</f>
        <v/>
      </c>
      <c r="AQ296" s="90" t="str">
        <f aca="false" t="array" ref="AQ296:AQ296">IF(AP296="","",AP296*INDEX(Справочники!$B$4:$B$7,MATCH("RUB",Справочники!$A$4:$A$7,0)))</f>
        <v/>
      </c>
      <c r="AR296" s="90" t="str">
        <f aca="false">IF(AQ296="","",ROUND(AQ296*(1+Справочники!$B$12),0))</f>
        <v/>
      </c>
      <c r="AS296" s="90" t="str">
        <f aca="false">IF(AR296="","",ROUND(AR296*(1-Справочники!$B$11),0))</f>
        <v/>
      </c>
      <c r="AT296" s="88"/>
      <c r="AU296" s="90" t="str">
        <f aca="false">IF(AT296="","",ROUND(AT296/(1+Справочники!$B$12),0))</f>
        <v/>
      </c>
      <c r="AV296" s="90" t="str">
        <f aca="false">IF(AT296="","",ROUND(AT296*(1-Справочники!$B$15),0))</f>
        <v/>
      </c>
      <c r="AW296" s="90" t="str">
        <f aca="false">IF(AT296="","",ROUND(AT296*(1-Справочники!$B$16),0))</f>
        <v/>
      </c>
      <c r="AX296" s="90" t="str">
        <f aca="false">IF(AT296="","",ROUND(AT296*(1-Справочники!$B$17),0))</f>
        <v/>
      </c>
      <c r="AY296" s="90" t="str">
        <f aca="false">IF(AT296="","",ROUND(AT296*(1-Справочники!$B$18),0))</f>
        <v/>
      </c>
      <c r="AZ296" s="90" t="str">
        <f aca="false">IF(AT296="","",ROUND(AT296*(1-Справочники!$B$19),0))</f>
        <v/>
      </c>
      <c r="BA296" s="81"/>
      <c r="BB296" s="81"/>
      <c r="BC296" s="81"/>
      <c r="BD296" s="81"/>
      <c r="BE296" s="91"/>
      <c r="BF296" s="81" t="s">
        <v>103</v>
      </c>
      <c r="BG296" s="89" t="n">
        <f aca="false" t="array" ref="BG296:BG296">IF(BF296="","",IFERROR(INDEX(Справочники!$B$4:$B$7,MATCH(BF296,Справочники!$A$4:$A$7,0)),""))</f>
        <v>68.5</v>
      </c>
      <c r="BH296" s="90" t="str">
        <f aca="false">IF(N(BN296)&gt;0,ROUND(SUMIF(ЗАКАЗЫ!$F$3:$F$500,$A296,ЗАКАЗЫ!$Y$3:$Y$500)/BN296,0),IF(OR(BE296="",BG296=""),"",ROUND(BE296*BG296*(1+Справочники!$B$10),0)))</f>
        <v/>
      </c>
      <c r="BI296" s="92" t="str">
        <f aca="false">IF(OR(AU296="",BH296="",AU296=0),"",(AU296-BH296)/AU296)</f>
        <v/>
      </c>
      <c r="BJ296" s="81"/>
      <c r="BK296" s="83"/>
      <c r="BL296" s="43" t="str">
        <f aca="false">IFERROR(INDEX(ЗАКАЗЫ!$N$3:$N$500,MATCH($A296,ЗАКАЗЫ!$F$3:$F$500,0)),"")</f>
        <v/>
      </c>
      <c r="BM296" s="8" t="str">
        <f aca="false">IF(BL296="","",IFERROR(VLOOKUP(BL296,'ТН ВЭД'!$A$4:$C$40,3,0),""))</f>
        <v/>
      </c>
      <c r="BN296" s="7" t="str">
        <f aca="false">IF(COUNTIF(ЗАКАЗЫ!$F$3:$F$500,$A296)=0,"",SUMIF(ЗАКАЗЫ!$F$3:$F$500,$A296,ЗАКАЗЫ!$J$3:$J$500))</f>
        <v/>
      </c>
      <c r="BO296" s="7" t="str">
        <f aca="false">IF(BN296="","",SUMIF(ЗАКАЗЫ!$F$3:$F$500,$A296,ЗАКАЗЫ!$AL$3:$AL$500))</f>
        <v/>
      </c>
      <c r="BP296" s="7" t="str">
        <f aca="false">IF(BN296="","",BN296-BO296)</f>
        <v/>
      </c>
      <c r="BQ296" s="55" t="str">
        <f aca="false">IF(BN296="","",IF(BO296&gt;=BN296,"На складе",IF(BO296&gt;0,"Частично","Ждём")))</f>
        <v/>
      </c>
      <c r="BR296" s="43"/>
      <c r="BS296" s="47" t="str">
        <f aca="false">IF(BN296="","",IF(_xlfn.MAXIFS(ЗАКАЗЫ!$AK$3:$AK$500,ЗАКАЗЫ!$F$3:$F$500,$A296)=0,"",_xlfn.MAXIFS(ЗАКАЗЫ!$AK$3:$AK$500,ЗАКАЗЫ!$F$3:$F$500,$A296)))</f>
        <v/>
      </c>
    </row>
    <row r="297" customFormat="false" ht="15.75" hidden="false" customHeight="true" outlineLevel="0" collapsed="false">
      <c r="A297" s="80" t="s">
        <v>1129</v>
      </c>
      <c r="B297" s="81"/>
      <c r="C297" s="81"/>
      <c r="D297" s="81"/>
      <c r="E297" s="83"/>
      <c r="F297" s="81"/>
      <c r="G297" s="83"/>
      <c r="H297" s="83"/>
      <c r="I297" s="84" t="str">
        <f aca="false">IF(E297="","",A297&amp;"_1.jpg")</f>
        <v/>
      </c>
      <c r="J297" s="84" t="str">
        <f aca="false">IF(E297="","",A297&amp;"_2.jpg; "&amp;A297&amp;"_3.jpg")</f>
        <v/>
      </c>
      <c r="K297" s="84" t="str">
        <f aca="false">IF(E297="","",A297&amp;"_schema.jpg")</f>
        <v/>
      </c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 t="s">
        <v>96</v>
      </c>
      <c r="W297" s="81"/>
      <c r="X297" s="81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6" t="str">
        <f aca="false">IF(SUM(Y297:AJ297)=0,"",SUM(Y297:AJ297))</f>
        <v/>
      </c>
      <c r="AL297" s="84" t="str">
        <f aca="false">MID(IF(N(Y297)&gt;0,", "&amp;Y$2,"")&amp;IF(N(Z297)&gt;0,", "&amp;Z$2,"")&amp;IF(N(AA297)&gt;0,", "&amp;AA$2,"")&amp;IF(N(AB297)&gt;0,", "&amp;AB$2,"")&amp;IF(N(AC297)&gt;0,", "&amp;AC$2,"")&amp;IF(N(AD297)&gt;0,", "&amp;AD$2,"")&amp;IF(N(AE297)&gt;0,", "&amp;AE$2,"")&amp;IF(N(AF297)&gt;0,", "&amp;AF$2,"")&amp;IF(N(AG297)&gt;0,", "&amp;AG$2,"")&amp;IF(N(AH297)&gt;0,", "&amp;AH$2,"")&amp;IF(N(AI297)&gt;0,", "&amp;AI$2,"")&amp;IF(N(AJ297)&gt;0,", "&amp;AJ$2,""),3,999)</f>
        <v/>
      </c>
      <c r="AM297" s="87" t="str">
        <f aca="false">IF(E297="","",MID(IF(N(Y297)&gt;0,", "&amp;A297&amp;"-"&amp;Y$2,"")&amp;IF(N(Z297)&gt;0,", "&amp;A297&amp;"-"&amp;Z$2,"")&amp;IF(N(AA297)&gt;0,", "&amp;A297&amp;"-"&amp;AA$2,"")&amp;IF(N(AB297)&gt;0,", "&amp;A297&amp;"-"&amp;AB$2,"")&amp;IF(N(AC297)&gt;0,", "&amp;A297&amp;"-"&amp;AC$2,"")&amp;IF(N(AD297)&gt;0,", "&amp;A297&amp;"-"&amp;AD$2,"")&amp;IF(N(AE297)&gt;0,", "&amp;A297&amp;"-"&amp;AE$2,"")&amp;IF(N(AF297)&gt;0,", "&amp;A297&amp;"-"&amp;AF$2,"")&amp;IF(N(AG297)&gt;0,", "&amp;A297&amp;"-"&amp;AG$2,"")&amp;IF(N(AH297)&gt;0,", "&amp;A297&amp;"-"&amp;AH$2,"")&amp;IF(N(AI297)&gt;0,", "&amp;A297&amp;"-"&amp;AI$2,"")&amp;IF(N(AJ297)&gt;0,", "&amp;A297&amp;"-"&amp;AJ$2,""),3,999))</f>
        <v/>
      </c>
      <c r="AN297" s="81"/>
      <c r="AO297" s="88"/>
      <c r="AP297" s="89" t="str">
        <f aca="false">IF(AO297="","",ROUND(AO297/(1+Справочники!$B$13),2))</f>
        <v/>
      </c>
      <c r="AQ297" s="90" t="str">
        <f aca="false" t="array" ref="AQ297:AQ297">IF(AP297="","",AP297*INDEX(Справочники!$B$4:$B$7,MATCH("RUB",Справочники!$A$4:$A$7,0)))</f>
        <v/>
      </c>
      <c r="AR297" s="90" t="str">
        <f aca="false">IF(AQ297="","",ROUND(AQ297*(1+Справочники!$B$12),0))</f>
        <v/>
      </c>
      <c r="AS297" s="90" t="str">
        <f aca="false">IF(AR297="","",ROUND(AR297*(1-Справочники!$B$11),0))</f>
        <v/>
      </c>
      <c r="AT297" s="88"/>
      <c r="AU297" s="90" t="str">
        <f aca="false">IF(AT297="","",ROUND(AT297/(1+Справочники!$B$12),0))</f>
        <v/>
      </c>
      <c r="AV297" s="90" t="str">
        <f aca="false">IF(AT297="","",ROUND(AT297*(1-Справочники!$B$15),0))</f>
        <v/>
      </c>
      <c r="AW297" s="90" t="str">
        <f aca="false">IF(AT297="","",ROUND(AT297*(1-Справочники!$B$16),0))</f>
        <v/>
      </c>
      <c r="AX297" s="90" t="str">
        <f aca="false">IF(AT297="","",ROUND(AT297*(1-Справочники!$B$17),0))</f>
        <v/>
      </c>
      <c r="AY297" s="90" t="str">
        <f aca="false">IF(AT297="","",ROUND(AT297*(1-Справочники!$B$18),0))</f>
        <v/>
      </c>
      <c r="AZ297" s="90" t="str">
        <f aca="false">IF(AT297="","",ROUND(AT297*(1-Справочники!$B$19),0))</f>
        <v/>
      </c>
      <c r="BA297" s="81"/>
      <c r="BB297" s="81"/>
      <c r="BC297" s="81"/>
      <c r="BD297" s="81"/>
      <c r="BE297" s="91"/>
      <c r="BF297" s="81" t="s">
        <v>103</v>
      </c>
      <c r="BG297" s="89" t="n">
        <f aca="false" t="array" ref="BG297:BG297">IF(BF297="","",IFERROR(INDEX(Справочники!$B$4:$B$7,MATCH(BF297,Справочники!$A$4:$A$7,0)),""))</f>
        <v>68.5</v>
      </c>
      <c r="BH297" s="90" t="str">
        <f aca="false">IF(N(BN297)&gt;0,ROUND(SUMIF(ЗАКАЗЫ!$F$3:$F$500,$A297,ЗАКАЗЫ!$Y$3:$Y$500)/BN297,0),IF(OR(BE297="",BG297=""),"",ROUND(BE297*BG297*(1+Справочники!$B$10),0)))</f>
        <v/>
      </c>
      <c r="BI297" s="92" t="str">
        <f aca="false">IF(OR(AU297="",BH297="",AU297=0),"",(AU297-BH297)/AU297)</f>
        <v/>
      </c>
      <c r="BJ297" s="81"/>
      <c r="BK297" s="83"/>
      <c r="BL297" s="43" t="str">
        <f aca="false">IFERROR(INDEX(ЗАКАЗЫ!$N$3:$N$500,MATCH($A297,ЗАКАЗЫ!$F$3:$F$500,0)),"")</f>
        <v/>
      </c>
      <c r="BM297" s="8" t="str">
        <f aca="false">IF(BL297="","",IFERROR(VLOOKUP(BL297,'ТН ВЭД'!$A$4:$C$40,3,0),""))</f>
        <v/>
      </c>
      <c r="BN297" s="7" t="str">
        <f aca="false">IF(COUNTIF(ЗАКАЗЫ!$F$3:$F$500,$A297)=0,"",SUMIF(ЗАКАЗЫ!$F$3:$F$500,$A297,ЗАКАЗЫ!$J$3:$J$500))</f>
        <v/>
      </c>
      <c r="BO297" s="7" t="str">
        <f aca="false">IF(BN297="","",SUMIF(ЗАКАЗЫ!$F$3:$F$500,$A297,ЗАКАЗЫ!$AL$3:$AL$500))</f>
        <v/>
      </c>
      <c r="BP297" s="7" t="str">
        <f aca="false">IF(BN297="","",BN297-BO297)</f>
        <v/>
      </c>
      <c r="BQ297" s="55" t="str">
        <f aca="false">IF(BN297="","",IF(BO297&gt;=BN297,"На складе",IF(BO297&gt;0,"Частично","Ждём")))</f>
        <v/>
      </c>
      <c r="BR297" s="43"/>
      <c r="BS297" s="47" t="str">
        <f aca="false">IF(BN297="","",IF(_xlfn.MAXIFS(ЗАКАЗЫ!$AK$3:$AK$500,ЗАКАЗЫ!$F$3:$F$500,$A297)=0,"",_xlfn.MAXIFS(ЗАКАЗЫ!$AK$3:$AK$500,ЗАКАЗЫ!$F$3:$F$500,$A297)))</f>
        <v/>
      </c>
    </row>
    <row r="298" customFormat="false" ht="15.75" hidden="false" customHeight="true" outlineLevel="0" collapsed="false">
      <c r="A298" s="80" t="s">
        <v>1130</v>
      </c>
      <c r="B298" s="81"/>
      <c r="C298" s="81"/>
      <c r="D298" s="81"/>
      <c r="E298" s="83"/>
      <c r="F298" s="81"/>
      <c r="G298" s="83"/>
      <c r="H298" s="83"/>
      <c r="I298" s="84" t="str">
        <f aca="false">IF(E298="","",A298&amp;"_1.jpg")</f>
        <v/>
      </c>
      <c r="J298" s="84" t="str">
        <f aca="false">IF(E298="","",A298&amp;"_2.jpg; "&amp;A298&amp;"_3.jpg")</f>
        <v/>
      </c>
      <c r="K298" s="84" t="str">
        <f aca="false">IF(E298="","",A298&amp;"_schema.jpg")</f>
        <v/>
      </c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 t="s">
        <v>96</v>
      </c>
      <c r="W298" s="81"/>
      <c r="X298" s="81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6" t="str">
        <f aca="false">IF(SUM(Y298:AJ298)=0,"",SUM(Y298:AJ298))</f>
        <v/>
      </c>
      <c r="AL298" s="84" t="str">
        <f aca="false">MID(IF(N(Y298)&gt;0,", "&amp;Y$2,"")&amp;IF(N(Z298)&gt;0,", "&amp;Z$2,"")&amp;IF(N(AA298)&gt;0,", "&amp;AA$2,"")&amp;IF(N(AB298)&gt;0,", "&amp;AB$2,"")&amp;IF(N(AC298)&gt;0,", "&amp;AC$2,"")&amp;IF(N(AD298)&gt;0,", "&amp;AD$2,"")&amp;IF(N(AE298)&gt;0,", "&amp;AE$2,"")&amp;IF(N(AF298)&gt;0,", "&amp;AF$2,"")&amp;IF(N(AG298)&gt;0,", "&amp;AG$2,"")&amp;IF(N(AH298)&gt;0,", "&amp;AH$2,"")&amp;IF(N(AI298)&gt;0,", "&amp;AI$2,"")&amp;IF(N(AJ298)&gt;0,", "&amp;AJ$2,""),3,999)</f>
        <v/>
      </c>
      <c r="AM298" s="87" t="str">
        <f aca="false">IF(E298="","",MID(IF(N(Y298)&gt;0,", "&amp;A298&amp;"-"&amp;Y$2,"")&amp;IF(N(Z298)&gt;0,", "&amp;A298&amp;"-"&amp;Z$2,"")&amp;IF(N(AA298)&gt;0,", "&amp;A298&amp;"-"&amp;AA$2,"")&amp;IF(N(AB298)&gt;0,", "&amp;A298&amp;"-"&amp;AB$2,"")&amp;IF(N(AC298)&gt;0,", "&amp;A298&amp;"-"&amp;AC$2,"")&amp;IF(N(AD298)&gt;0,", "&amp;A298&amp;"-"&amp;AD$2,"")&amp;IF(N(AE298)&gt;0,", "&amp;A298&amp;"-"&amp;AE$2,"")&amp;IF(N(AF298)&gt;0,", "&amp;A298&amp;"-"&amp;AF$2,"")&amp;IF(N(AG298)&gt;0,", "&amp;A298&amp;"-"&amp;AG$2,"")&amp;IF(N(AH298)&gt;0,", "&amp;A298&amp;"-"&amp;AH$2,"")&amp;IF(N(AI298)&gt;0,", "&amp;A298&amp;"-"&amp;AI$2,"")&amp;IF(N(AJ298)&gt;0,", "&amp;A298&amp;"-"&amp;AJ$2,""),3,999))</f>
        <v/>
      </c>
      <c r="AN298" s="81"/>
      <c r="AO298" s="88"/>
      <c r="AP298" s="89" t="str">
        <f aca="false">IF(AO298="","",ROUND(AO298/(1+Справочники!$B$13),2))</f>
        <v/>
      </c>
      <c r="AQ298" s="90" t="str">
        <f aca="false" t="array" ref="AQ298:AQ298">IF(AP298="","",AP298*INDEX(Справочники!$B$4:$B$7,MATCH("RUB",Справочники!$A$4:$A$7,0)))</f>
        <v/>
      </c>
      <c r="AR298" s="90" t="str">
        <f aca="false">IF(AQ298="","",ROUND(AQ298*(1+Справочники!$B$12),0))</f>
        <v/>
      </c>
      <c r="AS298" s="90" t="str">
        <f aca="false">IF(AR298="","",ROUND(AR298*(1-Справочники!$B$11),0))</f>
        <v/>
      </c>
      <c r="AT298" s="88"/>
      <c r="AU298" s="90" t="str">
        <f aca="false">IF(AT298="","",ROUND(AT298/(1+Справочники!$B$12),0))</f>
        <v/>
      </c>
      <c r="AV298" s="90" t="str">
        <f aca="false">IF(AT298="","",ROUND(AT298*(1-Справочники!$B$15),0))</f>
        <v/>
      </c>
      <c r="AW298" s="90" t="str">
        <f aca="false">IF(AT298="","",ROUND(AT298*(1-Справочники!$B$16),0))</f>
        <v/>
      </c>
      <c r="AX298" s="90" t="str">
        <f aca="false">IF(AT298="","",ROUND(AT298*(1-Справочники!$B$17),0))</f>
        <v/>
      </c>
      <c r="AY298" s="90" t="str">
        <f aca="false">IF(AT298="","",ROUND(AT298*(1-Справочники!$B$18),0))</f>
        <v/>
      </c>
      <c r="AZ298" s="90" t="str">
        <f aca="false">IF(AT298="","",ROUND(AT298*(1-Справочники!$B$19),0))</f>
        <v/>
      </c>
      <c r="BA298" s="81"/>
      <c r="BB298" s="81"/>
      <c r="BC298" s="81"/>
      <c r="BD298" s="81"/>
      <c r="BE298" s="91"/>
      <c r="BF298" s="81" t="s">
        <v>103</v>
      </c>
      <c r="BG298" s="89" t="n">
        <f aca="false" t="array" ref="BG298:BG298">IF(BF298="","",IFERROR(INDEX(Справочники!$B$4:$B$7,MATCH(BF298,Справочники!$A$4:$A$7,0)),""))</f>
        <v>68.5</v>
      </c>
      <c r="BH298" s="90" t="str">
        <f aca="false">IF(N(BN298)&gt;0,ROUND(SUMIF(ЗАКАЗЫ!$F$3:$F$500,$A298,ЗАКАЗЫ!$Y$3:$Y$500)/BN298,0),IF(OR(BE298="",BG298=""),"",ROUND(BE298*BG298*(1+Справочники!$B$10),0)))</f>
        <v/>
      </c>
      <c r="BI298" s="92" t="str">
        <f aca="false">IF(OR(AU298="",BH298="",AU298=0),"",(AU298-BH298)/AU298)</f>
        <v/>
      </c>
      <c r="BJ298" s="81"/>
      <c r="BK298" s="83"/>
      <c r="BL298" s="43" t="str">
        <f aca="false">IFERROR(INDEX(ЗАКАЗЫ!$N$3:$N$500,MATCH($A298,ЗАКАЗЫ!$F$3:$F$500,0)),"")</f>
        <v/>
      </c>
      <c r="BM298" s="8" t="str">
        <f aca="false">IF(BL298="","",IFERROR(VLOOKUP(BL298,'ТН ВЭД'!$A$4:$C$40,3,0),""))</f>
        <v/>
      </c>
      <c r="BN298" s="7" t="str">
        <f aca="false">IF(COUNTIF(ЗАКАЗЫ!$F$3:$F$500,$A298)=0,"",SUMIF(ЗАКАЗЫ!$F$3:$F$500,$A298,ЗАКАЗЫ!$J$3:$J$500))</f>
        <v/>
      </c>
      <c r="BO298" s="7" t="str">
        <f aca="false">IF(BN298="","",SUMIF(ЗАКАЗЫ!$F$3:$F$500,$A298,ЗАКАЗЫ!$AL$3:$AL$500))</f>
        <v/>
      </c>
      <c r="BP298" s="7" t="str">
        <f aca="false">IF(BN298="","",BN298-BO298)</f>
        <v/>
      </c>
      <c r="BQ298" s="55" t="str">
        <f aca="false">IF(BN298="","",IF(BO298&gt;=BN298,"На складе",IF(BO298&gt;0,"Частично","Ждём")))</f>
        <v/>
      </c>
      <c r="BR298" s="43"/>
      <c r="BS298" s="47" t="str">
        <f aca="false">IF(BN298="","",IF(_xlfn.MAXIFS(ЗАКАЗЫ!$AK$3:$AK$500,ЗАКАЗЫ!$F$3:$F$500,$A298)=0,"",_xlfn.MAXIFS(ЗАКАЗЫ!$AK$3:$AK$500,ЗАКАЗЫ!$F$3:$F$500,$A298)))</f>
        <v/>
      </c>
    </row>
    <row r="299" customFormat="false" ht="15.75" hidden="false" customHeight="true" outlineLevel="0" collapsed="false">
      <c r="A299" s="80" t="s">
        <v>1131</v>
      </c>
      <c r="B299" s="81"/>
      <c r="C299" s="81"/>
      <c r="D299" s="81"/>
      <c r="E299" s="83"/>
      <c r="F299" s="81"/>
      <c r="G299" s="83"/>
      <c r="H299" s="83"/>
      <c r="I299" s="84" t="str">
        <f aca="false">IF(E299="","",A299&amp;"_1.jpg")</f>
        <v/>
      </c>
      <c r="J299" s="84" t="str">
        <f aca="false">IF(E299="","",A299&amp;"_2.jpg; "&amp;A299&amp;"_3.jpg")</f>
        <v/>
      </c>
      <c r="K299" s="84" t="str">
        <f aca="false">IF(E299="","",A299&amp;"_schema.jpg")</f>
        <v/>
      </c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 t="s">
        <v>96</v>
      </c>
      <c r="W299" s="81"/>
      <c r="X299" s="81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6" t="str">
        <f aca="false">IF(SUM(Y299:AJ299)=0,"",SUM(Y299:AJ299))</f>
        <v/>
      </c>
      <c r="AL299" s="84" t="str">
        <f aca="false">MID(IF(N(Y299)&gt;0,", "&amp;Y$2,"")&amp;IF(N(Z299)&gt;0,", "&amp;Z$2,"")&amp;IF(N(AA299)&gt;0,", "&amp;AA$2,"")&amp;IF(N(AB299)&gt;0,", "&amp;AB$2,"")&amp;IF(N(AC299)&gt;0,", "&amp;AC$2,"")&amp;IF(N(AD299)&gt;0,", "&amp;AD$2,"")&amp;IF(N(AE299)&gt;0,", "&amp;AE$2,"")&amp;IF(N(AF299)&gt;0,", "&amp;AF$2,"")&amp;IF(N(AG299)&gt;0,", "&amp;AG$2,"")&amp;IF(N(AH299)&gt;0,", "&amp;AH$2,"")&amp;IF(N(AI299)&gt;0,", "&amp;AI$2,"")&amp;IF(N(AJ299)&gt;0,", "&amp;AJ$2,""),3,999)</f>
        <v/>
      </c>
      <c r="AM299" s="87" t="str">
        <f aca="false">IF(E299="","",MID(IF(N(Y299)&gt;0,", "&amp;A299&amp;"-"&amp;Y$2,"")&amp;IF(N(Z299)&gt;0,", "&amp;A299&amp;"-"&amp;Z$2,"")&amp;IF(N(AA299)&gt;0,", "&amp;A299&amp;"-"&amp;AA$2,"")&amp;IF(N(AB299)&gt;0,", "&amp;A299&amp;"-"&amp;AB$2,"")&amp;IF(N(AC299)&gt;0,", "&amp;A299&amp;"-"&amp;AC$2,"")&amp;IF(N(AD299)&gt;0,", "&amp;A299&amp;"-"&amp;AD$2,"")&amp;IF(N(AE299)&gt;0,", "&amp;A299&amp;"-"&amp;AE$2,"")&amp;IF(N(AF299)&gt;0,", "&amp;A299&amp;"-"&amp;AF$2,"")&amp;IF(N(AG299)&gt;0,", "&amp;A299&amp;"-"&amp;AG$2,"")&amp;IF(N(AH299)&gt;0,", "&amp;A299&amp;"-"&amp;AH$2,"")&amp;IF(N(AI299)&gt;0,", "&amp;A299&amp;"-"&amp;AI$2,"")&amp;IF(N(AJ299)&gt;0,", "&amp;A299&amp;"-"&amp;AJ$2,""),3,999))</f>
        <v/>
      </c>
      <c r="AN299" s="81"/>
      <c r="AO299" s="88"/>
      <c r="AP299" s="89" t="str">
        <f aca="false">IF(AO299="","",ROUND(AO299/(1+Справочники!$B$13),2))</f>
        <v/>
      </c>
      <c r="AQ299" s="90" t="str">
        <f aca="false" t="array" ref="AQ299:AQ299">IF(AP299="","",AP299*INDEX(Справочники!$B$4:$B$7,MATCH("RUB",Справочники!$A$4:$A$7,0)))</f>
        <v/>
      </c>
      <c r="AR299" s="90" t="str">
        <f aca="false">IF(AQ299="","",ROUND(AQ299*(1+Справочники!$B$12),0))</f>
        <v/>
      </c>
      <c r="AS299" s="90" t="str">
        <f aca="false">IF(AR299="","",ROUND(AR299*(1-Справочники!$B$11),0))</f>
        <v/>
      </c>
      <c r="AT299" s="88"/>
      <c r="AU299" s="90" t="str">
        <f aca="false">IF(AT299="","",ROUND(AT299/(1+Справочники!$B$12),0))</f>
        <v/>
      </c>
      <c r="AV299" s="90" t="str">
        <f aca="false">IF(AT299="","",ROUND(AT299*(1-Справочники!$B$15),0))</f>
        <v/>
      </c>
      <c r="AW299" s="90" t="str">
        <f aca="false">IF(AT299="","",ROUND(AT299*(1-Справочники!$B$16),0))</f>
        <v/>
      </c>
      <c r="AX299" s="90" t="str">
        <f aca="false">IF(AT299="","",ROUND(AT299*(1-Справочники!$B$17),0))</f>
        <v/>
      </c>
      <c r="AY299" s="90" t="str">
        <f aca="false">IF(AT299="","",ROUND(AT299*(1-Справочники!$B$18),0))</f>
        <v/>
      </c>
      <c r="AZ299" s="90" t="str">
        <f aca="false">IF(AT299="","",ROUND(AT299*(1-Справочники!$B$19),0))</f>
        <v/>
      </c>
      <c r="BA299" s="81"/>
      <c r="BB299" s="81"/>
      <c r="BC299" s="81"/>
      <c r="BD299" s="81"/>
      <c r="BE299" s="91"/>
      <c r="BF299" s="81" t="s">
        <v>103</v>
      </c>
      <c r="BG299" s="89" t="n">
        <f aca="false" t="array" ref="BG299:BG299">IF(BF299="","",IFERROR(INDEX(Справочники!$B$4:$B$7,MATCH(BF299,Справочники!$A$4:$A$7,0)),""))</f>
        <v>68.5</v>
      </c>
      <c r="BH299" s="90" t="str">
        <f aca="false">IF(N(BN299)&gt;0,ROUND(SUMIF(ЗАКАЗЫ!$F$3:$F$500,$A299,ЗАКАЗЫ!$Y$3:$Y$500)/BN299,0),IF(OR(BE299="",BG299=""),"",ROUND(BE299*BG299*(1+Справочники!$B$10),0)))</f>
        <v/>
      </c>
      <c r="BI299" s="92" t="str">
        <f aca="false">IF(OR(AU299="",BH299="",AU299=0),"",(AU299-BH299)/AU299)</f>
        <v/>
      </c>
      <c r="BJ299" s="81"/>
      <c r="BK299" s="83"/>
      <c r="BL299" s="43" t="str">
        <f aca="false">IFERROR(INDEX(ЗАКАЗЫ!$N$3:$N$500,MATCH($A299,ЗАКАЗЫ!$F$3:$F$500,0)),"")</f>
        <v/>
      </c>
      <c r="BM299" s="8" t="str">
        <f aca="false">IF(BL299="","",IFERROR(VLOOKUP(BL299,'ТН ВЭД'!$A$4:$C$40,3,0),""))</f>
        <v/>
      </c>
      <c r="BN299" s="7" t="str">
        <f aca="false">IF(COUNTIF(ЗАКАЗЫ!$F$3:$F$500,$A299)=0,"",SUMIF(ЗАКАЗЫ!$F$3:$F$500,$A299,ЗАКАЗЫ!$J$3:$J$500))</f>
        <v/>
      </c>
      <c r="BO299" s="7" t="str">
        <f aca="false">IF(BN299="","",SUMIF(ЗАКАЗЫ!$F$3:$F$500,$A299,ЗАКАЗЫ!$AL$3:$AL$500))</f>
        <v/>
      </c>
      <c r="BP299" s="7" t="str">
        <f aca="false">IF(BN299="","",BN299-BO299)</f>
        <v/>
      </c>
      <c r="BQ299" s="55" t="str">
        <f aca="false">IF(BN299="","",IF(BO299&gt;=BN299,"На складе",IF(BO299&gt;0,"Частично","Ждём")))</f>
        <v/>
      </c>
      <c r="BR299" s="43"/>
      <c r="BS299" s="47" t="str">
        <f aca="false">IF(BN299="","",IF(_xlfn.MAXIFS(ЗАКАЗЫ!$AK$3:$AK$500,ЗАКАЗЫ!$F$3:$F$500,$A299)=0,"",_xlfn.MAXIFS(ЗАКАЗЫ!$AK$3:$AK$500,ЗАКАЗЫ!$F$3:$F$500,$A299)))</f>
        <v/>
      </c>
    </row>
    <row r="300" customFormat="false" ht="15.75" hidden="false" customHeight="true" outlineLevel="0" collapsed="false">
      <c r="A300" s="80" t="s">
        <v>1132</v>
      </c>
      <c r="B300" s="81"/>
      <c r="C300" s="81"/>
      <c r="D300" s="81"/>
      <c r="E300" s="83"/>
      <c r="F300" s="81"/>
      <c r="G300" s="83"/>
      <c r="H300" s="83"/>
      <c r="I300" s="84" t="str">
        <f aca="false">IF(E300="","",A300&amp;"_1.jpg")</f>
        <v/>
      </c>
      <c r="J300" s="84" t="str">
        <f aca="false">IF(E300="","",A300&amp;"_2.jpg; "&amp;A300&amp;"_3.jpg")</f>
        <v/>
      </c>
      <c r="K300" s="84" t="str">
        <f aca="false">IF(E300="","",A300&amp;"_schema.jpg")</f>
        <v/>
      </c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 t="s">
        <v>96</v>
      </c>
      <c r="W300" s="81"/>
      <c r="X300" s="81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6" t="str">
        <f aca="false">IF(SUM(Y300:AJ300)=0,"",SUM(Y300:AJ300))</f>
        <v/>
      </c>
      <c r="AL300" s="84" t="str">
        <f aca="false">MID(IF(N(Y300)&gt;0,", "&amp;Y$2,"")&amp;IF(N(Z300)&gt;0,", "&amp;Z$2,"")&amp;IF(N(AA300)&gt;0,", "&amp;AA$2,"")&amp;IF(N(AB300)&gt;0,", "&amp;AB$2,"")&amp;IF(N(AC300)&gt;0,", "&amp;AC$2,"")&amp;IF(N(AD300)&gt;0,", "&amp;AD$2,"")&amp;IF(N(AE300)&gt;0,", "&amp;AE$2,"")&amp;IF(N(AF300)&gt;0,", "&amp;AF$2,"")&amp;IF(N(AG300)&gt;0,", "&amp;AG$2,"")&amp;IF(N(AH300)&gt;0,", "&amp;AH$2,"")&amp;IF(N(AI300)&gt;0,", "&amp;AI$2,"")&amp;IF(N(AJ300)&gt;0,", "&amp;AJ$2,""),3,999)</f>
        <v/>
      </c>
      <c r="AM300" s="87" t="str">
        <f aca="false">IF(E300="","",MID(IF(N(Y300)&gt;0,", "&amp;A300&amp;"-"&amp;Y$2,"")&amp;IF(N(Z300)&gt;0,", "&amp;A300&amp;"-"&amp;Z$2,"")&amp;IF(N(AA300)&gt;0,", "&amp;A300&amp;"-"&amp;AA$2,"")&amp;IF(N(AB300)&gt;0,", "&amp;A300&amp;"-"&amp;AB$2,"")&amp;IF(N(AC300)&gt;0,", "&amp;A300&amp;"-"&amp;AC$2,"")&amp;IF(N(AD300)&gt;0,", "&amp;A300&amp;"-"&amp;AD$2,"")&amp;IF(N(AE300)&gt;0,", "&amp;A300&amp;"-"&amp;AE$2,"")&amp;IF(N(AF300)&gt;0,", "&amp;A300&amp;"-"&amp;AF$2,"")&amp;IF(N(AG300)&gt;0,", "&amp;A300&amp;"-"&amp;AG$2,"")&amp;IF(N(AH300)&gt;0,", "&amp;A300&amp;"-"&amp;AH$2,"")&amp;IF(N(AI300)&gt;0,", "&amp;A300&amp;"-"&amp;AI$2,"")&amp;IF(N(AJ300)&gt;0,", "&amp;A300&amp;"-"&amp;AJ$2,""),3,999))</f>
        <v/>
      </c>
      <c r="AN300" s="81"/>
      <c r="AO300" s="88"/>
      <c r="AP300" s="89" t="str">
        <f aca="false">IF(AO300="","",ROUND(AO300/(1+Справочники!$B$13),2))</f>
        <v/>
      </c>
      <c r="AQ300" s="90" t="str">
        <f aca="false" t="array" ref="AQ300:AQ300">IF(AP300="","",AP300*INDEX(Справочники!$B$4:$B$7,MATCH("RUB",Справочники!$A$4:$A$7,0)))</f>
        <v/>
      </c>
      <c r="AR300" s="90" t="str">
        <f aca="false">IF(AQ300="","",ROUND(AQ300*(1+Справочники!$B$12),0))</f>
        <v/>
      </c>
      <c r="AS300" s="90" t="str">
        <f aca="false">IF(AR300="","",ROUND(AR300*(1-Справочники!$B$11),0))</f>
        <v/>
      </c>
      <c r="AT300" s="88"/>
      <c r="AU300" s="90" t="str">
        <f aca="false">IF(AT300="","",ROUND(AT300/(1+Справочники!$B$12),0))</f>
        <v/>
      </c>
      <c r="AV300" s="90" t="str">
        <f aca="false">IF(AT300="","",ROUND(AT300*(1-Справочники!$B$15),0))</f>
        <v/>
      </c>
      <c r="AW300" s="90" t="str">
        <f aca="false">IF(AT300="","",ROUND(AT300*(1-Справочники!$B$16),0))</f>
        <v/>
      </c>
      <c r="AX300" s="90" t="str">
        <f aca="false">IF(AT300="","",ROUND(AT300*(1-Справочники!$B$17),0))</f>
        <v/>
      </c>
      <c r="AY300" s="90" t="str">
        <f aca="false">IF(AT300="","",ROUND(AT300*(1-Справочники!$B$18),0))</f>
        <v/>
      </c>
      <c r="AZ300" s="90" t="str">
        <f aca="false">IF(AT300="","",ROUND(AT300*(1-Справочники!$B$19),0))</f>
        <v/>
      </c>
      <c r="BA300" s="81"/>
      <c r="BB300" s="81"/>
      <c r="BC300" s="81"/>
      <c r="BD300" s="81"/>
      <c r="BE300" s="91"/>
      <c r="BF300" s="81" t="s">
        <v>103</v>
      </c>
      <c r="BG300" s="89" t="n">
        <f aca="false" t="array" ref="BG300:BG300">IF(BF300="","",IFERROR(INDEX(Справочники!$B$4:$B$7,MATCH(BF300,Справочники!$A$4:$A$7,0)),""))</f>
        <v>68.5</v>
      </c>
      <c r="BH300" s="90" t="str">
        <f aca="false">IF(N(BN300)&gt;0,ROUND(SUMIF(ЗАКАЗЫ!$F$3:$F$500,$A300,ЗАКАЗЫ!$Y$3:$Y$500)/BN300,0),IF(OR(BE300="",BG300=""),"",ROUND(BE300*BG300*(1+Справочники!$B$10),0)))</f>
        <v/>
      </c>
      <c r="BI300" s="92" t="str">
        <f aca="false">IF(OR(AU300="",BH300="",AU300=0),"",(AU300-BH300)/AU300)</f>
        <v/>
      </c>
      <c r="BJ300" s="81"/>
      <c r="BK300" s="83"/>
      <c r="BL300" s="43" t="str">
        <f aca="false">IFERROR(INDEX(ЗАКАЗЫ!$N$3:$N$500,MATCH($A300,ЗАКАЗЫ!$F$3:$F$500,0)),"")</f>
        <v/>
      </c>
      <c r="BM300" s="8" t="str">
        <f aca="false">IF(BL300="","",IFERROR(VLOOKUP(BL300,'ТН ВЭД'!$A$4:$C$40,3,0),""))</f>
        <v/>
      </c>
      <c r="BN300" s="7" t="str">
        <f aca="false">IF(COUNTIF(ЗАКАЗЫ!$F$3:$F$500,$A300)=0,"",SUMIF(ЗАКАЗЫ!$F$3:$F$500,$A300,ЗАКАЗЫ!$J$3:$J$500))</f>
        <v/>
      </c>
      <c r="BO300" s="7" t="str">
        <f aca="false">IF(BN300="","",SUMIF(ЗАКАЗЫ!$F$3:$F$500,$A300,ЗАКАЗЫ!$AL$3:$AL$500))</f>
        <v/>
      </c>
      <c r="BP300" s="7" t="str">
        <f aca="false">IF(BN300="","",BN300-BO300)</f>
        <v/>
      </c>
      <c r="BQ300" s="55" t="str">
        <f aca="false">IF(BN300="","",IF(BO300&gt;=BN300,"На складе",IF(BO300&gt;0,"Частично","Ждём")))</f>
        <v/>
      </c>
      <c r="BR300" s="43"/>
      <c r="BS300" s="47" t="str">
        <f aca="false">IF(BN300="","",IF(_xlfn.MAXIFS(ЗАКАЗЫ!$AK$3:$AK$500,ЗАКАЗЫ!$F$3:$F$500,$A300)=0,"",_xlfn.MAXIFS(ЗАКАЗЫ!$AK$3:$AK$500,ЗАКАЗЫ!$F$3:$F$500,$A300)))</f>
        <v/>
      </c>
    </row>
    <row r="301" customFormat="false" ht="15.75" hidden="false" customHeight="true" outlineLevel="0" collapsed="false">
      <c r="A301" s="80" t="s">
        <v>1133</v>
      </c>
      <c r="B301" s="81"/>
      <c r="C301" s="81"/>
      <c r="D301" s="81"/>
      <c r="E301" s="83"/>
      <c r="F301" s="81"/>
      <c r="G301" s="83"/>
      <c r="H301" s="83"/>
      <c r="I301" s="84" t="str">
        <f aca="false">IF(E301="","",A301&amp;"_1.jpg")</f>
        <v/>
      </c>
      <c r="J301" s="84" t="str">
        <f aca="false">IF(E301="","",A301&amp;"_2.jpg; "&amp;A301&amp;"_3.jpg")</f>
        <v/>
      </c>
      <c r="K301" s="84" t="str">
        <f aca="false">IF(E301="","",A301&amp;"_schema.jpg")</f>
        <v/>
      </c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 t="s">
        <v>96</v>
      </c>
      <c r="W301" s="81"/>
      <c r="X301" s="81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6" t="str">
        <f aca="false">IF(SUM(Y301:AJ301)=0,"",SUM(Y301:AJ301))</f>
        <v/>
      </c>
      <c r="AL301" s="84" t="str">
        <f aca="false">MID(IF(N(Y301)&gt;0,", "&amp;Y$2,"")&amp;IF(N(Z301)&gt;0,", "&amp;Z$2,"")&amp;IF(N(AA301)&gt;0,", "&amp;AA$2,"")&amp;IF(N(AB301)&gt;0,", "&amp;AB$2,"")&amp;IF(N(AC301)&gt;0,", "&amp;AC$2,"")&amp;IF(N(AD301)&gt;0,", "&amp;AD$2,"")&amp;IF(N(AE301)&gt;0,", "&amp;AE$2,"")&amp;IF(N(AF301)&gt;0,", "&amp;AF$2,"")&amp;IF(N(AG301)&gt;0,", "&amp;AG$2,"")&amp;IF(N(AH301)&gt;0,", "&amp;AH$2,"")&amp;IF(N(AI301)&gt;0,", "&amp;AI$2,"")&amp;IF(N(AJ301)&gt;0,", "&amp;AJ$2,""),3,999)</f>
        <v/>
      </c>
      <c r="AM301" s="87" t="str">
        <f aca="false">IF(E301="","",MID(IF(N(Y301)&gt;0,", "&amp;A301&amp;"-"&amp;Y$2,"")&amp;IF(N(Z301)&gt;0,", "&amp;A301&amp;"-"&amp;Z$2,"")&amp;IF(N(AA301)&gt;0,", "&amp;A301&amp;"-"&amp;AA$2,"")&amp;IF(N(AB301)&gt;0,", "&amp;A301&amp;"-"&amp;AB$2,"")&amp;IF(N(AC301)&gt;0,", "&amp;A301&amp;"-"&amp;AC$2,"")&amp;IF(N(AD301)&gt;0,", "&amp;A301&amp;"-"&amp;AD$2,"")&amp;IF(N(AE301)&gt;0,", "&amp;A301&amp;"-"&amp;AE$2,"")&amp;IF(N(AF301)&gt;0,", "&amp;A301&amp;"-"&amp;AF$2,"")&amp;IF(N(AG301)&gt;0,", "&amp;A301&amp;"-"&amp;AG$2,"")&amp;IF(N(AH301)&gt;0,", "&amp;A301&amp;"-"&amp;AH$2,"")&amp;IF(N(AI301)&gt;0,", "&amp;A301&amp;"-"&amp;AI$2,"")&amp;IF(N(AJ301)&gt;0,", "&amp;A301&amp;"-"&amp;AJ$2,""),3,999))</f>
        <v/>
      </c>
      <c r="AN301" s="81"/>
      <c r="AO301" s="88"/>
      <c r="AP301" s="89" t="str">
        <f aca="false">IF(AO301="","",ROUND(AO301/(1+Справочники!$B$13),2))</f>
        <v/>
      </c>
      <c r="AQ301" s="90" t="str">
        <f aca="false" t="array" ref="AQ301:AQ301">IF(AP301="","",AP301*INDEX(Справочники!$B$4:$B$7,MATCH("RUB",Справочники!$A$4:$A$7,0)))</f>
        <v/>
      </c>
      <c r="AR301" s="90" t="str">
        <f aca="false">IF(AQ301="","",ROUND(AQ301*(1+Справочники!$B$12),0))</f>
        <v/>
      </c>
      <c r="AS301" s="90" t="str">
        <f aca="false">IF(AR301="","",ROUND(AR301*(1-Справочники!$B$11),0))</f>
        <v/>
      </c>
      <c r="AT301" s="88"/>
      <c r="AU301" s="90" t="str">
        <f aca="false">IF(AT301="","",ROUND(AT301/(1+Справочники!$B$12),0))</f>
        <v/>
      </c>
      <c r="AV301" s="90" t="str">
        <f aca="false">IF(AT301="","",ROUND(AT301*(1-Справочники!$B$15),0))</f>
        <v/>
      </c>
      <c r="AW301" s="90" t="str">
        <f aca="false">IF(AT301="","",ROUND(AT301*(1-Справочники!$B$16),0))</f>
        <v/>
      </c>
      <c r="AX301" s="90" t="str">
        <f aca="false">IF(AT301="","",ROUND(AT301*(1-Справочники!$B$17),0))</f>
        <v/>
      </c>
      <c r="AY301" s="90" t="str">
        <f aca="false">IF(AT301="","",ROUND(AT301*(1-Справочники!$B$18),0))</f>
        <v/>
      </c>
      <c r="AZ301" s="90" t="str">
        <f aca="false">IF(AT301="","",ROUND(AT301*(1-Справочники!$B$19),0))</f>
        <v/>
      </c>
      <c r="BA301" s="81"/>
      <c r="BB301" s="81"/>
      <c r="BC301" s="81"/>
      <c r="BD301" s="81"/>
      <c r="BE301" s="91"/>
      <c r="BF301" s="81" t="s">
        <v>103</v>
      </c>
      <c r="BG301" s="89" t="n">
        <f aca="false" t="array" ref="BG301:BG301">IF(BF301="","",IFERROR(INDEX(Справочники!$B$4:$B$7,MATCH(BF301,Справочники!$A$4:$A$7,0)),""))</f>
        <v>68.5</v>
      </c>
      <c r="BH301" s="90" t="str">
        <f aca="false">IF(N(BN301)&gt;0,ROUND(SUMIF(ЗАКАЗЫ!$F$3:$F$500,$A301,ЗАКАЗЫ!$Y$3:$Y$500)/BN301,0),IF(OR(BE301="",BG301=""),"",ROUND(BE301*BG301*(1+Справочники!$B$10),0)))</f>
        <v/>
      </c>
      <c r="BI301" s="92" t="str">
        <f aca="false">IF(OR(AU301="",BH301="",AU301=0),"",(AU301-BH301)/AU301)</f>
        <v/>
      </c>
      <c r="BJ301" s="81"/>
      <c r="BK301" s="83"/>
      <c r="BL301" s="43" t="str">
        <f aca="false">IFERROR(INDEX(ЗАКАЗЫ!$N$3:$N$500,MATCH($A301,ЗАКАЗЫ!$F$3:$F$500,0)),"")</f>
        <v/>
      </c>
      <c r="BM301" s="8" t="str">
        <f aca="false">IF(BL301="","",IFERROR(VLOOKUP(BL301,'ТН ВЭД'!$A$4:$C$40,3,0),""))</f>
        <v/>
      </c>
      <c r="BN301" s="7" t="str">
        <f aca="false">IF(COUNTIF(ЗАКАЗЫ!$F$3:$F$500,$A301)=0,"",SUMIF(ЗАКАЗЫ!$F$3:$F$500,$A301,ЗАКАЗЫ!$J$3:$J$500))</f>
        <v/>
      </c>
      <c r="BO301" s="7" t="str">
        <f aca="false">IF(BN301="","",SUMIF(ЗАКАЗЫ!$F$3:$F$500,$A301,ЗАКАЗЫ!$AL$3:$AL$500))</f>
        <v/>
      </c>
      <c r="BP301" s="7" t="str">
        <f aca="false">IF(BN301="","",BN301-BO301)</f>
        <v/>
      </c>
      <c r="BQ301" s="55" t="str">
        <f aca="false">IF(BN301="","",IF(BO301&gt;=BN301,"На складе",IF(BO301&gt;0,"Частично","Ждём")))</f>
        <v/>
      </c>
      <c r="BR301" s="43"/>
      <c r="BS301" s="47" t="str">
        <f aca="false">IF(BN301="","",IF(_xlfn.MAXIFS(ЗАКАЗЫ!$AK$3:$AK$500,ЗАКАЗЫ!$F$3:$F$500,$A301)=0,"",_xlfn.MAXIFS(ЗАКАЗЫ!$AK$3:$AK$500,ЗАКАЗЫ!$F$3:$F$500,$A301)))</f>
        <v/>
      </c>
    </row>
    <row r="302" customFormat="false" ht="15.75" hidden="false" customHeight="true" outlineLevel="0" collapsed="false">
      <c r="A302" s="80" t="s">
        <v>1134</v>
      </c>
      <c r="B302" s="81"/>
      <c r="C302" s="81"/>
      <c r="D302" s="81"/>
      <c r="E302" s="83"/>
      <c r="F302" s="81"/>
      <c r="G302" s="83"/>
      <c r="H302" s="83"/>
      <c r="I302" s="84" t="str">
        <f aca="false">IF(E302="","",A302&amp;"_1.jpg")</f>
        <v/>
      </c>
      <c r="J302" s="84" t="str">
        <f aca="false">IF(E302="","",A302&amp;"_2.jpg; "&amp;A302&amp;"_3.jpg")</f>
        <v/>
      </c>
      <c r="K302" s="84" t="str">
        <f aca="false">IF(E302="","",A302&amp;"_schema.jpg")</f>
        <v/>
      </c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 t="s">
        <v>96</v>
      </c>
      <c r="W302" s="81"/>
      <c r="X302" s="81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6" t="str">
        <f aca="false">IF(SUM(Y302:AJ302)=0,"",SUM(Y302:AJ302))</f>
        <v/>
      </c>
      <c r="AL302" s="84" t="str">
        <f aca="false">MID(IF(N(Y302)&gt;0,", "&amp;Y$2,"")&amp;IF(N(Z302)&gt;0,", "&amp;Z$2,"")&amp;IF(N(AA302)&gt;0,", "&amp;AA$2,"")&amp;IF(N(AB302)&gt;0,", "&amp;AB$2,"")&amp;IF(N(AC302)&gt;0,", "&amp;AC$2,"")&amp;IF(N(AD302)&gt;0,", "&amp;AD$2,"")&amp;IF(N(AE302)&gt;0,", "&amp;AE$2,"")&amp;IF(N(AF302)&gt;0,", "&amp;AF$2,"")&amp;IF(N(AG302)&gt;0,", "&amp;AG$2,"")&amp;IF(N(AH302)&gt;0,", "&amp;AH$2,"")&amp;IF(N(AI302)&gt;0,", "&amp;AI$2,"")&amp;IF(N(AJ302)&gt;0,", "&amp;AJ$2,""),3,999)</f>
        <v/>
      </c>
      <c r="AM302" s="87" t="str">
        <f aca="false">IF(E302="","",MID(IF(N(Y302)&gt;0,", "&amp;A302&amp;"-"&amp;Y$2,"")&amp;IF(N(Z302)&gt;0,", "&amp;A302&amp;"-"&amp;Z$2,"")&amp;IF(N(AA302)&gt;0,", "&amp;A302&amp;"-"&amp;AA$2,"")&amp;IF(N(AB302)&gt;0,", "&amp;A302&amp;"-"&amp;AB$2,"")&amp;IF(N(AC302)&gt;0,", "&amp;A302&amp;"-"&amp;AC$2,"")&amp;IF(N(AD302)&gt;0,", "&amp;A302&amp;"-"&amp;AD$2,"")&amp;IF(N(AE302)&gt;0,", "&amp;A302&amp;"-"&amp;AE$2,"")&amp;IF(N(AF302)&gt;0,", "&amp;A302&amp;"-"&amp;AF$2,"")&amp;IF(N(AG302)&gt;0,", "&amp;A302&amp;"-"&amp;AG$2,"")&amp;IF(N(AH302)&gt;0,", "&amp;A302&amp;"-"&amp;AH$2,"")&amp;IF(N(AI302)&gt;0,", "&amp;A302&amp;"-"&amp;AI$2,"")&amp;IF(N(AJ302)&gt;0,", "&amp;A302&amp;"-"&amp;AJ$2,""),3,999))</f>
        <v/>
      </c>
      <c r="AN302" s="81"/>
      <c r="AO302" s="88"/>
      <c r="AP302" s="89" t="str">
        <f aca="false">IF(AO302="","",ROUND(AO302/(1+Справочники!$B$13),2))</f>
        <v/>
      </c>
      <c r="AQ302" s="90" t="str">
        <f aca="false" t="array" ref="AQ302:AQ302">IF(AP302="","",AP302*INDEX(Справочники!$B$4:$B$7,MATCH("RUB",Справочники!$A$4:$A$7,0)))</f>
        <v/>
      </c>
      <c r="AR302" s="90" t="str">
        <f aca="false">IF(AQ302="","",ROUND(AQ302*(1+Справочники!$B$12),0))</f>
        <v/>
      </c>
      <c r="AS302" s="90" t="str">
        <f aca="false">IF(AR302="","",ROUND(AR302*(1-Справочники!$B$11),0))</f>
        <v/>
      </c>
      <c r="AT302" s="88"/>
      <c r="AU302" s="90" t="str">
        <f aca="false">IF(AT302="","",ROUND(AT302/(1+Справочники!$B$12),0))</f>
        <v/>
      </c>
      <c r="AV302" s="90" t="str">
        <f aca="false">IF(AT302="","",ROUND(AT302*(1-Справочники!$B$15),0))</f>
        <v/>
      </c>
      <c r="AW302" s="90" t="str">
        <f aca="false">IF(AT302="","",ROUND(AT302*(1-Справочники!$B$16),0))</f>
        <v/>
      </c>
      <c r="AX302" s="90" t="str">
        <f aca="false">IF(AT302="","",ROUND(AT302*(1-Справочники!$B$17),0))</f>
        <v/>
      </c>
      <c r="AY302" s="90" t="str">
        <f aca="false">IF(AT302="","",ROUND(AT302*(1-Справочники!$B$18),0))</f>
        <v/>
      </c>
      <c r="AZ302" s="90" t="str">
        <f aca="false">IF(AT302="","",ROUND(AT302*(1-Справочники!$B$19),0))</f>
        <v/>
      </c>
      <c r="BA302" s="81"/>
      <c r="BB302" s="81"/>
      <c r="BC302" s="81"/>
      <c r="BD302" s="81"/>
      <c r="BE302" s="91"/>
      <c r="BF302" s="81" t="s">
        <v>103</v>
      </c>
      <c r="BG302" s="89" t="n">
        <f aca="false" t="array" ref="BG302:BG302">IF(BF302="","",IFERROR(INDEX(Справочники!$B$4:$B$7,MATCH(BF302,Справочники!$A$4:$A$7,0)),""))</f>
        <v>68.5</v>
      </c>
      <c r="BH302" s="90" t="str">
        <f aca="false">IF(N(BN302)&gt;0,ROUND(SUMIF(ЗАКАЗЫ!$F$3:$F$500,$A302,ЗАКАЗЫ!$Y$3:$Y$500)/BN302,0),IF(OR(BE302="",BG302=""),"",ROUND(BE302*BG302*(1+Справочники!$B$10),0)))</f>
        <v/>
      </c>
      <c r="BI302" s="92" t="str">
        <f aca="false">IF(OR(AU302="",BH302="",AU302=0),"",(AU302-BH302)/AU302)</f>
        <v/>
      </c>
      <c r="BJ302" s="81"/>
      <c r="BK302" s="83"/>
      <c r="BL302" s="43" t="str">
        <f aca="false">IFERROR(INDEX(ЗАКАЗЫ!$N$3:$N$500,MATCH($A302,ЗАКАЗЫ!$F$3:$F$500,0)),"")</f>
        <v/>
      </c>
      <c r="BM302" s="8" t="str">
        <f aca="false">IF(BL302="","",IFERROR(VLOOKUP(BL302,'ТН ВЭД'!$A$4:$C$40,3,0),""))</f>
        <v/>
      </c>
      <c r="BN302" s="7" t="str">
        <f aca="false">IF(COUNTIF(ЗАКАЗЫ!$F$3:$F$500,$A302)=0,"",SUMIF(ЗАКАЗЫ!$F$3:$F$500,$A302,ЗАКАЗЫ!$J$3:$J$500))</f>
        <v/>
      </c>
      <c r="BO302" s="7" t="str">
        <f aca="false">IF(BN302="","",SUMIF(ЗАКАЗЫ!$F$3:$F$500,$A302,ЗАКАЗЫ!$AL$3:$AL$500))</f>
        <v/>
      </c>
      <c r="BP302" s="7" t="str">
        <f aca="false">IF(BN302="","",BN302-BO302)</f>
        <v/>
      </c>
      <c r="BQ302" s="55" t="str">
        <f aca="false">IF(BN302="","",IF(BO302&gt;=BN302,"На складе",IF(BO302&gt;0,"Частично","Ждём")))</f>
        <v/>
      </c>
      <c r="BR302" s="43"/>
      <c r="BS302" s="47" t="str">
        <f aca="false">IF(BN302="","",IF(_xlfn.MAXIFS(ЗАКАЗЫ!$AK$3:$AK$500,ЗАКАЗЫ!$F$3:$F$500,$A302)=0,"",_xlfn.MAXIFS(ЗАКАЗЫ!$AK$3:$AK$500,ЗАКАЗЫ!$F$3:$F$500,$A302)))</f>
        <v/>
      </c>
    </row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2:BK302"/>
  <mergeCells count="7">
    <mergeCell ref="A1:H1"/>
    <mergeCell ref="I1:M1"/>
    <mergeCell ref="N1:X1"/>
    <mergeCell ref="Y1:AM1"/>
    <mergeCell ref="AN1:BA1"/>
    <mergeCell ref="BB1:BK1"/>
    <mergeCell ref="BL1:BS1"/>
  </mergeCells>
  <conditionalFormatting sqref="Y3:AJ302">
    <cfRule type="expression" priority="2" aboveAverage="0" equalAverage="0" bottom="0" percent="0" rank="0" text="" dxfId="28">
      <formula>N(Y3)&gt;0</formula>
    </cfRule>
  </conditionalFormatting>
  <conditionalFormatting sqref="A3:A302">
    <cfRule type="expression" priority="3" aboveAverage="0" equalAverage="0" bottom="0" percent="0" rank="0" text="" dxfId="29">
      <formula>$E3=""</formula>
    </cfRule>
  </conditionalFormatting>
  <conditionalFormatting sqref="A3:BK302">
    <cfRule type="expression" priority="4" aboveAverage="0" equalAverage="0" bottom="0" percent="0" rank="0" text="" dxfId="30">
      <formula>$B3="Снят"</formula>
    </cfRule>
  </conditionalFormatting>
  <conditionalFormatting sqref="D3:D302">
    <cfRule type="expression" priority="5" aboveAverage="0" equalAverage="0" bottom="0" percent="0" rank="0" text="" dxfId="31">
      <formula>AND($D3="Да",COUNTIF($D$3:$D$302,"Да")&gt;5)</formula>
    </cfRule>
  </conditionalFormatting>
  <conditionalFormatting sqref="BI3:BI302">
    <cfRule type="expression" priority="6" aboveAverage="0" equalAverage="0" bottom="0" percent="0" rank="0" text="" dxfId="31">
      <formula>AND(ISNUMBER($BI3),$BI3&lt;0.2)</formula>
    </cfRule>
  </conditionalFormatting>
  <conditionalFormatting sqref="BQ3:BQ302">
    <cfRule type="expression" priority="7" aboveAverage="0" equalAverage="0" bottom="0" percent="0" rank="0" text="" dxfId="8">
      <formula>BQ3="На складе"</formula>
    </cfRule>
    <cfRule type="expression" priority="8" aboveAverage="0" equalAverage="0" bottom="0" percent="0" rank="0" text="" dxfId="9">
      <formula>BQ3="Частично"</formula>
    </cfRule>
  </conditionalFormatting>
  <conditionalFormatting sqref="AK3:AK302">
    <cfRule type="expression" priority="9" aboveAverage="0" equalAverage="0" bottom="0" percent="0" rank="0" text="" dxfId="32">
      <formula>AND(N($BN3)&gt;0,N($AK3)&lt;&gt;N($BN3))</formula>
    </cfRule>
  </conditionalFormatting>
  <dataValidations count="7">
    <dataValidation allowBlank="true" errorStyle="stop" operator="greaterThanOrEqual" prompt="Только целое число штук" showDropDown="false" showErrorMessage="true" showInputMessage="true" sqref="Y3:AJ302" type="decimal">
      <formula1>0</formula1>
      <formula2>0</formula2>
    </dataValidation>
    <dataValidation allowBlank="true" errorStyle="stop" operator="between" showDropDown="false" showErrorMessage="true" showInputMessage="false" sqref="D3:D302 L3:M302" type="list">
      <formula1>Справочники!$F$4:$F$40</formula1>
      <formula2>0</formula2>
    </dataValidation>
    <dataValidation allowBlank="true" errorStyle="stop" operator="between" showDropDown="false" showErrorMessage="true" showInputMessage="false" sqref="B3:B60 B61:C302" type="list">
      <formula1>Справочники!$E$4:$E$40</formula1>
      <formula2>0</formula2>
    </dataValidation>
    <dataValidation allowBlank="true" errorStyle="stop" operator="between" showDropDown="false" showErrorMessage="false" showInputMessage="false" sqref="BB3:BB302" type="list">
      <formula1>Поставщики!$A$2:$A$101</formula1>
      <formula2>0</formula2>
    </dataValidation>
    <dataValidation allowBlank="true" errorStyle="stop" operator="between" showDropDown="false" showErrorMessage="false" showInputMessage="false" sqref="V3:V302" type="list">
      <formula1>Справочники!$G$4:$G$40</formula1>
      <formula2>0</formula2>
    </dataValidation>
    <dataValidation allowBlank="true" errorStyle="stop" operator="between" showDropDown="false" showErrorMessage="false" showInputMessage="false" sqref="N3:N302" type="list">
      <formula1>Справочники!$H$4:$H$40</formula1>
      <formula2>0</formula2>
    </dataValidation>
    <dataValidation allowBlank="true" errorStyle="stop" operator="between" showDropDown="false" showErrorMessage="true" showInputMessage="false" sqref="BF3:BF302" type="list">
      <formula1>"KZT,CNY,USD,RUB"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F3" activeCellId="0" sqref="F3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7.5"/>
    <col collapsed="false" customWidth="true" hidden="false" outlineLevel="0" max="4" min="4" style="0" width="9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8" min="8" style="0" width="46"/>
    <col collapsed="false" customWidth="true" hidden="false" outlineLevel="0" max="9" min="9" style="0" width="20"/>
    <col collapsed="false" customWidth="true" hidden="false" outlineLevel="0" max="11" min="10" style="0" width="22"/>
    <col collapsed="false" customWidth="true" hidden="false" outlineLevel="0" max="13" min="12" style="0" width="9"/>
    <col collapsed="false" customWidth="true" hidden="false" outlineLevel="0" max="14" min="14" style="0" width="18"/>
    <col collapsed="false" customWidth="true" hidden="false" outlineLevel="0" max="20" min="15" style="0" width="15"/>
    <col collapsed="false" customWidth="true" hidden="false" outlineLevel="0" max="21" min="21" style="0" width="9"/>
    <col collapsed="false" customWidth="true" hidden="false" outlineLevel="0" max="22" min="22" style="0" width="8"/>
    <col collapsed="false" customWidth="true" hidden="false" outlineLevel="0" max="23" min="23" style="0" width="9"/>
    <col collapsed="false" customWidth="true" hidden="false" outlineLevel="0" max="24" min="24" style="0" width="18"/>
    <col collapsed="false" customWidth="true" hidden="false" outlineLevel="0" max="36" min="25" style="0" width="9"/>
    <col collapsed="false" customWidth="true" hidden="false" outlineLevel="0" max="37" min="37" style="0" width="11"/>
    <col collapsed="false" customWidth="true" hidden="false" outlineLevel="0" max="38" min="38" style="0" width="26"/>
    <col collapsed="false" customWidth="true" hidden="false" outlineLevel="0" max="39" min="39" style="0" width="34"/>
    <col collapsed="false" customWidth="true" hidden="false" outlineLevel="0" max="40" min="40" style="0" width="10"/>
    <col collapsed="false" customWidth="true" hidden="false" outlineLevel="0" max="44" min="41" style="0" width="11"/>
    <col collapsed="false" customWidth="true" hidden="false" outlineLevel="0" max="46" min="45" style="0" width="12"/>
    <col collapsed="false" customWidth="true" hidden="false" outlineLevel="0" max="52" min="47" style="0" width="11"/>
    <col collapsed="false" customWidth="true" hidden="false" outlineLevel="0" max="53" min="53" style="0" width="10"/>
    <col collapsed="false" customWidth="true" hidden="false" outlineLevel="0" max="54" min="54" style="0" width="18"/>
    <col collapsed="false" customWidth="true" hidden="false" outlineLevel="0" max="55" min="55" style="0" width="14"/>
    <col collapsed="false" customWidth="true" hidden="false" outlineLevel="0" max="56" min="56" style="0" width="24"/>
    <col collapsed="false" customWidth="true" hidden="false" outlineLevel="0" max="57" min="57" style="0" width="10"/>
    <col collapsed="false" customWidth="true" hidden="false" outlineLevel="0" max="59" min="58" style="0" width="8"/>
    <col collapsed="false" customWidth="true" hidden="false" outlineLevel="0" max="60" min="60" style="0" width="12"/>
    <col collapsed="false" customWidth="true" hidden="false" outlineLevel="0" max="61" min="61" style="0" width="9"/>
    <col collapsed="false" customWidth="true" hidden="false" outlineLevel="0" max="62" min="62" style="0" width="10"/>
    <col collapsed="false" customWidth="true" hidden="false" outlineLevel="0" max="63" min="63" style="0" width="30"/>
    <col collapsed="false" customWidth="true" hidden="false" outlineLevel="0" max="64" min="64" style="0" width="14"/>
    <col collapsed="false" customWidth="true" hidden="false" outlineLevel="0" max="65" min="65" style="0" width="8"/>
    <col collapsed="false" customWidth="true" hidden="false" outlineLevel="0" max="66" min="66" style="0" width="11"/>
    <col collapsed="false" customWidth="true" hidden="false" outlineLevel="0" max="67" min="67" style="0" width="10"/>
    <col collapsed="false" customWidth="true" hidden="false" outlineLevel="0" max="68" min="68" style="0" width="9"/>
    <col collapsed="false" customWidth="true" hidden="false" outlineLevel="0" max="69" min="69" style="0" width="11"/>
    <col collapsed="false" customWidth="true" hidden="false" outlineLevel="0" max="70" min="70" style="0" width="22"/>
    <col collapsed="false" customWidth="true" hidden="false" outlineLevel="0" max="71" min="71" style="0" width="11"/>
  </cols>
  <sheetData>
    <row r="1" customFormat="false" ht="19.5" hidden="false" customHeight="true" outlineLevel="0" collapsed="false">
      <c r="A1" s="56" t="s">
        <v>416</v>
      </c>
      <c r="B1" s="56"/>
      <c r="C1" s="56"/>
      <c r="D1" s="56"/>
      <c r="E1" s="56"/>
      <c r="F1" s="56"/>
      <c r="G1" s="56"/>
      <c r="H1" s="56"/>
      <c r="I1" s="57" t="s">
        <v>417</v>
      </c>
      <c r="J1" s="57"/>
      <c r="K1" s="57"/>
      <c r="L1" s="57"/>
      <c r="M1" s="57"/>
      <c r="N1" s="58" t="s">
        <v>418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59" t="s">
        <v>419</v>
      </c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60" t="s">
        <v>420</v>
      </c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1" t="s">
        <v>421</v>
      </c>
      <c r="BC1" s="61"/>
      <c r="BD1" s="61"/>
      <c r="BE1" s="61"/>
      <c r="BF1" s="61"/>
      <c r="BG1" s="61"/>
      <c r="BH1" s="61"/>
      <c r="BI1" s="61"/>
      <c r="BJ1" s="61"/>
      <c r="BK1" s="61"/>
      <c r="BL1" s="37" t="s">
        <v>422</v>
      </c>
      <c r="BM1" s="37"/>
      <c r="BN1" s="37"/>
      <c r="BO1" s="37"/>
      <c r="BP1" s="37"/>
      <c r="BQ1" s="37"/>
      <c r="BR1" s="37"/>
      <c r="BS1" s="37"/>
    </row>
    <row r="2" customFormat="false" ht="48" hidden="false" customHeight="true" outlineLevel="0" collapsed="false">
      <c r="A2" s="62" t="s">
        <v>73</v>
      </c>
      <c r="B2" s="62" t="s">
        <v>46</v>
      </c>
      <c r="C2" s="62" t="s">
        <v>186</v>
      </c>
      <c r="D2" s="62" t="s">
        <v>423</v>
      </c>
      <c r="E2" s="62" t="s">
        <v>424</v>
      </c>
      <c r="F2" s="62" t="s">
        <v>80</v>
      </c>
      <c r="G2" s="62" t="s">
        <v>425</v>
      </c>
      <c r="H2" s="62" t="s">
        <v>426</v>
      </c>
      <c r="I2" s="64" t="s">
        <v>427</v>
      </c>
      <c r="J2" s="64" t="s">
        <v>428</v>
      </c>
      <c r="K2" s="64" t="s">
        <v>429</v>
      </c>
      <c r="L2" s="64" t="s">
        <v>430</v>
      </c>
      <c r="M2" s="64" t="s">
        <v>431</v>
      </c>
      <c r="N2" s="65" t="s">
        <v>84</v>
      </c>
      <c r="O2" s="65" t="s">
        <v>1135</v>
      </c>
      <c r="P2" s="65" t="s">
        <v>88</v>
      </c>
      <c r="Q2" s="65" t="s">
        <v>91</v>
      </c>
      <c r="R2" s="65" t="s">
        <v>1136</v>
      </c>
      <c r="S2" s="65" t="s">
        <v>1137</v>
      </c>
      <c r="T2" s="65" t="s">
        <v>778</v>
      </c>
      <c r="U2" s="65" t="s">
        <v>94</v>
      </c>
      <c r="V2" s="65" t="s">
        <v>95</v>
      </c>
      <c r="W2" s="65" t="s">
        <v>438</v>
      </c>
      <c r="X2" s="65" t="s">
        <v>439</v>
      </c>
      <c r="Y2" s="66" t="str">
        <f aca="false">Справочники!$K$4</f>
        <v>BLACK</v>
      </c>
      <c r="Z2" s="67" t="str">
        <f aca="false">Справочники!$K$5</f>
        <v>ORANGE</v>
      </c>
      <c r="AA2" s="68" t="str">
        <f aca="false">Справочники!$K$6</f>
        <v>RED</v>
      </c>
      <c r="AB2" s="69" t="str">
        <f aca="false">Справочники!$K$7</f>
        <v>BLUE</v>
      </c>
      <c r="AC2" s="70" t="str">
        <f aca="false">Справочники!$K$8</f>
        <v>GRAY</v>
      </c>
      <c r="AD2" s="71" t="str">
        <f aca="false">Справочники!$K$9</f>
        <v>GREEN</v>
      </c>
      <c r="AE2" s="72" t="str">
        <f aca="false">Справочники!$K$10</f>
        <v>YELLOW</v>
      </c>
      <c r="AF2" s="73" t="str">
        <f aca="false">Справочники!$K$11</f>
        <v>WHITE</v>
      </c>
      <c r="AG2" s="74" t="str">
        <f aca="false">Справочники!$K$12</f>
        <v>BEIGE</v>
      </c>
      <c r="AH2" s="75" t="str">
        <f aca="false">Справочники!$K$13</f>
        <v>BROWN</v>
      </c>
      <c r="AI2" s="76" t="str">
        <f aca="false">Справочники!$K$14</f>
        <v>NATURAL</v>
      </c>
      <c r="AJ2" s="76" t="str">
        <f aca="false">Справочники!$K$15</f>
        <v>MULTI</v>
      </c>
      <c r="AK2" s="77" t="s">
        <v>440</v>
      </c>
      <c r="AL2" s="77" t="s">
        <v>441</v>
      </c>
      <c r="AM2" s="77" t="s">
        <v>442</v>
      </c>
      <c r="AN2" s="78" t="s">
        <v>443</v>
      </c>
      <c r="AO2" s="78" t="s">
        <v>98</v>
      </c>
      <c r="AP2" s="78" t="s">
        <v>444</v>
      </c>
      <c r="AQ2" s="78" t="s">
        <v>445</v>
      </c>
      <c r="AR2" s="78" t="s">
        <v>206</v>
      </c>
      <c r="AS2" s="78" t="s">
        <v>446</v>
      </c>
      <c r="AT2" s="78" t="s">
        <v>99</v>
      </c>
      <c r="AU2" s="78" t="s">
        <v>208</v>
      </c>
      <c r="AV2" s="78" t="s">
        <v>447</v>
      </c>
      <c r="AW2" s="78" t="s">
        <v>448</v>
      </c>
      <c r="AX2" s="78" t="s">
        <v>449</v>
      </c>
      <c r="AY2" s="78" t="s">
        <v>450</v>
      </c>
      <c r="AZ2" s="78" t="s">
        <v>451</v>
      </c>
      <c r="BA2" s="78" t="s">
        <v>452</v>
      </c>
      <c r="BB2" s="79" t="s">
        <v>38</v>
      </c>
      <c r="BC2" s="79" t="s">
        <v>453</v>
      </c>
      <c r="BD2" s="79" t="s">
        <v>454</v>
      </c>
      <c r="BE2" s="79" t="s">
        <v>101</v>
      </c>
      <c r="BF2" s="79" t="s">
        <v>102</v>
      </c>
      <c r="BG2" s="79" t="s">
        <v>455</v>
      </c>
      <c r="BH2" s="79" t="s">
        <v>456</v>
      </c>
      <c r="BI2" s="79" t="s">
        <v>457</v>
      </c>
      <c r="BJ2" s="79" t="s">
        <v>104</v>
      </c>
      <c r="BK2" s="79" t="s">
        <v>145</v>
      </c>
      <c r="BL2" s="4" t="s">
        <v>458</v>
      </c>
      <c r="BM2" s="4" t="s">
        <v>193</v>
      </c>
      <c r="BN2" s="4" t="s">
        <v>459</v>
      </c>
      <c r="BO2" s="4" t="s">
        <v>211</v>
      </c>
      <c r="BP2" s="4" t="s">
        <v>460</v>
      </c>
      <c r="BQ2" s="4" t="s">
        <v>461</v>
      </c>
      <c r="BR2" s="4" t="s">
        <v>462</v>
      </c>
      <c r="BS2" s="4" t="s">
        <v>44</v>
      </c>
    </row>
    <row r="3" customFormat="false" ht="79.5" hidden="false" customHeight="true" outlineLevel="0" collapsed="false">
      <c r="A3" s="80" t="s">
        <v>256</v>
      </c>
      <c r="B3" s="81"/>
      <c r="C3" s="81"/>
      <c r="D3" s="81"/>
      <c r="E3" s="83" t="s">
        <v>1138</v>
      </c>
      <c r="F3" s="81"/>
      <c r="G3" s="83" t="s">
        <v>1139</v>
      </c>
      <c r="H3" s="83" t="s">
        <v>1140</v>
      </c>
      <c r="I3" s="84" t="str">
        <f aca="false">IF(E3="","",A3&amp;"_1.jpg")</f>
        <v>AKO-IK-001_1.jpg</v>
      </c>
      <c r="J3" s="84" t="str">
        <f aca="false">IF(E3="","",A3&amp;"_2.jpg; "&amp;A3&amp;"_3.jpg")</f>
        <v>AKO-IK-001_2.jpg; AKO-IK-001_3.jpg</v>
      </c>
      <c r="K3" s="84" t="str">
        <f aca="false">IF(E3="","",A3&amp;"_schema.jpg")</f>
        <v>AKO-IK-001_schema.jpg</v>
      </c>
      <c r="L3" s="81"/>
      <c r="M3" s="81"/>
      <c r="N3" s="81" t="s">
        <v>1141</v>
      </c>
      <c r="O3" s="81" t="n">
        <v>16</v>
      </c>
      <c r="P3" s="81"/>
      <c r="Q3" s="81"/>
      <c r="R3" s="81"/>
      <c r="S3" s="81"/>
      <c r="T3" s="81"/>
      <c r="U3" s="81"/>
      <c r="V3" s="81" t="s">
        <v>96</v>
      </c>
      <c r="W3" s="81"/>
      <c r="X3" s="81" t="s">
        <v>1142</v>
      </c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 t="n">
        <v>2000</v>
      </c>
      <c r="AJ3" s="85"/>
      <c r="AK3" s="86" t="n">
        <f aca="false">IF(SUM(Y3:AJ3)=0,"",SUM(Y3:AJ3))</f>
        <v>2000</v>
      </c>
      <c r="AL3" s="84" t="str">
        <f aca="false">MID(IF(N(Y3)&gt;0,", "&amp;Y$2,"")&amp;IF(N(Z3)&gt;0,", "&amp;Z$2,"")&amp;IF(N(AA3)&gt;0,", "&amp;AA$2,"")&amp;IF(N(AB3)&gt;0,", "&amp;AB$2,"")&amp;IF(N(AC3)&gt;0,", "&amp;AC$2,"")&amp;IF(N(AD3)&gt;0,", "&amp;AD$2,"")&amp;IF(N(AE3)&gt;0,", "&amp;AE$2,"")&amp;IF(N(AF3)&gt;0,", "&amp;AF$2,"")&amp;IF(N(AG3)&gt;0,", "&amp;AG$2,"")&amp;IF(N(AH3)&gt;0,", "&amp;AH$2,"")&amp;IF(N(AI3)&gt;0,", "&amp;AI$2,"")&amp;IF(N(AJ3)&gt;0,", "&amp;AJ$2,""),3,999)</f>
        <v>NATURAL</v>
      </c>
      <c r="AM3" s="87" t="str">
        <f aca="false">IF(E3="","",MID(IF(N(Y3)&gt;0,", "&amp;A3&amp;"-"&amp;Y$2,"")&amp;IF(N(Z3)&gt;0,", "&amp;A3&amp;"-"&amp;Z$2,"")&amp;IF(N(AA3)&gt;0,", "&amp;A3&amp;"-"&amp;AA$2,"")&amp;IF(N(AB3)&gt;0,", "&amp;A3&amp;"-"&amp;AB$2,"")&amp;IF(N(AC3)&gt;0,", "&amp;A3&amp;"-"&amp;AC$2,"")&amp;IF(N(AD3)&gt;0,", "&amp;A3&amp;"-"&amp;AD$2,"")&amp;IF(N(AE3)&gt;0,", "&amp;A3&amp;"-"&amp;AE$2,"")&amp;IF(N(AF3)&gt;0,", "&amp;A3&amp;"-"&amp;AF$2,"")&amp;IF(N(AG3)&gt;0,", "&amp;A3&amp;"-"&amp;AG$2,"")&amp;IF(N(AH3)&gt;0,", "&amp;A3&amp;"-"&amp;AH$2,"")&amp;IF(N(AI3)&gt;0,", "&amp;A3&amp;"-"&amp;AI$2,"")&amp;IF(N(AJ3)&gt;0,", "&amp;A3&amp;"-"&amp;AJ$2,""),3,999))</f>
        <v>AKO-IK-001-NATURAL</v>
      </c>
      <c r="AN3" s="81" t="n">
        <v>1</v>
      </c>
      <c r="AO3" s="88" t="n">
        <v>225</v>
      </c>
      <c r="AP3" s="89" t="n">
        <f aca="false">IF(AO3="","",ROUND(AO3/(1+Справочники!$B$13),2))</f>
        <v>225</v>
      </c>
      <c r="AQ3" s="90" t="n">
        <f aca="false" t="array" ref="AQ3:AQ3">IF(AP3="","",AP3*INDEX(Справочники!$B$4:$B$7,MATCH("RUB",Справочники!$A$4:$A$7,0)))</f>
        <v>1192.5</v>
      </c>
      <c r="AR3" s="90" t="n">
        <f aca="false">IF(AQ3="","",ROUND(AQ3*(1+Справочники!$B$12),0))</f>
        <v>1383</v>
      </c>
      <c r="AS3" s="90" t="n">
        <f aca="false">IF(AR3="","",ROUND(AR3*(1-Справочники!$B$11),0))</f>
        <v>1272</v>
      </c>
      <c r="AT3" s="88" t="n">
        <v>700</v>
      </c>
      <c r="AU3" s="90" t="n">
        <f aca="false">IF(AT3="","",ROUND(AT3/(1+Справочники!$B$12),0))</f>
        <v>603</v>
      </c>
      <c r="AV3" s="90" t="n">
        <f aca="false">IF(AT3="","",ROUND(AT3*(1-Справочники!$B$15),0))</f>
        <v>679</v>
      </c>
      <c r="AW3" s="90" t="n">
        <f aca="false">IF(AT3="","",ROUND(AT3*(1-Справочники!$B$16),0))</f>
        <v>658</v>
      </c>
      <c r="AX3" s="90" t="n">
        <f aca="false">IF(AT3="","",ROUND(AT3*(1-Справочники!$B$17),0))</f>
        <v>637</v>
      </c>
      <c r="AY3" s="90" t="n">
        <f aca="false">IF(AT3="","",ROUND(AT3*(1-Справочники!$B$18),0))</f>
        <v>616</v>
      </c>
      <c r="AZ3" s="90" t="n">
        <f aca="false">IF(AT3="","",ROUND(AT3*(1-Справочники!$B$19),0))</f>
        <v>595</v>
      </c>
      <c r="BA3" s="81" t="n">
        <v>1500</v>
      </c>
      <c r="BB3" s="81" t="s">
        <v>147</v>
      </c>
      <c r="BC3" s="81" t="s">
        <v>275</v>
      </c>
      <c r="BD3" s="81"/>
      <c r="BE3" s="91" t="n">
        <v>2.15</v>
      </c>
      <c r="BF3" s="81" t="s">
        <v>103</v>
      </c>
      <c r="BG3" s="89" t="n">
        <f aca="false" t="array" ref="BG3:BG3">IF(BF3="","",IFERROR(INDEX(Справочники!$B$4:$B$7,MATCH(BF3,Справочники!$A$4:$A$7,0)),""))</f>
        <v>68.5</v>
      </c>
      <c r="BH3" s="90" t="n">
        <f aca="false">IF(N(BN3)&gt;0,ROUND(SUMIF(ЗАКАЗЫ!$F$3:$F$500,$A3,ЗАКАЗЫ!$Y$3:$Y$500)/BN3,0),IF(OR(BE3="",BG3=""),"",ROUND(BE3*BG3*(1+Справочники!$B$10),0)))</f>
        <v>180</v>
      </c>
      <c r="BI3" s="92" t="n">
        <f aca="false">IF(OR(AU3="",BH3="",AU3=0),"",(AU3-BH3)/AU3)</f>
        <v>0.701492537313433</v>
      </c>
      <c r="BJ3" s="81" t="n">
        <v>12</v>
      </c>
      <c r="BK3" s="83"/>
      <c r="BL3" s="43" t="str">
        <f aca="false">IFERROR(INDEX(ЗАКАЗЫ!$N$3:$N$500,MATCH($A3,ЗАКАЗЫ!$F$3:$F$500,0)),"")</f>
        <v>7326 90 980 7</v>
      </c>
      <c r="BM3" s="8" t="n">
        <f aca="false">IF(BL3="","",IFERROR(VLOOKUP(BL3,'ТН ВЭД'!$A$4:$C$40,3,0),""))</f>
        <v>0.075</v>
      </c>
      <c r="BN3" s="7" t="n">
        <f aca="false">IF(COUNTIF(ЗАКАЗЫ!$F$3:$F$500,$A3)=0,"",SUMIF(ЗАКАЗЫ!$F$3:$F$500,$A3,ЗАКАЗЫ!$J$3:$J$500))</f>
        <v>2000</v>
      </c>
      <c r="BO3" s="7" t="n">
        <f aca="false">IF(BN3="","",SUMIF(ЗАКАЗЫ!$F$3:$F$500,$A3,ЗАКАЗЫ!$AL$3:$AL$500))</f>
        <v>0</v>
      </c>
      <c r="BP3" s="7" t="n">
        <f aca="false">IF(BN3="","",BN3-BO3)</f>
        <v>2000</v>
      </c>
      <c r="BQ3" s="55" t="str">
        <f aca="false">IF(BN3="","",IF(BO3&gt;=BN3,"На складе",IF(BO3&gt;0,"Частично","Ждём")))</f>
        <v>Ждём</v>
      </c>
      <c r="BR3" s="43" t="s">
        <v>1143</v>
      </c>
      <c r="BS3" s="47" t="n">
        <f aca="false">IF(BN3="","",IF(_xlfn.MAXIFS(ЗАКАЗЫ!$AK$3:$AK$500,ЗАКАЗЫ!$F$3:$F$500,$A3)=0,"",_xlfn.MAXIFS(ЗАКАЗЫ!$AK$3:$AK$500,ЗАКАЗЫ!$F$3:$F$500,$A3)))</f>
        <v>46346</v>
      </c>
    </row>
    <row r="4" customFormat="false" ht="79.5" hidden="false" customHeight="true" outlineLevel="0" collapsed="false">
      <c r="A4" s="80" t="s">
        <v>276</v>
      </c>
      <c r="B4" s="81"/>
      <c r="C4" s="81"/>
      <c r="D4" s="81"/>
      <c r="E4" s="83" t="s">
        <v>1144</v>
      </c>
      <c r="F4" s="81"/>
      <c r="G4" s="83" t="s">
        <v>1145</v>
      </c>
      <c r="H4" s="83" t="s">
        <v>1146</v>
      </c>
      <c r="I4" s="84" t="str">
        <f aca="false">IF(E4="","",A4&amp;"_1.jpg")</f>
        <v>AKO-IK-002_1.jpg</v>
      </c>
      <c r="J4" s="84" t="str">
        <f aca="false">IF(E4="","",A4&amp;"_2.jpg; "&amp;A4&amp;"_3.jpg")</f>
        <v>AKO-IK-002_2.jpg; AKO-IK-002_3.jpg</v>
      </c>
      <c r="K4" s="84" t="str">
        <f aca="false">IF(E4="","",A4&amp;"_schema.jpg")</f>
        <v>AKO-IK-002_schema.jpg</v>
      </c>
      <c r="L4" s="81"/>
      <c r="M4" s="81"/>
      <c r="N4" s="81" t="s">
        <v>1141</v>
      </c>
      <c r="O4" s="81" t="n">
        <v>16</v>
      </c>
      <c r="P4" s="81"/>
      <c r="Q4" s="81"/>
      <c r="R4" s="81"/>
      <c r="S4" s="81"/>
      <c r="T4" s="81"/>
      <c r="U4" s="81"/>
      <c r="V4" s="81" t="s">
        <v>96</v>
      </c>
      <c r="W4" s="81"/>
      <c r="X4" s="81" t="s">
        <v>1147</v>
      </c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 t="n">
        <v>1000</v>
      </c>
      <c r="AJ4" s="85"/>
      <c r="AK4" s="86" t="n">
        <f aca="false">IF(SUM(Y4:AJ4)=0,"",SUM(Y4:AJ4))</f>
        <v>1000</v>
      </c>
      <c r="AL4" s="84" t="str">
        <f aca="false">MID(IF(N(Y4)&gt;0,", "&amp;Y$2,"")&amp;IF(N(Z4)&gt;0,", "&amp;Z$2,"")&amp;IF(N(AA4)&gt;0,", "&amp;AA$2,"")&amp;IF(N(AB4)&gt;0,", "&amp;AB$2,"")&amp;IF(N(AC4)&gt;0,", "&amp;AC$2,"")&amp;IF(N(AD4)&gt;0,", "&amp;AD$2,"")&amp;IF(N(AE4)&gt;0,", "&amp;AE$2,"")&amp;IF(N(AF4)&gt;0,", "&amp;AF$2,"")&amp;IF(N(AG4)&gt;0,", "&amp;AG$2,"")&amp;IF(N(AH4)&gt;0,", "&amp;AH$2,"")&amp;IF(N(AI4)&gt;0,", "&amp;AI$2,"")&amp;IF(N(AJ4)&gt;0,", "&amp;AJ$2,""),3,999)</f>
        <v>NATURAL</v>
      </c>
      <c r="AM4" s="87" t="str">
        <f aca="false">IF(E4="","",MID(IF(N(Y4)&gt;0,", "&amp;A4&amp;"-"&amp;Y$2,"")&amp;IF(N(Z4)&gt;0,", "&amp;A4&amp;"-"&amp;Z$2,"")&amp;IF(N(AA4)&gt;0,", "&amp;A4&amp;"-"&amp;AA$2,"")&amp;IF(N(AB4)&gt;0,", "&amp;A4&amp;"-"&amp;AB$2,"")&amp;IF(N(AC4)&gt;0,", "&amp;A4&amp;"-"&amp;AC$2,"")&amp;IF(N(AD4)&gt;0,", "&amp;A4&amp;"-"&amp;AD$2,"")&amp;IF(N(AE4)&gt;0,", "&amp;A4&amp;"-"&amp;AE$2,"")&amp;IF(N(AF4)&gt;0,", "&amp;A4&amp;"-"&amp;AF$2,"")&amp;IF(N(AG4)&gt;0,", "&amp;A4&amp;"-"&amp;AG$2,"")&amp;IF(N(AH4)&gt;0,", "&amp;A4&amp;"-"&amp;AH$2,"")&amp;IF(N(AI4)&gt;0,", "&amp;A4&amp;"-"&amp;AI$2,"")&amp;IF(N(AJ4)&gt;0,", "&amp;A4&amp;"-"&amp;AJ$2,""),3,999))</f>
        <v>AKO-IK-002-NATURAL</v>
      </c>
      <c r="AN4" s="81" t="n">
        <v>1</v>
      </c>
      <c r="AO4" s="88" t="n">
        <v>245</v>
      </c>
      <c r="AP4" s="89" t="n">
        <f aca="false">IF(AO4="","",ROUND(AO4/(1+Справочники!$B$13),2))</f>
        <v>245</v>
      </c>
      <c r="AQ4" s="90" t="n">
        <f aca="false" t="array" ref="AQ4:AQ4">IF(AP4="","",AP4*INDEX(Справочники!$B$4:$B$7,MATCH("RUB",Справочники!$A$4:$A$7,0)))</f>
        <v>1298.5</v>
      </c>
      <c r="AR4" s="90" t="n">
        <f aca="false">IF(AQ4="","",ROUND(AQ4*(1+Справочники!$B$12),0))</f>
        <v>1506</v>
      </c>
      <c r="AS4" s="90" t="n">
        <f aca="false">IF(AR4="","",ROUND(AR4*(1-Справочники!$B$11),0))</f>
        <v>1386</v>
      </c>
      <c r="AT4" s="88" t="n">
        <v>1400</v>
      </c>
      <c r="AU4" s="90" t="n">
        <f aca="false">IF(AT4="","",ROUND(AT4/(1+Справочники!$B$12),0))</f>
        <v>1207</v>
      </c>
      <c r="AV4" s="90" t="n">
        <f aca="false">IF(AT4="","",ROUND(AT4*(1-Справочники!$B$15),0))</f>
        <v>1358</v>
      </c>
      <c r="AW4" s="90" t="n">
        <f aca="false">IF(AT4="","",ROUND(AT4*(1-Справочники!$B$16),0))</f>
        <v>1316</v>
      </c>
      <c r="AX4" s="90" t="n">
        <f aca="false">IF(AT4="","",ROUND(AT4*(1-Справочники!$B$17),0))</f>
        <v>1274</v>
      </c>
      <c r="AY4" s="90" t="n">
        <f aca="false">IF(AT4="","",ROUND(AT4*(1-Справочники!$B$18),0))</f>
        <v>1232</v>
      </c>
      <c r="AZ4" s="90" t="n">
        <f aca="false">IF(AT4="","",ROUND(AT4*(1-Справочники!$B$19),0))</f>
        <v>1190</v>
      </c>
      <c r="BA4" s="81" t="n">
        <v>1000</v>
      </c>
      <c r="BB4" s="81" t="s">
        <v>147</v>
      </c>
      <c r="BC4" s="81" t="s">
        <v>277</v>
      </c>
      <c r="BD4" s="81"/>
      <c r="BE4" s="91" t="n">
        <v>8.5</v>
      </c>
      <c r="BF4" s="81" t="s">
        <v>103</v>
      </c>
      <c r="BG4" s="89" t="n">
        <f aca="false" t="array" ref="BG4:BG4">IF(BF4="","",IFERROR(INDEX(Справочники!$B$4:$B$7,MATCH(BF4,Справочники!$A$4:$A$7,0)),""))</f>
        <v>68.5</v>
      </c>
      <c r="BH4" s="90" t="n">
        <f aca="false">IF(N(BN4)&gt;0,ROUND(SUMIF(ЗАКАЗЫ!$F$3:$F$500,$A4,ЗАКАЗЫ!$Y$3:$Y$500)/BN4,0),IF(OR(BE4="",BG4=""),"",ROUND(BE4*BG4*(1+Справочники!$B$10),0)))</f>
        <v>713</v>
      </c>
      <c r="BI4" s="92" t="n">
        <f aca="false">IF(OR(AU4="",BH4="",AU4=0),"",(AU4-BH4)/AU4)</f>
        <v>0.409279204639602</v>
      </c>
      <c r="BJ4" s="81" t="n">
        <v>12</v>
      </c>
      <c r="BK4" s="83"/>
      <c r="BL4" s="43" t="str">
        <f aca="false">IFERROR(INDEX(ЗАКАЗЫ!$N$3:$N$500,MATCH($A4,ЗАКАЗЫ!$F$3:$F$500,0)),"")</f>
        <v>7326 90 980 7</v>
      </c>
      <c r="BM4" s="8" t="n">
        <f aca="false">IF(BL4="","",IFERROR(VLOOKUP(BL4,'ТН ВЭД'!$A$4:$C$40,3,0),""))</f>
        <v>0.075</v>
      </c>
      <c r="BN4" s="7" t="n">
        <f aca="false">IF(COUNTIF(ЗАКАЗЫ!$F$3:$F$500,$A4)=0,"",SUMIF(ЗАКАЗЫ!$F$3:$F$500,$A4,ЗАКАЗЫ!$J$3:$J$500))</f>
        <v>1000</v>
      </c>
      <c r="BO4" s="7" t="n">
        <f aca="false">IF(BN4="","",SUMIF(ЗАКАЗЫ!$F$3:$F$500,$A4,ЗАКАЗЫ!$AL$3:$AL$500))</f>
        <v>0</v>
      </c>
      <c r="BP4" s="7" t="n">
        <f aca="false">IF(BN4="","",BN4-BO4)</f>
        <v>1000</v>
      </c>
      <c r="BQ4" s="55" t="str">
        <f aca="false">IF(BN4="","",IF(BO4&gt;=BN4,"На складе",IF(BO4&gt;0,"Частично","Ждём")))</f>
        <v>Ждём</v>
      </c>
      <c r="BR4" s="43" t="s">
        <v>1148</v>
      </c>
      <c r="BS4" s="47" t="n">
        <f aca="false">IF(BN4="","",IF(_xlfn.MAXIFS(ЗАКАЗЫ!$AK$3:$AK$500,ЗАКАЗЫ!$F$3:$F$500,$A4)=0,"",_xlfn.MAXIFS(ЗАКАЗЫ!$AK$3:$AK$500,ЗАКАЗЫ!$F$3:$F$500,$A4)))</f>
        <v>46346</v>
      </c>
    </row>
    <row r="5" customFormat="false" ht="79.5" hidden="false" customHeight="true" outlineLevel="0" collapsed="false">
      <c r="A5" s="80" t="s">
        <v>278</v>
      </c>
      <c r="B5" s="81"/>
      <c r="C5" s="81"/>
      <c r="D5" s="81"/>
      <c r="E5" s="83" t="s">
        <v>1149</v>
      </c>
      <c r="F5" s="81"/>
      <c r="G5" s="83" t="s">
        <v>1150</v>
      </c>
      <c r="H5" s="83" t="s">
        <v>1151</v>
      </c>
      <c r="I5" s="84" t="str">
        <f aca="false">IF(E5="","",A5&amp;"_1.jpg")</f>
        <v>AKO-IK-003_1.jpg</v>
      </c>
      <c r="J5" s="84" t="str">
        <f aca="false">IF(E5="","",A5&amp;"_2.jpg; "&amp;A5&amp;"_3.jpg")</f>
        <v>AKO-IK-003_2.jpg; AKO-IK-003_3.jpg</v>
      </c>
      <c r="K5" s="84" t="str">
        <f aca="false">IF(E5="","",A5&amp;"_schema.jpg")</f>
        <v>AKO-IK-003_schema.jpg</v>
      </c>
      <c r="L5" s="81"/>
      <c r="M5" s="81"/>
      <c r="N5" s="81" t="s">
        <v>1141</v>
      </c>
      <c r="O5" s="81" t="n">
        <v>16</v>
      </c>
      <c r="P5" s="81"/>
      <c r="Q5" s="81"/>
      <c r="R5" s="81"/>
      <c r="S5" s="81"/>
      <c r="T5" s="81"/>
      <c r="U5" s="81"/>
      <c r="V5" s="81" t="s">
        <v>96</v>
      </c>
      <c r="W5" s="81"/>
      <c r="X5" s="81" t="s">
        <v>1152</v>
      </c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 t="n">
        <v>2000</v>
      </c>
      <c r="AJ5" s="85"/>
      <c r="AK5" s="86" t="n">
        <f aca="false">IF(SUM(Y5:AJ5)=0,"",SUM(Y5:AJ5))</f>
        <v>2000</v>
      </c>
      <c r="AL5" s="84" t="str">
        <f aca="false">MID(IF(N(Y5)&gt;0,", "&amp;Y$2,"")&amp;IF(N(Z5)&gt;0,", "&amp;Z$2,"")&amp;IF(N(AA5)&gt;0,", "&amp;AA$2,"")&amp;IF(N(AB5)&gt;0,", "&amp;AB$2,"")&amp;IF(N(AC5)&gt;0,", "&amp;AC$2,"")&amp;IF(N(AD5)&gt;0,", "&amp;AD$2,"")&amp;IF(N(AE5)&gt;0,", "&amp;AE$2,"")&amp;IF(N(AF5)&gt;0,", "&amp;AF$2,"")&amp;IF(N(AG5)&gt;0,", "&amp;AG$2,"")&amp;IF(N(AH5)&gt;0,", "&amp;AH$2,"")&amp;IF(N(AI5)&gt;0,", "&amp;AI$2,"")&amp;IF(N(AJ5)&gt;0,", "&amp;AJ$2,""),3,999)</f>
        <v>NATURAL</v>
      </c>
      <c r="AM5" s="87" t="str">
        <f aca="false">IF(E5="","",MID(IF(N(Y5)&gt;0,", "&amp;A5&amp;"-"&amp;Y$2,"")&amp;IF(N(Z5)&gt;0,", "&amp;A5&amp;"-"&amp;Z$2,"")&amp;IF(N(AA5)&gt;0,", "&amp;A5&amp;"-"&amp;AA$2,"")&amp;IF(N(AB5)&gt;0,", "&amp;A5&amp;"-"&amp;AB$2,"")&amp;IF(N(AC5)&gt;0,", "&amp;A5&amp;"-"&amp;AC$2,"")&amp;IF(N(AD5)&gt;0,", "&amp;A5&amp;"-"&amp;AD$2,"")&amp;IF(N(AE5)&gt;0,", "&amp;A5&amp;"-"&amp;AE$2,"")&amp;IF(N(AF5)&gt;0,", "&amp;A5&amp;"-"&amp;AF$2,"")&amp;IF(N(AG5)&gt;0,", "&amp;A5&amp;"-"&amp;AG$2,"")&amp;IF(N(AH5)&gt;0,", "&amp;A5&amp;"-"&amp;AH$2,"")&amp;IF(N(AI5)&gt;0,", "&amp;A5&amp;"-"&amp;AI$2,"")&amp;IF(N(AJ5)&gt;0,", "&amp;A5&amp;"-"&amp;AJ$2,""),3,999))</f>
        <v>AKO-IK-003-NATURAL</v>
      </c>
      <c r="AN5" s="81" t="n">
        <v>1</v>
      </c>
      <c r="AO5" s="88" t="n">
        <v>200</v>
      </c>
      <c r="AP5" s="89" t="n">
        <f aca="false">IF(AO5="","",ROUND(AO5/(1+Справочники!$B$13),2))</f>
        <v>200</v>
      </c>
      <c r="AQ5" s="90" t="n">
        <f aca="false" t="array" ref="AQ5:AQ5">IF(AP5="","",AP5*INDEX(Справочники!$B$4:$B$7,MATCH("RUB",Справочники!$A$4:$A$7,0)))</f>
        <v>1060</v>
      </c>
      <c r="AR5" s="90" t="n">
        <f aca="false">IF(AQ5="","",ROUND(AQ5*(1+Справочники!$B$12),0))</f>
        <v>1230</v>
      </c>
      <c r="AS5" s="90" t="n">
        <f aca="false">IF(AR5="","",ROUND(AR5*(1-Справочники!$B$11),0))</f>
        <v>1132</v>
      </c>
      <c r="AT5" s="88" t="n">
        <v>700</v>
      </c>
      <c r="AU5" s="90" t="n">
        <f aca="false">IF(AT5="","",ROUND(AT5/(1+Справочники!$B$12),0))</f>
        <v>603</v>
      </c>
      <c r="AV5" s="90" t="n">
        <f aca="false">IF(AT5="","",ROUND(AT5*(1-Справочники!$B$15),0))</f>
        <v>679</v>
      </c>
      <c r="AW5" s="90" t="n">
        <f aca="false">IF(AT5="","",ROUND(AT5*(1-Справочники!$B$16),0))</f>
        <v>658</v>
      </c>
      <c r="AX5" s="90" t="n">
        <f aca="false">IF(AT5="","",ROUND(AT5*(1-Справочники!$B$17),0))</f>
        <v>637</v>
      </c>
      <c r="AY5" s="90" t="n">
        <f aca="false">IF(AT5="","",ROUND(AT5*(1-Справочники!$B$18),0))</f>
        <v>616</v>
      </c>
      <c r="AZ5" s="90" t="n">
        <f aca="false">IF(AT5="","",ROUND(AT5*(1-Справочники!$B$19),0))</f>
        <v>595</v>
      </c>
      <c r="BA5" s="81" t="n">
        <v>2000</v>
      </c>
      <c r="BB5" s="81" t="s">
        <v>147</v>
      </c>
      <c r="BC5" s="81" t="s">
        <v>279</v>
      </c>
      <c r="BD5" s="81"/>
      <c r="BE5" s="91" t="n">
        <v>2.9</v>
      </c>
      <c r="BF5" s="81" t="s">
        <v>103</v>
      </c>
      <c r="BG5" s="89" t="n">
        <f aca="false" t="array" ref="BG5:BG5">IF(BF5="","",IFERROR(INDEX(Справочники!$B$4:$B$7,MATCH(BF5,Справочники!$A$4:$A$7,0)),""))</f>
        <v>68.5</v>
      </c>
      <c r="BH5" s="90" t="n">
        <f aca="false">IF(N(BN5)&gt;0,ROUND(SUMIF(ЗАКАЗЫ!$F$3:$F$500,$A5,ЗАКАЗЫ!$Y$3:$Y$500)/BN5,0),IF(OR(BE5="",BG5=""),"",ROUND(BE5*BG5*(1+Справочники!$B$10),0)))</f>
        <v>243</v>
      </c>
      <c r="BI5" s="92" t="n">
        <f aca="false">IF(OR(AU5="",BH5="",AU5=0),"",(AU5-BH5)/AU5)</f>
        <v>0.597014925373134</v>
      </c>
      <c r="BJ5" s="81" t="n">
        <v>12</v>
      </c>
      <c r="BK5" s="83"/>
      <c r="BL5" s="43" t="str">
        <f aca="false">IFERROR(INDEX(ЗАКАЗЫ!$N$3:$N$500,MATCH($A5,ЗАКАЗЫ!$F$3:$F$500,0)),"")</f>
        <v>7326 90 980 7</v>
      </c>
      <c r="BM5" s="8" t="n">
        <f aca="false">IF(BL5="","",IFERROR(VLOOKUP(BL5,'ТН ВЭД'!$A$4:$C$40,3,0),""))</f>
        <v>0.075</v>
      </c>
      <c r="BN5" s="7" t="n">
        <f aca="false">IF(COUNTIF(ЗАКАЗЫ!$F$3:$F$500,$A5)=0,"",SUMIF(ЗАКАЗЫ!$F$3:$F$500,$A5,ЗАКАЗЫ!$J$3:$J$500))</f>
        <v>2000</v>
      </c>
      <c r="BO5" s="7" t="n">
        <f aca="false">IF(BN5="","",SUMIF(ЗАКАЗЫ!$F$3:$F$500,$A5,ЗАКАЗЫ!$AL$3:$AL$500))</f>
        <v>0</v>
      </c>
      <c r="BP5" s="7" t="n">
        <f aca="false">IF(BN5="","",BN5-BO5)</f>
        <v>2000</v>
      </c>
      <c r="BQ5" s="55" t="str">
        <f aca="false">IF(BN5="","",IF(BO5&gt;=BN5,"На складе",IF(BO5&gt;0,"Частично","Ждём")))</f>
        <v>Ждём</v>
      </c>
      <c r="BR5" s="43" t="s">
        <v>1153</v>
      </c>
      <c r="BS5" s="47" t="n">
        <f aca="false">IF(BN5="","",IF(_xlfn.MAXIFS(ЗАКАЗЫ!$AK$3:$AK$500,ЗАКАЗЫ!$F$3:$F$500,$A5)=0,"",_xlfn.MAXIFS(ЗАКАЗЫ!$AK$3:$AK$500,ЗАКАЗЫ!$F$3:$F$500,$A5)))</f>
        <v>46346</v>
      </c>
    </row>
    <row r="6" customFormat="false" ht="79.5" hidden="false" customHeight="true" outlineLevel="0" collapsed="false">
      <c r="A6" s="80" t="s">
        <v>280</v>
      </c>
      <c r="B6" s="81"/>
      <c r="C6" s="81"/>
      <c r="D6" s="81"/>
      <c r="E6" s="83" t="s">
        <v>1154</v>
      </c>
      <c r="F6" s="81"/>
      <c r="G6" s="83" t="s">
        <v>1155</v>
      </c>
      <c r="H6" s="83" t="s">
        <v>1156</v>
      </c>
      <c r="I6" s="84" t="str">
        <f aca="false">IF(E6="","",A6&amp;"_1.jpg")</f>
        <v>AKO-IK-004_1.jpg</v>
      </c>
      <c r="J6" s="84" t="str">
        <f aca="false">IF(E6="","",A6&amp;"_2.jpg; "&amp;A6&amp;"_3.jpg")</f>
        <v>AKO-IK-004_2.jpg; AKO-IK-004_3.jpg</v>
      </c>
      <c r="K6" s="84" t="str">
        <f aca="false">IF(E6="","",A6&amp;"_schema.jpg")</f>
        <v>AKO-IK-004_schema.jpg</v>
      </c>
      <c r="L6" s="81"/>
      <c r="M6" s="81"/>
      <c r="N6" s="81" t="s">
        <v>1157</v>
      </c>
      <c r="O6" s="81" t="n">
        <v>16</v>
      </c>
      <c r="P6" s="81"/>
      <c r="Q6" s="81"/>
      <c r="R6" s="81"/>
      <c r="S6" s="81"/>
      <c r="T6" s="81"/>
      <c r="U6" s="81"/>
      <c r="V6" s="81" t="s">
        <v>96</v>
      </c>
      <c r="W6" s="81"/>
      <c r="X6" s="81" t="s">
        <v>1158</v>
      </c>
      <c r="Y6" s="85" t="n">
        <v>3750</v>
      </c>
      <c r="Z6" s="85"/>
      <c r="AA6" s="85"/>
      <c r="AB6" s="85"/>
      <c r="AC6" s="85" t="n">
        <v>3750</v>
      </c>
      <c r="AD6" s="85"/>
      <c r="AE6" s="85" t="n">
        <v>7500</v>
      </c>
      <c r="AF6" s="85"/>
      <c r="AG6" s="85"/>
      <c r="AH6" s="85"/>
      <c r="AI6" s="85"/>
      <c r="AJ6" s="85"/>
      <c r="AK6" s="86" t="n">
        <f aca="false">IF(SUM(Y6:AJ6)=0,"",SUM(Y6:AJ6))</f>
        <v>15000</v>
      </c>
      <c r="AL6" s="84" t="str">
        <f aca="false">MID(IF(N(Y6)&gt;0,", "&amp;Y$2,"")&amp;IF(N(Z6)&gt;0,", "&amp;Z$2,"")&amp;IF(N(AA6)&gt;0,", "&amp;AA$2,"")&amp;IF(N(AB6)&gt;0,", "&amp;AB$2,"")&amp;IF(N(AC6)&gt;0,", "&amp;AC$2,"")&amp;IF(N(AD6)&gt;0,", "&amp;AD$2,"")&amp;IF(N(AE6)&gt;0,", "&amp;AE$2,"")&amp;IF(N(AF6)&gt;0,", "&amp;AF$2,"")&amp;IF(N(AG6)&gt;0,", "&amp;AG$2,"")&amp;IF(N(AH6)&gt;0,", "&amp;AH$2,"")&amp;IF(N(AI6)&gt;0,", "&amp;AI$2,"")&amp;IF(N(AJ6)&gt;0,", "&amp;AJ$2,""),3,999)</f>
        <v>BLACK, GRAY, YELLOW</v>
      </c>
      <c r="AM6" s="87" t="str">
        <f aca="false">IF(E6="","",MID(IF(N(Y6)&gt;0,", "&amp;A6&amp;"-"&amp;Y$2,"")&amp;IF(N(Z6)&gt;0,", "&amp;A6&amp;"-"&amp;Z$2,"")&amp;IF(N(AA6)&gt;0,", "&amp;A6&amp;"-"&amp;AA$2,"")&amp;IF(N(AB6)&gt;0,", "&amp;A6&amp;"-"&amp;AB$2,"")&amp;IF(N(AC6)&gt;0,", "&amp;A6&amp;"-"&amp;AC$2,"")&amp;IF(N(AD6)&gt;0,", "&amp;A6&amp;"-"&amp;AD$2,"")&amp;IF(N(AE6)&gt;0,", "&amp;A6&amp;"-"&amp;AE$2,"")&amp;IF(N(AF6)&gt;0,", "&amp;A6&amp;"-"&amp;AF$2,"")&amp;IF(N(AG6)&gt;0,", "&amp;A6&amp;"-"&amp;AG$2,"")&amp;IF(N(AH6)&gt;0,", "&amp;A6&amp;"-"&amp;AH$2,"")&amp;IF(N(AI6)&gt;0,", "&amp;A6&amp;"-"&amp;AI$2,"")&amp;IF(N(AJ6)&gt;0,", "&amp;A6&amp;"-"&amp;AJ$2,""),3,999))</f>
        <v>AKO-IK-004-BLACK, AKO-IK-004-GRAY, AKO-IK-004-YELLOW</v>
      </c>
      <c r="AN6" s="81" t="n">
        <v>1</v>
      </c>
      <c r="AO6" s="88" t="n">
        <v>44</v>
      </c>
      <c r="AP6" s="89" t="n">
        <f aca="false">IF(AO6="","",ROUND(AO6/(1+Справочники!$B$13),2))</f>
        <v>44</v>
      </c>
      <c r="AQ6" s="90" t="n">
        <f aca="false" t="array" ref="AQ6:AQ6">IF(AP6="","",AP6*INDEX(Справочники!$B$4:$B$7,MATCH("RUB",Справочники!$A$4:$A$7,0)))</f>
        <v>233.2</v>
      </c>
      <c r="AR6" s="90" t="n">
        <f aca="false">IF(AQ6="","",ROUND(AQ6*(1+Справочники!$B$12),0))</f>
        <v>271</v>
      </c>
      <c r="AS6" s="90" t="n">
        <f aca="false">IF(AR6="","",ROUND(AR6*(1-Справочники!$B$11),0))</f>
        <v>249</v>
      </c>
      <c r="AT6" s="88" t="n">
        <v>270</v>
      </c>
      <c r="AU6" s="90" t="n">
        <f aca="false">IF(AT6="","",ROUND(AT6/(1+Справочники!$B$12),0))</f>
        <v>233</v>
      </c>
      <c r="AV6" s="90" t="n">
        <f aca="false">IF(AT6="","",ROUND(AT6*(1-Справочники!$B$15),0))</f>
        <v>262</v>
      </c>
      <c r="AW6" s="90" t="n">
        <f aca="false">IF(AT6="","",ROUND(AT6*(1-Справочники!$B$16),0))</f>
        <v>254</v>
      </c>
      <c r="AX6" s="90" t="n">
        <f aca="false">IF(AT6="","",ROUND(AT6*(1-Справочники!$B$17),0))</f>
        <v>246</v>
      </c>
      <c r="AY6" s="90" t="n">
        <f aca="false">IF(AT6="","",ROUND(AT6*(1-Справочники!$B$18),0))</f>
        <v>238</v>
      </c>
      <c r="AZ6" s="90" t="n">
        <f aca="false">IF(AT6="","",ROUND(AT6*(1-Справочники!$B$19),0))</f>
        <v>230</v>
      </c>
      <c r="BA6" s="81" t="n">
        <v>15000</v>
      </c>
      <c r="BB6" s="81" t="s">
        <v>147</v>
      </c>
      <c r="BC6" s="81" t="s">
        <v>281</v>
      </c>
      <c r="BD6" s="81"/>
      <c r="BE6" s="91" t="n">
        <v>1.5</v>
      </c>
      <c r="BF6" s="81" t="s">
        <v>103</v>
      </c>
      <c r="BG6" s="89" t="n">
        <f aca="false" t="array" ref="BG6:BG6">IF(BF6="","",IFERROR(INDEX(Справочники!$B$4:$B$7,MATCH(BF6,Справочники!$A$4:$A$7,0)),""))</f>
        <v>68.5</v>
      </c>
      <c r="BH6" s="90" t="n">
        <f aca="false">IF(N(BN6)&gt;0,ROUND(SUMIF(ЗАКАЗЫ!$F$3:$F$500,$A6,ЗАКАЗЫ!$Y$3:$Y$500)/BN6,0),IF(OR(BE6="",BG6=""),"",ROUND(BE6*BG6*(1+Справочники!$B$10),0)))</f>
        <v>125</v>
      </c>
      <c r="BI6" s="92" t="n">
        <f aca="false">IF(OR(AU6="",BH6="",AU6=0),"",(AU6-BH6)/AU6)</f>
        <v>0.463519313304721</v>
      </c>
      <c r="BJ6" s="81" t="n">
        <v>12</v>
      </c>
      <c r="BK6" s="83"/>
      <c r="BL6" s="43" t="str">
        <f aca="false">IFERROR(INDEX(ЗАКАЗЫ!$N$3:$N$500,MATCH($A6,ЗАКАЗЫ!$F$3:$F$500,0)),"")</f>
        <v>3926 90 970 9</v>
      </c>
      <c r="BM6" s="8" t="n">
        <f aca="false">IF(BL6="","",IFERROR(VLOOKUP(BL6,'ТН ВЭД'!$A$4:$C$40,3,0),""))</f>
        <v>0.065</v>
      </c>
      <c r="BN6" s="7" t="n">
        <f aca="false">IF(COUNTIF(ЗАКАЗЫ!$F$3:$F$500,$A6)=0,"",SUMIF(ЗАКАЗЫ!$F$3:$F$500,$A6,ЗАКАЗЫ!$J$3:$J$500))</f>
        <v>15000</v>
      </c>
      <c r="BO6" s="7" t="n">
        <f aca="false">IF(BN6="","",SUMIF(ЗАКАЗЫ!$F$3:$F$500,$A6,ЗАКАЗЫ!$AL$3:$AL$500))</f>
        <v>0</v>
      </c>
      <c r="BP6" s="7" t="n">
        <f aca="false">IF(BN6="","",BN6-BO6)</f>
        <v>15000</v>
      </c>
      <c r="BQ6" s="55" t="str">
        <f aca="false">IF(BN6="","",IF(BO6&gt;=BN6,"На складе",IF(BO6&gt;0,"Частично","Ждём")))</f>
        <v>Ждём</v>
      </c>
      <c r="BR6" s="43" t="s">
        <v>1159</v>
      </c>
      <c r="BS6" s="47" t="n">
        <f aca="false">IF(BN6="","",IF(_xlfn.MAXIFS(ЗАКАЗЫ!$AK$3:$AK$500,ЗАКАЗЫ!$F$3:$F$500,$A6)=0,"",_xlfn.MAXIFS(ЗАКАЗЫ!$AK$3:$AK$500,ЗАКАЗЫ!$F$3:$F$500,$A6)))</f>
        <v>46346</v>
      </c>
    </row>
    <row r="7" customFormat="false" ht="79.5" hidden="false" customHeight="true" outlineLevel="0" collapsed="false">
      <c r="A7" s="80" t="s">
        <v>284</v>
      </c>
      <c r="B7" s="81"/>
      <c r="C7" s="81"/>
      <c r="D7" s="81"/>
      <c r="E7" s="83" t="s">
        <v>1160</v>
      </c>
      <c r="F7" s="81"/>
      <c r="G7" s="83" t="s">
        <v>1161</v>
      </c>
      <c r="H7" s="83" t="s">
        <v>1162</v>
      </c>
      <c r="I7" s="84" t="str">
        <f aca="false">IF(E7="","",A7&amp;"_1.jpg")</f>
        <v>AKO-IK-005_1.jpg</v>
      </c>
      <c r="J7" s="84" t="str">
        <f aca="false">IF(E7="","",A7&amp;"_2.jpg; "&amp;A7&amp;"_3.jpg")</f>
        <v>AKO-IK-005_2.jpg; AKO-IK-005_3.jpg</v>
      </c>
      <c r="K7" s="84" t="str">
        <f aca="false">IF(E7="","",A7&amp;"_schema.jpg")</f>
        <v>AKO-IK-005_schema.jpg</v>
      </c>
      <c r="L7" s="81"/>
      <c r="M7" s="81"/>
      <c r="N7" s="81" t="s">
        <v>85</v>
      </c>
      <c r="O7" s="81" t="n">
        <v>16</v>
      </c>
      <c r="P7" s="81"/>
      <c r="Q7" s="81"/>
      <c r="R7" s="81"/>
      <c r="S7" s="81"/>
      <c r="T7" s="81"/>
      <c r="U7" s="81"/>
      <c r="V7" s="81" t="s">
        <v>96</v>
      </c>
      <c r="W7" s="81"/>
      <c r="X7" s="81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 t="n">
        <v>1000</v>
      </c>
      <c r="AJ7" s="85"/>
      <c r="AK7" s="86" t="n">
        <f aca="false">IF(SUM(Y7:AJ7)=0,"",SUM(Y7:AJ7))</f>
        <v>1000</v>
      </c>
      <c r="AL7" s="84" t="str">
        <f aca="false">MID(IF(N(Y7)&gt;0,", "&amp;Y$2,"")&amp;IF(N(Z7)&gt;0,", "&amp;Z$2,"")&amp;IF(N(AA7)&gt;0,", "&amp;AA$2,"")&amp;IF(N(AB7)&gt;0,", "&amp;AB$2,"")&amp;IF(N(AC7)&gt;0,", "&amp;AC$2,"")&amp;IF(N(AD7)&gt;0,", "&amp;AD$2,"")&amp;IF(N(AE7)&gt;0,", "&amp;AE$2,"")&amp;IF(N(AF7)&gt;0,", "&amp;AF$2,"")&amp;IF(N(AG7)&gt;0,", "&amp;AG$2,"")&amp;IF(N(AH7)&gt;0,", "&amp;AH$2,"")&amp;IF(N(AI7)&gt;0,", "&amp;AI$2,"")&amp;IF(N(AJ7)&gt;0,", "&amp;AJ$2,""),3,999)</f>
        <v>NATURAL</v>
      </c>
      <c r="AM7" s="87" t="str">
        <f aca="false">IF(E7="","",MID(IF(N(Y7)&gt;0,", "&amp;A7&amp;"-"&amp;Y$2,"")&amp;IF(N(Z7)&gt;0,", "&amp;A7&amp;"-"&amp;Z$2,"")&amp;IF(N(AA7)&gt;0,", "&amp;A7&amp;"-"&amp;AA$2,"")&amp;IF(N(AB7)&gt;0,", "&amp;A7&amp;"-"&amp;AB$2,"")&amp;IF(N(AC7)&gt;0,", "&amp;A7&amp;"-"&amp;AC$2,"")&amp;IF(N(AD7)&gt;0,", "&amp;A7&amp;"-"&amp;AD$2,"")&amp;IF(N(AE7)&gt;0,", "&amp;A7&amp;"-"&amp;AE$2,"")&amp;IF(N(AF7)&gt;0,", "&amp;A7&amp;"-"&amp;AF$2,"")&amp;IF(N(AG7)&gt;0,", "&amp;A7&amp;"-"&amp;AG$2,"")&amp;IF(N(AH7)&gt;0,", "&amp;A7&amp;"-"&amp;AH$2,"")&amp;IF(N(AI7)&gt;0,", "&amp;A7&amp;"-"&amp;AI$2,"")&amp;IF(N(AJ7)&gt;0,", "&amp;A7&amp;"-"&amp;AJ$2,""),3,999))</f>
        <v>AKO-IK-005-NATURAL</v>
      </c>
      <c r="AN7" s="81" t="n">
        <v>1</v>
      </c>
      <c r="AO7" s="88"/>
      <c r="AP7" s="89" t="str">
        <f aca="false">IF(AO7="","",ROUND(AO7/(1+Справочники!$B$13),2))</f>
        <v/>
      </c>
      <c r="AQ7" s="90" t="str">
        <f aca="false" t="array" ref="AQ7:AQ7">IF(AP7="","",AP7*INDEX(Справочники!$B$4:$B$7,MATCH("RUB",Справочники!$A$4:$A$7,0)))</f>
        <v/>
      </c>
      <c r="AR7" s="90" t="str">
        <f aca="false">IF(AQ7="","",ROUND(AQ7*(1+Справочники!$B$12),0))</f>
        <v/>
      </c>
      <c r="AS7" s="90" t="str">
        <f aca="false">IF(AR7="","",ROUND(AR7*(1-Справочники!$B$11),0))</f>
        <v/>
      </c>
      <c r="AT7" s="88" t="n">
        <v>350</v>
      </c>
      <c r="AU7" s="90" t="n">
        <f aca="false">IF(AT7="","",ROUND(AT7/(1+Справочники!$B$12),0))</f>
        <v>302</v>
      </c>
      <c r="AV7" s="90" t="n">
        <f aca="false">IF(AT7="","",ROUND(AT7*(1-Справочники!$B$15),0))</f>
        <v>340</v>
      </c>
      <c r="AW7" s="90" t="n">
        <f aca="false">IF(AT7="","",ROUND(AT7*(1-Справочники!$B$16),0))</f>
        <v>329</v>
      </c>
      <c r="AX7" s="90" t="n">
        <f aca="false">IF(AT7="","",ROUND(AT7*(1-Справочники!$B$17),0))</f>
        <v>319</v>
      </c>
      <c r="AY7" s="90" t="n">
        <f aca="false">IF(AT7="","",ROUND(AT7*(1-Справочники!$B$18),0))</f>
        <v>308</v>
      </c>
      <c r="AZ7" s="90" t="n">
        <f aca="false">IF(AT7="","",ROUND(AT7*(1-Справочники!$B$19),0))</f>
        <v>298</v>
      </c>
      <c r="BA7" s="81" t="n">
        <v>1000</v>
      </c>
      <c r="BB7" s="81" t="s">
        <v>147</v>
      </c>
      <c r="BC7" s="81" t="s">
        <v>285</v>
      </c>
      <c r="BD7" s="81"/>
      <c r="BE7" s="91" t="n">
        <v>1.5</v>
      </c>
      <c r="BF7" s="81" t="s">
        <v>103</v>
      </c>
      <c r="BG7" s="89" t="n">
        <f aca="false" t="array" ref="BG7:BG7">IF(BF7="","",IFERROR(INDEX(Справочники!$B$4:$B$7,MATCH(BF7,Справочники!$A$4:$A$7,0)),""))</f>
        <v>68.5</v>
      </c>
      <c r="BH7" s="90" t="n">
        <f aca="false">IF(N(BN7)&gt;0,ROUND(SUMIF(ЗАКАЗЫ!$F$3:$F$500,$A7,ЗАКАЗЫ!$Y$3:$Y$500)/BN7,0),IF(OR(BE7="",BG7=""),"",ROUND(BE7*BG7*(1+Справочники!$B$10),0)))</f>
        <v>127</v>
      </c>
      <c r="BI7" s="92" t="n">
        <f aca="false">IF(OR(AU7="",BH7="",AU7=0),"",(AU7-BH7)/AU7)</f>
        <v>0.579470198675497</v>
      </c>
      <c r="BJ7" s="81" t="n">
        <v>12</v>
      </c>
      <c r="BK7" s="83"/>
      <c r="BL7" s="43" t="str">
        <f aca="false">IFERROR(INDEX(ЗАКАЗЫ!$N$3:$N$500,MATCH($A7,ЗАКАЗЫ!$F$3:$F$500,0)),"")</f>
        <v>7616 99 900 8</v>
      </c>
      <c r="BM7" s="8" t="n">
        <f aca="false">IF(BL7="","",IFERROR(VLOOKUP(BL7,'ТН ВЭД'!$A$4:$C$40,3,0),""))</f>
        <v>0.09</v>
      </c>
      <c r="BN7" s="7" t="n">
        <f aca="false">IF(COUNTIF(ЗАКАЗЫ!$F$3:$F$500,$A7)=0,"",SUMIF(ЗАКАЗЫ!$F$3:$F$500,$A7,ЗАКАЗЫ!$J$3:$J$500))</f>
        <v>1000</v>
      </c>
      <c r="BO7" s="7" t="n">
        <f aca="false">IF(BN7="","",SUMIF(ЗАКАЗЫ!$F$3:$F$500,$A7,ЗАКАЗЫ!$AL$3:$AL$500))</f>
        <v>0</v>
      </c>
      <c r="BP7" s="7" t="n">
        <f aca="false">IF(BN7="","",BN7-BO7)</f>
        <v>1000</v>
      </c>
      <c r="BQ7" s="55" t="str">
        <f aca="false">IF(BN7="","",IF(BO7&gt;=BN7,"На складе",IF(BO7&gt;0,"Частично","Ждём")))</f>
        <v>Ждём</v>
      </c>
      <c r="BR7" s="43" t="s">
        <v>1163</v>
      </c>
      <c r="BS7" s="47" t="n">
        <f aca="false">IF(BN7="","",IF(_xlfn.MAXIFS(ЗАКАЗЫ!$AK$3:$AK$500,ЗАКАЗЫ!$F$3:$F$500,$A7)=0,"",_xlfn.MAXIFS(ЗАКАЗЫ!$AK$3:$AK$500,ЗАКАЗЫ!$F$3:$F$500,$A7)))</f>
        <v>46346</v>
      </c>
    </row>
    <row r="8" customFormat="false" ht="79.5" hidden="false" customHeight="true" outlineLevel="0" collapsed="false">
      <c r="A8" s="80" t="s">
        <v>287</v>
      </c>
      <c r="B8" s="81"/>
      <c r="C8" s="81"/>
      <c r="D8" s="81"/>
      <c r="E8" s="83" t="s">
        <v>1164</v>
      </c>
      <c r="F8" s="81"/>
      <c r="G8" s="83" t="s">
        <v>1165</v>
      </c>
      <c r="H8" s="83" t="s">
        <v>1166</v>
      </c>
      <c r="I8" s="84" t="str">
        <f aca="false">IF(E8="","",A8&amp;"_1.jpg")</f>
        <v>AKO-IK-006_1.jpg</v>
      </c>
      <c r="J8" s="84" t="str">
        <f aca="false">IF(E8="","",A8&amp;"_2.jpg; "&amp;A8&amp;"_3.jpg")</f>
        <v>AKO-IK-006_2.jpg; AKO-IK-006_3.jpg</v>
      </c>
      <c r="K8" s="84" t="str">
        <f aca="false">IF(E8="","",A8&amp;"_schema.jpg")</f>
        <v>AKO-IK-006_schema.jpg</v>
      </c>
      <c r="L8" s="81"/>
      <c r="M8" s="81"/>
      <c r="N8" s="81" t="s">
        <v>1157</v>
      </c>
      <c r="O8" s="81" t="n">
        <v>16</v>
      </c>
      <c r="P8" s="81"/>
      <c r="Q8" s="81"/>
      <c r="R8" s="81"/>
      <c r="S8" s="81"/>
      <c r="T8" s="81"/>
      <c r="U8" s="81"/>
      <c r="V8" s="81" t="s">
        <v>96</v>
      </c>
      <c r="W8" s="81"/>
      <c r="X8" s="81" t="s">
        <v>1167</v>
      </c>
      <c r="Y8" s="85"/>
      <c r="Z8" s="85"/>
      <c r="AA8" s="85"/>
      <c r="AB8" s="85"/>
      <c r="AC8" s="85" t="n">
        <v>1000</v>
      </c>
      <c r="AD8" s="85"/>
      <c r="AE8" s="85"/>
      <c r="AF8" s="85"/>
      <c r="AG8" s="85"/>
      <c r="AH8" s="85"/>
      <c r="AI8" s="85"/>
      <c r="AJ8" s="85"/>
      <c r="AK8" s="86" t="n">
        <f aca="false">IF(SUM(Y8:AJ8)=0,"",SUM(Y8:AJ8))</f>
        <v>1000</v>
      </c>
      <c r="AL8" s="84" t="str">
        <f aca="false">MID(IF(N(Y8)&gt;0,", "&amp;Y$2,"")&amp;IF(N(Z8)&gt;0,", "&amp;Z$2,"")&amp;IF(N(AA8)&gt;0,", "&amp;AA$2,"")&amp;IF(N(AB8)&gt;0,", "&amp;AB$2,"")&amp;IF(N(AC8)&gt;0,", "&amp;AC$2,"")&amp;IF(N(AD8)&gt;0,", "&amp;AD$2,"")&amp;IF(N(AE8)&gt;0,", "&amp;AE$2,"")&amp;IF(N(AF8)&gt;0,", "&amp;AF$2,"")&amp;IF(N(AG8)&gt;0,", "&amp;AG$2,"")&amp;IF(N(AH8)&gt;0,", "&amp;AH$2,"")&amp;IF(N(AI8)&gt;0,", "&amp;AI$2,"")&amp;IF(N(AJ8)&gt;0,", "&amp;AJ$2,""),3,999)</f>
        <v>GRAY</v>
      </c>
      <c r="AM8" s="87" t="str">
        <f aca="false">IF(E8="","",MID(IF(N(Y8)&gt;0,", "&amp;A8&amp;"-"&amp;Y$2,"")&amp;IF(N(Z8)&gt;0,", "&amp;A8&amp;"-"&amp;Z$2,"")&amp;IF(N(AA8)&gt;0,", "&amp;A8&amp;"-"&amp;AA$2,"")&amp;IF(N(AB8)&gt;0,", "&amp;A8&amp;"-"&amp;AB$2,"")&amp;IF(N(AC8)&gt;0,", "&amp;A8&amp;"-"&amp;AC$2,"")&amp;IF(N(AD8)&gt;0,", "&amp;A8&amp;"-"&amp;AD$2,"")&amp;IF(N(AE8)&gt;0,", "&amp;A8&amp;"-"&amp;AE$2,"")&amp;IF(N(AF8)&gt;0,", "&amp;A8&amp;"-"&amp;AF$2,"")&amp;IF(N(AG8)&gt;0,", "&amp;A8&amp;"-"&amp;AG$2,"")&amp;IF(N(AH8)&gt;0,", "&amp;A8&amp;"-"&amp;AH$2,"")&amp;IF(N(AI8)&gt;0,", "&amp;A8&amp;"-"&amp;AI$2,"")&amp;IF(N(AJ8)&gt;0,", "&amp;A8&amp;"-"&amp;AJ$2,""),3,999))</f>
        <v>AKO-IK-006-GRAY</v>
      </c>
      <c r="AN8" s="81" t="n">
        <v>1</v>
      </c>
      <c r="AO8" s="88" t="n">
        <v>58</v>
      </c>
      <c r="AP8" s="89" t="n">
        <f aca="false">IF(AO8="","",ROUND(AO8/(1+Справочники!$B$13),2))</f>
        <v>58</v>
      </c>
      <c r="AQ8" s="90" t="n">
        <f aca="false" t="array" ref="AQ8:AQ8">IF(AP8="","",AP8*INDEX(Справочники!$B$4:$B$7,MATCH("RUB",Справочники!$A$4:$A$7,0)))</f>
        <v>307.4</v>
      </c>
      <c r="AR8" s="90" t="n">
        <f aca="false">IF(AQ8="","",ROUND(AQ8*(1+Справочники!$B$12),0))</f>
        <v>357</v>
      </c>
      <c r="AS8" s="90" t="n">
        <f aca="false">IF(AR8="","",ROUND(AR8*(1-Справочники!$B$11),0))</f>
        <v>328</v>
      </c>
      <c r="AT8" s="88" t="n">
        <v>280</v>
      </c>
      <c r="AU8" s="90" t="n">
        <f aca="false">IF(AT8="","",ROUND(AT8/(1+Справочники!$B$12),0))</f>
        <v>241</v>
      </c>
      <c r="AV8" s="90" t="n">
        <f aca="false">IF(AT8="","",ROUND(AT8*(1-Справочники!$B$15),0))</f>
        <v>272</v>
      </c>
      <c r="AW8" s="90" t="n">
        <f aca="false">IF(AT8="","",ROUND(AT8*(1-Справочники!$B$16),0))</f>
        <v>263</v>
      </c>
      <c r="AX8" s="90" t="n">
        <f aca="false">IF(AT8="","",ROUND(AT8*(1-Справочники!$B$17),0))</f>
        <v>255</v>
      </c>
      <c r="AY8" s="90" t="n">
        <f aca="false">IF(AT8="","",ROUND(AT8*(1-Справочники!$B$18),0))</f>
        <v>246</v>
      </c>
      <c r="AZ8" s="90" t="n">
        <f aca="false">IF(AT8="","",ROUND(AT8*(1-Справочники!$B$19),0))</f>
        <v>238</v>
      </c>
      <c r="BA8" s="81" t="n">
        <v>1000</v>
      </c>
      <c r="BB8" s="81" t="s">
        <v>147</v>
      </c>
      <c r="BC8" s="81" t="s">
        <v>288</v>
      </c>
      <c r="BD8" s="81"/>
      <c r="BE8" s="91" t="n">
        <v>1.1</v>
      </c>
      <c r="BF8" s="81" t="s">
        <v>103</v>
      </c>
      <c r="BG8" s="89" t="n">
        <f aca="false" t="array" ref="BG8:BG8">IF(BF8="","",IFERROR(INDEX(Справочники!$B$4:$B$7,MATCH(BF8,Справочники!$A$4:$A$7,0)),""))</f>
        <v>68.5</v>
      </c>
      <c r="BH8" s="90" t="n">
        <f aca="false">IF(N(BN8)&gt;0,ROUND(SUMIF(ЗАКАЗЫ!$F$3:$F$500,$A8,ЗАКАЗЫ!$Y$3:$Y$500)/BN8,0),IF(OR(BE8="",BG8=""),"",ROUND(BE8*BG8*(1+Справочники!$B$10),0)))</f>
        <v>92</v>
      </c>
      <c r="BI8" s="92" t="n">
        <f aca="false">IF(OR(AU8="",BH8="",AU8=0),"",(AU8-BH8)/AU8)</f>
        <v>0.618257261410788</v>
      </c>
      <c r="BJ8" s="81" t="n">
        <v>12</v>
      </c>
      <c r="BK8" s="83"/>
      <c r="BL8" s="43" t="str">
        <f aca="false">IFERROR(INDEX(ЗАКАЗЫ!$N$3:$N$500,MATCH($A8,ЗАКАЗЫ!$F$3:$F$500,0)),"")</f>
        <v>3926 90 970 9</v>
      </c>
      <c r="BM8" s="8" t="n">
        <f aca="false">IF(BL8="","",IFERROR(VLOOKUP(BL8,'ТН ВЭД'!$A$4:$C$40,3,0),""))</f>
        <v>0.065</v>
      </c>
      <c r="BN8" s="7" t="n">
        <f aca="false">IF(COUNTIF(ЗАКАЗЫ!$F$3:$F$500,$A8)=0,"",SUMIF(ЗАКАЗЫ!$F$3:$F$500,$A8,ЗАКАЗЫ!$J$3:$J$500))</f>
        <v>1000</v>
      </c>
      <c r="BO8" s="7" t="n">
        <f aca="false">IF(BN8="","",SUMIF(ЗАКАЗЫ!$F$3:$F$500,$A8,ЗАКАЗЫ!$AL$3:$AL$500))</f>
        <v>0</v>
      </c>
      <c r="BP8" s="7" t="n">
        <f aca="false">IF(BN8="","",BN8-BO8)</f>
        <v>1000</v>
      </c>
      <c r="BQ8" s="55" t="str">
        <f aca="false">IF(BN8="","",IF(BO8&gt;=BN8,"На складе",IF(BO8&gt;0,"Частично","Ждём")))</f>
        <v>Ждём</v>
      </c>
      <c r="BR8" s="43" t="s">
        <v>1168</v>
      </c>
      <c r="BS8" s="47" t="n">
        <f aca="false">IF(BN8="","",IF(_xlfn.MAXIFS(ЗАКАЗЫ!$AK$3:$AK$500,ЗАКАЗЫ!$F$3:$F$500,$A8)=0,"",_xlfn.MAXIFS(ЗАКАЗЫ!$AK$3:$AK$500,ЗАКАЗЫ!$F$3:$F$500,$A8)))</f>
        <v>46346</v>
      </c>
    </row>
    <row r="9" customFormat="false" ht="79.5" hidden="false" customHeight="true" outlineLevel="0" collapsed="false">
      <c r="A9" s="80" t="s">
        <v>289</v>
      </c>
      <c r="B9" s="81"/>
      <c r="C9" s="81"/>
      <c r="D9" s="81"/>
      <c r="E9" s="83" t="s">
        <v>1169</v>
      </c>
      <c r="F9" s="81"/>
      <c r="G9" s="83" t="s">
        <v>1170</v>
      </c>
      <c r="H9" s="83" t="s">
        <v>1171</v>
      </c>
      <c r="I9" s="84" t="str">
        <f aca="false">IF(E9="","",A9&amp;"_1.jpg")</f>
        <v>AKO-IK-007_1.jpg</v>
      </c>
      <c r="J9" s="84" t="str">
        <f aca="false">IF(E9="","",A9&amp;"_2.jpg; "&amp;A9&amp;"_3.jpg")</f>
        <v>AKO-IK-007_2.jpg; AKO-IK-007_3.jpg</v>
      </c>
      <c r="K9" s="84" t="str">
        <f aca="false">IF(E9="","",A9&amp;"_schema.jpg")</f>
        <v>AKO-IK-007_schema.jpg</v>
      </c>
      <c r="L9" s="81"/>
      <c r="M9" s="81"/>
      <c r="N9" s="81" t="s">
        <v>1157</v>
      </c>
      <c r="O9" s="81" t="n">
        <v>16</v>
      </c>
      <c r="P9" s="81"/>
      <c r="Q9" s="81"/>
      <c r="R9" s="81"/>
      <c r="S9" s="81"/>
      <c r="T9" s="81"/>
      <c r="U9" s="81"/>
      <c r="V9" s="81" t="s">
        <v>96</v>
      </c>
      <c r="W9" s="81"/>
      <c r="X9" s="81" t="s">
        <v>1172</v>
      </c>
      <c r="Y9" s="85" t="n">
        <v>500</v>
      </c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6" t="n">
        <f aca="false">IF(SUM(Y9:AJ9)=0,"",SUM(Y9:AJ9))</f>
        <v>500</v>
      </c>
      <c r="AL9" s="84" t="str">
        <f aca="false">MID(IF(N(Y9)&gt;0,", "&amp;Y$2,"")&amp;IF(N(Z9)&gt;0,", "&amp;Z$2,"")&amp;IF(N(AA9)&gt;0,", "&amp;AA$2,"")&amp;IF(N(AB9)&gt;0,", "&amp;AB$2,"")&amp;IF(N(AC9)&gt;0,", "&amp;AC$2,"")&amp;IF(N(AD9)&gt;0,", "&amp;AD$2,"")&amp;IF(N(AE9)&gt;0,", "&amp;AE$2,"")&amp;IF(N(AF9)&gt;0,", "&amp;AF$2,"")&amp;IF(N(AG9)&gt;0,", "&amp;AG$2,"")&amp;IF(N(AH9)&gt;0,", "&amp;AH$2,"")&amp;IF(N(AI9)&gt;0,", "&amp;AI$2,"")&amp;IF(N(AJ9)&gt;0,", "&amp;AJ$2,""),3,999)</f>
        <v>BLACK</v>
      </c>
      <c r="AM9" s="87" t="str">
        <f aca="false">IF(E9="","",MID(IF(N(Y9)&gt;0,", "&amp;A9&amp;"-"&amp;Y$2,"")&amp;IF(N(Z9)&gt;0,", "&amp;A9&amp;"-"&amp;Z$2,"")&amp;IF(N(AA9)&gt;0,", "&amp;A9&amp;"-"&amp;AA$2,"")&amp;IF(N(AB9)&gt;0,", "&amp;A9&amp;"-"&amp;AB$2,"")&amp;IF(N(AC9)&gt;0,", "&amp;A9&amp;"-"&amp;AC$2,"")&amp;IF(N(AD9)&gt;0,", "&amp;A9&amp;"-"&amp;AD$2,"")&amp;IF(N(AE9)&gt;0,", "&amp;A9&amp;"-"&amp;AE$2,"")&amp;IF(N(AF9)&gt;0,", "&amp;A9&amp;"-"&amp;AF$2,"")&amp;IF(N(AG9)&gt;0,", "&amp;A9&amp;"-"&amp;AG$2,"")&amp;IF(N(AH9)&gt;0,", "&amp;A9&amp;"-"&amp;AH$2,"")&amp;IF(N(AI9)&gt;0,", "&amp;A9&amp;"-"&amp;AI$2,"")&amp;IF(N(AJ9)&gt;0,", "&amp;A9&amp;"-"&amp;AJ$2,""),3,999))</f>
        <v>AKO-IK-007-BLACK</v>
      </c>
      <c r="AN9" s="81" t="n">
        <v>1</v>
      </c>
      <c r="AO9" s="88" t="n">
        <v>75</v>
      </c>
      <c r="AP9" s="89" t="n">
        <f aca="false">IF(AO9="","",ROUND(AO9/(1+Справочники!$B$13),2))</f>
        <v>75</v>
      </c>
      <c r="AQ9" s="90" t="n">
        <f aca="false" t="array" ref="AQ9:AQ9">IF(AP9="","",AP9*INDEX(Справочники!$B$4:$B$7,MATCH("RUB",Справочники!$A$4:$A$7,0)))</f>
        <v>397.5</v>
      </c>
      <c r="AR9" s="90" t="n">
        <f aca="false">IF(AQ9="","",ROUND(AQ9*(1+Справочники!$B$12),0))</f>
        <v>461</v>
      </c>
      <c r="AS9" s="90" t="n">
        <f aca="false">IF(AR9="","",ROUND(AR9*(1-Справочники!$B$11),0))</f>
        <v>424</v>
      </c>
      <c r="AT9" s="88" t="n">
        <v>460</v>
      </c>
      <c r="AU9" s="90" t="n">
        <f aca="false">IF(AT9="","",ROUND(AT9/(1+Справочники!$B$12),0))</f>
        <v>397</v>
      </c>
      <c r="AV9" s="90" t="n">
        <f aca="false">IF(AT9="","",ROUND(AT9*(1-Справочники!$B$15),0))</f>
        <v>446</v>
      </c>
      <c r="AW9" s="90" t="n">
        <f aca="false">IF(AT9="","",ROUND(AT9*(1-Справочники!$B$16),0))</f>
        <v>432</v>
      </c>
      <c r="AX9" s="90" t="n">
        <f aca="false">IF(AT9="","",ROUND(AT9*(1-Справочники!$B$17),0))</f>
        <v>419</v>
      </c>
      <c r="AY9" s="90" t="n">
        <f aca="false">IF(AT9="","",ROUND(AT9*(1-Справочники!$B$18),0))</f>
        <v>405</v>
      </c>
      <c r="AZ9" s="90" t="n">
        <f aca="false">IF(AT9="","",ROUND(AT9*(1-Справочники!$B$19),0))</f>
        <v>391</v>
      </c>
      <c r="BA9" s="81" t="n">
        <v>500</v>
      </c>
      <c r="BB9" s="81" t="s">
        <v>147</v>
      </c>
      <c r="BC9" s="81" t="s">
        <v>290</v>
      </c>
      <c r="BD9" s="81"/>
      <c r="BE9" s="91" t="n">
        <v>3.3</v>
      </c>
      <c r="BF9" s="81" t="s">
        <v>103</v>
      </c>
      <c r="BG9" s="89" t="n">
        <f aca="false" t="array" ref="BG9:BG9">IF(BF9="","",IFERROR(INDEX(Справочники!$B$4:$B$7,MATCH(BF9,Справочники!$A$4:$A$7,0)),""))</f>
        <v>68.5</v>
      </c>
      <c r="BH9" s="90" t="n">
        <f aca="false">IF(N(BN9)&gt;0,ROUND(SUMIF(ЗАКАЗЫ!$F$3:$F$500,$A9,ЗАКАЗЫ!$Y$3:$Y$500)/BN9,0),IF(OR(BE9="",BG9=""),"",ROUND(BE9*BG9*(1+Справочники!$B$10),0)))</f>
        <v>275</v>
      </c>
      <c r="BI9" s="92" t="n">
        <f aca="false">IF(OR(AU9="",BH9="",AU9=0),"",(AU9-BH9)/AU9)</f>
        <v>0.307304785894207</v>
      </c>
      <c r="BJ9" s="81" t="n">
        <v>12</v>
      </c>
      <c r="BK9" s="83"/>
      <c r="BL9" s="43" t="str">
        <f aca="false">IFERROR(INDEX(ЗАКАЗЫ!$N$3:$N$500,MATCH($A9,ЗАКАЗЫ!$F$3:$F$500,0)),"")</f>
        <v>3926 90 970 9</v>
      </c>
      <c r="BM9" s="8" t="n">
        <f aca="false">IF(BL9="","",IFERROR(VLOOKUP(BL9,'ТН ВЭД'!$A$4:$C$40,3,0),""))</f>
        <v>0.065</v>
      </c>
      <c r="BN9" s="7" t="n">
        <f aca="false">IF(COUNTIF(ЗАКАЗЫ!$F$3:$F$500,$A9)=0,"",SUMIF(ЗАКАЗЫ!$F$3:$F$500,$A9,ЗАКАЗЫ!$J$3:$J$500))</f>
        <v>500</v>
      </c>
      <c r="BO9" s="7" t="n">
        <f aca="false">IF(BN9="","",SUMIF(ЗАКАЗЫ!$F$3:$F$500,$A9,ЗАКАЗЫ!$AL$3:$AL$500))</f>
        <v>0</v>
      </c>
      <c r="BP9" s="7" t="n">
        <f aca="false">IF(BN9="","",BN9-BO9)</f>
        <v>500</v>
      </c>
      <c r="BQ9" s="55" t="str">
        <f aca="false">IF(BN9="","",IF(BO9&gt;=BN9,"На складе",IF(BO9&gt;0,"Частично","Ждём")))</f>
        <v>Ждём</v>
      </c>
      <c r="BR9" s="43" t="s">
        <v>1173</v>
      </c>
      <c r="BS9" s="47" t="n">
        <f aca="false">IF(BN9="","",IF(_xlfn.MAXIFS(ЗАКАЗЫ!$AK$3:$AK$500,ЗАКАЗЫ!$F$3:$F$500,$A9)=0,"",_xlfn.MAXIFS(ЗАКАЗЫ!$AK$3:$AK$500,ЗАКАЗЫ!$F$3:$F$500,$A9)))</f>
        <v>46346</v>
      </c>
    </row>
    <row r="10" customFormat="false" ht="79.5" hidden="false" customHeight="true" outlineLevel="0" collapsed="false">
      <c r="A10" s="80" t="s">
        <v>293</v>
      </c>
      <c r="B10" s="81"/>
      <c r="C10" s="81"/>
      <c r="D10" s="81"/>
      <c r="E10" s="83" t="s">
        <v>1174</v>
      </c>
      <c r="F10" s="81"/>
      <c r="G10" s="83" t="s">
        <v>1175</v>
      </c>
      <c r="H10" s="83" t="s">
        <v>1176</v>
      </c>
      <c r="I10" s="84" t="str">
        <f aca="false">IF(E10="","",A10&amp;"_1.jpg")</f>
        <v>AKO-IK-008_1.jpg</v>
      </c>
      <c r="J10" s="84" t="str">
        <f aca="false">IF(E10="","",A10&amp;"_2.jpg; "&amp;A10&amp;"_3.jpg")</f>
        <v>AKO-IK-008_2.jpg; AKO-IK-008_3.jpg</v>
      </c>
      <c r="K10" s="84" t="str">
        <f aca="false">IF(E10="","",A10&amp;"_schema.jpg")</f>
        <v>AKO-IK-008_schema.jpg</v>
      </c>
      <c r="L10" s="81"/>
      <c r="M10" s="81"/>
      <c r="N10" s="81" t="s">
        <v>465</v>
      </c>
      <c r="O10" s="81" t="n">
        <v>16</v>
      </c>
      <c r="P10" s="81"/>
      <c r="Q10" s="81"/>
      <c r="R10" s="81"/>
      <c r="S10" s="81"/>
      <c r="T10" s="81"/>
      <c r="U10" s="81"/>
      <c r="V10" s="81" t="s">
        <v>96</v>
      </c>
      <c r="W10" s="81"/>
      <c r="X10" s="81"/>
      <c r="Y10" s="85"/>
      <c r="Z10" s="85"/>
      <c r="AA10" s="85"/>
      <c r="AB10" s="85"/>
      <c r="AC10" s="85" t="n">
        <v>2000</v>
      </c>
      <c r="AD10" s="85"/>
      <c r="AE10" s="85"/>
      <c r="AF10" s="85"/>
      <c r="AG10" s="85"/>
      <c r="AH10" s="85"/>
      <c r="AI10" s="85"/>
      <c r="AJ10" s="85"/>
      <c r="AK10" s="86" t="n">
        <f aca="false">IF(SUM(Y10:AJ10)=0,"",SUM(Y10:AJ10))</f>
        <v>2000</v>
      </c>
      <c r="AL10" s="84" t="str">
        <f aca="false">MID(IF(N(Y10)&gt;0,", "&amp;Y$2,"")&amp;IF(N(Z10)&gt;0,", "&amp;Z$2,"")&amp;IF(N(AA10)&gt;0,", "&amp;AA$2,"")&amp;IF(N(AB10)&gt;0,", "&amp;AB$2,"")&amp;IF(N(AC10)&gt;0,", "&amp;AC$2,"")&amp;IF(N(AD10)&gt;0,", "&amp;AD$2,"")&amp;IF(N(AE10)&gt;0,", "&amp;AE$2,"")&amp;IF(N(AF10)&gt;0,", "&amp;AF$2,"")&amp;IF(N(AG10)&gt;0,", "&amp;AG$2,"")&amp;IF(N(AH10)&gt;0,", "&amp;AH$2,"")&amp;IF(N(AI10)&gt;0,", "&amp;AI$2,"")&amp;IF(N(AJ10)&gt;0,", "&amp;AJ$2,""),3,999)</f>
        <v>GRAY</v>
      </c>
      <c r="AM10" s="87" t="str">
        <f aca="false">IF(E10="","",MID(IF(N(Y10)&gt;0,", "&amp;A10&amp;"-"&amp;Y$2,"")&amp;IF(N(Z10)&gt;0,", "&amp;A10&amp;"-"&amp;Z$2,"")&amp;IF(N(AA10)&gt;0,", "&amp;A10&amp;"-"&amp;AA$2,"")&amp;IF(N(AB10)&gt;0,", "&amp;A10&amp;"-"&amp;AB$2,"")&amp;IF(N(AC10)&gt;0,", "&amp;A10&amp;"-"&amp;AC$2,"")&amp;IF(N(AD10)&gt;0,", "&amp;A10&amp;"-"&amp;AD$2,"")&amp;IF(N(AE10)&gt;0,", "&amp;A10&amp;"-"&amp;AE$2,"")&amp;IF(N(AF10)&gt;0,", "&amp;A10&amp;"-"&amp;AF$2,"")&amp;IF(N(AG10)&gt;0,", "&amp;A10&amp;"-"&amp;AG$2,"")&amp;IF(N(AH10)&gt;0,", "&amp;A10&amp;"-"&amp;AH$2,"")&amp;IF(N(AI10)&gt;0,", "&amp;A10&amp;"-"&amp;AI$2,"")&amp;IF(N(AJ10)&gt;0,", "&amp;A10&amp;"-"&amp;AJ$2,""),3,999))</f>
        <v>AKO-IK-008-GRAY</v>
      </c>
      <c r="AN10" s="81" t="n">
        <v>1</v>
      </c>
      <c r="AO10" s="88" t="n">
        <v>75.5</v>
      </c>
      <c r="AP10" s="89" t="n">
        <f aca="false">IF(AO10="","",ROUND(AO10/(1+Справочники!$B$13),2))</f>
        <v>75.5</v>
      </c>
      <c r="AQ10" s="90" t="n">
        <f aca="false" t="array" ref="AQ10:AQ10">IF(AP10="","",AP10*INDEX(Справочники!$B$4:$B$7,MATCH("RUB",Справочники!$A$4:$A$7,0)))</f>
        <v>400.15</v>
      </c>
      <c r="AR10" s="90" t="n">
        <f aca="false">IF(AQ10="","",ROUND(AQ10*(1+Справочники!$B$12),0))</f>
        <v>464</v>
      </c>
      <c r="AS10" s="90" t="n">
        <f aca="false">IF(AR10="","",ROUND(AR10*(1-Справочники!$B$11),0))</f>
        <v>427</v>
      </c>
      <c r="AT10" s="88" t="n">
        <v>350</v>
      </c>
      <c r="AU10" s="90" t="n">
        <f aca="false">IF(AT10="","",ROUND(AT10/(1+Справочники!$B$12),0))</f>
        <v>302</v>
      </c>
      <c r="AV10" s="90" t="n">
        <f aca="false">IF(AT10="","",ROUND(AT10*(1-Справочники!$B$15),0))</f>
        <v>340</v>
      </c>
      <c r="AW10" s="90" t="n">
        <f aca="false">IF(AT10="","",ROUND(AT10*(1-Справочники!$B$16),0))</f>
        <v>329</v>
      </c>
      <c r="AX10" s="90" t="n">
        <f aca="false">IF(AT10="","",ROUND(AT10*(1-Справочники!$B$17),0))</f>
        <v>319</v>
      </c>
      <c r="AY10" s="90" t="n">
        <f aca="false">IF(AT10="","",ROUND(AT10*(1-Справочники!$B$18),0))</f>
        <v>308</v>
      </c>
      <c r="AZ10" s="90" t="n">
        <f aca="false">IF(AT10="","",ROUND(AT10*(1-Справочники!$B$19),0))</f>
        <v>298</v>
      </c>
      <c r="BA10" s="81" t="n">
        <v>2000</v>
      </c>
      <c r="BB10" s="81" t="s">
        <v>147</v>
      </c>
      <c r="BC10" s="81" t="s">
        <v>294</v>
      </c>
      <c r="BD10" s="81"/>
      <c r="BE10" s="91" t="n">
        <v>1.8</v>
      </c>
      <c r="BF10" s="81" t="s">
        <v>103</v>
      </c>
      <c r="BG10" s="89" t="n">
        <f aca="false" t="array" ref="BG10:BG10">IF(BF10="","",IFERROR(INDEX(Справочники!$B$4:$B$7,MATCH(BF10,Справочники!$A$4:$A$7,0)),""))</f>
        <v>68.5</v>
      </c>
      <c r="BH10" s="90" t="n">
        <f aca="false">IF(N(BN10)&gt;0,ROUND(SUMIF(ЗАКАЗЫ!$F$3:$F$500,$A10,ЗАКАЗЫ!$Y$3:$Y$500)/BN10,0),IF(OR(BE10="",BG10=""),"",ROUND(BE10*BG10*(1+Справочники!$B$10),0)))</f>
        <v>150</v>
      </c>
      <c r="BI10" s="92" t="n">
        <f aca="false">IF(OR(AU10="",BH10="",AU10=0),"",(AU10-BH10)/AU10)</f>
        <v>0.503311258278146</v>
      </c>
      <c r="BJ10" s="81" t="n">
        <v>12</v>
      </c>
      <c r="BK10" s="83"/>
      <c r="BL10" s="43" t="str">
        <f aca="false">IFERROR(INDEX(ЗАКАЗЫ!$N$3:$N$500,MATCH($A10,ЗАКАЗЫ!$F$3:$F$500,0)),"")</f>
        <v>3926 90 970 9</v>
      </c>
      <c r="BM10" s="8" t="n">
        <f aca="false">IF(BL10="","",IFERROR(VLOOKUP(BL10,'ТН ВЭД'!$A$4:$C$40,3,0),""))</f>
        <v>0.065</v>
      </c>
      <c r="BN10" s="7" t="n">
        <f aca="false">IF(COUNTIF(ЗАКАЗЫ!$F$3:$F$500,$A10)=0,"",SUMIF(ЗАКАЗЫ!$F$3:$F$500,$A10,ЗАКАЗЫ!$J$3:$J$500))</f>
        <v>2000</v>
      </c>
      <c r="BO10" s="7" t="n">
        <f aca="false">IF(BN10="","",SUMIF(ЗАКАЗЫ!$F$3:$F$500,$A10,ЗАКАЗЫ!$AL$3:$AL$500))</f>
        <v>0</v>
      </c>
      <c r="BP10" s="7" t="n">
        <f aca="false">IF(BN10="","",BN10-BO10)</f>
        <v>2000</v>
      </c>
      <c r="BQ10" s="55" t="str">
        <f aca="false">IF(BN10="","",IF(BO10&gt;=BN10,"На складе",IF(BO10&gt;0,"Частично","Ждём")))</f>
        <v>Ждём</v>
      </c>
      <c r="BR10" s="43" t="s">
        <v>1177</v>
      </c>
      <c r="BS10" s="47" t="n">
        <f aca="false">IF(BN10="","",IF(_xlfn.MAXIFS(ЗАКАЗЫ!$AK$3:$AK$500,ЗАКАЗЫ!$F$3:$F$500,$A10)=0,"",_xlfn.MAXIFS(ЗАКАЗЫ!$AK$3:$AK$500,ЗАКАЗЫ!$F$3:$F$500,$A10)))</f>
        <v>46346</v>
      </c>
    </row>
    <row r="11" customFormat="false" ht="79.5" hidden="false" customHeight="true" outlineLevel="0" collapsed="false">
      <c r="A11" s="80" t="s">
        <v>295</v>
      </c>
      <c r="B11" s="81"/>
      <c r="C11" s="81"/>
      <c r="D11" s="81"/>
      <c r="E11" s="83" t="s">
        <v>1178</v>
      </c>
      <c r="F11" s="81"/>
      <c r="G11" s="83" t="s">
        <v>1179</v>
      </c>
      <c r="H11" s="83" t="s">
        <v>1180</v>
      </c>
      <c r="I11" s="84" t="str">
        <f aca="false">IF(E11="","",A11&amp;"_1.jpg")</f>
        <v>AKO-IK-009_1.jpg</v>
      </c>
      <c r="J11" s="84" t="str">
        <f aca="false">IF(E11="","",A11&amp;"_2.jpg; "&amp;A11&amp;"_3.jpg")</f>
        <v>AKO-IK-009_2.jpg; AKO-IK-009_3.jpg</v>
      </c>
      <c r="K11" s="84" t="str">
        <f aca="false">IF(E11="","",A11&amp;"_schema.jpg")</f>
        <v>AKO-IK-009_schema.jpg</v>
      </c>
      <c r="L11" s="81"/>
      <c r="M11" s="81"/>
      <c r="N11" s="81" t="s">
        <v>1181</v>
      </c>
      <c r="O11" s="81" t="n">
        <v>16</v>
      </c>
      <c r="P11" s="81"/>
      <c r="Q11" s="81"/>
      <c r="R11" s="81"/>
      <c r="S11" s="81"/>
      <c r="T11" s="81"/>
      <c r="U11" s="81"/>
      <c r="V11" s="81" t="s">
        <v>96</v>
      </c>
      <c r="W11" s="81"/>
      <c r="X11" s="81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 t="n">
        <v>5000</v>
      </c>
      <c r="AJ11" s="85"/>
      <c r="AK11" s="86" t="n">
        <f aca="false">IF(SUM(Y11:AJ11)=0,"",SUM(Y11:AJ11))</f>
        <v>5000</v>
      </c>
      <c r="AL11" s="84" t="str">
        <f aca="false">MID(IF(N(Y11)&gt;0,", "&amp;Y$2,"")&amp;IF(N(Z11)&gt;0,", "&amp;Z$2,"")&amp;IF(N(AA11)&gt;0,", "&amp;AA$2,"")&amp;IF(N(AB11)&gt;0,", "&amp;AB$2,"")&amp;IF(N(AC11)&gt;0,", "&amp;AC$2,"")&amp;IF(N(AD11)&gt;0,", "&amp;AD$2,"")&amp;IF(N(AE11)&gt;0,", "&amp;AE$2,"")&amp;IF(N(AF11)&gt;0,", "&amp;AF$2,"")&amp;IF(N(AG11)&gt;0,", "&amp;AG$2,"")&amp;IF(N(AH11)&gt;0,", "&amp;AH$2,"")&amp;IF(N(AI11)&gt;0,", "&amp;AI$2,"")&amp;IF(N(AJ11)&gt;0,", "&amp;AJ$2,""),3,999)</f>
        <v>NATURAL</v>
      </c>
      <c r="AM11" s="87" t="str">
        <f aca="false">IF(E11="","",MID(IF(N(Y11)&gt;0,", "&amp;A11&amp;"-"&amp;Y$2,"")&amp;IF(N(Z11)&gt;0,", "&amp;A11&amp;"-"&amp;Z$2,"")&amp;IF(N(AA11)&gt;0,", "&amp;A11&amp;"-"&amp;AA$2,"")&amp;IF(N(AB11)&gt;0,", "&amp;A11&amp;"-"&amp;AB$2,"")&amp;IF(N(AC11)&gt;0,", "&amp;A11&amp;"-"&amp;AC$2,"")&amp;IF(N(AD11)&gt;0,", "&amp;A11&amp;"-"&amp;AD$2,"")&amp;IF(N(AE11)&gt;0,", "&amp;A11&amp;"-"&amp;AE$2,"")&amp;IF(N(AF11)&gt;0,", "&amp;A11&amp;"-"&amp;AF$2,"")&amp;IF(N(AG11)&gt;0,", "&amp;A11&amp;"-"&amp;AG$2,"")&amp;IF(N(AH11)&gt;0,", "&amp;A11&amp;"-"&amp;AH$2,"")&amp;IF(N(AI11)&gt;0,", "&amp;A11&amp;"-"&amp;AI$2,"")&amp;IF(N(AJ11)&gt;0,", "&amp;A11&amp;"-"&amp;AJ$2,""),3,999))</f>
        <v>AKO-IK-009-NATURAL</v>
      </c>
      <c r="AN11" s="81" t="n">
        <v>1</v>
      </c>
      <c r="AO11" s="88" t="n">
        <v>77</v>
      </c>
      <c r="AP11" s="89" t="n">
        <f aca="false">IF(AO11="","",ROUND(AO11/(1+Справочники!$B$13),2))</f>
        <v>77</v>
      </c>
      <c r="AQ11" s="90" t="n">
        <f aca="false" t="array" ref="AQ11:AQ11">IF(AP11="","",AP11*INDEX(Справочники!$B$4:$B$7,MATCH("RUB",Справочники!$A$4:$A$7,0)))</f>
        <v>408.1</v>
      </c>
      <c r="AR11" s="90" t="n">
        <f aca="false">IF(AQ11="","",ROUND(AQ11*(1+Справочники!$B$12),0))</f>
        <v>473</v>
      </c>
      <c r="AS11" s="90" t="n">
        <f aca="false">IF(AR11="","",ROUND(AR11*(1-Справочники!$B$11),0))</f>
        <v>435</v>
      </c>
      <c r="AT11" s="88" t="n">
        <v>300</v>
      </c>
      <c r="AU11" s="90" t="n">
        <f aca="false">IF(AT11="","",ROUND(AT11/(1+Справочники!$B$12),0))</f>
        <v>259</v>
      </c>
      <c r="AV11" s="90" t="n">
        <f aca="false">IF(AT11="","",ROUND(AT11*(1-Справочники!$B$15),0))</f>
        <v>291</v>
      </c>
      <c r="AW11" s="90" t="n">
        <f aca="false">IF(AT11="","",ROUND(AT11*(1-Справочники!$B$16),0))</f>
        <v>282</v>
      </c>
      <c r="AX11" s="90" t="n">
        <f aca="false">IF(AT11="","",ROUND(AT11*(1-Справочники!$B$17),0))</f>
        <v>273</v>
      </c>
      <c r="AY11" s="90" t="n">
        <f aca="false">IF(AT11="","",ROUND(AT11*(1-Справочники!$B$18),0))</f>
        <v>264</v>
      </c>
      <c r="AZ11" s="90" t="n">
        <f aca="false">IF(AT11="","",ROUND(AT11*(1-Справочники!$B$19),0))</f>
        <v>255</v>
      </c>
      <c r="BA11" s="81" t="n">
        <v>5000</v>
      </c>
      <c r="BB11" s="81" t="s">
        <v>147</v>
      </c>
      <c r="BC11" s="81" t="s">
        <v>296</v>
      </c>
      <c r="BD11" s="81"/>
      <c r="BE11" s="91" t="n">
        <v>1</v>
      </c>
      <c r="BF11" s="81" t="s">
        <v>103</v>
      </c>
      <c r="BG11" s="89" t="n">
        <f aca="false" t="array" ref="BG11:BG11">IF(BF11="","",IFERROR(INDEX(Справочники!$B$4:$B$7,MATCH(BF11,Справочники!$A$4:$A$7,0)),""))</f>
        <v>68.5</v>
      </c>
      <c r="BH11" s="90" t="n">
        <f aca="false">IF(N(BN11)&gt;0,ROUND(SUMIF(ЗАКАЗЫ!$F$3:$F$500,$A11,ЗАКАЗЫ!$Y$3:$Y$500)/BN11,0),IF(OR(BE11="",BG11=""),"",ROUND(BE11*BG11*(1+Справочники!$B$10),0)))</f>
        <v>84</v>
      </c>
      <c r="BI11" s="92" t="n">
        <f aca="false">IF(OR(AU11="",BH11="",AU11=0),"",(AU11-BH11)/AU11)</f>
        <v>0.675675675675676</v>
      </c>
      <c r="BJ11" s="81" t="n">
        <v>12</v>
      </c>
      <c r="BK11" s="83"/>
      <c r="BL11" s="43" t="str">
        <f aca="false">IFERROR(INDEX(ЗАКАЗЫ!$N$3:$N$500,MATCH($A11,ЗАКАЗЫ!$F$3:$F$500,0)),"")</f>
        <v>7326 90 980 7</v>
      </c>
      <c r="BM11" s="8" t="n">
        <f aca="false">IF(BL11="","",IFERROR(VLOOKUP(BL11,'ТН ВЭД'!$A$4:$C$40,3,0),""))</f>
        <v>0.075</v>
      </c>
      <c r="BN11" s="7" t="n">
        <f aca="false">IF(COUNTIF(ЗАКАЗЫ!$F$3:$F$500,$A11)=0,"",SUMIF(ЗАКАЗЫ!$F$3:$F$500,$A11,ЗАКАЗЫ!$J$3:$J$500))</f>
        <v>5000</v>
      </c>
      <c r="BO11" s="7" t="n">
        <f aca="false">IF(BN11="","",SUMIF(ЗАКАЗЫ!$F$3:$F$500,$A11,ЗАКАЗЫ!$AL$3:$AL$500))</f>
        <v>0</v>
      </c>
      <c r="BP11" s="7" t="n">
        <f aca="false">IF(BN11="","",BN11-BO11)</f>
        <v>5000</v>
      </c>
      <c r="BQ11" s="55" t="str">
        <f aca="false">IF(BN11="","",IF(BO11&gt;=BN11,"На складе",IF(BO11&gt;0,"Частично","Ждём")))</f>
        <v>Ждём</v>
      </c>
      <c r="BR11" s="43" t="s">
        <v>1182</v>
      </c>
      <c r="BS11" s="47" t="n">
        <f aca="false">IF(BN11="","",IF(_xlfn.MAXIFS(ЗАКАЗЫ!$AK$3:$AK$500,ЗАКАЗЫ!$F$3:$F$500,$A11)=0,"",_xlfn.MAXIFS(ЗАКАЗЫ!$AK$3:$AK$500,ЗАКАЗЫ!$F$3:$F$500,$A11)))</f>
        <v>46346</v>
      </c>
    </row>
    <row r="12" customFormat="false" ht="79.5" hidden="false" customHeight="true" outlineLevel="0" collapsed="false">
      <c r="A12" s="80" t="s">
        <v>297</v>
      </c>
      <c r="B12" s="81"/>
      <c r="C12" s="81"/>
      <c r="D12" s="81"/>
      <c r="E12" s="83" t="s">
        <v>1183</v>
      </c>
      <c r="F12" s="81"/>
      <c r="G12" s="83" t="s">
        <v>1184</v>
      </c>
      <c r="H12" s="83" t="s">
        <v>1185</v>
      </c>
      <c r="I12" s="84" t="str">
        <f aca="false">IF(E12="","",A12&amp;"_1.jpg")</f>
        <v>AKO-IK-010_1.jpg</v>
      </c>
      <c r="J12" s="84" t="str">
        <f aca="false">IF(E12="","",A12&amp;"_2.jpg; "&amp;A12&amp;"_3.jpg")</f>
        <v>AKO-IK-010_2.jpg; AKO-IK-010_3.jpg</v>
      </c>
      <c r="K12" s="84" t="str">
        <f aca="false">IF(E12="","",A12&amp;"_schema.jpg")</f>
        <v>AKO-IK-010_schema.jpg</v>
      </c>
      <c r="L12" s="81"/>
      <c r="M12" s="81"/>
      <c r="N12" s="81" t="s">
        <v>1141</v>
      </c>
      <c r="O12" s="81" t="n">
        <v>16</v>
      </c>
      <c r="P12" s="81"/>
      <c r="Q12" s="81"/>
      <c r="R12" s="81"/>
      <c r="S12" s="81"/>
      <c r="T12" s="81"/>
      <c r="U12" s="81"/>
      <c r="V12" s="81" t="s">
        <v>96</v>
      </c>
      <c r="W12" s="81"/>
      <c r="X12" s="81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 t="n">
        <v>500</v>
      </c>
      <c r="AJ12" s="85"/>
      <c r="AK12" s="86" t="n">
        <f aca="false">IF(SUM(Y12:AJ12)=0,"",SUM(Y12:AJ12))</f>
        <v>500</v>
      </c>
      <c r="AL12" s="84" t="str">
        <f aca="false">MID(IF(N(Y12)&gt;0,", "&amp;Y$2,"")&amp;IF(N(Z12)&gt;0,", "&amp;Z$2,"")&amp;IF(N(AA12)&gt;0,", "&amp;AA$2,"")&amp;IF(N(AB12)&gt;0,", "&amp;AB$2,"")&amp;IF(N(AC12)&gt;0,", "&amp;AC$2,"")&amp;IF(N(AD12)&gt;0,", "&amp;AD$2,"")&amp;IF(N(AE12)&gt;0,", "&amp;AE$2,"")&amp;IF(N(AF12)&gt;0,", "&amp;AF$2,"")&amp;IF(N(AG12)&gt;0,", "&amp;AG$2,"")&amp;IF(N(AH12)&gt;0,", "&amp;AH$2,"")&amp;IF(N(AI12)&gt;0,", "&amp;AI$2,"")&amp;IF(N(AJ12)&gt;0,", "&amp;AJ$2,""),3,999)</f>
        <v>NATURAL</v>
      </c>
      <c r="AM12" s="87" t="str">
        <f aca="false">IF(E12="","",MID(IF(N(Y12)&gt;0,", "&amp;A12&amp;"-"&amp;Y$2,"")&amp;IF(N(Z12)&gt;0,", "&amp;A12&amp;"-"&amp;Z$2,"")&amp;IF(N(AA12)&gt;0,", "&amp;A12&amp;"-"&amp;AA$2,"")&amp;IF(N(AB12)&gt;0,", "&amp;A12&amp;"-"&amp;AB$2,"")&amp;IF(N(AC12)&gt;0,", "&amp;A12&amp;"-"&amp;AC$2,"")&amp;IF(N(AD12)&gt;0,", "&amp;A12&amp;"-"&amp;AD$2,"")&amp;IF(N(AE12)&gt;0,", "&amp;A12&amp;"-"&amp;AE$2,"")&amp;IF(N(AF12)&gt;0,", "&amp;A12&amp;"-"&amp;AF$2,"")&amp;IF(N(AG12)&gt;0,", "&amp;A12&amp;"-"&amp;AG$2,"")&amp;IF(N(AH12)&gt;0,", "&amp;A12&amp;"-"&amp;AH$2,"")&amp;IF(N(AI12)&gt;0,", "&amp;A12&amp;"-"&amp;AI$2,"")&amp;IF(N(AJ12)&gt;0,", "&amp;A12&amp;"-"&amp;AJ$2,""),3,999))</f>
        <v>AKO-IK-010-NATURAL</v>
      </c>
      <c r="AN12" s="81" t="n">
        <v>1</v>
      </c>
      <c r="AO12" s="88" t="n">
        <v>100</v>
      </c>
      <c r="AP12" s="89" t="n">
        <f aca="false">IF(AO12="","",ROUND(AO12/(1+Справочники!$B$13),2))</f>
        <v>100</v>
      </c>
      <c r="AQ12" s="90" t="n">
        <f aca="false" t="array" ref="AQ12:AQ12">IF(AP12="","",AP12*INDEX(Справочники!$B$4:$B$7,MATCH("RUB",Справочники!$A$4:$A$7,0)))</f>
        <v>530</v>
      </c>
      <c r="AR12" s="90" t="n">
        <f aca="false">IF(AQ12="","",ROUND(AQ12*(1+Справочники!$B$12),0))</f>
        <v>615</v>
      </c>
      <c r="AS12" s="90" t="n">
        <f aca="false">IF(AR12="","",ROUND(AR12*(1-Справочники!$B$11),0))</f>
        <v>566</v>
      </c>
      <c r="AT12" s="88" t="n">
        <v>300</v>
      </c>
      <c r="AU12" s="90" t="n">
        <f aca="false">IF(AT12="","",ROUND(AT12/(1+Справочники!$B$12),0))</f>
        <v>259</v>
      </c>
      <c r="AV12" s="90" t="n">
        <f aca="false">IF(AT12="","",ROUND(AT12*(1-Справочники!$B$15),0))</f>
        <v>291</v>
      </c>
      <c r="AW12" s="90" t="n">
        <f aca="false">IF(AT12="","",ROUND(AT12*(1-Справочники!$B$16),0))</f>
        <v>282</v>
      </c>
      <c r="AX12" s="90" t="n">
        <f aca="false">IF(AT12="","",ROUND(AT12*(1-Справочники!$B$17),0))</f>
        <v>273</v>
      </c>
      <c r="AY12" s="90" t="n">
        <f aca="false">IF(AT12="","",ROUND(AT12*(1-Справочники!$B$18),0))</f>
        <v>264</v>
      </c>
      <c r="AZ12" s="90" t="n">
        <f aca="false">IF(AT12="","",ROUND(AT12*(1-Справочники!$B$19),0))</f>
        <v>255</v>
      </c>
      <c r="BA12" s="81" t="n">
        <v>500</v>
      </c>
      <c r="BB12" s="81" t="s">
        <v>147</v>
      </c>
      <c r="BC12" s="81" t="s">
        <v>298</v>
      </c>
      <c r="BD12" s="81"/>
      <c r="BE12" s="91" t="n">
        <v>1.1</v>
      </c>
      <c r="BF12" s="81" t="s">
        <v>103</v>
      </c>
      <c r="BG12" s="89" t="n">
        <f aca="false" t="array" ref="BG12:BG12">IF(BF12="","",IFERROR(INDEX(Справочники!$B$4:$B$7,MATCH(BF12,Справочники!$A$4:$A$7,0)),""))</f>
        <v>68.5</v>
      </c>
      <c r="BH12" s="90" t="n">
        <f aca="false">IF(N(BN12)&gt;0,ROUND(SUMIF(ЗАКАЗЫ!$F$3:$F$500,$A12,ЗАКАЗЫ!$Y$3:$Y$500)/BN12,0),IF(OR(BE12="",BG12=""),"",ROUND(BE12*BG12*(1+Справочники!$B$10),0)))</f>
        <v>92</v>
      </c>
      <c r="BI12" s="92" t="n">
        <f aca="false">IF(OR(AU12="",BH12="",AU12=0),"",(AU12-BH12)/AU12)</f>
        <v>0.644787644787645</v>
      </c>
      <c r="BJ12" s="81" t="n">
        <v>12</v>
      </c>
      <c r="BK12" s="83"/>
      <c r="BL12" s="43" t="str">
        <f aca="false">IFERROR(INDEX(ЗАКАЗЫ!$N$3:$N$500,MATCH($A12,ЗАКАЗЫ!$F$3:$F$500,0)),"")</f>
        <v>7326 90 980 7</v>
      </c>
      <c r="BM12" s="8" t="n">
        <f aca="false">IF(BL12="","",IFERROR(VLOOKUP(BL12,'ТН ВЭД'!$A$4:$C$40,3,0),""))</f>
        <v>0.075</v>
      </c>
      <c r="BN12" s="7" t="n">
        <f aca="false">IF(COUNTIF(ЗАКАЗЫ!$F$3:$F$500,$A12)=0,"",SUMIF(ЗАКАЗЫ!$F$3:$F$500,$A12,ЗАКАЗЫ!$J$3:$J$500))</f>
        <v>500</v>
      </c>
      <c r="BO12" s="7" t="n">
        <f aca="false">IF(BN12="","",SUMIF(ЗАКАЗЫ!$F$3:$F$500,$A12,ЗАКАЗЫ!$AL$3:$AL$500))</f>
        <v>0</v>
      </c>
      <c r="BP12" s="7" t="n">
        <f aca="false">IF(BN12="","",BN12-BO12)</f>
        <v>500</v>
      </c>
      <c r="BQ12" s="55" t="str">
        <f aca="false">IF(BN12="","",IF(BO12&gt;=BN12,"На складе",IF(BO12&gt;0,"Частично","Ждём")))</f>
        <v>Ждём</v>
      </c>
      <c r="BR12" s="43" t="s">
        <v>1186</v>
      </c>
      <c r="BS12" s="47" t="n">
        <f aca="false">IF(BN12="","",IF(_xlfn.MAXIFS(ЗАКАЗЫ!$AK$3:$AK$500,ЗАКАЗЫ!$F$3:$F$500,$A12)=0,"",_xlfn.MAXIFS(ЗАКАЗЫ!$AK$3:$AK$500,ЗАКАЗЫ!$F$3:$F$500,$A12)))</f>
        <v>46346</v>
      </c>
    </row>
    <row r="13" customFormat="false" ht="79.5" hidden="false" customHeight="true" outlineLevel="0" collapsed="false">
      <c r="A13" s="80" t="s">
        <v>299</v>
      </c>
      <c r="B13" s="81"/>
      <c r="C13" s="81"/>
      <c r="D13" s="81"/>
      <c r="E13" s="83" t="s">
        <v>1187</v>
      </c>
      <c r="F13" s="81"/>
      <c r="G13" s="83" t="s">
        <v>1188</v>
      </c>
      <c r="H13" s="83" t="s">
        <v>1189</v>
      </c>
      <c r="I13" s="84" t="str">
        <f aca="false">IF(E13="","",A13&amp;"_1.jpg")</f>
        <v>AKO-IK-011_1.jpg</v>
      </c>
      <c r="J13" s="84" t="str">
        <f aca="false">IF(E13="","",A13&amp;"_2.jpg; "&amp;A13&amp;"_3.jpg")</f>
        <v>AKO-IK-011_2.jpg; AKO-IK-011_3.jpg</v>
      </c>
      <c r="K13" s="84" t="str">
        <f aca="false">IF(E13="","",A13&amp;"_schema.jpg")</f>
        <v>AKO-IK-011_schema.jpg</v>
      </c>
      <c r="L13" s="81"/>
      <c r="M13" s="81"/>
      <c r="N13" s="81" t="s">
        <v>1141</v>
      </c>
      <c r="O13" s="81" t="n">
        <v>16</v>
      </c>
      <c r="P13" s="81"/>
      <c r="Q13" s="81"/>
      <c r="R13" s="81"/>
      <c r="S13" s="81"/>
      <c r="T13" s="81"/>
      <c r="U13" s="81"/>
      <c r="V13" s="81" t="s">
        <v>96</v>
      </c>
      <c r="W13" s="81"/>
      <c r="X13" s="81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 t="n">
        <v>500</v>
      </c>
      <c r="AJ13" s="85"/>
      <c r="AK13" s="86" t="n">
        <f aca="false">IF(SUM(Y13:AJ13)=0,"",SUM(Y13:AJ13))</f>
        <v>500</v>
      </c>
      <c r="AL13" s="84" t="str">
        <f aca="false">MID(IF(N(Y13)&gt;0,", "&amp;Y$2,"")&amp;IF(N(Z13)&gt;0,", "&amp;Z$2,"")&amp;IF(N(AA13)&gt;0,", "&amp;AA$2,"")&amp;IF(N(AB13)&gt;0,", "&amp;AB$2,"")&amp;IF(N(AC13)&gt;0,", "&amp;AC$2,"")&amp;IF(N(AD13)&gt;0,", "&amp;AD$2,"")&amp;IF(N(AE13)&gt;0,", "&amp;AE$2,"")&amp;IF(N(AF13)&gt;0,", "&amp;AF$2,"")&amp;IF(N(AG13)&gt;0,", "&amp;AG$2,"")&amp;IF(N(AH13)&gt;0,", "&amp;AH$2,"")&amp;IF(N(AI13)&gt;0,", "&amp;AI$2,"")&amp;IF(N(AJ13)&gt;0,", "&amp;AJ$2,""),3,999)</f>
        <v>NATURAL</v>
      </c>
      <c r="AM13" s="87" t="str">
        <f aca="false">IF(E13="","",MID(IF(N(Y13)&gt;0,", "&amp;A13&amp;"-"&amp;Y$2,"")&amp;IF(N(Z13)&gt;0,", "&amp;A13&amp;"-"&amp;Z$2,"")&amp;IF(N(AA13)&gt;0,", "&amp;A13&amp;"-"&amp;AA$2,"")&amp;IF(N(AB13)&gt;0,", "&amp;A13&amp;"-"&amp;AB$2,"")&amp;IF(N(AC13)&gt;0,", "&amp;A13&amp;"-"&amp;AC$2,"")&amp;IF(N(AD13)&gt;0,", "&amp;A13&amp;"-"&amp;AD$2,"")&amp;IF(N(AE13)&gt;0,", "&amp;A13&amp;"-"&amp;AE$2,"")&amp;IF(N(AF13)&gt;0,", "&amp;A13&amp;"-"&amp;AF$2,"")&amp;IF(N(AG13)&gt;0,", "&amp;A13&amp;"-"&amp;AG$2,"")&amp;IF(N(AH13)&gt;0,", "&amp;A13&amp;"-"&amp;AH$2,"")&amp;IF(N(AI13)&gt;0,", "&amp;A13&amp;"-"&amp;AI$2,"")&amp;IF(N(AJ13)&gt;0,", "&amp;A13&amp;"-"&amp;AJ$2,""),3,999))</f>
        <v>AKO-IK-011-NATURAL</v>
      </c>
      <c r="AN13" s="81" t="n">
        <v>1</v>
      </c>
      <c r="AO13" s="88" t="n">
        <v>110</v>
      </c>
      <c r="AP13" s="89" t="n">
        <f aca="false">IF(AO13="","",ROUND(AO13/(1+Справочники!$B$13),2))</f>
        <v>110</v>
      </c>
      <c r="AQ13" s="90" t="n">
        <f aca="false" t="array" ref="AQ13:AQ13">IF(AP13="","",AP13*INDEX(Справочники!$B$4:$B$7,MATCH("RUB",Справочники!$A$4:$A$7,0)))</f>
        <v>583</v>
      </c>
      <c r="AR13" s="90" t="n">
        <f aca="false">IF(AQ13="","",ROUND(AQ13*(1+Справочники!$B$12),0))</f>
        <v>676</v>
      </c>
      <c r="AS13" s="90" t="n">
        <f aca="false">IF(AR13="","",ROUND(AR13*(1-Справочники!$B$11),0))</f>
        <v>622</v>
      </c>
      <c r="AT13" s="88" t="n">
        <v>350</v>
      </c>
      <c r="AU13" s="90" t="n">
        <f aca="false">IF(AT13="","",ROUND(AT13/(1+Справочники!$B$12),0))</f>
        <v>302</v>
      </c>
      <c r="AV13" s="90" t="n">
        <f aca="false">IF(AT13="","",ROUND(AT13*(1-Справочники!$B$15),0))</f>
        <v>340</v>
      </c>
      <c r="AW13" s="90" t="n">
        <f aca="false">IF(AT13="","",ROUND(AT13*(1-Справочники!$B$16),0))</f>
        <v>329</v>
      </c>
      <c r="AX13" s="90" t="n">
        <f aca="false">IF(AT13="","",ROUND(AT13*(1-Справочники!$B$17),0))</f>
        <v>319</v>
      </c>
      <c r="AY13" s="90" t="n">
        <f aca="false">IF(AT13="","",ROUND(AT13*(1-Справочники!$B$18),0))</f>
        <v>308</v>
      </c>
      <c r="AZ13" s="90" t="n">
        <f aca="false">IF(AT13="","",ROUND(AT13*(1-Справочники!$B$19),0))</f>
        <v>298</v>
      </c>
      <c r="BA13" s="81"/>
      <c r="BB13" s="81" t="s">
        <v>147</v>
      </c>
      <c r="BC13" s="81" t="s">
        <v>300</v>
      </c>
      <c r="BD13" s="81"/>
      <c r="BE13" s="91" t="n">
        <v>1.1</v>
      </c>
      <c r="BF13" s="81" t="s">
        <v>103</v>
      </c>
      <c r="BG13" s="89" t="n">
        <f aca="false" t="array" ref="BG13:BG13">IF(BF13="","",IFERROR(INDEX(Справочники!$B$4:$B$7,MATCH(BF13,Справочники!$A$4:$A$7,0)),""))</f>
        <v>68.5</v>
      </c>
      <c r="BH13" s="90" t="n">
        <f aca="false">IF(N(BN13)&gt;0,ROUND(SUMIF(ЗАКАЗЫ!$F$3:$F$500,$A13,ЗАКАЗЫ!$Y$3:$Y$500)/BN13,0),IF(OR(BE13="",BG13=""),"",ROUND(BE13*BG13*(1+Справочники!$B$10),0)))</f>
        <v>92</v>
      </c>
      <c r="BI13" s="92" t="n">
        <f aca="false">IF(OR(AU13="",BH13="",AU13=0),"",(AU13-BH13)/AU13)</f>
        <v>0.695364238410596</v>
      </c>
      <c r="BJ13" s="81" t="n">
        <v>12</v>
      </c>
      <c r="BK13" s="83"/>
      <c r="BL13" s="43" t="str">
        <f aca="false">IFERROR(INDEX(ЗАКАЗЫ!$N$3:$N$500,MATCH($A13,ЗАКАЗЫ!$F$3:$F$500,0)),"")</f>
        <v>7326 90 980 7</v>
      </c>
      <c r="BM13" s="8" t="n">
        <f aca="false">IF(BL13="","",IFERROR(VLOOKUP(BL13,'ТН ВЭД'!$A$4:$C$40,3,0),""))</f>
        <v>0.075</v>
      </c>
      <c r="BN13" s="7" t="n">
        <f aca="false">IF(COUNTIF(ЗАКАЗЫ!$F$3:$F$500,$A13)=0,"",SUMIF(ЗАКАЗЫ!$F$3:$F$500,$A13,ЗАКАЗЫ!$J$3:$J$500))</f>
        <v>500</v>
      </c>
      <c r="BO13" s="7" t="n">
        <f aca="false">IF(BN13="","",SUMIF(ЗАКАЗЫ!$F$3:$F$500,$A13,ЗАКАЗЫ!$AL$3:$AL$500))</f>
        <v>0</v>
      </c>
      <c r="BP13" s="7" t="n">
        <f aca="false">IF(BN13="","",BN13-BO13)</f>
        <v>500</v>
      </c>
      <c r="BQ13" s="55" t="str">
        <f aca="false">IF(BN13="","",IF(BO13&gt;=BN13,"На складе",IF(BO13&gt;0,"Частично","Ждём")))</f>
        <v>Ждём</v>
      </c>
      <c r="BR13" s="43" t="s">
        <v>1190</v>
      </c>
      <c r="BS13" s="47" t="n">
        <f aca="false">IF(BN13="","",IF(_xlfn.MAXIFS(ЗАКАЗЫ!$AK$3:$AK$500,ЗАКАЗЫ!$F$3:$F$500,$A13)=0,"",_xlfn.MAXIFS(ЗАКАЗЫ!$AK$3:$AK$500,ЗАКАЗЫ!$F$3:$F$500,$A13)))</f>
        <v>46346</v>
      </c>
    </row>
    <row r="14" customFormat="false" ht="79.5" hidden="false" customHeight="true" outlineLevel="0" collapsed="false">
      <c r="A14" s="80" t="s">
        <v>301</v>
      </c>
      <c r="B14" s="81"/>
      <c r="C14" s="81"/>
      <c r="D14" s="81"/>
      <c r="E14" s="83" t="s">
        <v>1191</v>
      </c>
      <c r="F14" s="81"/>
      <c r="G14" s="83" t="s">
        <v>1192</v>
      </c>
      <c r="H14" s="83" t="s">
        <v>1193</v>
      </c>
      <c r="I14" s="84" t="str">
        <f aca="false">IF(E14="","",A14&amp;"_1.jpg")</f>
        <v>AKO-IK-012_1.jpg</v>
      </c>
      <c r="J14" s="84" t="str">
        <f aca="false">IF(E14="","",A14&amp;"_2.jpg; "&amp;A14&amp;"_3.jpg")</f>
        <v>AKO-IK-012_2.jpg; AKO-IK-012_3.jpg</v>
      </c>
      <c r="K14" s="84" t="str">
        <f aca="false">IF(E14="","",A14&amp;"_schema.jpg")</f>
        <v>AKO-IK-012_schema.jpg</v>
      </c>
      <c r="L14" s="81"/>
      <c r="M14" s="81"/>
      <c r="N14" s="81" t="s">
        <v>1157</v>
      </c>
      <c r="O14" s="81"/>
      <c r="P14" s="81"/>
      <c r="Q14" s="81" t="n">
        <v>80</v>
      </c>
      <c r="R14" s="81" t="n">
        <v>38</v>
      </c>
      <c r="S14" s="81" t="n">
        <v>62</v>
      </c>
      <c r="T14" s="81"/>
      <c r="U14" s="81"/>
      <c r="V14" s="81" t="s">
        <v>96</v>
      </c>
      <c r="W14" s="81"/>
      <c r="X14" s="81"/>
      <c r="Y14" s="85"/>
      <c r="Z14" s="85"/>
      <c r="AA14" s="85"/>
      <c r="AB14" s="85"/>
      <c r="AC14" s="85"/>
      <c r="AD14" s="85"/>
      <c r="AE14" s="85" t="n">
        <v>500</v>
      </c>
      <c r="AF14" s="85"/>
      <c r="AG14" s="85"/>
      <c r="AH14" s="85"/>
      <c r="AI14" s="85"/>
      <c r="AJ14" s="85"/>
      <c r="AK14" s="86" t="n">
        <f aca="false">IF(SUM(Y14:AJ14)=0,"",SUM(Y14:AJ14))</f>
        <v>500</v>
      </c>
      <c r="AL14" s="84" t="str">
        <f aca="false">MID(IF(N(Y14)&gt;0,", "&amp;Y$2,"")&amp;IF(N(Z14)&gt;0,", "&amp;Z$2,"")&amp;IF(N(AA14)&gt;0,", "&amp;AA$2,"")&amp;IF(N(AB14)&gt;0,", "&amp;AB$2,"")&amp;IF(N(AC14)&gt;0,", "&amp;AC$2,"")&amp;IF(N(AD14)&gt;0,", "&amp;AD$2,"")&amp;IF(N(AE14)&gt;0,", "&amp;AE$2,"")&amp;IF(N(AF14)&gt;0,", "&amp;AF$2,"")&amp;IF(N(AG14)&gt;0,", "&amp;AG$2,"")&amp;IF(N(AH14)&gt;0,", "&amp;AH$2,"")&amp;IF(N(AI14)&gt;0,", "&amp;AI$2,"")&amp;IF(N(AJ14)&gt;0,", "&amp;AJ$2,""),3,999)</f>
        <v>YELLOW</v>
      </c>
      <c r="AM14" s="87" t="str">
        <f aca="false">IF(E14="","",MID(IF(N(Y14)&gt;0,", "&amp;A14&amp;"-"&amp;Y$2,"")&amp;IF(N(Z14)&gt;0,", "&amp;A14&amp;"-"&amp;Z$2,"")&amp;IF(N(AA14)&gt;0,", "&amp;A14&amp;"-"&amp;AA$2,"")&amp;IF(N(AB14)&gt;0,", "&amp;A14&amp;"-"&amp;AB$2,"")&amp;IF(N(AC14)&gt;0,", "&amp;A14&amp;"-"&amp;AC$2,"")&amp;IF(N(AD14)&gt;0,", "&amp;A14&amp;"-"&amp;AD$2,"")&amp;IF(N(AE14)&gt;0,", "&amp;A14&amp;"-"&amp;AE$2,"")&amp;IF(N(AF14)&gt;0,", "&amp;A14&amp;"-"&amp;AF$2,"")&amp;IF(N(AG14)&gt;0,", "&amp;A14&amp;"-"&amp;AG$2,"")&amp;IF(N(AH14)&gt;0,", "&amp;A14&amp;"-"&amp;AH$2,"")&amp;IF(N(AI14)&gt;0,", "&amp;A14&amp;"-"&amp;AI$2,"")&amp;IF(N(AJ14)&gt;0,", "&amp;A14&amp;"-"&amp;AJ$2,""),3,999))</f>
        <v>AKO-IK-012-YELLOW</v>
      </c>
      <c r="AN14" s="81" t="n">
        <v>1</v>
      </c>
      <c r="AO14" s="88" t="n">
        <v>185</v>
      </c>
      <c r="AP14" s="89" t="n">
        <f aca="false">IF(AO14="","",ROUND(AO14/(1+Справочники!$B$13),2))</f>
        <v>185</v>
      </c>
      <c r="AQ14" s="90" t="n">
        <f aca="false" t="array" ref="AQ14:AQ14">IF(AP14="","",AP14*INDEX(Справочники!$B$4:$B$7,MATCH("RUB",Справочники!$A$4:$A$7,0)))</f>
        <v>980.5</v>
      </c>
      <c r="AR14" s="90" t="n">
        <f aca="false">IF(AQ14="","",ROUND(AQ14*(1+Справочники!$B$12),0))</f>
        <v>1137</v>
      </c>
      <c r="AS14" s="90" t="n">
        <f aca="false">IF(AR14="","",ROUND(AR14*(1-Справочники!$B$11),0))</f>
        <v>1046</v>
      </c>
      <c r="AT14" s="88" t="n">
        <v>650</v>
      </c>
      <c r="AU14" s="90" t="n">
        <f aca="false">IF(AT14="","",ROUND(AT14/(1+Справочники!$B$12),0))</f>
        <v>560</v>
      </c>
      <c r="AV14" s="90" t="n">
        <f aca="false">IF(AT14="","",ROUND(AT14*(1-Справочники!$B$15),0))</f>
        <v>631</v>
      </c>
      <c r="AW14" s="90" t="n">
        <f aca="false">IF(AT14="","",ROUND(AT14*(1-Справочники!$B$16),0))</f>
        <v>611</v>
      </c>
      <c r="AX14" s="90" t="n">
        <f aca="false">IF(AT14="","",ROUND(AT14*(1-Справочники!$B$17),0))</f>
        <v>592</v>
      </c>
      <c r="AY14" s="90" t="n">
        <f aca="false">IF(AT14="","",ROUND(AT14*(1-Справочники!$B$18),0))</f>
        <v>572</v>
      </c>
      <c r="AZ14" s="90" t="n">
        <f aca="false">IF(AT14="","",ROUND(AT14*(1-Справочники!$B$19),0))</f>
        <v>553</v>
      </c>
      <c r="BA14" s="81"/>
      <c r="BB14" s="81" t="s">
        <v>147</v>
      </c>
      <c r="BC14" s="81" t="s">
        <v>302</v>
      </c>
      <c r="BD14" s="81"/>
      <c r="BE14" s="91" t="n">
        <v>3.3</v>
      </c>
      <c r="BF14" s="81" t="s">
        <v>103</v>
      </c>
      <c r="BG14" s="89" t="n">
        <f aca="false" t="array" ref="BG14:BG14">IF(BF14="","",IFERROR(INDEX(Справочники!$B$4:$B$7,MATCH(BF14,Справочники!$A$4:$A$7,0)),""))</f>
        <v>68.5</v>
      </c>
      <c r="BH14" s="90" t="n">
        <f aca="false">IF(N(BN14)&gt;0,ROUND(SUMIF(ЗАКАЗЫ!$F$3:$F$500,$A14,ЗАКАЗЫ!$Y$3:$Y$500)/BN14,0),IF(OR(BE14="",BG14=""),"",ROUND(BE14*BG14*(1+Справочники!$B$10),0)))</f>
        <v>275</v>
      </c>
      <c r="BI14" s="92" t="n">
        <f aca="false">IF(OR(AU14="",BH14="",AU14=0),"",(AU14-BH14)/AU14)</f>
        <v>0.508928571428571</v>
      </c>
      <c r="BJ14" s="81" t="n">
        <v>12</v>
      </c>
      <c r="BK14" s="83"/>
      <c r="BL14" s="43" t="str">
        <f aca="false">IFERROR(INDEX(ЗАКАЗЫ!$N$3:$N$500,MATCH($A14,ЗАКАЗЫ!$F$3:$F$500,0)),"")</f>
        <v>3926 90 970 9</v>
      </c>
      <c r="BM14" s="8" t="n">
        <f aca="false">IF(BL14="","",IFERROR(VLOOKUP(BL14,'ТН ВЭД'!$A$4:$C$40,3,0),""))</f>
        <v>0.065</v>
      </c>
      <c r="BN14" s="7" t="n">
        <f aca="false">IF(COUNTIF(ЗАКАЗЫ!$F$3:$F$500,$A14)=0,"",SUMIF(ЗАКАЗЫ!$F$3:$F$500,$A14,ЗАКАЗЫ!$J$3:$J$500))</f>
        <v>500</v>
      </c>
      <c r="BO14" s="7" t="n">
        <f aca="false">IF(BN14="","",SUMIF(ЗАКАЗЫ!$F$3:$F$500,$A14,ЗАКАЗЫ!$AL$3:$AL$500))</f>
        <v>0</v>
      </c>
      <c r="BP14" s="7" t="n">
        <f aca="false">IF(BN14="","",BN14-BO14)</f>
        <v>500</v>
      </c>
      <c r="BQ14" s="55" t="str">
        <f aca="false">IF(BN14="","",IF(BO14&gt;=BN14,"На складе",IF(BO14&gt;0,"Частично","Ждём")))</f>
        <v>Ждём</v>
      </c>
      <c r="BR14" s="43" t="s">
        <v>1194</v>
      </c>
      <c r="BS14" s="47" t="n">
        <f aca="false">IF(BN14="","",IF(_xlfn.MAXIFS(ЗАКАЗЫ!$AK$3:$AK$500,ЗАКАЗЫ!$F$3:$F$500,$A14)=0,"",_xlfn.MAXIFS(ЗАКАЗЫ!$AK$3:$AK$500,ЗАКАЗЫ!$F$3:$F$500,$A14)))</f>
        <v>46346</v>
      </c>
    </row>
    <row r="15" customFormat="false" ht="79.5" hidden="false" customHeight="true" outlineLevel="0" collapsed="false">
      <c r="A15" s="80" t="s">
        <v>358</v>
      </c>
      <c r="B15" s="81"/>
      <c r="C15" s="81"/>
      <c r="D15" s="81"/>
      <c r="E15" s="83" t="s">
        <v>1195</v>
      </c>
      <c r="F15" s="81"/>
      <c r="G15" s="83" t="s">
        <v>1196</v>
      </c>
      <c r="H15" s="83" t="s">
        <v>1197</v>
      </c>
      <c r="I15" s="84" t="str">
        <f aca="false">IF(E15="","",A15&amp;"_1.jpg")</f>
        <v>AKO-IK-013_1.jpg</v>
      </c>
      <c r="J15" s="84" t="str">
        <f aca="false">IF(E15="","",A15&amp;"_2.jpg; "&amp;A15&amp;"_3.jpg")</f>
        <v>AKO-IK-013_2.jpg; AKO-IK-013_3.jpg</v>
      </c>
      <c r="K15" s="84" t="str">
        <f aca="false">IF(E15="","",A15&amp;"_schema.jpg")</f>
        <v>AKO-IK-013_schema.jpg</v>
      </c>
      <c r="L15" s="81"/>
      <c r="M15" s="81"/>
      <c r="N15" s="81" t="s">
        <v>1198</v>
      </c>
      <c r="O15" s="81" t="n">
        <v>16</v>
      </c>
      <c r="P15" s="81"/>
      <c r="Q15" s="81"/>
      <c r="R15" s="81"/>
      <c r="S15" s="81"/>
      <c r="T15" s="81"/>
      <c r="U15" s="81"/>
      <c r="V15" s="81" t="s">
        <v>96</v>
      </c>
      <c r="W15" s="81"/>
      <c r="X15" s="81"/>
      <c r="Y15" s="85"/>
      <c r="Z15" s="85"/>
      <c r="AA15" s="85" t="n">
        <v>100</v>
      </c>
      <c r="AB15" s="85" t="n">
        <v>100</v>
      </c>
      <c r="AC15" s="85"/>
      <c r="AD15" s="85"/>
      <c r="AE15" s="85" t="n">
        <v>300</v>
      </c>
      <c r="AF15" s="85"/>
      <c r="AG15" s="85"/>
      <c r="AH15" s="85"/>
      <c r="AI15" s="85"/>
      <c r="AJ15" s="85"/>
      <c r="AK15" s="86" t="n">
        <f aca="false">IF(SUM(Y15:AJ15)=0,"",SUM(Y15:AJ15))</f>
        <v>500</v>
      </c>
      <c r="AL15" s="84" t="str">
        <f aca="false">MID(IF(N(Y15)&gt;0,", "&amp;Y$2,"")&amp;IF(N(Z15)&gt;0,", "&amp;Z$2,"")&amp;IF(N(AA15)&gt;0,", "&amp;AA$2,"")&amp;IF(N(AB15)&gt;0,", "&amp;AB$2,"")&amp;IF(N(AC15)&gt;0,", "&amp;AC$2,"")&amp;IF(N(AD15)&gt;0,", "&amp;AD$2,"")&amp;IF(N(AE15)&gt;0,", "&amp;AE$2,"")&amp;IF(N(AF15)&gt;0,", "&amp;AF$2,"")&amp;IF(N(AG15)&gt;0,", "&amp;AG$2,"")&amp;IF(N(AH15)&gt;0,", "&amp;AH$2,"")&amp;IF(N(AI15)&gt;0,", "&amp;AI$2,"")&amp;IF(N(AJ15)&gt;0,", "&amp;AJ$2,""),3,999)</f>
        <v>RED, BLUE, YELLOW</v>
      </c>
      <c r="AM15" s="87" t="str">
        <f aca="false">IF(E15="","",MID(IF(N(Y15)&gt;0,", "&amp;A15&amp;"-"&amp;Y$2,"")&amp;IF(N(Z15)&gt;0,", "&amp;A15&amp;"-"&amp;Z$2,"")&amp;IF(N(AA15)&gt;0,", "&amp;A15&amp;"-"&amp;AA$2,"")&amp;IF(N(AB15)&gt;0,", "&amp;A15&amp;"-"&amp;AB$2,"")&amp;IF(N(AC15)&gt;0,", "&amp;A15&amp;"-"&amp;AC$2,"")&amp;IF(N(AD15)&gt;0,", "&amp;A15&amp;"-"&amp;AD$2,"")&amp;IF(N(AE15)&gt;0,", "&amp;A15&amp;"-"&amp;AE$2,"")&amp;IF(N(AF15)&gt;0,", "&amp;A15&amp;"-"&amp;AF$2,"")&amp;IF(N(AG15)&gt;0,", "&amp;A15&amp;"-"&amp;AG$2,"")&amp;IF(N(AH15)&gt;0,", "&amp;A15&amp;"-"&amp;AH$2,"")&amp;IF(N(AI15)&gt;0,", "&amp;A15&amp;"-"&amp;AI$2,"")&amp;IF(N(AJ15)&gt;0,", "&amp;A15&amp;"-"&amp;AJ$2,""),3,999))</f>
        <v>AKO-IK-013-RED, AKO-IK-013-BLUE, AKO-IK-013-YELLOW</v>
      </c>
      <c r="AN15" s="81" t="n">
        <v>1</v>
      </c>
      <c r="AO15" s="88" t="n">
        <v>295</v>
      </c>
      <c r="AP15" s="89" t="n">
        <f aca="false">IF(AO15="","",ROUND(AO15/(1+Справочники!$B$13),2))</f>
        <v>295</v>
      </c>
      <c r="AQ15" s="90" t="n">
        <f aca="false" t="array" ref="AQ15:AQ15">IF(AP15="","",AP15*INDEX(Справочники!$B$4:$B$7,MATCH("RUB",Справочники!$A$4:$A$7,0)))</f>
        <v>1563.5</v>
      </c>
      <c r="AR15" s="90" t="n">
        <f aca="false">IF(AQ15="","",ROUND(AQ15*(1+Справочники!$B$12),0))</f>
        <v>1814</v>
      </c>
      <c r="AS15" s="90" t="n">
        <f aca="false">IF(AR15="","",ROUND(AR15*(1-Справочники!$B$11),0))</f>
        <v>1669</v>
      </c>
      <c r="AT15" s="88" t="n">
        <v>2000</v>
      </c>
      <c r="AU15" s="90" t="n">
        <f aca="false">IF(AT15="","",ROUND(AT15/(1+Справочники!$B$12),0))</f>
        <v>1724</v>
      </c>
      <c r="AV15" s="90" t="n">
        <f aca="false">IF(AT15="","",ROUND(AT15*(1-Справочники!$B$15),0))</f>
        <v>1940</v>
      </c>
      <c r="AW15" s="90" t="n">
        <f aca="false">IF(AT15="","",ROUND(AT15*(1-Справочники!$B$16),0))</f>
        <v>1880</v>
      </c>
      <c r="AX15" s="90" t="n">
        <f aca="false">IF(AT15="","",ROUND(AT15*(1-Справочники!$B$17),0))</f>
        <v>1820</v>
      </c>
      <c r="AY15" s="90" t="n">
        <f aca="false">IF(AT15="","",ROUND(AT15*(1-Справочники!$B$18),0))</f>
        <v>1760</v>
      </c>
      <c r="AZ15" s="90" t="n">
        <f aca="false">IF(AT15="","",ROUND(AT15*(1-Справочники!$B$19),0))</f>
        <v>1700</v>
      </c>
      <c r="BA15" s="81"/>
      <c r="BB15" s="81" t="s">
        <v>100</v>
      </c>
      <c r="BC15" s="81" t="s">
        <v>359</v>
      </c>
      <c r="BD15" s="81"/>
      <c r="BE15" s="91" t="n">
        <v>12.6</v>
      </c>
      <c r="BF15" s="81" t="s">
        <v>103</v>
      </c>
      <c r="BG15" s="89" t="n">
        <f aca="false" t="array" ref="BG15:BG15">IF(BF15="","",IFERROR(INDEX(Справочники!$B$4:$B$7,MATCH(BF15,Справочники!$A$4:$A$7,0)),""))</f>
        <v>68.5</v>
      </c>
      <c r="BH15" s="90" t="n">
        <f aca="false">IF(N(BN15)&gt;0,ROUND(SUMIF(ЗАКАЗЫ!$F$3:$F$500,$A15,ЗАКАЗЫ!$Y$3:$Y$500)/BN15,0),IF(OR(BE15="",BG15=""),"",ROUND(BE15*BG15*(1+Справочники!$B$10),0)))</f>
        <v>1049</v>
      </c>
      <c r="BI15" s="92" t="n">
        <f aca="false">IF(OR(AU15="",BH15="",AU15=0),"",(AU15-BH15)/AU15)</f>
        <v>0.3915313225058</v>
      </c>
      <c r="BJ15" s="81"/>
      <c r="BK15" s="83"/>
      <c r="BL15" s="43" t="str">
        <f aca="false">IFERROR(INDEX(ЗАКАЗЫ!$N$3:$N$500,MATCH($A15,ЗАКАЗЫ!$F$3:$F$500,0)),"")</f>
        <v>3926 90 970 9</v>
      </c>
      <c r="BM15" s="8" t="n">
        <f aca="false">IF(BL15="","",IFERROR(VLOOKUP(BL15,'ТН ВЭД'!$A$4:$C$40,3,0),""))</f>
        <v>0.065</v>
      </c>
      <c r="BN15" s="7" t="n">
        <f aca="false">IF(COUNTIF(ЗАКАЗЫ!$F$3:$F$500,$A15)=0,"",SUMIF(ЗАКАЗЫ!$F$3:$F$500,$A15,ЗАКАЗЫ!$J$3:$J$500))</f>
        <v>500</v>
      </c>
      <c r="BO15" s="7" t="n">
        <f aca="false">IF(BN15="","",SUMIF(ЗАКАЗЫ!$F$3:$F$500,$A15,ЗАКАЗЫ!$AL$3:$AL$500))</f>
        <v>0</v>
      </c>
      <c r="BP15" s="7" t="n">
        <f aca="false">IF(BN15="","",BN15-BO15)</f>
        <v>500</v>
      </c>
      <c r="BQ15" s="55" t="str">
        <f aca="false">IF(BN15="","",IF(BO15&gt;=BN15,"На складе",IF(BO15&gt;0,"Частично","Ждём")))</f>
        <v>Ждём</v>
      </c>
      <c r="BR15" s="43" t="s">
        <v>1199</v>
      </c>
      <c r="BS15" s="47" t="str">
        <f aca="false">IF(BN15="","",IF(_xlfn.MAXIFS(ЗАКАЗЫ!$AK$3:$AK$500,ЗАКАЗЫ!$F$3:$F$500,$A15)=0,"",_xlfn.MAXIFS(ЗАКАЗЫ!$AK$3:$AK$500,ЗАКАЗЫ!$F$3:$F$500,$A15)))</f>
        <v/>
      </c>
    </row>
    <row r="16" customFormat="false" ht="79.5" hidden="false" customHeight="true" outlineLevel="0" collapsed="false">
      <c r="A16" s="80" t="s">
        <v>303</v>
      </c>
      <c r="B16" s="81"/>
      <c r="C16" s="81"/>
      <c r="D16" s="81"/>
      <c r="E16" s="83" t="s">
        <v>1200</v>
      </c>
      <c r="F16" s="81"/>
      <c r="G16" s="83" t="s">
        <v>1201</v>
      </c>
      <c r="H16" s="83" t="s">
        <v>1202</v>
      </c>
      <c r="I16" s="84" t="str">
        <f aca="false">IF(E16="","",A16&amp;"_1.jpg")</f>
        <v>AKO-IK-014_1.jpg</v>
      </c>
      <c r="J16" s="84" t="str">
        <f aca="false">IF(E16="","",A16&amp;"_2.jpg; "&amp;A16&amp;"_3.jpg")</f>
        <v>AKO-IK-014_2.jpg; AKO-IK-014_3.jpg</v>
      </c>
      <c r="K16" s="84" t="str">
        <f aca="false">IF(E16="","",A16&amp;"_schema.jpg")</f>
        <v>AKO-IK-014_schema.jpg</v>
      </c>
      <c r="L16" s="81"/>
      <c r="M16" s="81"/>
      <c r="N16" s="81" t="s">
        <v>1157</v>
      </c>
      <c r="O16" s="81"/>
      <c r="P16" s="81"/>
      <c r="Q16" s="81"/>
      <c r="R16" s="81"/>
      <c r="S16" s="81"/>
      <c r="T16" s="81"/>
      <c r="U16" s="81"/>
      <c r="V16" s="81" t="s">
        <v>96</v>
      </c>
      <c r="W16" s="81"/>
      <c r="X16" s="81"/>
      <c r="Y16" s="85" t="n">
        <v>500</v>
      </c>
      <c r="Z16" s="85"/>
      <c r="AA16" s="85" t="n">
        <v>500</v>
      </c>
      <c r="AB16" s="85"/>
      <c r="AC16" s="85"/>
      <c r="AD16" s="85"/>
      <c r="AE16" s="85"/>
      <c r="AF16" s="85"/>
      <c r="AG16" s="85"/>
      <c r="AH16" s="85"/>
      <c r="AI16" s="85"/>
      <c r="AJ16" s="85"/>
      <c r="AK16" s="86" t="n">
        <f aca="false">IF(SUM(Y16:AJ16)=0,"",SUM(Y16:AJ16))</f>
        <v>1000</v>
      </c>
      <c r="AL16" s="84" t="str">
        <f aca="false">MID(IF(N(Y16)&gt;0,", "&amp;Y$2,"")&amp;IF(N(Z16)&gt;0,", "&amp;Z$2,"")&amp;IF(N(AA16)&gt;0,", "&amp;AA$2,"")&amp;IF(N(AB16)&gt;0,", "&amp;AB$2,"")&amp;IF(N(AC16)&gt;0,", "&amp;AC$2,"")&amp;IF(N(AD16)&gt;0,", "&amp;AD$2,"")&amp;IF(N(AE16)&gt;0,", "&amp;AE$2,"")&amp;IF(N(AF16)&gt;0,", "&amp;AF$2,"")&amp;IF(N(AG16)&gt;0,", "&amp;AG$2,"")&amp;IF(N(AH16)&gt;0,", "&amp;AH$2,"")&amp;IF(N(AI16)&gt;0,", "&amp;AI$2,"")&amp;IF(N(AJ16)&gt;0,", "&amp;AJ$2,""),3,999)</f>
        <v>BLACK, RED</v>
      </c>
      <c r="AM16" s="87" t="str">
        <f aca="false">IF(E16="","",MID(IF(N(Y16)&gt;0,", "&amp;A16&amp;"-"&amp;Y$2,"")&amp;IF(N(Z16)&gt;0,", "&amp;A16&amp;"-"&amp;Z$2,"")&amp;IF(N(AA16)&gt;0,", "&amp;A16&amp;"-"&amp;AA$2,"")&amp;IF(N(AB16)&gt;0,", "&amp;A16&amp;"-"&amp;AB$2,"")&amp;IF(N(AC16)&gt;0,", "&amp;A16&amp;"-"&amp;AC$2,"")&amp;IF(N(AD16)&gt;0,", "&amp;A16&amp;"-"&amp;AD$2,"")&amp;IF(N(AE16)&gt;0,", "&amp;A16&amp;"-"&amp;AE$2,"")&amp;IF(N(AF16)&gt;0,", "&amp;A16&amp;"-"&amp;AF$2,"")&amp;IF(N(AG16)&gt;0,", "&amp;A16&amp;"-"&amp;AG$2,"")&amp;IF(N(AH16)&gt;0,", "&amp;A16&amp;"-"&amp;AH$2,"")&amp;IF(N(AI16)&gt;0,", "&amp;A16&amp;"-"&amp;AI$2,"")&amp;IF(N(AJ16)&gt;0,", "&amp;A16&amp;"-"&amp;AJ$2,""),3,999))</f>
        <v>AKO-IK-014-BLACK, AKO-IK-014-RED</v>
      </c>
      <c r="AN16" s="81" t="n">
        <v>1</v>
      </c>
      <c r="AO16" s="88"/>
      <c r="AP16" s="89" t="str">
        <f aca="false">IF(AO16="","",ROUND(AO16/(1+Справочники!$B$13),2))</f>
        <v/>
      </c>
      <c r="AQ16" s="90" t="str">
        <f aca="false" t="array" ref="AQ16:AQ16">IF(AP16="","",AP16*INDEX(Справочники!$B$4:$B$7,MATCH("RUB",Справочники!$A$4:$A$7,0)))</f>
        <v/>
      </c>
      <c r="AR16" s="90" t="str">
        <f aca="false">IF(AQ16="","",ROUND(AQ16*(1+Справочники!$B$12),0))</f>
        <v/>
      </c>
      <c r="AS16" s="90" t="str">
        <f aca="false">IF(AR16="","",ROUND(AR16*(1-Справочники!$B$11),0))</f>
        <v/>
      </c>
      <c r="AT16" s="93" t="n">
        <f aca="false">IF(BH16="","",IF(AS16="",ROUNDUP(BH16/(1-Справочники!$B$23)*(1+Справочники!$B$12),-1),MAX(AS16,ROUNDUP(BH16/(1-Справочники!$B$24)*(1+Справочники!$B$12),-1))))</f>
        <v>160</v>
      </c>
      <c r="AU16" s="90" t="n">
        <f aca="false">IF(AT16="","",ROUND(AT16/(1+Справочники!$B$12),0))</f>
        <v>138</v>
      </c>
      <c r="AV16" s="90" t="n">
        <f aca="false">IF(AT16="","",ROUND(AT16*(1-Справочники!$B$15),0))</f>
        <v>155</v>
      </c>
      <c r="AW16" s="90" t="n">
        <f aca="false">IF(AT16="","",ROUND(AT16*(1-Справочники!$B$16),0))</f>
        <v>150</v>
      </c>
      <c r="AX16" s="90" t="n">
        <f aca="false">IF(AT16="","",ROUND(AT16*(1-Справочники!$B$17),0))</f>
        <v>146</v>
      </c>
      <c r="AY16" s="90" t="n">
        <f aca="false">IF(AT16="","",ROUND(AT16*(1-Справочники!$B$18),0))</f>
        <v>141</v>
      </c>
      <c r="AZ16" s="90" t="n">
        <f aca="false">IF(AT16="","",ROUND(AT16*(1-Справочники!$B$19),0))</f>
        <v>136</v>
      </c>
      <c r="BA16" s="81"/>
      <c r="BB16" s="81" t="s">
        <v>147</v>
      </c>
      <c r="BC16" s="81" t="s">
        <v>304</v>
      </c>
      <c r="BD16" s="81"/>
      <c r="BE16" s="91" t="n">
        <v>0.8</v>
      </c>
      <c r="BF16" s="81" t="s">
        <v>103</v>
      </c>
      <c r="BG16" s="89" t="n">
        <f aca="false" t="array" ref="BG16:BG16">IF(BF16="","",IFERROR(INDEX(Справочники!$B$4:$B$7,MATCH(BF16,Справочники!$A$4:$A$7,0)),""))</f>
        <v>68.5</v>
      </c>
      <c r="BH16" s="90" t="n">
        <f aca="false">IF(N(BN16)&gt;0,ROUND(SUMIF(ЗАКАЗЫ!$F$3:$F$500,$A16,ЗАКАЗЫ!$Y$3:$Y$500)/BN16,0),IF(OR(BE16="",BG16=""),"",ROUND(BE16*BG16*(1+Справочники!$B$10),0)))</f>
        <v>67</v>
      </c>
      <c r="BI16" s="92" t="n">
        <f aca="false">IF(OR(AU16="",BH16="",AU16=0),"",(AU16-BH16)/AU16)</f>
        <v>0.514492753623188</v>
      </c>
      <c r="BJ16" s="81" t="n">
        <v>12</v>
      </c>
      <c r="BK16" s="83"/>
      <c r="BL16" s="43" t="str">
        <f aca="false">IFERROR(INDEX(ЗАКАЗЫ!$N$3:$N$500,MATCH($A16,ЗАКАЗЫ!$F$3:$F$500,0)),"")</f>
        <v>3926 90 970 9</v>
      </c>
      <c r="BM16" s="8" t="n">
        <f aca="false">IF(BL16="","",IFERROR(VLOOKUP(BL16,'ТН ВЭД'!$A$4:$C$40,3,0),""))</f>
        <v>0.065</v>
      </c>
      <c r="BN16" s="7" t="n">
        <f aca="false">IF(COUNTIF(ЗАКАЗЫ!$F$3:$F$500,$A16)=0,"",SUMIF(ЗАКАЗЫ!$F$3:$F$500,$A16,ЗАКАЗЫ!$J$3:$J$500))</f>
        <v>1000</v>
      </c>
      <c r="BO16" s="7" t="n">
        <f aca="false">IF(BN16="","",SUMIF(ЗАКАЗЫ!$F$3:$F$500,$A16,ЗАКАЗЫ!$AL$3:$AL$500))</f>
        <v>0</v>
      </c>
      <c r="BP16" s="7" t="n">
        <f aca="false">IF(BN16="","",BN16-BO16)</f>
        <v>1000</v>
      </c>
      <c r="BQ16" s="55" t="str">
        <f aca="false">IF(BN16="","",IF(BO16&gt;=BN16,"На складе",IF(BO16&gt;0,"Частично","Ждём")))</f>
        <v>Ждём</v>
      </c>
      <c r="BR16" s="43" t="s">
        <v>1203</v>
      </c>
      <c r="BS16" s="47" t="n">
        <f aca="false">IF(BN16="","",IF(_xlfn.MAXIFS(ЗАКАЗЫ!$AK$3:$AK$500,ЗАКАЗЫ!$F$3:$F$500,$A16)=0,"",_xlfn.MAXIFS(ЗАКАЗЫ!$AK$3:$AK$500,ЗАКАЗЫ!$F$3:$F$500,$A16)))</f>
        <v>46346</v>
      </c>
    </row>
    <row r="17" customFormat="false" ht="79.5" hidden="false" customHeight="true" outlineLevel="0" collapsed="false">
      <c r="A17" s="80" t="s">
        <v>238</v>
      </c>
      <c r="B17" s="81" t="s">
        <v>841</v>
      </c>
      <c r="C17" s="81"/>
      <c r="D17" s="81"/>
      <c r="E17" s="83" t="s">
        <v>1204</v>
      </c>
      <c r="F17" s="81" t="s">
        <v>1205</v>
      </c>
      <c r="G17" s="83" t="s">
        <v>1206</v>
      </c>
      <c r="H17" s="83" t="s">
        <v>1207</v>
      </c>
      <c r="I17" s="84" t="str">
        <f aca="false">IF(E17="","",A17&amp;"_1.jpg")</f>
        <v>AKO-IK-015_1.jpg</v>
      </c>
      <c r="J17" s="84" t="str">
        <f aca="false">IF(E17="","",A17&amp;"_2.jpg; "&amp;A17&amp;"_3.jpg")</f>
        <v>AKO-IK-015_2.jpg; AKO-IK-015_3.jpg</v>
      </c>
      <c r="K17" s="84" t="str">
        <f aca="false">IF(E17="","",A17&amp;"_schema.jpg")</f>
        <v>AKO-IK-015_schema.jpg</v>
      </c>
      <c r="L17" s="81" t="s">
        <v>150</v>
      </c>
      <c r="M17" s="81"/>
      <c r="N17" s="81" t="s">
        <v>1157</v>
      </c>
      <c r="O17" s="81" t="s">
        <v>1208</v>
      </c>
      <c r="P17" s="81" t="n">
        <v>16</v>
      </c>
      <c r="Q17" s="81"/>
      <c r="R17" s="81"/>
      <c r="S17" s="81"/>
      <c r="T17" s="81"/>
      <c r="U17" s="81"/>
      <c r="V17" s="81" t="s">
        <v>96</v>
      </c>
      <c r="W17" s="81"/>
      <c r="X17" s="81"/>
      <c r="Y17" s="85"/>
      <c r="Z17" s="85"/>
      <c r="AA17" s="85"/>
      <c r="AB17" s="85"/>
      <c r="AC17" s="85"/>
      <c r="AD17" s="85" t="n">
        <v>500</v>
      </c>
      <c r="AE17" s="85"/>
      <c r="AF17" s="85"/>
      <c r="AG17" s="85"/>
      <c r="AH17" s="85"/>
      <c r="AI17" s="85"/>
      <c r="AJ17" s="85"/>
      <c r="AK17" s="86" t="n">
        <f aca="false">IF(SUM(Y17:AJ17)=0,"",SUM(Y17:AJ17))</f>
        <v>500</v>
      </c>
      <c r="AL17" s="84" t="str">
        <f aca="false">MID(IF(N(Y17)&gt;0,", "&amp;Y$2,"")&amp;IF(N(Z17)&gt;0,", "&amp;Z$2,"")&amp;IF(N(AA17)&gt;0,", "&amp;AA$2,"")&amp;IF(N(AB17)&gt;0,", "&amp;AB$2,"")&amp;IF(N(AC17)&gt;0,", "&amp;AC$2,"")&amp;IF(N(AD17)&gt;0,", "&amp;AD$2,"")&amp;IF(N(AE17)&gt;0,", "&amp;AE$2,"")&amp;IF(N(AF17)&gt;0,", "&amp;AF$2,"")&amp;IF(N(AG17)&gt;0,", "&amp;AG$2,"")&amp;IF(N(AH17)&gt;0,", "&amp;AH$2,"")&amp;IF(N(AI17)&gt;0,", "&amp;AI$2,"")&amp;IF(N(AJ17)&gt;0,", "&amp;AJ$2,""),3,999)</f>
        <v>GREEN</v>
      </c>
      <c r="AM17" s="87" t="str">
        <f aca="false">IF(E17="","",MID(IF(N(Y17)&gt;0,", "&amp;A17&amp;"-"&amp;Y$2,"")&amp;IF(N(Z17)&gt;0,", "&amp;A17&amp;"-"&amp;Z$2,"")&amp;IF(N(AA17)&gt;0,", "&amp;A17&amp;"-"&amp;AA$2,"")&amp;IF(N(AB17)&gt;0,", "&amp;A17&amp;"-"&amp;AB$2,"")&amp;IF(N(AC17)&gt;0,", "&amp;A17&amp;"-"&amp;AC$2,"")&amp;IF(N(AD17)&gt;0,", "&amp;A17&amp;"-"&amp;AD$2,"")&amp;IF(N(AE17)&gt;0,", "&amp;A17&amp;"-"&amp;AE$2,"")&amp;IF(N(AF17)&gt;0,", "&amp;A17&amp;"-"&amp;AF$2,"")&amp;IF(N(AG17)&gt;0,", "&amp;A17&amp;"-"&amp;AG$2,"")&amp;IF(N(AH17)&gt;0,", "&amp;A17&amp;"-"&amp;AH$2,"")&amp;IF(N(AI17)&gt;0,", "&amp;A17&amp;"-"&amp;AI$2,"")&amp;IF(N(AJ17)&gt;0,", "&amp;A17&amp;"-"&amp;AJ$2,""),3,999))</f>
        <v>AKO-IK-015-GREEN</v>
      </c>
      <c r="AN17" s="81" t="n">
        <v>1</v>
      </c>
      <c r="AO17" s="88"/>
      <c r="AP17" s="89" t="str">
        <f aca="false">IF(AO17="","",ROUND(AO17/(1+Справочники!$B$13),2))</f>
        <v/>
      </c>
      <c r="AQ17" s="90" t="str">
        <f aca="false" t="array" ref="AQ17:AQ17">IF(AP17="","",AP17*INDEX(Справочники!$B$4:$B$7,MATCH("RUB",Справочники!$A$4:$A$7,0)))</f>
        <v/>
      </c>
      <c r="AR17" s="90" t="str">
        <f aca="false">IF(AQ17="","",ROUND(AQ17*(1+Справочники!$B$12),0))</f>
        <v/>
      </c>
      <c r="AS17" s="90" t="str">
        <f aca="false">IF(AR17="","",ROUND(AR17*(1-Справочники!$B$11),0))</f>
        <v/>
      </c>
      <c r="AT17" s="93" t="n">
        <f aca="false">IF(BH17="","",IF(AS17="",ROUNDUP(BH17/(1-Справочники!$B$23)*(1+Справочники!$B$12),-1),MAX(AS17,ROUNDUP(BH17/(1-Справочники!$B$24)*(1+Справочники!$B$12),-1))))</f>
        <v>350</v>
      </c>
      <c r="AU17" s="90" t="n">
        <f aca="false">IF(AT17="","",ROUND(AT17/(1+Справочники!$B$12),0))</f>
        <v>302</v>
      </c>
      <c r="AV17" s="90" t="n">
        <f aca="false">IF(AT17="","",ROUND(AT17*(1-Справочники!$B$15),0))</f>
        <v>340</v>
      </c>
      <c r="AW17" s="90" t="n">
        <f aca="false">IF(AT17="","",ROUND(AT17*(1-Справочники!$B$16),0))</f>
        <v>329</v>
      </c>
      <c r="AX17" s="90" t="n">
        <f aca="false">IF(AT17="","",ROUND(AT17*(1-Справочники!$B$17),0))</f>
        <v>319</v>
      </c>
      <c r="AY17" s="90" t="n">
        <f aca="false">IF(AT17="","",ROUND(AT17*(1-Справочники!$B$18),0))</f>
        <v>308</v>
      </c>
      <c r="AZ17" s="90" t="n">
        <f aca="false">IF(AT17="","",ROUND(AT17*(1-Справочники!$B$19),0))</f>
        <v>298</v>
      </c>
      <c r="BA17" s="81"/>
      <c r="BB17" s="81" t="s">
        <v>147</v>
      </c>
      <c r="BC17" s="81" t="s">
        <v>239</v>
      </c>
      <c r="BD17" s="81"/>
      <c r="BE17" s="91" t="n">
        <v>1.8</v>
      </c>
      <c r="BF17" s="81" t="s">
        <v>103</v>
      </c>
      <c r="BG17" s="89" t="n">
        <f aca="false" t="array" ref="BG17:BG17">IF(BF17="","",IFERROR(INDEX(Справочники!$B$4:$B$7,MATCH(BF17,Справочники!$A$4:$A$7,0)),""))</f>
        <v>68.5</v>
      </c>
      <c r="BH17" s="90" t="n">
        <f aca="false">IF(N(BN17)&gt;0,ROUND(SUMIF(ЗАКАЗЫ!$F$3:$F$500,$A17,ЗАКАЗЫ!$Y$3:$Y$500)/BN17,0),IF(OR(BE17="",BG17=""),"",ROUND(BE17*BG17*(1+Справочники!$B$10),0)))</f>
        <v>150</v>
      </c>
      <c r="BI17" s="92" t="n">
        <f aca="false">IF(OR(AU17="",BH17="",AU17=0),"",(AU17-BH17)/AU17)</f>
        <v>0.503311258278146</v>
      </c>
      <c r="BJ17" s="81" t="n">
        <v>12</v>
      </c>
      <c r="BK17" s="83"/>
      <c r="BL17" s="43" t="str">
        <f aca="false">IFERROR(INDEX(ЗАКАЗЫ!$N$3:$N$500,MATCH($A17,ЗАКАЗЫ!$F$3:$F$500,0)),"")</f>
        <v>3926 90 970 9</v>
      </c>
      <c r="BM17" s="8" t="n">
        <f aca="false">IF(BL17="","",IFERROR(VLOOKUP(BL17,'ТН ВЭД'!$A$4:$C$40,3,0),""))</f>
        <v>0.065</v>
      </c>
      <c r="BN17" s="7" t="n">
        <f aca="false">IF(COUNTIF(ЗАКАЗЫ!$F$3:$F$500,$A17)=0,"",SUMIF(ЗАКАЗЫ!$F$3:$F$500,$A17,ЗАКАЗЫ!$J$3:$J$500))</f>
        <v>500</v>
      </c>
      <c r="BO17" s="7" t="n">
        <f aca="false">IF(BN17="","",SUMIF(ЗАКАЗЫ!$F$3:$F$500,$A17,ЗАКАЗЫ!$AL$3:$AL$500))</f>
        <v>0</v>
      </c>
      <c r="BP17" s="7" t="n">
        <f aca="false">IF(BN17="","",BN17-BO17)</f>
        <v>500</v>
      </c>
      <c r="BQ17" s="55" t="str">
        <f aca="false">IF(BN17="","",IF(BO17&gt;=BN17,"На складе",IF(BO17&gt;0,"Частично","Ждём")))</f>
        <v>Ждём</v>
      </c>
      <c r="BR17" s="43" t="s">
        <v>1209</v>
      </c>
      <c r="BS17" s="47" t="n">
        <f aca="false">IF(BN17="","",IF(_xlfn.MAXIFS(ЗАКАЗЫ!$AK$3:$AK$500,ЗАКАЗЫ!$F$3:$F$500,$A17)=0,"",_xlfn.MAXIFS(ЗАКАЗЫ!$AK$3:$AK$500,ЗАКАЗЫ!$F$3:$F$500,$A17)))</f>
        <v>46323</v>
      </c>
    </row>
    <row r="18" customFormat="false" ht="79.5" hidden="false" customHeight="true" outlineLevel="0" collapsed="false">
      <c r="A18" s="80" t="s">
        <v>243</v>
      </c>
      <c r="B18" s="81" t="s">
        <v>841</v>
      </c>
      <c r="C18" s="81"/>
      <c r="D18" s="81"/>
      <c r="E18" s="83" t="s">
        <v>1210</v>
      </c>
      <c r="F18" s="81" t="s">
        <v>1205</v>
      </c>
      <c r="G18" s="83" t="s">
        <v>1211</v>
      </c>
      <c r="H18" s="83" t="s">
        <v>1212</v>
      </c>
      <c r="I18" s="84" t="str">
        <f aca="false">IF(E18="","",A18&amp;"_1.jpg")</f>
        <v>AKO-IK-016_1.jpg</v>
      </c>
      <c r="J18" s="84" t="str">
        <f aca="false">IF(E18="","",A18&amp;"_2.jpg; "&amp;A18&amp;"_3.jpg")</f>
        <v>AKO-IK-016_2.jpg; AKO-IK-016_3.jpg</v>
      </c>
      <c r="K18" s="84" t="str">
        <f aca="false">IF(E18="","",A18&amp;"_schema.jpg")</f>
        <v>AKO-IK-016_schema.jpg</v>
      </c>
      <c r="L18" s="81" t="s">
        <v>150</v>
      </c>
      <c r="M18" s="81"/>
      <c r="N18" s="81" t="s">
        <v>1157</v>
      </c>
      <c r="O18" s="81" t="s">
        <v>1213</v>
      </c>
      <c r="P18" s="81" t="n">
        <v>16</v>
      </c>
      <c r="Q18" s="81"/>
      <c r="R18" s="81"/>
      <c r="S18" s="81"/>
      <c r="T18" s="81"/>
      <c r="U18" s="81"/>
      <c r="V18" s="81" t="s">
        <v>96</v>
      </c>
      <c r="W18" s="81"/>
      <c r="X18" s="81"/>
      <c r="Y18" s="85"/>
      <c r="Z18" s="85"/>
      <c r="AA18" s="85"/>
      <c r="AB18" s="85"/>
      <c r="AC18" s="85"/>
      <c r="AD18" s="85"/>
      <c r="AE18" s="85"/>
      <c r="AF18" s="85"/>
      <c r="AG18" s="85" t="n">
        <v>500</v>
      </c>
      <c r="AH18" s="85"/>
      <c r="AI18" s="85"/>
      <c r="AJ18" s="85"/>
      <c r="AK18" s="86" t="n">
        <f aca="false">IF(SUM(Y18:AJ18)=0,"",SUM(Y18:AJ18))</f>
        <v>500</v>
      </c>
      <c r="AL18" s="84" t="str">
        <f aca="false">MID(IF(N(Y18)&gt;0,", "&amp;Y$2,"")&amp;IF(N(Z18)&gt;0,", "&amp;Z$2,"")&amp;IF(N(AA18)&gt;0,", "&amp;AA$2,"")&amp;IF(N(AB18)&gt;0,", "&amp;AB$2,"")&amp;IF(N(AC18)&gt;0,", "&amp;AC$2,"")&amp;IF(N(AD18)&gt;0,", "&amp;AD$2,"")&amp;IF(N(AE18)&gt;0,", "&amp;AE$2,"")&amp;IF(N(AF18)&gt;0,", "&amp;AF$2,"")&amp;IF(N(AG18)&gt;0,", "&amp;AG$2,"")&amp;IF(N(AH18)&gt;0,", "&amp;AH$2,"")&amp;IF(N(AI18)&gt;0,", "&amp;AI$2,"")&amp;IF(N(AJ18)&gt;0,", "&amp;AJ$2,""),3,999)</f>
        <v>BEIGE</v>
      </c>
      <c r="AM18" s="87" t="str">
        <f aca="false">IF(E18="","",MID(IF(N(Y18)&gt;0,", "&amp;A18&amp;"-"&amp;Y$2,"")&amp;IF(N(Z18)&gt;0,", "&amp;A18&amp;"-"&amp;Z$2,"")&amp;IF(N(AA18)&gt;0,", "&amp;A18&amp;"-"&amp;AA$2,"")&amp;IF(N(AB18)&gt;0,", "&amp;A18&amp;"-"&amp;AB$2,"")&amp;IF(N(AC18)&gt;0,", "&amp;A18&amp;"-"&amp;AC$2,"")&amp;IF(N(AD18)&gt;0,", "&amp;A18&amp;"-"&amp;AD$2,"")&amp;IF(N(AE18)&gt;0,", "&amp;A18&amp;"-"&amp;AE$2,"")&amp;IF(N(AF18)&gt;0,", "&amp;A18&amp;"-"&amp;AF$2,"")&amp;IF(N(AG18)&gt;0,", "&amp;A18&amp;"-"&amp;AG$2,"")&amp;IF(N(AH18)&gt;0,", "&amp;A18&amp;"-"&amp;AH$2,"")&amp;IF(N(AI18)&gt;0,", "&amp;A18&amp;"-"&amp;AI$2,"")&amp;IF(N(AJ18)&gt;0,", "&amp;A18&amp;"-"&amp;AJ$2,""),3,999))</f>
        <v>AKO-IK-016-BEIGE</v>
      </c>
      <c r="AN18" s="81" t="n">
        <v>1</v>
      </c>
      <c r="AO18" s="88"/>
      <c r="AP18" s="89" t="str">
        <f aca="false">IF(AO18="","",ROUND(AO18/(1+Справочники!$B$13),2))</f>
        <v/>
      </c>
      <c r="AQ18" s="90" t="str">
        <f aca="false" t="array" ref="AQ18:AQ18">IF(AP18="","",AP18*INDEX(Справочники!$B$4:$B$7,MATCH("RUB",Справочники!$A$4:$A$7,0)))</f>
        <v/>
      </c>
      <c r="AR18" s="90" t="str">
        <f aca="false">IF(AQ18="","",ROUND(AQ18*(1+Справочники!$B$12),0))</f>
        <v/>
      </c>
      <c r="AS18" s="90" t="str">
        <f aca="false">IF(AR18="","",ROUND(AR18*(1-Справочники!$B$11),0))</f>
        <v/>
      </c>
      <c r="AT18" s="93" t="n">
        <f aca="false">IF(BH18="","",IF(AS18="",ROUNDUP(BH18/(1-Справочники!$B$23)*(1+Справочники!$B$12),-1),MAX(AS18,ROUNDUP(BH18/(1-Справочники!$B$24)*(1+Справочники!$B$12),-1))))</f>
        <v>220</v>
      </c>
      <c r="AU18" s="90" t="n">
        <f aca="false">IF(AT18="","",ROUND(AT18/(1+Справочники!$B$12),0))</f>
        <v>190</v>
      </c>
      <c r="AV18" s="90" t="n">
        <f aca="false">IF(AT18="","",ROUND(AT18*(1-Справочники!$B$15),0))</f>
        <v>213</v>
      </c>
      <c r="AW18" s="90" t="n">
        <f aca="false">IF(AT18="","",ROUND(AT18*(1-Справочники!$B$16),0))</f>
        <v>207</v>
      </c>
      <c r="AX18" s="90" t="n">
        <f aca="false">IF(AT18="","",ROUND(AT18*(1-Справочники!$B$17),0))</f>
        <v>200</v>
      </c>
      <c r="AY18" s="90" t="n">
        <f aca="false">IF(AT18="","",ROUND(AT18*(1-Справочники!$B$18),0))</f>
        <v>194</v>
      </c>
      <c r="AZ18" s="90" t="n">
        <f aca="false">IF(AT18="","",ROUND(AT18*(1-Справочники!$B$19),0))</f>
        <v>187</v>
      </c>
      <c r="BA18" s="81"/>
      <c r="BB18" s="81" t="s">
        <v>147</v>
      </c>
      <c r="BC18" s="81" t="s">
        <v>244</v>
      </c>
      <c r="BD18" s="81"/>
      <c r="BE18" s="91" t="n">
        <v>1.1</v>
      </c>
      <c r="BF18" s="81" t="s">
        <v>103</v>
      </c>
      <c r="BG18" s="89" t="n">
        <f aca="false" t="array" ref="BG18:BG18">IF(BF18="","",IFERROR(INDEX(Справочники!$B$4:$B$7,MATCH(BF18,Справочники!$A$4:$A$7,0)),""))</f>
        <v>68.5</v>
      </c>
      <c r="BH18" s="90" t="n">
        <f aca="false">IF(N(BN18)&gt;0,ROUND(SUMIF(ЗАКАЗЫ!$F$3:$F$500,$A18,ЗАКАЗЫ!$Y$3:$Y$500)/BN18,0),IF(OR(BE18="",BG18=""),"",ROUND(BE18*BG18*(1+Справочники!$B$10),0)))</f>
        <v>92</v>
      </c>
      <c r="BI18" s="92" t="n">
        <f aca="false">IF(OR(AU18="",BH18="",AU18=0),"",(AU18-BH18)/AU18)</f>
        <v>0.515789473684211</v>
      </c>
      <c r="BJ18" s="81" t="n">
        <v>12</v>
      </c>
      <c r="BK18" s="83"/>
      <c r="BL18" s="43" t="str">
        <f aca="false">IFERROR(INDEX(ЗАКАЗЫ!$N$3:$N$500,MATCH($A18,ЗАКАЗЫ!$F$3:$F$500,0)),"")</f>
        <v>3926 90 970 9</v>
      </c>
      <c r="BM18" s="8" t="n">
        <f aca="false">IF(BL18="","",IFERROR(VLOOKUP(BL18,'ТН ВЭД'!$A$4:$C$40,3,0),""))</f>
        <v>0.065</v>
      </c>
      <c r="BN18" s="7" t="n">
        <f aca="false">IF(COUNTIF(ЗАКАЗЫ!$F$3:$F$500,$A18)=0,"",SUMIF(ЗАКАЗЫ!$F$3:$F$500,$A18,ЗАКАЗЫ!$J$3:$J$500))</f>
        <v>500</v>
      </c>
      <c r="BO18" s="7" t="n">
        <f aca="false">IF(BN18="","",SUMIF(ЗАКАЗЫ!$F$3:$F$500,$A18,ЗАКАЗЫ!$AL$3:$AL$500))</f>
        <v>0</v>
      </c>
      <c r="BP18" s="7" t="n">
        <f aca="false">IF(BN18="","",BN18-BO18)</f>
        <v>500</v>
      </c>
      <c r="BQ18" s="55" t="str">
        <f aca="false">IF(BN18="","",IF(BO18&gt;=BN18,"На складе",IF(BO18&gt;0,"Частично","Ждём")))</f>
        <v>Ждём</v>
      </c>
      <c r="BR18" s="43" t="s">
        <v>1214</v>
      </c>
      <c r="BS18" s="47" t="n">
        <f aca="false">IF(BN18="","",IF(_xlfn.MAXIFS(ЗАКАЗЫ!$AK$3:$AK$500,ЗАКАЗЫ!$F$3:$F$500,$A18)=0,"",_xlfn.MAXIFS(ЗАКАЗЫ!$AK$3:$AK$500,ЗАКАЗЫ!$F$3:$F$500,$A18)))</f>
        <v>46323</v>
      </c>
    </row>
    <row r="19" customFormat="false" ht="79.5" hidden="false" customHeight="true" outlineLevel="0" collapsed="false">
      <c r="A19" s="80" t="s">
        <v>408</v>
      </c>
      <c r="B19" s="81" t="s">
        <v>841</v>
      </c>
      <c r="C19" s="81"/>
      <c r="D19" s="81"/>
      <c r="E19" s="83" t="s">
        <v>1215</v>
      </c>
      <c r="F19" s="81" t="s">
        <v>1216</v>
      </c>
      <c r="G19" s="83" t="s">
        <v>1217</v>
      </c>
      <c r="H19" s="83" t="s">
        <v>1218</v>
      </c>
      <c r="I19" s="84" t="str">
        <f aca="false">IF(E19="","",A19&amp;"_1.jpg")</f>
        <v>AKO-IK-017_1.jpg</v>
      </c>
      <c r="J19" s="84" t="str">
        <f aca="false">IF(E19="","",A19&amp;"_2.jpg; "&amp;A19&amp;"_3.jpg")</f>
        <v>AKO-IK-017_2.jpg; AKO-IK-017_3.jpg</v>
      </c>
      <c r="K19" s="84" t="str">
        <f aca="false">IF(E19="","",A19&amp;"_schema.jpg")</f>
        <v>AKO-IK-017_schema.jpg</v>
      </c>
      <c r="L19" s="81" t="s">
        <v>150</v>
      </c>
      <c r="M19" s="81"/>
      <c r="N19" s="81" t="s">
        <v>465</v>
      </c>
      <c r="O19" s="81" t="s">
        <v>1219</v>
      </c>
      <c r="P19" s="81" t="n">
        <v>16</v>
      </c>
      <c r="Q19" s="81" t="n">
        <v>70</v>
      </c>
      <c r="R19" s="81" t="n">
        <v>70</v>
      </c>
      <c r="S19" s="81" t="n">
        <v>53</v>
      </c>
      <c r="T19" s="81"/>
      <c r="U19" s="81"/>
      <c r="V19" s="81" t="s">
        <v>96</v>
      </c>
      <c r="W19" s="81"/>
      <c r="X19" s="81"/>
      <c r="Y19" s="85"/>
      <c r="Z19" s="85"/>
      <c r="AA19" s="85"/>
      <c r="AB19" s="85" t="n">
        <v>500</v>
      </c>
      <c r="AC19" s="85"/>
      <c r="AD19" s="85"/>
      <c r="AE19" s="85"/>
      <c r="AF19" s="85"/>
      <c r="AG19" s="85"/>
      <c r="AH19" s="85"/>
      <c r="AI19" s="85"/>
      <c r="AJ19" s="85"/>
      <c r="AK19" s="86" t="n">
        <f aca="false">IF(SUM(Y19:AJ19)=0,"",SUM(Y19:AJ19))</f>
        <v>500</v>
      </c>
      <c r="AL19" s="84" t="str">
        <f aca="false">MID(IF(N(Y19)&gt;0,", "&amp;Y$2,"")&amp;IF(N(Z19)&gt;0,", "&amp;Z$2,"")&amp;IF(N(AA19)&gt;0,", "&amp;AA$2,"")&amp;IF(N(AB19)&gt;0,", "&amp;AB$2,"")&amp;IF(N(AC19)&gt;0,", "&amp;AC$2,"")&amp;IF(N(AD19)&gt;0,", "&amp;AD$2,"")&amp;IF(N(AE19)&gt;0,", "&amp;AE$2,"")&amp;IF(N(AF19)&gt;0,", "&amp;AF$2,"")&amp;IF(N(AG19)&gt;0,", "&amp;AG$2,"")&amp;IF(N(AH19)&gt;0,", "&amp;AH$2,"")&amp;IF(N(AI19)&gt;0,", "&amp;AI$2,"")&amp;IF(N(AJ19)&gt;0,", "&amp;AJ$2,""),3,999)</f>
        <v>BLUE</v>
      </c>
      <c r="AM19" s="87" t="str">
        <f aca="false">IF(E19="","",MID(IF(N(Y19)&gt;0,", "&amp;A19&amp;"-"&amp;Y$2,"")&amp;IF(N(Z19)&gt;0,", "&amp;A19&amp;"-"&amp;Z$2,"")&amp;IF(N(AA19)&gt;0,", "&amp;A19&amp;"-"&amp;AA$2,"")&amp;IF(N(AB19)&gt;0,", "&amp;A19&amp;"-"&amp;AB$2,"")&amp;IF(N(AC19)&gt;0,", "&amp;A19&amp;"-"&amp;AC$2,"")&amp;IF(N(AD19)&gt;0,", "&amp;A19&amp;"-"&amp;AD$2,"")&amp;IF(N(AE19)&gt;0,", "&amp;A19&amp;"-"&amp;AE$2,"")&amp;IF(N(AF19)&gt;0,", "&amp;A19&amp;"-"&amp;AF$2,"")&amp;IF(N(AG19)&gt;0,", "&amp;A19&amp;"-"&amp;AG$2,"")&amp;IF(N(AH19)&gt;0,", "&amp;A19&amp;"-"&amp;AH$2,"")&amp;IF(N(AI19)&gt;0,", "&amp;A19&amp;"-"&amp;AI$2,"")&amp;IF(N(AJ19)&gt;0,", "&amp;A19&amp;"-"&amp;AJ$2,""),3,999))</f>
        <v>AKO-IK-017-BLUE</v>
      </c>
      <c r="AN19" s="81" t="n">
        <v>1</v>
      </c>
      <c r="AO19" s="88"/>
      <c r="AP19" s="89" t="str">
        <f aca="false">IF(AO19="","",ROUND(AO19/(1+Справочники!$B$13),2))</f>
        <v/>
      </c>
      <c r="AQ19" s="90" t="str">
        <f aca="false" t="array" ref="AQ19:AQ19">IF(AP19="","",AP19*INDEX(Справочники!$B$4:$B$7,MATCH("RUB",Справочники!$A$4:$A$7,0)))</f>
        <v/>
      </c>
      <c r="AR19" s="90" t="str">
        <f aca="false">IF(AQ19="","",ROUND(AQ19*(1+Справочники!$B$12),0))</f>
        <v/>
      </c>
      <c r="AS19" s="90" t="str">
        <f aca="false">IF(AR19="","",ROUND(AR19*(1-Справочники!$B$11),0))</f>
        <v/>
      </c>
      <c r="AT19" s="93" t="n">
        <f aca="false">IF(BH19="","",IF(AS19="",ROUNDUP(BH19/(1-Справочники!$B$23)*(1+Справочники!$B$12),-1),MAX(AS19,ROUNDUP(BH19/(1-Справочники!$B$24)*(1+Справочники!$B$12),-1))))</f>
        <v>820</v>
      </c>
      <c r="AU19" s="90" t="n">
        <f aca="false">IF(AT19="","",ROUND(AT19/(1+Справочники!$B$12),0))</f>
        <v>707</v>
      </c>
      <c r="AV19" s="90" t="n">
        <f aca="false">IF(AT19="","",ROUND(AT19*(1-Справочники!$B$15),0))</f>
        <v>795</v>
      </c>
      <c r="AW19" s="90" t="n">
        <f aca="false">IF(AT19="","",ROUND(AT19*(1-Справочники!$B$16),0))</f>
        <v>771</v>
      </c>
      <c r="AX19" s="90" t="n">
        <f aca="false">IF(AT19="","",ROUND(AT19*(1-Справочники!$B$17),0))</f>
        <v>746</v>
      </c>
      <c r="AY19" s="90" t="n">
        <f aca="false">IF(AT19="","",ROUND(AT19*(1-Справочники!$B$18),0))</f>
        <v>722</v>
      </c>
      <c r="AZ19" s="90" t="n">
        <f aca="false">IF(AT19="","",ROUND(AT19*(1-Справочники!$B$19),0))</f>
        <v>697</v>
      </c>
      <c r="BA19" s="81"/>
      <c r="BB19" s="81" t="s">
        <v>166</v>
      </c>
      <c r="BC19" s="81" t="s">
        <v>409</v>
      </c>
      <c r="BD19" s="81"/>
      <c r="BE19" s="91" t="n">
        <v>4.1</v>
      </c>
      <c r="BF19" s="81" t="s">
        <v>103</v>
      </c>
      <c r="BG19" s="89" t="n">
        <f aca="false" t="array" ref="BG19:BG19">IF(BF19="","",IFERROR(INDEX(Справочники!$B$4:$B$7,MATCH(BF19,Справочники!$A$4:$A$7,0)),""))</f>
        <v>68.5</v>
      </c>
      <c r="BH19" s="90" t="n">
        <f aca="false">IF(N(BN19)&gt;0,ROUND(SUMIF(ЗАКАЗЫ!$F$3:$F$500,$A19,ЗАКАЗЫ!$Y$3:$Y$500)/BN19,0),IF(OR(BE19="",BG19=""),"",ROUND(BE19*BG19*(1+Справочники!$B$10),0)))</f>
        <v>352</v>
      </c>
      <c r="BI19" s="92" t="n">
        <f aca="false">IF(OR(AU19="",BH19="",AU19=0),"",(AU19-BH19)/AU19)</f>
        <v>0.502121640735502</v>
      </c>
      <c r="BJ19" s="81"/>
      <c r="BK19" s="83"/>
      <c r="BL19" s="43" t="str">
        <f aca="false">IFERROR(INDEX(ЗАКАЗЫ!$N$3:$N$500,MATCH($A19,ЗАКАЗЫ!$F$3:$F$500,0)),"")</f>
        <v>3926 90 970 9</v>
      </c>
      <c r="BM19" s="8" t="n">
        <f aca="false">IF(BL19="","",IFERROR(VLOOKUP(BL19,'ТН ВЭД'!$A$4:$C$40,3,0),""))</f>
        <v>0.065</v>
      </c>
      <c r="BN19" s="7" t="n">
        <f aca="false">IF(COUNTIF(ЗАКАЗЫ!$F$3:$F$500,$A19)=0,"",SUMIF(ЗАКАЗЫ!$F$3:$F$500,$A19,ЗАКАЗЫ!$J$3:$J$500))</f>
        <v>500</v>
      </c>
      <c r="BO19" s="7" t="n">
        <f aca="false">IF(BN19="","",SUMIF(ЗАКАЗЫ!$F$3:$F$500,$A19,ЗАКАЗЫ!$AL$3:$AL$500))</f>
        <v>0</v>
      </c>
      <c r="BP19" s="7" t="n">
        <f aca="false">IF(BN19="","",BN19-BO19)</f>
        <v>500</v>
      </c>
      <c r="BQ19" s="55" t="str">
        <f aca="false">IF(BN19="","",IF(BO19&gt;=BN19,"На складе",IF(BO19&gt;0,"Частично","Ждём")))</f>
        <v>Ждём</v>
      </c>
      <c r="BR19" s="43" t="s">
        <v>1220</v>
      </c>
      <c r="BS19" s="47" t="str">
        <f aca="false">IF(BN19="","",IF(_xlfn.MAXIFS(ЗАКАЗЫ!$AK$3:$AK$500,ЗАКАЗЫ!$F$3:$F$500,$A19)=0,"",_xlfn.MAXIFS(ЗАКАЗЫ!$AK$3:$AK$500,ЗАКАЗЫ!$F$3:$F$500,$A19)))</f>
        <v/>
      </c>
    </row>
    <row r="20" customFormat="false" ht="15.75" hidden="false" customHeight="true" outlineLevel="0" collapsed="false">
      <c r="A20" s="80" t="s">
        <v>1221</v>
      </c>
      <c r="B20" s="81"/>
      <c r="C20" s="81"/>
      <c r="D20" s="81"/>
      <c r="E20" s="83"/>
      <c r="F20" s="81"/>
      <c r="G20" s="83"/>
      <c r="H20" s="83"/>
      <c r="I20" s="84" t="str">
        <f aca="false">IF(E20="","",A20&amp;"_1.jpg")</f>
        <v/>
      </c>
      <c r="J20" s="84" t="str">
        <f aca="false">IF(E20="","",A20&amp;"_2.jpg; "&amp;A20&amp;"_3.jpg")</f>
        <v/>
      </c>
      <c r="K20" s="84" t="str">
        <f aca="false">IF(E20="","",A20&amp;"_schema.jpg")</f>
        <v/>
      </c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 t="s">
        <v>96</v>
      </c>
      <c r="W20" s="81"/>
      <c r="X20" s="81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6" t="str">
        <f aca="false">IF(SUM(Y20:AJ20)=0,"",SUM(Y20:AJ20))</f>
        <v/>
      </c>
      <c r="AL20" s="84" t="str">
        <f aca="false">MID(IF(N(Y20)&gt;0,", "&amp;Y$2,"")&amp;IF(N(Z20)&gt;0,", "&amp;Z$2,"")&amp;IF(N(AA20)&gt;0,", "&amp;AA$2,"")&amp;IF(N(AB20)&gt;0,", "&amp;AB$2,"")&amp;IF(N(AC20)&gt;0,", "&amp;AC$2,"")&amp;IF(N(AD20)&gt;0,", "&amp;AD$2,"")&amp;IF(N(AE20)&gt;0,", "&amp;AE$2,"")&amp;IF(N(AF20)&gt;0,", "&amp;AF$2,"")&amp;IF(N(AG20)&gt;0,", "&amp;AG$2,"")&amp;IF(N(AH20)&gt;0,", "&amp;AH$2,"")&amp;IF(N(AI20)&gt;0,", "&amp;AI$2,"")&amp;IF(N(AJ20)&gt;0,", "&amp;AJ$2,""),3,999)</f>
        <v/>
      </c>
      <c r="AM20" s="87" t="str">
        <f aca="false">IF(E20="","",MID(IF(N(Y20)&gt;0,", "&amp;A20&amp;"-"&amp;Y$2,"")&amp;IF(N(Z20)&gt;0,", "&amp;A20&amp;"-"&amp;Z$2,"")&amp;IF(N(AA20)&gt;0,", "&amp;A20&amp;"-"&amp;AA$2,"")&amp;IF(N(AB20)&gt;0,", "&amp;A20&amp;"-"&amp;AB$2,"")&amp;IF(N(AC20)&gt;0,", "&amp;A20&amp;"-"&amp;AC$2,"")&amp;IF(N(AD20)&gt;0,", "&amp;A20&amp;"-"&amp;AD$2,"")&amp;IF(N(AE20)&gt;0,", "&amp;A20&amp;"-"&amp;AE$2,"")&amp;IF(N(AF20)&gt;0,", "&amp;A20&amp;"-"&amp;AF$2,"")&amp;IF(N(AG20)&gt;0,", "&amp;A20&amp;"-"&amp;AG$2,"")&amp;IF(N(AH20)&gt;0,", "&amp;A20&amp;"-"&amp;AH$2,"")&amp;IF(N(AI20)&gt;0,", "&amp;A20&amp;"-"&amp;AI$2,"")&amp;IF(N(AJ20)&gt;0,", "&amp;A20&amp;"-"&amp;AJ$2,""),3,999))</f>
        <v/>
      </c>
      <c r="AN20" s="81"/>
      <c r="AO20" s="88"/>
      <c r="AP20" s="89" t="str">
        <f aca="false">IF(AO20="","",ROUND(AO20/(1+Справочники!$B$13),2))</f>
        <v/>
      </c>
      <c r="AQ20" s="90" t="str">
        <f aca="false" t="array" ref="AQ20:AQ20">IF(AP20="","",AP20*INDEX(Справочники!$B$4:$B$7,MATCH("RUB",Справочники!$A$4:$A$7,0)))</f>
        <v/>
      </c>
      <c r="AR20" s="90" t="str">
        <f aca="false">IF(AQ20="","",ROUND(AQ20*(1+Справочники!$B$12),0))</f>
        <v/>
      </c>
      <c r="AS20" s="90" t="str">
        <f aca="false">IF(AR20="","",ROUND(AR20*(1-Справочники!$B$11),0))</f>
        <v/>
      </c>
      <c r="AT20" s="88"/>
      <c r="AU20" s="90" t="str">
        <f aca="false">IF(AT20="","",ROUND(AT20/(1+Справочники!$B$12),0))</f>
        <v/>
      </c>
      <c r="AV20" s="90" t="str">
        <f aca="false">IF(AT20="","",ROUND(AT20*(1-Справочники!$B$15),0))</f>
        <v/>
      </c>
      <c r="AW20" s="90" t="str">
        <f aca="false">IF(AT20="","",ROUND(AT20*(1-Справочники!$B$16),0))</f>
        <v/>
      </c>
      <c r="AX20" s="90" t="str">
        <f aca="false">IF(AT20="","",ROUND(AT20*(1-Справочники!$B$17),0))</f>
        <v/>
      </c>
      <c r="AY20" s="90" t="str">
        <f aca="false">IF(AT20="","",ROUND(AT20*(1-Справочники!$B$18),0))</f>
        <v/>
      </c>
      <c r="AZ20" s="90" t="str">
        <f aca="false">IF(AT20="","",ROUND(AT20*(1-Справочники!$B$19),0))</f>
        <v/>
      </c>
      <c r="BA20" s="81"/>
      <c r="BB20" s="81"/>
      <c r="BC20" s="81"/>
      <c r="BD20" s="81"/>
      <c r="BE20" s="91"/>
      <c r="BF20" s="81" t="s">
        <v>103</v>
      </c>
      <c r="BG20" s="89" t="n">
        <f aca="false" t="array" ref="BG20:BG20">IF(BF20="","",IFERROR(INDEX(Справочники!$B$4:$B$7,MATCH(BF20,Справочники!$A$4:$A$7,0)),""))</f>
        <v>68.5</v>
      </c>
      <c r="BH20" s="90" t="str">
        <f aca="false">IF(N(BN20)&gt;0,ROUND(SUMIF(ЗАКАЗЫ!$F$3:$F$500,$A20,ЗАКАЗЫ!$Y$3:$Y$500)/BN20,0),IF(OR(BE20="",BG20=""),"",ROUND(BE20*BG20*(1+Справочники!$B$10),0)))</f>
        <v/>
      </c>
      <c r="BI20" s="92" t="str">
        <f aca="false">IF(OR(AU20="",BH20="",AU20=0),"",(AU20-BH20)/AU20)</f>
        <v/>
      </c>
      <c r="BJ20" s="81"/>
      <c r="BK20" s="83"/>
      <c r="BL20" s="43" t="str">
        <f aca="false">IFERROR(INDEX(ЗАКАЗЫ!$N$3:$N$500,MATCH($A20,ЗАКАЗЫ!$F$3:$F$500,0)),"")</f>
        <v/>
      </c>
      <c r="BM20" s="8" t="str">
        <f aca="false">IF(BL20="","",IFERROR(VLOOKUP(BL20,'ТН ВЭД'!$A$4:$C$40,3,0),""))</f>
        <v/>
      </c>
      <c r="BN20" s="7" t="str">
        <f aca="false">IF(COUNTIF(ЗАКАЗЫ!$F$3:$F$500,$A20)=0,"",SUMIF(ЗАКАЗЫ!$F$3:$F$500,$A20,ЗАКАЗЫ!$J$3:$J$500))</f>
        <v/>
      </c>
      <c r="BO20" s="7" t="str">
        <f aca="false">IF(BN20="","",SUMIF(ЗАКАЗЫ!$F$3:$F$500,$A20,ЗАКАЗЫ!$AL$3:$AL$500))</f>
        <v/>
      </c>
      <c r="BP20" s="7" t="str">
        <f aca="false">IF(BN20="","",BN20-BO20)</f>
        <v/>
      </c>
      <c r="BQ20" s="55" t="str">
        <f aca="false">IF(BN20="","",IF(BO20&gt;=BN20,"На складе",IF(BO20&gt;0,"Частично","Ждём")))</f>
        <v/>
      </c>
      <c r="BR20" s="43"/>
      <c r="BS20" s="47" t="str">
        <f aca="false">IF(BN20="","",IF(_xlfn.MAXIFS(ЗАКАЗЫ!$AK$3:$AK$500,ЗАКАЗЫ!$F$3:$F$500,$A20)=0,"",_xlfn.MAXIFS(ЗАКАЗЫ!$AK$3:$AK$500,ЗАКАЗЫ!$F$3:$F$500,$A20)))</f>
        <v/>
      </c>
    </row>
    <row r="21" customFormat="false" ht="15.75" hidden="false" customHeight="true" outlineLevel="0" collapsed="false">
      <c r="A21" s="80" t="s">
        <v>1222</v>
      </c>
      <c r="B21" s="81"/>
      <c r="C21" s="81"/>
      <c r="D21" s="81"/>
      <c r="E21" s="83"/>
      <c r="F21" s="81"/>
      <c r="G21" s="83"/>
      <c r="H21" s="83"/>
      <c r="I21" s="84" t="str">
        <f aca="false">IF(E21="","",A21&amp;"_1.jpg")</f>
        <v/>
      </c>
      <c r="J21" s="84" t="str">
        <f aca="false">IF(E21="","",A21&amp;"_2.jpg; "&amp;A21&amp;"_3.jpg")</f>
        <v/>
      </c>
      <c r="K21" s="84" t="str">
        <f aca="false">IF(E21="","",A21&amp;"_schema.jpg")</f>
        <v/>
      </c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 t="s">
        <v>96</v>
      </c>
      <c r="W21" s="81"/>
      <c r="X21" s="81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6" t="str">
        <f aca="false">IF(SUM(Y21:AJ21)=0,"",SUM(Y21:AJ21))</f>
        <v/>
      </c>
      <c r="AL21" s="84" t="str">
        <f aca="false">MID(IF(N(Y21)&gt;0,", "&amp;Y$2,"")&amp;IF(N(Z21)&gt;0,", "&amp;Z$2,"")&amp;IF(N(AA21)&gt;0,", "&amp;AA$2,"")&amp;IF(N(AB21)&gt;0,", "&amp;AB$2,"")&amp;IF(N(AC21)&gt;0,", "&amp;AC$2,"")&amp;IF(N(AD21)&gt;0,", "&amp;AD$2,"")&amp;IF(N(AE21)&gt;0,", "&amp;AE$2,"")&amp;IF(N(AF21)&gt;0,", "&amp;AF$2,"")&amp;IF(N(AG21)&gt;0,", "&amp;AG$2,"")&amp;IF(N(AH21)&gt;0,", "&amp;AH$2,"")&amp;IF(N(AI21)&gt;0,", "&amp;AI$2,"")&amp;IF(N(AJ21)&gt;0,", "&amp;AJ$2,""),3,999)</f>
        <v/>
      </c>
      <c r="AM21" s="87" t="str">
        <f aca="false">IF(E21="","",MID(IF(N(Y21)&gt;0,", "&amp;A21&amp;"-"&amp;Y$2,"")&amp;IF(N(Z21)&gt;0,", "&amp;A21&amp;"-"&amp;Z$2,"")&amp;IF(N(AA21)&gt;0,", "&amp;A21&amp;"-"&amp;AA$2,"")&amp;IF(N(AB21)&gt;0,", "&amp;A21&amp;"-"&amp;AB$2,"")&amp;IF(N(AC21)&gt;0,", "&amp;A21&amp;"-"&amp;AC$2,"")&amp;IF(N(AD21)&gt;0,", "&amp;A21&amp;"-"&amp;AD$2,"")&amp;IF(N(AE21)&gt;0,", "&amp;A21&amp;"-"&amp;AE$2,"")&amp;IF(N(AF21)&gt;0,", "&amp;A21&amp;"-"&amp;AF$2,"")&amp;IF(N(AG21)&gt;0,", "&amp;A21&amp;"-"&amp;AG$2,"")&amp;IF(N(AH21)&gt;0,", "&amp;A21&amp;"-"&amp;AH$2,"")&amp;IF(N(AI21)&gt;0,", "&amp;A21&amp;"-"&amp;AI$2,"")&amp;IF(N(AJ21)&gt;0,", "&amp;A21&amp;"-"&amp;AJ$2,""),3,999))</f>
        <v/>
      </c>
      <c r="AN21" s="81"/>
      <c r="AO21" s="88"/>
      <c r="AP21" s="89" t="str">
        <f aca="false">IF(AO21="","",ROUND(AO21/(1+Справочники!$B$13),2))</f>
        <v/>
      </c>
      <c r="AQ21" s="90" t="str">
        <f aca="false" t="array" ref="AQ21:AQ21">IF(AP21="","",AP21*INDEX(Справочники!$B$4:$B$7,MATCH("RUB",Справочники!$A$4:$A$7,0)))</f>
        <v/>
      </c>
      <c r="AR21" s="90" t="str">
        <f aca="false">IF(AQ21="","",ROUND(AQ21*(1+Справочники!$B$12),0))</f>
        <v/>
      </c>
      <c r="AS21" s="90" t="str">
        <f aca="false">IF(AR21="","",ROUND(AR21*(1-Справочники!$B$11),0))</f>
        <v/>
      </c>
      <c r="AT21" s="88"/>
      <c r="AU21" s="90" t="str">
        <f aca="false">IF(AT21="","",ROUND(AT21/(1+Справочники!$B$12),0))</f>
        <v/>
      </c>
      <c r="AV21" s="90" t="str">
        <f aca="false">IF(AT21="","",ROUND(AT21*(1-Справочники!$B$15),0))</f>
        <v/>
      </c>
      <c r="AW21" s="90" t="str">
        <f aca="false">IF(AT21="","",ROUND(AT21*(1-Справочники!$B$16),0))</f>
        <v/>
      </c>
      <c r="AX21" s="90" t="str">
        <f aca="false">IF(AT21="","",ROUND(AT21*(1-Справочники!$B$17),0))</f>
        <v/>
      </c>
      <c r="AY21" s="90" t="str">
        <f aca="false">IF(AT21="","",ROUND(AT21*(1-Справочники!$B$18),0))</f>
        <v/>
      </c>
      <c r="AZ21" s="90" t="str">
        <f aca="false">IF(AT21="","",ROUND(AT21*(1-Справочники!$B$19),0))</f>
        <v/>
      </c>
      <c r="BA21" s="81"/>
      <c r="BB21" s="81"/>
      <c r="BC21" s="81"/>
      <c r="BD21" s="81"/>
      <c r="BE21" s="91"/>
      <c r="BF21" s="81" t="s">
        <v>103</v>
      </c>
      <c r="BG21" s="89" t="n">
        <f aca="false" t="array" ref="BG21:BG21">IF(BF21="","",IFERROR(INDEX(Справочники!$B$4:$B$7,MATCH(BF21,Справочники!$A$4:$A$7,0)),""))</f>
        <v>68.5</v>
      </c>
      <c r="BH21" s="90" t="str">
        <f aca="false">IF(N(BN21)&gt;0,ROUND(SUMIF(ЗАКАЗЫ!$F$3:$F$500,$A21,ЗАКАЗЫ!$Y$3:$Y$500)/BN21,0),IF(OR(BE21="",BG21=""),"",ROUND(BE21*BG21*(1+Справочники!$B$10),0)))</f>
        <v/>
      </c>
      <c r="BI21" s="92" t="str">
        <f aca="false">IF(OR(AU21="",BH21="",AU21=0),"",(AU21-BH21)/AU21)</f>
        <v/>
      </c>
      <c r="BJ21" s="81"/>
      <c r="BK21" s="83"/>
      <c r="BL21" s="43" t="str">
        <f aca="false">IFERROR(INDEX(ЗАКАЗЫ!$N$3:$N$500,MATCH($A21,ЗАКАЗЫ!$F$3:$F$500,0)),"")</f>
        <v/>
      </c>
      <c r="BM21" s="8" t="str">
        <f aca="false">IF(BL21="","",IFERROR(VLOOKUP(BL21,'ТН ВЭД'!$A$4:$C$40,3,0),""))</f>
        <v/>
      </c>
      <c r="BN21" s="7" t="str">
        <f aca="false">IF(COUNTIF(ЗАКАЗЫ!$F$3:$F$500,$A21)=0,"",SUMIF(ЗАКАЗЫ!$F$3:$F$500,$A21,ЗАКАЗЫ!$J$3:$J$500))</f>
        <v/>
      </c>
      <c r="BO21" s="7" t="str">
        <f aca="false">IF(BN21="","",SUMIF(ЗАКАЗЫ!$F$3:$F$500,$A21,ЗАКАЗЫ!$AL$3:$AL$500))</f>
        <v/>
      </c>
      <c r="BP21" s="7" t="str">
        <f aca="false">IF(BN21="","",BN21-BO21)</f>
        <v/>
      </c>
      <c r="BQ21" s="55" t="str">
        <f aca="false">IF(BN21="","",IF(BO21&gt;=BN21,"На складе",IF(BO21&gt;0,"Частично","Ждём")))</f>
        <v/>
      </c>
      <c r="BR21" s="43"/>
      <c r="BS21" s="47" t="str">
        <f aca="false">IF(BN21="","",IF(_xlfn.MAXIFS(ЗАКАЗЫ!$AK$3:$AK$500,ЗАКАЗЫ!$F$3:$F$500,$A21)=0,"",_xlfn.MAXIFS(ЗАКАЗЫ!$AK$3:$AK$500,ЗАКАЗЫ!$F$3:$F$500,$A21)))</f>
        <v/>
      </c>
    </row>
    <row r="22" customFormat="false" ht="15.75" hidden="false" customHeight="true" outlineLevel="0" collapsed="false">
      <c r="A22" s="80" t="s">
        <v>1223</v>
      </c>
      <c r="B22" s="81"/>
      <c r="C22" s="81"/>
      <c r="D22" s="81"/>
      <c r="E22" s="83"/>
      <c r="F22" s="81"/>
      <c r="G22" s="83"/>
      <c r="H22" s="83"/>
      <c r="I22" s="84" t="str">
        <f aca="false">IF(E22="","",A22&amp;"_1.jpg")</f>
        <v/>
      </c>
      <c r="J22" s="84" t="str">
        <f aca="false">IF(E22="","",A22&amp;"_2.jpg; "&amp;A22&amp;"_3.jpg")</f>
        <v/>
      </c>
      <c r="K22" s="84" t="str">
        <f aca="false">IF(E22="","",A22&amp;"_schema.jpg")</f>
        <v/>
      </c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 t="s">
        <v>96</v>
      </c>
      <c r="W22" s="81"/>
      <c r="X22" s="81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6" t="str">
        <f aca="false">IF(SUM(Y22:AJ22)=0,"",SUM(Y22:AJ22))</f>
        <v/>
      </c>
      <c r="AL22" s="84" t="str">
        <f aca="false">MID(IF(N(Y22)&gt;0,", "&amp;Y$2,"")&amp;IF(N(Z22)&gt;0,", "&amp;Z$2,"")&amp;IF(N(AA22)&gt;0,", "&amp;AA$2,"")&amp;IF(N(AB22)&gt;0,", "&amp;AB$2,"")&amp;IF(N(AC22)&gt;0,", "&amp;AC$2,"")&amp;IF(N(AD22)&gt;0,", "&amp;AD$2,"")&amp;IF(N(AE22)&gt;0,", "&amp;AE$2,"")&amp;IF(N(AF22)&gt;0,", "&amp;AF$2,"")&amp;IF(N(AG22)&gt;0,", "&amp;AG$2,"")&amp;IF(N(AH22)&gt;0,", "&amp;AH$2,"")&amp;IF(N(AI22)&gt;0,", "&amp;AI$2,"")&amp;IF(N(AJ22)&gt;0,", "&amp;AJ$2,""),3,999)</f>
        <v/>
      </c>
      <c r="AM22" s="87" t="str">
        <f aca="false">IF(E22="","",MID(IF(N(Y22)&gt;0,", "&amp;A22&amp;"-"&amp;Y$2,"")&amp;IF(N(Z22)&gt;0,", "&amp;A22&amp;"-"&amp;Z$2,"")&amp;IF(N(AA22)&gt;0,", "&amp;A22&amp;"-"&amp;AA$2,"")&amp;IF(N(AB22)&gt;0,", "&amp;A22&amp;"-"&amp;AB$2,"")&amp;IF(N(AC22)&gt;0,", "&amp;A22&amp;"-"&amp;AC$2,"")&amp;IF(N(AD22)&gt;0,", "&amp;A22&amp;"-"&amp;AD$2,"")&amp;IF(N(AE22)&gt;0,", "&amp;A22&amp;"-"&amp;AE$2,"")&amp;IF(N(AF22)&gt;0,", "&amp;A22&amp;"-"&amp;AF$2,"")&amp;IF(N(AG22)&gt;0,", "&amp;A22&amp;"-"&amp;AG$2,"")&amp;IF(N(AH22)&gt;0,", "&amp;A22&amp;"-"&amp;AH$2,"")&amp;IF(N(AI22)&gt;0,", "&amp;A22&amp;"-"&amp;AI$2,"")&amp;IF(N(AJ22)&gt;0,", "&amp;A22&amp;"-"&amp;AJ$2,""),3,999))</f>
        <v/>
      </c>
      <c r="AN22" s="81"/>
      <c r="AO22" s="88"/>
      <c r="AP22" s="89" t="str">
        <f aca="false">IF(AO22="","",ROUND(AO22/(1+Справочники!$B$13),2))</f>
        <v/>
      </c>
      <c r="AQ22" s="90" t="str">
        <f aca="false" t="array" ref="AQ22:AQ22">IF(AP22="","",AP22*INDEX(Справочники!$B$4:$B$7,MATCH("RUB",Справочники!$A$4:$A$7,0)))</f>
        <v/>
      </c>
      <c r="AR22" s="90" t="str">
        <f aca="false">IF(AQ22="","",ROUND(AQ22*(1+Справочники!$B$12),0))</f>
        <v/>
      </c>
      <c r="AS22" s="90" t="str">
        <f aca="false">IF(AR22="","",ROUND(AR22*(1-Справочники!$B$11),0))</f>
        <v/>
      </c>
      <c r="AT22" s="88"/>
      <c r="AU22" s="90" t="str">
        <f aca="false">IF(AT22="","",ROUND(AT22/(1+Справочники!$B$12),0))</f>
        <v/>
      </c>
      <c r="AV22" s="90" t="str">
        <f aca="false">IF(AT22="","",ROUND(AT22*(1-Справочники!$B$15),0))</f>
        <v/>
      </c>
      <c r="AW22" s="90" t="str">
        <f aca="false">IF(AT22="","",ROUND(AT22*(1-Справочники!$B$16),0))</f>
        <v/>
      </c>
      <c r="AX22" s="90" t="str">
        <f aca="false">IF(AT22="","",ROUND(AT22*(1-Справочники!$B$17),0))</f>
        <v/>
      </c>
      <c r="AY22" s="90" t="str">
        <f aca="false">IF(AT22="","",ROUND(AT22*(1-Справочники!$B$18),0))</f>
        <v/>
      </c>
      <c r="AZ22" s="90" t="str">
        <f aca="false">IF(AT22="","",ROUND(AT22*(1-Справочники!$B$19),0))</f>
        <v/>
      </c>
      <c r="BA22" s="81"/>
      <c r="BB22" s="81"/>
      <c r="BC22" s="81"/>
      <c r="BD22" s="81"/>
      <c r="BE22" s="91"/>
      <c r="BF22" s="81" t="s">
        <v>103</v>
      </c>
      <c r="BG22" s="89" t="n">
        <f aca="false" t="array" ref="BG22:BG22">IF(BF22="","",IFERROR(INDEX(Справочники!$B$4:$B$7,MATCH(BF22,Справочники!$A$4:$A$7,0)),""))</f>
        <v>68.5</v>
      </c>
      <c r="BH22" s="90" t="str">
        <f aca="false">IF(N(BN22)&gt;0,ROUND(SUMIF(ЗАКАЗЫ!$F$3:$F$500,$A22,ЗАКАЗЫ!$Y$3:$Y$500)/BN22,0),IF(OR(BE22="",BG22=""),"",ROUND(BE22*BG22*(1+Справочники!$B$10),0)))</f>
        <v/>
      </c>
      <c r="BI22" s="92" t="str">
        <f aca="false">IF(OR(AU22="",BH22="",AU22=0),"",(AU22-BH22)/AU22)</f>
        <v/>
      </c>
      <c r="BJ22" s="81"/>
      <c r="BK22" s="83"/>
      <c r="BL22" s="43" t="str">
        <f aca="false">IFERROR(INDEX(ЗАКАЗЫ!$N$3:$N$500,MATCH($A22,ЗАКАЗЫ!$F$3:$F$500,0)),"")</f>
        <v/>
      </c>
      <c r="BM22" s="8" t="str">
        <f aca="false">IF(BL22="","",IFERROR(VLOOKUP(BL22,'ТН ВЭД'!$A$4:$C$40,3,0),""))</f>
        <v/>
      </c>
      <c r="BN22" s="7" t="str">
        <f aca="false">IF(COUNTIF(ЗАКАЗЫ!$F$3:$F$500,$A22)=0,"",SUMIF(ЗАКАЗЫ!$F$3:$F$500,$A22,ЗАКАЗЫ!$J$3:$J$500))</f>
        <v/>
      </c>
      <c r="BO22" s="7" t="str">
        <f aca="false">IF(BN22="","",SUMIF(ЗАКАЗЫ!$F$3:$F$500,$A22,ЗАКАЗЫ!$AL$3:$AL$500))</f>
        <v/>
      </c>
      <c r="BP22" s="7" t="str">
        <f aca="false">IF(BN22="","",BN22-BO22)</f>
        <v/>
      </c>
      <c r="BQ22" s="55" t="str">
        <f aca="false">IF(BN22="","",IF(BO22&gt;=BN22,"На складе",IF(BO22&gt;0,"Частично","Ждём")))</f>
        <v/>
      </c>
      <c r="BR22" s="43"/>
      <c r="BS22" s="47" t="str">
        <f aca="false">IF(BN22="","",IF(_xlfn.MAXIFS(ЗАКАЗЫ!$AK$3:$AK$500,ЗАКАЗЫ!$F$3:$F$500,$A22)=0,"",_xlfn.MAXIFS(ЗАКАЗЫ!$AK$3:$AK$500,ЗАКАЗЫ!$F$3:$F$500,$A22)))</f>
        <v/>
      </c>
    </row>
    <row r="23" customFormat="false" ht="15.75" hidden="false" customHeight="true" outlineLevel="0" collapsed="false">
      <c r="A23" s="80" t="s">
        <v>1224</v>
      </c>
      <c r="B23" s="81"/>
      <c r="C23" s="81"/>
      <c r="D23" s="81"/>
      <c r="E23" s="83"/>
      <c r="F23" s="81"/>
      <c r="G23" s="83"/>
      <c r="H23" s="83"/>
      <c r="I23" s="84" t="str">
        <f aca="false">IF(E23="","",A23&amp;"_1.jpg")</f>
        <v/>
      </c>
      <c r="J23" s="84" t="str">
        <f aca="false">IF(E23="","",A23&amp;"_2.jpg; "&amp;A23&amp;"_3.jpg")</f>
        <v/>
      </c>
      <c r="K23" s="84" t="str">
        <f aca="false">IF(E23="","",A23&amp;"_schema.jpg")</f>
        <v/>
      </c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 t="s">
        <v>96</v>
      </c>
      <c r="W23" s="81"/>
      <c r="X23" s="81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6" t="str">
        <f aca="false">IF(SUM(Y23:AJ23)=0,"",SUM(Y23:AJ23))</f>
        <v/>
      </c>
      <c r="AL23" s="84" t="str">
        <f aca="false">MID(IF(N(Y23)&gt;0,", "&amp;Y$2,"")&amp;IF(N(Z23)&gt;0,", "&amp;Z$2,"")&amp;IF(N(AA23)&gt;0,", "&amp;AA$2,"")&amp;IF(N(AB23)&gt;0,", "&amp;AB$2,"")&amp;IF(N(AC23)&gt;0,", "&amp;AC$2,"")&amp;IF(N(AD23)&gt;0,", "&amp;AD$2,"")&amp;IF(N(AE23)&gt;0,", "&amp;AE$2,"")&amp;IF(N(AF23)&gt;0,", "&amp;AF$2,"")&amp;IF(N(AG23)&gt;0,", "&amp;AG$2,"")&amp;IF(N(AH23)&gt;0,", "&amp;AH$2,"")&amp;IF(N(AI23)&gt;0,", "&amp;AI$2,"")&amp;IF(N(AJ23)&gt;0,", "&amp;AJ$2,""),3,999)</f>
        <v/>
      </c>
      <c r="AM23" s="87" t="str">
        <f aca="false">IF(E23="","",MID(IF(N(Y23)&gt;0,", "&amp;A23&amp;"-"&amp;Y$2,"")&amp;IF(N(Z23)&gt;0,", "&amp;A23&amp;"-"&amp;Z$2,"")&amp;IF(N(AA23)&gt;0,", "&amp;A23&amp;"-"&amp;AA$2,"")&amp;IF(N(AB23)&gt;0,", "&amp;A23&amp;"-"&amp;AB$2,"")&amp;IF(N(AC23)&gt;0,", "&amp;A23&amp;"-"&amp;AC$2,"")&amp;IF(N(AD23)&gt;0,", "&amp;A23&amp;"-"&amp;AD$2,"")&amp;IF(N(AE23)&gt;0,", "&amp;A23&amp;"-"&amp;AE$2,"")&amp;IF(N(AF23)&gt;0,", "&amp;A23&amp;"-"&amp;AF$2,"")&amp;IF(N(AG23)&gt;0,", "&amp;A23&amp;"-"&amp;AG$2,"")&amp;IF(N(AH23)&gt;0,", "&amp;A23&amp;"-"&amp;AH$2,"")&amp;IF(N(AI23)&gt;0,", "&amp;A23&amp;"-"&amp;AI$2,"")&amp;IF(N(AJ23)&gt;0,", "&amp;A23&amp;"-"&amp;AJ$2,""),3,999))</f>
        <v/>
      </c>
      <c r="AN23" s="81"/>
      <c r="AO23" s="88"/>
      <c r="AP23" s="89" t="str">
        <f aca="false">IF(AO23="","",ROUND(AO23/(1+Справочники!$B$13),2))</f>
        <v/>
      </c>
      <c r="AQ23" s="90" t="str">
        <f aca="false" t="array" ref="AQ23:AQ23">IF(AP23="","",AP23*INDEX(Справочники!$B$4:$B$7,MATCH("RUB",Справочники!$A$4:$A$7,0)))</f>
        <v/>
      </c>
      <c r="AR23" s="90" t="str">
        <f aca="false">IF(AQ23="","",ROUND(AQ23*(1+Справочники!$B$12),0))</f>
        <v/>
      </c>
      <c r="AS23" s="90" t="str">
        <f aca="false">IF(AR23="","",ROUND(AR23*(1-Справочники!$B$11),0))</f>
        <v/>
      </c>
      <c r="AT23" s="88"/>
      <c r="AU23" s="90" t="str">
        <f aca="false">IF(AT23="","",ROUND(AT23/(1+Справочники!$B$12),0))</f>
        <v/>
      </c>
      <c r="AV23" s="90" t="str">
        <f aca="false">IF(AT23="","",ROUND(AT23*(1-Справочники!$B$15),0))</f>
        <v/>
      </c>
      <c r="AW23" s="90" t="str">
        <f aca="false">IF(AT23="","",ROUND(AT23*(1-Справочники!$B$16),0))</f>
        <v/>
      </c>
      <c r="AX23" s="90" t="str">
        <f aca="false">IF(AT23="","",ROUND(AT23*(1-Справочники!$B$17),0))</f>
        <v/>
      </c>
      <c r="AY23" s="90" t="str">
        <f aca="false">IF(AT23="","",ROUND(AT23*(1-Справочники!$B$18),0))</f>
        <v/>
      </c>
      <c r="AZ23" s="90" t="str">
        <f aca="false">IF(AT23="","",ROUND(AT23*(1-Справочники!$B$19),0))</f>
        <v/>
      </c>
      <c r="BA23" s="81"/>
      <c r="BB23" s="81"/>
      <c r="BC23" s="81"/>
      <c r="BD23" s="81"/>
      <c r="BE23" s="91"/>
      <c r="BF23" s="81" t="s">
        <v>103</v>
      </c>
      <c r="BG23" s="89" t="n">
        <f aca="false" t="array" ref="BG23:BG23">IF(BF23="","",IFERROR(INDEX(Справочники!$B$4:$B$7,MATCH(BF23,Справочники!$A$4:$A$7,0)),""))</f>
        <v>68.5</v>
      </c>
      <c r="BH23" s="90" t="str">
        <f aca="false">IF(N(BN23)&gt;0,ROUND(SUMIF(ЗАКАЗЫ!$F$3:$F$500,$A23,ЗАКАЗЫ!$Y$3:$Y$500)/BN23,0),IF(OR(BE23="",BG23=""),"",ROUND(BE23*BG23*(1+Справочники!$B$10),0)))</f>
        <v/>
      </c>
      <c r="BI23" s="92" t="str">
        <f aca="false">IF(OR(AU23="",BH23="",AU23=0),"",(AU23-BH23)/AU23)</f>
        <v/>
      </c>
      <c r="BJ23" s="81"/>
      <c r="BK23" s="83"/>
      <c r="BL23" s="43" t="str">
        <f aca="false">IFERROR(INDEX(ЗАКАЗЫ!$N$3:$N$500,MATCH($A23,ЗАКАЗЫ!$F$3:$F$500,0)),"")</f>
        <v/>
      </c>
      <c r="BM23" s="8" t="str">
        <f aca="false">IF(BL23="","",IFERROR(VLOOKUP(BL23,'ТН ВЭД'!$A$4:$C$40,3,0),""))</f>
        <v/>
      </c>
      <c r="BN23" s="7" t="str">
        <f aca="false">IF(COUNTIF(ЗАКАЗЫ!$F$3:$F$500,$A23)=0,"",SUMIF(ЗАКАЗЫ!$F$3:$F$500,$A23,ЗАКАЗЫ!$J$3:$J$500))</f>
        <v/>
      </c>
      <c r="BO23" s="7" t="str">
        <f aca="false">IF(BN23="","",SUMIF(ЗАКАЗЫ!$F$3:$F$500,$A23,ЗАКАЗЫ!$AL$3:$AL$500))</f>
        <v/>
      </c>
      <c r="BP23" s="7" t="str">
        <f aca="false">IF(BN23="","",BN23-BO23)</f>
        <v/>
      </c>
      <c r="BQ23" s="55" t="str">
        <f aca="false">IF(BN23="","",IF(BO23&gt;=BN23,"На складе",IF(BO23&gt;0,"Частично","Ждём")))</f>
        <v/>
      </c>
      <c r="BR23" s="43"/>
      <c r="BS23" s="47" t="str">
        <f aca="false">IF(BN23="","",IF(_xlfn.MAXIFS(ЗАКАЗЫ!$AK$3:$AK$500,ЗАКАЗЫ!$F$3:$F$500,$A23)=0,"",_xlfn.MAXIFS(ЗАКАЗЫ!$AK$3:$AK$500,ЗАКАЗЫ!$F$3:$F$500,$A23)))</f>
        <v/>
      </c>
    </row>
    <row r="24" customFormat="false" ht="15.75" hidden="false" customHeight="true" outlineLevel="0" collapsed="false">
      <c r="A24" s="80" t="s">
        <v>1225</v>
      </c>
      <c r="B24" s="81"/>
      <c r="C24" s="81"/>
      <c r="D24" s="81"/>
      <c r="E24" s="83"/>
      <c r="F24" s="81"/>
      <c r="G24" s="83"/>
      <c r="H24" s="83"/>
      <c r="I24" s="84" t="str">
        <f aca="false">IF(E24="","",A24&amp;"_1.jpg")</f>
        <v/>
      </c>
      <c r="J24" s="84" t="str">
        <f aca="false">IF(E24="","",A24&amp;"_2.jpg; "&amp;A24&amp;"_3.jpg")</f>
        <v/>
      </c>
      <c r="K24" s="84" t="str">
        <f aca="false">IF(E24="","",A24&amp;"_schema.jpg")</f>
        <v/>
      </c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 t="s">
        <v>96</v>
      </c>
      <c r="W24" s="81"/>
      <c r="X24" s="81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6" t="str">
        <f aca="false">IF(SUM(Y24:AJ24)=0,"",SUM(Y24:AJ24))</f>
        <v/>
      </c>
      <c r="AL24" s="84" t="str">
        <f aca="false">MID(IF(N(Y24)&gt;0,", "&amp;Y$2,"")&amp;IF(N(Z24)&gt;0,", "&amp;Z$2,"")&amp;IF(N(AA24)&gt;0,", "&amp;AA$2,"")&amp;IF(N(AB24)&gt;0,", "&amp;AB$2,"")&amp;IF(N(AC24)&gt;0,", "&amp;AC$2,"")&amp;IF(N(AD24)&gt;0,", "&amp;AD$2,"")&amp;IF(N(AE24)&gt;0,", "&amp;AE$2,"")&amp;IF(N(AF24)&gt;0,", "&amp;AF$2,"")&amp;IF(N(AG24)&gt;0,", "&amp;AG$2,"")&amp;IF(N(AH24)&gt;0,", "&amp;AH$2,"")&amp;IF(N(AI24)&gt;0,", "&amp;AI$2,"")&amp;IF(N(AJ24)&gt;0,", "&amp;AJ$2,""),3,999)</f>
        <v/>
      </c>
      <c r="AM24" s="87" t="str">
        <f aca="false">IF(E24="","",MID(IF(N(Y24)&gt;0,", "&amp;A24&amp;"-"&amp;Y$2,"")&amp;IF(N(Z24)&gt;0,", "&amp;A24&amp;"-"&amp;Z$2,"")&amp;IF(N(AA24)&gt;0,", "&amp;A24&amp;"-"&amp;AA$2,"")&amp;IF(N(AB24)&gt;0,", "&amp;A24&amp;"-"&amp;AB$2,"")&amp;IF(N(AC24)&gt;0,", "&amp;A24&amp;"-"&amp;AC$2,"")&amp;IF(N(AD24)&gt;0,", "&amp;A24&amp;"-"&amp;AD$2,"")&amp;IF(N(AE24)&gt;0,", "&amp;A24&amp;"-"&amp;AE$2,"")&amp;IF(N(AF24)&gt;0,", "&amp;A24&amp;"-"&amp;AF$2,"")&amp;IF(N(AG24)&gt;0,", "&amp;A24&amp;"-"&amp;AG$2,"")&amp;IF(N(AH24)&gt;0,", "&amp;A24&amp;"-"&amp;AH$2,"")&amp;IF(N(AI24)&gt;0,", "&amp;A24&amp;"-"&amp;AI$2,"")&amp;IF(N(AJ24)&gt;0,", "&amp;A24&amp;"-"&amp;AJ$2,""),3,999))</f>
        <v/>
      </c>
      <c r="AN24" s="81"/>
      <c r="AO24" s="88"/>
      <c r="AP24" s="89" t="str">
        <f aca="false">IF(AO24="","",ROUND(AO24/(1+Справочники!$B$13),2))</f>
        <v/>
      </c>
      <c r="AQ24" s="90" t="str">
        <f aca="false" t="array" ref="AQ24:AQ24">IF(AP24="","",AP24*INDEX(Справочники!$B$4:$B$7,MATCH("RUB",Справочники!$A$4:$A$7,0)))</f>
        <v/>
      </c>
      <c r="AR24" s="90" t="str">
        <f aca="false">IF(AQ24="","",ROUND(AQ24*(1+Справочники!$B$12),0))</f>
        <v/>
      </c>
      <c r="AS24" s="90" t="str">
        <f aca="false">IF(AR24="","",ROUND(AR24*(1-Справочники!$B$11),0))</f>
        <v/>
      </c>
      <c r="AT24" s="88"/>
      <c r="AU24" s="90" t="str">
        <f aca="false">IF(AT24="","",ROUND(AT24/(1+Справочники!$B$12),0))</f>
        <v/>
      </c>
      <c r="AV24" s="90" t="str">
        <f aca="false">IF(AT24="","",ROUND(AT24*(1-Справочники!$B$15),0))</f>
        <v/>
      </c>
      <c r="AW24" s="90" t="str">
        <f aca="false">IF(AT24="","",ROUND(AT24*(1-Справочники!$B$16),0))</f>
        <v/>
      </c>
      <c r="AX24" s="90" t="str">
        <f aca="false">IF(AT24="","",ROUND(AT24*(1-Справочники!$B$17),0))</f>
        <v/>
      </c>
      <c r="AY24" s="90" t="str">
        <f aca="false">IF(AT24="","",ROUND(AT24*(1-Справочники!$B$18),0))</f>
        <v/>
      </c>
      <c r="AZ24" s="90" t="str">
        <f aca="false">IF(AT24="","",ROUND(AT24*(1-Справочники!$B$19),0))</f>
        <v/>
      </c>
      <c r="BA24" s="81"/>
      <c r="BB24" s="81"/>
      <c r="BC24" s="81"/>
      <c r="BD24" s="81"/>
      <c r="BE24" s="91"/>
      <c r="BF24" s="81" t="s">
        <v>103</v>
      </c>
      <c r="BG24" s="89" t="n">
        <f aca="false" t="array" ref="BG24:BG24">IF(BF24="","",IFERROR(INDEX(Справочники!$B$4:$B$7,MATCH(BF24,Справочники!$A$4:$A$7,0)),""))</f>
        <v>68.5</v>
      </c>
      <c r="BH24" s="90" t="str">
        <f aca="false">IF(N(BN24)&gt;0,ROUND(SUMIF(ЗАКАЗЫ!$F$3:$F$500,$A24,ЗАКАЗЫ!$Y$3:$Y$500)/BN24,0),IF(OR(BE24="",BG24=""),"",ROUND(BE24*BG24*(1+Справочники!$B$10),0)))</f>
        <v/>
      </c>
      <c r="BI24" s="92" t="str">
        <f aca="false">IF(OR(AU24="",BH24="",AU24=0),"",(AU24-BH24)/AU24)</f>
        <v/>
      </c>
      <c r="BJ24" s="81"/>
      <c r="BK24" s="83"/>
      <c r="BL24" s="43" t="str">
        <f aca="false">IFERROR(INDEX(ЗАКАЗЫ!$N$3:$N$500,MATCH($A24,ЗАКАЗЫ!$F$3:$F$500,0)),"")</f>
        <v/>
      </c>
      <c r="BM24" s="8" t="str">
        <f aca="false">IF(BL24="","",IFERROR(VLOOKUP(BL24,'ТН ВЭД'!$A$4:$C$40,3,0),""))</f>
        <v/>
      </c>
      <c r="BN24" s="7" t="str">
        <f aca="false">IF(COUNTIF(ЗАКАЗЫ!$F$3:$F$500,$A24)=0,"",SUMIF(ЗАКАЗЫ!$F$3:$F$500,$A24,ЗАКАЗЫ!$J$3:$J$500))</f>
        <v/>
      </c>
      <c r="BO24" s="7" t="str">
        <f aca="false">IF(BN24="","",SUMIF(ЗАКАЗЫ!$F$3:$F$500,$A24,ЗАКАЗЫ!$AL$3:$AL$500))</f>
        <v/>
      </c>
      <c r="BP24" s="7" t="str">
        <f aca="false">IF(BN24="","",BN24-BO24)</f>
        <v/>
      </c>
      <c r="BQ24" s="55" t="str">
        <f aca="false">IF(BN24="","",IF(BO24&gt;=BN24,"На складе",IF(BO24&gt;0,"Частично","Ждём")))</f>
        <v/>
      </c>
      <c r="BR24" s="43"/>
      <c r="BS24" s="47" t="str">
        <f aca="false">IF(BN24="","",IF(_xlfn.MAXIFS(ЗАКАЗЫ!$AK$3:$AK$500,ЗАКАЗЫ!$F$3:$F$500,$A24)=0,"",_xlfn.MAXIFS(ЗАКАЗЫ!$AK$3:$AK$500,ЗАКАЗЫ!$F$3:$F$500,$A24)))</f>
        <v/>
      </c>
    </row>
    <row r="25" customFormat="false" ht="15.75" hidden="false" customHeight="true" outlineLevel="0" collapsed="false">
      <c r="A25" s="80" t="s">
        <v>1226</v>
      </c>
      <c r="B25" s="81"/>
      <c r="C25" s="81"/>
      <c r="D25" s="81"/>
      <c r="E25" s="83"/>
      <c r="F25" s="81"/>
      <c r="G25" s="83"/>
      <c r="H25" s="83"/>
      <c r="I25" s="84" t="str">
        <f aca="false">IF(E25="","",A25&amp;"_1.jpg")</f>
        <v/>
      </c>
      <c r="J25" s="84" t="str">
        <f aca="false">IF(E25="","",A25&amp;"_2.jpg; "&amp;A25&amp;"_3.jpg")</f>
        <v/>
      </c>
      <c r="K25" s="84" t="str">
        <f aca="false">IF(E25="","",A25&amp;"_schema.jpg")</f>
        <v/>
      </c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 t="s">
        <v>96</v>
      </c>
      <c r="W25" s="81"/>
      <c r="X25" s="81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6" t="str">
        <f aca="false">IF(SUM(Y25:AJ25)=0,"",SUM(Y25:AJ25))</f>
        <v/>
      </c>
      <c r="AL25" s="84" t="str">
        <f aca="false">MID(IF(N(Y25)&gt;0,", "&amp;Y$2,"")&amp;IF(N(Z25)&gt;0,", "&amp;Z$2,"")&amp;IF(N(AA25)&gt;0,", "&amp;AA$2,"")&amp;IF(N(AB25)&gt;0,", "&amp;AB$2,"")&amp;IF(N(AC25)&gt;0,", "&amp;AC$2,"")&amp;IF(N(AD25)&gt;0,", "&amp;AD$2,"")&amp;IF(N(AE25)&gt;0,", "&amp;AE$2,"")&amp;IF(N(AF25)&gt;0,", "&amp;AF$2,"")&amp;IF(N(AG25)&gt;0,", "&amp;AG$2,"")&amp;IF(N(AH25)&gt;0,", "&amp;AH$2,"")&amp;IF(N(AI25)&gt;0,", "&amp;AI$2,"")&amp;IF(N(AJ25)&gt;0,", "&amp;AJ$2,""),3,999)</f>
        <v/>
      </c>
      <c r="AM25" s="87" t="str">
        <f aca="false">IF(E25="","",MID(IF(N(Y25)&gt;0,", "&amp;A25&amp;"-"&amp;Y$2,"")&amp;IF(N(Z25)&gt;0,", "&amp;A25&amp;"-"&amp;Z$2,"")&amp;IF(N(AA25)&gt;0,", "&amp;A25&amp;"-"&amp;AA$2,"")&amp;IF(N(AB25)&gt;0,", "&amp;A25&amp;"-"&amp;AB$2,"")&amp;IF(N(AC25)&gt;0,", "&amp;A25&amp;"-"&amp;AC$2,"")&amp;IF(N(AD25)&gt;0,", "&amp;A25&amp;"-"&amp;AD$2,"")&amp;IF(N(AE25)&gt;0,", "&amp;A25&amp;"-"&amp;AE$2,"")&amp;IF(N(AF25)&gt;0,", "&amp;A25&amp;"-"&amp;AF$2,"")&amp;IF(N(AG25)&gt;0,", "&amp;A25&amp;"-"&amp;AG$2,"")&amp;IF(N(AH25)&gt;0,", "&amp;A25&amp;"-"&amp;AH$2,"")&amp;IF(N(AI25)&gt;0,", "&amp;A25&amp;"-"&amp;AI$2,"")&amp;IF(N(AJ25)&gt;0,", "&amp;A25&amp;"-"&amp;AJ$2,""),3,999))</f>
        <v/>
      </c>
      <c r="AN25" s="81"/>
      <c r="AO25" s="88"/>
      <c r="AP25" s="89" t="str">
        <f aca="false">IF(AO25="","",ROUND(AO25/(1+Справочники!$B$13),2))</f>
        <v/>
      </c>
      <c r="AQ25" s="90" t="str">
        <f aca="false" t="array" ref="AQ25:AQ25">IF(AP25="","",AP25*INDEX(Справочники!$B$4:$B$7,MATCH("RUB",Справочники!$A$4:$A$7,0)))</f>
        <v/>
      </c>
      <c r="AR25" s="90" t="str">
        <f aca="false">IF(AQ25="","",ROUND(AQ25*(1+Справочники!$B$12),0))</f>
        <v/>
      </c>
      <c r="AS25" s="90" t="str">
        <f aca="false">IF(AR25="","",ROUND(AR25*(1-Справочники!$B$11),0))</f>
        <v/>
      </c>
      <c r="AT25" s="88"/>
      <c r="AU25" s="90" t="str">
        <f aca="false">IF(AT25="","",ROUND(AT25/(1+Справочники!$B$12),0))</f>
        <v/>
      </c>
      <c r="AV25" s="90" t="str">
        <f aca="false">IF(AT25="","",ROUND(AT25*(1-Справочники!$B$15),0))</f>
        <v/>
      </c>
      <c r="AW25" s="90" t="str">
        <f aca="false">IF(AT25="","",ROUND(AT25*(1-Справочники!$B$16),0))</f>
        <v/>
      </c>
      <c r="AX25" s="90" t="str">
        <f aca="false">IF(AT25="","",ROUND(AT25*(1-Справочники!$B$17),0))</f>
        <v/>
      </c>
      <c r="AY25" s="90" t="str">
        <f aca="false">IF(AT25="","",ROUND(AT25*(1-Справочники!$B$18),0))</f>
        <v/>
      </c>
      <c r="AZ25" s="90" t="str">
        <f aca="false">IF(AT25="","",ROUND(AT25*(1-Справочники!$B$19),0))</f>
        <v/>
      </c>
      <c r="BA25" s="81"/>
      <c r="BB25" s="81"/>
      <c r="BC25" s="81"/>
      <c r="BD25" s="81"/>
      <c r="BE25" s="91"/>
      <c r="BF25" s="81" t="s">
        <v>103</v>
      </c>
      <c r="BG25" s="89" t="n">
        <f aca="false" t="array" ref="BG25:BG25">IF(BF25="","",IFERROR(INDEX(Справочники!$B$4:$B$7,MATCH(BF25,Справочники!$A$4:$A$7,0)),""))</f>
        <v>68.5</v>
      </c>
      <c r="BH25" s="90" t="str">
        <f aca="false">IF(N(BN25)&gt;0,ROUND(SUMIF(ЗАКАЗЫ!$F$3:$F$500,$A25,ЗАКАЗЫ!$Y$3:$Y$500)/BN25,0),IF(OR(BE25="",BG25=""),"",ROUND(BE25*BG25*(1+Справочники!$B$10),0)))</f>
        <v/>
      </c>
      <c r="BI25" s="92" t="str">
        <f aca="false">IF(OR(AU25="",BH25="",AU25=0),"",(AU25-BH25)/AU25)</f>
        <v/>
      </c>
      <c r="BJ25" s="81"/>
      <c r="BK25" s="83"/>
      <c r="BL25" s="43" t="str">
        <f aca="false">IFERROR(INDEX(ЗАКАЗЫ!$N$3:$N$500,MATCH($A25,ЗАКАЗЫ!$F$3:$F$500,0)),"")</f>
        <v/>
      </c>
      <c r="BM25" s="8" t="str">
        <f aca="false">IF(BL25="","",IFERROR(VLOOKUP(BL25,'ТН ВЭД'!$A$4:$C$40,3,0),""))</f>
        <v/>
      </c>
      <c r="BN25" s="7" t="str">
        <f aca="false">IF(COUNTIF(ЗАКАЗЫ!$F$3:$F$500,$A25)=0,"",SUMIF(ЗАКАЗЫ!$F$3:$F$500,$A25,ЗАКАЗЫ!$J$3:$J$500))</f>
        <v/>
      </c>
      <c r="BO25" s="7" t="str">
        <f aca="false">IF(BN25="","",SUMIF(ЗАКАЗЫ!$F$3:$F$500,$A25,ЗАКАЗЫ!$AL$3:$AL$500))</f>
        <v/>
      </c>
      <c r="BP25" s="7" t="str">
        <f aca="false">IF(BN25="","",BN25-BO25)</f>
        <v/>
      </c>
      <c r="BQ25" s="55" t="str">
        <f aca="false">IF(BN25="","",IF(BO25&gt;=BN25,"На складе",IF(BO25&gt;0,"Частично","Ждём")))</f>
        <v/>
      </c>
      <c r="BR25" s="43"/>
      <c r="BS25" s="47" t="str">
        <f aca="false">IF(BN25="","",IF(_xlfn.MAXIFS(ЗАКАЗЫ!$AK$3:$AK$500,ЗАКАЗЫ!$F$3:$F$500,$A25)=0,"",_xlfn.MAXIFS(ЗАКАЗЫ!$AK$3:$AK$500,ЗАКАЗЫ!$F$3:$F$500,$A25)))</f>
        <v/>
      </c>
    </row>
    <row r="26" customFormat="false" ht="15.75" hidden="false" customHeight="true" outlineLevel="0" collapsed="false">
      <c r="A26" s="80" t="s">
        <v>1227</v>
      </c>
      <c r="B26" s="81"/>
      <c r="C26" s="81"/>
      <c r="D26" s="81"/>
      <c r="E26" s="83"/>
      <c r="F26" s="81"/>
      <c r="G26" s="83"/>
      <c r="H26" s="83"/>
      <c r="I26" s="84" t="str">
        <f aca="false">IF(E26="","",A26&amp;"_1.jpg")</f>
        <v/>
      </c>
      <c r="J26" s="84" t="str">
        <f aca="false">IF(E26="","",A26&amp;"_2.jpg; "&amp;A26&amp;"_3.jpg")</f>
        <v/>
      </c>
      <c r="K26" s="84" t="str">
        <f aca="false">IF(E26="","",A26&amp;"_schema.jpg")</f>
        <v/>
      </c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 t="s">
        <v>96</v>
      </c>
      <c r="W26" s="81"/>
      <c r="X26" s="81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6" t="str">
        <f aca="false">IF(SUM(Y26:AJ26)=0,"",SUM(Y26:AJ26))</f>
        <v/>
      </c>
      <c r="AL26" s="84" t="str">
        <f aca="false">MID(IF(N(Y26)&gt;0,", "&amp;Y$2,"")&amp;IF(N(Z26)&gt;0,", "&amp;Z$2,"")&amp;IF(N(AA26)&gt;0,", "&amp;AA$2,"")&amp;IF(N(AB26)&gt;0,", "&amp;AB$2,"")&amp;IF(N(AC26)&gt;0,", "&amp;AC$2,"")&amp;IF(N(AD26)&gt;0,", "&amp;AD$2,"")&amp;IF(N(AE26)&gt;0,", "&amp;AE$2,"")&amp;IF(N(AF26)&gt;0,", "&amp;AF$2,"")&amp;IF(N(AG26)&gt;0,", "&amp;AG$2,"")&amp;IF(N(AH26)&gt;0,", "&amp;AH$2,"")&amp;IF(N(AI26)&gt;0,", "&amp;AI$2,"")&amp;IF(N(AJ26)&gt;0,", "&amp;AJ$2,""),3,999)</f>
        <v/>
      </c>
      <c r="AM26" s="87" t="str">
        <f aca="false">IF(E26="","",MID(IF(N(Y26)&gt;0,", "&amp;A26&amp;"-"&amp;Y$2,"")&amp;IF(N(Z26)&gt;0,", "&amp;A26&amp;"-"&amp;Z$2,"")&amp;IF(N(AA26)&gt;0,", "&amp;A26&amp;"-"&amp;AA$2,"")&amp;IF(N(AB26)&gt;0,", "&amp;A26&amp;"-"&amp;AB$2,"")&amp;IF(N(AC26)&gt;0,", "&amp;A26&amp;"-"&amp;AC$2,"")&amp;IF(N(AD26)&gt;0,", "&amp;A26&amp;"-"&amp;AD$2,"")&amp;IF(N(AE26)&gt;0,", "&amp;A26&amp;"-"&amp;AE$2,"")&amp;IF(N(AF26)&gt;0,", "&amp;A26&amp;"-"&amp;AF$2,"")&amp;IF(N(AG26)&gt;0,", "&amp;A26&amp;"-"&amp;AG$2,"")&amp;IF(N(AH26)&gt;0,", "&amp;A26&amp;"-"&amp;AH$2,"")&amp;IF(N(AI26)&gt;0,", "&amp;A26&amp;"-"&amp;AI$2,"")&amp;IF(N(AJ26)&gt;0,", "&amp;A26&amp;"-"&amp;AJ$2,""),3,999))</f>
        <v/>
      </c>
      <c r="AN26" s="81"/>
      <c r="AO26" s="88"/>
      <c r="AP26" s="89" t="str">
        <f aca="false">IF(AO26="","",ROUND(AO26/(1+Справочники!$B$13),2))</f>
        <v/>
      </c>
      <c r="AQ26" s="90" t="str">
        <f aca="false" t="array" ref="AQ26:AQ26">IF(AP26="","",AP26*INDEX(Справочники!$B$4:$B$7,MATCH("RUB",Справочники!$A$4:$A$7,0)))</f>
        <v/>
      </c>
      <c r="AR26" s="90" t="str">
        <f aca="false">IF(AQ26="","",ROUND(AQ26*(1+Справочники!$B$12),0))</f>
        <v/>
      </c>
      <c r="AS26" s="90" t="str">
        <f aca="false">IF(AR26="","",ROUND(AR26*(1-Справочники!$B$11),0))</f>
        <v/>
      </c>
      <c r="AT26" s="88"/>
      <c r="AU26" s="90" t="str">
        <f aca="false">IF(AT26="","",ROUND(AT26/(1+Справочники!$B$12),0))</f>
        <v/>
      </c>
      <c r="AV26" s="90" t="str">
        <f aca="false">IF(AT26="","",ROUND(AT26*(1-Справочники!$B$15),0))</f>
        <v/>
      </c>
      <c r="AW26" s="90" t="str">
        <f aca="false">IF(AT26="","",ROUND(AT26*(1-Справочники!$B$16),0))</f>
        <v/>
      </c>
      <c r="AX26" s="90" t="str">
        <f aca="false">IF(AT26="","",ROUND(AT26*(1-Справочники!$B$17),0))</f>
        <v/>
      </c>
      <c r="AY26" s="90" t="str">
        <f aca="false">IF(AT26="","",ROUND(AT26*(1-Справочники!$B$18),0))</f>
        <v/>
      </c>
      <c r="AZ26" s="90" t="str">
        <f aca="false">IF(AT26="","",ROUND(AT26*(1-Справочники!$B$19),0))</f>
        <v/>
      </c>
      <c r="BA26" s="81"/>
      <c r="BB26" s="81"/>
      <c r="BC26" s="81"/>
      <c r="BD26" s="81"/>
      <c r="BE26" s="91"/>
      <c r="BF26" s="81" t="s">
        <v>103</v>
      </c>
      <c r="BG26" s="89" t="n">
        <f aca="false" t="array" ref="BG26:BG26">IF(BF26="","",IFERROR(INDEX(Справочники!$B$4:$B$7,MATCH(BF26,Справочники!$A$4:$A$7,0)),""))</f>
        <v>68.5</v>
      </c>
      <c r="BH26" s="90" t="str">
        <f aca="false">IF(N(BN26)&gt;0,ROUND(SUMIF(ЗАКАЗЫ!$F$3:$F$500,$A26,ЗАКАЗЫ!$Y$3:$Y$500)/BN26,0),IF(OR(BE26="",BG26=""),"",ROUND(BE26*BG26*(1+Справочники!$B$10),0)))</f>
        <v/>
      </c>
      <c r="BI26" s="92" t="str">
        <f aca="false">IF(OR(AU26="",BH26="",AU26=0),"",(AU26-BH26)/AU26)</f>
        <v/>
      </c>
      <c r="BJ26" s="81"/>
      <c r="BK26" s="83"/>
      <c r="BL26" s="43" t="str">
        <f aca="false">IFERROR(INDEX(ЗАКАЗЫ!$N$3:$N$500,MATCH($A26,ЗАКАЗЫ!$F$3:$F$500,0)),"")</f>
        <v/>
      </c>
      <c r="BM26" s="8" t="str">
        <f aca="false">IF(BL26="","",IFERROR(VLOOKUP(BL26,'ТН ВЭД'!$A$4:$C$40,3,0),""))</f>
        <v/>
      </c>
      <c r="BN26" s="7" t="str">
        <f aca="false">IF(COUNTIF(ЗАКАЗЫ!$F$3:$F$500,$A26)=0,"",SUMIF(ЗАКАЗЫ!$F$3:$F$500,$A26,ЗАКАЗЫ!$J$3:$J$500))</f>
        <v/>
      </c>
      <c r="BO26" s="7" t="str">
        <f aca="false">IF(BN26="","",SUMIF(ЗАКАЗЫ!$F$3:$F$500,$A26,ЗАКАЗЫ!$AL$3:$AL$500))</f>
        <v/>
      </c>
      <c r="BP26" s="7" t="str">
        <f aca="false">IF(BN26="","",BN26-BO26)</f>
        <v/>
      </c>
      <c r="BQ26" s="55" t="str">
        <f aca="false">IF(BN26="","",IF(BO26&gt;=BN26,"На складе",IF(BO26&gt;0,"Частично","Ждём")))</f>
        <v/>
      </c>
      <c r="BR26" s="43"/>
      <c r="BS26" s="47" t="str">
        <f aca="false">IF(BN26="","",IF(_xlfn.MAXIFS(ЗАКАЗЫ!$AK$3:$AK$500,ЗАКАЗЫ!$F$3:$F$500,$A26)=0,"",_xlfn.MAXIFS(ЗАКАЗЫ!$AK$3:$AK$500,ЗАКАЗЫ!$F$3:$F$500,$A26)))</f>
        <v/>
      </c>
    </row>
    <row r="27" customFormat="false" ht="15.75" hidden="false" customHeight="true" outlineLevel="0" collapsed="false">
      <c r="A27" s="80" t="s">
        <v>1228</v>
      </c>
      <c r="B27" s="81"/>
      <c r="C27" s="81"/>
      <c r="D27" s="81"/>
      <c r="E27" s="83"/>
      <c r="F27" s="81"/>
      <c r="G27" s="83"/>
      <c r="H27" s="83"/>
      <c r="I27" s="84" t="str">
        <f aca="false">IF(E27="","",A27&amp;"_1.jpg")</f>
        <v/>
      </c>
      <c r="J27" s="84" t="str">
        <f aca="false">IF(E27="","",A27&amp;"_2.jpg; "&amp;A27&amp;"_3.jpg")</f>
        <v/>
      </c>
      <c r="K27" s="84" t="str">
        <f aca="false">IF(E27="","",A27&amp;"_schema.jpg")</f>
        <v/>
      </c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 t="s">
        <v>96</v>
      </c>
      <c r="W27" s="81"/>
      <c r="X27" s="81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6" t="str">
        <f aca="false">IF(SUM(Y27:AJ27)=0,"",SUM(Y27:AJ27))</f>
        <v/>
      </c>
      <c r="AL27" s="84" t="str">
        <f aca="false">MID(IF(N(Y27)&gt;0,", "&amp;Y$2,"")&amp;IF(N(Z27)&gt;0,", "&amp;Z$2,"")&amp;IF(N(AA27)&gt;0,", "&amp;AA$2,"")&amp;IF(N(AB27)&gt;0,", "&amp;AB$2,"")&amp;IF(N(AC27)&gt;0,", "&amp;AC$2,"")&amp;IF(N(AD27)&gt;0,", "&amp;AD$2,"")&amp;IF(N(AE27)&gt;0,", "&amp;AE$2,"")&amp;IF(N(AF27)&gt;0,", "&amp;AF$2,"")&amp;IF(N(AG27)&gt;0,", "&amp;AG$2,"")&amp;IF(N(AH27)&gt;0,", "&amp;AH$2,"")&amp;IF(N(AI27)&gt;0,", "&amp;AI$2,"")&amp;IF(N(AJ27)&gt;0,", "&amp;AJ$2,""),3,999)</f>
        <v/>
      </c>
      <c r="AM27" s="87" t="str">
        <f aca="false">IF(E27="","",MID(IF(N(Y27)&gt;0,", "&amp;A27&amp;"-"&amp;Y$2,"")&amp;IF(N(Z27)&gt;0,", "&amp;A27&amp;"-"&amp;Z$2,"")&amp;IF(N(AA27)&gt;0,", "&amp;A27&amp;"-"&amp;AA$2,"")&amp;IF(N(AB27)&gt;0,", "&amp;A27&amp;"-"&amp;AB$2,"")&amp;IF(N(AC27)&gt;0,", "&amp;A27&amp;"-"&amp;AC$2,"")&amp;IF(N(AD27)&gt;0,", "&amp;A27&amp;"-"&amp;AD$2,"")&amp;IF(N(AE27)&gt;0,", "&amp;A27&amp;"-"&amp;AE$2,"")&amp;IF(N(AF27)&gt;0,", "&amp;A27&amp;"-"&amp;AF$2,"")&amp;IF(N(AG27)&gt;0,", "&amp;A27&amp;"-"&amp;AG$2,"")&amp;IF(N(AH27)&gt;0,", "&amp;A27&amp;"-"&amp;AH$2,"")&amp;IF(N(AI27)&gt;0,", "&amp;A27&amp;"-"&amp;AI$2,"")&amp;IF(N(AJ27)&gt;0,", "&amp;A27&amp;"-"&amp;AJ$2,""),3,999))</f>
        <v/>
      </c>
      <c r="AN27" s="81"/>
      <c r="AO27" s="88"/>
      <c r="AP27" s="89" t="str">
        <f aca="false">IF(AO27="","",ROUND(AO27/(1+Справочники!$B$13),2))</f>
        <v/>
      </c>
      <c r="AQ27" s="90" t="str">
        <f aca="false" t="array" ref="AQ27:AQ27">IF(AP27="","",AP27*INDEX(Справочники!$B$4:$B$7,MATCH("RUB",Справочники!$A$4:$A$7,0)))</f>
        <v/>
      </c>
      <c r="AR27" s="90" t="str">
        <f aca="false">IF(AQ27="","",ROUND(AQ27*(1+Справочники!$B$12),0))</f>
        <v/>
      </c>
      <c r="AS27" s="90" t="str">
        <f aca="false">IF(AR27="","",ROUND(AR27*(1-Справочники!$B$11),0))</f>
        <v/>
      </c>
      <c r="AT27" s="88"/>
      <c r="AU27" s="90" t="str">
        <f aca="false">IF(AT27="","",ROUND(AT27/(1+Справочники!$B$12),0))</f>
        <v/>
      </c>
      <c r="AV27" s="90" t="str">
        <f aca="false">IF(AT27="","",ROUND(AT27*(1-Справочники!$B$15),0))</f>
        <v/>
      </c>
      <c r="AW27" s="90" t="str">
        <f aca="false">IF(AT27="","",ROUND(AT27*(1-Справочники!$B$16),0))</f>
        <v/>
      </c>
      <c r="AX27" s="90" t="str">
        <f aca="false">IF(AT27="","",ROUND(AT27*(1-Справочники!$B$17),0))</f>
        <v/>
      </c>
      <c r="AY27" s="90" t="str">
        <f aca="false">IF(AT27="","",ROUND(AT27*(1-Справочники!$B$18),0))</f>
        <v/>
      </c>
      <c r="AZ27" s="90" t="str">
        <f aca="false">IF(AT27="","",ROUND(AT27*(1-Справочники!$B$19),0))</f>
        <v/>
      </c>
      <c r="BA27" s="81"/>
      <c r="BB27" s="81"/>
      <c r="BC27" s="81"/>
      <c r="BD27" s="81"/>
      <c r="BE27" s="91"/>
      <c r="BF27" s="81" t="s">
        <v>103</v>
      </c>
      <c r="BG27" s="89" t="n">
        <f aca="false" t="array" ref="BG27:BG27">IF(BF27="","",IFERROR(INDEX(Справочники!$B$4:$B$7,MATCH(BF27,Справочники!$A$4:$A$7,0)),""))</f>
        <v>68.5</v>
      </c>
      <c r="BH27" s="90" t="str">
        <f aca="false">IF(N(BN27)&gt;0,ROUND(SUMIF(ЗАКАЗЫ!$F$3:$F$500,$A27,ЗАКАЗЫ!$Y$3:$Y$500)/BN27,0),IF(OR(BE27="",BG27=""),"",ROUND(BE27*BG27*(1+Справочники!$B$10),0)))</f>
        <v/>
      </c>
      <c r="BI27" s="92" t="str">
        <f aca="false">IF(OR(AU27="",BH27="",AU27=0),"",(AU27-BH27)/AU27)</f>
        <v/>
      </c>
      <c r="BJ27" s="81"/>
      <c r="BK27" s="83"/>
      <c r="BL27" s="43" t="str">
        <f aca="false">IFERROR(INDEX(ЗАКАЗЫ!$N$3:$N$500,MATCH($A27,ЗАКАЗЫ!$F$3:$F$500,0)),"")</f>
        <v/>
      </c>
      <c r="BM27" s="8" t="str">
        <f aca="false">IF(BL27="","",IFERROR(VLOOKUP(BL27,'ТН ВЭД'!$A$4:$C$40,3,0),""))</f>
        <v/>
      </c>
      <c r="BN27" s="7" t="str">
        <f aca="false">IF(COUNTIF(ЗАКАЗЫ!$F$3:$F$500,$A27)=0,"",SUMIF(ЗАКАЗЫ!$F$3:$F$500,$A27,ЗАКАЗЫ!$J$3:$J$500))</f>
        <v/>
      </c>
      <c r="BO27" s="7" t="str">
        <f aca="false">IF(BN27="","",SUMIF(ЗАКАЗЫ!$F$3:$F$500,$A27,ЗАКАЗЫ!$AL$3:$AL$500))</f>
        <v/>
      </c>
      <c r="BP27" s="7" t="str">
        <f aca="false">IF(BN27="","",BN27-BO27)</f>
        <v/>
      </c>
      <c r="BQ27" s="55" t="str">
        <f aca="false">IF(BN27="","",IF(BO27&gt;=BN27,"На складе",IF(BO27&gt;0,"Частично","Ждём")))</f>
        <v/>
      </c>
      <c r="BR27" s="43"/>
      <c r="BS27" s="47" t="str">
        <f aca="false">IF(BN27="","",IF(_xlfn.MAXIFS(ЗАКАЗЫ!$AK$3:$AK$500,ЗАКАЗЫ!$F$3:$F$500,$A27)=0,"",_xlfn.MAXIFS(ЗАКАЗЫ!$AK$3:$AK$500,ЗАКАЗЫ!$F$3:$F$500,$A27)))</f>
        <v/>
      </c>
    </row>
    <row r="28" customFormat="false" ht="15.75" hidden="false" customHeight="true" outlineLevel="0" collapsed="false">
      <c r="A28" s="80" t="s">
        <v>1229</v>
      </c>
      <c r="B28" s="81"/>
      <c r="C28" s="81"/>
      <c r="D28" s="81"/>
      <c r="E28" s="83"/>
      <c r="F28" s="81"/>
      <c r="G28" s="83"/>
      <c r="H28" s="83"/>
      <c r="I28" s="84" t="str">
        <f aca="false">IF(E28="","",A28&amp;"_1.jpg")</f>
        <v/>
      </c>
      <c r="J28" s="84" t="str">
        <f aca="false">IF(E28="","",A28&amp;"_2.jpg; "&amp;A28&amp;"_3.jpg")</f>
        <v/>
      </c>
      <c r="K28" s="84" t="str">
        <f aca="false">IF(E28="","",A28&amp;"_schema.jpg")</f>
        <v/>
      </c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 t="s">
        <v>96</v>
      </c>
      <c r="W28" s="81"/>
      <c r="X28" s="81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6" t="str">
        <f aca="false">IF(SUM(Y28:AJ28)=0,"",SUM(Y28:AJ28))</f>
        <v/>
      </c>
      <c r="AL28" s="84" t="str">
        <f aca="false">MID(IF(N(Y28)&gt;0,", "&amp;Y$2,"")&amp;IF(N(Z28)&gt;0,", "&amp;Z$2,"")&amp;IF(N(AA28)&gt;0,", "&amp;AA$2,"")&amp;IF(N(AB28)&gt;0,", "&amp;AB$2,"")&amp;IF(N(AC28)&gt;0,", "&amp;AC$2,"")&amp;IF(N(AD28)&gt;0,", "&amp;AD$2,"")&amp;IF(N(AE28)&gt;0,", "&amp;AE$2,"")&amp;IF(N(AF28)&gt;0,", "&amp;AF$2,"")&amp;IF(N(AG28)&gt;0,", "&amp;AG$2,"")&amp;IF(N(AH28)&gt;0,", "&amp;AH$2,"")&amp;IF(N(AI28)&gt;0,", "&amp;AI$2,"")&amp;IF(N(AJ28)&gt;0,", "&amp;AJ$2,""),3,999)</f>
        <v/>
      </c>
      <c r="AM28" s="87" t="str">
        <f aca="false">IF(E28="","",MID(IF(N(Y28)&gt;0,", "&amp;A28&amp;"-"&amp;Y$2,"")&amp;IF(N(Z28)&gt;0,", "&amp;A28&amp;"-"&amp;Z$2,"")&amp;IF(N(AA28)&gt;0,", "&amp;A28&amp;"-"&amp;AA$2,"")&amp;IF(N(AB28)&gt;0,", "&amp;A28&amp;"-"&amp;AB$2,"")&amp;IF(N(AC28)&gt;0,", "&amp;A28&amp;"-"&amp;AC$2,"")&amp;IF(N(AD28)&gt;0,", "&amp;A28&amp;"-"&amp;AD$2,"")&amp;IF(N(AE28)&gt;0,", "&amp;A28&amp;"-"&amp;AE$2,"")&amp;IF(N(AF28)&gt;0,", "&amp;A28&amp;"-"&amp;AF$2,"")&amp;IF(N(AG28)&gt;0,", "&amp;A28&amp;"-"&amp;AG$2,"")&amp;IF(N(AH28)&gt;0,", "&amp;A28&amp;"-"&amp;AH$2,"")&amp;IF(N(AI28)&gt;0,", "&amp;A28&amp;"-"&amp;AI$2,"")&amp;IF(N(AJ28)&gt;0,", "&amp;A28&amp;"-"&amp;AJ$2,""),3,999))</f>
        <v/>
      </c>
      <c r="AN28" s="81"/>
      <c r="AO28" s="88"/>
      <c r="AP28" s="89" t="str">
        <f aca="false">IF(AO28="","",ROUND(AO28/(1+Справочники!$B$13),2))</f>
        <v/>
      </c>
      <c r="AQ28" s="90" t="str">
        <f aca="false" t="array" ref="AQ28:AQ28">IF(AP28="","",AP28*INDEX(Справочники!$B$4:$B$7,MATCH("RUB",Справочники!$A$4:$A$7,0)))</f>
        <v/>
      </c>
      <c r="AR28" s="90" t="str">
        <f aca="false">IF(AQ28="","",ROUND(AQ28*(1+Справочники!$B$12),0))</f>
        <v/>
      </c>
      <c r="AS28" s="90" t="str">
        <f aca="false">IF(AR28="","",ROUND(AR28*(1-Справочники!$B$11),0))</f>
        <v/>
      </c>
      <c r="AT28" s="88"/>
      <c r="AU28" s="90" t="str">
        <f aca="false">IF(AT28="","",ROUND(AT28/(1+Справочники!$B$12),0))</f>
        <v/>
      </c>
      <c r="AV28" s="90" t="str">
        <f aca="false">IF(AT28="","",ROUND(AT28*(1-Справочники!$B$15),0))</f>
        <v/>
      </c>
      <c r="AW28" s="90" t="str">
        <f aca="false">IF(AT28="","",ROUND(AT28*(1-Справочники!$B$16),0))</f>
        <v/>
      </c>
      <c r="AX28" s="90" t="str">
        <f aca="false">IF(AT28="","",ROUND(AT28*(1-Справочники!$B$17),0))</f>
        <v/>
      </c>
      <c r="AY28" s="90" t="str">
        <f aca="false">IF(AT28="","",ROUND(AT28*(1-Справочники!$B$18),0))</f>
        <v/>
      </c>
      <c r="AZ28" s="90" t="str">
        <f aca="false">IF(AT28="","",ROUND(AT28*(1-Справочники!$B$19),0))</f>
        <v/>
      </c>
      <c r="BA28" s="81"/>
      <c r="BB28" s="81"/>
      <c r="BC28" s="81"/>
      <c r="BD28" s="81"/>
      <c r="BE28" s="91"/>
      <c r="BF28" s="81" t="s">
        <v>103</v>
      </c>
      <c r="BG28" s="89" t="n">
        <f aca="false" t="array" ref="BG28:BG28">IF(BF28="","",IFERROR(INDEX(Справочники!$B$4:$B$7,MATCH(BF28,Справочники!$A$4:$A$7,0)),""))</f>
        <v>68.5</v>
      </c>
      <c r="BH28" s="90" t="str">
        <f aca="false">IF(N(BN28)&gt;0,ROUND(SUMIF(ЗАКАЗЫ!$F$3:$F$500,$A28,ЗАКАЗЫ!$Y$3:$Y$500)/BN28,0),IF(OR(BE28="",BG28=""),"",ROUND(BE28*BG28*(1+Справочники!$B$10),0)))</f>
        <v/>
      </c>
      <c r="BI28" s="92" t="str">
        <f aca="false">IF(OR(AU28="",BH28="",AU28=0),"",(AU28-BH28)/AU28)</f>
        <v/>
      </c>
      <c r="BJ28" s="81"/>
      <c r="BK28" s="83"/>
      <c r="BL28" s="43" t="str">
        <f aca="false">IFERROR(INDEX(ЗАКАЗЫ!$N$3:$N$500,MATCH($A28,ЗАКАЗЫ!$F$3:$F$500,0)),"")</f>
        <v/>
      </c>
      <c r="BM28" s="8" t="str">
        <f aca="false">IF(BL28="","",IFERROR(VLOOKUP(BL28,'ТН ВЭД'!$A$4:$C$40,3,0),""))</f>
        <v/>
      </c>
      <c r="BN28" s="7" t="str">
        <f aca="false">IF(COUNTIF(ЗАКАЗЫ!$F$3:$F$500,$A28)=0,"",SUMIF(ЗАКАЗЫ!$F$3:$F$500,$A28,ЗАКАЗЫ!$J$3:$J$500))</f>
        <v/>
      </c>
      <c r="BO28" s="7" t="str">
        <f aca="false">IF(BN28="","",SUMIF(ЗАКАЗЫ!$F$3:$F$500,$A28,ЗАКАЗЫ!$AL$3:$AL$500))</f>
        <v/>
      </c>
      <c r="BP28" s="7" t="str">
        <f aca="false">IF(BN28="","",BN28-BO28)</f>
        <v/>
      </c>
      <c r="BQ28" s="55" t="str">
        <f aca="false">IF(BN28="","",IF(BO28&gt;=BN28,"На складе",IF(BO28&gt;0,"Частично","Ждём")))</f>
        <v/>
      </c>
      <c r="BR28" s="43"/>
      <c r="BS28" s="47" t="str">
        <f aca="false">IF(BN28="","",IF(_xlfn.MAXIFS(ЗАКАЗЫ!$AK$3:$AK$500,ЗАКАЗЫ!$F$3:$F$500,$A28)=0,"",_xlfn.MAXIFS(ЗАКАЗЫ!$AK$3:$AK$500,ЗАКАЗЫ!$F$3:$F$500,$A28)))</f>
        <v/>
      </c>
    </row>
    <row r="29" customFormat="false" ht="15.75" hidden="false" customHeight="true" outlineLevel="0" collapsed="false">
      <c r="A29" s="80" t="s">
        <v>1230</v>
      </c>
      <c r="B29" s="81"/>
      <c r="C29" s="81"/>
      <c r="D29" s="81"/>
      <c r="E29" s="83"/>
      <c r="F29" s="81"/>
      <c r="G29" s="83"/>
      <c r="H29" s="83"/>
      <c r="I29" s="84" t="str">
        <f aca="false">IF(E29="","",A29&amp;"_1.jpg")</f>
        <v/>
      </c>
      <c r="J29" s="84" t="str">
        <f aca="false">IF(E29="","",A29&amp;"_2.jpg; "&amp;A29&amp;"_3.jpg")</f>
        <v/>
      </c>
      <c r="K29" s="84" t="str">
        <f aca="false">IF(E29="","",A29&amp;"_schema.jpg")</f>
        <v/>
      </c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 t="s">
        <v>96</v>
      </c>
      <c r="W29" s="81"/>
      <c r="X29" s="81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6" t="str">
        <f aca="false">IF(SUM(Y29:AJ29)=0,"",SUM(Y29:AJ29))</f>
        <v/>
      </c>
      <c r="AL29" s="84" t="str">
        <f aca="false">MID(IF(N(Y29)&gt;0,", "&amp;Y$2,"")&amp;IF(N(Z29)&gt;0,", "&amp;Z$2,"")&amp;IF(N(AA29)&gt;0,", "&amp;AA$2,"")&amp;IF(N(AB29)&gt;0,", "&amp;AB$2,"")&amp;IF(N(AC29)&gt;0,", "&amp;AC$2,"")&amp;IF(N(AD29)&gt;0,", "&amp;AD$2,"")&amp;IF(N(AE29)&gt;0,", "&amp;AE$2,"")&amp;IF(N(AF29)&gt;0,", "&amp;AF$2,"")&amp;IF(N(AG29)&gt;0,", "&amp;AG$2,"")&amp;IF(N(AH29)&gt;0,", "&amp;AH$2,"")&amp;IF(N(AI29)&gt;0,", "&amp;AI$2,"")&amp;IF(N(AJ29)&gt;0,", "&amp;AJ$2,""),3,999)</f>
        <v/>
      </c>
      <c r="AM29" s="87" t="str">
        <f aca="false">IF(E29="","",MID(IF(N(Y29)&gt;0,", "&amp;A29&amp;"-"&amp;Y$2,"")&amp;IF(N(Z29)&gt;0,", "&amp;A29&amp;"-"&amp;Z$2,"")&amp;IF(N(AA29)&gt;0,", "&amp;A29&amp;"-"&amp;AA$2,"")&amp;IF(N(AB29)&gt;0,", "&amp;A29&amp;"-"&amp;AB$2,"")&amp;IF(N(AC29)&gt;0,", "&amp;A29&amp;"-"&amp;AC$2,"")&amp;IF(N(AD29)&gt;0,", "&amp;A29&amp;"-"&amp;AD$2,"")&amp;IF(N(AE29)&gt;0,", "&amp;A29&amp;"-"&amp;AE$2,"")&amp;IF(N(AF29)&gt;0,", "&amp;A29&amp;"-"&amp;AF$2,"")&amp;IF(N(AG29)&gt;0,", "&amp;A29&amp;"-"&amp;AG$2,"")&amp;IF(N(AH29)&gt;0,", "&amp;A29&amp;"-"&amp;AH$2,"")&amp;IF(N(AI29)&gt;0,", "&amp;A29&amp;"-"&amp;AI$2,"")&amp;IF(N(AJ29)&gt;0,", "&amp;A29&amp;"-"&amp;AJ$2,""),3,999))</f>
        <v/>
      </c>
      <c r="AN29" s="81"/>
      <c r="AO29" s="88"/>
      <c r="AP29" s="89" t="str">
        <f aca="false">IF(AO29="","",ROUND(AO29/(1+Справочники!$B$13),2))</f>
        <v/>
      </c>
      <c r="AQ29" s="90" t="str">
        <f aca="false" t="array" ref="AQ29:AQ29">IF(AP29="","",AP29*INDEX(Справочники!$B$4:$B$7,MATCH("RUB",Справочники!$A$4:$A$7,0)))</f>
        <v/>
      </c>
      <c r="AR29" s="90" t="str">
        <f aca="false">IF(AQ29="","",ROUND(AQ29*(1+Справочники!$B$12),0))</f>
        <v/>
      </c>
      <c r="AS29" s="90" t="str">
        <f aca="false">IF(AR29="","",ROUND(AR29*(1-Справочники!$B$11),0))</f>
        <v/>
      </c>
      <c r="AT29" s="88"/>
      <c r="AU29" s="90" t="str">
        <f aca="false">IF(AT29="","",ROUND(AT29/(1+Справочники!$B$12),0))</f>
        <v/>
      </c>
      <c r="AV29" s="90" t="str">
        <f aca="false">IF(AT29="","",ROUND(AT29*(1-Справочники!$B$15),0))</f>
        <v/>
      </c>
      <c r="AW29" s="90" t="str">
        <f aca="false">IF(AT29="","",ROUND(AT29*(1-Справочники!$B$16),0))</f>
        <v/>
      </c>
      <c r="AX29" s="90" t="str">
        <f aca="false">IF(AT29="","",ROUND(AT29*(1-Справочники!$B$17),0))</f>
        <v/>
      </c>
      <c r="AY29" s="90" t="str">
        <f aca="false">IF(AT29="","",ROUND(AT29*(1-Справочники!$B$18),0))</f>
        <v/>
      </c>
      <c r="AZ29" s="90" t="str">
        <f aca="false">IF(AT29="","",ROUND(AT29*(1-Справочники!$B$19),0))</f>
        <v/>
      </c>
      <c r="BA29" s="81"/>
      <c r="BB29" s="81"/>
      <c r="BC29" s="81"/>
      <c r="BD29" s="81"/>
      <c r="BE29" s="91"/>
      <c r="BF29" s="81" t="s">
        <v>103</v>
      </c>
      <c r="BG29" s="89" t="n">
        <f aca="false" t="array" ref="BG29:BG29">IF(BF29="","",IFERROR(INDEX(Справочники!$B$4:$B$7,MATCH(BF29,Справочники!$A$4:$A$7,0)),""))</f>
        <v>68.5</v>
      </c>
      <c r="BH29" s="90" t="str">
        <f aca="false">IF(N(BN29)&gt;0,ROUND(SUMIF(ЗАКАЗЫ!$F$3:$F$500,$A29,ЗАКАЗЫ!$Y$3:$Y$500)/BN29,0),IF(OR(BE29="",BG29=""),"",ROUND(BE29*BG29*(1+Справочники!$B$10),0)))</f>
        <v/>
      </c>
      <c r="BI29" s="92" t="str">
        <f aca="false">IF(OR(AU29="",BH29="",AU29=0),"",(AU29-BH29)/AU29)</f>
        <v/>
      </c>
      <c r="BJ29" s="81"/>
      <c r="BK29" s="83"/>
      <c r="BL29" s="43" t="str">
        <f aca="false">IFERROR(INDEX(ЗАКАЗЫ!$N$3:$N$500,MATCH($A29,ЗАКАЗЫ!$F$3:$F$500,0)),"")</f>
        <v/>
      </c>
      <c r="BM29" s="8" t="str">
        <f aca="false">IF(BL29="","",IFERROR(VLOOKUP(BL29,'ТН ВЭД'!$A$4:$C$40,3,0),""))</f>
        <v/>
      </c>
      <c r="BN29" s="7" t="str">
        <f aca="false">IF(COUNTIF(ЗАКАЗЫ!$F$3:$F$500,$A29)=0,"",SUMIF(ЗАКАЗЫ!$F$3:$F$500,$A29,ЗАКАЗЫ!$J$3:$J$500))</f>
        <v/>
      </c>
      <c r="BO29" s="7" t="str">
        <f aca="false">IF(BN29="","",SUMIF(ЗАКАЗЫ!$F$3:$F$500,$A29,ЗАКАЗЫ!$AL$3:$AL$500))</f>
        <v/>
      </c>
      <c r="BP29" s="7" t="str">
        <f aca="false">IF(BN29="","",BN29-BO29)</f>
        <v/>
      </c>
      <c r="BQ29" s="55" t="str">
        <f aca="false">IF(BN29="","",IF(BO29&gt;=BN29,"На складе",IF(BO29&gt;0,"Частично","Ждём")))</f>
        <v/>
      </c>
      <c r="BR29" s="43"/>
      <c r="BS29" s="47" t="str">
        <f aca="false">IF(BN29="","",IF(_xlfn.MAXIFS(ЗАКАЗЫ!$AK$3:$AK$500,ЗАКАЗЫ!$F$3:$F$500,$A29)=0,"",_xlfn.MAXIFS(ЗАКАЗЫ!$AK$3:$AK$500,ЗАКАЗЫ!$F$3:$F$500,$A29)))</f>
        <v/>
      </c>
    </row>
    <row r="30" customFormat="false" ht="15.75" hidden="false" customHeight="true" outlineLevel="0" collapsed="false">
      <c r="A30" s="80" t="s">
        <v>1231</v>
      </c>
      <c r="B30" s="81"/>
      <c r="C30" s="81"/>
      <c r="D30" s="81"/>
      <c r="E30" s="83"/>
      <c r="F30" s="81"/>
      <c r="G30" s="83"/>
      <c r="H30" s="83"/>
      <c r="I30" s="84" t="str">
        <f aca="false">IF(E30="","",A30&amp;"_1.jpg")</f>
        <v/>
      </c>
      <c r="J30" s="84" t="str">
        <f aca="false">IF(E30="","",A30&amp;"_2.jpg; "&amp;A30&amp;"_3.jpg")</f>
        <v/>
      </c>
      <c r="K30" s="84" t="str">
        <f aca="false">IF(E30="","",A30&amp;"_schema.jpg")</f>
        <v/>
      </c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 t="s">
        <v>96</v>
      </c>
      <c r="W30" s="81"/>
      <c r="X30" s="81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6" t="str">
        <f aca="false">IF(SUM(Y30:AJ30)=0,"",SUM(Y30:AJ30))</f>
        <v/>
      </c>
      <c r="AL30" s="84" t="str">
        <f aca="false">MID(IF(N(Y30)&gt;0,", "&amp;Y$2,"")&amp;IF(N(Z30)&gt;0,", "&amp;Z$2,"")&amp;IF(N(AA30)&gt;0,", "&amp;AA$2,"")&amp;IF(N(AB30)&gt;0,", "&amp;AB$2,"")&amp;IF(N(AC30)&gt;0,", "&amp;AC$2,"")&amp;IF(N(AD30)&gt;0,", "&amp;AD$2,"")&amp;IF(N(AE30)&gt;0,", "&amp;AE$2,"")&amp;IF(N(AF30)&gt;0,", "&amp;AF$2,"")&amp;IF(N(AG30)&gt;0,", "&amp;AG$2,"")&amp;IF(N(AH30)&gt;0,", "&amp;AH$2,"")&amp;IF(N(AI30)&gt;0,", "&amp;AI$2,"")&amp;IF(N(AJ30)&gt;0,", "&amp;AJ$2,""),3,999)</f>
        <v/>
      </c>
      <c r="AM30" s="87" t="str">
        <f aca="false">IF(E30="","",MID(IF(N(Y30)&gt;0,", "&amp;A30&amp;"-"&amp;Y$2,"")&amp;IF(N(Z30)&gt;0,", "&amp;A30&amp;"-"&amp;Z$2,"")&amp;IF(N(AA30)&gt;0,", "&amp;A30&amp;"-"&amp;AA$2,"")&amp;IF(N(AB30)&gt;0,", "&amp;A30&amp;"-"&amp;AB$2,"")&amp;IF(N(AC30)&gt;0,", "&amp;A30&amp;"-"&amp;AC$2,"")&amp;IF(N(AD30)&gt;0,", "&amp;A30&amp;"-"&amp;AD$2,"")&amp;IF(N(AE30)&gt;0,", "&amp;A30&amp;"-"&amp;AE$2,"")&amp;IF(N(AF30)&gt;0,", "&amp;A30&amp;"-"&amp;AF$2,"")&amp;IF(N(AG30)&gt;0,", "&amp;A30&amp;"-"&amp;AG$2,"")&amp;IF(N(AH30)&gt;0,", "&amp;A30&amp;"-"&amp;AH$2,"")&amp;IF(N(AI30)&gt;0,", "&amp;A30&amp;"-"&amp;AI$2,"")&amp;IF(N(AJ30)&gt;0,", "&amp;A30&amp;"-"&amp;AJ$2,""),3,999))</f>
        <v/>
      </c>
      <c r="AN30" s="81"/>
      <c r="AO30" s="88"/>
      <c r="AP30" s="89" t="str">
        <f aca="false">IF(AO30="","",ROUND(AO30/(1+Справочники!$B$13),2))</f>
        <v/>
      </c>
      <c r="AQ30" s="90" t="str">
        <f aca="false" t="array" ref="AQ30:AQ30">IF(AP30="","",AP30*INDEX(Справочники!$B$4:$B$7,MATCH("RUB",Справочники!$A$4:$A$7,0)))</f>
        <v/>
      </c>
      <c r="AR30" s="90" t="str">
        <f aca="false">IF(AQ30="","",ROUND(AQ30*(1+Справочники!$B$12),0))</f>
        <v/>
      </c>
      <c r="AS30" s="90" t="str">
        <f aca="false">IF(AR30="","",ROUND(AR30*(1-Справочники!$B$11),0))</f>
        <v/>
      </c>
      <c r="AT30" s="88"/>
      <c r="AU30" s="90" t="str">
        <f aca="false">IF(AT30="","",ROUND(AT30/(1+Справочники!$B$12),0))</f>
        <v/>
      </c>
      <c r="AV30" s="90" t="str">
        <f aca="false">IF(AT30="","",ROUND(AT30*(1-Справочники!$B$15),0))</f>
        <v/>
      </c>
      <c r="AW30" s="90" t="str">
        <f aca="false">IF(AT30="","",ROUND(AT30*(1-Справочники!$B$16),0))</f>
        <v/>
      </c>
      <c r="AX30" s="90" t="str">
        <f aca="false">IF(AT30="","",ROUND(AT30*(1-Справочники!$B$17),0))</f>
        <v/>
      </c>
      <c r="AY30" s="90" t="str">
        <f aca="false">IF(AT30="","",ROUND(AT30*(1-Справочники!$B$18),0))</f>
        <v/>
      </c>
      <c r="AZ30" s="90" t="str">
        <f aca="false">IF(AT30="","",ROUND(AT30*(1-Справочники!$B$19),0))</f>
        <v/>
      </c>
      <c r="BA30" s="81"/>
      <c r="BB30" s="81"/>
      <c r="BC30" s="81"/>
      <c r="BD30" s="81"/>
      <c r="BE30" s="91"/>
      <c r="BF30" s="81" t="s">
        <v>103</v>
      </c>
      <c r="BG30" s="89" t="n">
        <f aca="false" t="array" ref="BG30:BG30">IF(BF30="","",IFERROR(INDEX(Справочники!$B$4:$B$7,MATCH(BF30,Справочники!$A$4:$A$7,0)),""))</f>
        <v>68.5</v>
      </c>
      <c r="BH30" s="90" t="str">
        <f aca="false">IF(N(BN30)&gt;0,ROUND(SUMIF(ЗАКАЗЫ!$F$3:$F$500,$A30,ЗАКАЗЫ!$Y$3:$Y$500)/BN30,0),IF(OR(BE30="",BG30=""),"",ROUND(BE30*BG30*(1+Справочники!$B$10),0)))</f>
        <v/>
      </c>
      <c r="BI30" s="92" t="str">
        <f aca="false">IF(OR(AU30="",BH30="",AU30=0),"",(AU30-BH30)/AU30)</f>
        <v/>
      </c>
      <c r="BJ30" s="81"/>
      <c r="BK30" s="83"/>
      <c r="BL30" s="43" t="str">
        <f aca="false">IFERROR(INDEX(ЗАКАЗЫ!$N$3:$N$500,MATCH($A30,ЗАКАЗЫ!$F$3:$F$500,0)),"")</f>
        <v/>
      </c>
      <c r="BM30" s="8" t="str">
        <f aca="false">IF(BL30="","",IFERROR(VLOOKUP(BL30,'ТН ВЭД'!$A$4:$C$40,3,0),""))</f>
        <v/>
      </c>
      <c r="BN30" s="7" t="str">
        <f aca="false">IF(COUNTIF(ЗАКАЗЫ!$F$3:$F$500,$A30)=0,"",SUMIF(ЗАКАЗЫ!$F$3:$F$500,$A30,ЗАКАЗЫ!$J$3:$J$500))</f>
        <v/>
      </c>
      <c r="BO30" s="7" t="str">
        <f aca="false">IF(BN30="","",SUMIF(ЗАКАЗЫ!$F$3:$F$500,$A30,ЗАКАЗЫ!$AL$3:$AL$500))</f>
        <v/>
      </c>
      <c r="BP30" s="7" t="str">
        <f aca="false">IF(BN30="","",BN30-BO30)</f>
        <v/>
      </c>
      <c r="BQ30" s="55" t="str">
        <f aca="false">IF(BN30="","",IF(BO30&gt;=BN30,"На складе",IF(BO30&gt;0,"Частично","Ждём")))</f>
        <v/>
      </c>
      <c r="BR30" s="43"/>
      <c r="BS30" s="47" t="str">
        <f aca="false">IF(BN30="","",IF(_xlfn.MAXIFS(ЗАКАЗЫ!$AK$3:$AK$500,ЗАКАЗЫ!$F$3:$F$500,$A30)=0,"",_xlfn.MAXIFS(ЗАКАЗЫ!$AK$3:$AK$500,ЗАКАЗЫ!$F$3:$F$500,$A30)))</f>
        <v/>
      </c>
    </row>
    <row r="31" customFormat="false" ht="15.75" hidden="false" customHeight="true" outlineLevel="0" collapsed="false">
      <c r="A31" s="80" t="s">
        <v>1232</v>
      </c>
      <c r="B31" s="81"/>
      <c r="C31" s="81"/>
      <c r="D31" s="81"/>
      <c r="E31" s="83"/>
      <c r="F31" s="81"/>
      <c r="G31" s="83"/>
      <c r="H31" s="83"/>
      <c r="I31" s="84" t="str">
        <f aca="false">IF(E31="","",A31&amp;"_1.jpg")</f>
        <v/>
      </c>
      <c r="J31" s="84" t="str">
        <f aca="false">IF(E31="","",A31&amp;"_2.jpg; "&amp;A31&amp;"_3.jpg")</f>
        <v/>
      </c>
      <c r="K31" s="84" t="str">
        <f aca="false">IF(E31="","",A31&amp;"_schema.jpg")</f>
        <v/>
      </c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 t="s">
        <v>96</v>
      </c>
      <c r="W31" s="81"/>
      <c r="X31" s="81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6" t="str">
        <f aca="false">IF(SUM(Y31:AJ31)=0,"",SUM(Y31:AJ31))</f>
        <v/>
      </c>
      <c r="AL31" s="84" t="str">
        <f aca="false">MID(IF(N(Y31)&gt;0,", "&amp;Y$2,"")&amp;IF(N(Z31)&gt;0,", "&amp;Z$2,"")&amp;IF(N(AA31)&gt;0,", "&amp;AA$2,"")&amp;IF(N(AB31)&gt;0,", "&amp;AB$2,"")&amp;IF(N(AC31)&gt;0,", "&amp;AC$2,"")&amp;IF(N(AD31)&gt;0,", "&amp;AD$2,"")&amp;IF(N(AE31)&gt;0,", "&amp;AE$2,"")&amp;IF(N(AF31)&gt;0,", "&amp;AF$2,"")&amp;IF(N(AG31)&gt;0,", "&amp;AG$2,"")&amp;IF(N(AH31)&gt;0,", "&amp;AH$2,"")&amp;IF(N(AI31)&gt;0,", "&amp;AI$2,"")&amp;IF(N(AJ31)&gt;0,", "&amp;AJ$2,""),3,999)</f>
        <v/>
      </c>
      <c r="AM31" s="87" t="str">
        <f aca="false">IF(E31="","",MID(IF(N(Y31)&gt;0,", "&amp;A31&amp;"-"&amp;Y$2,"")&amp;IF(N(Z31)&gt;0,", "&amp;A31&amp;"-"&amp;Z$2,"")&amp;IF(N(AA31)&gt;0,", "&amp;A31&amp;"-"&amp;AA$2,"")&amp;IF(N(AB31)&gt;0,", "&amp;A31&amp;"-"&amp;AB$2,"")&amp;IF(N(AC31)&gt;0,", "&amp;A31&amp;"-"&amp;AC$2,"")&amp;IF(N(AD31)&gt;0,", "&amp;A31&amp;"-"&amp;AD$2,"")&amp;IF(N(AE31)&gt;0,", "&amp;A31&amp;"-"&amp;AE$2,"")&amp;IF(N(AF31)&gt;0,", "&amp;A31&amp;"-"&amp;AF$2,"")&amp;IF(N(AG31)&gt;0,", "&amp;A31&amp;"-"&amp;AG$2,"")&amp;IF(N(AH31)&gt;0,", "&amp;A31&amp;"-"&amp;AH$2,"")&amp;IF(N(AI31)&gt;0,", "&amp;A31&amp;"-"&amp;AI$2,"")&amp;IF(N(AJ31)&gt;0,", "&amp;A31&amp;"-"&amp;AJ$2,""),3,999))</f>
        <v/>
      </c>
      <c r="AN31" s="81"/>
      <c r="AO31" s="88"/>
      <c r="AP31" s="89" t="str">
        <f aca="false">IF(AO31="","",ROUND(AO31/(1+Справочники!$B$13),2))</f>
        <v/>
      </c>
      <c r="AQ31" s="90" t="str">
        <f aca="false" t="array" ref="AQ31:AQ31">IF(AP31="","",AP31*INDEX(Справочники!$B$4:$B$7,MATCH("RUB",Справочники!$A$4:$A$7,0)))</f>
        <v/>
      </c>
      <c r="AR31" s="90" t="str">
        <f aca="false">IF(AQ31="","",ROUND(AQ31*(1+Справочники!$B$12),0))</f>
        <v/>
      </c>
      <c r="AS31" s="90" t="str">
        <f aca="false">IF(AR31="","",ROUND(AR31*(1-Справочники!$B$11),0))</f>
        <v/>
      </c>
      <c r="AT31" s="88"/>
      <c r="AU31" s="90" t="str">
        <f aca="false">IF(AT31="","",ROUND(AT31/(1+Справочники!$B$12),0))</f>
        <v/>
      </c>
      <c r="AV31" s="90" t="str">
        <f aca="false">IF(AT31="","",ROUND(AT31*(1-Справочники!$B$15),0))</f>
        <v/>
      </c>
      <c r="AW31" s="90" t="str">
        <f aca="false">IF(AT31="","",ROUND(AT31*(1-Справочники!$B$16),0))</f>
        <v/>
      </c>
      <c r="AX31" s="90" t="str">
        <f aca="false">IF(AT31="","",ROUND(AT31*(1-Справочники!$B$17),0))</f>
        <v/>
      </c>
      <c r="AY31" s="90" t="str">
        <f aca="false">IF(AT31="","",ROUND(AT31*(1-Справочники!$B$18),0))</f>
        <v/>
      </c>
      <c r="AZ31" s="90" t="str">
        <f aca="false">IF(AT31="","",ROUND(AT31*(1-Справочники!$B$19),0))</f>
        <v/>
      </c>
      <c r="BA31" s="81"/>
      <c r="BB31" s="81"/>
      <c r="BC31" s="81"/>
      <c r="BD31" s="81"/>
      <c r="BE31" s="91"/>
      <c r="BF31" s="81" t="s">
        <v>103</v>
      </c>
      <c r="BG31" s="89" t="n">
        <f aca="false" t="array" ref="BG31:BG31">IF(BF31="","",IFERROR(INDEX(Справочники!$B$4:$B$7,MATCH(BF31,Справочники!$A$4:$A$7,0)),""))</f>
        <v>68.5</v>
      </c>
      <c r="BH31" s="90" t="str">
        <f aca="false">IF(N(BN31)&gt;0,ROUND(SUMIF(ЗАКАЗЫ!$F$3:$F$500,$A31,ЗАКАЗЫ!$Y$3:$Y$500)/BN31,0),IF(OR(BE31="",BG31=""),"",ROUND(BE31*BG31*(1+Справочники!$B$10),0)))</f>
        <v/>
      </c>
      <c r="BI31" s="92" t="str">
        <f aca="false">IF(OR(AU31="",BH31="",AU31=0),"",(AU31-BH31)/AU31)</f>
        <v/>
      </c>
      <c r="BJ31" s="81"/>
      <c r="BK31" s="83"/>
      <c r="BL31" s="43" t="str">
        <f aca="false">IFERROR(INDEX(ЗАКАЗЫ!$N$3:$N$500,MATCH($A31,ЗАКАЗЫ!$F$3:$F$500,0)),"")</f>
        <v/>
      </c>
      <c r="BM31" s="8" t="str">
        <f aca="false">IF(BL31="","",IFERROR(VLOOKUP(BL31,'ТН ВЭД'!$A$4:$C$40,3,0),""))</f>
        <v/>
      </c>
      <c r="BN31" s="7" t="str">
        <f aca="false">IF(COUNTIF(ЗАКАЗЫ!$F$3:$F$500,$A31)=0,"",SUMIF(ЗАКАЗЫ!$F$3:$F$500,$A31,ЗАКАЗЫ!$J$3:$J$500))</f>
        <v/>
      </c>
      <c r="BO31" s="7" t="str">
        <f aca="false">IF(BN31="","",SUMIF(ЗАКАЗЫ!$F$3:$F$500,$A31,ЗАКАЗЫ!$AL$3:$AL$500))</f>
        <v/>
      </c>
      <c r="BP31" s="7" t="str">
        <f aca="false">IF(BN31="","",BN31-BO31)</f>
        <v/>
      </c>
      <c r="BQ31" s="55" t="str">
        <f aca="false">IF(BN31="","",IF(BO31&gt;=BN31,"На складе",IF(BO31&gt;0,"Частично","Ждём")))</f>
        <v/>
      </c>
      <c r="BR31" s="43"/>
      <c r="BS31" s="47" t="str">
        <f aca="false">IF(BN31="","",IF(_xlfn.MAXIFS(ЗАКАЗЫ!$AK$3:$AK$500,ЗАКАЗЫ!$F$3:$F$500,$A31)=0,"",_xlfn.MAXIFS(ЗАКАЗЫ!$AK$3:$AK$500,ЗАКАЗЫ!$F$3:$F$500,$A31)))</f>
        <v/>
      </c>
    </row>
    <row r="32" customFormat="false" ht="15.75" hidden="false" customHeight="true" outlineLevel="0" collapsed="false">
      <c r="A32" s="80" t="s">
        <v>1233</v>
      </c>
      <c r="B32" s="81"/>
      <c r="C32" s="81"/>
      <c r="D32" s="81"/>
      <c r="E32" s="83"/>
      <c r="F32" s="81"/>
      <c r="G32" s="83"/>
      <c r="H32" s="83"/>
      <c r="I32" s="84" t="str">
        <f aca="false">IF(E32="","",A32&amp;"_1.jpg")</f>
        <v/>
      </c>
      <c r="J32" s="84" t="str">
        <f aca="false">IF(E32="","",A32&amp;"_2.jpg; "&amp;A32&amp;"_3.jpg")</f>
        <v/>
      </c>
      <c r="K32" s="84" t="str">
        <f aca="false">IF(E32="","",A32&amp;"_schema.jpg")</f>
        <v/>
      </c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 t="s">
        <v>96</v>
      </c>
      <c r="W32" s="81"/>
      <c r="X32" s="81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6" t="str">
        <f aca="false">IF(SUM(Y32:AJ32)=0,"",SUM(Y32:AJ32))</f>
        <v/>
      </c>
      <c r="AL32" s="84" t="str">
        <f aca="false">MID(IF(N(Y32)&gt;0,", "&amp;Y$2,"")&amp;IF(N(Z32)&gt;0,", "&amp;Z$2,"")&amp;IF(N(AA32)&gt;0,", "&amp;AA$2,"")&amp;IF(N(AB32)&gt;0,", "&amp;AB$2,"")&amp;IF(N(AC32)&gt;0,", "&amp;AC$2,"")&amp;IF(N(AD32)&gt;0,", "&amp;AD$2,"")&amp;IF(N(AE32)&gt;0,", "&amp;AE$2,"")&amp;IF(N(AF32)&gt;0,", "&amp;AF$2,"")&amp;IF(N(AG32)&gt;0,", "&amp;AG$2,"")&amp;IF(N(AH32)&gt;0,", "&amp;AH$2,"")&amp;IF(N(AI32)&gt;0,", "&amp;AI$2,"")&amp;IF(N(AJ32)&gt;0,", "&amp;AJ$2,""),3,999)</f>
        <v/>
      </c>
      <c r="AM32" s="87" t="str">
        <f aca="false">IF(E32="","",MID(IF(N(Y32)&gt;0,", "&amp;A32&amp;"-"&amp;Y$2,"")&amp;IF(N(Z32)&gt;0,", "&amp;A32&amp;"-"&amp;Z$2,"")&amp;IF(N(AA32)&gt;0,", "&amp;A32&amp;"-"&amp;AA$2,"")&amp;IF(N(AB32)&gt;0,", "&amp;A32&amp;"-"&amp;AB$2,"")&amp;IF(N(AC32)&gt;0,", "&amp;A32&amp;"-"&amp;AC$2,"")&amp;IF(N(AD32)&gt;0,", "&amp;A32&amp;"-"&amp;AD$2,"")&amp;IF(N(AE32)&gt;0,", "&amp;A32&amp;"-"&amp;AE$2,"")&amp;IF(N(AF32)&gt;0,", "&amp;A32&amp;"-"&amp;AF$2,"")&amp;IF(N(AG32)&gt;0,", "&amp;A32&amp;"-"&amp;AG$2,"")&amp;IF(N(AH32)&gt;0,", "&amp;A32&amp;"-"&amp;AH$2,"")&amp;IF(N(AI32)&gt;0,", "&amp;A32&amp;"-"&amp;AI$2,"")&amp;IF(N(AJ32)&gt;0,", "&amp;A32&amp;"-"&amp;AJ$2,""),3,999))</f>
        <v/>
      </c>
      <c r="AN32" s="81"/>
      <c r="AO32" s="88"/>
      <c r="AP32" s="89" t="str">
        <f aca="false">IF(AO32="","",ROUND(AO32/(1+Справочники!$B$13),2))</f>
        <v/>
      </c>
      <c r="AQ32" s="90" t="str">
        <f aca="false" t="array" ref="AQ32:AQ32">IF(AP32="","",AP32*INDEX(Справочники!$B$4:$B$7,MATCH("RUB",Справочники!$A$4:$A$7,0)))</f>
        <v/>
      </c>
      <c r="AR32" s="90" t="str">
        <f aca="false">IF(AQ32="","",ROUND(AQ32*(1+Справочники!$B$12),0))</f>
        <v/>
      </c>
      <c r="AS32" s="90" t="str">
        <f aca="false">IF(AR32="","",ROUND(AR32*(1-Справочники!$B$11),0))</f>
        <v/>
      </c>
      <c r="AT32" s="88"/>
      <c r="AU32" s="90" t="str">
        <f aca="false">IF(AT32="","",ROUND(AT32/(1+Справочники!$B$12),0))</f>
        <v/>
      </c>
      <c r="AV32" s="90" t="str">
        <f aca="false">IF(AT32="","",ROUND(AT32*(1-Справочники!$B$15),0))</f>
        <v/>
      </c>
      <c r="AW32" s="90" t="str">
        <f aca="false">IF(AT32="","",ROUND(AT32*(1-Справочники!$B$16),0))</f>
        <v/>
      </c>
      <c r="AX32" s="90" t="str">
        <f aca="false">IF(AT32="","",ROUND(AT32*(1-Справочники!$B$17),0))</f>
        <v/>
      </c>
      <c r="AY32" s="90" t="str">
        <f aca="false">IF(AT32="","",ROUND(AT32*(1-Справочники!$B$18),0))</f>
        <v/>
      </c>
      <c r="AZ32" s="90" t="str">
        <f aca="false">IF(AT32="","",ROUND(AT32*(1-Справочники!$B$19),0))</f>
        <v/>
      </c>
      <c r="BA32" s="81"/>
      <c r="BB32" s="81"/>
      <c r="BC32" s="81"/>
      <c r="BD32" s="81"/>
      <c r="BE32" s="91"/>
      <c r="BF32" s="81" t="s">
        <v>103</v>
      </c>
      <c r="BG32" s="89" t="n">
        <f aca="false" t="array" ref="BG32:BG32">IF(BF32="","",IFERROR(INDEX(Справочники!$B$4:$B$7,MATCH(BF32,Справочники!$A$4:$A$7,0)),""))</f>
        <v>68.5</v>
      </c>
      <c r="BH32" s="90" t="str">
        <f aca="false">IF(N(BN32)&gt;0,ROUND(SUMIF(ЗАКАЗЫ!$F$3:$F$500,$A32,ЗАКАЗЫ!$Y$3:$Y$500)/BN32,0),IF(OR(BE32="",BG32=""),"",ROUND(BE32*BG32*(1+Справочники!$B$10),0)))</f>
        <v/>
      </c>
      <c r="BI32" s="92" t="str">
        <f aca="false">IF(OR(AU32="",BH32="",AU32=0),"",(AU32-BH32)/AU32)</f>
        <v/>
      </c>
      <c r="BJ32" s="81"/>
      <c r="BK32" s="83"/>
      <c r="BL32" s="43" t="str">
        <f aca="false">IFERROR(INDEX(ЗАКАЗЫ!$N$3:$N$500,MATCH($A32,ЗАКАЗЫ!$F$3:$F$500,0)),"")</f>
        <v/>
      </c>
      <c r="BM32" s="8" t="str">
        <f aca="false">IF(BL32="","",IFERROR(VLOOKUP(BL32,'ТН ВЭД'!$A$4:$C$40,3,0),""))</f>
        <v/>
      </c>
      <c r="BN32" s="7" t="str">
        <f aca="false">IF(COUNTIF(ЗАКАЗЫ!$F$3:$F$500,$A32)=0,"",SUMIF(ЗАКАЗЫ!$F$3:$F$500,$A32,ЗАКАЗЫ!$J$3:$J$500))</f>
        <v/>
      </c>
      <c r="BO32" s="7" t="str">
        <f aca="false">IF(BN32="","",SUMIF(ЗАКАЗЫ!$F$3:$F$500,$A32,ЗАКАЗЫ!$AL$3:$AL$500))</f>
        <v/>
      </c>
      <c r="BP32" s="7" t="str">
        <f aca="false">IF(BN32="","",BN32-BO32)</f>
        <v/>
      </c>
      <c r="BQ32" s="55" t="str">
        <f aca="false">IF(BN32="","",IF(BO32&gt;=BN32,"На складе",IF(BO32&gt;0,"Частично","Ждём")))</f>
        <v/>
      </c>
      <c r="BR32" s="43"/>
      <c r="BS32" s="47" t="str">
        <f aca="false">IF(BN32="","",IF(_xlfn.MAXIFS(ЗАКАЗЫ!$AK$3:$AK$500,ЗАКАЗЫ!$F$3:$F$500,$A32)=0,"",_xlfn.MAXIFS(ЗАКАЗЫ!$AK$3:$AK$500,ЗАКАЗЫ!$F$3:$F$500,$A32)))</f>
        <v/>
      </c>
    </row>
    <row r="33" customFormat="false" ht="15.75" hidden="false" customHeight="true" outlineLevel="0" collapsed="false">
      <c r="A33" s="80" t="s">
        <v>1234</v>
      </c>
      <c r="B33" s="81"/>
      <c r="C33" s="81"/>
      <c r="D33" s="81"/>
      <c r="E33" s="83"/>
      <c r="F33" s="81"/>
      <c r="G33" s="83"/>
      <c r="H33" s="83"/>
      <c r="I33" s="84" t="str">
        <f aca="false">IF(E33="","",A33&amp;"_1.jpg")</f>
        <v/>
      </c>
      <c r="J33" s="84" t="str">
        <f aca="false">IF(E33="","",A33&amp;"_2.jpg; "&amp;A33&amp;"_3.jpg")</f>
        <v/>
      </c>
      <c r="K33" s="84" t="str">
        <f aca="false">IF(E33="","",A33&amp;"_schema.jpg")</f>
        <v/>
      </c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 t="s">
        <v>96</v>
      </c>
      <c r="W33" s="81"/>
      <c r="X33" s="81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6" t="str">
        <f aca="false">IF(SUM(Y33:AJ33)=0,"",SUM(Y33:AJ33))</f>
        <v/>
      </c>
      <c r="AL33" s="84" t="str">
        <f aca="false">MID(IF(N(Y33)&gt;0,", "&amp;Y$2,"")&amp;IF(N(Z33)&gt;0,", "&amp;Z$2,"")&amp;IF(N(AA33)&gt;0,", "&amp;AA$2,"")&amp;IF(N(AB33)&gt;0,", "&amp;AB$2,"")&amp;IF(N(AC33)&gt;0,", "&amp;AC$2,"")&amp;IF(N(AD33)&gt;0,", "&amp;AD$2,"")&amp;IF(N(AE33)&gt;0,", "&amp;AE$2,"")&amp;IF(N(AF33)&gt;0,", "&amp;AF$2,"")&amp;IF(N(AG33)&gt;0,", "&amp;AG$2,"")&amp;IF(N(AH33)&gt;0,", "&amp;AH$2,"")&amp;IF(N(AI33)&gt;0,", "&amp;AI$2,"")&amp;IF(N(AJ33)&gt;0,", "&amp;AJ$2,""),3,999)</f>
        <v/>
      </c>
      <c r="AM33" s="87" t="str">
        <f aca="false">IF(E33="","",MID(IF(N(Y33)&gt;0,", "&amp;A33&amp;"-"&amp;Y$2,"")&amp;IF(N(Z33)&gt;0,", "&amp;A33&amp;"-"&amp;Z$2,"")&amp;IF(N(AA33)&gt;0,", "&amp;A33&amp;"-"&amp;AA$2,"")&amp;IF(N(AB33)&gt;0,", "&amp;A33&amp;"-"&amp;AB$2,"")&amp;IF(N(AC33)&gt;0,", "&amp;A33&amp;"-"&amp;AC$2,"")&amp;IF(N(AD33)&gt;0,", "&amp;A33&amp;"-"&amp;AD$2,"")&amp;IF(N(AE33)&gt;0,", "&amp;A33&amp;"-"&amp;AE$2,"")&amp;IF(N(AF33)&gt;0,", "&amp;A33&amp;"-"&amp;AF$2,"")&amp;IF(N(AG33)&gt;0,", "&amp;A33&amp;"-"&amp;AG$2,"")&amp;IF(N(AH33)&gt;0,", "&amp;A33&amp;"-"&amp;AH$2,"")&amp;IF(N(AI33)&gt;0,", "&amp;A33&amp;"-"&amp;AI$2,"")&amp;IF(N(AJ33)&gt;0,", "&amp;A33&amp;"-"&amp;AJ$2,""),3,999))</f>
        <v/>
      </c>
      <c r="AN33" s="81"/>
      <c r="AO33" s="88"/>
      <c r="AP33" s="89" t="str">
        <f aca="false">IF(AO33="","",ROUND(AO33/(1+Справочники!$B$13),2))</f>
        <v/>
      </c>
      <c r="AQ33" s="90" t="str">
        <f aca="false" t="array" ref="AQ33:AQ33">IF(AP33="","",AP33*INDEX(Справочники!$B$4:$B$7,MATCH("RUB",Справочники!$A$4:$A$7,0)))</f>
        <v/>
      </c>
      <c r="AR33" s="90" t="str">
        <f aca="false">IF(AQ33="","",ROUND(AQ33*(1+Справочники!$B$12),0))</f>
        <v/>
      </c>
      <c r="AS33" s="90" t="str">
        <f aca="false">IF(AR33="","",ROUND(AR33*(1-Справочники!$B$11),0))</f>
        <v/>
      </c>
      <c r="AT33" s="88"/>
      <c r="AU33" s="90" t="str">
        <f aca="false">IF(AT33="","",ROUND(AT33/(1+Справочники!$B$12),0))</f>
        <v/>
      </c>
      <c r="AV33" s="90" t="str">
        <f aca="false">IF(AT33="","",ROUND(AT33*(1-Справочники!$B$15),0))</f>
        <v/>
      </c>
      <c r="AW33" s="90" t="str">
        <f aca="false">IF(AT33="","",ROUND(AT33*(1-Справочники!$B$16),0))</f>
        <v/>
      </c>
      <c r="AX33" s="90" t="str">
        <f aca="false">IF(AT33="","",ROUND(AT33*(1-Справочники!$B$17),0))</f>
        <v/>
      </c>
      <c r="AY33" s="90" t="str">
        <f aca="false">IF(AT33="","",ROUND(AT33*(1-Справочники!$B$18),0))</f>
        <v/>
      </c>
      <c r="AZ33" s="90" t="str">
        <f aca="false">IF(AT33="","",ROUND(AT33*(1-Справочники!$B$19),0))</f>
        <v/>
      </c>
      <c r="BA33" s="81"/>
      <c r="BB33" s="81"/>
      <c r="BC33" s="81"/>
      <c r="BD33" s="81"/>
      <c r="BE33" s="91"/>
      <c r="BF33" s="81" t="s">
        <v>103</v>
      </c>
      <c r="BG33" s="89" t="n">
        <f aca="false" t="array" ref="BG33:BG33">IF(BF33="","",IFERROR(INDEX(Справочники!$B$4:$B$7,MATCH(BF33,Справочники!$A$4:$A$7,0)),""))</f>
        <v>68.5</v>
      </c>
      <c r="BH33" s="90" t="str">
        <f aca="false">IF(N(BN33)&gt;0,ROUND(SUMIF(ЗАКАЗЫ!$F$3:$F$500,$A33,ЗАКАЗЫ!$Y$3:$Y$500)/BN33,0),IF(OR(BE33="",BG33=""),"",ROUND(BE33*BG33*(1+Справочники!$B$10),0)))</f>
        <v/>
      </c>
      <c r="BI33" s="92" t="str">
        <f aca="false">IF(OR(AU33="",BH33="",AU33=0),"",(AU33-BH33)/AU33)</f>
        <v/>
      </c>
      <c r="BJ33" s="81"/>
      <c r="BK33" s="83"/>
      <c r="BL33" s="43" t="str">
        <f aca="false">IFERROR(INDEX(ЗАКАЗЫ!$N$3:$N$500,MATCH($A33,ЗАКАЗЫ!$F$3:$F$500,0)),"")</f>
        <v/>
      </c>
      <c r="BM33" s="8" t="str">
        <f aca="false">IF(BL33="","",IFERROR(VLOOKUP(BL33,'ТН ВЭД'!$A$4:$C$40,3,0),""))</f>
        <v/>
      </c>
      <c r="BN33" s="7" t="str">
        <f aca="false">IF(COUNTIF(ЗАКАЗЫ!$F$3:$F$500,$A33)=0,"",SUMIF(ЗАКАЗЫ!$F$3:$F$500,$A33,ЗАКАЗЫ!$J$3:$J$500))</f>
        <v/>
      </c>
      <c r="BO33" s="7" t="str">
        <f aca="false">IF(BN33="","",SUMIF(ЗАКАЗЫ!$F$3:$F$500,$A33,ЗАКАЗЫ!$AL$3:$AL$500))</f>
        <v/>
      </c>
      <c r="BP33" s="7" t="str">
        <f aca="false">IF(BN33="","",BN33-BO33)</f>
        <v/>
      </c>
      <c r="BQ33" s="55" t="str">
        <f aca="false">IF(BN33="","",IF(BO33&gt;=BN33,"На складе",IF(BO33&gt;0,"Частично","Ждём")))</f>
        <v/>
      </c>
      <c r="BR33" s="43"/>
      <c r="BS33" s="47" t="str">
        <f aca="false">IF(BN33="","",IF(_xlfn.MAXIFS(ЗАКАЗЫ!$AK$3:$AK$500,ЗАКАЗЫ!$F$3:$F$500,$A33)=0,"",_xlfn.MAXIFS(ЗАКАЗЫ!$AK$3:$AK$500,ЗАКАЗЫ!$F$3:$F$500,$A33)))</f>
        <v/>
      </c>
    </row>
    <row r="34" customFormat="false" ht="15.75" hidden="false" customHeight="true" outlineLevel="0" collapsed="false">
      <c r="A34" s="80" t="s">
        <v>1235</v>
      </c>
      <c r="B34" s="81"/>
      <c r="C34" s="81"/>
      <c r="D34" s="81"/>
      <c r="E34" s="83"/>
      <c r="F34" s="81"/>
      <c r="G34" s="83"/>
      <c r="H34" s="83"/>
      <c r="I34" s="84" t="str">
        <f aca="false">IF(E34="","",A34&amp;"_1.jpg")</f>
        <v/>
      </c>
      <c r="J34" s="84" t="str">
        <f aca="false">IF(E34="","",A34&amp;"_2.jpg; "&amp;A34&amp;"_3.jpg")</f>
        <v/>
      </c>
      <c r="K34" s="84" t="str">
        <f aca="false">IF(E34="","",A34&amp;"_schema.jpg")</f>
        <v/>
      </c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 t="s">
        <v>96</v>
      </c>
      <c r="W34" s="81"/>
      <c r="X34" s="81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6" t="str">
        <f aca="false">IF(SUM(Y34:AJ34)=0,"",SUM(Y34:AJ34))</f>
        <v/>
      </c>
      <c r="AL34" s="84" t="str">
        <f aca="false">MID(IF(N(Y34)&gt;0,", "&amp;Y$2,"")&amp;IF(N(Z34)&gt;0,", "&amp;Z$2,"")&amp;IF(N(AA34)&gt;0,", "&amp;AA$2,"")&amp;IF(N(AB34)&gt;0,", "&amp;AB$2,"")&amp;IF(N(AC34)&gt;0,", "&amp;AC$2,"")&amp;IF(N(AD34)&gt;0,", "&amp;AD$2,"")&amp;IF(N(AE34)&gt;0,", "&amp;AE$2,"")&amp;IF(N(AF34)&gt;0,", "&amp;AF$2,"")&amp;IF(N(AG34)&gt;0,", "&amp;AG$2,"")&amp;IF(N(AH34)&gt;0,", "&amp;AH$2,"")&amp;IF(N(AI34)&gt;0,", "&amp;AI$2,"")&amp;IF(N(AJ34)&gt;0,", "&amp;AJ$2,""),3,999)</f>
        <v/>
      </c>
      <c r="AM34" s="87" t="str">
        <f aca="false">IF(E34="","",MID(IF(N(Y34)&gt;0,", "&amp;A34&amp;"-"&amp;Y$2,"")&amp;IF(N(Z34)&gt;0,", "&amp;A34&amp;"-"&amp;Z$2,"")&amp;IF(N(AA34)&gt;0,", "&amp;A34&amp;"-"&amp;AA$2,"")&amp;IF(N(AB34)&gt;0,", "&amp;A34&amp;"-"&amp;AB$2,"")&amp;IF(N(AC34)&gt;0,", "&amp;A34&amp;"-"&amp;AC$2,"")&amp;IF(N(AD34)&gt;0,", "&amp;A34&amp;"-"&amp;AD$2,"")&amp;IF(N(AE34)&gt;0,", "&amp;A34&amp;"-"&amp;AE$2,"")&amp;IF(N(AF34)&gt;0,", "&amp;A34&amp;"-"&amp;AF$2,"")&amp;IF(N(AG34)&gt;0,", "&amp;A34&amp;"-"&amp;AG$2,"")&amp;IF(N(AH34)&gt;0,", "&amp;A34&amp;"-"&amp;AH$2,"")&amp;IF(N(AI34)&gt;0,", "&amp;A34&amp;"-"&amp;AI$2,"")&amp;IF(N(AJ34)&gt;0,", "&amp;A34&amp;"-"&amp;AJ$2,""),3,999))</f>
        <v/>
      </c>
      <c r="AN34" s="81"/>
      <c r="AO34" s="88"/>
      <c r="AP34" s="89" t="str">
        <f aca="false">IF(AO34="","",ROUND(AO34/(1+Справочники!$B$13),2))</f>
        <v/>
      </c>
      <c r="AQ34" s="90" t="str">
        <f aca="false" t="array" ref="AQ34:AQ34">IF(AP34="","",AP34*INDEX(Справочники!$B$4:$B$7,MATCH("RUB",Справочники!$A$4:$A$7,0)))</f>
        <v/>
      </c>
      <c r="AR34" s="90" t="str">
        <f aca="false">IF(AQ34="","",ROUND(AQ34*(1+Справочники!$B$12),0))</f>
        <v/>
      </c>
      <c r="AS34" s="90" t="str">
        <f aca="false">IF(AR34="","",ROUND(AR34*(1-Справочники!$B$11),0))</f>
        <v/>
      </c>
      <c r="AT34" s="88"/>
      <c r="AU34" s="90" t="str">
        <f aca="false">IF(AT34="","",ROUND(AT34/(1+Справочники!$B$12),0))</f>
        <v/>
      </c>
      <c r="AV34" s="90" t="str">
        <f aca="false">IF(AT34="","",ROUND(AT34*(1-Справочники!$B$15),0))</f>
        <v/>
      </c>
      <c r="AW34" s="90" t="str">
        <f aca="false">IF(AT34="","",ROUND(AT34*(1-Справочники!$B$16),0))</f>
        <v/>
      </c>
      <c r="AX34" s="90" t="str">
        <f aca="false">IF(AT34="","",ROUND(AT34*(1-Справочники!$B$17),0))</f>
        <v/>
      </c>
      <c r="AY34" s="90" t="str">
        <f aca="false">IF(AT34="","",ROUND(AT34*(1-Справочники!$B$18),0))</f>
        <v/>
      </c>
      <c r="AZ34" s="90" t="str">
        <f aca="false">IF(AT34="","",ROUND(AT34*(1-Справочники!$B$19),0))</f>
        <v/>
      </c>
      <c r="BA34" s="81"/>
      <c r="BB34" s="81"/>
      <c r="BC34" s="81"/>
      <c r="BD34" s="81"/>
      <c r="BE34" s="91"/>
      <c r="BF34" s="81" t="s">
        <v>103</v>
      </c>
      <c r="BG34" s="89" t="n">
        <f aca="false" t="array" ref="BG34:BG34">IF(BF34="","",IFERROR(INDEX(Справочники!$B$4:$B$7,MATCH(BF34,Справочники!$A$4:$A$7,0)),""))</f>
        <v>68.5</v>
      </c>
      <c r="BH34" s="90" t="str">
        <f aca="false">IF(N(BN34)&gt;0,ROUND(SUMIF(ЗАКАЗЫ!$F$3:$F$500,$A34,ЗАКАЗЫ!$Y$3:$Y$500)/BN34,0),IF(OR(BE34="",BG34=""),"",ROUND(BE34*BG34*(1+Справочники!$B$10),0)))</f>
        <v/>
      </c>
      <c r="BI34" s="92" t="str">
        <f aca="false">IF(OR(AU34="",BH34="",AU34=0),"",(AU34-BH34)/AU34)</f>
        <v/>
      </c>
      <c r="BJ34" s="81"/>
      <c r="BK34" s="83"/>
      <c r="BL34" s="43" t="str">
        <f aca="false">IFERROR(INDEX(ЗАКАЗЫ!$N$3:$N$500,MATCH($A34,ЗАКАЗЫ!$F$3:$F$500,0)),"")</f>
        <v/>
      </c>
      <c r="BM34" s="8" t="str">
        <f aca="false">IF(BL34="","",IFERROR(VLOOKUP(BL34,'ТН ВЭД'!$A$4:$C$40,3,0),""))</f>
        <v/>
      </c>
      <c r="BN34" s="7" t="str">
        <f aca="false">IF(COUNTIF(ЗАКАЗЫ!$F$3:$F$500,$A34)=0,"",SUMIF(ЗАКАЗЫ!$F$3:$F$500,$A34,ЗАКАЗЫ!$J$3:$J$500))</f>
        <v/>
      </c>
      <c r="BO34" s="7" t="str">
        <f aca="false">IF(BN34="","",SUMIF(ЗАКАЗЫ!$F$3:$F$500,$A34,ЗАКАЗЫ!$AL$3:$AL$500))</f>
        <v/>
      </c>
      <c r="BP34" s="7" t="str">
        <f aca="false">IF(BN34="","",BN34-BO34)</f>
        <v/>
      </c>
      <c r="BQ34" s="55" t="str">
        <f aca="false">IF(BN34="","",IF(BO34&gt;=BN34,"На складе",IF(BO34&gt;0,"Частично","Ждём")))</f>
        <v/>
      </c>
      <c r="BR34" s="43"/>
      <c r="BS34" s="47" t="str">
        <f aca="false">IF(BN34="","",IF(_xlfn.MAXIFS(ЗАКАЗЫ!$AK$3:$AK$500,ЗАКАЗЫ!$F$3:$F$500,$A34)=0,"",_xlfn.MAXIFS(ЗАКАЗЫ!$AK$3:$AK$500,ЗАКАЗЫ!$F$3:$F$500,$A34)))</f>
        <v/>
      </c>
    </row>
    <row r="35" customFormat="false" ht="15.75" hidden="false" customHeight="true" outlineLevel="0" collapsed="false">
      <c r="A35" s="80" t="s">
        <v>1236</v>
      </c>
      <c r="B35" s="81"/>
      <c r="C35" s="81"/>
      <c r="D35" s="81"/>
      <c r="E35" s="83"/>
      <c r="F35" s="81"/>
      <c r="G35" s="83"/>
      <c r="H35" s="83"/>
      <c r="I35" s="84" t="str">
        <f aca="false">IF(E35="","",A35&amp;"_1.jpg")</f>
        <v/>
      </c>
      <c r="J35" s="84" t="str">
        <f aca="false">IF(E35="","",A35&amp;"_2.jpg; "&amp;A35&amp;"_3.jpg")</f>
        <v/>
      </c>
      <c r="K35" s="84" t="str">
        <f aca="false">IF(E35="","",A35&amp;"_schema.jpg")</f>
        <v/>
      </c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 t="s">
        <v>96</v>
      </c>
      <c r="W35" s="81"/>
      <c r="X35" s="81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6" t="str">
        <f aca="false">IF(SUM(Y35:AJ35)=0,"",SUM(Y35:AJ35))</f>
        <v/>
      </c>
      <c r="AL35" s="84" t="str">
        <f aca="false">MID(IF(N(Y35)&gt;0,", "&amp;Y$2,"")&amp;IF(N(Z35)&gt;0,", "&amp;Z$2,"")&amp;IF(N(AA35)&gt;0,", "&amp;AA$2,"")&amp;IF(N(AB35)&gt;0,", "&amp;AB$2,"")&amp;IF(N(AC35)&gt;0,", "&amp;AC$2,"")&amp;IF(N(AD35)&gt;0,", "&amp;AD$2,"")&amp;IF(N(AE35)&gt;0,", "&amp;AE$2,"")&amp;IF(N(AF35)&gt;0,", "&amp;AF$2,"")&amp;IF(N(AG35)&gt;0,", "&amp;AG$2,"")&amp;IF(N(AH35)&gt;0,", "&amp;AH$2,"")&amp;IF(N(AI35)&gt;0,", "&amp;AI$2,"")&amp;IF(N(AJ35)&gt;0,", "&amp;AJ$2,""),3,999)</f>
        <v/>
      </c>
      <c r="AM35" s="87" t="str">
        <f aca="false">IF(E35="","",MID(IF(N(Y35)&gt;0,", "&amp;A35&amp;"-"&amp;Y$2,"")&amp;IF(N(Z35)&gt;0,", "&amp;A35&amp;"-"&amp;Z$2,"")&amp;IF(N(AA35)&gt;0,", "&amp;A35&amp;"-"&amp;AA$2,"")&amp;IF(N(AB35)&gt;0,", "&amp;A35&amp;"-"&amp;AB$2,"")&amp;IF(N(AC35)&gt;0,", "&amp;A35&amp;"-"&amp;AC$2,"")&amp;IF(N(AD35)&gt;0,", "&amp;A35&amp;"-"&amp;AD$2,"")&amp;IF(N(AE35)&gt;0,", "&amp;A35&amp;"-"&amp;AE$2,"")&amp;IF(N(AF35)&gt;0,", "&amp;A35&amp;"-"&amp;AF$2,"")&amp;IF(N(AG35)&gt;0,", "&amp;A35&amp;"-"&amp;AG$2,"")&amp;IF(N(AH35)&gt;0,", "&amp;A35&amp;"-"&amp;AH$2,"")&amp;IF(N(AI35)&gt;0,", "&amp;A35&amp;"-"&amp;AI$2,"")&amp;IF(N(AJ35)&gt;0,", "&amp;A35&amp;"-"&amp;AJ$2,""),3,999))</f>
        <v/>
      </c>
      <c r="AN35" s="81"/>
      <c r="AO35" s="88"/>
      <c r="AP35" s="89" t="str">
        <f aca="false">IF(AO35="","",ROUND(AO35/(1+Справочники!$B$13),2))</f>
        <v/>
      </c>
      <c r="AQ35" s="90" t="str">
        <f aca="false" t="array" ref="AQ35:AQ35">IF(AP35="","",AP35*INDEX(Справочники!$B$4:$B$7,MATCH("RUB",Справочники!$A$4:$A$7,0)))</f>
        <v/>
      </c>
      <c r="AR35" s="90" t="str">
        <f aca="false">IF(AQ35="","",ROUND(AQ35*(1+Справочники!$B$12),0))</f>
        <v/>
      </c>
      <c r="AS35" s="90" t="str">
        <f aca="false">IF(AR35="","",ROUND(AR35*(1-Справочники!$B$11),0))</f>
        <v/>
      </c>
      <c r="AT35" s="88"/>
      <c r="AU35" s="90" t="str">
        <f aca="false">IF(AT35="","",ROUND(AT35/(1+Справочники!$B$12),0))</f>
        <v/>
      </c>
      <c r="AV35" s="90" t="str">
        <f aca="false">IF(AT35="","",ROUND(AT35*(1-Справочники!$B$15),0))</f>
        <v/>
      </c>
      <c r="AW35" s="90" t="str">
        <f aca="false">IF(AT35="","",ROUND(AT35*(1-Справочники!$B$16),0))</f>
        <v/>
      </c>
      <c r="AX35" s="90" t="str">
        <f aca="false">IF(AT35="","",ROUND(AT35*(1-Справочники!$B$17),0))</f>
        <v/>
      </c>
      <c r="AY35" s="90" t="str">
        <f aca="false">IF(AT35="","",ROUND(AT35*(1-Справочники!$B$18),0))</f>
        <v/>
      </c>
      <c r="AZ35" s="90" t="str">
        <f aca="false">IF(AT35="","",ROUND(AT35*(1-Справочники!$B$19),0))</f>
        <v/>
      </c>
      <c r="BA35" s="81"/>
      <c r="BB35" s="81"/>
      <c r="BC35" s="81"/>
      <c r="BD35" s="81"/>
      <c r="BE35" s="91"/>
      <c r="BF35" s="81" t="s">
        <v>103</v>
      </c>
      <c r="BG35" s="89" t="n">
        <f aca="false" t="array" ref="BG35:BG35">IF(BF35="","",IFERROR(INDEX(Справочники!$B$4:$B$7,MATCH(BF35,Справочники!$A$4:$A$7,0)),""))</f>
        <v>68.5</v>
      </c>
      <c r="BH35" s="90" t="str">
        <f aca="false">IF(N(BN35)&gt;0,ROUND(SUMIF(ЗАКАЗЫ!$F$3:$F$500,$A35,ЗАКАЗЫ!$Y$3:$Y$500)/BN35,0),IF(OR(BE35="",BG35=""),"",ROUND(BE35*BG35*(1+Справочники!$B$10),0)))</f>
        <v/>
      </c>
      <c r="BI35" s="92" t="str">
        <f aca="false">IF(OR(AU35="",BH35="",AU35=0),"",(AU35-BH35)/AU35)</f>
        <v/>
      </c>
      <c r="BJ35" s="81"/>
      <c r="BK35" s="83"/>
      <c r="BL35" s="43" t="str">
        <f aca="false">IFERROR(INDEX(ЗАКАЗЫ!$N$3:$N$500,MATCH($A35,ЗАКАЗЫ!$F$3:$F$500,0)),"")</f>
        <v/>
      </c>
      <c r="BM35" s="8" t="str">
        <f aca="false">IF(BL35="","",IFERROR(VLOOKUP(BL35,'ТН ВЭД'!$A$4:$C$40,3,0),""))</f>
        <v/>
      </c>
      <c r="BN35" s="7" t="str">
        <f aca="false">IF(COUNTIF(ЗАКАЗЫ!$F$3:$F$500,$A35)=0,"",SUMIF(ЗАКАЗЫ!$F$3:$F$500,$A35,ЗАКАЗЫ!$J$3:$J$500))</f>
        <v/>
      </c>
      <c r="BO35" s="7" t="str">
        <f aca="false">IF(BN35="","",SUMIF(ЗАКАЗЫ!$F$3:$F$500,$A35,ЗАКАЗЫ!$AL$3:$AL$500))</f>
        <v/>
      </c>
      <c r="BP35" s="7" t="str">
        <f aca="false">IF(BN35="","",BN35-BO35)</f>
        <v/>
      </c>
      <c r="BQ35" s="55" t="str">
        <f aca="false">IF(BN35="","",IF(BO35&gt;=BN35,"На складе",IF(BO35&gt;0,"Частично","Ждём")))</f>
        <v/>
      </c>
      <c r="BR35" s="43"/>
      <c r="BS35" s="47" t="str">
        <f aca="false">IF(BN35="","",IF(_xlfn.MAXIFS(ЗАКАЗЫ!$AK$3:$AK$500,ЗАКАЗЫ!$F$3:$F$500,$A35)=0,"",_xlfn.MAXIFS(ЗАКАЗЫ!$AK$3:$AK$500,ЗАКАЗЫ!$F$3:$F$500,$A35)))</f>
        <v/>
      </c>
    </row>
    <row r="36" customFormat="false" ht="15.75" hidden="false" customHeight="true" outlineLevel="0" collapsed="false">
      <c r="A36" s="80" t="s">
        <v>1237</v>
      </c>
      <c r="B36" s="81"/>
      <c r="C36" s="81"/>
      <c r="D36" s="81"/>
      <c r="E36" s="83"/>
      <c r="F36" s="81"/>
      <c r="G36" s="83"/>
      <c r="H36" s="83"/>
      <c r="I36" s="84" t="str">
        <f aca="false">IF(E36="","",A36&amp;"_1.jpg")</f>
        <v/>
      </c>
      <c r="J36" s="84" t="str">
        <f aca="false">IF(E36="","",A36&amp;"_2.jpg; "&amp;A36&amp;"_3.jpg")</f>
        <v/>
      </c>
      <c r="K36" s="84" t="str">
        <f aca="false">IF(E36="","",A36&amp;"_schema.jpg")</f>
        <v/>
      </c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 t="s">
        <v>96</v>
      </c>
      <c r="W36" s="81"/>
      <c r="X36" s="81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6" t="str">
        <f aca="false">IF(SUM(Y36:AJ36)=0,"",SUM(Y36:AJ36))</f>
        <v/>
      </c>
      <c r="AL36" s="84" t="str">
        <f aca="false">MID(IF(N(Y36)&gt;0,", "&amp;Y$2,"")&amp;IF(N(Z36)&gt;0,", "&amp;Z$2,"")&amp;IF(N(AA36)&gt;0,", "&amp;AA$2,"")&amp;IF(N(AB36)&gt;0,", "&amp;AB$2,"")&amp;IF(N(AC36)&gt;0,", "&amp;AC$2,"")&amp;IF(N(AD36)&gt;0,", "&amp;AD$2,"")&amp;IF(N(AE36)&gt;0,", "&amp;AE$2,"")&amp;IF(N(AF36)&gt;0,", "&amp;AF$2,"")&amp;IF(N(AG36)&gt;0,", "&amp;AG$2,"")&amp;IF(N(AH36)&gt;0,", "&amp;AH$2,"")&amp;IF(N(AI36)&gt;0,", "&amp;AI$2,"")&amp;IF(N(AJ36)&gt;0,", "&amp;AJ$2,""),3,999)</f>
        <v/>
      </c>
      <c r="AM36" s="87" t="str">
        <f aca="false">IF(E36="","",MID(IF(N(Y36)&gt;0,", "&amp;A36&amp;"-"&amp;Y$2,"")&amp;IF(N(Z36)&gt;0,", "&amp;A36&amp;"-"&amp;Z$2,"")&amp;IF(N(AA36)&gt;0,", "&amp;A36&amp;"-"&amp;AA$2,"")&amp;IF(N(AB36)&gt;0,", "&amp;A36&amp;"-"&amp;AB$2,"")&amp;IF(N(AC36)&gt;0,", "&amp;A36&amp;"-"&amp;AC$2,"")&amp;IF(N(AD36)&gt;0,", "&amp;A36&amp;"-"&amp;AD$2,"")&amp;IF(N(AE36)&gt;0,", "&amp;A36&amp;"-"&amp;AE$2,"")&amp;IF(N(AF36)&gt;0,", "&amp;A36&amp;"-"&amp;AF$2,"")&amp;IF(N(AG36)&gt;0,", "&amp;A36&amp;"-"&amp;AG$2,"")&amp;IF(N(AH36)&gt;0,", "&amp;A36&amp;"-"&amp;AH$2,"")&amp;IF(N(AI36)&gt;0,", "&amp;A36&amp;"-"&amp;AI$2,"")&amp;IF(N(AJ36)&gt;0,", "&amp;A36&amp;"-"&amp;AJ$2,""),3,999))</f>
        <v/>
      </c>
      <c r="AN36" s="81"/>
      <c r="AO36" s="88"/>
      <c r="AP36" s="89" t="str">
        <f aca="false">IF(AO36="","",ROUND(AO36/(1+Справочники!$B$13),2))</f>
        <v/>
      </c>
      <c r="AQ36" s="90" t="str">
        <f aca="false" t="array" ref="AQ36:AQ36">IF(AP36="","",AP36*INDEX(Справочники!$B$4:$B$7,MATCH("RUB",Справочники!$A$4:$A$7,0)))</f>
        <v/>
      </c>
      <c r="AR36" s="90" t="str">
        <f aca="false">IF(AQ36="","",ROUND(AQ36*(1+Справочники!$B$12),0))</f>
        <v/>
      </c>
      <c r="AS36" s="90" t="str">
        <f aca="false">IF(AR36="","",ROUND(AR36*(1-Справочники!$B$11),0))</f>
        <v/>
      </c>
      <c r="AT36" s="88"/>
      <c r="AU36" s="90" t="str">
        <f aca="false">IF(AT36="","",ROUND(AT36/(1+Справочники!$B$12),0))</f>
        <v/>
      </c>
      <c r="AV36" s="90" t="str">
        <f aca="false">IF(AT36="","",ROUND(AT36*(1-Справочники!$B$15),0))</f>
        <v/>
      </c>
      <c r="AW36" s="90" t="str">
        <f aca="false">IF(AT36="","",ROUND(AT36*(1-Справочники!$B$16),0))</f>
        <v/>
      </c>
      <c r="AX36" s="90" t="str">
        <f aca="false">IF(AT36="","",ROUND(AT36*(1-Справочники!$B$17),0))</f>
        <v/>
      </c>
      <c r="AY36" s="90" t="str">
        <f aca="false">IF(AT36="","",ROUND(AT36*(1-Справочники!$B$18),0))</f>
        <v/>
      </c>
      <c r="AZ36" s="90" t="str">
        <f aca="false">IF(AT36="","",ROUND(AT36*(1-Справочники!$B$19),0))</f>
        <v/>
      </c>
      <c r="BA36" s="81"/>
      <c r="BB36" s="81"/>
      <c r="BC36" s="81"/>
      <c r="BD36" s="81"/>
      <c r="BE36" s="91"/>
      <c r="BF36" s="81" t="s">
        <v>103</v>
      </c>
      <c r="BG36" s="89" t="n">
        <f aca="false" t="array" ref="BG36:BG36">IF(BF36="","",IFERROR(INDEX(Справочники!$B$4:$B$7,MATCH(BF36,Справочники!$A$4:$A$7,0)),""))</f>
        <v>68.5</v>
      </c>
      <c r="BH36" s="90" t="str">
        <f aca="false">IF(N(BN36)&gt;0,ROUND(SUMIF(ЗАКАЗЫ!$F$3:$F$500,$A36,ЗАКАЗЫ!$Y$3:$Y$500)/BN36,0),IF(OR(BE36="",BG36=""),"",ROUND(BE36*BG36*(1+Справочники!$B$10),0)))</f>
        <v/>
      </c>
      <c r="BI36" s="92" t="str">
        <f aca="false">IF(OR(AU36="",BH36="",AU36=0),"",(AU36-BH36)/AU36)</f>
        <v/>
      </c>
      <c r="BJ36" s="81"/>
      <c r="BK36" s="83"/>
      <c r="BL36" s="43" t="str">
        <f aca="false">IFERROR(INDEX(ЗАКАЗЫ!$N$3:$N$500,MATCH($A36,ЗАКАЗЫ!$F$3:$F$500,0)),"")</f>
        <v/>
      </c>
      <c r="BM36" s="8" t="str">
        <f aca="false">IF(BL36="","",IFERROR(VLOOKUP(BL36,'ТН ВЭД'!$A$4:$C$40,3,0),""))</f>
        <v/>
      </c>
      <c r="BN36" s="7" t="str">
        <f aca="false">IF(COUNTIF(ЗАКАЗЫ!$F$3:$F$500,$A36)=0,"",SUMIF(ЗАКАЗЫ!$F$3:$F$500,$A36,ЗАКАЗЫ!$J$3:$J$500))</f>
        <v/>
      </c>
      <c r="BO36" s="7" t="str">
        <f aca="false">IF(BN36="","",SUMIF(ЗАКАЗЫ!$F$3:$F$500,$A36,ЗАКАЗЫ!$AL$3:$AL$500))</f>
        <v/>
      </c>
      <c r="BP36" s="7" t="str">
        <f aca="false">IF(BN36="","",BN36-BO36)</f>
        <v/>
      </c>
      <c r="BQ36" s="55" t="str">
        <f aca="false">IF(BN36="","",IF(BO36&gt;=BN36,"На складе",IF(BO36&gt;0,"Частично","Ждём")))</f>
        <v/>
      </c>
      <c r="BR36" s="43"/>
      <c r="BS36" s="47" t="str">
        <f aca="false">IF(BN36="","",IF(_xlfn.MAXIFS(ЗАКАЗЫ!$AK$3:$AK$500,ЗАКАЗЫ!$F$3:$F$500,$A36)=0,"",_xlfn.MAXIFS(ЗАКАЗЫ!$AK$3:$AK$500,ЗАКАЗЫ!$F$3:$F$500,$A36)))</f>
        <v/>
      </c>
    </row>
    <row r="37" customFormat="false" ht="15.75" hidden="false" customHeight="true" outlineLevel="0" collapsed="false">
      <c r="A37" s="80" t="s">
        <v>1238</v>
      </c>
      <c r="B37" s="81"/>
      <c r="C37" s="81"/>
      <c r="D37" s="81"/>
      <c r="E37" s="83"/>
      <c r="F37" s="81"/>
      <c r="G37" s="83"/>
      <c r="H37" s="83"/>
      <c r="I37" s="84" t="str">
        <f aca="false">IF(E37="","",A37&amp;"_1.jpg")</f>
        <v/>
      </c>
      <c r="J37" s="84" t="str">
        <f aca="false">IF(E37="","",A37&amp;"_2.jpg; "&amp;A37&amp;"_3.jpg")</f>
        <v/>
      </c>
      <c r="K37" s="84" t="str">
        <f aca="false">IF(E37="","",A37&amp;"_schema.jpg")</f>
        <v/>
      </c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 t="s">
        <v>96</v>
      </c>
      <c r="W37" s="81"/>
      <c r="X37" s="81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6" t="str">
        <f aca="false">IF(SUM(Y37:AJ37)=0,"",SUM(Y37:AJ37))</f>
        <v/>
      </c>
      <c r="AL37" s="84" t="str">
        <f aca="false">MID(IF(N(Y37)&gt;0,", "&amp;Y$2,"")&amp;IF(N(Z37)&gt;0,", "&amp;Z$2,"")&amp;IF(N(AA37)&gt;0,", "&amp;AA$2,"")&amp;IF(N(AB37)&gt;0,", "&amp;AB$2,"")&amp;IF(N(AC37)&gt;0,", "&amp;AC$2,"")&amp;IF(N(AD37)&gt;0,", "&amp;AD$2,"")&amp;IF(N(AE37)&gt;0,", "&amp;AE$2,"")&amp;IF(N(AF37)&gt;0,", "&amp;AF$2,"")&amp;IF(N(AG37)&gt;0,", "&amp;AG$2,"")&amp;IF(N(AH37)&gt;0,", "&amp;AH$2,"")&amp;IF(N(AI37)&gt;0,", "&amp;AI$2,"")&amp;IF(N(AJ37)&gt;0,", "&amp;AJ$2,""),3,999)</f>
        <v/>
      </c>
      <c r="AM37" s="87" t="str">
        <f aca="false">IF(E37="","",MID(IF(N(Y37)&gt;0,", "&amp;A37&amp;"-"&amp;Y$2,"")&amp;IF(N(Z37)&gt;0,", "&amp;A37&amp;"-"&amp;Z$2,"")&amp;IF(N(AA37)&gt;0,", "&amp;A37&amp;"-"&amp;AA$2,"")&amp;IF(N(AB37)&gt;0,", "&amp;A37&amp;"-"&amp;AB$2,"")&amp;IF(N(AC37)&gt;0,", "&amp;A37&amp;"-"&amp;AC$2,"")&amp;IF(N(AD37)&gt;0,", "&amp;A37&amp;"-"&amp;AD$2,"")&amp;IF(N(AE37)&gt;0,", "&amp;A37&amp;"-"&amp;AE$2,"")&amp;IF(N(AF37)&gt;0,", "&amp;A37&amp;"-"&amp;AF$2,"")&amp;IF(N(AG37)&gt;0,", "&amp;A37&amp;"-"&amp;AG$2,"")&amp;IF(N(AH37)&gt;0,", "&amp;A37&amp;"-"&amp;AH$2,"")&amp;IF(N(AI37)&gt;0,", "&amp;A37&amp;"-"&amp;AI$2,"")&amp;IF(N(AJ37)&gt;0,", "&amp;A37&amp;"-"&amp;AJ$2,""),3,999))</f>
        <v/>
      </c>
      <c r="AN37" s="81"/>
      <c r="AO37" s="88"/>
      <c r="AP37" s="89" t="str">
        <f aca="false">IF(AO37="","",ROUND(AO37/(1+Справочники!$B$13),2))</f>
        <v/>
      </c>
      <c r="AQ37" s="90" t="str">
        <f aca="false" t="array" ref="AQ37:AQ37">IF(AP37="","",AP37*INDEX(Справочники!$B$4:$B$7,MATCH("RUB",Справочники!$A$4:$A$7,0)))</f>
        <v/>
      </c>
      <c r="AR37" s="90" t="str">
        <f aca="false">IF(AQ37="","",ROUND(AQ37*(1+Справочники!$B$12),0))</f>
        <v/>
      </c>
      <c r="AS37" s="90" t="str">
        <f aca="false">IF(AR37="","",ROUND(AR37*(1-Справочники!$B$11),0))</f>
        <v/>
      </c>
      <c r="AT37" s="88"/>
      <c r="AU37" s="90" t="str">
        <f aca="false">IF(AT37="","",ROUND(AT37/(1+Справочники!$B$12),0))</f>
        <v/>
      </c>
      <c r="AV37" s="90" t="str">
        <f aca="false">IF(AT37="","",ROUND(AT37*(1-Справочники!$B$15),0))</f>
        <v/>
      </c>
      <c r="AW37" s="90" t="str">
        <f aca="false">IF(AT37="","",ROUND(AT37*(1-Справочники!$B$16),0))</f>
        <v/>
      </c>
      <c r="AX37" s="90" t="str">
        <f aca="false">IF(AT37="","",ROUND(AT37*(1-Справочники!$B$17),0))</f>
        <v/>
      </c>
      <c r="AY37" s="90" t="str">
        <f aca="false">IF(AT37="","",ROUND(AT37*(1-Справочники!$B$18),0))</f>
        <v/>
      </c>
      <c r="AZ37" s="90" t="str">
        <f aca="false">IF(AT37="","",ROUND(AT37*(1-Справочники!$B$19),0))</f>
        <v/>
      </c>
      <c r="BA37" s="81"/>
      <c r="BB37" s="81"/>
      <c r="BC37" s="81"/>
      <c r="BD37" s="81"/>
      <c r="BE37" s="91"/>
      <c r="BF37" s="81" t="s">
        <v>103</v>
      </c>
      <c r="BG37" s="89" t="n">
        <f aca="false" t="array" ref="BG37:BG37">IF(BF37="","",IFERROR(INDEX(Справочники!$B$4:$B$7,MATCH(BF37,Справочники!$A$4:$A$7,0)),""))</f>
        <v>68.5</v>
      </c>
      <c r="BH37" s="90" t="str">
        <f aca="false">IF(N(BN37)&gt;0,ROUND(SUMIF(ЗАКАЗЫ!$F$3:$F$500,$A37,ЗАКАЗЫ!$Y$3:$Y$500)/BN37,0),IF(OR(BE37="",BG37=""),"",ROUND(BE37*BG37*(1+Справочники!$B$10),0)))</f>
        <v/>
      </c>
      <c r="BI37" s="92" t="str">
        <f aca="false">IF(OR(AU37="",BH37="",AU37=0),"",(AU37-BH37)/AU37)</f>
        <v/>
      </c>
      <c r="BJ37" s="81"/>
      <c r="BK37" s="83"/>
      <c r="BL37" s="43" t="str">
        <f aca="false">IFERROR(INDEX(ЗАКАЗЫ!$N$3:$N$500,MATCH($A37,ЗАКАЗЫ!$F$3:$F$500,0)),"")</f>
        <v/>
      </c>
      <c r="BM37" s="8" t="str">
        <f aca="false">IF(BL37="","",IFERROR(VLOOKUP(BL37,'ТН ВЭД'!$A$4:$C$40,3,0),""))</f>
        <v/>
      </c>
      <c r="BN37" s="7" t="str">
        <f aca="false">IF(COUNTIF(ЗАКАЗЫ!$F$3:$F$500,$A37)=0,"",SUMIF(ЗАКАЗЫ!$F$3:$F$500,$A37,ЗАКАЗЫ!$J$3:$J$500))</f>
        <v/>
      </c>
      <c r="BO37" s="7" t="str">
        <f aca="false">IF(BN37="","",SUMIF(ЗАКАЗЫ!$F$3:$F$500,$A37,ЗАКАЗЫ!$AL$3:$AL$500))</f>
        <v/>
      </c>
      <c r="BP37" s="7" t="str">
        <f aca="false">IF(BN37="","",BN37-BO37)</f>
        <v/>
      </c>
      <c r="BQ37" s="55" t="str">
        <f aca="false">IF(BN37="","",IF(BO37&gt;=BN37,"На складе",IF(BO37&gt;0,"Частично","Ждём")))</f>
        <v/>
      </c>
      <c r="BR37" s="43"/>
      <c r="BS37" s="47" t="str">
        <f aca="false">IF(BN37="","",IF(_xlfn.MAXIFS(ЗАКАЗЫ!$AK$3:$AK$500,ЗАКАЗЫ!$F$3:$F$500,$A37)=0,"",_xlfn.MAXIFS(ЗАКАЗЫ!$AK$3:$AK$500,ЗАКАЗЫ!$F$3:$F$500,$A37)))</f>
        <v/>
      </c>
    </row>
    <row r="38" customFormat="false" ht="15.75" hidden="false" customHeight="true" outlineLevel="0" collapsed="false">
      <c r="A38" s="80" t="s">
        <v>1239</v>
      </c>
      <c r="B38" s="81"/>
      <c r="C38" s="81"/>
      <c r="D38" s="81"/>
      <c r="E38" s="83"/>
      <c r="F38" s="81"/>
      <c r="G38" s="83"/>
      <c r="H38" s="83"/>
      <c r="I38" s="84" t="str">
        <f aca="false">IF(E38="","",A38&amp;"_1.jpg")</f>
        <v/>
      </c>
      <c r="J38" s="84" t="str">
        <f aca="false">IF(E38="","",A38&amp;"_2.jpg; "&amp;A38&amp;"_3.jpg")</f>
        <v/>
      </c>
      <c r="K38" s="84" t="str">
        <f aca="false">IF(E38="","",A38&amp;"_schema.jpg")</f>
        <v/>
      </c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 t="s">
        <v>96</v>
      </c>
      <c r="W38" s="81"/>
      <c r="X38" s="81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6" t="str">
        <f aca="false">IF(SUM(Y38:AJ38)=0,"",SUM(Y38:AJ38))</f>
        <v/>
      </c>
      <c r="AL38" s="84" t="str">
        <f aca="false">MID(IF(N(Y38)&gt;0,", "&amp;Y$2,"")&amp;IF(N(Z38)&gt;0,", "&amp;Z$2,"")&amp;IF(N(AA38)&gt;0,", "&amp;AA$2,"")&amp;IF(N(AB38)&gt;0,", "&amp;AB$2,"")&amp;IF(N(AC38)&gt;0,", "&amp;AC$2,"")&amp;IF(N(AD38)&gt;0,", "&amp;AD$2,"")&amp;IF(N(AE38)&gt;0,", "&amp;AE$2,"")&amp;IF(N(AF38)&gt;0,", "&amp;AF$2,"")&amp;IF(N(AG38)&gt;0,", "&amp;AG$2,"")&amp;IF(N(AH38)&gt;0,", "&amp;AH$2,"")&amp;IF(N(AI38)&gt;0,", "&amp;AI$2,"")&amp;IF(N(AJ38)&gt;0,", "&amp;AJ$2,""),3,999)</f>
        <v/>
      </c>
      <c r="AM38" s="87" t="str">
        <f aca="false">IF(E38="","",MID(IF(N(Y38)&gt;0,", "&amp;A38&amp;"-"&amp;Y$2,"")&amp;IF(N(Z38)&gt;0,", "&amp;A38&amp;"-"&amp;Z$2,"")&amp;IF(N(AA38)&gt;0,", "&amp;A38&amp;"-"&amp;AA$2,"")&amp;IF(N(AB38)&gt;0,", "&amp;A38&amp;"-"&amp;AB$2,"")&amp;IF(N(AC38)&gt;0,", "&amp;A38&amp;"-"&amp;AC$2,"")&amp;IF(N(AD38)&gt;0,", "&amp;A38&amp;"-"&amp;AD$2,"")&amp;IF(N(AE38)&gt;0,", "&amp;A38&amp;"-"&amp;AE$2,"")&amp;IF(N(AF38)&gt;0,", "&amp;A38&amp;"-"&amp;AF$2,"")&amp;IF(N(AG38)&gt;0,", "&amp;A38&amp;"-"&amp;AG$2,"")&amp;IF(N(AH38)&gt;0,", "&amp;A38&amp;"-"&amp;AH$2,"")&amp;IF(N(AI38)&gt;0,", "&amp;A38&amp;"-"&amp;AI$2,"")&amp;IF(N(AJ38)&gt;0,", "&amp;A38&amp;"-"&amp;AJ$2,""),3,999))</f>
        <v/>
      </c>
      <c r="AN38" s="81"/>
      <c r="AO38" s="88"/>
      <c r="AP38" s="89" t="str">
        <f aca="false">IF(AO38="","",ROUND(AO38/(1+Справочники!$B$13),2))</f>
        <v/>
      </c>
      <c r="AQ38" s="90" t="str">
        <f aca="false" t="array" ref="AQ38:AQ38">IF(AP38="","",AP38*INDEX(Справочники!$B$4:$B$7,MATCH("RUB",Справочники!$A$4:$A$7,0)))</f>
        <v/>
      </c>
      <c r="AR38" s="90" t="str">
        <f aca="false">IF(AQ38="","",ROUND(AQ38*(1+Справочники!$B$12),0))</f>
        <v/>
      </c>
      <c r="AS38" s="90" t="str">
        <f aca="false">IF(AR38="","",ROUND(AR38*(1-Справочники!$B$11),0))</f>
        <v/>
      </c>
      <c r="AT38" s="88"/>
      <c r="AU38" s="90" t="str">
        <f aca="false">IF(AT38="","",ROUND(AT38/(1+Справочники!$B$12),0))</f>
        <v/>
      </c>
      <c r="AV38" s="90" t="str">
        <f aca="false">IF(AT38="","",ROUND(AT38*(1-Справочники!$B$15),0))</f>
        <v/>
      </c>
      <c r="AW38" s="90" t="str">
        <f aca="false">IF(AT38="","",ROUND(AT38*(1-Справочники!$B$16),0))</f>
        <v/>
      </c>
      <c r="AX38" s="90" t="str">
        <f aca="false">IF(AT38="","",ROUND(AT38*(1-Справочники!$B$17),0))</f>
        <v/>
      </c>
      <c r="AY38" s="90" t="str">
        <f aca="false">IF(AT38="","",ROUND(AT38*(1-Справочники!$B$18),0))</f>
        <v/>
      </c>
      <c r="AZ38" s="90" t="str">
        <f aca="false">IF(AT38="","",ROUND(AT38*(1-Справочники!$B$19),0))</f>
        <v/>
      </c>
      <c r="BA38" s="81"/>
      <c r="BB38" s="81"/>
      <c r="BC38" s="81"/>
      <c r="BD38" s="81"/>
      <c r="BE38" s="91"/>
      <c r="BF38" s="81" t="s">
        <v>103</v>
      </c>
      <c r="BG38" s="89" t="n">
        <f aca="false" t="array" ref="BG38:BG38">IF(BF38="","",IFERROR(INDEX(Справочники!$B$4:$B$7,MATCH(BF38,Справочники!$A$4:$A$7,0)),""))</f>
        <v>68.5</v>
      </c>
      <c r="BH38" s="90" t="str">
        <f aca="false">IF(N(BN38)&gt;0,ROUND(SUMIF(ЗАКАЗЫ!$F$3:$F$500,$A38,ЗАКАЗЫ!$Y$3:$Y$500)/BN38,0),IF(OR(BE38="",BG38=""),"",ROUND(BE38*BG38*(1+Справочники!$B$10),0)))</f>
        <v/>
      </c>
      <c r="BI38" s="92" t="str">
        <f aca="false">IF(OR(AU38="",BH38="",AU38=0),"",(AU38-BH38)/AU38)</f>
        <v/>
      </c>
      <c r="BJ38" s="81"/>
      <c r="BK38" s="83"/>
      <c r="BL38" s="43" t="str">
        <f aca="false">IFERROR(INDEX(ЗАКАЗЫ!$N$3:$N$500,MATCH($A38,ЗАКАЗЫ!$F$3:$F$500,0)),"")</f>
        <v/>
      </c>
      <c r="BM38" s="8" t="str">
        <f aca="false">IF(BL38="","",IFERROR(VLOOKUP(BL38,'ТН ВЭД'!$A$4:$C$40,3,0),""))</f>
        <v/>
      </c>
      <c r="BN38" s="7" t="str">
        <f aca="false">IF(COUNTIF(ЗАКАЗЫ!$F$3:$F$500,$A38)=0,"",SUMIF(ЗАКАЗЫ!$F$3:$F$500,$A38,ЗАКАЗЫ!$J$3:$J$500))</f>
        <v/>
      </c>
      <c r="BO38" s="7" t="str">
        <f aca="false">IF(BN38="","",SUMIF(ЗАКАЗЫ!$F$3:$F$500,$A38,ЗАКАЗЫ!$AL$3:$AL$500))</f>
        <v/>
      </c>
      <c r="BP38" s="7" t="str">
        <f aca="false">IF(BN38="","",BN38-BO38)</f>
        <v/>
      </c>
      <c r="BQ38" s="55" t="str">
        <f aca="false">IF(BN38="","",IF(BO38&gt;=BN38,"На складе",IF(BO38&gt;0,"Частично","Ждём")))</f>
        <v/>
      </c>
      <c r="BR38" s="43"/>
      <c r="BS38" s="47" t="str">
        <f aca="false">IF(BN38="","",IF(_xlfn.MAXIFS(ЗАКАЗЫ!$AK$3:$AK$500,ЗАКАЗЫ!$F$3:$F$500,$A38)=0,"",_xlfn.MAXIFS(ЗАКАЗЫ!$AK$3:$AK$500,ЗАКАЗЫ!$F$3:$F$500,$A38)))</f>
        <v/>
      </c>
    </row>
    <row r="39" customFormat="false" ht="15.75" hidden="false" customHeight="true" outlineLevel="0" collapsed="false">
      <c r="A39" s="80" t="s">
        <v>1240</v>
      </c>
      <c r="B39" s="81"/>
      <c r="C39" s="81"/>
      <c r="D39" s="81"/>
      <c r="E39" s="83"/>
      <c r="F39" s="81"/>
      <c r="G39" s="83"/>
      <c r="H39" s="83"/>
      <c r="I39" s="84" t="str">
        <f aca="false">IF(E39="","",A39&amp;"_1.jpg")</f>
        <v/>
      </c>
      <c r="J39" s="84" t="str">
        <f aca="false">IF(E39="","",A39&amp;"_2.jpg; "&amp;A39&amp;"_3.jpg")</f>
        <v/>
      </c>
      <c r="K39" s="84" t="str">
        <f aca="false">IF(E39="","",A39&amp;"_schema.jpg")</f>
        <v/>
      </c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 t="s">
        <v>96</v>
      </c>
      <c r="W39" s="81"/>
      <c r="X39" s="81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6" t="str">
        <f aca="false">IF(SUM(Y39:AJ39)=0,"",SUM(Y39:AJ39))</f>
        <v/>
      </c>
      <c r="AL39" s="84" t="str">
        <f aca="false">MID(IF(N(Y39)&gt;0,", "&amp;Y$2,"")&amp;IF(N(Z39)&gt;0,", "&amp;Z$2,"")&amp;IF(N(AA39)&gt;0,", "&amp;AA$2,"")&amp;IF(N(AB39)&gt;0,", "&amp;AB$2,"")&amp;IF(N(AC39)&gt;0,", "&amp;AC$2,"")&amp;IF(N(AD39)&gt;0,", "&amp;AD$2,"")&amp;IF(N(AE39)&gt;0,", "&amp;AE$2,"")&amp;IF(N(AF39)&gt;0,", "&amp;AF$2,"")&amp;IF(N(AG39)&gt;0,", "&amp;AG$2,"")&amp;IF(N(AH39)&gt;0,", "&amp;AH$2,"")&amp;IF(N(AI39)&gt;0,", "&amp;AI$2,"")&amp;IF(N(AJ39)&gt;0,", "&amp;AJ$2,""),3,999)</f>
        <v/>
      </c>
      <c r="AM39" s="87" t="str">
        <f aca="false">IF(E39="","",MID(IF(N(Y39)&gt;0,", "&amp;A39&amp;"-"&amp;Y$2,"")&amp;IF(N(Z39)&gt;0,", "&amp;A39&amp;"-"&amp;Z$2,"")&amp;IF(N(AA39)&gt;0,", "&amp;A39&amp;"-"&amp;AA$2,"")&amp;IF(N(AB39)&gt;0,", "&amp;A39&amp;"-"&amp;AB$2,"")&amp;IF(N(AC39)&gt;0,", "&amp;A39&amp;"-"&amp;AC$2,"")&amp;IF(N(AD39)&gt;0,", "&amp;A39&amp;"-"&amp;AD$2,"")&amp;IF(N(AE39)&gt;0,", "&amp;A39&amp;"-"&amp;AE$2,"")&amp;IF(N(AF39)&gt;0,", "&amp;A39&amp;"-"&amp;AF$2,"")&amp;IF(N(AG39)&gt;0,", "&amp;A39&amp;"-"&amp;AG$2,"")&amp;IF(N(AH39)&gt;0,", "&amp;A39&amp;"-"&amp;AH$2,"")&amp;IF(N(AI39)&gt;0,", "&amp;A39&amp;"-"&amp;AI$2,"")&amp;IF(N(AJ39)&gt;0,", "&amp;A39&amp;"-"&amp;AJ$2,""),3,999))</f>
        <v/>
      </c>
      <c r="AN39" s="81"/>
      <c r="AO39" s="88"/>
      <c r="AP39" s="89" t="str">
        <f aca="false">IF(AO39="","",ROUND(AO39/(1+Справочники!$B$13),2))</f>
        <v/>
      </c>
      <c r="AQ39" s="90" t="str">
        <f aca="false" t="array" ref="AQ39:AQ39">IF(AP39="","",AP39*INDEX(Справочники!$B$4:$B$7,MATCH("RUB",Справочники!$A$4:$A$7,0)))</f>
        <v/>
      </c>
      <c r="AR39" s="90" t="str">
        <f aca="false">IF(AQ39="","",ROUND(AQ39*(1+Справочники!$B$12),0))</f>
        <v/>
      </c>
      <c r="AS39" s="90" t="str">
        <f aca="false">IF(AR39="","",ROUND(AR39*(1-Справочники!$B$11),0))</f>
        <v/>
      </c>
      <c r="AT39" s="88"/>
      <c r="AU39" s="90" t="str">
        <f aca="false">IF(AT39="","",ROUND(AT39/(1+Справочники!$B$12),0))</f>
        <v/>
      </c>
      <c r="AV39" s="90" t="str">
        <f aca="false">IF(AT39="","",ROUND(AT39*(1-Справочники!$B$15),0))</f>
        <v/>
      </c>
      <c r="AW39" s="90" t="str">
        <f aca="false">IF(AT39="","",ROUND(AT39*(1-Справочники!$B$16),0))</f>
        <v/>
      </c>
      <c r="AX39" s="90" t="str">
        <f aca="false">IF(AT39="","",ROUND(AT39*(1-Справочники!$B$17),0))</f>
        <v/>
      </c>
      <c r="AY39" s="90" t="str">
        <f aca="false">IF(AT39="","",ROUND(AT39*(1-Справочники!$B$18),0))</f>
        <v/>
      </c>
      <c r="AZ39" s="90" t="str">
        <f aca="false">IF(AT39="","",ROUND(AT39*(1-Справочники!$B$19),0))</f>
        <v/>
      </c>
      <c r="BA39" s="81"/>
      <c r="BB39" s="81"/>
      <c r="BC39" s="81"/>
      <c r="BD39" s="81"/>
      <c r="BE39" s="91"/>
      <c r="BF39" s="81" t="s">
        <v>103</v>
      </c>
      <c r="BG39" s="89" t="n">
        <f aca="false" t="array" ref="BG39:BG39">IF(BF39="","",IFERROR(INDEX(Справочники!$B$4:$B$7,MATCH(BF39,Справочники!$A$4:$A$7,0)),""))</f>
        <v>68.5</v>
      </c>
      <c r="BH39" s="90" t="str">
        <f aca="false">IF(N(BN39)&gt;0,ROUND(SUMIF(ЗАКАЗЫ!$F$3:$F$500,$A39,ЗАКАЗЫ!$Y$3:$Y$500)/BN39,0),IF(OR(BE39="",BG39=""),"",ROUND(BE39*BG39*(1+Справочники!$B$10),0)))</f>
        <v/>
      </c>
      <c r="BI39" s="92" t="str">
        <f aca="false">IF(OR(AU39="",BH39="",AU39=0),"",(AU39-BH39)/AU39)</f>
        <v/>
      </c>
      <c r="BJ39" s="81"/>
      <c r="BK39" s="83"/>
      <c r="BL39" s="43" t="str">
        <f aca="false">IFERROR(INDEX(ЗАКАЗЫ!$N$3:$N$500,MATCH($A39,ЗАКАЗЫ!$F$3:$F$500,0)),"")</f>
        <v/>
      </c>
      <c r="BM39" s="8" t="str">
        <f aca="false">IF(BL39="","",IFERROR(VLOOKUP(BL39,'ТН ВЭД'!$A$4:$C$40,3,0),""))</f>
        <v/>
      </c>
      <c r="BN39" s="7" t="str">
        <f aca="false">IF(COUNTIF(ЗАКАЗЫ!$F$3:$F$500,$A39)=0,"",SUMIF(ЗАКАЗЫ!$F$3:$F$500,$A39,ЗАКАЗЫ!$J$3:$J$500))</f>
        <v/>
      </c>
      <c r="BO39" s="7" t="str">
        <f aca="false">IF(BN39="","",SUMIF(ЗАКАЗЫ!$F$3:$F$500,$A39,ЗАКАЗЫ!$AL$3:$AL$500))</f>
        <v/>
      </c>
      <c r="BP39" s="7" t="str">
        <f aca="false">IF(BN39="","",BN39-BO39)</f>
        <v/>
      </c>
      <c r="BQ39" s="55" t="str">
        <f aca="false">IF(BN39="","",IF(BO39&gt;=BN39,"На складе",IF(BO39&gt;0,"Частично","Ждём")))</f>
        <v/>
      </c>
      <c r="BR39" s="43"/>
      <c r="BS39" s="47" t="str">
        <f aca="false">IF(BN39="","",IF(_xlfn.MAXIFS(ЗАКАЗЫ!$AK$3:$AK$500,ЗАКАЗЫ!$F$3:$F$500,$A39)=0,"",_xlfn.MAXIFS(ЗАКАЗЫ!$AK$3:$AK$500,ЗАКАЗЫ!$F$3:$F$500,$A39)))</f>
        <v/>
      </c>
    </row>
    <row r="40" customFormat="false" ht="15.75" hidden="false" customHeight="true" outlineLevel="0" collapsed="false">
      <c r="A40" s="80" t="s">
        <v>1241</v>
      </c>
      <c r="B40" s="81"/>
      <c r="C40" s="81"/>
      <c r="D40" s="81"/>
      <c r="E40" s="83"/>
      <c r="F40" s="81"/>
      <c r="G40" s="83"/>
      <c r="H40" s="83"/>
      <c r="I40" s="84" t="str">
        <f aca="false">IF(E40="","",A40&amp;"_1.jpg")</f>
        <v/>
      </c>
      <c r="J40" s="84" t="str">
        <f aca="false">IF(E40="","",A40&amp;"_2.jpg; "&amp;A40&amp;"_3.jpg")</f>
        <v/>
      </c>
      <c r="K40" s="84" t="str">
        <f aca="false">IF(E40="","",A40&amp;"_schema.jpg")</f>
        <v/>
      </c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 t="s">
        <v>96</v>
      </c>
      <c r="W40" s="81"/>
      <c r="X40" s="81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6" t="str">
        <f aca="false">IF(SUM(Y40:AJ40)=0,"",SUM(Y40:AJ40))</f>
        <v/>
      </c>
      <c r="AL40" s="84" t="str">
        <f aca="false">MID(IF(N(Y40)&gt;0,", "&amp;Y$2,"")&amp;IF(N(Z40)&gt;0,", "&amp;Z$2,"")&amp;IF(N(AA40)&gt;0,", "&amp;AA$2,"")&amp;IF(N(AB40)&gt;0,", "&amp;AB$2,"")&amp;IF(N(AC40)&gt;0,", "&amp;AC$2,"")&amp;IF(N(AD40)&gt;0,", "&amp;AD$2,"")&amp;IF(N(AE40)&gt;0,", "&amp;AE$2,"")&amp;IF(N(AF40)&gt;0,", "&amp;AF$2,"")&amp;IF(N(AG40)&gt;0,", "&amp;AG$2,"")&amp;IF(N(AH40)&gt;0,", "&amp;AH$2,"")&amp;IF(N(AI40)&gt;0,", "&amp;AI$2,"")&amp;IF(N(AJ40)&gt;0,", "&amp;AJ$2,""),3,999)</f>
        <v/>
      </c>
      <c r="AM40" s="87" t="str">
        <f aca="false">IF(E40="","",MID(IF(N(Y40)&gt;0,", "&amp;A40&amp;"-"&amp;Y$2,"")&amp;IF(N(Z40)&gt;0,", "&amp;A40&amp;"-"&amp;Z$2,"")&amp;IF(N(AA40)&gt;0,", "&amp;A40&amp;"-"&amp;AA$2,"")&amp;IF(N(AB40)&gt;0,", "&amp;A40&amp;"-"&amp;AB$2,"")&amp;IF(N(AC40)&gt;0,", "&amp;A40&amp;"-"&amp;AC$2,"")&amp;IF(N(AD40)&gt;0,", "&amp;A40&amp;"-"&amp;AD$2,"")&amp;IF(N(AE40)&gt;0,", "&amp;A40&amp;"-"&amp;AE$2,"")&amp;IF(N(AF40)&gt;0,", "&amp;A40&amp;"-"&amp;AF$2,"")&amp;IF(N(AG40)&gt;0,", "&amp;A40&amp;"-"&amp;AG$2,"")&amp;IF(N(AH40)&gt;0,", "&amp;A40&amp;"-"&amp;AH$2,"")&amp;IF(N(AI40)&gt;0,", "&amp;A40&amp;"-"&amp;AI$2,"")&amp;IF(N(AJ40)&gt;0,", "&amp;A40&amp;"-"&amp;AJ$2,""),3,999))</f>
        <v/>
      </c>
      <c r="AN40" s="81"/>
      <c r="AO40" s="88"/>
      <c r="AP40" s="89" t="str">
        <f aca="false">IF(AO40="","",ROUND(AO40/(1+Справочники!$B$13),2))</f>
        <v/>
      </c>
      <c r="AQ40" s="90" t="str">
        <f aca="false" t="array" ref="AQ40:AQ40">IF(AP40="","",AP40*INDEX(Справочники!$B$4:$B$7,MATCH("RUB",Справочники!$A$4:$A$7,0)))</f>
        <v/>
      </c>
      <c r="AR40" s="90" t="str">
        <f aca="false">IF(AQ40="","",ROUND(AQ40*(1+Справочники!$B$12),0))</f>
        <v/>
      </c>
      <c r="AS40" s="90" t="str">
        <f aca="false">IF(AR40="","",ROUND(AR40*(1-Справочники!$B$11),0))</f>
        <v/>
      </c>
      <c r="AT40" s="88"/>
      <c r="AU40" s="90" t="str">
        <f aca="false">IF(AT40="","",ROUND(AT40/(1+Справочники!$B$12),0))</f>
        <v/>
      </c>
      <c r="AV40" s="90" t="str">
        <f aca="false">IF(AT40="","",ROUND(AT40*(1-Справочники!$B$15),0))</f>
        <v/>
      </c>
      <c r="AW40" s="90" t="str">
        <f aca="false">IF(AT40="","",ROUND(AT40*(1-Справочники!$B$16),0))</f>
        <v/>
      </c>
      <c r="AX40" s="90" t="str">
        <f aca="false">IF(AT40="","",ROUND(AT40*(1-Справочники!$B$17),0))</f>
        <v/>
      </c>
      <c r="AY40" s="90" t="str">
        <f aca="false">IF(AT40="","",ROUND(AT40*(1-Справочники!$B$18),0))</f>
        <v/>
      </c>
      <c r="AZ40" s="90" t="str">
        <f aca="false">IF(AT40="","",ROUND(AT40*(1-Справочники!$B$19),0))</f>
        <v/>
      </c>
      <c r="BA40" s="81"/>
      <c r="BB40" s="81"/>
      <c r="BC40" s="81"/>
      <c r="BD40" s="81"/>
      <c r="BE40" s="91"/>
      <c r="BF40" s="81" t="s">
        <v>103</v>
      </c>
      <c r="BG40" s="89" t="n">
        <f aca="false" t="array" ref="BG40:BG40">IF(BF40="","",IFERROR(INDEX(Справочники!$B$4:$B$7,MATCH(BF40,Справочники!$A$4:$A$7,0)),""))</f>
        <v>68.5</v>
      </c>
      <c r="BH40" s="90" t="str">
        <f aca="false">IF(N(BN40)&gt;0,ROUND(SUMIF(ЗАКАЗЫ!$F$3:$F$500,$A40,ЗАКАЗЫ!$Y$3:$Y$500)/BN40,0),IF(OR(BE40="",BG40=""),"",ROUND(BE40*BG40*(1+Справочники!$B$10),0)))</f>
        <v/>
      </c>
      <c r="BI40" s="92" t="str">
        <f aca="false">IF(OR(AU40="",BH40="",AU40=0),"",(AU40-BH40)/AU40)</f>
        <v/>
      </c>
      <c r="BJ40" s="81"/>
      <c r="BK40" s="83"/>
      <c r="BL40" s="43" t="str">
        <f aca="false">IFERROR(INDEX(ЗАКАЗЫ!$N$3:$N$500,MATCH($A40,ЗАКАЗЫ!$F$3:$F$500,0)),"")</f>
        <v/>
      </c>
      <c r="BM40" s="8" t="str">
        <f aca="false">IF(BL40="","",IFERROR(VLOOKUP(BL40,'ТН ВЭД'!$A$4:$C$40,3,0),""))</f>
        <v/>
      </c>
      <c r="BN40" s="7" t="str">
        <f aca="false">IF(COUNTIF(ЗАКАЗЫ!$F$3:$F$500,$A40)=0,"",SUMIF(ЗАКАЗЫ!$F$3:$F$500,$A40,ЗАКАЗЫ!$J$3:$J$500))</f>
        <v/>
      </c>
      <c r="BO40" s="7" t="str">
        <f aca="false">IF(BN40="","",SUMIF(ЗАКАЗЫ!$F$3:$F$500,$A40,ЗАКАЗЫ!$AL$3:$AL$500))</f>
        <v/>
      </c>
      <c r="BP40" s="7" t="str">
        <f aca="false">IF(BN40="","",BN40-BO40)</f>
        <v/>
      </c>
      <c r="BQ40" s="55" t="str">
        <f aca="false">IF(BN40="","",IF(BO40&gt;=BN40,"На складе",IF(BO40&gt;0,"Частично","Ждём")))</f>
        <v/>
      </c>
      <c r="BR40" s="43"/>
      <c r="BS40" s="47" t="str">
        <f aca="false">IF(BN40="","",IF(_xlfn.MAXIFS(ЗАКАЗЫ!$AK$3:$AK$500,ЗАКАЗЫ!$F$3:$F$500,$A40)=0,"",_xlfn.MAXIFS(ЗАКАЗЫ!$AK$3:$AK$500,ЗАКАЗЫ!$F$3:$F$500,$A40)))</f>
        <v/>
      </c>
    </row>
    <row r="41" customFormat="false" ht="15.75" hidden="false" customHeight="true" outlineLevel="0" collapsed="false">
      <c r="A41" s="80" t="s">
        <v>1242</v>
      </c>
      <c r="B41" s="81"/>
      <c r="C41" s="81"/>
      <c r="D41" s="81"/>
      <c r="E41" s="83"/>
      <c r="F41" s="81"/>
      <c r="G41" s="83"/>
      <c r="H41" s="83"/>
      <c r="I41" s="84" t="str">
        <f aca="false">IF(E41="","",A41&amp;"_1.jpg")</f>
        <v/>
      </c>
      <c r="J41" s="84" t="str">
        <f aca="false">IF(E41="","",A41&amp;"_2.jpg; "&amp;A41&amp;"_3.jpg")</f>
        <v/>
      </c>
      <c r="K41" s="84" t="str">
        <f aca="false">IF(E41="","",A41&amp;"_schema.jpg")</f>
        <v/>
      </c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 t="s">
        <v>96</v>
      </c>
      <c r="W41" s="81"/>
      <c r="X41" s="81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6" t="str">
        <f aca="false">IF(SUM(Y41:AJ41)=0,"",SUM(Y41:AJ41))</f>
        <v/>
      </c>
      <c r="AL41" s="84" t="str">
        <f aca="false">MID(IF(N(Y41)&gt;0,", "&amp;Y$2,"")&amp;IF(N(Z41)&gt;0,", "&amp;Z$2,"")&amp;IF(N(AA41)&gt;0,", "&amp;AA$2,"")&amp;IF(N(AB41)&gt;0,", "&amp;AB$2,"")&amp;IF(N(AC41)&gt;0,", "&amp;AC$2,"")&amp;IF(N(AD41)&gt;0,", "&amp;AD$2,"")&amp;IF(N(AE41)&gt;0,", "&amp;AE$2,"")&amp;IF(N(AF41)&gt;0,", "&amp;AF$2,"")&amp;IF(N(AG41)&gt;0,", "&amp;AG$2,"")&amp;IF(N(AH41)&gt;0,", "&amp;AH$2,"")&amp;IF(N(AI41)&gt;0,", "&amp;AI$2,"")&amp;IF(N(AJ41)&gt;0,", "&amp;AJ$2,""),3,999)</f>
        <v/>
      </c>
      <c r="AM41" s="87" t="str">
        <f aca="false">IF(E41="","",MID(IF(N(Y41)&gt;0,", "&amp;A41&amp;"-"&amp;Y$2,"")&amp;IF(N(Z41)&gt;0,", "&amp;A41&amp;"-"&amp;Z$2,"")&amp;IF(N(AA41)&gt;0,", "&amp;A41&amp;"-"&amp;AA$2,"")&amp;IF(N(AB41)&gt;0,", "&amp;A41&amp;"-"&amp;AB$2,"")&amp;IF(N(AC41)&gt;0,", "&amp;A41&amp;"-"&amp;AC$2,"")&amp;IF(N(AD41)&gt;0,", "&amp;A41&amp;"-"&amp;AD$2,"")&amp;IF(N(AE41)&gt;0,", "&amp;A41&amp;"-"&amp;AE$2,"")&amp;IF(N(AF41)&gt;0,", "&amp;A41&amp;"-"&amp;AF$2,"")&amp;IF(N(AG41)&gt;0,", "&amp;A41&amp;"-"&amp;AG$2,"")&amp;IF(N(AH41)&gt;0,", "&amp;A41&amp;"-"&amp;AH$2,"")&amp;IF(N(AI41)&gt;0,", "&amp;A41&amp;"-"&amp;AI$2,"")&amp;IF(N(AJ41)&gt;0,", "&amp;A41&amp;"-"&amp;AJ$2,""),3,999))</f>
        <v/>
      </c>
      <c r="AN41" s="81"/>
      <c r="AO41" s="88"/>
      <c r="AP41" s="89" t="str">
        <f aca="false">IF(AO41="","",ROUND(AO41/(1+Справочники!$B$13),2))</f>
        <v/>
      </c>
      <c r="AQ41" s="90" t="str">
        <f aca="false" t="array" ref="AQ41:AQ41">IF(AP41="","",AP41*INDEX(Справочники!$B$4:$B$7,MATCH("RUB",Справочники!$A$4:$A$7,0)))</f>
        <v/>
      </c>
      <c r="AR41" s="90" t="str">
        <f aca="false">IF(AQ41="","",ROUND(AQ41*(1+Справочники!$B$12),0))</f>
        <v/>
      </c>
      <c r="AS41" s="90" t="str">
        <f aca="false">IF(AR41="","",ROUND(AR41*(1-Справочники!$B$11),0))</f>
        <v/>
      </c>
      <c r="AT41" s="88"/>
      <c r="AU41" s="90" t="str">
        <f aca="false">IF(AT41="","",ROUND(AT41/(1+Справочники!$B$12),0))</f>
        <v/>
      </c>
      <c r="AV41" s="90" t="str">
        <f aca="false">IF(AT41="","",ROUND(AT41*(1-Справочники!$B$15),0))</f>
        <v/>
      </c>
      <c r="AW41" s="90" t="str">
        <f aca="false">IF(AT41="","",ROUND(AT41*(1-Справочники!$B$16),0))</f>
        <v/>
      </c>
      <c r="AX41" s="90" t="str">
        <f aca="false">IF(AT41="","",ROUND(AT41*(1-Справочники!$B$17),0))</f>
        <v/>
      </c>
      <c r="AY41" s="90" t="str">
        <f aca="false">IF(AT41="","",ROUND(AT41*(1-Справочники!$B$18),0))</f>
        <v/>
      </c>
      <c r="AZ41" s="90" t="str">
        <f aca="false">IF(AT41="","",ROUND(AT41*(1-Справочники!$B$19),0))</f>
        <v/>
      </c>
      <c r="BA41" s="81"/>
      <c r="BB41" s="81"/>
      <c r="BC41" s="81"/>
      <c r="BD41" s="81"/>
      <c r="BE41" s="91"/>
      <c r="BF41" s="81" t="s">
        <v>103</v>
      </c>
      <c r="BG41" s="89" t="n">
        <f aca="false" t="array" ref="BG41:BG41">IF(BF41="","",IFERROR(INDEX(Справочники!$B$4:$B$7,MATCH(BF41,Справочники!$A$4:$A$7,0)),""))</f>
        <v>68.5</v>
      </c>
      <c r="BH41" s="90" t="str">
        <f aca="false">IF(N(BN41)&gt;0,ROUND(SUMIF(ЗАКАЗЫ!$F$3:$F$500,$A41,ЗАКАЗЫ!$Y$3:$Y$500)/BN41,0),IF(OR(BE41="",BG41=""),"",ROUND(BE41*BG41*(1+Справочники!$B$10),0)))</f>
        <v/>
      </c>
      <c r="BI41" s="92" t="str">
        <f aca="false">IF(OR(AU41="",BH41="",AU41=0),"",(AU41-BH41)/AU41)</f>
        <v/>
      </c>
      <c r="BJ41" s="81"/>
      <c r="BK41" s="83"/>
      <c r="BL41" s="43" t="str">
        <f aca="false">IFERROR(INDEX(ЗАКАЗЫ!$N$3:$N$500,MATCH($A41,ЗАКАЗЫ!$F$3:$F$500,0)),"")</f>
        <v/>
      </c>
      <c r="BM41" s="8" t="str">
        <f aca="false">IF(BL41="","",IFERROR(VLOOKUP(BL41,'ТН ВЭД'!$A$4:$C$40,3,0),""))</f>
        <v/>
      </c>
      <c r="BN41" s="7" t="str">
        <f aca="false">IF(COUNTIF(ЗАКАЗЫ!$F$3:$F$500,$A41)=0,"",SUMIF(ЗАКАЗЫ!$F$3:$F$500,$A41,ЗАКАЗЫ!$J$3:$J$500))</f>
        <v/>
      </c>
      <c r="BO41" s="7" t="str">
        <f aca="false">IF(BN41="","",SUMIF(ЗАКАЗЫ!$F$3:$F$500,$A41,ЗАКАЗЫ!$AL$3:$AL$500))</f>
        <v/>
      </c>
      <c r="BP41" s="7" t="str">
        <f aca="false">IF(BN41="","",BN41-BO41)</f>
        <v/>
      </c>
      <c r="BQ41" s="55" t="str">
        <f aca="false">IF(BN41="","",IF(BO41&gt;=BN41,"На складе",IF(BO41&gt;0,"Частично","Ждём")))</f>
        <v/>
      </c>
      <c r="BR41" s="43"/>
      <c r="BS41" s="47" t="str">
        <f aca="false">IF(BN41="","",IF(_xlfn.MAXIFS(ЗАКАЗЫ!$AK$3:$AK$500,ЗАКАЗЫ!$F$3:$F$500,$A41)=0,"",_xlfn.MAXIFS(ЗАКАЗЫ!$AK$3:$AK$500,ЗАКАЗЫ!$F$3:$F$500,$A41)))</f>
        <v/>
      </c>
    </row>
    <row r="42" customFormat="false" ht="15.75" hidden="false" customHeight="true" outlineLevel="0" collapsed="false">
      <c r="A42" s="80" t="s">
        <v>1243</v>
      </c>
      <c r="B42" s="81"/>
      <c r="C42" s="81"/>
      <c r="D42" s="81"/>
      <c r="E42" s="83"/>
      <c r="F42" s="81"/>
      <c r="G42" s="83"/>
      <c r="H42" s="83"/>
      <c r="I42" s="84" t="str">
        <f aca="false">IF(E42="","",A42&amp;"_1.jpg")</f>
        <v/>
      </c>
      <c r="J42" s="84" t="str">
        <f aca="false">IF(E42="","",A42&amp;"_2.jpg; "&amp;A42&amp;"_3.jpg")</f>
        <v/>
      </c>
      <c r="K42" s="84" t="str">
        <f aca="false">IF(E42="","",A42&amp;"_schema.jpg")</f>
        <v/>
      </c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 t="s">
        <v>96</v>
      </c>
      <c r="W42" s="81"/>
      <c r="X42" s="81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6" t="str">
        <f aca="false">IF(SUM(Y42:AJ42)=0,"",SUM(Y42:AJ42))</f>
        <v/>
      </c>
      <c r="AL42" s="84" t="str">
        <f aca="false">MID(IF(N(Y42)&gt;0,", "&amp;Y$2,"")&amp;IF(N(Z42)&gt;0,", "&amp;Z$2,"")&amp;IF(N(AA42)&gt;0,", "&amp;AA$2,"")&amp;IF(N(AB42)&gt;0,", "&amp;AB$2,"")&amp;IF(N(AC42)&gt;0,", "&amp;AC$2,"")&amp;IF(N(AD42)&gt;0,", "&amp;AD$2,"")&amp;IF(N(AE42)&gt;0,", "&amp;AE$2,"")&amp;IF(N(AF42)&gt;0,", "&amp;AF$2,"")&amp;IF(N(AG42)&gt;0,", "&amp;AG$2,"")&amp;IF(N(AH42)&gt;0,", "&amp;AH$2,"")&amp;IF(N(AI42)&gt;0,", "&amp;AI$2,"")&amp;IF(N(AJ42)&gt;0,", "&amp;AJ$2,""),3,999)</f>
        <v/>
      </c>
      <c r="AM42" s="87" t="str">
        <f aca="false">IF(E42="","",MID(IF(N(Y42)&gt;0,", "&amp;A42&amp;"-"&amp;Y$2,"")&amp;IF(N(Z42)&gt;0,", "&amp;A42&amp;"-"&amp;Z$2,"")&amp;IF(N(AA42)&gt;0,", "&amp;A42&amp;"-"&amp;AA$2,"")&amp;IF(N(AB42)&gt;0,", "&amp;A42&amp;"-"&amp;AB$2,"")&amp;IF(N(AC42)&gt;0,", "&amp;A42&amp;"-"&amp;AC$2,"")&amp;IF(N(AD42)&gt;0,", "&amp;A42&amp;"-"&amp;AD$2,"")&amp;IF(N(AE42)&gt;0,", "&amp;A42&amp;"-"&amp;AE$2,"")&amp;IF(N(AF42)&gt;0,", "&amp;A42&amp;"-"&amp;AF$2,"")&amp;IF(N(AG42)&gt;0,", "&amp;A42&amp;"-"&amp;AG$2,"")&amp;IF(N(AH42)&gt;0,", "&amp;A42&amp;"-"&amp;AH$2,"")&amp;IF(N(AI42)&gt;0,", "&amp;A42&amp;"-"&amp;AI$2,"")&amp;IF(N(AJ42)&gt;0,", "&amp;A42&amp;"-"&amp;AJ$2,""),3,999))</f>
        <v/>
      </c>
      <c r="AN42" s="81"/>
      <c r="AO42" s="88"/>
      <c r="AP42" s="89" t="str">
        <f aca="false">IF(AO42="","",ROUND(AO42/(1+Справочники!$B$13),2))</f>
        <v/>
      </c>
      <c r="AQ42" s="90" t="str">
        <f aca="false" t="array" ref="AQ42:AQ42">IF(AP42="","",AP42*INDEX(Справочники!$B$4:$B$7,MATCH("RUB",Справочники!$A$4:$A$7,0)))</f>
        <v/>
      </c>
      <c r="AR42" s="90" t="str">
        <f aca="false">IF(AQ42="","",ROUND(AQ42*(1+Справочники!$B$12),0))</f>
        <v/>
      </c>
      <c r="AS42" s="90" t="str">
        <f aca="false">IF(AR42="","",ROUND(AR42*(1-Справочники!$B$11),0))</f>
        <v/>
      </c>
      <c r="AT42" s="88"/>
      <c r="AU42" s="90" t="str">
        <f aca="false">IF(AT42="","",ROUND(AT42/(1+Справочники!$B$12),0))</f>
        <v/>
      </c>
      <c r="AV42" s="90" t="str">
        <f aca="false">IF(AT42="","",ROUND(AT42*(1-Справочники!$B$15),0))</f>
        <v/>
      </c>
      <c r="AW42" s="90" t="str">
        <f aca="false">IF(AT42="","",ROUND(AT42*(1-Справочники!$B$16),0))</f>
        <v/>
      </c>
      <c r="AX42" s="90" t="str">
        <f aca="false">IF(AT42="","",ROUND(AT42*(1-Справочники!$B$17),0))</f>
        <v/>
      </c>
      <c r="AY42" s="90" t="str">
        <f aca="false">IF(AT42="","",ROUND(AT42*(1-Справочники!$B$18),0))</f>
        <v/>
      </c>
      <c r="AZ42" s="90" t="str">
        <f aca="false">IF(AT42="","",ROUND(AT42*(1-Справочники!$B$19),0))</f>
        <v/>
      </c>
      <c r="BA42" s="81"/>
      <c r="BB42" s="81"/>
      <c r="BC42" s="81"/>
      <c r="BD42" s="81"/>
      <c r="BE42" s="91"/>
      <c r="BF42" s="81" t="s">
        <v>103</v>
      </c>
      <c r="BG42" s="89" t="n">
        <f aca="false" t="array" ref="BG42:BG42">IF(BF42="","",IFERROR(INDEX(Справочники!$B$4:$B$7,MATCH(BF42,Справочники!$A$4:$A$7,0)),""))</f>
        <v>68.5</v>
      </c>
      <c r="BH42" s="90" t="str">
        <f aca="false">IF(N(BN42)&gt;0,ROUND(SUMIF(ЗАКАЗЫ!$F$3:$F$500,$A42,ЗАКАЗЫ!$Y$3:$Y$500)/BN42,0),IF(OR(BE42="",BG42=""),"",ROUND(BE42*BG42*(1+Справочники!$B$10),0)))</f>
        <v/>
      </c>
      <c r="BI42" s="92" t="str">
        <f aca="false">IF(OR(AU42="",BH42="",AU42=0),"",(AU42-BH42)/AU42)</f>
        <v/>
      </c>
      <c r="BJ42" s="81"/>
      <c r="BK42" s="83"/>
      <c r="BL42" s="43" t="str">
        <f aca="false">IFERROR(INDEX(ЗАКАЗЫ!$N$3:$N$500,MATCH($A42,ЗАКАЗЫ!$F$3:$F$500,0)),"")</f>
        <v/>
      </c>
      <c r="BM42" s="8" t="str">
        <f aca="false">IF(BL42="","",IFERROR(VLOOKUP(BL42,'ТН ВЭД'!$A$4:$C$40,3,0),""))</f>
        <v/>
      </c>
      <c r="BN42" s="7" t="str">
        <f aca="false">IF(COUNTIF(ЗАКАЗЫ!$F$3:$F$500,$A42)=0,"",SUMIF(ЗАКАЗЫ!$F$3:$F$500,$A42,ЗАКАЗЫ!$J$3:$J$500))</f>
        <v/>
      </c>
      <c r="BO42" s="7" t="str">
        <f aca="false">IF(BN42="","",SUMIF(ЗАКАЗЫ!$F$3:$F$500,$A42,ЗАКАЗЫ!$AL$3:$AL$500))</f>
        <v/>
      </c>
      <c r="BP42" s="7" t="str">
        <f aca="false">IF(BN42="","",BN42-BO42)</f>
        <v/>
      </c>
      <c r="BQ42" s="55" t="str">
        <f aca="false">IF(BN42="","",IF(BO42&gt;=BN42,"На складе",IF(BO42&gt;0,"Частично","Ждём")))</f>
        <v/>
      </c>
      <c r="BR42" s="43"/>
      <c r="BS42" s="47" t="str">
        <f aca="false">IF(BN42="","",IF(_xlfn.MAXIFS(ЗАКАЗЫ!$AK$3:$AK$500,ЗАКАЗЫ!$F$3:$F$500,$A42)=0,"",_xlfn.MAXIFS(ЗАКАЗЫ!$AK$3:$AK$500,ЗАКАЗЫ!$F$3:$F$500,$A42)))</f>
        <v/>
      </c>
    </row>
    <row r="43" customFormat="false" ht="15.75" hidden="false" customHeight="true" outlineLevel="0" collapsed="false">
      <c r="A43" s="80" t="s">
        <v>1244</v>
      </c>
      <c r="B43" s="81"/>
      <c r="C43" s="81"/>
      <c r="D43" s="81"/>
      <c r="E43" s="83"/>
      <c r="F43" s="81"/>
      <c r="G43" s="83"/>
      <c r="H43" s="83"/>
      <c r="I43" s="84" t="str">
        <f aca="false">IF(E43="","",A43&amp;"_1.jpg")</f>
        <v/>
      </c>
      <c r="J43" s="84" t="str">
        <f aca="false">IF(E43="","",A43&amp;"_2.jpg; "&amp;A43&amp;"_3.jpg")</f>
        <v/>
      </c>
      <c r="K43" s="84" t="str">
        <f aca="false">IF(E43="","",A43&amp;"_schema.jpg")</f>
        <v/>
      </c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 t="s">
        <v>96</v>
      </c>
      <c r="W43" s="81"/>
      <c r="X43" s="81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6" t="str">
        <f aca="false">IF(SUM(Y43:AJ43)=0,"",SUM(Y43:AJ43))</f>
        <v/>
      </c>
      <c r="AL43" s="84" t="str">
        <f aca="false">MID(IF(N(Y43)&gt;0,", "&amp;Y$2,"")&amp;IF(N(Z43)&gt;0,", "&amp;Z$2,"")&amp;IF(N(AA43)&gt;0,", "&amp;AA$2,"")&amp;IF(N(AB43)&gt;0,", "&amp;AB$2,"")&amp;IF(N(AC43)&gt;0,", "&amp;AC$2,"")&amp;IF(N(AD43)&gt;0,", "&amp;AD$2,"")&amp;IF(N(AE43)&gt;0,", "&amp;AE$2,"")&amp;IF(N(AF43)&gt;0,", "&amp;AF$2,"")&amp;IF(N(AG43)&gt;0,", "&amp;AG$2,"")&amp;IF(N(AH43)&gt;0,", "&amp;AH$2,"")&amp;IF(N(AI43)&gt;0,", "&amp;AI$2,"")&amp;IF(N(AJ43)&gt;0,", "&amp;AJ$2,""),3,999)</f>
        <v/>
      </c>
      <c r="AM43" s="87" t="str">
        <f aca="false">IF(E43="","",MID(IF(N(Y43)&gt;0,", "&amp;A43&amp;"-"&amp;Y$2,"")&amp;IF(N(Z43)&gt;0,", "&amp;A43&amp;"-"&amp;Z$2,"")&amp;IF(N(AA43)&gt;0,", "&amp;A43&amp;"-"&amp;AA$2,"")&amp;IF(N(AB43)&gt;0,", "&amp;A43&amp;"-"&amp;AB$2,"")&amp;IF(N(AC43)&gt;0,", "&amp;A43&amp;"-"&amp;AC$2,"")&amp;IF(N(AD43)&gt;0,", "&amp;A43&amp;"-"&amp;AD$2,"")&amp;IF(N(AE43)&gt;0,", "&amp;A43&amp;"-"&amp;AE$2,"")&amp;IF(N(AF43)&gt;0,", "&amp;A43&amp;"-"&amp;AF$2,"")&amp;IF(N(AG43)&gt;0,", "&amp;A43&amp;"-"&amp;AG$2,"")&amp;IF(N(AH43)&gt;0,", "&amp;A43&amp;"-"&amp;AH$2,"")&amp;IF(N(AI43)&gt;0,", "&amp;A43&amp;"-"&amp;AI$2,"")&amp;IF(N(AJ43)&gt;0,", "&amp;A43&amp;"-"&amp;AJ$2,""),3,999))</f>
        <v/>
      </c>
      <c r="AN43" s="81"/>
      <c r="AO43" s="88"/>
      <c r="AP43" s="89" t="str">
        <f aca="false">IF(AO43="","",ROUND(AO43/(1+Справочники!$B$13),2))</f>
        <v/>
      </c>
      <c r="AQ43" s="90" t="str">
        <f aca="false" t="array" ref="AQ43:AQ43">IF(AP43="","",AP43*INDEX(Справочники!$B$4:$B$7,MATCH("RUB",Справочники!$A$4:$A$7,0)))</f>
        <v/>
      </c>
      <c r="AR43" s="90" t="str">
        <f aca="false">IF(AQ43="","",ROUND(AQ43*(1+Справочники!$B$12),0))</f>
        <v/>
      </c>
      <c r="AS43" s="90" t="str">
        <f aca="false">IF(AR43="","",ROUND(AR43*(1-Справочники!$B$11),0))</f>
        <v/>
      </c>
      <c r="AT43" s="88"/>
      <c r="AU43" s="90" t="str">
        <f aca="false">IF(AT43="","",ROUND(AT43/(1+Справочники!$B$12),0))</f>
        <v/>
      </c>
      <c r="AV43" s="90" t="str">
        <f aca="false">IF(AT43="","",ROUND(AT43*(1-Справочники!$B$15),0))</f>
        <v/>
      </c>
      <c r="AW43" s="90" t="str">
        <f aca="false">IF(AT43="","",ROUND(AT43*(1-Справочники!$B$16),0))</f>
        <v/>
      </c>
      <c r="AX43" s="90" t="str">
        <f aca="false">IF(AT43="","",ROUND(AT43*(1-Справочники!$B$17),0))</f>
        <v/>
      </c>
      <c r="AY43" s="90" t="str">
        <f aca="false">IF(AT43="","",ROUND(AT43*(1-Справочники!$B$18),0))</f>
        <v/>
      </c>
      <c r="AZ43" s="90" t="str">
        <f aca="false">IF(AT43="","",ROUND(AT43*(1-Справочники!$B$19),0))</f>
        <v/>
      </c>
      <c r="BA43" s="81"/>
      <c r="BB43" s="81"/>
      <c r="BC43" s="81"/>
      <c r="BD43" s="81"/>
      <c r="BE43" s="91"/>
      <c r="BF43" s="81" t="s">
        <v>103</v>
      </c>
      <c r="BG43" s="89" t="n">
        <f aca="false" t="array" ref="BG43:BG43">IF(BF43="","",IFERROR(INDEX(Справочники!$B$4:$B$7,MATCH(BF43,Справочники!$A$4:$A$7,0)),""))</f>
        <v>68.5</v>
      </c>
      <c r="BH43" s="90" t="str">
        <f aca="false">IF(N(BN43)&gt;0,ROUND(SUMIF(ЗАКАЗЫ!$F$3:$F$500,$A43,ЗАКАЗЫ!$Y$3:$Y$500)/BN43,0),IF(OR(BE43="",BG43=""),"",ROUND(BE43*BG43*(1+Справочники!$B$10),0)))</f>
        <v/>
      </c>
      <c r="BI43" s="92" t="str">
        <f aca="false">IF(OR(AU43="",BH43="",AU43=0),"",(AU43-BH43)/AU43)</f>
        <v/>
      </c>
      <c r="BJ43" s="81"/>
      <c r="BK43" s="83"/>
      <c r="BL43" s="43" t="str">
        <f aca="false">IFERROR(INDEX(ЗАКАЗЫ!$N$3:$N$500,MATCH($A43,ЗАКАЗЫ!$F$3:$F$500,0)),"")</f>
        <v/>
      </c>
      <c r="BM43" s="8" t="str">
        <f aca="false">IF(BL43="","",IFERROR(VLOOKUP(BL43,'ТН ВЭД'!$A$4:$C$40,3,0),""))</f>
        <v/>
      </c>
      <c r="BN43" s="7" t="str">
        <f aca="false">IF(COUNTIF(ЗАКАЗЫ!$F$3:$F$500,$A43)=0,"",SUMIF(ЗАКАЗЫ!$F$3:$F$500,$A43,ЗАКАЗЫ!$J$3:$J$500))</f>
        <v/>
      </c>
      <c r="BO43" s="7" t="str">
        <f aca="false">IF(BN43="","",SUMIF(ЗАКАЗЫ!$F$3:$F$500,$A43,ЗАКАЗЫ!$AL$3:$AL$500))</f>
        <v/>
      </c>
      <c r="BP43" s="7" t="str">
        <f aca="false">IF(BN43="","",BN43-BO43)</f>
        <v/>
      </c>
      <c r="BQ43" s="55" t="str">
        <f aca="false">IF(BN43="","",IF(BO43&gt;=BN43,"На складе",IF(BO43&gt;0,"Частично","Ждём")))</f>
        <v/>
      </c>
      <c r="BR43" s="43"/>
      <c r="BS43" s="47" t="str">
        <f aca="false">IF(BN43="","",IF(_xlfn.MAXIFS(ЗАКАЗЫ!$AK$3:$AK$500,ЗАКАЗЫ!$F$3:$F$500,$A43)=0,"",_xlfn.MAXIFS(ЗАКАЗЫ!$AK$3:$AK$500,ЗАКАЗЫ!$F$3:$F$500,$A43)))</f>
        <v/>
      </c>
    </row>
    <row r="44" customFormat="false" ht="15.75" hidden="false" customHeight="true" outlineLevel="0" collapsed="false">
      <c r="A44" s="80" t="s">
        <v>1245</v>
      </c>
      <c r="B44" s="81"/>
      <c r="C44" s="81"/>
      <c r="D44" s="81"/>
      <c r="E44" s="83"/>
      <c r="F44" s="81"/>
      <c r="G44" s="83"/>
      <c r="H44" s="83"/>
      <c r="I44" s="84" t="str">
        <f aca="false">IF(E44="","",A44&amp;"_1.jpg")</f>
        <v/>
      </c>
      <c r="J44" s="84" t="str">
        <f aca="false">IF(E44="","",A44&amp;"_2.jpg; "&amp;A44&amp;"_3.jpg")</f>
        <v/>
      </c>
      <c r="K44" s="84" t="str">
        <f aca="false">IF(E44="","",A44&amp;"_schema.jpg")</f>
        <v/>
      </c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 t="s">
        <v>96</v>
      </c>
      <c r="W44" s="81"/>
      <c r="X44" s="81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6" t="str">
        <f aca="false">IF(SUM(Y44:AJ44)=0,"",SUM(Y44:AJ44))</f>
        <v/>
      </c>
      <c r="AL44" s="84" t="str">
        <f aca="false">MID(IF(N(Y44)&gt;0,", "&amp;Y$2,"")&amp;IF(N(Z44)&gt;0,", "&amp;Z$2,"")&amp;IF(N(AA44)&gt;0,", "&amp;AA$2,"")&amp;IF(N(AB44)&gt;0,", "&amp;AB$2,"")&amp;IF(N(AC44)&gt;0,", "&amp;AC$2,"")&amp;IF(N(AD44)&gt;0,", "&amp;AD$2,"")&amp;IF(N(AE44)&gt;0,", "&amp;AE$2,"")&amp;IF(N(AF44)&gt;0,", "&amp;AF$2,"")&amp;IF(N(AG44)&gt;0,", "&amp;AG$2,"")&amp;IF(N(AH44)&gt;0,", "&amp;AH$2,"")&amp;IF(N(AI44)&gt;0,", "&amp;AI$2,"")&amp;IF(N(AJ44)&gt;0,", "&amp;AJ$2,""),3,999)</f>
        <v/>
      </c>
      <c r="AM44" s="87" t="str">
        <f aca="false">IF(E44="","",MID(IF(N(Y44)&gt;0,", "&amp;A44&amp;"-"&amp;Y$2,"")&amp;IF(N(Z44)&gt;0,", "&amp;A44&amp;"-"&amp;Z$2,"")&amp;IF(N(AA44)&gt;0,", "&amp;A44&amp;"-"&amp;AA$2,"")&amp;IF(N(AB44)&gt;0,", "&amp;A44&amp;"-"&amp;AB$2,"")&amp;IF(N(AC44)&gt;0,", "&amp;A44&amp;"-"&amp;AC$2,"")&amp;IF(N(AD44)&gt;0,", "&amp;A44&amp;"-"&amp;AD$2,"")&amp;IF(N(AE44)&gt;0,", "&amp;A44&amp;"-"&amp;AE$2,"")&amp;IF(N(AF44)&gt;0,", "&amp;A44&amp;"-"&amp;AF$2,"")&amp;IF(N(AG44)&gt;0,", "&amp;A44&amp;"-"&amp;AG$2,"")&amp;IF(N(AH44)&gt;0,", "&amp;A44&amp;"-"&amp;AH$2,"")&amp;IF(N(AI44)&gt;0,", "&amp;A44&amp;"-"&amp;AI$2,"")&amp;IF(N(AJ44)&gt;0,", "&amp;A44&amp;"-"&amp;AJ$2,""),3,999))</f>
        <v/>
      </c>
      <c r="AN44" s="81"/>
      <c r="AO44" s="88"/>
      <c r="AP44" s="89" t="str">
        <f aca="false">IF(AO44="","",ROUND(AO44/(1+Справочники!$B$13),2))</f>
        <v/>
      </c>
      <c r="AQ44" s="90" t="str">
        <f aca="false" t="array" ref="AQ44:AQ44">IF(AP44="","",AP44*INDEX(Справочники!$B$4:$B$7,MATCH("RUB",Справочники!$A$4:$A$7,0)))</f>
        <v/>
      </c>
      <c r="AR44" s="90" t="str">
        <f aca="false">IF(AQ44="","",ROUND(AQ44*(1+Справочники!$B$12),0))</f>
        <v/>
      </c>
      <c r="AS44" s="90" t="str">
        <f aca="false">IF(AR44="","",ROUND(AR44*(1-Справочники!$B$11),0))</f>
        <v/>
      </c>
      <c r="AT44" s="88"/>
      <c r="AU44" s="90" t="str">
        <f aca="false">IF(AT44="","",ROUND(AT44/(1+Справочники!$B$12),0))</f>
        <v/>
      </c>
      <c r="AV44" s="90" t="str">
        <f aca="false">IF(AT44="","",ROUND(AT44*(1-Справочники!$B$15),0))</f>
        <v/>
      </c>
      <c r="AW44" s="90" t="str">
        <f aca="false">IF(AT44="","",ROUND(AT44*(1-Справочники!$B$16),0))</f>
        <v/>
      </c>
      <c r="AX44" s="90" t="str">
        <f aca="false">IF(AT44="","",ROUND(AT44*(1-Справочники!$B$17),0))</f>
        <v/>
      </c>
      <c r="AY44" s="90" t="str">
        <f aca="false">IF(AT44="","",ROUND(AT44*(1-Справочники!$B$18),0))</f>
        <v/>
      </c>
      <c r="AZ44" s="90" t="str">
        <f aca="false">IF(AT44="","",ROUND(AT44*(1-Справочники!$B$19),0))</f>
        <v/>
      </c>
      <c r="BA44" s="81"/>
      <c r="BB44" s="81"/>
      <c r="BC44" s="81"/>
      <c r="BD44" s="81"/>
      <c r="BE44" s="91"/>
      <c r="BF44" s="81" t="s">
        <v>103</v>
      </c>
      <c r="BG44" s="89" t="n">
        <f aca="false" t="array" ref="BG44:BG44">IF(BF44="","",IFERROR(INDEX(Справочники!$B$4:$B$7,MATCH(BF44,Справочники!$A$4:$A$7,0)),""))</f>
        <v>68.5</v>
      </c>
      <c r="BH44" s="90" t="str">
        <f aca="false">IF(N(BN44)&gt;0,ROUND(SUMIF(ЗАКАЗЫ!$F$3:$F$500,$A44,ЗАКАЗЫ!$Y$3:$Y$500)/BN44,0),IF(OR(BE44="",BG44=""),"",ROUND(BE44*BG44*(1+Справочники!$B$10),0)))</f>
        <v/>
      </c>
      <c r="BI44" s="92" t="str">
        <f aca="false">IF(OR(AU44="",BH44="",AU44=0),"",(AU44-BH44)/AU44)</f>
        <v/>
      </c>
      <c r="BJ44" s="81"/>
      <c r="BK44" s="83"/>
      <c r="BL44" s="43" t="str">
        <f aca="false">IFERROR(INDEX(ЗАКАЗЫ!$N$3:$N$500,MATCH($A44,ЗАКАЗЫ!$F$3:$F$500,0)),"")</f>
        <v/>
      </c>
      <c r="BM44" s="8" t="str">
        <f aca="false">IF(BL44="","",IFERROR(VLOOKUP(BL44,'ТН ВЭД'!$A$4:$C$40,3,0),""))</f>
        <v/>
      </c>
      <c r="BN44" s="7" t="str">
        <f aca="false">IF(COUNTIF(ЗАКАЗЫ!$F$3:$F$500,$A44)=0,"",SUMIF(ЗАКАЗЫ!$F$3:$F$500,$A44,ЗАКАЗЫ!$J$3:$J$500))</f>
        <v/>
      </c>
      <c r="BO44" s="7" t="str">
        <f aca="false">IF(BN44="","",SUMIF(ЗАКАЗЫ!$F$3:$F$500,$A44,ЗАКАЗЫ!$AL$3:$AL$500))</f>
        <v/>
      </c>
      <c r="BP44" s="7" t="str">
        <f aca="false">IF(BN44="","",BN44-BO44)</f>
        <v/>
      </c>
      <c r="BQ44" s="55" t="str">
        <f aca="false">IF(BN44="","",IF(BO44&gt;=BN44,"На складе",IF(BO44&gt;0,"Частично","Ждём")))</f>
        <v/>
      </c>
      <c r="BR44" s="43"/>
      <c r="BS44" s="47" t="str">
        <f aca="false">IF(BN44="","",IF(_xlfn.MAXIFS(ЗАКАЗЫ!$AK$3:$AK$500,ЗАКАЗЫ!$F$3:$F$500,$A44)=0,"",_xlfn.MAXIFS(ЗАКАЗЫ!$AK$3:$AK$500,ЗАКАЗЫ!$F$3:$F$500,$A44)))</f>
        <v/>
      </c>
    </row>
    <row r="45" customFormat="false" ht="15.75" hidden="false" customHeight="true" outlineLevel="0" collapsed="false">
      <c r="A45" s="80" t="s">
        <v>1246</v>
      </c>
      <c r="B45" s="81"/>
      <c r="C45" s="81"/>
      <c r="D45" s="81"/>
      <c r="E45" s="83"/>
      <c r="F45" s="81"/>
      <c r="G45" s="83"/>
      <c r="H45" s="83"/>
      <c r="I45" s="84" t="str">
        <f aca="false">IF(E45="","",A45&amp;"_1.jpg")</f>
        <v/>
      </c>
      <c r="J45" s="84" t="str">
        <f aca="false">IF(E45="","",A45&amp;"_2.jpg; "&amp;A45&amp;"_3.jpg")</f>
        <v/>
      </c>
      <c r="K45" s="84" t="str">
        <f aca="false">IF(E45="","",A45&amp;"_schema.jpg")</f>
        <v/>
      </c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 t="s">
        <v>96</v>
      </c>
      <c r="W45" s="81"/>
      <c r="X45" s="81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6" t="str">
        <f aca="false">IF(SUM(Y45:AJ45)=0,"",SUM(Y45:AJ45))</f>
        <v/>
      </c>
      <c r="AL45" s="84" t="str">
        <f aca="false">MID(IF(N(Y45)&gt;0,", "&amp;Y$2,"")&amp;IF(N(Z45)&gt;0,", "&amp;Z$2,"")&amp;IF(N(AA45)&gt;0,", "&amp;AA$2,"")&amp;IF(N(AB45)&gt;0,", "&amp;AB$2,"")&amp;IF(N(AC45)&gt;0,", "&amp;AC$2,"")&amp;IF(N(AD45)&gt;0,", "&amp;AD$2,"")&amp;IF(N(AE45)&gt;0,", "&amp;AE$2,"")&amp;IF(N(AF45)&gt;0,", "&amp;AF$2,"")&amp;IF(N(AG45)&gt;0,", "&amp;AG$2,"")&amp;IF(N(AH45)&gt;0,", "&amp;AH$2,"")&amp;IF(N(AI45)&gt;0,", "&amp;AI$2,"")&amp;IF(N(AJ45)&gt;0,", "&amp;AJ$2,""),3,999)</f>
        <v/>
      </c>
      <c r="AM45" s="87" t="str">
        <f aca="false">IF(E45="","",MID(IF(N(Y45)&gt;0,", "&amp;A45&amp;"-"&amp;Y$2,"")&amp;IF(N(Z45)&gt;0,", "&amp;A45&amp;"-"&amp;Z$2,"")&amp;IF(N(AA45)&gt;0,", "&amp;A45&amp;"-"&amp;AA$2,"")&amp;IF(N(AB45)&gt;0,", "&amp;A45&amp;"-"&amp;AB$2,"")&amp;IF(N(AC45)&gt;0,", "&amp;A45&amp;"-"&amp;AC$2,"")&amp;IF(N(AD45)&gt;0,", "&amp;A45&amp;"-"&amp;AD$2,"")&amp;IF(N(AE45)&gt;0,", "&amp;A45&amp;"-"&amp;AE$2,"")&amp;IF(N(AF45)&gt;0,", "&amp;A45&amp;"-"&amp;AF$2,"")&amp;IF(N(AG45)&gt;0,", "&amp;A45&amp;"-"&amp;AG$2,"")&amp;IF(N(AH45)&gt;0,", "&amp;A45&amp;"-"&amp;AH$2,"")&amp;IF(N(AI45)&gt;0,", "&amp;A45&amp;"-"&amp;AI$2,"")&amp;IF(N(AJ45)&gt;0,", "&amp;A45&amp;"-"&amp;AJ$2,""),3,999))</f>
        <v/>
      </c>
      <c r="AN45" s="81"/>
      <c r="AO45" s="88"/>
      <c r="AP45" s="89" t="str">
        <f aca="false">IF(AO45="","",ROUND(AO45/(1+Справочники!$B$13),2))</f>
        <v/>
      </c>
      <c r="AQ45" s="90" t="str">
        <f aca="false" t="array" ref="AQ45:AQ45">IF(AP45="","",AP45*INDEX(Справочники!$B$4:$B$7,MATCH("RUB",Справочники!$A$4:$A$7,0)))</f>
        <v/>
      </c>
      <c r="AR45" s="90" t="str">
        <f aca="false">IF(AQ45="","",ROUND(AQ45*(1+Справочники!$B$12),0))</f>
        <v/>
      </c>
      <c r="AS45" s="90" t="str">
        <f aca="false">IF(AR45="","",ROUND(AR45*(1-Справочники!$B$11),0))</f>
        <v/>
      </c>
      <c r="AT45" s="88"/>
      <c r="AU45" s="90" t="str">
        <f aca="false">IF(AT45="","",ROUND(AT45/(1+Справочники!$B$12),0))</f>
        <v/>
      </c>
      <c r="AV45" s="90" t="str">
        <f aca="false">IF(AT45="","",ROUND(AT45*(1-Справочники!$B$15),0))</f>
        <v/>
      </c>
      <c r="AW45" s="90" t="str">
        <f aca="false">IF(AT45="","",ROUND(AT45*(1-Справочники!$B$16),0))</f>
        <v/>
      </c>
      <c r="AX45" s="90" t="str">
        <f aca="false">IF(AT45="","",ROUND(AT45*(1-Справочники!$B$17),0))</f>
        <v/>
      </c>
      <c r="AY45" s="90" t="str">
        <f aca="false">IF(AT45="","",ROUND(AT45*(1-Справочники!$B$18),0))</f>
        <v/>
      </c>
      <c r="AZ45" s="90" t="str">
        <f aca="false">IF(AT45="","",ROUND(AT45*(1-Справочники!$B$19),0))</f>
        <v/>
      </c>
      <c r="BA45" s="81"/>
      <c r="BB45" s="81"/>
      <c r="BC45" s="81"/>
      <c r="BD45" s="81"/>
      <c r="BE45" s="91"/>
      <c r="BF45" s="81" t="s">
        <v>103</v>
      </c>
      <c r="BG45" s="89" t="n">
        <f aca="false" t="array" ref="BG45:BG45">IF(BF45="","",IFERROR(INDEX(Справочники!$B$4:$B$7,MATCH(BF45,Справочники!$A$4:$A$7,0)),""))</f>
        <v>68.5</v>
      </c>
      <c r="BH45" s="90" t="str">
        <f aca="false">IF(N(BN45)&gt;0,ROUND(SUMIF(ЗАКАЗЫ!$F$3:$F$500,$A45,ЗАКАЗЫ!$Y$3:$Y$500)/BN45,0),IF(OR(BE45="",BG45=""),"",ROUND(BE45*BG45*(1+Справочники!$B$10),0)))</f>
        <v/>
      </c>
      <c r="BI45" s="92" t="str">
        <f aca="false">IF(OR(AU45="",BH45="",AU45=0),"",(AU45-BH45)/AU45)</f>
        <v/>
      </c>
      <c r="BJ45" s="81"/>
      <c r="BK45" s="83"/>
      <c r="BL45" s="43" t="str">
        <f aca="false">IFERROR(INDEX(ЗАКАЗЫ!$N$3:$N$500,MATCH($A45,ЗАКАЗЫ!$F$3:$F$500,0)),"")</f>
        <v/>
      </c>
      <c r="BM45" s="8" t="str">
        <f aca="false">IF(BL45="","",IFERROR(VLOOKUP(BL45,'ТН ВЭД'!$A$4:$C$40,3,0),""))</f>
        <v/>
      </c>
      <c r="BN45" s="7" t="str">
        <f aca="false">IF(COUNTIF(ЗАКАЗЫ!$F$3:$F$500,$A45)=0,"",SUMIF(ЗАКАЗЫ!$F$3:$F$500,$A45,ЗАКАЗЫ!$J$3:$J$500))</f>
        <v/>
      </c>
      <c r="BO45" s="7" t="str">
        <f aca="false">IF(BN45="","",SUMIF(ЗАКАЗЫ!$F$3:$F$500,$A45,ЗАКАЗЫ!$AL$3:$AL$500))</f>
        <v/>
      </c>
      <c r="BP45" s="7" t="str">
        <f aca="false">IF(BN45="","",BN45-BO45)</f>
        <v/>
      </c>
      <c r="BQ45" s="55" t="str">
        <f aca="false">IF(BN45="","",IF(BO45&gt;=BN45,"На складе",IF(BO45&gt;0,"Частично","Ждём")))</f>
        <v/>
      </c>
      <c r="BR45" s="43"/>
      <c r="BS45" s="47" t="str">
        <f aca="false">IF(BN45="","",IF(_xlfn.MAXIFS(ЗАКАЗЫ!$AK$3:$AK$500,ЗАКАЗЫ!$F$3:$F$500,$A45)=0,"",_xlfn.MAXIFS(ЗАКАЗЫ!$AK$3:$AK$500,ЗАКАЗЫ!$F$3:$F$500,$A45)))</f>
        <v/>
      </c>
    </row>
    <row r="46" customFormat="false" ht="15.75" hidden="false" customHeight="true" outlineLevel="0" collapsed="false">
      <c r="A46" s="80" t="s">
        <v>1247</v>
      </c>
      <c r="B46" s="81"/>
      <c r="C46" s="81"/>
      <c r="D46" s="81"/>
      <c r="E46" s="83"/>
      <c r="F46" s="81"/>
      <c r="G46" s="83"/>
      <c r="H46" s="83"/>
      <c r="I46" s="84" t="str">
        <f aca="false">IF(E46="","",A46&amp;"_1.jpg")</f>
        <v/>
      </c>
      <c r="J46" s="84" t="str">
        <f aca="false">IF(E46="","",A46&amp;"_2.jpg; "&amp;A46&amp;"_3.jpg")</f>
        <v/>
      </c>
      <c r="K46" s="84" t="str">
        <f aca="false">IF(E46="","",A46&amp;"_schema.jpg")</f>
        <v/>
      </c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 t="s">
        <v>96</v>
      </c>
      <c r="W46" s="81"/>
      <c r="X46" s="81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6" t="str">
        <f aca="false">IF(SUM(Y46:AJ46)=0,"",SUM(Y46:AJ46))</f>
        <v/>
      </c>
      <c r="AL46" s="84" t="str">
        <f aca="false">MID(IF(N(Y46)&gt;0,", "&amp;Y$2,"")&amp;IF(N(Z46)&gt;0,", "&amp;Z$2,"")&amp;IF(N(AA46)&gt;0,", "&amp;AA$2,"")&amp;IF(N(AB46)&gt;0,", "&amp;AB$2,"")&amp;IF(N(AC46)&gt;0,", "&amp;AC$2,"")&amp;IF(N(AD46)&gt;0,", "&amp;AD$2,"")&amp;IF(N(AE46)&gt;0,", "&amp;AE$2,"")&amp;IF(N(AF46)&gt;0,", "&amp;AF$2,"")&amp;IF(N(AG46)&gt;0,", "&amp;AG$2,"")&amp;IF(N(AH46)&gt;0,", "&amp;AH$2,"")&amp;IF(N(AI46)&gt;0,", "&amp;AI$2,"")&amp;IF(N(AJ46)&gt;0,", "&amp;AJ$2,""),3,999)</f>
        <v/>
      </c>
      <c r="AM46" s="87" t="str">
        <f aca="false">IF(E46="","",MID(IF(N(Y46)&gt;0,", "&amp;A46&amp;"-"&amp;Y$2,"")&amp;IF(N(Z46)&gt;0,", "&amp;A46&amp;"-"&amp;Z$2,"")&amp;IF(N(AA46)&gt;0,", "&amp;A46&amp;"-"&amp;AA$2,"")&amp;IF(N(AB46)&gt;0,", "&amp;A46&amp;"-"&amp;AB$2,"")&amp;IF(N(AC46)&gt;0,", "&amp;A46&amp;"-"&amp;AC$2,"")&amp;IF(N(AD46)&gt;0,", "&amp;A46&amp;"-"&amp;AD$2,"")&amp;IF(N(AE46)&gt;0,", "&amp;A46&amp;"-"&amp;AE$2,"")&amp;IF(N(AF46)&gt;0,", "&amp;A46&amp;"-"&amp;AF$2,"")&amp;IF(N(AG46)&gt;0,", "&amp;A46&amp;"-"&amp;AG$2,"")&amp;IF(N(AH46)&gt;0,", "&amp;A46&amp;"-"&amp;AH$2,"")&amp;IF(N(AI46)&gt;0,", "&amp;A46&amp;"-"&amp;AI$2,"")&amp;IF(N(AJ46)&gt;0,", "&amp;A46&amp;"-"&amp;AJ$2,""),3,999))</f>
        <v/>
      </c>
      <c r="AN46" s="81"/>
      <c r="AO46" s="88"/>
      <c r="AP46" s="89" t="str">
        <f aca="false">IF(AO46="","",ROUND(AO46/(1+Справочники!$B$13),2))</f>
        <v/>
      </c>
      <c r="AQ46" s="90" t="str">
        <f aca="false" t="array" ref="AQ46:AQ46">IF(AP46="","",AP46*INDEX(Справочники!$B$4:$B$7,MATCH("RUB",Справочники!$A$4:$A$7,0)))</f>
        <v/>
      </c>
      <c r="AR46" s="90" t="str">
        <f aca="false">IF(AQ46="","",ROUND(AQ46*(1+Справочники!$B$12),0))</f>
        <v/>
      </c>
      <c r="AS46" s="90" t="str">
        <f aca="false">IF(AR46="","",ROUND(AR46*(1-Справочники!$B$11),0))</f>
        <v/>
      </c>
      <c r="AT46" s="88"/>
      <c r="AU46" s="90" t="str">
        <f aca="false">IF(AT46="","",ROUND(AT46/(1+Справочники!$B$12),0))</f>
        <v/>
      </c>
      <c r="AV46" s="90" t="str">
        <f aca="false">IF(AT46="","",ROUND(AT46*(1-Справочники!$B$15),0))</f>
        <v/>
      </c>
      <c r="AW46" s="90" t="str">
        <f aca="false">IF(AT46="","",ROUND(AT46*(1-Справочники!$B$16),0))</f>
        <v/>
      </c>
      <c r="AX46" s="90" t="str">
        <f aca="false">IF(AT46="","",ROUND(AT46*(1-Справочники!$B$17),0))</f>
        <v/>
      </c>
      <c r="AY46" s="90" t="str">
        <f aca="false">IF(AT46="","",ROUND(AT46*(1-Справочники!$B$18),0))</f>
        <v/>
      </c>
      <c r="AZ46" s="90" t="str">
        <f aca="false">IF(AT46="","",ROUND(AT46*(1-Справочники!$B$19),0))</f>
        <v/>
      </c>
      <c r="BA46" s="81"/>
      <c r="BB46" s="81"/>
      <c r="BC46" s="81"/>
      <c r="BD46" s="81"/>
      <c r="BE46" s="91"/>
      <c r="BF46" s="81" t="s">
        <v>103</v>
      </c>
      <c r="BG46" s="89" t="n">
        <f aca="false" t="array" ref="BG46:BG46">IF(BF46="","",IFERROR(INDEX(Справочники!$B$4:$B$7,MATCH(BF46,Справочники!$A$4:$A$7,0)),""))</f>
        <v>68.5</v>
      </c>
      <c r="BH46" s="90" t="str">
        <f aca="false">IF(N(BN46)&gt;0,ROUND(SUMIF(ЗАКАЗЫ!$F$3:$F$500,$A46,ЗАКАЗЫ!$Y$3:$Y$500)/BN46,0),IF(OR(BE46="",BG46=""),"",ROUND(BE46*BG46*(1+Справочники!$B$10),0)))</f>
        <v/>
      </c>
      <c r="BI46" s="92" t="str">
        <f aca="false">IF(OR(AU46="",BH46="",AU46=0),"",(AU46-BH46)/AU46)</f>
        <v/>
      </c>
      <c r="BJ46" s="81"/>
      <c r="BK46" s="83"/>
      <c r="BL46" s="43" t="str">
        <f aca="false">IFERROR(INDEX(ЗАКАЗЫ!$N$3:$N$500,MATCH($A46,ЗАКАЗЫ!$F$3:$F$500,0)),"")</f>
        <v/>
      </c>
      <c r="BM46" s="8" t="str">
        <f aca="false">IF(BL46="","",IFERROR(VLOOKUP(BL46,'ТН ВЭД'!$A$4:$C$40,3,0),""))</f>
        <v/>
      </c>
      <c r="BN46" s="7" t="str">
        <f aca="false">IF(COUNTIF(ЗАКАЗЫ!$F$3:$F$500,$A46)=0,"",SUMIF(ЗАКАЗЫ!$F$3:$F$500,$A46,ЗАКАЗЫ!$J$3:$J$500))</f>
        <v/>
      </c>
      <c r="BO46" s="7" t="str">
        <f aca="false">IF(BN46="","",SUMIF(ЗАКАЗЫ!$F$3:$F$500,$A46,ЗАКАЗЫ!$AL$3:$AL$500))</f>
        <v/>
      </c>
      <c r="BP46" s="7" t="str">
        <f aca="false">IF(BN46="","",BN46-BO46)</f>
        <v/>
      </c>
      <c r="BQ46" s="55" t="str">
        <f aca="false">IF(BN46="","",IF(BO46&gt;=BN46,"На складе",IF(BO46&gt;0,"Частично","Ждём")))</f>
        <v/>
      </c>
      <c r="BR46" s="43"/>
      <c r="BS46" s="47" t="str">
        <f aca="false">IF(BN46="","",IF(_xlfn.MAXIFS(ЗАКАЗЫ!$AK$3:$AK$500,ЗАКАЗЫ!$F$3:$F$500,$A46)=0,"",_xlfn.MAXIFS(ЗАКАЗЫ!$AK$3:$AK$500,ЗАКАЗЫ!$F$3:$F$500,$A46)))</f>
        <v/>
      </c>
    </row>
    <row r="47" customFormat="false" ht="15.75" hidden="false" customHeight="true" outlineLevel="0" collapsed="false">
      <c r="A47" s="80" t="s">
        <v>1248</v>
      </c>
      <c r="B47" s="81"/>
      <c r="C47" s="81"/>
      <c r="D47" s="81"/>
      <c r="E47" s="83"/>
      <c r="F47" s="81"/>
      <c r="G47" s="83"/>
      <c r="H47" s="83"/>
      <c r="I47" s="84" t="str">
        <f aca="false">IF(E47="","",A47&amp;"_1.jpg")</f>
        <v/>
      </c>
      <c r="J47" s="84" t="str">
        <f aca="false">IF(E47="","",A47&amp;"_2.jpg; "&amp;A47&amp;"_3.jpg")</f>
        <v/>
      </c>
      <c r="K47" s="84" t="str">
        <f aca="false">IF(E47="","",A47&amp;"_schema.jpg")</f>
        <v/>
      </c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 t="s">
        <v>96</v>
      </c>
      <c r="W47" s="81"/>
      <c r="X47" s="81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6" t="str">
        <f aca="false">IF(SUM(Y47:AJ47)=0,"",SUM(Y47:AJ47))</f>
        <v/>
      </c>
      <c r="AL47" s="84" t="str">
        <f aca="false">MID(IF(N(Y47)&gt;0,", "&amp;Y$2,"")&amp;IF(N(Z47)&gt;0,", "&amp;Z$2,"")&amp;IF(N(AA47)&gt;0,", "&amp;AA$2,"")&amp;IF(N(AB47)&gt;0,", "&amp;AB$2,"")&amp;IF(N(AC47)&gt;0,", "&amp;AC$2,"")&amp;IF(N(AD47)&gt;0,", "&amp;AD$2,"")&amp;IF(N(AE47)&gt;0,", "&amp;AE$2,"")&amp;IF(N(AF47)&gt;0,", "&amp;AF$2,"")&amp;IF(N(AG47)&gt;0,", "&amp;AG$2,"")&amp;IF(N(AH47)&gt;0,", "&amp;AH$2,"")&amp;IF(N(AI47)&gt;0,", "&amp;AI$2,"")&amp;IF(N(AJ47)&gt;0,", "&amp;AJ$2,""),3,999)</f>
        <v/>
      </c>
      <c r="AM47" s="87" t="str">
        <f aca="false">IF(E47="","",MID(IF(N(Y47)&gt;0,", "&amp;A47&amp;"-"&amp;Y$2,"")&amp;IF(N(Z47)&gt;0,", "&amp;A47&amp;"-"&amp;Z$2,"")&amp;IF(N(AA47)&gt;0,", "&amp;A47&amp;"-"&amp;AA$2,"")&amp;IF(N(AB47)&gt;0,", "&amp;A47&amp;"-"&amp;AB$2,"")&amp;IF(N(AC47)&gt;0,", "&amp;A47&amp;"-"&amp;AC$2,"")&amp;IF(N(AD47)&gt;0,", "&amp;A47&amp;"-"&amp;AD$2,"")&amp;IF(N(AE47)&gt;0,", "&amp;A47&amp;"-"&amp;AE$2,"")&amp;IF(N(AF47)&gt;0,", "&amp;A47&amp;"-"&amp;AF$2,"")&amp;IF(N(AG47)&gt;0,", "&amp;A47&amp;"-"&amp;AG$2,"")&amp;IF(N(AH47)&gt;0,", "&amp;A47&amp;"-"&amp;AH$2,"")&amp;IF(N(AI47)&gt;0,", "&amp;A47&amp;"-"&amp;AI$2,"")&amp;IF(N(AJ47)&gt;0,", "&amp;A47&amp;"-"&amp;AJ$2,""),3,999))</f>
        <v/>
      </c>
      <c r="AN47" s="81"/>
      <c r="AO47" s="88"/>
      <c r="AP47" s="89" t="str">
        <f aca="false">IF(AO47="","",ROUND(AO47/(1+Справочники!$B$13),2))</f>
        <v/>
      </c>
      <c r="AQ47" s="90" t="str">
        <f aca="false" t="array" ref="AQ47:AQ47">IF(AP47="","",AP47*INDEX(Справочники!$B$4:$B$7,MATCH("RUB",Справочники!$A$4:$A$7,0)))</f>
        <v/>
      </c>
      <c r="AR47" s="90" t="str">
        <f aca="false">IF(AQ47="","",ROUND(AQ47*(1+Справочники!$B$12),0))</f>
        <v/>
      </c>
      <c r="AS47" s="90" t="str">
        <f aca="false">IF(AR47="","",ROUND(AR47*(1-Справочники!$B$11),0))</f>
        <v/>
      </c>
      <c r="AT47" s="88"/>
      <c r="AU47" s="90" t="str">
        <f aca="false">IF(AT47="","",ROUND(AT47/(1+Справочники!$B$12),0))</f>
        <v/>
      </c>
      <c r="AV47" s="90" t="str">
        <f aca="false">IF(AT47="","",ROUND(AT47*(1-Справочники!$B$15),0))</f>
        <v/>
      </c>
      <c r="AW47" s="90" t="str">
        <f aca="false">IF(AT47="","",ROUND(AT47*(1-Справочники!$B$16),0))</f>
        <v/>
      </c>
      <c r="AX47" s="90" t="str">
        <f aca="false">IF(AT47="","",ROUND(AT47*(1-Справочники!$B$17),0))</f>
        <v/>
      </c>
      <c r="AY47" s="90" t="str">
        <f aca="false">IF(AT47="","",ROUND(AT47*(1-Справочники!$B$18),0))</f>
        <v/>
      </c>
      <c r="AZ47" s="90" t="str">
        <f aca="false">IF(AT47="","",ROUND(AT47*(1-Справочники!$B$19),0))</f>
        <v/>
      </c>
      <c r="BA47" s="81"/>
      <c r="BB47" s="81"/>
      <c r="BC47" s="81"/>
      <c r="BD47" s="81"/>
      <c r="BE47" s="91"/>
      <c r="BF47" s="81" t="s">
        <v>103</v>
      </c>
      <c r="BG47" s="89" t="n">
        <f aca="false" t="array" ref="BG47:BG47">IF(BF47="","",IFERROR(INDEX(Справочники!$B$4:$B$7,MATCH(BF47,Справочники!$A$4:$A$7,0)),""))</f>
        <v>68.5</v>
      </c>
      <c r="BH47" s="90" t="str">
        <f aca="false">IF(N(BN47)&gt;0,ROUND(SUMIF(ЗАКАЗЫ!$F$3:$F$500,$A47,ЗАКАЗЫ!$Y$3:$Y$500)/BN47,0),IF(OR(BE47="",BG47=""),"",ROUND(BE47*BG47*(1+Справочники!$B$10),0)))</f>
        <v/>
      </c>
      <c r="BI47" s="92" t="str">
        <f aca="false">IF(OR(AU47="",BH47="",AU47=0),"",(AU47-BH47)/AU47)</f>
        <v/>
      </c>
      <c r="BJ47" s="81"/>
      <c r="BK47" s="83"/>
      <c r="BL47" s="43" t="str">
        <f aca="false">IFERROR(INDEX(ЗАКАЗЫ!$N$3:$N$500,MATCH($A47,ЗАКАЗЫ!$F$3:$F$500,0)),"")</f>
        <v/>
      </c>
      <c r="BM47" s="8" t="str">
        <f aca="false">IF(BL47="","",IFERROR(VLOOKUP(BL47,'ТН ВЭД'!$A$4:$C$40,3,0),""))</f>
        <v/>
      </c>
      <c r="BN47" s="7" t="str">
        <f aca="false">IF(COUNTIF(ЗАКАЗЫ!$F$3:$F$500,$A47)=0,"",SUMIF(ЗАКАЗЫ!$F$3:$F$500,$A47,ЗАКАЗЫ!$J$3:$J$500))</f>
        <v/>
      </c>
      <c r="BO47" s="7" t="str">
        <f aca="false">IF(BN47="","",SUMIF(ЗАКАЗЫ!$F$3:$F$500,$A47,ЗАКАЗЫ!$AL$3:$AL$500))</f>
        <v/>
      </c>
      <c r="BP47" s="7" t="str">
        <f aca="false">IF(BN47="","",BN47-BO47)</f>
        <v/>
      </c>
      <c r="BQ47" s="55" t="str">
        <f aca="false">IF(BN47="","",IF(BO47&gt;=BN47,"На складе",IF(BO47&gt;0,"Частично","Ждём")))</f>
        <v/>
      </c>
      <c r="BR47" s="43"/>
      <c r="BS47" s="47" t="str">
        <f aca="false">IF(BN47="","",IF(_xlfn.MAXIFS(ЗАКАЗЫ!$AK$3:$AK$500,ЗАКАЗЫ!$F$3:$F$500,$A47)=0,"",_xlfn.MAXIFS(ЗАКАЗЫ!$AK$3:$AK$500,ЗАКАЗЫ!$F$3:$F$500,$A47)))</f>
        <v/>
      </c>
    </row>
    <row r="48" customFormat="false" ht="15.75" hidden="false" customHeight="true" outlineLevel="0" collapsed="false">
      <c r="A48" s="80" t="s">
        <v>1249</v>
      </c>
      <c r="B48" s="81"/>
      <c r="C48" s="81"/>
      <c r="D48" s="81"/>
      <c r="E48" s="83"/>
      <c r="F48" s="81"/>
      <c r="G48" s="83"/>
      <c r="H48" s="83"/>
      <c r="I48" s="84" t="str">
        <f aca="false">IF(E48="","",A48&amp;"_1.jpg")</f>
        <v/>
      </c>
      <c r="J48" s="84" t="str">
        <f aca="false">IF(E48="","",A48&amp;"_2.jpg; "&amp;A48&amp;"_3.jpg")</f>
        <v/>
      </c>
      <c r="K48" s="84" t="str">
        <f aca="false">IF(E48="","",A48&amp;"_schema.jpg")</f>
        <v/>
      </c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 t="s">
        <v>96</v>
      </c>
      <c r="W48" s="81"/>
      <c r="X48" s="81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6" t="str">
        <f aca="false">IF(SUM(Y48:AJ48)=0,"",SUM(Y48:AJ48))</f>
        <v/>
      </c>
      <c r="AL48" s="84" t="str">
        <f aca="false">MID(IF(N(Y48)&gt;0,", "&amp;Y$2,"")&amp;IF(N(Z48)&gt;0,", "&amp;Z$2,"")&amp;IF(N(AA48)&gt;0,", "&amp;AA$2,"")&amp;IF(N(AB48)&gt;0,", "&amp;AB$2,"")&amp;IF(N(AC48)&gt;0,", "&amp;AC$2,"")&amp;IF(N(AD48)&gt;0,", "&amp;AD$2,"")&amp;IF(N(AE48)&gt;0,", "&amp;AE$2,"")&amp;IF(N(AF48)&gt;0,", "&amp;AF$2,"")&amp;IF(N(AG48)&gt;0,", "&amp;AG$2,"")&amp;IF(N(AH48)&gt;0,", "&amp;AH$2,"")&amp;IF(N(AI48)&gt;0,", "&amp;AI$2,"")&amp;IF(N(AJ48)&gt;0,", "&amp;AJ$2,""),3,999)</f>
        <v/>
      </c>
      <c r="AM48" s="87" t="str">
        <f aca="false">IF(E48="","",MID(IF(N(Y48)&gt;0,", "&amp;A48&amp;"-"&amp;Y$2,"")&amp;IF(N(Z48)&gt;0,", "&amp;A48&amp;"-"&amp;Z$2,"")&amp;IF(N(AA48)&gt;0,", "&amp;A48&amp;"-"&amp;AA$2,"")&amp;IF(N(AB48)&gt;0,", "&amp;A48&amp;"-"&amp;AB$2,"")&amp;IF(N(AC48)&gt;0,", "&amp;A48&amp;"-"&amp;AC$2,"")&amp;IF(N(AD48)&gt;0,", "&amp;A48&amp;"-"&amp;AD$2,"")&amp;IF(N(AE48)&gt;0,", "&amp;A48&amp;"-"&amp;AE$2,"")&amp;IF(N(AF48)&gt;0,", "&amp;A48&amp;"-"&amp;AF$2,"")&amp;IF(N(AG48)&gt;0,", "&amp;A48&amp;"-"&amp;AG$2,"")&amp;IF(N(AH48)&gt;0,", "&amp;A48&amp;"-"&amp;AH$2,"")&amp;IF(N(AI48)&gt;0,", "&amp;A48&amp;"-"&amp;AI$2,"")&amp;IF(N(AJ48)&gt;0,", "&amp;A48&amp;"-"&amp;AJ$2,""),3,999))</f>
        <v/>
      </c>
      <c r="AN48" s="81"/>
      <c r="AO48" s="88"/>
      <c r="AP48" s="89" t="str">
        <f aca="false">IF(AO48="","",ROUND(AO48/(1+Справочники!$B$13),2))</f>
        <v/>
      </c>
      <c r="AQ48" s="90" t="str">
        <f aca="false" t="array" ref="AQ48:AQ48">IF(AP48="","",AP48*INDEX(Справочники!$B$4:$B$7,MATCH("RUB",Справочники!$A$4:$A$7,0)))</f>
        <v/>
      </c>
      <c r="AR48" s="90" t="str">
        <f aca="false">IF(AQ48="","",ROUND(AQ48*(1+Справочники!$B$12),0))</f>
        <v/>
      </c>
      <c r="AS48" s="90" t="str">
        <f aca="false">IF(AR48="","",ROUND(AR48*(1-Справочники!$B$11),0))</f>
        <v/>
      </c>
      <c r="AT48" s="88"/>
      <c r="AU48" s="90" t="str">
        <f aca="false">IF(AT48="","",ROUND(AT48/(1+Справочники!$B$12),0))</f>
        <v/>
      </c>
      <c r="AV48" s="90" t="str">
        <f aca="false">IF(AT48="","",ROUND(AT48*(1-Справочники!$B$15),0))</f>
        <v/>
      </c>
      <c r="AW48" s="90" t="str">
        <f aca="false">IF(AT48="","",ROUND(AT48*(1-Справочники!$B$16),0))</f>
        <v/>
      </c>
      <c r="AX48" s="90" t="str">
        <f aca="false">IF(AT48="","",ROUND(AT48*(1-Справочники!$B$17),0))</f>
        <v/>
      </c>
      <c r="AY48" s="90" t="str">
        <f aca="false">IF(AT48="","",ROUND(AT48*(1-Справочники!$B$18),0))</f>
        <v/>
      </c>
      <c r="AZ48" s="90" t="str">
        <f aca="false">IF(AT48="","",ROUND(AT48*(1-Справочники!$B$19),0))</f>
        <v/>
      </c>
      <c r="BA48" s="81"/>
      <c r="BB48" s="81"/>
      <c r="BC48" s="81"/>
      <c r="BD48" s="81"/>
      <c r="BE48" s="91"/>
      <c r="BF48" s="81" t="s">
        <v>103</v>
      </c>
      <c r="BG48" s="89" t="n">
        <f aca="false" t="array" ref="BG48:BG48">IF(BF48="","",IFERROR(INDEX(Справочники!$B$4:$B$7,MATCH(BF48,Справочники!$A$4:$A$7,0)),""))</f>
        <v>68.5</v>
      </c>
      <c r="BH48" s="90" t="str">
        <f aca="false">IF(N(BN48)&gt;0,ROUND(SUMIF(ЗАКАЗЫ!$F$3:$F$500,$A48,ЗАКАЗЫ!$Y$3:$Y$500)/BN48,0),IF(OR(BE48="",BG48=""),"",ROUND(BE48*BG48*(1+Справочники!$B$10),0)))</f>
        <v/>
      </c>
      <c r="BI48" s="92" t="str">
        <f aca="false">IF(OR(AU48="",BH48="",AU48=0),"",(AU48-BH48)/AU48)</f>
        <v/>
      </c>
      <c r="BJ48" s="81"/>
      <c r="BK48" s="83"/>
      <c r="BL48" s="43" t="str">
        <f aca="false">IFERROR(INDEX(ЗАКАЗЫ!$N$3:$N$500,MATCH($A48,ЗАКАЗЫ!$F$3:$F$500,0)),"")</f>
        <v/>
      </c>
      <c r="BM48" s="8" t="str">
        <f aca="false">IF(BL48="","",IFERROR(VLOOKUP(BL48,'ТН ВЭД'!$A$4:$C$40,3,0),""))</f>
        <v/>
      </c>
      <c r="BN48" s="7" t="str">
        <f aca="false">IF(COUNTIF(ЗАКАЗЫ!$F$3:$F$500,$A48)=0,"",SUMIF(ЗАКАЗЫ!$F$3:$F$500,$A48,ЗАКАЗЫ!$J$3:$J$500))</f>
        <v/>
      </c>
      <c r="BO48" s="7" t="str">
        <f aca="false">IF(BN48="","",SUMIF(ЗАКАЗЫ!$F$3:$F$500,$A48,ЗАКАЗЫ!$AL$3:$AL$500))</f>
        <v/>
      </c>
      <c r="BP48" s="7" t="str">
        <f aca="false">IF(BN48="","",BN48-BO48)</f>
        <v/>
      </c>
      <c r="BQ48" s="55" t="str">
        <f aca="false">IF(BN48="","",IF(BO48&gt;=BN48,"На складе",IF(BO48&gt;0,"Частично","Ждём")))</f>
        <v/>
      </c>
      <c r="BR48" s="43"/>
      <c r="BS48" s="47" t="str">
        <f aca="false">IF(BN48="","",IF(_xlfn.MAXIFS(ЗАКАЗЫ!$AK$3:$AK$500,ЗАКАЗЫ!$F$3:$F$500,$A48)=0,"",_xlfn.MAXIFS(ЗАКАЗЫ!$AK$3:$AK$500,ЗАКАЗЫ!$F$3:$F$500,$A48)))</f>
        <v/>
      </c>
    </row>
    <row r="49" customFormat="false" ht="15.75" hidden="false" customHeight="true" outlineLevel="0" collapsed="false">
      <c r="A49" s="80" t="s">
        <v>1250</v>
      </c>
      <c r="B49" s="81"/>
      <c r="C49" s="81"/>
      <c r="D49" s="81"/>
      <c r="E49" s="83"/>
      <c r="F49" s="81"/>
      <c r="G49" s="83"/>
      <c r="H49" s="83"/>
      <c r="I49" s="84" t="str">
        <f aca="false">IF(E49="","",A49&amp;"_1.jpg")</f>
        <v/>
      </c>
      <c r="J49" s="84" t="str">
        <f aca="false">IF(E49="","",A49&amp;"_2.jpg; "&amp;A49&amp;"_3.jpg")</f>
        <v/>
      </c>
      <c r="K49" s="84" t="str">
        <f aca="false">IF(E49="","",A49&amp;"_schema.jpg")</f>
        <v/>
      </c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 t="s">
        <v>96</v>
      </c>
      <c r="W49" s="81"/>
      <c r="X49" s="81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6" t="str">
        <f aca="false">IF(SUM(Y49:AJ49)=0,"",SUM(Y49:AJ49))</f>
        <v/>
      </c>
      <c r="AL49" s="84" t="str">
        <f aca="false">MID(IF(N(Y49)&gt;0,", "&amp;Y$2,"")&amp;IF(N(Z49)&gt;0,", "&amp;Z$2,"")&amp;IF(N(AA49)&gt;0,", "&amp;AA$2,"")&amp;IF(N(AB49)&gt;0,", "&amp;AB$2,"")&amp;IF(N(AC49)&gt;0,", "&amp;AC$2,"")&amp;IF(N(AD49)&gt;0,", "&amp;AD$2,"")&amp;IF(N(AE49)&gt;0,", "&amp;AE$2,"")&amp;IF(N(AF49)&gt;0,", "&amp;AF$2,"")&amp;IF(N(AG49)&gt;0,", "&amp;AG$2,"")&amp;IF(N(AH49)&gt;0,", "&amp;AH$2,"")&amp;IF(N(AI49)&gt;0,", "&amp;AI$2,"")&amp;IF(N(AJ49)&gt;0,", "&amp;AJ$2,""),3,999)</f>
        <v/>
      </c>
      <c r="AM49" s="87" t="str">
        <f aca="false">IF(E49="","",MID(IF(N(Y49)&gt;0,", "&amp;A49&amp;"-"&amp;Y$2,"")&amp;IF(N(Z49)&gt;0,", "&amp;A49&amp;"-"&amp;Z$2,"")&amp;IF(N(AA49)&gt;0,", "&amp;A49&amp;"-"&amp;AA$2,"")&amp;IF(N(AB49)&gt;0,", "&amp;A49&amp;"-"&amp;AB$2,"")&amp;IF(N(AC49)&gt;0,", "&amp;A49&amp;"-"&amp;AC$2,"")&amp;IF(N(AD49)&gt;0,", "&amp;A49&amp;"-"&amp;AD$2,"")&amp;IF(N(AE49)&gt;0,", "&amp;A49&amp;"-"&amp;AE$2,"")&amp;IF(N(AF49)&gt;0,", "&amp;A49&amp;"-"&amp;AF$2,"")&amp;IF(N(AG49)&gt;0,", "&amp;A49&amp;"-"&amp;AG$2,"")&amp;IF(N(AH49)&gt;0,", "&amp;A49&amp;"-"&amp;AH$2,"")&amp;IF(N(AI49)&gt;0,", "&amp;A49&amp;"-"&amp;AI$2,"")&amp;IF(N(AJ49)&gt;0,", "&amp;A49&amp;"-"&amp;AJ$2,""),3,999))</f>
        <v/>
      </c>
      <c r="AN49" s="81"/>
      <c r="AO49" s="88"/>
      <c r="AP49" s="89" t="str">
        <f aca="false">IF(AO49="","",ROUND(AO49/(1+Справочники!$B$13),2))</f>
        <v/>
      </c>
      <c r="AQ49" s="90" t="str">
        <f aca="false" t="array" ref="AQ49:AQ49">IF(AP49="","",AP49*INDEX(Справочники!$B$4:$B$7,MATCH("RUB",Справочники!$A$4:$A$7,0)))</f>
        <v/>
      </c>
      <c r="AR49" s="90" t="str">
        <f aca="false">IF(AQ49="","",ROUND(AQ49*(1+Справочники!$B$12),0))</f>
        <v/>
      </c>
      <c r="AS49" s="90" t="str">
        <f aca="false">IF(AR49="","",ROUND(AR49*(1-Справочники!$B$11),0))</f>
        <v/>
      </c>
      <c r="AT49" s="88"/>
      <c r="AU49" s="90" t="str">
        <f aca="false">IF(AT49="","",ROUND(AT49/(1+Справочники!$B$12),0))</f>
        <v/>
      </c>
      <c r="AV49" s="90" t="str">
        <f aca="false">IF(AT49="","",ROUND(AT49*(1-Справочники!$B$15),0))</f>
        <v/>
      </c>
      <c r="AW49" s="90" t="str">
        <f aca="false">IF(AT49="","",ROUND(AT49*(1-Справочники!$B$16),0))</f>
        <v/>
      </c>
      <c r="AX49" s="90" t="str">
        <f aca="false">IF(AT49="","",ROUND(AT49*(1-Справочники!$B$17),0))</f>
        <v/>
      </c>
      <c r="AY49" s="90" t="str">
        <f aca="false">IF(AT49="","",ROUND(AT49*(1-Справочники!$B$18),0))</f>
        <v/>
      </c>
      <c r="AZ49" s="90" t="str">
        <f aca="false">IF(AT49="","",ROUND(AT49*(1-Справочники!$B$19),0))</f>
        <v/>
      </c>
      <c r="BA49" s="81"/>
      <c r="BB49" s="81"/>
      <c r="BC49" s="81"/>
      <c r="BD49" s="81"/>
      <c r="BE49" s="91"/>
      <c r="BF49" s="81" t="s">
        <v>103</v>
      </c>
      <c r="BG49" s="89" t="n">
        <f aca="false" t="array" ref="BG49:BG49">IF(BF49="","",IFERROR(INDEX(Справочники!$B$4:$B$7,MATCH(BF49,Справочники!$A$4:$A$7,0)),""))</f>
        <v>68.5</v>
      </c>
      <c r="BH49" s="90" t="str">
        <f aca="false">IF(N(BN49)&gt;0,ROUND(SUMIF(ЗАКАЗЫ!$F$3:$F$500,$A49,ЗАКАЗЫ!$Y$3:$Y$500)/BN49,0),IF(OR(BE49="",BG49=""),"",ROUND(BE49*BG49*(1+Справочники!$B$10),0)))</f>
        <v/>
      </c>
      <c r="BI49" s="92" t="str">
        <f aca="false">IF(OR(AU49="",BH49="",AU49=0),"",(AU49-BH49)/AU49)</f>
        <v/>
      </c>
      <c r="BJ49" s="81"/>
      <c r="BK49" s="83"/>
      <c r="BL49" s="43" t="str">
        <f aca="false">IFERROR(INDEX(ЗАКАЗЫ!$N$3:$N$500,MATCH($A49,ЗАКАЗЫ!$F$3:$F$500,0)),"")</f>
        <v/>
      </c>
      <c r="BM49" s="8" t="str">
        <f aca="false">IF(BL49="","",IFERROR(VLOOKUP(BL49,'ТН ВЭД'!$A$4:$C$40,3,0),""))</f>
        <v/>
      </c>
      <c r="BN49" s="7" t="str">
        <f aca="false">IF(COUNTIF(ЗАКАЗЫ!$F$3:$F$500,$A49)=0,"",SUMIF(ЗАКАЗЫ!$F$3:$F$500,$A49,ЗАКАЗЫ!$J$3:$J$500))</f>
        <v/>
      </c>
      <c r="BO49" s="7" t="str">
        <f aca="false">IF(BN49="","",SUMIF(ЗАКАЗЫ!$F$3:$F$500,$A49,ЗАКАЗЫ!$AL$3:$AL$500))</f>
        <v/>
      </c>
      <c r="BP49" s="7" t="str">
        <f aca="false">IF(BN49="","",BN49-BO49)</f>
        <v/>
      </c>
      <c r="BQ49" s="55" t="str">
        <f aca="false">IF(BN49="","",IF(BO49&gt;=BN49,"На складе",IF(BO49&gt;0,"Частично","Ждём")))</f>
        <v/>
      </c>
      <c r="BR49" s="43"/>
      <c r="BS49" s="47" t="str">
        <f aca="false">IF(BN49="","",IF(_xlfn.MAXIFS(ЗАКАЗЫ!$AK$3:$AK$500,ЗАКАЗЫ!$F$3:$F$500,$A49)=0,"",_xlfn.MAXIFS(ЗАКАЗЫ!$AK$3:$AK$500,ЗАКАЗЫ!$F$3:$F$500,$A49)))</f>
        <v/>
      </c>
    </row>
    <row r="50" customFormat="false" ht="15.75" hidden="false" customHeight="true" outlineLevel="0" collapsed="false">
      <c r="A50" s="80" t="s">
        <v>1251</v>
      </c>
      <c r="B50" s="81"/>
      <c r="C50" s="81"/>
      <c r="D50" s="81"/>
      <c r="E50" s="83"/>
      <c r="F50" s="81"/>
      <c r="G50" s="83"/>
      <c r="H50" s="83"/>
      <c r="I50" s="84" t="str">
        <f aca="false">IF(E50="","",A50&amp;"_1.jpg")</f>
        <v/>
      </c>
      <c r="J50" s="84" t="str">
        <f aca="false">IF(E50="","",A50&amp;"_2.jpg; "&amp;A50&amp;"_3.jpg")</f>
        <v/>
      </c>
      <c r="K50" s="84" t="str">
        <f aca="false">IF(E50="","",A50&amp;"_schema.jpg")</f>
        <v/>
      </c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 t="s">
        <v>96</v>
      </c>
      <c r="W50" s="81"/>
      <c r="X50" s="81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6" t="str">
        <f aca="false">IF(SUM(Y50:AJ50)=0,"",SUM(Y50:AJ50))</f>
        <v/>
      </c>
      <c r="AL50" s="84" t="str">
        <f aca="false">MID(IF(N(Y50)&gt;0,", "&amp;Y$2,"")&amp;IF(N(Z50)&gt;0,", "&amp;Z$2,"")&amp;IF(N(AA50)&gt;0,", "&amp;AA$2,"")&amp;IF(N(AB50)&gt;0,", "&amp;AB$2,"")&amp;IF(N(AC50)&gt;0,", "&amp;AC$2,"")&amp;IF(N(AD50)&gt;0,", "&amp;AD$2,"")&amp;IF(N(AE50)&gt;0,", "&amp;AE$2,"")&amp;IF(N(AF50)&gt;0,", "&amp;AF$2,"")&amp;IF(N(AG50)&gt;0,", "&amp;AG$2,"")&amp;IF(N(AH50)&gt;0,", "&amp;AH$2,"")&amp;IF(N(AI50)&gt;0,", "&amp;AI$2,"")&amp;IF(N(AJ50)&gt;0,", "&amp;AJ$2,""),3,999)</f>
        <v/>
      </c>
      <c r="AM50" s="87" t="str">
        <f aca="false">IF(E50="","",MID(IF(N(Y50)&gt;0,", "&amp;A50&amp;"-"&amp;Y$2,"")&amp;IF(N(Z50)&gt;0,", "&amp;A50&amp;"-"&amp;Z$2,"")&amp;IF(N(AA50)&gt;0,", "&amp;A50&amp;"-"&amp;AA$2,"")&amp;IF(N(AB50)&gt;0,", "&amp;A50&amp;"-"&amp;AB$2,"")&amp;IF(N(AC50)&gt;0,", "&amp;A50&amp;"-"&amp;AC$2,"")&amp;IF(N(AD50)&gt;0,", "&amp;A50&amp;"-"&amp;AD$2,"")&amp;IF(N(AE50)&gt;0,", "&amp;A50&amp;"-"&amp;AE$2,"")&amp;IF(N(AF50)&gt;0,", "&amp;A50&amp;"-"&amp;AF$2,"")&amp;IF(N(AG50)&gt;0,", "&amp;A50&amp;"-"&amp;AG$2,"")&amp;IF(N(AH50)&gt;0,", "&amp;A50&amp;"-"&amp;AH$2,"")&amp;IF(N(AI50)&gt;0,", "&amp;A50&amp;"-"&amp;AI$2,"")&amp;IF(N(AJ50)&gt;0,", "&amp;A50&amp;"-"&amp;AJ$2,""),3,999))</f>
        <v/>
      </c>
      <c r="AN50" s="81"/>
      <c r="AO50" s="88"/>
      <c r="AP50" s="89" t="str">
        <f aca="false">IF(AO50="","",ROUND(AO50/(1+Справочники!$B$13),2))</f>
        <v/>
      </c>
      <c r="AQ50" s="90" t="str">
        <f aca="false" t="array" ref="AQ50:AQ50">IF(AP50="","",AP50*INDEX(Справочники!$B$4:$B$7,MATCH("RUB",Справочники!$A$4:$A$7,0)))</f>
        <v/>
      </c>
      <c r="AR50" s="90" t="str">
        <f aca="false">IF(AQ50="","",ROUND(AQ50*(1+Справочники!$B$12),0))</f>
        <v/>
      </c>
      <c r="AS50" s="90" t="str">
        <f aca="false">IF(AR50="","",ROUND(AR50*(1-Справочники!$B$11),0))</f>
        <v/>
      </c>
      <c r="AT50" s="88"/>
      <c r="AU50" s="90" t="str">
        <f aca="false">IF(AT50="","",ROUND(AT50/(1+Справочники!$B$12),0))</f>
        <v/>
      </c>
      <c r="AV50" s="90" t="str">
        <f aca="false">IF(AT50="","",ROUND(AT50*(1-Справочники!$B$15),0))</f>
        <v/>
      </c>
      <c r="AW50" s="90" t="str">
        <f aca="false">IF(AT50="","",ROUND(AT50*(1-Справочники!$B$16),0))</f>
        <v/>
      </c>
      <c r="AX50" s="90" t="str">
        <f aca="false">IF(AT50="","",ROUND(AT50*(1-Справочники!$B$17),0))</f>
        <v/>
      </c>
      <c r="AY50" s="90" t="str">
        <f aca="false">IF(AT50="","",ROUND(AT50*(1-Справочники!$B$18),0))</f>
        <v/>
      </c>
      <c r="AZ50" s="90" t="str">
        <f aca="false">IF(AT50="","",ROUND(AT50*(1-Справочники!$B$19),0))</f>
        <v/>
      </c>
      <c r="BA50" s="81"/>
      <c r="BB50" s="81"/>
      <c r="BC50" s="81"/>
      <c r="BD50" s="81"/>
      <c r="BE50" s="91"/>
      <c r="BF50" s="81" t="s">
        <v>103</v>
      </c>
      <c r="BG50" s="89" t="n">
        <f aca="false" t="array" ref="BG50:BG50">IF(BF50="","",IFERROR(INDEX(Справочники!$B$4:$B$7,MATCH(BF50,Справочники!$A$4:$A$7,0)),""))</f>
        <v>68.5</v>
      </c>
      <c r="BH50" s="90" t="str">
        <f aca="false">IF(N(BN50)&gt;0,ROUND(SUMIF(ЗАКАЗЫ!$F$3:$F$500,$A50,ЗАКАЗЫ!$Y$3:$Y$500)/BN50,0),IF(OR(BE50="",BG50=""),"",ROUND(BE50*BG50*(1+Справочники!$B$10),0)))</f>
        <v/>
      </c>
      <c r="BI50" s="92" t="str">
        <f aca="false">IF(OR(AU50="",BH50="",AU50=0),"",(AU50-BH50)/AU50)</f>
        <v/>
      </c>
      <c r="BJ50" s="81"/>
      <c r="BK50" s="83"/>
      <c r="BL50" s="43" t="str">
        <f aca="false">IFERROR(INDEX(ЗАКАЗЫ!$N$3:$N$500,MATCH($A50,ЗАКАЗЫ!$F$3:$F$500,0)),"")</f>
        <v/>
      </c>
      <c r="BM50" s="8" t="str">
        <f aca="false">IF(BL50="","",IFERROR(VLOOKUP(BL50,'ТН ВЭД'!$A$4:$C$40,3,0),""))</f>
        <v/>
      </c>
      <c r="BN50" s="7" t="str">
        <f aca="false">IF(COUNTIF(ЗАКАЗЫ!$F$3:$F$500,$A50)=0,"",SUMIF(ЗАКАЗЫ!$F$3:$F$500,$A50,ЗАКАЗЫ!$J$3:$J$500))</f>
        <v/>
      </c>
      <c r="BO50" s="7" t="str">
        <f aca="false">IF(BN50="","",SUMIF(ЗАКАЗЫ!$F$3:$F$500,$A50,ЗАКАЗЫ!$AL$3:$AL$500))</f>
        <v/>
      </c>
      <c r="BP50" s="7" t="str">
        <f aca="false">IF(BN50="","",BN50-BO50)</f>
        <v/>
      </c>
      <c r="BQ50" s="55" t="str">
        <f aca="false">IF(BN50="","",IF(BO50&gt;=BN50,"На складе",IF(BO50&gt;0,"Частично","Ждём")))</f>
        <v/>
      </c>
      <c r="BR50" s="43"/>
      <c r="BS50" s="47" t="str">
        <f aca="false">IF(BN50="","",IF(_xlfn.MAXIFS(ЗАКАЗЫ!$AK$3:$AK$500,ЗАКАЗЫ!$F$3:$F$500,$A50)=0,"",_xlfn.MAXIFS(ЗАКАЗЫ!$AK$3:$AK$500,ЗАКАЗЫ!$F$3:$F$500,$A50)))</f>
        <v/>
      </c>
    </row>
    <row r="51" customFormat="false" ht="15.75" hidden="false" customHeight="true" outlineLevel="0" collapsed="false">
      <c r="A51" s="80" t="s">
        <v>1252</v>
      </c>
      <c r="B51" s="81"/>
      <c r="C51" s="81"/>
      <c r="D51" s="81"/>
      <c r="E51" s="83"/>
      <c r="F51" s="81"/>
      <c r="G51" s="83"/>
      <c r="H51" s="83"/>
      <c r="I51" s="84" t="str">
        <f aca="false">IF(E51="","",A51&amp;"_1.jpg")</f>
        <v/>
      </c>
      <c r="J51" s="84" t="str">
        <f aca="false">IF(E51="","",A51&amp;"_2.jpg; "&amp;A51&amp;"_3.jpg")</f>
        <v/>
      </c>
      <c r="K51" s="84" t="str">
        <f aca="false">IF(E51="","",A51&amp;"_schema.jpg")</f>
        <v/>
      </c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 t="s">
        <v>96</v>
      </c>
      <c r="W51" s="81"/>
      <c r="X51" s="81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6" t="str">
        <f aca="false">IF(SUM(Y51:AJ51)=0,"",SUM(Y51:AJ51))</f>
        <v/>
      </c>
      <c r="AL51" s="84" t="str">
        <f aca="false">MID(IF(N(Y51)&gt;0,", "&amp;Y$2,"")&amp;IF(N(Z51)&gt;0,", "&amp;Z$2,"")&amp;IF(N(AA51)&gt;0,", "&amp;AA$2,"")&amp;IF(N(AB51)&gt;0,", "&amp;AB$2,"")&amp;IF(N(AC51)&gt;0,", "&amp;AC$2,"")&amp;IF(N(AD51)&gt;0,", "&amp;AD$2,"")&amp;IF(N(AE51)&gt;0,", "&amp;AE$2,"")&amp;IF(N(AF51)&gt;0,", "&amp;AF$2,"")&amp;IF(N(AG51)&gt;0,", "&amp;AG$2,"")&amp;IF(N(AH51)&gt;0,", "&amp;AH$2,"")&amp;IF(N(AI51)&gt;0,", "&amp;AI$2,"")&amp;IF(N(AJ51)&gt;0,", "&amp;AJ$2,""),3,999)</f>
        <v/>
      </c>
      <c r="AM51" s="87" t="str">
        <f aca="false">IF(E51="","",MID(IF(N(Y51)&gt;0,", "&amp;A51&amp;"-"&amp;Y$2,"")&amp;IF(N(Z51)&gt;0,", "&amp;A51&amp;"-"&amp;Z$2,"")&amp;IF(N(AA51)&gt;0,", "&amp;A51&amp;"-"&amp;AA$2,"")&amp;IF(N(AB51)&gt;0,", "&amp;A51&amp;"-"&amp;AB$2,"")&amp;IF(N(AC51)&gt;0,", "&amp;A51&amp;"-"&amp;AC$2,"")&amp;IF(N(AD51)&gt;0,", "&amp;A51&amp;"-"&amp;AD$2,"")&amp;IF(N(AE51)&gt;0,", "&amp;A51&amp;"-"&amp;AE$2,"")&amp;IF(N(AF51)&gt;0,", "&amp;A51&amp;"-"&amp;AF$2,"")&amp;IF(N(AG51)&gt;0,", "&amp;A51&amp;"-"&amp;AG$2,"")&amp;IF(N(AH51)&gt;0,", "&amp;A51&amp;"-"&amp;AH$2,"")&amp;IF(N(AI51)&gt;0,", "&amp;A51&amp;"-"&amp;AI$2,"")&amp;IF(N(AJ51)&gt;0,", "&amp;A51&amp;"-"&amp;AJ$2,""),3,999))</f>
        <v/>
      </c>
      <c r="AN51" s="81"/>
      <c r="AO51" s="88"/>
      <c r="AP51" s="89" t="str">
        <f aca="false">IF(AO51="","",ROUND(AO51/(1+Справочники!$B$13),2))</f>
        <v/>
      </c>
      <c r="AQ51" s="90" t="str">
        <f aca="false" t="array" ref="AQ51:AQ51">IF(AP51="","",AP51*INDEX(Справочники!$B$4:$B$7,MATCH("RUB",Справочники!$A$4:$A$7,0)))</f>
        <v/>
      </c>
      <c r="AR51" s="90" t="str">
        <f aca="false">IF(AQ51="","",ROUND(AQ51*(1+Справочники!$B$12),0))</f>
        <v/>
      </c>
      <c r="AS51" s="90" t="str">
        <f aca="false">IF(AR51="","",ROUND(AR51*(1-Справочники!$B$11),0))</f>
        <v/>
      </c>
      <c r="AT51" s="88"/>
      <c r="AU51" s="90" t="str">
        <f aca="false">IF(AT51="","",ROUND(AT51/(1+Справочники!$B$12),0))</f>
        <v/>
      </c>
      <c r="AV51" s="90" t="str">
        <f aca="false">IF(AT51="","",ROUND(AT51*(1-Справочники!$B$15),0))</f>
        <v/>
      </c>
      <c r="AW51" s="90" t="str">
        <f aca="false">IF(AT51="","",ROUND(AT51*(1-Справочники!$B$16),0))</f>
        <v/>
      </c>
      <c r="AX51" s="90" t="str">
        <f aca="false">IF(AT51="","",ROUND(AT51*(1-Справочники!$B$17),0))</f>
        <v/>
      </c>
      <c r="AY51" s="90" t="str">
        <f aca="false">IF(AT51="","",ROUND(AT51*(1-Справочники!$B$18),0))</f>
        <v/>
      </c>
      <c r="AZ51" s="90" t="str">
        <f aca="false">IF(AT51="","",ROUND(AT51*(1-Справочники!$B$19),0))</f>
        <v/>
      </c>
      <c r="BA51" s="81"/>
      <c r="BB51" s="81"/>
      <c r="BC51" s="81"/>
      <c r="BD51" s="81"/>
      <c r="BE51" s="91"/>
      <c r="BF51" s="81" t="s">
        <v>103</v>
      </c>
      <c r="BG51" s="89" t="n">
        <f aca="false" t="array" ref="BG51:BG51">IF(BF51="","",IFERROR(INDEX(Справочники!$B$4:$B$7,MATCH(BF51,Справочники!$A$4:$A$7,0)),""))</f>
        <v>68.5</v>
      </c>
      <c r="BH51" s="90" t="str">
        <f aca="false">IF(N(BN51)&gt;0,ROUND(SUMIF(ЗАКАЗЫ!$F$3:$F$500,$A51,ЗАКАЗЫ!$Y$3:$Y$500)/BN51,0),IF(OR(BE51="",BG51=""),"",ROUND(BE51*BG51*(1+Справочники!$B$10),0)))</f>
        <v/>
      </c>
      <c r="BI51" s="92" t="str">
        <f aca="false">IF(OR(AU51="",BH51="",AU51=0),"",(AU51-BH51)/AU51)</f>
        <v/>
      </c>
      <c r="BJ51" s="81"/>
      <c r="BK51" s="83"/>
      <c r="BL51" s="43" t="str">
        <f aca="false">IFERROR(INDEX(ЗАКАЗЫ!$N$3:$N$500,MATCH($A51,ЗАКАЗЫ!$F$3:$F$500,0)),"")</f>
        <v/>
      </c>
      <c r="BM51" s="8" t="str">
        <f aca="false">IF(BL51="","",IFERROR(VLOOKUP(BL51,'ТН ВЭД'!$A$4:$C$40,3,0),""))</f>
        <v/>
      </c>
      <c r="BN51" s="7" t="str">
        <f aca="false">IF(COUNTIF(ЗАКАЗЫ!$F$3:$F$500,$A51)=0,"",SUMIF(ЗАКАЗЫ!$F$3:$F$500,$A51,ЗАКАЗЫ!$J$3:$J$500))</f>
        <v/>
      </c>
      <c r="BO51" s="7" t="str">
        <f aca="false">IF(BN51="","",SUMIF(ЗАКАЗЫ!$F$3:$F$500,$A51,ЗАКАЗЫ!$AL$3:$AL$500))</f>
        <v/>
      </c>
      <c r="BP51" s="7" t="str">
        <f aca="false">IF(BN51="","",BN51-BO51)</f>
        <v/>
      </c>
      <c r="BQ51" s="55" t="str">
        <f aca="false">IF(BN51="","",IF(BO51&gt;=BN51,"На складе",IF(BO51&gt;0,"Частично","Ждём")))</f>
        <v/>
      </c>
      <c r="BR51" s="43"/>
      <c r="BS51" s="47" t="str">
        <f aca="false">IF(BN51="","",IF(_xlfn.MAXIFS(ЗАКАЗЫ!$AK$3:$AK$500,ЗАКАЗЫ!$F$3:$F$500,$A51)=0,"",_xlfn.MAXIFS(ЗАКАЗЫ!$AK$3:$AK$500,ЗАКАЗЫ!$F$3:$F$500,$A51)))</f>
        <v/>
      </c>
    </row>
    <row r="52" customFormat="false" ht="15.75" hidden="false" customHeight="true" outlineLevel="0" collapsed="false">
      <c r="A52" s="80" t="s">
        <v>1253</v>
      </c>
      <c r="B52" s="81"/>
      <c r="C52" s="81"/>
      <c r="D52" s="81"/>
      <c r="E52" s="83"/>
      <c r="F52" s="81"/>
      <c r="G52" s="83"/>
      <c r="H52" s="83"/>
      <c r="I52" s="84" t="str">
        <f aca="false">IF(E52="","",A52&amp;"_1.jpg")</f>
        <v/>
      </c>
      <c r="J52" s="84" t="str">
        <f aca="false">IF(E52="","",A52&amp;"_2.jpg; "&amp;A52&amp;"_3.jpg")</f>
        <v/>
      </c>
      <c r="K52" s="84" t="str">
        <f aca="false">IF(E52="","",A52&amp;"_schema.jpg")</f>
        <v/>
      </c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 t="s">
        <v>96</v>
      </c>
      <c r="W52" s="81"/>
      <c r="X52" s="81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6" t="str">
        <f aca="false">IF(SUM(Y52:AJ52)=0,"",SUM(Y52:AJ52))</f>
        <v/>
      </c>
      <c r="AL52" s="84" t="str">
        <f aca="false">MID(IF(N(Y52)&gt;0,", "&amp;Y$2,"")&amp;IF(N(Z52)&gt;0,", "&amp;Z$2,"")&amp;IF(N(AA52)&gt;0,", "&amp;AA$2,"")&amp;IF(N(AB52)&gt;0,", "&amp;AB$2,"")&amp;IF(N(AC52)&gt;0,", "&amp;AC$2,"")&amp;IF(N(AD52)&gt;0,", "&amp;AD$2,"")&amp;IF(N(AE52)&gt;0,", "&amp;AE$2,"")&amp;IF(N(AF52)&gt;0,", "&amp;AF$2,"")&amp;IF(N(AG52)&gt;0,", "&amp;AG$2,"")&amp;IF(N(AH52)&gt;0,", "&amp;AH$2,"")&amp;IF(N(AI52)&gt;0,", "&amp;AI$2,"")&amp;IF(N(AJ52)&gt;0,", "&amp;AJ$2,""),3,999)</f>
        <v/>
      </c>
      <c r="AM52" s="87" t="str">
        <f aca="false">IF(E52="","",MID(IF(N(Y52)&gt;0,", "&amp;A52&amp;"-"&amp;Y$2,"")&amp;IF(N(Z52)&gt;0,", "&amp;A52&amp;"-"&amp;Z$2,"")&amp;IF(N(AA52)&gt;0,", "&amp;A52&amp;"-"&amp;AA$2,"")&amp;IF(N(AB52)&gt;0,", "&amp;A52&amp;"-"&amp;AB$2,"")&amp;IF(N(AC52)&gt;0,", "&amp;A52&amp;"-"&amp;AC$2,"")&amp;IF(N(AD52)&gt;0,", "&amp;A52&amp;"-"&amp;AD$2,"")&amp;IF(N(AE52)&gt;0,", "&amp;A52&amp;"-"&amp;AE$2,"")&amp;IF(N(AF52)&gt;0,", "&amp;A52&amp;"-"&amp;AF$2,"")&amp;IF(N(AG52)&gt;0,", "&amp;A52&amp;"-"&amp;AG$2,"")&amp;IF(N(AH52)&gt;0,", "&amp;A52&amp;"-"&amp;AH$2,"")&amp;IF(N(AI52)&gt;0,", "&amp;A52&amp;"-"&amp;AI$2,"")&amp;IF(N(AJ52)&gt;0,", "&amp;A52&amp;"-"&amp;AJ$2,""),3,999))</f>
        <v/>
      </c>
      <c r="AN52" s="81"/>
      <c r="AO52" s="88"/>
      <c r="AP52" s="89" t="str">
        <f aca="false">IF(AO52="","",ROUND(AO52/(1+Справочники!$B$13),2))</f>
        <v/>
      </c>
      <c r="AQ52" s="90" t="str">
        <f aca="false" t="array" ref="AQ52:AQ52">IF(AP52="","",AP52*INDEX(Справочники!$B$4:$B$7,MATCH("RUB",Справочники!$A$4:$A$7,0)))</f>
        <v/>
      </c>
      <c r="AR52" s="90" t="str">
        <f aca="false">IF(AQ52="","",ROUND(AQ52*(1+Справочники!$B$12),0))</f>
        <v/>
      </c>
      <c r="AS52" s="90" t="str">
        <f aca="false">IF(AR52="","",ROUND(AR52*(1-Справочники!$B$11),0))</f>
        <v/>
      </c>
      <c r="AT52" s="88"/>
      <c r="AU52" s="90" t="str">
        <f aca="false">IF(AT52="","",ROUND(AT52/(1+Справочники!$B$12),0))</f>
        <v/>
      </c>
      <c r="AV52" s="90" t="str">
        <f aca="false">IF(AT52="","",ROUND(AT52*(1-Справочники!$B$15),0))</f>
        <v/>
      </c>
      <c r="AW52" s="90" t="str">
        <f aca="false">IF(AT52="","",ROUND(AT52*(1-Справочники!$B$16),0))</f>
        <v/>
      </c>
      <c r="AX52" s="90" t="str">
        <f aca="false">IF(AT52="","",ROUND(AT52*(1-Справочники!$B$17),0))</f>
        <v/>
      </c>
      <c r="AY52" s="90" t="str">
        <f aca="false">IF(AT52="","",ROUND(AT52*(1-Справочники!$B$18),0))</f>
        <v/>
      </c>
      <c r="AZ52" s="90" t="str">
        <f aca="false">IF(AT52="","",ROUND(AT52*(1-Справочники!$B$19),0))</f>
        <v/>
      </c>
      <c r="BA52" s="81"/>
      <c r="BB52" s="81"/>
      <c r="BC52" s="81"/>
      <c r="BD52" s="81"/>
      <c r="BE52" s="91"/>
      <c r="BF52" s="81" t="s">
        <v>103</v>
      </c>
      <c r="BG52" s="89" t="n">
        <f aca="false" t="array" ref="BG52:BG52">IF(BF52="","",IFERROR(INDEX(Справочники!$B$4:$B$7,MATCH(BF52,Справочники!$A$4:$A$7,0)),""))</f>
        <v>68.5</v>
      </c>
      <c r="BH52" s="90" t="str">
        <f aca="false">IF(N(BN52)&gt;0,ROUND(SUMIF(ЗАКАЗЫ!$F$3:$F$500,$A52,ЗАКАЗЫ!$Y$3:$Y$500)/BN52,0),IF(OR(BE52="",BG52=""),"",ROUND(BE52*BG52*(1+Справочники!$B$10),0)))</f>
        <v/>
      </c>
      <c r="BI52" s="92" t="str">
        <f aca="false">IF(OR(AU52="",BH52="",AU52=0),"",(AU52-BH52)/AU52)</f>
        <v/>
      </c>
      <c r="BJ52" s="81"/>
      <c r="BK52" s="83"/>
      <c r="BL52" s="43" t="str">
        <f aca="false">IFERROR(INDEX(ЗАКАЗЫ!$N$3:$N$500,MATCH($A52,ЗАКАЗЫ!$F$3:$F$500,0)),"")</f>
        <v/>
      </c>
      <c r="BM52" s="8" t="str">
        <f aca="false">IF(BL52="","",IFERROR(VLOOKUP(BL52,'ТН ВЭД'!$A$4:$C$40,3,0),""))</f>
        <v/>
      </c>
      <c r="BN52" s="7" t="str">
        <f aca="false">IF(COUNTIF(ЗАКАЗЫ!$F$3:$F$500,$A52)=0,"",SUMIF(ЗАКАЗЫ!$F$3:$F$500,$A52,ЗАКАЗЫ!$J$3:$J$500))</f>
        <v/>
      </c>
      <c r="BO52" s="7" t="str">
        <f aca="false">IF(BN52="","",SUMIF(ЗАКАЗЫ!$F$3:$F$500,$A52,ЗАКАЗЫ!$AL$3:$AL$500))</f>
        <v/>
      </c>
      <c r="BP52" s="7" t="str">
        <f aca="false">IF(BN52="","",BN52-BO52)</f>
        <v/>
      </c>
      <c r="BQ52" s="55" t="str">
        <f aca="false">IF(BN52="","",IF(BO52&gt;=BN52,"На складе",IF(BO52&gt;0,"Частично","Ждём")))</f>
        <v/>
      </c>
      <c r="BR52" s="43"/>
      <c r="BS52" s="47" t="str">
        <f aca="false">IF(BN52="","",IF(_xlfn.MAXIFS(ЗАКАЗЫ!$AK$3:$AK$500,ЗАКАЗЫ!$F$3:$F$500,$A52)=0,"",_xlfn.MAXIFS(ЗАКАЗЫ!$AK$3:$AK$500,ЗАКАЗЫ!$F$3:$F$500,$A52)))</f>
        <v/>
      </c>
    </row>
    <row r="53" customFormat="false" ht="15.75" hidden="false" customHeight="true" outlineLevel="0" collapsed="false">
      <c r="A53" s="80" t="s">
        <v>1254</v>
      </c>
      <c r="B53" s="81"/>
      <c r="C53" s="81"/>
      <c r="D53" s="81"/>
      <c r="E53" s="83"/>
      <c r="F53" s="81"/>
      <c r="G53" s="83"/>
      <c r="H53" s="83"/>
      <c r="I53" s="84" t="str">
        <f aca="false">IF(E53="","",A53&amp;"_1.jpg")</f>
        <v/>
      </c>
      <c r="J53" s="84" t="str">
        <f aca="false">IF(E53="","",A53&amp;"_2.jpg; "&amp;A53&amp;"_3.jpg")</f>
        <v/>
      </c>
      <c r="K53" s="84" t="str">
        <f aca="false">IF(E53="","",A53&amp;"_schema.jpg")</f>
        <v/>
      </c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 t="s">
        <v>96</v>
      </c>
      <c r="W53" s="81"/>
      <c r="X53" s="81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6" t="str">
        <f aca="false">IF(SUM(Y53:AJ53)=0,"",SUM(Y53:AJ53))</f>
        <v/>
      </c>
      <c r="AL53" s="84" t="str">
        <f aca="false">MID(IF(N(Y53)&gt;0,", "&amp;Y$2,"")&amp;IF(N(Z53)&gt;0,", "&amp;Z$2,"")&amp;IF(N(AA53)&gt;0,", "&amp;AA$2,"")&amp;IF(N(AB53)&gt;0,", "&amp;AB$2,"")&amp;IF(N(AC53)&gt;0,", "&amp;AC$2,"")&amp;IF(N(AD53)&gt;0,", "&amp;AD$2,"")&amp;IF(N(AE53)&gt;0,", "&amp;AE$2,"")&amp;IF(N(AF53)&gt;0,", "&amp;AF$2,"")&amp;IF(N(AG53)&gt;0,", "&amp;AG$2,"")&amp;IF(N(AH53)&gt;0,", "&amp;AH$2,"")&amp;IF(N(AI53)&gt;0,", "&amp;AI$2,"")&amp;IF(N(AJ53)&gt;0,", "&amp;AJ$2,""),3,999)</f>
        <v/>
      </c>
      <c r="AM53" s="87" t="str">
        <f aca="false">IF(E53="","",MID(IF(N(Y53)&gt;0,", "&amp;A53&amp;"-"&amp;Y$2,"")&amp;IF(N(Z53)&gt;0,", "&amp;A53&amp;"-"&amp;Z$2,"")&amp;IF(N(AA53)&gt;0,", "&amp;A53&amp;"-"&amp;AA$2,"")&amp;IF(N(AB53)&gt;0,", "&amp;A53&amp;"-"&amp;AB$2,"")&amp;IF(N(AC53)&gt;0,", "&amp;A53&amp;"-"&amp;AC$2,"")&amp;IF(N(AD53)&gt;0,", "&amp;A53&amp;"-"&amp;AD$2,"")&amp;IF(N(AE53)&gt;0,", "&amp;A53&amp;"-"&amp;AE$2,"")&amp;IF(N(AF53)&gt;0,", "&amp;A53&amp;"-"&amp;AF$2,"")&amp;IF(N(AG53)&gt;0,", "&amp;A53&amp;"-"&amp;AG$2,"")&amp;IF(N(AH53)&gt;0,", "&amp;A53&amp;"-"&amp;AH$2,"")&amp;IF(N(AI53)&gt;0,", "&amp;A53&amp;"-"&amp;AI$2,"")&amp;IF(N(AJ53)&gt;0,", "&amp;A53&amp;"-"&amp;AJ$2,""),3,999))</f>
        <v/>
      </c>
      <c r="AN53" s="81"/>
      <c r="AO53" s="88"/>
      <c r="AP53" s="89" t="str">
        <f aca="false">IF(AO53="","",ROUND(AO53/(1+Справочники!$B$13),2))</f>
        <v/>
      </c>
      <c r="AQ53" s="90" t="str">
        <f aca="false" t="array" ref="AQ53:AQ53">IF(AP53="","",AP53*INDEX(Справочники!$B$4:$B$7,MATCH("RUB",Справочники!$A$4:$A$7,0)))</f>
        <v/>
      </c>
      <c r="AR53" s="90" t="str">
        <f aca="false">IF(AQ53="","",ROUND(AQ53*(1+Справочники!$B$12),0))</f>
        <v/>
      </c>
      <c r="AS53" s="90" t="str">
        <f aca="false">IF(AR53="","",ROUND(AR53*(1-Справочники!$B$11),0))</f>
        <v/>
      </c>
      <c r="AT53" s="88"/>
      <c r="AU53" s="90" t="str">
        <f aca="false">IF(AT53="","",ROUND(AT53/(1+Справочники!$B$12),0))</f>
        <v/>
      </c>
      <c r="AV53" s="90" t="str">
        <f aca="false">IF(AT53="","",ROUND(AT53*(1-Справочники!$B$15),0))</f>
        <v/>
      </c>
      <c r="AW53" s="90" t="str">
        <f aca="false">IF(AT53="","",ROUND(AT53*(1-Справочники!$B$16),0))</f>
        <v/>
      </c>
      <c r="AX53" s="90" t="str">
        <f aca="false">IF(AT53="","",ROUND(AT53*(1-Справочники!$B$17),0))</f>
        <v/>
      </c>
      <c r="AY53" s="90" t="str">
        <f aca="false">IF(AT53="","",ROUND(AT53*(1-Справочники!$B$18),0))</f>
        <v/>
      </c>
      <c r="AZ53" s="90" t="str">
        <f aca="false">IF(AT53="","",ROUND(AT53*(1-Справочники!$B$19),0))</f>
        <v/>
      </c>
      <c r="BA53" s="81"/>
      <c r="BB53" s="81"/>
      <c r="BC53" s="81"/>
      <c r="BD53" s="81"/>
      <c r="BE53" s="91"/>
      <c r="BF53" s="81" t="s">
        <v>103</v>
      </c>
      <c r="BG53" s="89" t="n">
        <f aca="false" t="array" ref="BG53:BG53">IF(BF53="","",IFERROR(INDEX(Справочники!$B$4:$B$7,MATCH(BF53,Справочники!$A$4:$A$7,0)),""))</f>
        <v>68.5</v>
      </c>
      <c r="BH53" s="90" t="str">
        <f aca="false">IF(N(BN53)&gt;0,ROUND(SUMIF(ЗАКАЗЫ!$F$3:$F$500,$A53,ЗАКАЗЫ!$Y$3:$Y$500)/BN53,0),IF(OR(BE53="",BG53=""),"",ROUND(BE53*BG53*(1+Справочники!$B$10),0)))</f>
        <v/>
      </c>
      <c r="BI53" s="92" t="str">
        <f aca="false">IF(OR(AU53="",BH53="",AU53=0),"",(AU53-BH53)/AU53)</f>
        <v/>
      </c>
      <c r="BJ53" s="81"/>
      <c r="BK53" s="83"/>
      <c r="BL53" s="43" t="str">
        <f aca="false">IFERROR(INDEX(ЗАКАЗЫ!$N$3:$N$500,MATCH($A53,ЗАКАЗЫ!$F$3:$F$500,0)),"")</f>
        <v/>
      </c>
      <c r="BM53" s="8" t="str">
        <f aca="false">IF(BL53="","",IFERROR(VLOOKUP(BL53,'ТН ВЭД'!$A$4:$C$40,3,0),""))</f>
        <v/>
      </c>
      <c r="BN53" s="7" t="str">
        <f aca="false">IF(COUNTIF(ЗАКАЗЫ!$F$3:$F$500,$A53)=0,"",SUMIF(ЗАКАЗЫ!$F$3:$F$500,$A53,ЗАКАЗЫ!$J$3:$J$500))</f>
        <v/>
      </c>
      <c r="BO53" s="7" t="str">
        <f aca="false">IF(BN53="","",SUMIF(ЗАКАЗЫ!$F$3:$F$500,$A53,ЗАКАЗЫ!$AL$3:$AL$500))</f>
        <v/>
      </c>
      <c r="BP53" s="7" t="str">
        <f aca="false">IF(BN53="","",BN53-BO53)</f>
        <v/>
      </c>
      <c r="BQ53" s="55" t="str">
        <f aca="false">IF(BN53="","",IF(BO53&gt;=BN53,"На складе",IF(BO53&gt;0,"Частично","Ждём")))</f>
        <v/>
      </c>
      <c r="BR53" s="43"/>
      <c r="BS53" s="47" t="str">
        <f aca="false">IF(BN53="","",IF(_xlfn.MAXIFS(ЗАКАЗЫ!$AK$3:$AK$500,ЗАКАЗЫ!$F$3:$F$500,$A53)=0,"",_xlfn.MAXIFS(ЗАКАЗЫ!$AK$3:$AK$500,ЗАКАЗЫ!$F$3:$F$500,$A53)))</f>
        <v/>
      </c>
    </row>
    <row r="54" customFormat="false" ht="15.75" hidden="false" customHeight="true" outlineLevel="0" collapsed="false">
      <c r="A54" s="80" t="s">
        <v>1255</v>
      </c>
      <c r="B54" s="81"/>
      <c r="C54" s="81"/>
      <c r="D54" s="81"/>
      <c r="E54" s="83"/>
      <c r="F54" s="81"/>
      <c r="G54" s="83"/>
      <c r="H54" s="83"/>
      <c r="I54" s="84" t="str">
        <f aca="false">IF(E54="","",A54&amp;"_1.jpg")</f>
        <v/>
      </c>
      <c r="J54" s="84" t="str">
        <f aca="false">IF(E54="","",A54&amp;"_2.jpg; "&amp;A54&amp;"_3.jpg")</f>
        <v/>
      </c>
      <c r="K54" s="84" t="str">
        <f aca="false">IF(E54="","",A54&amp;"_schema.jpg")</f>
        <v/>
      </c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 t="s">
        <v>96</v>
      </c>
      <c r="W54" s="81"/>
      <c r="X54" s="81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6" t="str">
        <f aca="false">IF(SUM(Y54:AJ54)=0,"",SUM(Y54:AJ54))</f>
        <v/>
      </c>
      <c r="AL54" s="84" t="str">
        <f aca="false">MID(IF(N(Y54)&gt;0,", "&amp;Y$2,"")&amp;IF(N(Z54)&gt;0,", "&amp;Z$2,"")&amp;IF(N(AA54)&gt;0,", "&amp;AA$2,"")&amp;IF(N(AB54)&gt;0,", "&amp;AB$2,"")&amp;IF(N(AC54)&gt;0,", "&amp;AC$2,"")&amp;IF(N(AD54)&gt;0,", "&amp;AD$2,"")&amp;IF(N(AE54)&gt;0,", "&amp;AE$2,"")&amp;IF(N(AF54)&gt;0,", "&amp;AF$2,"")&amp;IF(N(AG54)&gt;0,", "&amp;AG$2,"")&amp;IF(N(AH54)&gt;0,", "&amp;AH$2,"")&amp;IF(N(AI54)&gt;0,", "&amp;AI$2,"")&amp;IF(N(AJ54)&gt;0,", "&amp;AJ$2,""),3,999)</f>
        <v/>
      </c>
      <c r="AM54" s="87" t="str">
        <f aca="false">IF(E54="","",MID(IF(N(Y54)&gt;0,", "&amp;A54&amp;"-"&amp;Y$2,"")&amp;IF(N(Z54)&gt;0,", "&amp;A54&amp;"-"&amp;Z$2,"")&amp;IF(N(AA54)&gt;0,", "&amp;A54&amp;"-"&amp;AA$2,"")&amp;IF(N(AB54)&gt;0,", "&amp;A54&amp;"-"&amp;AB$2,"")&amp;IF(N(AC54)&gt;0,", "&amp;A54&amp;"-"&amp;AC$2,"")&amp;IF(N(AD54)&gt;0,", "&amp;A54&amp;"-"&amp;AD$2,"")&amp;IF(N(AE54)&gt;0,", "&amp;A54&amp;"-"&amp;AE$2,"")&amp;IF(N(AF54)&gt;0,", "&amp;A54&amp;"-"&amp;AF$2,"")&amp;IF(N(AG54)&gt;0,", "&amp;A54&amp;"-"&amp;AG$2,"")&amp;IF(N(AH54)&gt;0,", "&amp;A54&amp;"-"&amp;AH$2,"")&amp;IF(N(AI54)&gt;0,", "&amp;A54&amp;"-"&amp;AI$2,"")&amp;IF(N(AJ54)&gt;0,", "&amp;A54&amp;"-"&amp;AJ$2,""),3,999))</f>
        <v/>
      </c>
      <c r="AN54" s="81"/>
      <c r="AO54" s="88"/>
      <c r="AP54" s="89" t="str">
        <f aca="false">IF(AO54="","",ROUND(AO54/(1+Справочники!$B$13),2))</f>
        <v/>
      </c>
      <c r="AQ54" s="90" t="str">
        <f aca="false" t="array" ref="AQ54:AQ54">IF(AP54="","",AP54*INDEX(Справочники!$B$4:$B$7,MATCH("RUB",Справочники!$A$4:$A$7,0)))</f>
        <v/>
      </c>
      <c r="AR54" s="90" t="str">
        <f aca="false">IF(AQ54="","",ROUND(AQ54*(1+Справочники!$B$12),0))</f>
        <v/>
      </c>
      <c r="AS54" s="90" t="str">
        <f aca="false">IF(AR54="","",ROUND(AR54*(1-Справочники!$B$11),0))</f>
        <v/>
      </c>
      <c r="AT54" s="88"/>
      <c r="AU54" s="90" t="str">
        <f aca="false">IF(AT54="","",ROUND(AT54/(1+Справочники!$B$12),0))</f>
        <v/>
      </c>
      <c r="AV54" s="90" t="str">
        <f aca="false">IF(AT54="","",ROUND(AT54*(1-Справочники!$B$15),0))</f>
        <v/>
      </c>
      <c r="AW54" s="90" t="str">
        <f aca="false">IF(AT54="","",ROUND(AT54*(1-Справочники!$B$16),0))</f>
        <v/>
      </c>
      <c r="AX54" s="90" t="str">
        <f aca="false">IF(AT54="","",ROUND(AT54*(1-Справочники!$B$17),0))</f>
        <v/>
      </c>
      <c r="AY54" s="90" t="str">
        <f aca="false">IF(AT54="","",ROUND(AT54*(1-Справочники!$B$18),0))</f>
        <v/>
      </c>
      <c r="AZ54" s="90" t="str">
        <f aca="false">IF(AT54="","",ROUND(AT54*(1-Справочники!$B$19),0))</f>
        <v/>
      </c>
      <c r="BA54" s="81"/>
      <c r="BB54" s="81"/>
      <c r="BC54" s="81"/>
      <c r="BD54" s="81"/>
      <c r="BE54" s="91"/>
      <c r="BF54" s="81" t="s">
        <v>103</v>
      </c>
      <c r="BG54" s="89" t="n">
        <f aca="false" t="array" ref="BG54:BG54">IF(BF54="","",IFERROR(INDEX(Справочники!$B$4:$B$7,MATCH(BF54,Справочники!$A$4:$A$7,0)),""))</f>
        <v>68.5</v>
      </c>
      <c r="BH54" s="90" t="str">
        <f aca="false">IF(N(BN54)&gt;0,ROUND(SUMIF(ЗАКАЗЫ!$F$3:$F$500,$A54,ЗАКАЗЫ!$Y$3:$Y$500)/BN54,0),IF(OR(BE54="",BG54=""),"",ROUND(BE54*BG54*(1+Справочники!$B$10),0)))</f>
        <v/>
      </c>
      <c r="BI54" s="92" t="str">
        <f aca="false">IF(OR(AU54="",BH54="",AU54=0),"",(AU54-BH54)/AU54)</f>
        <v/>
      </c>
      <c r="BJ54" s="81"/>
      <c r="BK54" s="83"/>
      <c r="BL54" s="43" t="str">
        <f aca="false">IFERROR(INDEX(ЗАКАЗЫ!$N$3:$N$500,MATCH($A54,ЗАКАЗЫ!$F$3:$F$500,0)),"")</f>
        <v/>
      </c>
      <c r="BM54" s="8" t="str">
        <f aca="false">IF(BL54="","",IFERROR(VLOOKUP(BL54,'ТН ВЭД'!$A$4:$C$40,3,0),""))</f>
        <v/>
      </c>
      <c r="BN54" s="7" t="str">
        <f aca="false">IF(COUNTIF(ЗАКАЗЫ!$F$3:$F$500,$A54)=0,"",SUMIF(ЗАКАЗЫ!$F$3:$F$500,$A54,ЗАКАЗЫ!$J$3:$J$500))</f>
        <v/>
      </c>
      <c r="BO54" s="7" t="str">
        <f aca="false">IF(BN54="","",SUMIF(ЗАКАЗЫ!$F$3:$F$500,$A54,ЗАКАЗЫ!$AL$3:$AL$500))</f>
        <v/>
      </c>
      <c r="BP54" s="7" t="str">
        <f aca="false">IF(BN54="","",BN54-BO54)</f>
        <v/>
      </c>
      <c r="BQ54" s="55" t="str">
        <f aca="false">IF(BN54="","",IF(BO54&gt;=BN54,"На складе",IF(BO54&gt;0,"Частично","Ждём")))</f>
        <v/>
      </c>
      <c r="BR54" s="43"/>
      <c r="BS54" s="47" t="str">
        <f aca="false">IF(BN54="","",IF(_xlfn.MAXIFS(ЗАКАЗЫ!$AK$3:$AK$500,ЗАКАЗЫ!$F$3:$F$500,$A54)=0,"",_xlfn.MAXIFS(ЗАКАЗЫ!$AK$3:$AK$500,ЗАКАЗЫ!$F$3:$F$500,$A54)))</f>
        <v/>
      </c>
    </row>
    <row r="55" customFormat="false" ht="15.75" hidden="false" customHeight="true" outlineLevel="0" collapsed="false">
      <c r="A55" s="80" t="s">
        <v>1256</v>
      </c>
      <c r="B55" s="81"/>
      <c r="C55" s="81"/>
      <c r="D55" s="81"/>
      <c r="E55" s="83"/>
      <c r="F55" s="81"/>
      <c r="G55" s="83"/>
      <c r="H55" s="83"/>
      <c r="I55" s="84" t="str">
        <f aca="false">IF(E55="","",A55&amp;"_1.jpg")</f>
        <v/>
      </c>
      <c r="J55" s="84" t="str">
        <f aca="false">IF(E55="","",A55&amp;"_2.jpg; "&amp;A55&amp;"_3.jpg")</f>
        <v/>
      </c>
      <c r="K55" s="84" t="str">
        <f aca="false">IF(E55="","",A55&amp;"_schema.jpg")</f>
        <v/>
      </c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 t="s">
        <v>96</v>
      </c>
      <c r="W55" s="81"/>
      <c r="X55" s="81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6" t="str">
        <f aca="false">IF(SUM(Y55:AJ55)=0,"",SUM(Y55:AJ55))</f>
        <v/>
      </c>
      <c r="AL55" s="84" t="str">
        <f aca="false">MID(IF(N(Y55)&gt;0,", "&amp;Y$2,"")&amp;IF(N(Z55)&gt;0,", "&amp;Z$2,"")&amp;IF(N(AA55)&gt;0,", "&amp;AA$2,"")&amp;IF(N(AB55)&gt;0,", "&amp;AB$2,"")&amp;IF(N(AC55)&gt;0,", "&amp;AC$2,"")&amp;IF(N(AD55)&gt;0,", "&amp;AD$2,"")&amp;IF(N(AE55)&gt;0,", "&amp;AE$2,"")&amp;IF(N(AF55)&gt;0,", "&amp;AF$2,"")&amp;IF(N(AG55)&gt;0,", "&amp;AG$2,"")&amp;IF(N(AH55)&gt;0,", "&amp;AH$2,"")&amp;IF(N(AI55)&gt;0,", "&amp;AI$2,"")&amp;IF(N(AJ55)&gt;0,", "&amp;AJ$2,""),3,999)</f>
        <v/>
      </c>
      <c r="AM55" s="87" t="str">
        <f aca="false">IF(E55="","",MID(IF(N(Y55)&gt;0,", "&amp;A55&amp;"-"&amp;Y$2,"")&amp;IF(N(Z55)&gt;0,", "&amp;A55&amp;"-"&amp;Z$2,"")&amp;IF(N(AA55)&gt;0,", "&amp;A55&amp;"-"&amp;AA$2,"")&amp;IF(N(AB55)&gt;0,", "&amp;A55&amp;"-"&amp;AB$2,"")&amp;IF(N(AC55)&gt;0,", "&amp;A55&amp;"-"&amp;AC$2,"")&amp;IF(N(AD55)&gt;0,", "&amp;A55&amp;"-"&amp;AD$2,"")&amp;IF(N(AE55)&gt;0,", "&amp;A55&amp;"-"&amp;AE$2,"")&amp;IF(N(AF55)&gt;0,", "&amp;A55&amp;"-"&amp;AF$2,"")&amp;IF(N(AG55)&gt;0,", "&amp;A55&amp;"-"&amp;AG$2,"")&amp;IF(N(AH55)&gt;0,", "&amp;A55&amp;"-"&amp;AH$2,"")&amp;IF(N(AI55)&gt;0,", "&amp;A55&amp;"-"&amp;AI$2,"")&amp;IF(N(AJ55)&gt;0,", "&amp;A55&amp;"-"&amp;AJ$2,""),3,999))</f>
        <v/>
      </c>
      <c r="AN55" s="81"/>
      <c r="AO55" s="88"/>
      <c r="AP55" s="89" t="str">
        <f aca="false">IF(AO55="","",ROUND(AO55/(1+Справочники!$B$13),2))</f>
        <v/>
      </c>
      <c r="AQ55" s="90" t="str">
        <f aca="false" t="array" ref="AQ55:AQ55">IF(AP55="","",AP55*INDEX(Справочники!$B$4:$B$7,MATCH("RUB",Справочники!$A$4:$A$7,0)))</f>
        <v/>
      </c>
      <c r="AR55" s="90" t="str">
        <f aca="false">IF(AQ55="","",ROUND(AQ55*(1+Справочники!$B$12),0))</f>
        <v/>
      </c>
      <c r="AS55" s="90" t="str">
        <f aca="false">IF(AR55="","",ROUND(AR55*(1-Справочники!$B$11),0))</f>
        <v/>
      </c>
      <c r="AT55" s="88"/>
      <c r="AU55" s="90" t="str">
        <f aca="false">IF(AT55="","",ROUND(AT55/(1+Справочники!$B$12),0))</f>
        <v/>
      </c>
      <c r="AV55" s="90" t="str">
        <f aca="false">IF(AT55="","",ROUND(AT55*(1-Справочники!$B$15),0))</f>
        <v/>
      </c>
      <c r="AW55" s="90" t="str">
        <f aca="false">IF(AT55="","",ROUND(AT55*(1-Справочники!$B$16),0))</f>
        <v/>
      </c>
      <c r="AX55" s="90" t="str">
        <f aca="false">IF(AT55="","",ROUND(AT55*(1-Справочники!$B$17),0))</f>
        <v/>
      </c>
      <c r="AY55" s="90" t="str">
        <f aca="false">IF(AT55="","",ROUND(AT55*(1-Справочники!$B$18),0))</f>
        <v/>
      </c>
      <c r="AZ55" s="90" t="str">
        <f aca="false">IF(AT55="","",ROUND(AT55*(1-Справочники!$B$19),0))</f>
        <v/>
      </c>
      <c r="BA55" s="81"/>
      <c r="BB55" s="81"/>
      <c r="BC55" s="81"/>
      <c r="BD55" s="81"/>
      <c r="BE55" s="91"/>
      <c r="BF55" s="81" t="s">
        <v>103</v>
      </c>
      <c r="BG55" s="89" t="n">
        <f aca="false" t="array" ref="BG55:BG55">IF(BF55="","",IFERROR(INDEX(Справочники!$B$4:$B$7,MATCH(BF55,Справочники!$A$4:$A$7,0)),""))</f>
        <v>68.5</v>
      </c>
      <c r="BH55" s="90" t="str">
        <f aca="false">IF(N(BN55)&gt;0,ROUND(SUMIF(ЗАКАЗЫ!$F$3:$F$500,$A55,ЗАКАЗЫ!$Y$3:$Y$500)/BN55,0),IF(OR(BE55="",BG55=""),"",ROUND(BE55*BG55*(1+Справочники!$B$10),0)))</f>
        <v/>
      </c>
      <c r="BI55" s="92" t="str">
        <f aca="false">IF(OR(AU55="",BH55="",AU55=0),"",(AU55-BH55)/AU55)</f>
        <v/>
      </c>
      <c r="BJ55" s="81"/>
      <c r="BK55" s="83"/>
      <c r="BL55" s="43" t="str">
        <f aca="false">IFERROR(INDEX(ЗАКАЗЫ!$N$3:$N$500,MATCH($A55,ЗАКАЗЫ!$F$3:$F$500,0)),"")</f>
        <v/>
      </c>
      <c r="BM55" s="8" t="str">
        <f aca="false">IF(BL55="","",IFERROR(VLOOKUP(BL55,'ТН ВЭД'!$A$4:$C$40,3,0),""))</f>
        <v/>
      </c>
      <c r="BN55" s="7" t="str">
        <f aca="false">IF(COUNTIF(ЗАКАЗЫ!$F$3:$F$500,$A55)=0,"",SUMIF(ЗАКАЗЫ!$F$3:$F$500,$A55,ЗАКАЗЫ!$J$3:$J$500))</f>
        <v/>
      </c>
      <c r="BO55" s="7" t="str">
        <f aca="false">IF(BN55="","",SUMIF(ЗАКАЗЫ!$F$3:$F$500,$A55,ЗАКАЗЫ!$AL$3:$AL$500))</f>
        <v/>
      </c>
      <c r="BP55" s="7" t="str">
        <f aca="false">IF(BN55="","",BN55-BO55)</f>
        <v/>
      </c>
      <c r="BQ55" s="55" t="str">
        <f aca="false">IF(BN55="","",IF(BO55&gt;=BN55,"На складе",IF(BO55&gt;0,"Частично","Ждём")))</f>
        <v/>
      </c>
      <c r="BR55" s="43"/>
      <c r="BS55" s="47" t="str">
        <f aca="false">IF(BN55="","",IF(_xlfn.MAXIFS(ЗАКАЗЫ!$AK$3:$AK$500,ЗАКАЗЫ!$F$3:$F$500,$A55)=0,"",_xlfn.MAXIFS(ЗАКАЗЫ!$AK$3:$AK$500,ЗАКАЗЫ!$F$3:$F$500,$A55)))</f>
        <v/>
      </c>
    </row>
    <row r="56" customFormat="false" ht="15.75" hidden="false" customHeight="true" outlineLevel="0" collapsed="false">
      <c r="A56" s="80" t="s">
        <v>1257</v>
      </c>
      <c r="B56" s="81"/>
      <c r="C56" s="81"/>
      <c r="D56" s="81"/>
      <c r="E56" s="83"/>
      <c r="F56" s="81"/>
      <c r="G56" s="83"/>
      <c r="H56" s="83"/>
      <c r="I56" s="84" t="str">
        <f aca="false">IF(E56="","",A56&amp;"_1.jpg")</f>
        <v/>
      </c>
      <c r="J56" s="84" t="str">
        <f aca="false">IF(E56="","",A56&amp;"_2.jpg; "&amp;A56&amp;"_3.jpg")</f>
        <v/>
      </c>
      <c r="K56" s="84" t="str">
        <f aca="false">IF(E56="","",A56&amp;"_schema.jpg")</f>
        <v/>
      </c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 t="s">
        <v>96</v>
      </c>
      <c r="W56" s="81"/>
      <c r="X56" s="81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6" t="str">
        <f aca="false">IF(SUM(Y56:AJ56)=0,"",SUM(Y56:AJ56))</f>
        <v/>
      </c>
      <c r="AL56" s="84" t="str">
        <f aca="false">MID(IF(N(Y56)&gt;0,", "&amp;Y$2,"")&amp;IF(N(Z56)&gt;0,", "&amp;Z$2,"")&amp;IF(N(AA56)&gt;0,", "&amp;AA$2,"")&amp;IF(N(AB56)&gt;0,", "&amp;AB$2,"")&amp;IF(N(AC56)&gt;0,", "&amp;AC$2,"")&amp;IF(N(AD56)&gt;0,", "&amp;AD$2,"")&amp;IF(N(AE56)&gt;0,", "&amp;AE$2,"")&amp;IF(N(AF56)&gt;0,", "&amp;AF$2,"")&amp;IF(N(AG56)&gt;0,", "&amp;AG$2,"")&amp;IF(N(AH56)&gt;0,", "&amp;AH$2,"")&amp;IF(N(AI56)&gt;0,", "&amp;AI$2,"")&amp;IF(N(AJ56)&gt;0,", "&amp;AJ$2,""),3,999)</f>
        <v/>
      </c>
      <c r="AM56" s="87" t="str">
        <f aca="false">IF(E56="","",MID(IF(N(Y56)&gt;0,", "&amp;A56&amp;"-"&amp;Y$2,"")&amp;IF(N(Z56)&gt;0,", "&amp;A56&amp;"-"&amp;Z$2,"")&amp;IF(N(AA56)&gt;0,", "&amp;A56&amp;"-"&amp;AA$2,"")&amp;IF(N(AB56)&gt;0,", "&amp;A56&amp;"-"&amp;AB$2,"")&amp;IF(N(AC56)&gt;0,", "&amp;A56&amp;"-"&amp;AC$2,"")&amp;IF(N(AD56)&gt;0,", "&amp;A56&amp;"-"&amp;AD$2,"")&amp;IF(N(AE56)&gt;0,", "&amp;A56&amp;"-"&amp;AE$2,"")&amp;IF(N(AF56)&gt;0,", "&amp;A56&amp;"-"&amp;AF$2,"")&amp;IF(N(AG56)&gt;0,", "&amp;A56&amp;"-"&amp;AG$2,"")&amp;IF(N(AH56)&gt;0,", "&amp;A56&amp;"-"&amp;AH$2,"")&amp;IF(N(AI56)&gt;0,", "&amp;A56&amp;"-"&amp;AI$2,"")&amp;IF(N(AJ56)&gt;0,", "&amp;A56&amp;"-"&amp;AJ$2,""),3,999))</f>
        <v/>
      </c>
      <c r="AN56" s="81"/>
      <c r="AO56" s="88"/>
      <c r="AP56" s="89" t="str">
        <f aca="false">IF(AO56="","",ROUND(AO56/(1+Справочники!$B$13),2))</f>
        <v/>
      </c>
      <c r="AQ56" s="90" t="str">
        <f aca="false" t="array" ref="AQ56:AQ56">IF(AP56="","",AP56*INDEX(Справочники!$B$4:$B$7,MATCH("RUB",Справочники!$A$4:$A$7,0)))</f>
        <v/>
      </c>
      <c r="AR56" s="90" t="str">
        <f aca="false">IF(AQ56="","",ROUND(AQ56*(1+Справочники!$B$12),0))</f>
        <v/>
      </c>
      <c r="AS56" s="90" t="str">
        <f aca="false">IF(AR56="","",ROUND(AR56*(1-Справочники!$B$11),0))</f>
        <v/>
      </c>
      <c r="AT56" s="88"/>
      <c r="AU56" s="90" t="str">
        <f aca="false">IF(AT56="","",ROUND(AT56/(1+Справочники!$B$12),0))</f>
        <v/>
      </c>
      <c r="AV56" s="90" t="str">
        <f aca="false">IF(AT56="","",ROUND(AT56*(1-Справочники!$B$15),0))</f>
        <v/>
      </c>
      <c r="AW56" s="90" t="str">
        <f aca="false">IF(AT56="","",ROUND(AT56*(1-Справочники!$B$16),0))</f>
        <v/>
      </c>
      <c r="AX56" s="90" t="str">
        <f aca="false">IF(AT56="","",ROUND(AT56*(1-Справочники!$B$17),0))</f>
        <v/>
      </c>
      <c r="AY56" s="90" t="str">
        <f aca="false">IF(AT56="","",ROUND(AT56*(1-Справочники!$B$18),0))</f>
        <v/>
      </c>
      <c r="AZ56" s="90" t="str">
        <f aca="false">IF(AT56="","",ROUND(AT56*(1-Справочники!$B$19),0))</f>
        <v/>
      </c>
      <c r="BA56" s="81"/>
      <c r="BB56" s="81"/>
      <c r="BC56" s="81"/>
      <c r="BD56" s="81"/>
      <c r="BE56" s="91"/>
      <c r="BF56" s="81" t="s">
        <v>103</v>
      </c>
      <c r="BG56" s="89" t="n">
        <f aca="false" t="array" ref="BG56:BG56">IF(BF56="","",IFERROR(INDEX(Справочники!$B$4:$B$7,MATCH(BF56,Справочники!$A$4:$A$7,0)),""))</f>
        <v>68.5</v>
      </c>
      <c r="BH56" s="90" t="str">
        <f aca="false">IF(N(BN56)&gt;0,ROUND(SUMIF(ЗАКАЗЫ!$F$3:$F$500,$A56,ЗАКАЗЫ!$Y$3:$Y$500)/BN56,0),IF(OR(BE56="",BG56=""),"",ROUND(BE56*BG56*(1+Справочники!$B$10),0)))</f>
        <v/>
      </c>
      <c r="BI56" s="92" t="str">
        <f aca="false">IF(OR(AU56="",BH56="",AU56=0),"",(AU56-BH56)/AU56)</f>
        <v/>
      </c>
      <c r="BJ56" s="81"/>
      <c r="BK56" s="83"/>
      <c r="BL56" s="43" t="str">
        <f aca="false">IFERROR(INDEX(ЗАКАЗЫ!$N$3:$N$500,MATCH($A56,ЗАКАЗЫ!$F$3:$F$500,0)),"")</f>
        <v/>
      </c>
      <c r="BM56" s="8" t="str">
        <f aca="false">IF(BL56="","",IFERROR(VLOOKUP(BL56,'ТН ВЭД'!$A$4:$C$40,3,0),""))</f>
        <v/>
      </c>
      <c r="BN56" s="7" t="str">
        <f aca="false">IF(COUNTIF(ЗАКАЗЫ!$F$3:$F$500,$A56)=0,"",SUMIF(ЗАКАЗЫ!$F$3:$F$500,$A56,ЗАКАЗЫ!$J$3:$J$500))</f>
        <v/>
      </c>
      <c r="BO56" s="7" t="str">
        <f aca="false">IF(BN56="","",SUMIF(ЗАКАЗЫ!$F$3:$F$500,$A56,ЗАКАЗЫ!$AL$3:$AL$500))</f>
        <v/>
      </c>
      <c r="BP56" s="7" t="str">
        <f aca="false">IF(BN56="","",BN56-BO56)</f>
        <v/>
      </c>
      <c r="BQ56" s="55" t="str">
        <f aca="false">IF(BN56="","",IF(BO56&gt;=BN56,"На складе",IF(BO56&gt;0,"Частично","Ждём")))</f>
        <v/>
      </c>
      <c r="BR56" s="43"/>
      <c r="BS56" s="47" t="str">
        <f aca="false">IF(BN56="","",IF(_xlfn.MAXIFS(ЗАКАЗЫ!$AK$3:$AK$500,ЗАКАЗЫ!$F$3:$F$500,$A56)=0,"",_xlfn.MAXIFS(ЗАКАЗЫ!$AK$3:$AK$500,ЗАКАЗЫ!$F$3:$F$500,$A56)))</f>
        <v/>
      </c>
    </row>
    <row r="57" customFormat="false" ht="15.75" hidden="false" customHeight="true" outlineLevel="0" collapsed="false">
      <c r="A57" s="80" t="s">
        <v>1258</v>
      </c>
      <c r="B57" s="81"/>
      <c r="C57" s="81"/>
      <c r="D57" s="81"/>
      <c r="E57" s="83"/>
      <c r="F57" s="81"/>
      <c r="G57" s="83"/>
      <c r="H57" s="83"/>
      <c r="I57" s="84" t="str">
        <f aca="false">IF(E57="","",A57&amp;"_1.jpg")</f>
        <v/>
      </c>
      <c r="J57" s="84" t="str">
        <f aca="false">IF(E57="","",A57&amp;"_2.jpg; "&amp;A57&amp;"_3.jpg")</f>
        <v/>
      </c>
      <c r="K57" s="84" t="str">
        <f aca="false">IF(E57="","",A57&amp;"_schema.jpg")</f>
        <v/>
      </c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 t="s">
        <v>96</v>
      </c>
      <c r="W57" s="81"/>
      <c r="X57" s="81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6" t="str">
        <f aca="false">IF(SUM(Y57:AJ57)=0,"",SUM(Y57:AJ57))</f>
        <v/>
      </c>
      <c r="AL57" s="84" t="str">
        <f aca="false">MID(IF(N(Y57)&gt;0,", "&amp;Y$2,"")&amp;IF(N(Z57)&gt;0,", "&amp;Z$2,"")&amp;IF(N(AA57)&gt;0,", "&amp;AA$2,"")&amp;IF(N(AB57)&gt;0,", "&amp;AB$2,"")&amp;IF(N(AC57)&gt;0,", "&amp;AC$2,"")&amp;IF(N(AD57)&gt;0,", "&amp;AD$2,"")&amp;IF(N(AE57)&gt;0,", "&amp;AE$2,"")&amp;IF(N(AF57)&gt;0,", "&amp;AF$2,"")&amp;IF(N(AG57)&gt;0,", "&amp;AG$2,"")&amp;IF(N(AH57)&gt;0,", "&amp;AH$2,"")&amp;IF(N(AI57)&gt;0,", "&amp;AI$2,"")&amp;IF(N(AJ57)&gt;0,", "&amp;AJ$2,""),3,999)</f>
        <v/>
      </c>
      <c r="AM57" s="87" t="str">
        <f aca="false">IF(E57="","",MID(IF(N(Y57)&gt;0,", "&amp;A57&amp;"-"&amp;Y$2,"")&amp;IF(N(Z57)&gt;0,", "&amp;A57&amp;"-"&amp;Z$2,"")&amp;IF(N(AA57)&gt;0,", "&amp;A57&amp;"-"&amp;AA$2,"")&amp;IF(N(AB57)&gt;0,", "&amp;A57&amp;"-"&amp;AB$2,"")&amp;IF(N(AC57)&gt;0,", "&amp;A57&amp;"-"&amp;AC$2,"")&amp;IF(N(AD57)&gt;0,", "&amp;A57&amp;"-"&amp;AD$2,"")&amp;IF(N(AE57)&gt;0,", "&amp;A57&amp;"-"&amp;AE$2,"")&amp;IF(N(AF57)&gt;0,", "&amp;A57&amp;"-"&amp;AF$2,"")&amp;IF(N(AG57)&gt;0,", "&amp;A57&amp;"-"&amp;AG$2,"")&amp;IF(N(AH57)&gt;0,", "&amp;A57&amp;"-"&amp;AH$2,"")&amp;IF(N(AI57)&gt;0,", "&amp;A57&amp;"-"&amp;AI$2,"")&amp;IF(N(AJ57)&gt;0,", "&amp;A57&amp;"-"&amp;AJ$2,""),3,999))</f>
        <v/>
      </c>
      <c r="AN57" s="81"/>
      <c r="AO57" s="88"/>
      <c r="AP57" s="89" t="str">
        <f aca="false">IF(AO57="","",ROUND(AO57/(1+Справочники!$B$13),2))</f>
        <v/>
      </c>
      <c r="AQ57" s="90" t="str">
        <f aca="false" t="array" ref="AQ57:AQ57">IF(AP57="","",AP57*INDEX(Справочники!$B$4:$B$7,MATCH("RUB",Справочники!$A$4:$A$7,0)))</f>
        <v/>
      </c>
      <c r="AR57" s="90" t="str">
        <f aca="false">IF(AQ57="","",ROUND(AQ57*(1+Справочники!$B$12),0))</f>
        <v/>
      </c>
      <c r="AS57" s="90" t="str">
        <f aca="false">IF(AR57="","",ROUND(AR57*(1-Справочники!$B$11),0))</f>
        <v/>
      </c>
      <c r="AT57" s="88"/>
      <c r="AU57" s="90" t="str">
        <f aca="false">IF(AT57="","",ROUND(AT57/(1+Справочники!$B$12),0))</f>
        <v/>
      </c>
      <c r="AV57" s="90" t="str">
        <f aca="false">IF(AT57="","",ROUND(AT57*(1-Справочники!$B$15),0))</f>
        <v/>
      </c>
      <c r="AW57" s="90" t="str">
        <f aca="false">IF(AT57="","",ROUND(AT57*(1-Справочники!$B$16),0))</f>
        <v/>
      </c>
      <c r="AX57" s="90" t="str">
        <f aca="false">IF(AT57="","",ROUND(AT57*(1-Справочники!$B$17),0))</f>
        <v/>
      </c>
      <c r="AY57" s="90" t="str">
        <f aca="false">IF(AT57="","",ROUND(AT57*(1-Справочники!$B$18),0))</f>
        <v/>
      </c>
      <c r="AZ57" s="90" t="str">
        <f aca="false">IF(AT57="","",ROUND(AT57*(1-Справочники!$B$19),0))</f>
        <v/>
      </c>
      <c r="BA57" s="81"/>
      <c r="BB57" s="81"/>
      <c r="BC57" s="81"/>
      <c r="BD57" s="81"/>
      <c r="BE57" s="91"/>
      <c r="BF57" s="81" t="s">
        <v>103</v>
      </c>
      <c r="BG57" s="89" t="n">
        <f aca="false" t="array" ref="BG57:BG57">IF(BF57="","",IFERROR(INDEX(Справочники!$B$4:$B$7,MATCH(BF57,Справочники!$A$4:$A$7,0)),""))</f>
        <v>68.5</v>
      </c>
      <c r="BH57" s="90" t="str">
        <f aca="false">IF(N(BN57)&gt;0,ROUND(SUMIF(ЗАКАЗЫ!$F$3:$F$500,$A57,ЗАКАЗЫ!$Y$3:$Y$500)/BN57,0),IF(OR(BE57="",BG57=""),"",ROUND(BE57*BG57*(1+Справочники!$B$10),0)))</f>
        <v/>
      </c>
      <c r="BI57" s="92" t="str">
        <f aca="false">IF(OR(AU57="",BH57="",AU57=0),"",(AU57-BH57)/AU57)</f>
        <v/>
      </c>
      <c r="BJ57" s="81"/>
      <c r="BK57" s="83"/>
      <c r="BL57" s="43" t="str">
        <f aca="false">IFERROR(INDEX(ЗАКАЗЫ!$N$3:$N$500,MATCH($A57,ЗАКАЗЫ!$F$3:$F$500,0)),"")</f>
        <v/>
      </c>
      <c r="BM57" s="8" t="str">
        <f aca="false">IF(BL57="","",IFERROR(VLOOKUP(BL57,'ТН ВЭД'!$A$4:$C$40,3,0),""))</f>
        <v/>
      </c>
      <c r="BN57" s="7" t="str">
        <f aca="false">IF(COUNTIF(ЗАКАЗЫ!$F$3:$F$500,$A57)=0,"",SUMIF(ЗАКАЗЫ!$F$3:$F$500,$A57,ЗАКАЗЫ!$J$3:$J$500))</f>
        <v/>
      </c>
      <c r="BO57" s="7" t="str">
        <f aca="false">IF(BN57="","",SUMIF(ЗАКАЗЫ!$F$3:$F$500,$A57,ЗАКАЗЫ!$AL$3:$AL$500))</f>
        <v/>
      </c>
      <c r="BP57" s="7" t="str">
        <f aca="false">IF(BN57="","",BN57-BO57)</f>
        <v/>
      </c>
      <c r="BQ57" s="55" t="str">
        <f aca="false">IF(BN57="","",IF(BO57&gt;=BN57,"На складе",IF(BO57&gt;0,"Частично","Ждём")))</f>
        <v/>
      </c>
      <c r="BR57" s="43"/>
      <c r="BS57" s="47" t="str">
        <f aca="false">IF(BN57="","",IF(_xlfn.MAXIFS(ЗАКАЗЫ!$AK$3:$AK$500,ЗАКАЗЫ!$F$3:$F$500,$A57)=0,"",_xlfn.MAXIFS(ЗАКАЗЫ!$AK$3:$AK$500,ЗАКАЗЫ!$F$3:$F$500,$A57)))</f>
        <v/>
      </c>
    </row>
    <row r="58" customFormat="false" ht="15.75" hidden="false" customHeight="true" outlineLevel="0" collapsed="false">
      <c r="A58" s="80" t="s">
        <v>1259</v>
      </c>
      <c r="B58" s="81"/>
      <c r="C58" s="81"/>
      <c r="D58" s="81"/>
      <c r="E58" s="83"/>
      <c r="F58" s="81"/>
      <c r="G58" s="83"/>
      <c r="H58" s="83"/>
      <c r="I58" s="84" t="str">
        <f aca="false">IF(E58="","",A58&amp;"_1.jpg")</f>
        <v/>
      </c>
      <c r="J58" s="84" t="str">
        <f aca="false">IF(E58="","",A58&amp;"_2.jpg; "&amp;A58&amp;"_3.jpg")</f>
        <v/>
      </c>
      <c r="K58" s="84" t="str">
        <f aca="false">IF(E58="","",A58&amp;"_schema.jpg")</f>
        <v/>
      </c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 t="s">
        <v>96</v>
      </c>
      <c r="W58" s="81"/>
      <c r="X58" s="81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6" t="str">
        <f aca="false">IF(SUM(Y58:AJ58)=0,"",SUM(Y58:AJ58))</f>
        <v/>
      </c>
      <c r="AL58" s="84" t="str">
        <f aca="false">MID(IF(N(Y58)&gt;0,", "&amp;Y$2,"")&amp;IF(N(Z58)&gt;0,", "&amp;Z$2,"")&amp;IF(N(AA58)&gt;0,", "&amp;AA$2,"")&amp;IF(N(AB58)&gt;0,", "&amp;AB$2,"")&amp;IF(N(AC58)&gt;0,", "&amp;AC$2,"")&amp;IF(N(AD58)&gt;0,", "&amp;AD$2,"")&amp;IF(N(AE58)&gt;0,", "&amp;AE$2,"")&amp;IF(N(AF58)&gt;0,", "&amp;AF$2,"")&amp;IF(N(AG58)&gt;0,", "&amp;AG$2,"")&amp;IF(N(AH58)&gt;0,", "&amp;AH$2,"")&amp;IF(N(AI58)&gt;0,", "&amp;AI$2,"")&amp;IF(N(AJ58)&gt;0,", "&amp;AJ$2,""),3,999)</f>
        <v/>
      </c>
      <c r="AM58" s="87" t="str">
        <f aca="false">IF(E58="","",MID(IF(N(Y58)&gt;0,", "&amp;A58&amp;"-"&amp;Y$2,"")&amp;IF(N(Z58)&gt;0,", "&amp;A58&amp;"-"&amp;Z$2,"")&amp;IF(N(AA58)&gt;0,", "&amp;A58&amp;"-"&amp;AA$2,"")&amp;IF(N(AB58)&gt;0,", "&amp;A58&amp;"-"&amp;AB$2,"")&amp;IF(N(AC58)&gt;0,", "&amp;A58&amp;"-"&amp;AC$2,"")&amp;IF(N(AD58)&gt;0,", "&amp;A58&amp;"-"&amp;AD$2,"")&amp;IF(N(AE58)&gt;0,", "&amp;A58&amp;"-"&amp;AE$2,"")&amp;IF(N(AF58)&gt;0,", "&amp;A58&amp;"-"&amp;AF$2,"")&amp;IF(N(AG58)&gt;0,", "&amp;A58&amp;"-"&amp;AG$2,"")&amp;IF(N(AH58)&gt;0,", "&amp;A58&amp;"-"&amp;AH$2,"")&amp;IF(N(AI58)&gt;0,", "&amp;A58&amp;"-"&amp;AI$2,"")&amp;IF(N(AJ58)&gt;0,", "&amp;A58&amp;"-"&amp;AJ$2,""),3,999))</f>
        <v/>
      </c>
      <c r="AN58" s="81"/>
      <c r="AO58" s="88"/>
      <c r="AP58" s="89" t="str">
        <f aca="false">IF(AO58="","",ROUND(AO58/(1+Справочники!$B$13),2))</f>
        <v/>
      </c>
      <c r="AQ58" s="90" t="str">
        <f aca="false" t="array" ref="AQ58:AQ58">IF(AP58="","",AP58*INDEX(Справочники!$B$4:$B$7,MATCH("RUB",Справочники!$A$4:$A$7,0)))</f>
        <v/>
      </c>
      <c r="AR58" s="90" t="str">
        <f aca="false">IF(AQ58="","",ROUND(AQ58*(1+Справочники!$B$12),0))</f>
        <v/>
      </c>
      <c r="AS58" s="90" t="str">
        <f aca="false">IF(AR58="","",ROUND(AR58*(1-Справочники!$B$11),0))</f>
        <v/>
      </c>
      <c r="AT58" s="88"/>
      <c r="AU58" s="90" t="str">
        <f aca="false">IF(AT58="","",ROUND(AT58/(1+Справочники!$B$12),0))</f>
        <v/>
      </c>
      <c r="AV58" s="90" t="str">
        <f aca="false">IF(AT58="","",ROUND(AT58*(1-Справочники!$B$15),0))</f>
        <v/>
      </c>
      <c r="AW58" s="90" t="str">
        <f aca="false">IF(AT58="","",ROUND(AT58*(1-Справочники!$B$16),0))</f>
        <v/>
      </c>
      <c r="AX58" s="90" t="str">
        <f aca="false">IF(AT58="","",ROUND(AT58*(1-Справочники!$B$17),0))</f>
        <v/>
      </c>
      <c r="AY58" s="90" t="str">
        <f aca="false">IF(AT58="","",ROUND(AT58*(1-Справочники!$B$18),0))</f>
        <v/>
      </c>
      <c r="AZ58" s="90" t="str">
        <f aca="false">IF(AT58="","",ROUND(AT58*(1-Справочники!$B$19),0))</f>
        <v/>
      </c>
      <c r="BA58" s="81"/>
      <c r="BB58" s="81"/>
      <c r="BC58" s="81"/>
      <c r="BD58" s="81"/>
      <c r="BE58" s="91"/>
      <c r="BF58" s="81" t="s">
        <v>103</v>
      </c>
      <c r="BG58" s="89" t="n">
        <f aca="false" t="array" ref="BG58:BG58">IF(BF58="","",IFERROR(INDEX(Справочники!$B$4:$B$7,MATCH(BF58,Справочники!$A$4:$A$7,0)),""))</f>
        <v>68.5</v>
      </c>
      <c r="BH58" s="90" t="str">
        <f aca="false">IF(N(BN58)&gt;0,ROUND(SUMIF(ЗАКАЗЫ!$F$3:$F$500,$A58,ЗАКАЗЫ!$Y$3:$Y$500)/BN58,0),IF(OR(BE58="",BG58=""),"",ROUND(BE58*BG58*(1+Справочники!$B$10),0)))</f>
        <v/>
      </c>
      <c r="BI58" s="92" t="str">
        <f aca="false">IF(OR(AU58="",BH58="",AU58=0),"",(AU58-BH58)/AU58)</f>
        <v/>
      </c>
      <c r="BJ58" s="81"/>
      <c r="BK58" s="83"/>
      <c r="BL58" s="43" t="str">
        <f aca="false">IFERROR(INDEX(ЗАКАЗЫ!$N$3:$N$500,MATCH($A58,ЗАКАЗЫ!$F$3:$F$500,0)),"")</f>
        <v/>
      </c>
      <c r="BM58" s="8" t="str">
        <f aca="false">IF(BL58="","",IFERROR(VLOOKUP(BL58,'ТН ВЭД'!$A$4:$C$40,3,0),""))</f>
        <v/>
      </c>
      <c r="BN58" s="7" t="str">
        <f aca="false">IF(COUNTIF(ЗАКАЗЫ!$F$3:$F$500,$A58)=0,"",SUMIF(ЗАКАЗЫ!$F$3:$F$500,$A58,ЗАКАЗЫ!$J$3:$J$500))</f>
        <v/>
      </c>
      <c r="BO58" s="7" t="str">
        <f aca="false">IF(BN58="","",SUMIF(ЗАКАЗЫ!$F$3:$F$500,$A58,ЗАКАЗЫ!$AL$3:$AL$500))</f>
        <v/>
      </c>
      <c r="BP58" s="7" t="str">
        <f aca="false">IF(BN58="","",BN58-BO58)</f>
        <v/>
      </c>
      <c r="BQ58" s="55" t="str">
        <f aca="false">IF(BN58="","",IF(BO58&gt;=BN58,"На складе",IF(BO58&gt;0,"Частично","Ждём")))</f>
        <v/>
      </c>
      <c r="BR58" s="43"/>
      <c r="BS58" s="47" t="str">
        <f aca="false">IF(BN58="","",IF(_xlfn.MAXIFS(ЗАКАЗЫ!$AK$3:$AK$500,ЗАКАЗЫ!$F$3:$F$500,$A58)=0,"",_xlfn.MAXIFS(ЗАКАЗЫ!$AK$3:$AK$500,ЗАКАЗЫ!$F$3:$F$500,$A58)))</f>
        <v/>
      </c>
    </row>
    <row r="59" customFormat="false" ht="15.75" hidden="false" customHeight="true" outlineLevel="0" collapsed="false">
      <c r="A59" s="80" t="s">
        <v>1260</v>
      </c>
      <c r="B59" s="81"/>
      <c r="C59" s="81"/>
      <c r="D59" s="81"/>
      <c r="E59" s="83"/>
      <c r="F59" s="81"/>
      <c r="G59" s="83"/>
      <c r="H59" s="83"/>
      <c r="I59" s="84" t="str">
        <f aca="false">IF(E59="","",A59&amp;"_1.jpg")</f>
        <v/>
      </c>
      <c r="J59" s="84" t="str">
        <f aca="false">IF(E59="","",A59&amp;"_2.jpg; "&amp;A59&amp;"_3.jpg")</f>
        <v/>
      </c>
      <c r="K59" s="84" t="str">
        <f aca="false">IF(E59="","",A59&amp;"_schema.jpg")</f>
        <v/>
      </c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 t="s">
        <v>96</v>
      </c>
      <c r="W59" s="81"/>
      <c r="X59" s="81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6" t="str">
        <f aca="false">IF(SUM(Y59:AJ59)=0,"",SUM(Y59:AJ59))</f>
        <v/>
      </c>
      <c r="AL59" s="84" t="str">
        <f aca="false">MID(IF(N(Y59)&gt;0,", "&amp;Y$2,"")&amp;IF(N(Z59)&gt;0,", "&amp;Z$2,"")&amp;IF(N(AA59)&gt;0,", "&amp;AA$2,"")&amp;IF(N(AB59)&gt;0,", "&amp;AB$2,"")&amp;IF(N(AC59)&gt;0,", "&amp;AC$2,"")&amp;IF(N(AD59)&gt;0,", "&amp;AD$2,"")&amp;IF(N(AE59)&gt;0,", "&amp;AE$2,"")&amp;IF(N(AF59)&gt;0,", "&amp;AF$2,"")&amp;IF(N(AG59)&gt;0,", "&amp;AG$2,"")&amp;IF(N(AH59)&gt;0,", "&amp;AH$2,"")&amp;IF(N(AI59)&gt;0,", "&amp;AI$2,"")&amp;IF(N(AJ59)&gt;0,", "&amp;AJ$2,""),3,999)</f>
        <v/>
      </c>
      <c r="AM59" s="87" t="str">
        <f aca="false">IF(E59="","",MID(IF(N(Y59)&gt;0,", "&amp;A59&amp;"-"&amp;Y$2,"")&amp;IF(N(Z59)&gt;0,", "&amp;A59&amp;"-"&amp;Z$2,"")&amp;IF(N(AA59)&gt;0,", "&amp;A59&amp;"-"&amp;AA$2,"")&amp;IF(N(AB59)&gt;0,", "&amp;A59&amp;"-"&amp;AB$2,"")&amp;IF(N(AC59)&gt;0,", "&amp;A59&amp;"-"&amp;AC$2,"")&amp;IF(N(AD59)&gt;0,", "&amp;A59&amp;"-"&amp;AD$2,"")&amp;IF(N(AE59)&gt;0,", "&amp;A59&amp;"-"&amp;AE$2,"")&amp;IF(N(AF59)&gt;0,", "&amp;A59&amp;"-"&amp;AF$2,"")&amp;IF(N(AG59)&gt;0,", "&amp;A59&amp;"-"&amp;AG$2,"")&amp;IF(N(AH59)&gt;0,", "&amp;A59&amp;"-"&amp;AH$2,"")&amp;IF(N(AI59)&gt;0,", "&amp;A59&amp;"-"&amp;AI$2,"")&amp;IF(N(AJ59)&gt;0,", "&amp;A59&amp;"-"&amp;AJ$2,""),3,999))</f>
        <v/>
      </c>
      <c r="AN59" s="81"/>
      <c r="AO59" s="88"/>
      <c r="AP59" s="89" t="str">
        <f aca="false">IF(AO59="","",ROUND(AO59/(1+Справочники!$B$13),2))</f>
        <v/>
      </c>
      <c r="AQ59" s="90" t="str">
        <f aca="false" t="array" ref="AQ59:AQ59">IF(AP59="","",AP59*INDEX(Справочники!$B$4:$B$7,MATCH("RUB",Справочники!$A$4:$A$7,0)))</f>
        <v/>
      </c>
      <c r="AR59" s="90" t="str">
        <f aca="false">IF(AQ59="","",ROUND(AQ59*(1+Справочники!$B$12),0))</f>
        <v/>
      </c>
      <c r="AS59" s="90" t="str">
        <f aca="false">IF(AR59="","",ROUND(AR59*(1-Справочники!$B$11),0))</f>
        <v/>
      </c>
      <c r="AT59" s="88"/>
      <c r="AU59" s="90" t="str">
        <f aca="false">IF(AT59="","",ROUND(AT59/(1+Справочники!$B$12),0))</f>
        <v/>
      </c>
      <c r="AV59" s="90" t="str">
        <f aca="false">IF(AT59="","",ROUND(AT59*(1-Справочники!$B$15),0))</f>
        <v/>
      </c>
      <c r="AW59" s="90" t="str">
        <f aca="false">IF(AT59="","",ROUND(AT59*(1-Справочники!$B$16),0))</f>
        <v/>
      </c>
      <c r="AX59" s="90" t="str">
        <f aca="false">IF(AT59="","",ROUND(AT59*(1-Справочники!$B$17),0))</f>
        <v/>
      </c>
      <c r="AY59" s="90" t="str">
        <f aca="false">IF(AT59="","",ROUND(AT59*(1-Справочники!$B$18),0))</f>
        <v/>
      </c>
      <c r="AZ59" s="90" t="str">
        <f aca="false">IF(AT59="","",ROUND(AT59*(1-Справочники!$B$19),0))</f>
        <v/>
      </c>
      <c r="BA59" s="81"/>
      <c r="BB59" s="81"/>
      <c r="BC59" s="81"/>
      <c r="BD59" s="81"/>
      <c r="BE59" s="91"/>
      <c r="BF59" s="81" t="s">
        <v>103</v>
      </c>
      <c r="BG59" s="89" t="n">
        <f aca="false" t="array" ref="BG59:BG59">IF(BF59="","",IFERROR(INDEX(Справочники!$B$4:$B$7,MATCH(BF59,Справочники!$A$4:$A$7,0)),""))</f>
        <v>68.5</v>
      </c>
      <c r="BH59" s="90" t="str">
        <f aca="false">IF(N(BN59)&gt;0,ROUND(SUMIF(ЗАКАЗЫ!$F$3:$F$500,$A59,ЗАКАЗЫ!$Y$3:$Y$500)/BN59,0),IF(OR(BE59="",BG59=""),"",ROUND(BE59*BG59*(1+Справочники!$B$10),0)))</f>
        <v/>
      </c>
      <c r="BI59" s="92" t="str">
        <f aca="false">IF(OR(AU59="",BH59="",AU59=0),"",(AU59-BH59)/AU59)</f>
        <v/>
      </c>
      <c r="BJ59" s="81"/>
      <c r="BK59" s="83"/>
      <c r="BL59" s="43" t="str">
        <f aca="false">IFERROR(INDEX(ЗАКАЗЫ!$N$3:$N$500,MATCH($A59,ЗАКАЗЫ!$F$3:$F$500,0)),"")</f>
        <v/>
      </c>
      <c r="BM59" s="8" t="str">
        <f aca="false">IF(BL59="","",IFERROR(VLOOKUP(BL59,'ТН ВЭД'!$A$4:$C$40,3,0),""))</f>
        <v/>
      </c>
      <c r="BN59" s="7" t="str">
        <f aca="false">IF(COUNTIF(ЗАКАЗЫ!$F$3:$F$500,$A59)=0,"",SUMIF(ЗАКАЗЫ!$F$3:$F$500,$A59,ЗАКАЗЫ!$J$3:$J$500))</f>
        <v/>
      </c>
      <c r="BO59" s="7" t="str">
        <f aca="false">IF(BN59="","",SUMIF(ЗАКАЗЫ!$F$3:$F$500,$A59,ЗАКАЗЫ!$AL$3:$AL$500))</f>
        <v/>
      </c>
      <c r="BP59" s="7" t="str">
        <f aca="false">IF(BN59="","",BN59-BO59)</f>
        <v/>
      </c>
      <c r="BQ59" s="55" t="str">
        <f aca="false">IF(BN59="","",IF(BO59&gt;=BN59,"На складе",IF(BO59&gt;0,"Частично","Ждём")))</f>
        <v/>
      </c>
      <c r="BR59" s="43"/>
      <c r="BS59" s="47" t="str">
        <f aca="false">IF(BN59="","",IF(_xlfn.MAXIFS(ЗАКАЗЫ!$AK$3:$AK$500,ЗАКАЗЫ!$F$3:$F$500,$A59)=0,"",_xlfn.MAXIFS(ЗАКАЗЫ!$AK$3:$AK$500,ЗАКАЗЫ!$F$3:$F$500,$A59)))</f>
        <v/>
      </c>
    </row>
    <row r="60" customFormat="false" ht="15.75" hidden="false" customHeight="true" outlineLevel="0" collapsed="false">
      <c r="A60" s="80" t="s">
        <v>1261</v>
      </c>
      <c r="B60" s="81"/>
      <c r="C60" s="81"/>
      <c r="D60" s="81"/>
      <c r="E60" s="83"/>
      <c r="F60" s="81"/>
      <c r="G60" s="83"/>
      <c r="H60" s="83"/>
      <c r="I60" s="84" t="str">
        <f aca="false">IF(E60="","",A60&amp;"_1.jpg")</f>
        <v/>
      </c>
      <c r="J60" s="84" t="str">
        <f aca="false">IF(E60="","",A60&amp;"_2.jpg; "&amp;A60&amp;"_3.jpg")</f>
        <v/>
      </c>
      <c r="K60" s="84" t="str">
        <f aca="false">IF(E60="","",A60&amp;"_schema.jpg")</f>
        <v/>
      </c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 t="s">
        <v>96</v>
      </c>
      <c r="W60" s="81"/>
      <c r="X60" s="81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6" t="str">
        <f aca="false">IF(SUM(Y60:AJ60)=0,"",SUM(Y60:AJ60))</f>
        <v/>
      </c>
      <c r="AL60" s="84" t="str">
        <f aca="false">MID(IF(N(Y60)&gt;0,", "&amp;Y$2,"")&amp;IF(N(Z60)&gt;0,", "&amp;Z$2,"")&amp;IF(N(AA60)&gt;0,", "&amp;AA$2,"")&amp;IF(N(AB60)&gt;0,", "&amp;AB$2,"")&amp;IF(N(AC60)&gt;0,", "&amp;AC$2,"")&amp;IF(N(AD60)&gt;0,", "&amp;AD$2,"")&amp;IF(N(AE60)&gt;0,", "&amp;AE$2,"")&amp;IF(N(AF60)&gt;0,", "&amp;AF$2,"")&amp;IF(N(AG60)&gt;0,", "&amp;AG$2,"")&amp;IF(N(AH60)&gt;0,", "&amp;AH$2,"")&amp;IF(N(AI60)&gt;0,", "&amp;AI$2,"")&amp;IF(N(AJ60)&gt;0,", "&amp;AJ$2,""),3,999)</f>
        <v/>
      </c>
      <c r="AM60" s="87" t="str">
        <f aca="false">IF(E60="","",MID(IF(N(Y60)&gt;0,", "&amp;A60&amp;"-"&amp;Y$2,"")&amp;IF(N(Z60)&gt;0,", "&amp;A60&amp;"-"&amp;Z$2,"")&amp;IF(N(AA60)&gt;0,", "&amp;A60&amp;"-"&amp;AA$2,"")&amp;IF(N(AB60)&gt;0,", "&amp;A60&amp;"-"&amp;AB$2,"")&amp;IF(N(AC60)&gt;0,", "&amp;A60&amp;"-"&amp;AC$2,"")&amp;IF(N(AD60)&gt;0,", "&amp;A60&amp;"-"&amp;AD$2,"")&amp;IF(N(AE60)&gt;0,", "&amp;A60&amp;"-"&amp;AE$2,"")&amp;IF(N(AF60)&gt;0,", "&amp;A60&amp;"-"&amp;AF$2,"")&amp;IF(N(AG60)&gt;0,", "&amp;A60&amp;"-"&amp;AG$2,"")&amp;IF(N(AH60)&gt;0,", "&amp;A60&amp;"-"&amp;AH$2,"")&amp;IF(N(AI60)&gt;0,", "&amp;A60&amp;"-"&amp;AI$2,"")&amp;IF(N(AJ60)&gt;0,", "&amp;A60&amp;"-"&amp;AJ$2,""),3,999))</f>
        <v/>
      </c>
      <c r="AN60" s="81"/>
      <c r="AO60" s="88"/>
      <c r="AP60" s="89" t="str">
        <f aca="false">IF(AO60="","",ROUND(AO60/(1+Справочники!$B$13),2))</f>
        <v/>
      </c>
      <c r="AQ60" s="90" t="str">
        <f aca="false" t="array" ref="AQ60:AQ60">IF(AP60="","",AP60*INDEX(Справочники!$B$4:$B$7,MATCH("RUB",Справочники!$A$4:$A$7,0)))</f>
        <v/>
      </c>
      <c r="AR60" s="90" t="str">
        <f aca="false">IF(AQ60="","",ROUND(AQ60*(1+Справочники!$B$12),0))</f>
        <v/>
      </c>
      <c r="AS60" s="90" t="str">
        <f aca="false">IF(AR60="","",ROUND(AR60*(1-Справочники!$B$11),0))</f>
        <v/>
      </c>
      <c r="AT60" s="88"/>
      <c r="AU60" s="90" t="str">
        <f aca="false">IF(AT60="","",ROUND(AT60/(1+Справочники!$B$12),0))</f>
        <v/>
      </c>
      <c r="AV60" s="90" t="str">
        <f aca="false">IF(AT60="","",ROUND(AT60*(1-Справочники!$B$15),0))</f>
        <v/>
      </c>
      <c r="AW60" s="90" t="str">
        <f aca="false">IF(AT60="","",ROUND(AT60*(1-Справочники!$B$16),0))</f>
        <v/>
      </c>
      <c r="AX60" s="90" t="str">
        <f aca="false">IF(AT60="","",ROUND(AT60*(1-Справочники!$B$17),0))</f>
        <v/>
      </c>
      <c r="AY60" s="90" t="str">
        <f aca="false">IF(AT60="","",ROUND(AT60*(1-Справочники!$B$18),0))</f>
        <v/>
      </c>
      <c r="AZ60" s="90" t="str">
        <f aca="false">IF(AT60="","",ROUND(AT60*(1-Справочники!$B$19),0))</f>
        <v/>
      </c>
      <c r="BA60" s="81"/>
      <c r="BB60" s="81"/>
      <c r="BC60" s="81"/>
      <c r="BD60" s="81"/>
      <c r="BE60" s="91"/>
      <c r="BF60" s="81" t="s">
        <v>103</v>
      </c>
      <c r="BG60" s="89" t="n">
        <f aca="false" t="array" ref="BG60:BG60">IF(BF60="","",IFERROR(INDEX(Справочники!$B$4:$B$7,MATCH(BF60,Справочники!$A$4:$A$7,0)),""))</f>
        <v>68.5</v>
      </c>
      <c r="BH60" s="90" t="str">
        <f aca="false">IF(N(BN60)&gt;0,ROUND(SUMIF(ЗАКАЗЫ!$F$3:$F$500,$A60,ЗАКАЗЫ!$Y$3:$Y$500)/BN60,0),IF(OR(BE60="",BG60=""),"",ROUND(BE60*BG60*(1+Справочники!$B$10),0)))</f>
        <v/>
      </c>
      <c r="BI60" s="92" t="str">
        <f aca="false">IF(OR(AU60="",BH60="",AU60=0),"",(AU60-BH60)/AU60)</f>
        <v/>
      </c>
      <c r="BJ60" s="81"/>
      <c r="BK60" s="83"/>
      <c r="BL60" s="43" t="str">
        <f aca="false">IFERROR(INDEX(ЗАКАЗЫ!$N$3:$N$500,MATCH($A60,ЗАКАЗЫ!$F$3:$F$500,0)),"")</f>
        <v/>
      </c>
      <c r="BM60" s="8" t="str">
        <f aca="false">IF(BL60="","",IFERROR(VLOOKUP(BL60,'ТН ВЭД'!$A$4:$C$40,3,0),""))</f>
        <v/>
      </c>
      <c r="BN60" s="7" t="str">
        <f aca="false">IF(COUNTIF(ЗАКАЗЫ!$F$3:$F$500,$A60)=0,"",SUMIF(ЗАКАЗЫ!$F$3:$F$500,$A60,ЗАКАЗЫ!$J$3:$J$500))</f>
        <v/>
      </c>
      <c r="BO60" s="7" t="str">
        <f aca="false">IF(BN60="","",SUMIF(ЗАКАЗЫ!$F$3:$F$500,$A60,ЗАКАЗЫ!$AL$3:$AL$500))</f>
        <v/>
      </c>
      <c r="BP60" s="7" t="str">
        <f aca="false">IF(BN60="","",BN60-BO60)</f>
        <v/>
      </c>
      <c r="BQ60" s="55" t="str">
        <f aca="false">IF(BN60="","",IF(BO60&gt;=BN60,"На складе",IF(BO60&gt;0,"Частично","Ждём")))</f>
        <v/>
      </c>
      <c r="BR60" s="43"/>
      <c r="BS60" s="47" t="str">
        <f aca="false">IF(BN60="","",IF(_xlfn.MAXIFS(ЗАКАЗЫ!$AK$3:$AK$500,ЗАКАЗЫ!$F$3:$F$500,$A60)=0,"",_xlfn.MAXIFS(ЗАКАЗЫ!$AK$3:$AK$500,ЗАКАЗЫ!$F$3:$F$500,$A60)))</f>
        <v/>
      </c>
    </row>
    <row r="61" customFormat="false" ht="15.75" hidden="false" customHeight="true" outlineLevel="0" collapsed="false">
      <c r="A61" s="80" t="s">
        <v>1262</v>
      </c>
      <c r="B61" s="81"/>
      <c r="C61" s="81"/>
      <c r="D61" s="81"/>
      <c r="E61" s="83"/>
      <c r="F61" s="81"/>
      <c r="G61" s="83"/>
      <c r="H61" s="83"/>
      <c r="I61" s="84" t="str">
        <f aca="false">IF(E61="","",A61&amp;"_1.jpg")</f>
        <v/>
      </c>
      <c r="J61" s="84" t="str">
        <f aca="false">IF(E61="","",A61&amp;"_2.jpg; "&amp;A61&amp;"_3.jpg")</f>
        <v/>
      </c>
      <c r="K61" s="84" t="str">
        <f aca="false">IF(E61="","",A61&amp;"_schema.jpg")</f>
        <v/>
      </c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 t="s">
        <v>96</v>
      </c>
      <c r="W61" s="81"/>
      <c r="X61" s="81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6" t="str">
        <f aca="false">IF(SUM(Y61:AJ61)=0,"",SUM(Y61:AJ61))</f>
        <v/>
      </c>
      <c r="AL61" s="84" t="str">
        <f aca="false">MID(IF(N(Y61)&gt;0,", "&amp;Y$2,"")&amp;IF(N(Z61)&gt;0,", "&amp;Z$2,"")&amp;IF(N(AA61)&gt;0,", "&amp;AA$2,"")&amp;IF(N(AB61)&gt;0,", "&amp;AB$2,"")&amp;IF(N(AC61)&gt;0,", "&amp;AC$2,"")&amp;IF(N(AD61)&gt;0,", "&amp;AD$2,"")&amp;IF(N(AE61)&gt;0,", "&amp;AE$2,"")&amp;IF(N(AF61)&gt;0,", "&amp;AF$2,"")&amp;IF(N(AG61)&gt;0,", "&amp;AG$2,"")&amp;IF(N(AH61)&gt;0,", "&amp;AH$2,"")&amp;IF(N(AI61)&gt;0,", "&amp;AI$2,"")&amp;IF(N(AJ61)&gt;0,", "&amp;AJ$2,""),3,999)</f>
        <v/>
      </c>
      <c r="AM61" s="87" t="str">
        <f aca="false">IF(E61="","",MID(IF(N(Y61)&gt;0,", "&amp;A61&amp;"-"&amp;Y$2,"")&amp;IF(N(Z61)&gt;0,", "&amp;A61&amp;"-"&amp;Z$2,"")&amp;IF(N(AA61)&gt;0,", "&amp;A61&amp;"-"&amp;AA$2,"")&amp;IF(N(AB61)&gt;0,", "&amp;A61&amp;"-"&amp;AB$2,"")&amp;IF(N(AC61)&gt;0,", "&amp;A61&amp;"-"&amp;AC$2,"")&amp;IF(N(AD61)&gt;0,", "&amp;A61&amp;"-"&amp;AD$2,"")&amp;IF(N(AE61)&gt;0,", "&amp;A61&amp;"-"&amp;AE$2,"")&amp;IF(N(AF61)&gt;0,", "&amp;A61&amp;"-"&amp;AF$2,"")&amp;IF(N(AG61)&gt;0,", "&amp;A61&amp;"-"&amp;AG$2,"")&amp;IF(N(AH61)&gt;0,", "&amp;A61&amp;"-"&amp;AH$2,"")&amp;IF(N(AI61)&gt;0,", "&amp;A61&amp;"-"&amp;AI$2,"")&amp;IF(N(AJ61)&gt;0,", "&amp;A61&amp;"-"&amp;AJ$2,""),3,999))</f>
        <v/>
      </c>
      <c r="AN61" s="81"/>
      <c r="AO61" s="88"/>
      <c r="AP61" s="89" t="str">
        <f aca="false">IF(AO61="","",ROUND(AO61/(1+Справочники!$B$13),2))</f>
        <v/>
      </c>
      <c r="AQ61" s="90" t="str">
        <f aca="false" t="array" ref="AQ61:AQ61">IF(AP61="","",AP61*INDEX(Справочники!$B$4:$B$7,MATCH("RUB",Справочники!$A$4:$A$7,0)))</f>
        <v/>
      </c>
      <c r="AR61" s="90" t="str">
        <f aca="false">IF(AQ61="","",ROUND(AQ61*(1+Справочники!$B$12),0))</f>
        <v/>
      </c>
      <c r="AS61" s="90" t="str">
        <f aca="false">IF(AR61="","",ROUND(AR61*(1-Справочники!$B$11),0))</f>
        <v/>
      </c>
      <c r="AT61" s="88"/>
      <c r="AU61" s="90" t="str">
        <f aca="false">IF(AT61="","",ROUND(AT61/(1+Справочники!$B$12),0))</f>
        <v/>
      </c>
      <c r="AV61" s="90" t="str">
        <f aca="false">IF(AT61="","",ROUND(AT61*(1-Справочники!$B$15),0))</f>
        <v/>
      </c>
      <c r="AW61" s="90" t="str">
        <f aca="false">IF(AT61="","",ROUND(AT61*(1-Справочники!$B$16),0))</f>
        <v/>
      </c>
      <c r="AX61" s="90" t="str">
        <f aca="false">IF(AT61="","",ROUND(AT61*(1-Справочники!$B$17),0))</f>
        <v/>
      </c>
      <c r="AY61" s="90" t="str">
        <f aca="false">IF(AT61="","",ROUND(AT61*(1-Справочники!$B$18),0))</f>
        <v/>
      </c>
      <c r="AZ61" s="90" t="str">
        <f aca="false">IF(AT61="","",ROUND(AT61*(1-Справочники!$B$19),0))</f>
        <v/>
      </c>
      <c r="BA61" s="81"/>
      <c r="BB61" s="81"/>
      <c r="BC61" s="81"/>
      <c r="BD61" s="81"/>
      <c r="BE61" s="91"/>
      <c r="BF61" s="81" t="s">
        <v>103</v>
      </c>
      <c r="BG61" s="89" t="n">
        <f aca="false" t="array" ref="BG61:BG61">IF(BF61="","",IFERROR(INDEX(Справочники!$B$4:$B$7,MATCH(BF61,Справочники!$A$4:$A$7,0)),""))</f>
        <v>68.5</v>
      </c>
      <c r="BH61" s="90" t="str">
        <f aca="false">IF(N(BN61)&gt;0,ROUND(SUMIF(ЗАКАЗЫ!$F$3:$F$500,$A61,ЗАКАЗЫ!$Y$3:$Y$500)/BN61,0),IF(OR(BE61="",BG61=""),"",ROUND(BE61*BG61*(1+Справочники!$B$10),0)))</f>
        <v/>
      </c>
      <c r="BI61" s="92" t="str">
        <f aca="false">IF(OR(AU61="",BH61="",AU61=0),"",(AU61-BH61)/AU61)</f>
        <v/>
      </c>
      <c r="BJ61" s="81"/>
      <c r="BK61" s="83"/>
      <c r="BL61" s="43" t="str">
        <f aca="false">IFERROR(INDEX(ЗАКАЗЫ!$N$3:$N$500,MATCH($A61,ЗАКАЗЫ!$F$3:$F$500,0)),"")</f>
        <v/>
      </c>
      <c r="BM61" s="8" t="str">
        <f aca="false">IF(BL61="","",IFERROR(VLOOKUP(BL61,'ТН ВЭД'!$A$4:$C$40,3,0),""))</f>
        <v/>
      </c>
      <c r="BN61" s="7" t="str">
        <f aca="false">IF(COUNTIF(ЗАКАЗЫ!$F$3:$F$500,$A61)=0,"",SUMIF(ЗАКАЗЫ!$F$3:$F$500,$A61,ЗАКАЗЫ!$J$3:$J$500))</f>
        <v/>
      </c>
      <c r="BO61" s="7" t="str">
        <f aca="false">IF(BN61="","",SUMIF(ЗАКАЗЫ!$F$3:$F$500,$A61,ЗАКАЗЫ!$AL$3:$AL$500))</f>
        <v/>
      </c>
      <c r="BP61" s="7" t="str">
        <f aca="false">IF(BN61="","",BN61-BO61)</f>
        <v/>
      </c>
      <c r="BQ61" s="55" t="str">
        <f aca="false">IF(BN61="","",IF(BO61&gt;=BN61,"На складе",IF(BO61&gt;0,"Частично","Ждём")))</f>
        <v/>
      </c>
      <c r="BR61" s="43"/>
      <c r="BS61" s="47" t="str">
        <f aca="false">IF(BN61="","",IF(_xlfn.MAXIFS(ЗАКАЗЫ!$AK$3:$AK$500,ЗАКАЗЫ!$F$3:$F$500,$A61)=0,"",_xlfn.MAXIFS(ЗАКАЗЫ!$AK$3:$AK$500,ЗАКАЗЫ!$F$3:$F$500,$A61)))</f>
        <v/>
      </c>
    </row>
    <row r="62" customFormat="false" ht="15.75" hidden="false" customHeight="true" outlineLevel="0" collapsed="false">
      <c r="A62" s="80" t="s">
        <v>1263</v>
      </c>
      <c r="B62" s="81"/>
      <c r="C62" s="81"/>
      <c r="D62" s="81"/>
      <c r="E62" s="83"/>
      <c r="F62" s="81"/>
      <c r="G62" s="83"/>
      <c r="H62" s="83"/>
      <c r="I62" s="84" t="str">
        <f aca="false">IF(E62="","",A62&amp;"_1.jpg")</f>
        <v/>
      </c>
      <c r="J62" s="84" t="str">
        <f aca="false">IF(E62="","",A62&amp;"_2.jpg; "&amp;A62&amp;"_3.jpg")</f>
        <v/>
      </c>
      <c r="K62" s="84" t="str">
        <f aca="false">IF(E62="","",A62&amp;"_schema.jpg")</f>
        <v/>
      </c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 t="s">
        <v>96</v>
      </c>
      <c r="W62" s="81"/>
      <c r="X62" s="81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6" t="str">
        <f aca="false">IF(SUM(Y62:AJ62)=0,"",SUM(Y62:AJ62))</f>
        <v/>
      </c>
      <c r="AL62" s="84" t="str">
        <f aca="false">MID(IF(N(Y62)&gt;0,", "&amp;Y$2,"")&amp;IF(N(Z62)&gt;0,", "&amp;Z$2,"")&amp;IF(N(AA62)&gt;0,", "&amp;AA$2,"")&amp;IF(N(AB62)&gt;0,", "&amp;AB$2,"")&amp;IF(N(AC62)&gt;0,", "&amp;AC$2,"")&amp;IF(N(AD62)&gt;0,", "&amp;AD$2,"")&amp;IF(N(AE62)&gt;0,", "&amp;AE$2,"")&amp;IF(N(AF62)&gt;0,", "&amp;AF$2,"")&amp;IF(N(AG62)&gt;0,", "&amp;AG$2,"")&amp;IF(N(AH62)&gt;0,", "&amp;AH$2,"")&amp;IF(N(AI62)&gt;0,", "&amp;AI$2,"")&amp;IF(N(AJ62)&gt;0,", "&amp;AJ$2,""),3,999)</f>
        <v/>
      </c>
      <c r="AM62" s="87" t="str">
        <f aca="false">IF(E62="","",MID(IF(N(Y62)&gt;0,", "&amp;A62&amp;"-"&amp;Y$2,"")&amp;IF(N(Z62)&gt;0,", "&amp;A62&amp;"-"&amp;Z$2,"")&amp;IF(N(AA62)&gt;0,", "&amp;A62&amp;"-"&amp;AA$2,"")&amp;IF(N(AB62)&gt;0,", "&amp;A62&amp;"-"&amp;AB$2,"")&amp;IF(N(AC62)&gt;0,", "&amp;A62&amp;"-"&amp;AC$2,"")&amp;IF(N(AD62)&gt;0,", "&amp;A62&amp;"-"&amp;AD$2,"")&amp;IF(N(AE62)&gt;0,", "&amp;A62&amp;"-"&amp;AE$2,"")&amp;IF(N(AF62)&gt;0,", "&amp;A62&amp;"-"&amp;AF$2,"")&amp;IF(N(AG62)&gt;0,", "&amp;A62&amp;"-"&amp;AG$2,"")&amp;IF(N(AH62)&gt;0,", "&amp;A62&amp;"-"&amp;AH$2,"")&amp;IF(N(AI62)&gt;0,", "&amp;A62&amp;"-"&amp;AI$2,"")&amp;IF(N(AJ62)&gt;0,", "&amp;A62&amp;"-"&amp;AJ$2,""),3,999))</f>
        <v/>
      </c>
      <c r="AN62" s="81"/>
      <c r="AO62" s="88"/>
      <c r="AP62" s="89" t="str">
        <f aca="false">IF(AO62="","",ROUND(AO62/(1+Справочники!$B$13),2))</f>
        <v/>
      </c>
      <c r="AQ62" s="90" t="str">
        <f aca="false" t="array" ref="AQ62:AQ62">IF(AP62="","",AP62*INDEX(Справочники!$B$4:$B$7,MATCH("RUB",Справочники!$A$4:$A$7,0)))</f>
        <v/>
      </c>
      <c r="AR62" s="90" t="str">
        <f aca="false">IF(AQ62="","",ROUND(AQ62*(1+Справочники!$B$12),0))</f>
        <v/>
      </c>
      <c r="AS62" s="90" t="str">
        <f aca="false">IF(AR62="","",ROUND(AR62*(1-Справочники!$B$11),0))</f>
        <v/>
      </c>
      <c r="AT62" s="88"/>
      <c r="AU62" s="90" t="str">
        <f aca="false">IF(AT62="","",ROUND(AT62/(1+Справочники!$B$12),0))</f>
        <v/>
      </c>
      <c r="AV62" s="90" t="str">
        <f aca="false">IF(AT62="","",ROUND(AT62*(1-Справочники!$B$15),0))</f>
        <v/>
      </c>
      <c r="AW62" s="90" t="str">
        <f aca="false">IF(AT62="","",ROUND(AT62*(1-Справочники!$B$16),0))</f>
        <v/>
      </c>
      <c r="AX62" s="90" t="str">
        <f aca="false">IF(AT62="","",ROUND(AT62*(1-Справочники!$B$17),0))</f>
        <v/>
      </c>
      <c r="AY62" s="90" t="str">
        <f aca="false">IF(AT62="","",ROUND(AT62*(1-Справочники!$B$18),0))</f>
        <v/>
      </c>
      <c r="AZ62" s="90" t="str">
        <f aca="false">IF(AT62="","",ROUND(AT62*(1-Справочники!$B$19),0))</f>
        <v/>
      </c>
      <c r="BA62" s="81"/>
      <c r="BB62" s="81"/>
      <c r="BC62" s="81"/>
      <c r="BD62" s="81"/>
      <c r="BE62" s="91"/>
      <c r="BF62" s="81" t="s">
        <v>103</v>
      </c>
      <c r="BG62" s="89" t="n">
        <f aca="false" t="array" ref="BG62:BG62">IF(BF62="","",IFERROR(INDEX(Справочники!$B$4:$B$7,MATCH(BF62,Справочники!$A$4:$A$7,0)),""))</f>
        <v>68.5</v>
      </c>
      <c r="BH62" s="90" t="str">
        <f aca="false">IF(N(BN62)&gt;0,ROUND(SUMIF(ЗАКАЗЫ!$F$3:$F$500,$A62,ЗАКАЗЫ!$Y$3:$Y$500)/BN62,0),IF(OR(BE62="",BG62=""),"",ROUND(BE62*BG62*(1+Справочники!$B$10),0)))</f>
        <v/>
      </c>
      <c r="BI62" s="92" t="str">
        <f aca="false">IF(OR(AU62="",BH62="",AU62=0),"",(AU62-BH62)/AU62)</f>
        <v/>
      </c>
      <c r="BJ62" s="81"/>
      <c r="BK62" s="83"/>
      <c r="BL62" s="43" t="str">
        <f aca="false">IFERROR(INDEX(ЗАКАЗЫ!$N$3:$N$500,MATCH($A62,ЗАКАЗЫ!$F$3:$F$500,0)),"")</f>
        <v/>
      </c>
      <c r="BM62" s="8" t="str">
        <f aca="false">IF(BL62="","",IFERROR(VLOOKUP(BL62,'ТН ВЭД'!$A$4:$C$40,3,0),""))</f>
        <v/>
      </c>
      <c r="BN62" s="7" t="str">
        <f aca="false">IF(COUNTIF(ЗАКАЗЫ!$F$3:$F$500,$A62)=0,"",SUMIF(ЗАКАЗЫ!$F$3:$F$500,$A62,ЗАКАЗЫ!$J$3:$J$500))</f>
        <v/>
      </c>
      <c r="BO62" s="7" t="str">
        <f aca="false">IF(BN62="","",SUMIF(ЗАКАЗЫ!$F$3:$F$500,$A62,ЗАКАЗЫ!$AL$3:$AL$500))</f>
        <v/>
      </c>
      <c r="BP62" s="7" t="str">
        <f aca="false">IF(BN62="","",BN62-BO62)</f>
        <v/>
      </c>
      <c r="BQ62" s="55" t="str">
        <f aca="false">IF(BN62="","",IF(BO62&gt;=BN62,"На складе",IF(BO62&gt;0,"Частично","Ждём")))</f>
        <v/>
      </c>
      <c r="BR62" s="43"/>
      <c r="BS62" s="47" t="str">
        <f aca="false">IF(BN62="","",IF(_xlfn.MAXIFS(ЗАКАЗЫ!$AK$3:$AK$500,ЗАКАЗЫ!$F$3:$F$500,$A62)=0,"",_xlfn.MAXIFS(ЗАКАЗЫ!$AK$3:$AK$500,ЗАКАЗЫ!$F$3:$F$500,$A62)))</f>
        <v/>
      </c>
    </row>
    <row r="63" customFormat="false" ht="15.75" hidden="false" customHeight="true" outlineLevel="0" collapsed="false">
      <c r="A63" s="80" t="s">
        <v>1264</v>
      </c>
      <c r="B63" s="81"/>
      <c r="C63" s="81"/>
      <c r="D63" s="81"/>
      <c r="E63" s="83"/>
      <c r="F63" s="81"/>
      <c r="G63" s="83"/>
      <c r="H63" s="83"/>
      <c r="I63" s="84" t="str">
        <f aca="false">IF(E63="","",A63&amp;"_1.jpg")</f>
        <v/>
      </c>
      <c r="J63" s="84" t="str">
        <f aca="false">IF(E63="","",A63&amp;"_2.jpg; "&amp;A63&amp;"_3.jpg")</f>
        <v/>
      </c>
      <c r="K63" s="84" t="str">
        <f aca="false">IF(E63="","",A63&amp;"_schema.jpg")</f>
        <v/>
      </c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 t="s">
        <v>96</v>
      </c>
      <c r="W63" s="81"/>
      <c r="X63" s="81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6" t="str">
        <f aca="false">IF(SUM(Y63:AJ63)=0,"",SUM(Y63:AJ63))</f>
        <v/>
      </c>
      <c r="AL63" s="84" t="str">
        <f aca="false">MID(IF(N(Y63)&gt;0,", "&amp;Y$2,"")&amp;IF(N(Z63)&gt;0,", "&amp;Z$2,"")&amp;IF(N(AA63)&gt;0,", "&amp;AA$2,"")&amp;IF(N(AB63)&gt;0,", "&amp;AB$2,"")&amp;IF(N(AC63)&gt;0,", "&amp;AC$2,"")&amp;IF(N(AD63)&gt;0,", "&amp;AD$2,"")&amp;IF(N(AE63)&gt;0,", "&amp;AE$2,"")&amp;IF(N(AF63)&gt;0,", "&amp;AF$2,"")&amp;IF(N(AG63)&gt;0,", "&amp;AG$2,"")&amp;IF(N(AH63)&gt;0,", "&amp;AH$2,"")&amp;IF(N(AI63)&gt;0,", "&amp;AI$2,"")&amp;IF(N(AJ63)&gt;0,", "&amp;AJ$2,""),3,999)</f>
        <v/>
      </c>
      <c r="AM63" s="87" t="str">
        <f aca="false">IF(E63="","",MID(IF(N(Y63)&gt;0,", "&amp;A63&amp;"-"&amp;Y$2,"")&amp;IF(N(Z63)&gt;0,", "&amp;A63&amp;"-"&amp;Z$2,"")&amp;IF(N(AA63)&gt;0,", "&amp;A63&amp;"-"&amp;AA$2,"")&amp;IF(N(AB63)&gt;0,", "&amp;A63&amp;"-"&amp;AB$2,"")&amp;IF(N(AC63)&gt;0,", "&amp;A63&amp;"-"&amp;AC$2,"")&amp;IF(N(AD63)&gt;0,", "&amp;A63&amp;"-"&amp;AD$2,"")&amp;IF(N(AE63)&gt;0,", "&amp;A63&amp;"-"&amp;AE$2,"")&amp;IF(N(AF63)&gt;0,", "&amp;A63&amp;"-"&amp;AF$2,"")&amp;IF(N(AG63)&gt;0,", "&amp;A63&amp;"-"&amp;AG$2,"")&amp;IF(N(AH63)&gt;0,", "&amp;A63&amp;"-"&amp;AH$2,"")&amp;IF(N(AI63)&gt;0,", "&amp;A63&amp;"-"&amp;AI$2,"")&amp;IF(N(AJ63)&gt;0,", "&amp;A63&amp;"-"&amp;AJ$2,""),3,999))</f>
        <v/>
      </c>
      <c r="AN63" s="81"/>
      <c r="AO63" s="88"/>
      <c r="AP63" s="89" t="str">
        <f aca="false">IF(AO63="","",ROUND(AO63/(1+Справочники!$B$13),2))</f>
        <v/>
      </c>
      <c r="AQ63" s="90" t="str">
        <f aca="false" t="array" ref="AQ63:AQ63">IF(AP63="","",AP63*INDEX(Справочники!$B$4:$B$7,MATCH("RUB",Справочники!$A$4:$A$7,0)))</f>
        <v/>
      </c>
      <c r="AR63" s="90" t="str">
        <f aca="false">IF(AQ63="","",ROUND(AQ63*(1+Справочники!$B$12),0))</f>
        <v/>
      </c>
      <c r="AS63" s="90" t="str">
        <f aca="false">IF(AR63="","",ROUND(AR63*(1-Справочники!$B$11),0))</f>
        <v/>
      </c>
      <c r="AT63" s="88"/>
      <c r="AU63" s="90" t="str">
        <f aca="false">IF(AT63="","",ROUND(AT63/(1+Справочники!$B$12),0))</f>
        <v/>
      </c>
      <c r="AV63" s="90" t="str">
        <f aca="false">IF(AT63="","",ROUND(AT63*(1-Справочники!$B$15),0))</f>
        <v/>
      </c>
      <c r="AW63" s="90" t="str">
        <f aca="false">IF(AT63="","",ROUND(AT63*(1-Справочники!$B$16),0))</f>
        <v/>
      </c>
      <c r="AX63" s="90" t="str">
        <f aca="false">IF(AT63="","",ROUND(AT63*(1-Справочники!$B$17),0))</f>
        <v/>
      </c>
      <c r="AY63" s="90" t="str">
        <f aca="false">IF(AT63="","",ROUND(AT63*(1-Справочники!$B$18),0))</f>
        <v/>
      </c>
      <c r="AZ63" s="90" t="str">
        <f aca="false">IF(AT63="","",ROUND(AT63*(1-Справочники!$B$19),0))</f>
        <v/>
      </c>
      <c r="BA63" s="81"/>
      <c r="BB63" s="81"/>
      <c r="BC63" s="81"/>
      <c r="BD63" s="81"/>
      <c r="BE63" s="91"/>
      <c r="BF63" s="81" t="s">
        <v>103</v>
      </c>
      <c r="BG63" s="89" t="n">
        <f aca="false" t="array" ref="BG63:BG63">IF(BF63="","",IFERROR(INDEX(Справочники!$B$4:$B$7,MATCH(BF63,Справочники!$A$4:$A$7,0)),""))</f>
        <v>68.5</v>
      </c>
      <c r="BH63" s="90" t="str">
        <f aca="false">IF(N(BN63)&gt;0,ROUND(SUMIF(ЗАКАЗЫ!$F$3:$F$500,$A63,ЗАКАЗЫ!$Y$3:$Y$500)/BN63,0),IF(OR(BE63="",BG63=""),"",ROUND(BE63*BG63*(1+Справочники!$B$10),0)))</f>
        <v/>
      </c>
      <c r="BI63" s="92" t="str">
        <f aca="false">IF(OR(AU63="",BH63="",AU63=0),"",(AU63-BH63)/AU63)</f>
        <v/>
      </c>
      <c r="BJ63" s="81"/>
      <c r="BK63" s="83"/>
      <c r="BL63" s="43" t="str">
        <f aca="false">IFERROR(INDEX(ЗАКАЗЫ!$N$3:$N$500,MATCH($A63,ЗАКАЗЫ!$F$3:$F$500,0)),"")</f>
        <v/>
      </c>
      <c r="BM63" s="8" t="str">
        <f aca="false">IF(BL63="","",IFERROR(VLOOKUP(BL63,'ТН ВЭД'!$A$4:$C$40,3,0),""))</f>
        <v/>
      </c>
      <c r="BN63" s="7" t="str">
        <f aca="false">IF(COUNTIF(ЗАКАЗЫ!$F$3:$F$500,$A63)=0,"",SUMIF(ЗАКАЗЫ!$F$3:$F$500,$A63,ЗАКАЗЫ!$J$3:$J$500))</f>
        <v/>
      </c>
      <c r="BO63" s="7" t="str">
        <f aca="false">IF(BN63="","",SUMIF(ЗАКАЗЫ!$F$3:$F$500,$A63,ЗАКАЗЫ!$AL$3:$AL$500))</f>
        <v/>
      </c>
      <c r="BP63" s="7" t="str">
        <f aca="false">IF(BN63="","",BN63-BO63)</f>
        <v/>
      </c>
      <c r="BQ63" s="55" t="str">
        <f aca="false">IF(BN63="","",IF(BO63&gt;=BN63,"На складе",IF(BO63&gt;0,"Частично","Ждём")))</f>
        <v/>
      </c>
      <c r="BR63" s="43"/>
      <c r="BS63" s="47" t="str">
        <f aca="false">IF(BN63="","",IF(_xlfn.MAXIFS(ЗАКАЗЫ!$AK$3:$AK$500,ЗАКАЗЫ!$F$3:$F$500,$A63)=0,"",_xlfn.MAXIFS(ЗАКАЗЫ!$AK$3:$AK$500,ЗАКАЗЫ!$F$3:$F$500,$A63)))</f>
        <v/>
      </c>
    </row>
    <row r="64" customFormat="false" ht="15.75" hidden="false" customHeight="true" outlineLevel="0" collapsed="false">
      <c r="A64" s="80" t="s">
        <v>1265</v>
      </c>
      <c r="B64" s="81"/>
      <c r="C64" s="81"/>
      <c r="D64" s="81"/>
      <c r="E64" s="83"/>
      <c r="F64" s="81"/>
      <c r="G64" s="83"/>
      <c r="H64" s="83"/>
      <c r="I64" s="84" t="str">
        <f aca="false">IF(E64="","",A64&amp;"_1.jpg")</f>
        <v/>
      </c>
      <c r="J64" s="84" t="str">
        <f aca="false">IF(E64="","",A64&amp;"_2.jpg; "&amp;A64&amp;"_3.jpg")</f>
        <v/>
      </c>
      <c r="K64" s="84" t="str">
        <f aca="false">IF(E64="","",A64&amp;"_schema.jpg")</f>
        <v/>
      </c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 t="s">
        <v>96</v>
      </c>
      <c r="W64" s="81"/>
      <c r="X64" s="81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6" t="str">
        <f aca="false">IF(SUM(Y64:AJ64)=0,"",SUM(Y64:AJ64))</f>
        <v/>
      </c>
      <c r="AL64" s="84" t="str">
        <f aca="false">MID(IF(N(Y64)&gt;0,", "&amp;Y$2,"")&amp;IF(N(Z64)&gt;0,", "&amp;Z$2,"")&amp;IF(N(AA64)&gt;0,", "&amp;AA$2,"")&amp;IF(N(AB64)&gt;0,", "&amp;AB$2,"")&amp;IF(N(AC64)&gt;0,", "&amp;AC$2,"")&amp;IF(N(AD64)&gt;0,", "&amp;AD$2,"")&amp;IF(N(AE64)&gt;0,", "&amp;AE$2,"")&amp;IF(N(AF64)&gt;0,", "&amp;AF$2,"")&amp;IF(N(AG64)&gt;0,", "&amp;AG$2,"")&amp;IF(N(AH64)&gt;0,", "&amp;AH$2,"")&amp;IF(N(AI64)&gt;0,", "&amp;AI$2,"")&amp;IF(N(AJ64)&gt;0,", "&amp;AJ$2,""),3,999)</f>
        <v/>
      </c>
      <c r="AM64" s="87" t="str">
        <f aca="false">IF(E64="","",MID(IF(N(Y64)&gt;0,", "&amp;A64&amp;"-"&amp;Y$2,"")&amp;IF(N(Z64)&gt;0,", "&amp;A64&amp;"-"&amp;Z$2,"")&amp;IF(N(AA64)&gt;0,", "&amp;A64&amp;"-"&amp;AA$2,"")&amp;IF(N(AB64)&gt;0,", "&amp;A64&amp;"-"&amp;AB$2,"")&amp;IF(N(AC64)&gt;0,", "&amp;A64&amp;"-"&amp;AC$2,"")&amp;IF(N(AD64)&gt;0,", "&amp;A64&amp;"-"&amp;AD$2,"")&amp;IF(N(AE64)&gt;0,", "&amp;A64&amp;"-"&amp;AE$2,"")&amp;IF(N(AF64)&gt;0,", "&amp;A64&amp;"-"&amp;AF$2,"")&amp;IF(N(AG64)&gt;0,", "&amp;A64&amp;"-"&amp;AG$2,"")&amp;IF(N(AH64)&gt;0,", "&amp;A64&amp;"-"&amp;AH$2,"")&amp;IF(N(AI64)&gt;0,", "&amp;A64&amp;"-"&amp;AI$2,"")&amp;IF(N(AJ64)&gt;0,", "&amp;A64&amp;"-"&amp;AJ$2,""),3,999))</f>
        <v/>
      </c>
      <c r="AN64" s="81"/>
      <c r="AO64" s="88"/>
      <c r="AP64" s="89" t="str">
        <f aca="false">IF(AO64="","",ROUND(AO64/(1+Справочники!$B$13),2))</f>
        <v/>
      </c>
      <c r="AQ64" s="90" t="str">
        <f aca="false" t="array" ref="AQ64:AQ64">IF(AP64="","",AP64*INDEX(Справочники!$B$4:$B$7,MATCH("RUB",Справочники!$A$4:$A$7,0)))</f>
        <v/>
      </c>
      <c r="AR64" s="90" t="str">
        <f aca="false">IF(AQ64="","",ROUND(AQ64*(1+Справочники!$B$12),0))</f>
        <v/>
      </c>
      <c r="AS64" s="90" t="str">
        <f aca="false">IF(AR64="","",ROUND(AR64*(1-Справочники!$B$11),0))</f>
        <v/>
      </c>
      <c r="AT64" s="88"/>
      <c r="AU64" s="90" t="str">
        <f aca="false">IF(AT64="","",ROUND(AT64/(1+Справочники!$B$12),0))</f>
        <v/>
      </c>
      <c r="AV64" s="90" t="str">
        <f aca="false">IF(AT64="","",ROUND(AT64*(1-Справочники!$B$15),0))</f>
        <v/>
      </c>
      <c r="AW64" s="90" t="str">
        <f aca="false">IF(AT64="","",ROUND(AT64*(1-Справочники!$B$16),0))</f>
        <v/>
      </c>
      <c r="AX64" s="90" t="str">
        <f aca="false">IF(AT64="","",ROUND(AT64*(1-Справочники!$B$17),0))</f>
        <v/>
      </c>
      <c r="AY64" s="90" t="str">
        <f aca="false">IF(AT64="","",ROUND(AT64*(1-Справочники!$B$18),0))</f>
        <v/>
      </c>
      <c r="AZ64" s="90" t="str">
        <f aca="false">IF(AT64="","",ROUND(AT64*(1-Справочники!$B$19),0))</f>
        <v/>
      </c>
      <c r="BA64" s="81"/>
      <c r="BB64" s="81"/>
      <c r="BC64" s="81"/>
      <c r="BD64" s="81"/>
      <c r="BE64" s="91"/>
      <c r="BF64" s="81" t="s">
        <v>103</v>
      </c>
      <c r="BG64" s="89" t="n">
        <f aca="false" t="array" ref="BG64:BG64">IF(BF64="","",IFERROR(INDEX(Справочники!$B$4:$B$7,MATCH(BF64,Справочники!$A$4:$A$7,0)),""))</f>
        <v>68.5</v>
      </c>
      <c r="BH64" s="90" t="str">
        <f aca="false">IF(N(BN64)&gt;0,ROUND(SUMIF(ЗАКАЗЫ!$F$3:$F$500,$A64,ЗАКАЗЫ!$Y$3:$Y$500)/BN64,0),IF(OR(BE64="",BG64=""),"",ROUND(BE64*BG64*(1+Справочники!$B$10),0)))</f>
        <v/>
      </c>
      <c r="BI64" s="92" t="str">
        <f aca="false">IF(OR(AU64="",BH64="",AU64=0),"",(AU64-BH64)/AU64)</f>
        <v/>
      </c>
      <c r="BJ64" s="81"/>
      <c r="BK64" s="83"/>
      <c r="BL64" s="43" t="str">
        <f aca="false">IFERROR(INDEX(ЗАКАЗЫ!$N$3:$N$500,MATCH($A64,ЗАКАЗЫ!$F$3:$F$500,0)),"")</f>
        <v/>
      </c>
      <c r="BM64" s="8" t="str">
        <f aca="false">IF(BL64="","",IFERROR(VLOOKUP(BL64,'ТН ВЭД'!$A$4:$C$40,3,0),""))</f>
        <v/>
      </c>
      <c r="BN64" s="7" t="str">
        <f aca="false">IF(COUNTIF(ЗАКАЗЫ!$F$3:$F$500,$A64)=0,"",SUMIF(ЗАКАЗЫ!$F$3:$F$500,$A64,ЗАКАЗЫ!$J$3:$J$500))</f>
        <v/>
      </c>
      <c r="BO64" s="7" t="str">
        <f aca="false">IF(BN64="","",SUMIF(ЗАКАЗЫ!$F$3:$F$500,$A64,ЗАКАЗЫ!$AL$3:$AL$500))</f>
        <v/>
      </c>
      <c r="BP64" s="7" t="str">
        <f aca="false">IF(BN64="","",BN64-BO64)</f>
        <v/>
      </c>
      <c r="BQ64" s="55" t="str">
        <f aca="false">IF(BN64="","",IF(BO64&gt;=BN64,"На складе",IF(BO64&gt;0,"Частично","Ждём")))</f>
        <v/>
      </c>
      <c r="BR64" s="43"/>
      <c r="BS64" s="47" t="str">
        <f aca="false">IF(BN64="","",IF(_xlfn.MAXIFS(ЗАКАЗЫ!$AK$3:$AK$500,ЗАКАЗЫ!$F$3:$F$500,$A64)=0,"",_xlfn.MAXIFS(ЗАКАЗЫ!$AK$3:$AK$500,ЗАКАЗЫ!$F$3:$F$500,$A64)))</f>
        <v/>
      </c>
    </row>
    <row r="65" customFormat="false" ht="15.75" hidden="false" customHeight="true" outlineLevel="0" collapsed="false">
      <c r="A65" s="80" t="s">
        <v>1266</v>
      </c>
      <c r="B65" s="81"/>
      <c r="C65" s="81"/>
      <c r="D65" s="81"/>
      <c r="E65" s="83"/>
      <c r="F65" s="81"/>
      <c r="G65" s="83"/>
      <c r="H65" s="83"/>
      <c r="I65" s="84" t="str">
        <f aca="false">IF(E65="","",A65&amp;"_1.jpg")</f>
        <v/>
      </c>
      <c r="J65" s="84" t="str">
        <f aca="false">IF(E65="","",A65&amp;"_2.jpg; "&amp;A65&amp;"_3.jpg")</f>
        <v/>
      </c>
      <c r="K65" s="84" t="str">
        <f aca="false">IF(E65="","",A65&amp;"_schema.jpg")</f>
        <v/>
      </c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 t="s">
        <v>96</v>
      </c>
      <c r="W65" s="81"/>
      <c r="X65" s="81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6" t="str">
        <f aca="false">IF(SUM(Y65:AJ65)=0,"",SUM(Y65:AJ65))</f>
        <v/>
      </c>
      <c r="AL65" s="84" t="str">
        <f aca="false">MID(IF(N(Y65)&gt;0,", "&amp;Y$2,"")&amp;IF(N(Z65)&gt;0,", "&amp;Z$2,"")&amp;IF(N(AA65)&gt;0,", "&amp;AA$2,"")&amp;IF(N(AB65)&gt;0,", "&amp;AB$2,"")&amp;IF(N(AC65)&gt;0,", "&amp;AC$2,"")&amp;IF(N(AD65)&gt;0,", "&amp;AD$2,"")&amp;IF(N(AE65)&gt;0,", "&amp;AE$2,"")&amp;IF(N(AF65)&gt;0,", "&amp;AF$2,"")&amp;IF(N(AG65)&gt;0,", "&amp;AG$2,"")&amp;IF(N(AH65)&gt;0,", "&amp;AH$2,"")&amp;IF(N(AI65)&gt;0,", "&amp;AI$2,"")&amp;IF(N(AJ65)&gt;0,", "&amp;AJ$2,""),3,999)</f>
        <v/>
      </c>
      <c r="AM65" s="87" t="str">
        <f aca="false">IF(E65="","",MID(IF(N(Y65)&gt;0,", "&amp;A65&amp;"-"&amp;Y$2,"")&amp;IF(N(Z65)&gt;0,", "&amp;A65&amp;"-"&amp;Z$2,"")&amp;IF(N(AA65)&gt;0,", "&amp;A65&amp;"-"&amp;AA$2,"")&amp;IF(N(AB65)&gt;0,", "&amp;A65&amp;"-"&amp;AB$2,"")&amp;IF(N(AC65)&gt;0,", "&amp;A65&amp;"-"&amp;AC$2,"")&amp;IF(N(AD65)&gt;0,", "&amp;A65&amp;"-"&amp;AD$2,"")&amp;IF(N(AE65)&gt;0,", "&amp;A65&amp;"-"&amp;AE$2,"")&amp;IF(N(AF65)&gt;0,", "&amp;A65&amp;"-"&amp;AF$2,"")&amp;IF(N(AG65)&gt;0,", "&amp;A65&amp;"-"&amp;AG$2,"")&amp;IF(N(AH65)&gt;0,", "&amp;A65&amp;"-"&amp;AH$2,"")&amp;IF(N(AI65)&gt;0,", "&amp;A65&amp;"-"&amp;AI$2,"")&amp;IF(N(AJ65)&gt;0,", "&amp;A65&amp;"-"&amp;AJ$2,""),3,999))</f>
        <v/>
      </c>
      <c r="AN65" s="81"/>
      <c r="AO65" s="88"/>
      <c r="AP65" s="89" t="str">
        <f aca="false">IF(AO65="","",ROUND(AO65/(1+Справочники!$B$13),2))</f>
        <v/>
      </c>
      <c r="AQ65" s="90" t="str">
        <f aca="false" t="array" ref="AQ65:AQ65">IF(AP65="","",AP65*INDEX(Справочники!$B$4:$B$7,MATCH("RUB",Справочники!$A$4:$A$7,0)))</f>
        <v/>
      </c>
      <c r="AR65" s="90" t="str">
        <f aca="false">IF(AQ65="","",ROUND(AQ65*(1+Справочники!$B$12),0))</f>
        <v/>
      </c>
      <c r="AS65" s="90" t="str">
        <f aca="false">IF(AR65="","",ROUND(AR65*(1-Справочники!$B$11),0))</f>
        <v/>
      </c>
      <c r="AT65" s="88"/>
      <c r="AU65" s="90" t="str">
        <f aca="false">IF(AT65="","",ROUND(AT65/(1+Справочники!$B$12),0))</f>
        <v/>
      </c>
      <c r="AV65" s="90" t="str">
        <f aca="false">IF(AT65="","",ROUND(AT65*(1-Справочники!$B$15),0))</f>
        <v/>
      </c>
      <c r="AW65" s="90" t="str">
        <f aca="false">IF(AT65="","",ROUND(AT65*(1-Справочники!$B$16),0))</f>
        <v/>
      </c>
      <c r="AX65" s="90" t="str">
        <f aca="false">IF(AT65="","",ROUND(AT65*(1-Справочники!$B$17),0))</f>
        <v/>
      </c>
      <c r="AY65" s="90" t="str">
        <f aca="false">IF(AT65="","",ROUND(AT65*(1-Справочники!$B$18),0))</f>
        <v/>
      </c>
      <c r="AZ65" s="90" t="str">
        <f aca="false">IF(AT65="","",ROUND(AT65*(1-Справочники!$B$19),0))</f>
        <v/>
      </c>
      <c r="BA65" s="81"/>
      <c r="BB65" s="81"/>
      <c r="BC65" s="81"/>
      <c r="BD65" s="81"/>
      <c r="BE65" s="91"/>
      <c r="BF65" s="81" t="s">
        <v>103</v>
      </c>
      <c r="BG65" s="89" t="n">
        <f aca="false" t="array" ref="BG65:BG65">IF(BF65="","",IFERROR(INDEX(Справочники!$B$4:$B$7,MATCH(BF65,Справочники!$A$4:$A$7,0)),""))</f>
        <v>68.5</v>
      </c>
      <c r="BH65" s="90" t="str">
        <f aca="false">IF(N(BN65)&gt;0,ROUND(SUMIF(ЗАКАЗЫ!$F$3:$F$500,$A65,ЗАКАЗЫ!$Y$3:$Y$500)/BN65,0),IF(OR(BE65="",BG65=""),"",ROUND(BE65*BG65*(1+Справочники!$B$10),0)))</f>
        <v/>
      </c>
      <c r="BI65" s="92" t="str">
        <f aca="false">IF(OR(AU65="",BH65="",AU65=0),"",(AU65-BH65)/AU65)</f>
        <v/>
      </c>
      <c r="BJ65" s="81"/>
      <c r="BK65" s="83"/>
      <c r="BL65" s="43" t="str">
        <f aca="false">IFERROR(INDEX(ЗАКАЗЫ!$N$3:$N$500,MATCH($A65,ЗАКАЗЫ!$F$3:$F$500,0)),"")</f>
        <v/>
      </c>
      <c r="BM65" s="8" t="str">
        <f aca="false">IF(BL65="","",IFERROR(VLOOKUP(BL65,'ТН ВЭД'!$A$4:$C$40,3,0),""))</f>
        <v/>
      </c>
      <c r="BN65" s="7" t="str">
        <f aca="false">IF(COUNTIF(ЗАКАЗЫ!$F$3:$F$500,$A65)=0,"",SUMIF(ЗАКАЗЫ!$F$3:$F$500,$A65,ЗАКАЗЫ!$J$3:$J$500))</f>
        <v/>
      </c>
      <c r="BO65" s="7" t="str">
        <f aca="false">IF(BN65="","",SUMIF(ЗАКАЗЫ!$F$3:$F$500,$A65,ЗАКАЗЫ!$AL$3:$AL$500))</f>
        <v/>
      </c>
      <c r="BP65" s="7" t="str">
        <f aca="false">IF(BN65="","",BN65-BO65)</f>
        <v/>
      </c>
      <c r="BQ65" s="55" t="str">
        <f aca="false">IF(BN65="","",IF(BO65&gt;=BN65,"На складе",IF(BO65&gt;0,"Частично","Ждём")))</f>
        <v/>
      </c>
      <c r="BR65" s="43"/>
      <c r="BS65" s="47" t="str">
        <f aca="false">IF(BN65="","",IF(_xlfn.MAXIFS(ЗАКАЗЫ!$AK$3:$AK$500,ЗАКАЗЫ!$F$3:$F$500,$A65)=0,"",_xlfn.MAXIFS(ЗАКАЗЫ!$AK$3:$AK$500,ЗАКАЗЫ!$F$3:$F$500,$A65)))</f>
        <v/>
      </c>
    </row>
    <row r="66" customFormat="false" ht="15.75" hidden="false" customHeight="true" outlineLevel="0" collapsed="false">
      <c r="A66" s="80" t="s">
        <v>1267</v>
      </c>
      <c r="B66" s="81"/>
      <c r="C66" s="81"/>
      <c r="D66" s="81"/>
      <c r="E66" s="83"/>
      <c r="F66" s="81"/>
      <c r="G66" s="83"/>
      <c r="H66" s="83"/>
      <c r="I66" s="84" t="str">
        <f aca="false">IF(E66="","",A66&amp;"_1.jpg")</f>
        <v/>
      </c>
      <c r="J66" s="84" t="str">
        <f aca="false">IF(E66="","",A66&amp;"_2.jpg; "&amp;A66&amp;"_3.jpg")</f>
        <v/>
      </c>
      <c r="K66" s="84" t="str">
        <f aca="false">IF(E66="","",A66&amp;"_schema.jpg")</f>
        <v/>
      </c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 t="s">
        <v>96</v>
      </c>
      <c r="W66" s="81"/>
      <c r="X66" s="81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6" t="str">
        <f aca="false">IF(SUM(Y66:AJ66)=0,"",SUM(Y66:AJ66))</f>
        <v/>
      </c>
      <c r="AL66" s="84" t="str">
        <f aca="false">MID(IF(N(Y66)&gt;0,", "&amp;Y$2,"")&amp;IF(N(Z66)&gt;0,", "&amp;Z$2,"")&amp;IF(N(AA66)&gt;0,", "&amp;AA$2,"")&amp;IF(N(AB66)&gt;0,", "&amp;AB$2,"")&amp;IF(N(AC66)&gt;0,", "&amp;AC$2,"")&amp;IF(N(AD66)&gt;0,", "&amp;AD$2,"")&amp;IF(N(AE66)&gt;0,", "&amp;AE$2,"")&amp;IF(N(AF66)&gt;0,", "&amp;AF$2,"")&amp;IF(N(AG66)&gt;0,", "&amp;AG$2,"")&amp;IF(N(AH66)&gt;0,", "&amp;AH$2,"")&amp;IF(N(AI66)&gt;0,", "&amp;AI$2,"")&amp;IF(N(AJ66)&gt;0,", "&amp;AJ$2,""),3,999)</f>
        <v/>
      </c>
      <c r="AM66" s="87" t="str">
        <f aca="false">IF(E66="","",MID(IF(N(Y66)&gt;0,", "&amp;A66&amp;"-"&amp;Y$2,"")&amp;IF(N(Z66)&gt;0,", "&amp;A66&amp;"-"&amp;Z$2,"")&amp;IF(N(AA66)&gt;0,", "&amp;A66&amp;"-"&amp;AA$2,"")&amp;IF(N(AB66)&gt;0,", "&amp;A66&amp;"-"&amp;AB$2,"")&amp;IF(N(AC66)&gt;0,", "&amp;A66&amp;"-"&amp;AC$2,"")&amp;IF(N(AD66)&gt;0,", "&amp;A66&amp;"-"&amp;AD$2,"")&amp;IF(N(AE66)&gt;0,", "&amp;A66&amp;"-"&amp;AE$2,"")&amp;IF(N(AF66)&gt;0,", "&amp;A66&amp;"-"&amp;AF$2,"")&amp;IF(N(AG66)&gt;0,", "&amp;A66&amp;"-"&amp;AG$2,"")&amp;IF(N(AH66)&gt;0,", "&amp;A66&amp;"-"&amp;AH$2,"")&amp;IF(N(AI66)&gt;0,", "&amp;A66&amp;"-"&amp;AI$2,"")&amp;IF(N(AJ66)&gt;0,", "&amp;A66&amp;"-"&amp;AJ$2,""),3,999))</f>
        <v/>
      </c>
      <c r="AN66" s="81"/>
      <c r="AO66" s="88"/>
      <c r="AP66" s="89" t="str">
        <f aca="false">IF(AO66="","",ROUND(AO66/(1+Справочники!$B$13),2))</f>
        <v/>
      </c>
      <c r="AQ66" s="90" t="str">
        <f aca="false" t="array" ref="AQ66:AQ66">IF(AP66="","",AP66*INDEX(Справочники!$B$4:$B$7,MATCH("RUB",Справочники!$A$4:$A$7,0)))</f>
        <v/>
      </c>
      <c r="AR66" s="90" t="str">
        <f aca="false">IF(AQ66="","",ROUND(AQ66*(1+Справочники!$B$12),0))</f>
        <v/>
      </c>
      <c r="AS66" s="90" t="str">
        <f aca="false">IF(AR66="","",ROUND(AR66*(1-Справочники!$B$11),0))</f>
        <v/>
      </c>
      <c r="AT66" s="88"/>
      <c r="AU66" s="90" t="str">
        <f aca="false">IF(AT66="","",ROUND(AT66/(1+Справочники!$B$12),0))</f>
        <v/>
      </c>
      <c r="AV66" s="90" t="str">
        <f aca="false">IF(AT66="","",ROUND(AT66*(1-Справочники!$B$15),0))</f>
        <v/>
      </c>
      <c r="AW66" s="90" t="str">
        <f aca="false">IF(AT66="","",ROUND(AT66*(1-Справочники!$B$16),0))</f>
        <v/>
      </c>
      <c r="AX66" s="90" t="str">
        <f aca="false">IF(AT66="","",ROUND(AT66*(1-Справочники!$B$17),0))</f>
        <v/>
      </c>
      <c r="AY66" s="90" t="str">
        <f aca="false">IF(AT66="","",ROUND(AT66*(1-Справочники!$B$18),0))</f>
        <v/>
      </c>
      <c r="AZ66" s="90" t="str">
        <f aca="false">IF(AT66="","",ROUND(AT66*(1-Справочники!$B$19),0))</f>
        <v/>
      </c>
      <c r="BA66" s="81"/>
      <c r="BB66" s="81"/>
      <c r="BC66" s="81"/>
      <c r="BD66" s="81"/>
      <c r="BE66" s="91"/>
      <c r="BF66" s="81" t="s">
        <v>103</v>
      </c>
      <c r="BG66" s="89" t="n">
        <f aca="false" t="array" ref="BG66:BG66">IF(BF66="","",IFERROR(INDEX(Справочники!$B$4:$B$7,MATCH(BF66,Справочники!$A$4:$A$7,0)),""))</f>
        <v>68.5</v>
      </c>
      <c r="BH66" s="90" t="str">
        <f aca="false">IF(N(BN66)&gt;0,ROUND(SUMIF(ЗАКАЗЫ!$F$3:$F$500,$A66,ЗАКАЗЫ!$Y$3:$Y$500)/BN66,0),IF(OR(BE66="",BG66=""),"",ROUND(BE66*BG66*(1+Справочники!$B$10),0)))</f>
        <v/>
      </c>
      <c r="BI66" s="92" t="str">
        <f aca="false">IF(OR(AU66="",BH66="",AU66=0),"",(AU66-BH66)/AU66)</f>
        <v/>
      </c>
      <c r="BJ66" s="81"/>
      <c r="BK66" s="83"/>
      <c r="BL66" s="43" t="str">
        <f aca="false">IFERROR(INDEX(ЗАКАЗЫ!$N$3:$N$500,MATCH($A66,ЗАКАЗЫ!$F$3:$F$500,0)),"")</f>
        <v/>
      </c>
      <c r="BM66" s="8" t="str">
        <f aca="false">IF(BL66="","",IFERROR(VLOOKUP(BL66,'ТН ВЭД'!$A$4:$C$40,3,0),""))</f>
        <v/>
      </c>
      <c r="BN66" s="7" t="str">
        <f aca="false">IF(COUNTIF(ЗАКАЗЫ!$F$3:$F$500,$A66)=0,"",SUMIF(ЗАКАЗЫ!$F$3:$F$500,$A66,ЗАКАЗЫ!$J$3:$J$500))</f>
        <v/>
      </c>
      <c r="BO66" s="7" t="str">
        <f aca="false">IF(BN66="","",SUMIF(ЗАКАЗЫ!$F$3:$F$500,$A66,ЗАКАЗЫ!$AL$3:$AL$500))</f>
        <v/>
      </c>
      <c r="BP66" s="7" t="str">
        <f aca="false">IF(BN66="","",BN66-BO66)</f>
        <v/>
      </c>
      <c r="BQ66" s="55" t="str">
        <f aca="false">IF(BN66="","",IF(BO66&gt;=BN66,"На складе",IF(BO66&gt;0,"Частично","Ждём")))</f>
        <v/>
      </c>
      <c r="BR66" s="43"/>
      <c r="BS66" s="47" t="str">
        <f aca="false">IF(BN66="","",IF(_xlfn.MAXIFS(ЗАКАЗЫ!$AK$3:$AK$500,ЗАКАЗЫ!$F$3:$F$500,$A66)=0,"",_xlfn.MAXIFS(ЗАКАЗЫ!$AK$3:$AK$500,ЗАКАЗЫ!$F$3:$F$500,$A66)))</f>
        <v/>
      </c>
    </row>
    <row r="67" customFormat="false" ht="15.75" hidden="false" customHeight="true" outlineLevel="0" collapsed="false">
      <c r="A67" s="80" t="s">
        <v>1268</v>
      </c>
      <c r="B67" s="81"/>
      <c r="C67" s="81"/>
      <c r="D67" s="81"/>
      <c r="E67" s="83"/>
      <c r="F67" s="81"/>
      <c r="G67" s="83"/>
      <c r="H67" s="83"/>
      <c r="I67" s="84" t="str">
        <f aca="false">IF(E67="","",A67&amp;"_1.jpg")</f>
        <v/>
      </c>
      <c r="J67" s="84" t="str">
        <f aca="false">IF(E67="","",A67&amp;"_2.jpg; "&amp;A67&amp;"_3.jpg")</f>
        <v/>
      </c>
      <c r="K67" s="84" t="str">
        <f aca="false">IF(E67="","",A67&amp;"_schema.jpg")</f>
        <v/>
      </c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 t="s">
        <v>96</v>
      </c>
      <c r="W67" s="81"/>
      <c r="X67" s="81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6" t="str">
        <f aca="false">IF(SUM(Y67:AJ67)=0,"",SUM(Y67:AJ67))</f>
        <v/>
      </c>
      <c r="AL67" s="84" t="str">
        <f aca="false">MID(IF(N(Y67)&gt;0,", "&amp;Y$2,"")&amp;IF(N(Z67)&gt;0,", "&amp;Z$2,"")&amp;IF(N(AA67)&gt;0,", "&amp;AA$2,"")&amp;IF(N(AB67)&gt;0,", "&amp;AB$2,"")&amp;IF(N(AC67)&gt;0,", "&amp;AC$2,"")&amp;IF(N(AD67)&gt;0,", "&amp;AD$2,"")&amp;IF(N(AE67)&gt;0,", "&amp;AE$2,"")&amp;IF(N(AF67)&gt;0,", "&amp;AF$2,"")&amp;IF(N(AG67)&gt;0,", "&amp;AG$2,"")&amp;IF(N(AH67)&gt;0,", "&amp;AH$2,"")&amp;IF(N(AI67)&gt;0,", "&amp;AI$2,"")&amp;IF(N(AJ67)&gt;0,", "&amp;AJ$2,""),3,999)</f>
        <v/>
      </c>
      <c r="AM67" s="87" t="str">
        <f aca="false">IF(E67="","",MID(IF(N(Y67)&gt;0,", "&amp;A67&amp;"-"&amp;Y$2,"")&amp;IF(N(Z67)&gt;0,", "&amp;A67&amp;"-"&amp;Z$2,"")&amp;IF(N(AA67)&gt;0,", "&amp;A67&amp;"-"&amp;AA$2,"")&amp;IF(N(AB67)&gt;0,", "&amp;A67&amp;"-"&amp;AB$2,"")&amp;IF(N(AC67)&gt;0,", "&amp;A67&amp;"-"&amp;AC$2,"")&amp;IF(N(AD67)&gt;0,", "&amp;A67&amp;"-"&amp;AD$2,"")&amp;IF(N(AE67)&gt;0,", "&amp;A67&amp;"-"&amp;AE$2,"")&amp;IF(N(AF67)&gt;0,", "&amp;A67&amp;"-"&amp;AF$2,"")&amp;IF(N(AG67)&gt;0,", "&amp;A67&amp;"-"&amp;AG$2,"")&amp;IF(N(AH67)&gt;0,", "&amp;A67&amp;"-"&amp;AH$2,"")&amp;IF(N(AI67)&gt;0,", "&amp;A67&amp;"-"&amp;AI$2,"")&amp;IF(N(AJ67)&gt;0,", "&amp;A67&amp;"-"&amp;AJ$2,""),3,999))</f>
        <v/>
      </c>
      <c r="AN67" s="81"/>
      <c r="AO67" s="88"/>
      <c r="AP67" s="89" t="str">
        <f aca="false">IF(AO67="","",ROUND(AO67/(1+Справочники!$B$13),2))</f>
        <v/>
      </c>
      <c r="AQ67" s="90" t="str">
        <f aca="false" t="array" ref="AQ67:AQ67">IF(AP67="","",AP67*INDEX(Справочники!$B$4:$B$7,MATCH("RUB",Справочники!$A$4:$A$7,0)))</f>
        <v/>
      </c>
      <c r="AR67" s="90" t="str">
        <f aca="false">IF(AQ67="","",ROUND(AQ67*(1+Справочники!$B$12),0))</f>
        <v/>
      </c>
      <c r="AS67" s="90" t="str">
        <f aca="false">IF(AR67="","",ROUND(AR67*(1-Справочники!$B$11),0))</f>
        <v/>
      </c>
      <c r="AT67" s="88"/>
      <c r="AU67" s="90" t="str">
        <f aca="false">IF(AT67="","",ROUND(AT67/(1+Справочники!$B$12),0))</f>
        <v/>
      </c>
      <c r="AV67" s="90" t="str">
        <f aca="false">IF(AT67="","",ROUND(AT67*(1-Справочники!$B$15),0))</f>
        <v/>
      </c>
      <c r="AW67" s="90" t="str">
        <f aca="false">IF(AT67="","",ROUND(AT67*(1-Справочники!$B$16),0))</f>
        <v/>
      </c>
      <c r="AX67" s="90" t="str">
        <f aca="false">IF(AT67="","",ROUND(AT67*(1-Справочники!$B$17),0))</f>
        <v/>
      </c>
      <c r="AY67" s="90" t="str">
        <f aca="false">IF(AT67="","",ROUND(AT67*(1-Справочники!$B$18),0))</f>
        <v/>
      </c>
      <c r="AZ67" s="90" t="str">
        <f aca="false">IF(AT67="","",ROUND(AT67*(1-Справочники!$B$19),0))</f>
        <v/>
      </c>
      <c r="BA67" s="81"/>
      <c r="BB67" s="81"/>
      <c r="BC67" s="81"/>
      <c r="BD67" s="81"/>
      <c r="BE67" s="91"/>
      <c r="BF67" s="81" t="s">
        <v>103</v>
      </c>
      <c r="BG67" s="89" t="n">
        <f aca="false" t="array" ref="BG67:BG67">IF(BF67="","",IFERROR(INDEX(Справочники!$B$4:$B$7,MATCH(BF67,Справочники!$A$4:$A$7,0)),""))</f>
        <v>68.5</v>
      </c>
      <c r="BH67" s="90" t="str">
        <f aca="false">IF(N(BN67)&gt;0,ROUND(SUMIF(ЗАКАЗЫ!$F$3:$F$500,$A67,ЗАКАЗЫ!$Y$3:$Y$500)/BN67,0),IF(OR(BE67="",BG67=""),"",ROUND(BE67*BG67*(1+Справочники!$B$10),0)))</f>
        <v/>
      </c>
      <c r="BI67" s="92" t="str">
        <f aca="false">IF(OR(AU67="",BH67="",AU67=0),"",(AU67-BH67)/AU67)</f>
        <v/>
      </c>
      <c r="BJ67" s="81"/>
      <c r="BK67" s="83"/>
      <c r="BL67" s="43" t="str">
        <f aca="false">IFERROR(INDEX(ЗАКАЗЫ!$N$3:$N$500,MATCH($A67,ЗАКАЗЫ!$F$3:$F$500,0)),"")</f>
        <v/>
      </c>
      <c r="BM67" s="8" t="str">
        <f aca="false">IF(BL67="","",IFERROR(VLOOKUP(BL67,'ТН ВЭД'!$A$4:$C$40,3,0),""))</f>
        <v/>
      </c>
      <c r="BN67" s="7" t="str">
        <f aca="false">IF(COUNTIF(ЗАКАЗЫ!$F$3:$F$500,$A67)=0,"",SUMIF(ЗАКАЗЫ!$F$3:$F$500,$A67,ЗАКАЗЫ!$J$3:$J$500))</f>
        <v/>
      </c>
      <c r="BO67" s="7" t="str">
        <f aca="false">IF(BN67="","",SUMIF(ЗАКАЗЫ!$F$3:$F$500,$A67,ЗАКАЗЫ!$AL$3:$AL$500))</f>
        <v/>
      </c>
      <c r="BP67" s="7" t="str">
        <f aca="false">IF(BN67="","",BN67-BO67)</f>
        <v/>
      </c>
      <c r="BQ67" s="55" t="str">
        <f aca="false">IF(BN67="","",IF(BO67&gt;=BN67,"На складе",IF(BO67&gt;0,"Частично","Ждём")))</f>
        <v/>
      </c>
      <c r="BR67" s="43"/>
      <c r="BS67" s="47" t="str">
        <f aca="false">IF(BN67="","",IF(_xlfn.MAXIFS(ЗАКАЗЫ!$AK$3:$AK$500,ЗАКАЗЫ!$F$3:$F$500,$A67)=0,"",_xlfn.MAXIFS(ЗАКАЗЫ!$AK$3:$AK$500,ЗАКАЗЫ!$F$3:$F$500,$A67)))</f>
        <v/>
      </c>
    </row>
    <row r="68" customFormat="false" ht="15.75" hidden="false" customHeight="true" outlineLevel="0" collapsed="false">
      <c r="A68" s="80" t="s">
        <v>1269</v>
      </c>
      <c r="B68" s="81"/>
      <c r="C68" s="81"/>
      <c r="D68" s="81"/>
      <c r="E68" s="83"/>
      <c r="F68" s="81"/>
      <c r="G68" s="83"/>
      <c r="H68" s="83"/>
      <c r="I68" s="84" t="str">
        <f aca="false">IF(E68="","",A68&amp;"_1.jpg")</f>
        <v/>
      </c>
      <c r="J68" s="84" t="str">
        <f aca="false">IF(E68="","",A68&amp;"_2.jpg; "&amp;A68&amp;"_3.jpg")</f>
        <v/>
      </c>
      <c r="K68" s="84" t="str">
        <f aca="false">IF(E68="","",A68&amp;"_schema.jpg")</f>
        <v/>
      </c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 t="s">
        <v>96</v>
      </c>
      <c r="W68" s="81"/>
      <c r="X68" s="81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6" t="str">
        <f aca="false">IF(SUM(Y68:AJ68)=0,"",SUM(Y68:AJ68))</f>
        <v/>
      </c>
      <c r="AL68" s="84" t="str">
        <f aca="false">MID(IF(N(Y68)&gt;0,", "&amp;Y$2,"")&amp;IF(N(Z68)&gt;0,", "&amp;Z$2,"")&amp;IF(N(AA68)&gt;0,", "&amp;AA$2,"")&amp;IF(N(AB68)&gt;0,", "&amp;AB$2,"")&amp;IF(N(AC68)&gt;0,", "&amp;AC$2,"")&amp;IF(N(AD68)&gt;0,", "&amp;AD$2,"")&amp;IF(N(AE68)&gt;0,", "&amp;AE$2,"")&amp;IF(N(AF68)&gt;0,", "&amp;AF$2,"")&amp;IF(N(AG68)&gt;0,", "&amp;AG$2,"")&amp;IF(N(AH68)&gt;0,", "&amp;AH$2,"")&amp;IF(N(AI68)&gt;0,", "&amp;AI$2,"")&amp;IF(N(AJ68)&gt;0,", "&amp;AJ$2,""),3,999)</f>
        <v/>
      </c>
      <c r="AM68" s="87" t="str">
        <f aca="false">IF(E68="","",MID(IF(N(Y68)&gt;0,", "&amp;A68&amp;"-"&amp;Y$2,"")&amp;IF(N(Z68)&gt;0,", "&amp;A68&amp;"-"&amp;Z$2,"")&amp;IF(N(AA68)&gt;0,", "&amp;A68&amp;"-"&amp;AA$2,"")&amp;IF(N(AB68)&gt;0,", "&amp;A68&amp;"-"&amp;AB$2,"")&amp;IF(N(AC68)&gt;0,", "&amp;A68&amp;"-"&amp;AC$2,"")&amp;IF(N(AD68)&gt;0,", "&amp;A68&amp;"-"&amp;AD$2,"")&amp;IF(N(AE68)&gt;0,", "&amp;A68&amp;"-"&amp;AE$2,"")&amp;IF(N(AF68)&gt;0,", "&amp;A68&amp;"-"&amp;AF$2,"")&amp;IF(N(AG68)&gt;0,", "&amp;A68&amp;"-"&amp;AG$2,"")&amp;IF(N(AH68)&gt;0,", "&amp;A68&amp;"-"&amp;AH$2,"")&amp;IF(N(AI68)&gt;0,", "&amp;A68&amp;"-"&amp;AI$2,"")&amp;IF(N(AJ68)&gt;0,", "&amp;A68&amp;"-"&amp;AJ$2,""),3,999))</f>
        <v/>
      </c>
      <c r="AN68" s="81"/>
      <c r="AO68" s="88"/>
      <c r="AP68" s="89" t="str">
        <f aca="false">IF(AO68="","",ROUND(AO68/(1+Справочники!$B$13),2))</f>
        <v/>
      </c>
      <c r="AQ68" s="90" t="str">
        <f aca="false" t="array" ref="AQ68:AQ68">IF(AP68="","",AP68*INDEX(Справочники!$B$4:$B$7,MATCH("RUB",Справочники!$A$4:$A$7,0)))</f>
        <v/>
      </c>
      <c r="AR68" s="90" t="str">
        <f aca="false">IF(AQ68="","",ROUND(AQ68*(1+Справочники!$B$12),0))</f>
        <v/>
      </c>
      <c r="AS68" s="90" t="str">
        <f aca="false">IF(AR68="","",ROUND(AR68*(1-Справочники!$B$11),0))</f>
        <v/>
      </c>
      <c r="AT68" s="88"/>
      <c r="AU68" s="90" t="str">
        <f aca="false">IF(AT68="","",ROUND(AT68/(1+Справочники!$B$12),0))</f>
        <v/>
      </c>
      <c r="AV68" s="90" t="str">
        <f aca="false">IF(AT68="","",ROUND(AT68*(1-Справочники!$B$15),0))</f>
        <v/>
      </c>
      <c r="AW68" s="90" t="str">
        <f aca="false">IF(AT68="","",ROUND(AT68*(1-Справочники!$B$16),0))</f>
        <v/>
      </c>
      <c r="AX68" s="90" t="str">
        <f aca="false">IF(AT68="","",ROUND(AT68*(1-Справочники!$B$17),0))</f>
        <v/>
      </c>
      <c r="AY68" s="90" t="str">
        <f aca="false">IF(AT68="","",ROUND(AT68*(1-Справочники!$B$18),0))</f>
        <v/>
      </c>
      <c r="AZ68" s="90" t="str">
        <f aca="false">IF(AT68="","",ROUND(AT68*(1-Справочники!$B$19),0))</f>
        <v/>
      </c>
      <c r="BA68" s="81"/>
      <c r="BB68" s="81"/>
      <c r="BC68" s="81"/>
      <c r="BD68" s="81"/>
      <c r="BE68" s="91"/>
      <c r="BF68" s="81" t="s">
        <v>103</v>
      </c>
      <c r="BG68" s="89" t="n">
        <f aca="false" t="array" ref="BG68:BG68">IF(BF68="","",IFERROR(INDEX(Справочники!$B$4:$B$7,MATCH(BF68,Справочники!$A$4:$A$7,0)),""))</f>
        <v>68.5</v>
      </c>
      <c r="BH68" s="90" t="str">
        <f aca="false">IF(N(BN68)&gt;0,ROUND(SUMIF(ЗАКАЗЫ!$F$3:$F$500,$A68,ЗАКАЗЫ!$Y$3:$Y$500)/BN68,0),IF(OR(BE68="",BG68=""),"",ROUND(BE68*BG68*(1+Справочники!$B$10),0)))</f>
        <v/>
      </c>
      <c r="BI68" s="92" t="str">
        <f aca="false">IF(OR(AU68="",BH68="",AU68=0),"",(AU68-BH68)/AU68)</f>
        <v/>
      </c>
      <c r="BJ68" s="81"/>
      <c r="BK68" s="83"/>
      <c r="BL68" s="43" t="str">
        <f aca="false">IFERROR(INDEX(ЗАКАЗЫ!$N$3:$N$500,MATCH($A68,ЗАКАЗЫ!$F$3:$F$500,0)),"")</f>
        <v/>
      </c>
      <c r="BM68" s="8" t="str">
        <f aca="false">IF(BL68="","",IFERROR(VLOOKUP(BL68,'ТН ВЭД'!$A$4:$C$40,3,0),""))</f>
        <v/>
      </c>
      <c r="BN68" s="7" t="str">
        <f aca="false">IF(COUNTIF(ЗАКАЗЫ!$F$3:$F$500,$A68)=0,"",SUMIF(ЗАКАЗЫ!$F$3:$F$500,$A68,ЗАКАЗЫ!$J$3:$J$500))</f>
        <v/>
      </c>
      <c r="BO68" s="7" t="str">
        <f aca="false">IF(BN68="","",SUMIF(ЗАКАЗЫ!$F$3:$F$500,$A68,ЗАКАЗЫ!$AL$3:$AL$500))</f>
        <v/>
      </c>
      <c r="BP68" s="7" t="str">
        <f aca="false">IF(BN68="","",BN68-BO68)</f>
        <v/>
      </c>
      <c r="BQ68" s="55" t="str">
        <f aca="false">IF(BN68="","",IF(BO68&gt;=BN68,"На складе",IF(BO68&gt;0,"Частично","Ждём")))</f>
        <v/>
      </c>
      <c r="BR68" s="43"/>
      <c r="BS68" s="47" t="str">
        <f aca="false">IF(BN68="","",IF(_xlfn.MAXIFS(ЗАКАЗЫ!$AK$3:$AK$500,ЗАКАЗЫ!$F$3:$F$500,$A68)=0,"",_xlfn.MAXIFS(ЗАКАЗЫ!$AK$3:$AK$500,ЗАКАЗЫ!$F$3:$F$500,$A68)))</f>
        <v/>
      </c>
    </row>
    <row r="69" customFormat="false" ht="15.75" hidden="false" customHeight="true" outlineLevel="0" collapsed="false">
      <c r="A69" s="80" t="s">
        <v>1270</v>
      </c>
      <c r="B69" s="81"/>
      <c r="C69" s="81"/>
      <c r="D69" s="81"/>
      <c r="E69" s="83"/>
      <c r="F69" s="81"/>
      <c r="G69" s="83"/>
      <c r="H69" s="83"/>
      <c r="I69" s="84" t="str">
        <f aca="false">IF(E69="","",A69&amp;"_1.jpg")</f>
        <v/>
      </c>
      <c r="J69" s="84" t="str">
        <f aca="false">IF(E69="","",A69&amp;"_2.jpg; "&amp;A69&amp;"_3.jpg")</f>
        <v/>
      </c>
      <c r="K69" s="84" t="str">
        <f aca="false">IF(E69="","",A69&amp;"_schema.jpg")</f>
        <v/>
      </c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 t="s">
        <v>96</v>
      </c>
      <c r="W69" s="81"/>
      <c r="X69" s="81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6" t="str">
        <f aca="false">IF(SUM(Y69:AJ69)=0,"",SUM(Y69:AJ69))</f>
        <v/>
      </c>
      <c r="AL69" s="84" t="str">
        <f aca="false">MID(IF(N(Y69)&gt;0,", "&amp;Y$2,"")&amp;IF(N(Z69)&gt;0,", "&amp;Z$2,"")&amp;IF(N(AA69)&gt;0,", "&amp;AA$2,"")&amp;IF(N(AB69)&gt;0,", "&amp;AB$2,"")&amp;IF(N(AC69)&gt;0,", "&amp;AC$2,"")&amp;IF(N(AD69)&gt;0,", "&amp;AD$2,"")&amp;IF(N(AE69)&gt;0,", "&amp;AE$2,"")&amp;IF(N(AF69)&gt;0,", "&amp;AF$2,"")&amp;IF(N(AG69)&gt;0,", "&amp;AG$2,"")&amp;IF(N(AH69)&gt;0,", "&amp;AH$2,"")&amp;IF(N(AI69)&gt;0,", "&amp;AI$2,"")&amp;IF(N(AJ69)&gt;0,", "&amp;AJ$2,""),3,999)</f>
        <v/>
      </c>
      <c r="AM69" s="87" t="str">
        <f aca="false">IF(E69="","",MID(IF(N(Y69)&gt;0,", "&amp;A69&amp;"-"&amp;Y$2,"")&amp;IF(N(Z69)&gt;0,", "&amp;A69&amp;"-"&amp;Z$2,"")&amp;IF(N(AA69)&gt;0,", "&amp;A69&amp;"-"&amp;AA$2,"")&amp;IF(N(AB69)&gt;0,", "&amp;A69&amp;"-"&amp;AB$2,"")&amp;IF(N(AC69)&gt;0,", "&amp;A69&amp;"-"&amp;AC$2,"")&amp;IF(N(AD69)&gt;0,", "&amp;A69&amp;"-"&amp;AD$2,"")&amp;IF(N(AE69)&gt;0,", "&amp;A69&amp;"-"&amp;AE$2,"")&amp;IF(N(AF69)&gt;0,", "&amp;A69&amp;"-"&amp;AF$2,"")&amp;IF(N(AG69)&gt;0,", "&amp;A69&amp;"-"&amp;AG$2,"")&amp;IF(N(AH69)&gt;0,", "&amp;A69&amp;"-"&amp;AH$2,"")&amp;IF(N(AI69)&gt;0,", "&amp;A69&amp;"-"&amp;AI$2,"")&amp;IF(N(AJ69)&gt;0,", "&amp;A69&amp;"-"&amp;AJ$2,""),3,999))</f>
        <v/>
      </c>
      <c r="AN69" s="81"/>
      <c r="AO69" s="88"/>
      <c r="AP69" s="89" t="str">
        <f aca="false">IF(AO69="","",ROUND(AO69/(1+Справочники!$B$13),2))</f>
        <v/>
      </c>
      <c r="AQ69" s="90" t="str">
        <f aca="false" t="array" ref="AQ69:AQ69">IF(AP69="","",AP69*INDEX(Справочники!$B$4:$B$7,MATCH("RUB",Справочники!$A$4:$A$7,0)))</f>
        <v/>
      </c>
      <c r="AR69" s="90" t="str">
        <f aca="false">IF(AQ69="","",ROUND(AQ69*(1+Справочники!$B$12),0))</f>
        <v/>
      </c>
      <c r="AS69" s="90" t="str">
        <f aca="false">IF(AR69="","",ROUND(AR69*(1-Справочники!$B$11),0))</f>
        <v/>
      </c>
      <c r="AT69" s="88"/>
      <c r="AU69" s="90" t="str">
        <f aca="false">IF(AT69="","",ROUND(AT69/(1+Справочники!$B$12),0))</f>
        <v/>
      </c>
      <c r="AV69" s="90" t="str">
        <f aca="false">IF(AT69="","",ROUND(AT69*(1-Справочники!$B$15),0))</f>
        <v/>
      </c>
      <c r="AW69" s="90" t="str">
        <f aca="false">IF(AT69="","",ROUND(AT69*(1-Справочники!$B$16),0))</f>
        <v/>
      </c>
      <c r="AX69" s="90" t="str">
        <f aca="false">IF(AT69="","",ROUND(AT69*(1-Справочники!$B$17),0))</f>
        <v/>
      </c>
      <c r="AY69" s="90" t="str">
        <f aca="false">IF(AT69="","",ROUND(AT69*(1-Справочники!$B$18),0))</f>
        <v/>
      </c>
      <c r="AZ69" s="90" t="str">
        <f aca="false">IF(AT69="","",ROUND(AT69*(1-Справочники!$B$19),0))</f>
        <v/>
      </c>
      <c r="BA69" s="81"/>
      <c r="BB69" s="81"/>
      <c r="BC69" s="81"/>
      <c r="BD69" s="81"/>
      <c r="BE69" s="91"/>
      <c r="BF69" s="81" t="s">
        <v>103</v>
      </c>
      <c r="BG69" s="89" t="n">
        <f aca="false" t="array" ref="BG69:BG69">IF(BF69="","",IFERROR(INDEX(Справочники!$B$4:$B$7,MATCH(BF69,Справочники!$A$4:$A$7,0)),""))</f>
        <v>68.5</v>
      </c>
      <c r="BH69" s="90" t="str">
        <f aca="false">IF(N(BN69)&gt;0,ROUND(SUMIF(ЗАКАЗЫ!$F$3:$F$500,$A69,ЗАКАЗЫ!$Y$3:$Y$500)/BN69,0),IF(OR(BE69="",BG69=""),"",ROUND(BE69*BG69*(1+Справочники!$B$10),0)))</f>
        <v/>
      </c>
      <c r="BI69" s="92" t="str">
        <f aca="false">IF(OR(AU69="",BH69="",AU69=0),"",(AU69-BH69)/AU69)</f>
        <v/>
      </c>
      <c r="BJ69" s="81"/>
      <c r="BK69" s="83"/>
      <c r="BL69" s="43" t="str">
        <f aca="false">IFERROR(INDEX(ЗАКАЗЫ!$N$3:$N$500,MATCH($A69,ЗАКАЗЫ!$F$3:$F$500,0)),"")</f>
        <v/>
      </c>
      <c r="BM69" s="8" t="str">
        <f aca="false">IF(BL69="","",IFERROR(VLOOKUP(BL69,'ТН ВЭД'!$A$4:$C$40,3,0),""))</f>
        <v/>
      </c>
      <c r="BN69" s="7" t="str">
        <f aca="false">IF(COUNTIF(ЗАКАЗЫ!$F$3:$F$500,$A69)=0,"",SUMIF(ЗАКАЗЫ!$F$3:$F$500,$A69,ЗАКАЗЫ!$J$3:$J$500))</f>
        <v/>
      </c>
      <c r="BO69" s="7" t="str">
        <f aca="false">IF(BN69="","",SUMIF(ЗАКАЗЫ!$F$3:$F$500,$A69,ЗАКАЗЫ!$AL$3:$AL$500))</f>
        <v/>
      </c>
      <c r="BP69" s="7" t="str">
        <f aca="false">IF(BN69="","",BN69-BO69)</f>
        <v/>
      </c>
      <c r="BQ69" s="55" t="str">
        <f aca="false">IF(BN69="","",IF(BO69&gt;=BN69,"На складе",IF(BO69&gt;0,"Частично","Ждём")))</f>
        <v/>
      </c>
      <c r="BR69" s="43"/>
      <c r="BS69" s="47" t="str">
        <f aca="false">IF(BN69="","",IF(_xlfn.MAXIFS(ЗАКАЗЫ!$AK$3:$AK$500,ЗАКАЗЫ!$F$3:$F$500,$A69)=0,"",_xlfn.MAXIFS(ЗАКАЗЫ!$AK$3:$AK$500,ЗАКАЗЫ!$F$3:$F$500,$A69)))</f>
        <v/>
      </c>
    </row>
    <row r="70" customFormat="false" ht="15.75" hidden="false" customHeight="true" outlineLevel="0" collapsed="false">
      <c r="A70" s="80" t="s">
        <v>1271</v>
      </c>
      <c r="B70" s="81"/>
      <c r="C70" s="81"/>
      <c r="D70" s="81"/>
      <c r="E70" s="83"/>
      <c r="F70" s="81"/>
      <c r="G70" s="83"/>
      <c r="H70" s="83"/>
      <c r="I70" s="84" t="str">
        <f aca="false">IF(E70="","",A70&amp;"_1.jpg")</f>
        <v/>
      </c>
      <c r="J70" s="84" t="str">
        <f aca="false">IF(E70="","",A70&amp;"_2.jpg; "&amp;A70&amp;"_3.jpg")</f>
        <v/>
      </c>
      <c r="K70" s="84" t="str">
        <f aca="false">IF(E70="","",A70&amp;"_schema.jpg")</f>
        <v/>
      </c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 t="s">
        <v>96</v>
      </c>
      <c r="W70" s="81"/>
      <c r="X70" s="81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6" t="str">
        <f aca="false">IF(SUM(Y70:AJ70)=0,"",SUM(Y70:AJ70))</f>
        <v/>
      </c>
      <c r="AL70" s="84" t="str">
        <f aca="false">MID(IF(N(Y70)&gt;0,", "&amp;Y$2,"")&amp;IF(N(Z70)&gt;0,", "&amp;Z$2,"")&amp;IF(N(AA70)&gt;0,", "&amp;AA$2,"")&amp;IF(N(AB70)&gt;0,", "&amp;AB$2,"")&amp;IF(N(AC70)&gt;0,", "&amp;AC$2,"")&amp;IF(N(AD70)&gt;0,", "&amp;AD$2,"")&amp;IF(N(AE70)&gt;0,", "&amp;AE$2,"")&amp;IF(N(AF70)&gt;0,", "&amp;AF$2,"")&amp;IF(N(AG70)&gt;0,", "&amp;AG$2,"")&amp;IF(N(AH70)&gt;0,", "&amp;AH$2,"")&amp;IF(N(AI70)&gt;0,", "&amp;AI$2,"")&amp;IF(N(AJ70)&gt;0,", "&amp;AJ$2,""),3,999)</f>
        <v/>
      </c>
      <c r="AM70" s="87" t="str">
        <f aca="false">IF(E70="","",MID(IF(N(Y70)&gt;0,", "&amp;A70&amp;"-"&amp;Y$2,"")&amp;IF(N(Z70)&gt;0,", "&amp;A70&amp;"-"&amp;Z$2,"")&amp;IF(N(AA70)&gt;0,", "&amp;A70&amp;"-"&amp;AA$2,"")&amp;IF(N(AB70)&gt;0,", "&amp;A70&amp;"-"&amp;AB$2,"")&amp;IF(N(AC70)&gt;0,", "&amp;A70&amp;"-"&amp;AC$2,"")&amp;IF(N(AD70)&gt;0,", "&amp;A70&amp;"-"&amp;AD$2,"")&amp;IF(N(AE70)&gt;0,", "&amp;A70&amp;"-"&amp;AE$2,"")&amp;IF(N(AF70)&gt;0,", "&amp;A70&amp;"-"&amp;AF$2,"")&amp;IF(N(AG70)&gt;0,", "&amp;A70&amp;"-"&amp;AG$2,"")&amp;IF(N(AH70)&gt;0,", "&amp;A70&amp;"-"&amp;AH$2,"")&amp;IF(N(AI70)&gt;0,", "&amp;A70&amp;"-"&amp;AI$2,"")&amp;IF(N(AJ70)&gt;0,", "&amp;A70&amp;"-"&amp;AJ$2,""),3,999))</f>
        <v/>
      </c>
      <c r="AN70" s="81"/>
      <c r="AO70" s="88"/>
      <c r="AP70" s="89" t="str">
        <f aca="false">IF(AO70="","",ROUND(AO70/(1+Справочники!$B$13),2))</f>
        <v/>
      </c>
      <c r="AQ70" s="90" t="str">
        <f aca="false" t="array" ref="AQ70:AQ70">IF(AP70="","",AP70*INDEX(Справочники!$B$4:$B$7,MATCH("RUB",Справочники!$A$4:$A$7,0)))</f>
        <v/>
      </c>
      <c r="AR70" s="90" t="str">
        <f aca="false">IF(AQ70="","",ROUND(AQ70*(1+Справочники!$B$12),0))</f>
        <v/>
      </c>
      <c r="AS70" s="90" t="str">
        <f aca="false">IF(AR70="","",ROUND(AR70*(1-Справочники!$B$11),0))</f>
        <v/>
      </c>
      <c r="AT70" s="88"/>
      <c r="AU70" s="90" t="str">
        <f aca="false">IF(AT70="","",ROUND(AT70/(1+Справочники!$B$12),0))</f>
        <v/>
      </c>
      <c r="AV70" s="90" t="str">
        <f aca="false">IF(AT70="","",ROUND(AT70*(1-Справочники!$B$15),0))</f>
        <v/>
      </c>
      <c r="AW70" s="90" t="str">
        <f aca="false">IF(AT70="","",ROUND(AT70*(1-Справочники!$B$16),0))</f>
        <v/>
      </c>
      <c r="AX70" s="90" t="str">
        <f aca="false">IF(AT70="","",ROUND(AT70*(1-Справочники!$B$17),0))</f>
        <v/>
      </c>
      <c r="AY70" s="90" t="str">
        <f aca="false">IF(AT70="","",ROUND(AT70*(1-Справочники!$B$18),0))</f>
        <v/>
      </c>
      <c r="AZ70" s="90" t="str">
        <f aca="false">IF(AT70="","",ROUND(AT70*(1-Справочники!$B$19),0))</f>
        <v/>
      </c>
      <c r="BA70" s="81"/>
      <c r="BB70" s="81"/>
      <c r="BC70" s="81"/>
      <c r="BD70" s="81"/>
      <c r="BE70" s="91"/>
      <c r="BF70" s="81" t="s">
        <v>103</v>
      </c>
      <c r="BG70" s="89" t="n">
        <f aca="false" t="array" ref="BG70:BG70">IF(BF70="","",IFERROR(INDEX(Справочники!$B$4:$B$7,MATCH(BF70,Справочники!$A$4:$A$7,0)),""))</f>
        <v>68.5</v>
      </c>
      <c r="BH70" s="90" t="str">
        <f aca="false">IF(N(BN70)&gt;0,ROUND(SUMIF(ЗАКАЗЫ!$F$3:$F$500,$A70,ЗАКАЗЫ!$Y$3:$Y$500)/BN70,0),IF(OR(BE70="",BG70=""),"",ROUND(BE70*BG70*(1+Справочники!$B$10),0)))</f>
        <v/>
      </c>
      <c r="BI70" s="92" t="str">
        <f aca="false">IF(OR(AU70="",BH70="",AU70=0),"",(AU70-BH70)/AU70)</f>
        <v/>
      </c>
      <c r="BJ70" s="81"/>
      <c r="BK70" s="83"/>
      <c r="BL70" s="43" t="str">
        <f aca="false">IFERROR(INDEX(ЗАКАЗЫ!$N$3:$N$500,MATCH($A70,ЗАКАЗЫ!$F$3:$F$500,0)),"")</f>
        <v/>
      </c>
      <c r="BM70" s="8" t="str">
        <f aca="false">IF(BL70="","",IFERROR(VLOOKUP(BL70,'ТН ВЭД'!$A$4:$C$40,3,0),""))</f>
        <v/>
      </c>
      <c r="BN70" s="7" t="str">
        <f aca="false">IF(COUNTIF(ЗАКАЗЫ!$F$3:$F$500,$A70)=0,"",SUMIF(ЗАКАЗЫ!$F$3:$F$500,$A70,ЗАКАЗЫ!$J$3:$J$500))</f>
        <v/>
      </c>
      <c r="BO70" s="7" t="str">
        <f aca="false">IF(BN70="","",SUMIF(ЗАКАЗЫ!$F$3:$F$500,$A70,ЗАКАЗЫ!$AL$3:$AL$500))</f>
        <v/>
      </c>
      <c r="BP70" s="7" t="str">
        <f aca="false">IF(BN70="","",BN70-BO70)</f>
        <v/>
      </c>
      <c r="BQ70" s="55" t="str">
        <f aca="false">IF(BN70="","",IF(BO70&gt;=BN70,"На складе",IF(BO70&gt;0,"Частично","Ждём")))</f>
        <v/>
      </c>
      <c r="BR70" s="43"/>
      <c r="BS70" s="47" t="str">
        <f aca="false">IF(BN70="","",IF(_xlfn.MAXIFS(ЗАКАЗЫ!$AK$3:$AK$500,ЗАКАЗЫ!$F$3:$F$500,$A70)=0,"",_xlfn.MAXIFS(ЗАКАЗЫ!$AK$3:$AK$500,ЗАКАЗЫ!$F$3:$F$500,$A70)))</f>
        <v/>
      </c>
    </row>
    <row r="71" customFormat="false" ht="15.75" hidden="false" customHeight="true" outlineLevel="0" collapsed="false">
      <c r="A71" s="80" t="s">
        <v>1272</v>
      </c>
      <c r="B71" s="81"/>
      <c r="C71" s="81"/>
      <c r="D71" s="81"/>
      <c r="E71" s="83"/>
      <c r="F71" s="81"/>
      <c r="G71" s="83"/>
      <c r="H71" s="83"/>
      <c r="I71" s="84" t="str">
        <f aca="false">IF(E71="","",A71&amp;"_1.jpg")</f>
        <v/>
      </c>
      <c r="J71" s="84" t="str">
        <f aca="false">IF(E71="","",A71&amp;"_2.jpg; "&amp;A71&amp;"_3.jpg")</f>
        <v/>
      </c>
      <c r="K71" s="84" t="str">
        <f aca="false">IF(E71="","",A71&amp;"_schema.jpg")</f>
        <v/>
      </c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 t="s">
        <v>96</v>
      </c>
      <c r="W71" s="81"/>
      <c r="X71" s="81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6" t="str">
        <f aca="false">IF(SUM(Y71:AJ71)=0,"",SUM(Y71:AJ71))</f>
        <v/>
      </c>
      <c r="AL71" s="84" t="str">
        <f aca="false">MID(IF(N(Y71)&gt;0,", "&amp;Y$2,"")&amp;IF(N(Z71)&gt;0,", "&amp;Z$2,"")&amp;IF(N(AA71)&gt;0,", "&amp;AA$2,"")&amp;IF(N(AB71)&gt;0,", "&amp;AB$2,"")&amp;IF(N(AC71)&gt;0,", "&amp;AC$2,"")&amp;IF(N(AD71)&gt;0,", "&amp;AD$2,"")&amp;IF(N(AE71)&gt;0,", "&amp;AE$2,"")&amp;IF(N(AF71)&gt;0,", "&amp;AF$2,"")&amp;IF(N(AG71)&gt;0,", "&amp;AG$2,"")&amp;IF(N(AH71)&gt;0,", "&amp;AH$2,"")&amp;IF(N(AI71)&gt;0,", "&amp;AI$2,"")&amp;IF(N(AJ71)&gt;0,", "&amp;AJ$2,""),3,999)</f>
        <v/>
      </c>
      <c r="AM71" s="87" t="str">
        <f aca="false">IF(E71="","",MID(IF(N(Y71)&gt;0,", "&amp;A71&amp;"-"&amp;Y$2,"")&amp;IF(N(Z71)&gt;0,", "&amp;A71&amp;"-"&amp;Z$2,"")&amp;IF(N(AA71)&gt;0,", "&amp;A71&amp;"-"&amp;AA$2,"")&amp;IF(N(AB71)&gt;0,", "&amp;A71&amp;"-"&amp;AB$2,"")&amp;IF(N(AC71)&gt;0,", "&amp;A71&amp;"-"&amp;AC$2,"")&amp;IF(N(AD71)&gt;0,", "&amp;A71&amp;"-"&amp;AD$2,"")&amp;IF(N(AE71)&gt;0,", "&amp;A71&amp;"-"&amp;AE$2,"")&amp;IF(N(AF71)&gt;0,", "&amp;A71&amp;"-"&amp;AF$2,"")&amp;IF(N(AG71)&gt;0,", "&amp;A71&amp;"-"&amp;AG$2,"")&amp;IF(N(AH71)&gt;0,", "&amp;A71&amp;"-"&amp;AH$2,"")&amp;IF(N(AI71)&gt;0,", "&amp;A71&amp;"-"&amp;AI$2,"")&amp;IF(N(AJ71)&gt;0,", "&amp;A71&amp;"-"&amp;AJ$2,""),3,999))</f>
        <v/>
      </c>
      <c r="AN71" s="81"/>
      <c r="AO71" s="88"/>
      <c r="AP71" s="89" t="str">
        <f aca="false">IF(AO71="","",ROUND(AO71/(1+Справочники!$B$13),2))</f>
        <v/>
      </c>
      <c r="AQ71" s="90" t="str">
        <f aca="false" t="array" ref="AQ71:AQ71">IF(AP71="","",AP71*INDEX(Справочники!$B$4:$B$7,MATCH("RUB",Справочники!$A$4:$A$7,0)))</f>
        <v/>
      </c>
      <c r="AR71" s="90" t="str">
        <f aca="false">IF(AQ71="","",ROUND(AQ71*(1+Справочники!$B$12),0))</f>
        <v/>
      </c>
      <c r="AS71" s="90" t="str">
        <f aca="false">IF(AR71="","",ROUND(AR71*(1-Справочники!$B$11),0))</f>
        <v/>
      </c>
      <c r="AT71" s="88"/>
      <c r="AU71" s="90" t="str">
        <f aca="false">IF(AT71="","",ROUND(AT71/(1+Справочники!$B$12),0))</f>
        <v/>
      </c>
      <c r="AV71" s="90" t="str">
        <f aca="false">IF(AT71="","",ROUND(AT71*(1-Справочники!$B$15),0))</f>
        <v/>
      </c>
      <c r="AW71" s="90" t="str">
        <f aca="false">IF(AT71="","",ROUND(AT71*(1-Справочники!$B$16),0))</f>
        <v/>
      </c>
      <c r="AX71" s="90" t="str">
        <f aca="false">IF(AT71="","",ROUND(AT71*(1-Справочники!$B$17),0))</f>
        <v/>
      </c>
      <c r="AY71" s="90" t="str">
        <f aca="false">IF(AT71="","",ROUND(AT71*(1-Справочники!$B$18),0))</f>
        <v/>
      </c>
      <c r="AZ71" s="90" t="str">
        <f aca="false">IF(AT71="","",ROUND(AT71*(1-Справочники!$B$19),0))</f>
        <v/>
      </c>
      <c r="BA71" s="81"/>
      <c r="BB71" s="81"/>
      <c r="BC71" s="81"/>
      <c r="BD71" s="81"/>
      <c r="BE71" s="91"/>
      <c r="BF71" s="81" t="s">
        <v>103</v>
      </c>
      <c r="BG71" s="89" t="n">
        <f aca="false" t="array" ref="BG71:BG71">IF(BF71="","",IFERROR(INDEX(Справочники!$B$4:$B$7,MATCH(BF71,Справочники!$A$4:$A$7,0)),""))</f>
        <v>68.5</v>
      </c>
      <c r="BH71" s="90" t="str">
        <f aca="false">IF(N(BN71)&gt;0,ROUND(SUMIF(ЗАКАЗЫ!$F$3:$F$500,$A71,ЗАКАЗЫ!$Y$3:$Y$500)/BN71,0),IF(OR(BE71="",BG71=""),"",ROUND(BE71*BG71*(1+Справочники!$B$10),0)))</f>
        <v/>
      </c>
      <c r="BI71" s="92" t="str">
        <f aca="false">IF(OR(AU71="",BH71="",AU71=0),"",(AU71-BH71)/AU71)</f>
        <v/>
      </c>
      <c r="BJ71" s="81"/>
      <c r="BK71" s="83"/>
      <c r="BL71" s="43" t="str">
        <f aca="false">IFERROR(INDEX(ЗАКАЗЫ!$N$3:$N$500,MATCH($A71,ЗАКАЗЫ!$F$3:$F$500,0)),"")</f>
        <v/>
      </c>
      <c r="BM71" s="8" t="str">
        <f aca="false">IF(BL71="","",IFERROR(VLOOKUP(BL71,'ТН ВЭД'!$A$4:$C$40,3,0),""))</f>
        <v/>
      </c>
      <c r="BN71" s="7" t="str">
        <f aca="false">IF(COUNTIF(ЗАКАЗЫ!$F$3:$F$500,$A71)=0,"",SUMIF(ЗАКАЗЫ!$F$3:$F$500,$A71,ЗАКАЗЫ!$J$3:$J$500))</f>
        <v/>
      </c>
      <c r="BO71" s="7" t="str">
        <f aca="false">IF(BN71="","",SUMIF(ЗАКАЗЫ!$F$3:$F$500,$A71,ЗАКАЗЫ!$AL$3:$AL$500))</f>
        <v/>
      </c>
      <c r="BP71" s="7" t="str">
        <f aca="false">IF(BN71="","",BN71-BO71)</f>
        <v/>
      </c>
      <c r="BQ71" s="55" t="str">
        <f aca="false">IF(BN71="","",IF(BO71&gt;=BN71,"На складе",IF(BO71&gt;0,"Частично","Ждём")))</f>
        <v/>
      </c>
      <c r="BR71" s="43"/>
      <c r="BS71" s="47" t="str">
        <f aca="false">IF(BN71="","",IF(_xlfn.MAXIFS(ЗАКАЗЫ!$AK$3:$AK$500,ЗАКАЗЫ!$F$3:$F$500,$A71)=0,"",_xlfn.MAXIFS(ЗАКАЗЫ!$AK$3:$AK$500,ЗАКАЗЫ!$F$3:$F$500,$A71)))</f>
        <v/>
      </c>
    </row>
    <row r="72" customFormat="false" ht="15.75" hidden="false" customHeight="true" outlineLevel="0" collapsed="false">
      <c r="A72" s="80" t="s">
        <v>1273</v>
      </c>
      <c r="B72" s="81"/>
      <c r="C72" s="81"/>
      <c r="D72" s="81"/>
      <c r="E72" s="83"/>
      <c r="F72" s="81"/>
      <c r="G72" s="83"/>
      <c r="H72" s="83"/>
      <c r="I72" s="84" t="str">
        <f aca="false">IF(E72="","",A72&amp;"_1.jpg")</f>
        <v/>
      </c>
      <c r="J72" s="84" t="str">
        <f aca="false">IF(E72="","",A72&amp;"_2.jpg; "&amp;A72&amp;"_3.jpg")</f>
        <v/>
      </c>
      <c r="K72" s="84" t="str">
        <f aca="false">IF(E72="","",A72&amp;"_schema.jpg")</f>
        <v/>
      </c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 t="s">
        <v>96</v>
      </c>
      <c r="W72" s="81"/>
      <c r="X72" s="81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6" t="str">
        <f aca="false">IF(SUM(Y72:AJ72)=0,"",SUM(Y72:AJ72))</f>
        <v/>
      </c>
      <c r="AL72" s="84" t="str">
        <f aca="false">MID(IF(N(Y72)&gt;0,", "&amp;Y$2,"")&amp;IF(N(Z72)&gt;0,", "&amp;Z$2,"")&amp;IF(N(AA72)&gt;0,", "&amp;AA$2,"")&amp;IF(N(AB72)&gt;0,", "&amp;AB$2,"")&amp;IF(N(AC72)&gt;0,", "&amp;AC$2,"")&amp;IF(N(AD72)&gt;0,", "&amp;AD$2,"")&amp;IF(N(AE72)&gt;0,", "&amp;AE$2,"")&amp;IF(N(AF72)&gt;0,", "&amp;AF$2,"")&amp;IF(N(AG72)&gt;0,", "&amp;AG$2,"")&amp;IF(N(AH72)&gt;0,", "&amp;AH$2,"")&amp;IF(N(AI72)&gt;0,", "&amp;AI$2,"")&amp;IF(N(AJ72)&gt;0,", "&amp;AJ$2,""),3,999)</f>
        <v/>
      </c>
      <c r="AM72" s="87" t="str">
        <f aca="false">IF(E72="","",MID(IF(N(Y72)&gt;0,", "&amp;A72&amp;"-"&amp;Y$2,"")&amp;IF(N(Z72)&gt;0,", "&amp;A72&amp;"-"&amp;Z$2,"")&amp;IF(N(AA72)&gt;0,", "&amp;A72&amp;"-"&amp;AA$2,"")&amp;IF(N(AB72)&gt;0,", "&amp;A72&amp;"-"&amp;AB$2,"")&amp;IF(N(AC72)&gt;0,", "&amp;A72&amp;"-"&amp;AC$2,"")&amp;IF(N(AD72)&gt;0,", "&amp;A72&amp;"-"&amp;AD$2,"")&amp;IF(N(AE72)&gt;0,", "&amp;A72&amp;"-"&amp;AE$2,"")&amp;IF(N(AF72)&gt;0,", "&amp;A72&amp;"-"&amp;AF$2,"")&amp;IF(N(AG72)&gt;0,", "&amp;A72&amp;"-"&amp;AG$2,"")&amp;IF(N(AH72)&gt;0,", "&amp;A72&amp;"-"&amp;AH$2,"")&amp;IF(N(AI72)&gt;0,", "&amp;A72&amp;"-"&amp;AI$2,"")&amp;IF(N(AJ72)&gt;0,", "&amp;A72&amp;"-"&amp;AJ$2,""),3,999))</f>
        <v/>
      </c>
      <c r="AN72" s="81"/>
      <c r="AO72" s="88"/>
      <c r="AP72" s="89" t="str">
        <f aca="false">IF(AO72="","",ROUND(AO72/(1+Справочники!$B$13),2))</f>
        <v/>
      </c>
      <c r="AQ72" s="90" t="str">
        <f aca="false" t="array" ref="AQ72:AQ72">IF(AP72="","",AP72*INDEX(Справочники!$B$4:$B$7,MATCH("RUB",Справочники!$A$4:$A$7,0)))</f>
        <v/>
      </c>
      <c r="AR72" s="90" t="str">
        <f aca="false">IF(AQ72="","",ROUND(AQ72*(1+Справочники!$B$12),0))</f>
        <v/>
      </c>
      <c r="AS72" s="90" t="str">
        <f aca="false">IF(AR72="","",ROUND(AR72*(1-Справочники!$B$11),0))</f>
        <v/>
      </c>
      <c r="AT72" s="88"/>
      <c r="AU72" s="90" t="str">
        <f aca="false">IF(AT72="","",ROUND(AT72/(1+Справочники!$B$12),0))</f>
        <v/>
      </c>
      <c r="AV72" s="90" t="str">
        <f aca="false">IF(AT72="","",ROUND(AT72*(1-Справочники!$B$15),0))</f>
        <v/>
      </c>
      <c r="AW72" s="90" t="str">
        <f aca="false">IF(AT72="","",ROUND(AT72*(1-Справочники!$B$16),0))</f>
        <v/>
      </c>
      <c r="AX72" s="90" t="str">
        <f aca="false">IF(AT72="","",ROUND(AT72*(1-Справочники!$B$17),0))</f>
        <v/>
      </c>
      <c r="AY72" s="90" t="str">
        <f aca="false">IF(AT72="","",ROUND(AT72*(1-Справочники!$B$18),0))</f>
        <v/>
      </c>
      <c r="AZ72" s="90" t="str">
        <f aca="false">IF(AT72="","",ROUND(AT72*(1-Справочники!$B$19),0))</f>
        <v/>
      </c>
      <c r="BA72" s="81"/>
      <c r="BB72" s="81"/>
      <c r="BC72" s="81"/>
      <c r="BD72" s="81"/>
      <c r="BE72" s="91"/>
      <c r="BF72" s="81" t="s">
        <v>103</v>
      </c>
      <c r="BG72" s="89" t="n">
        <f aca="false" t="array" ref="BG72:BG72">IF(BF72="","",IFERROR(INDEX(Справочники!$B$4:$B$7,MATCH(BF72,Справочники!$A$4:$A$7,0)),""))</f>
        <v>68.5</v>
      </c>
      <c r="BH72" s="90" t="str">
        <f aca="false">IF(N(BN72)&gt;0,ROUND(SUMIF(ЗАКАЗЫ!$F$3:$F$500,$A72,ЗАКАЗЫ!$Y$3:$Y$500)/BN72,0),IF(OR(BE72="",BG72=""),"",ROUND(BE72*BG72*(1+Справочники!$B$10),0)))</f>
        <v/>
      </c>
      <c r="BI72" s="92" t="str">
        <f aca="false">IF(OR(AU72="",BH72="",AU72=0),"",(AU72-BH72)/AU72)</f>
        <v/>
      </c>
      <c r="BJ72" s="81"/>
      <c r="BK72" s="83"/>
      <c r="BL72" s="43" t="str">
        <f aca="false">IFERROR(INDEX(ЗАКАЗЫ!$N$3:$N$500,MATCH($A72,ЗАКАЗЫ!$F$3:$F$500,0)),"")</f>
        <v/>
      </c>
      <c r="BM72" s="8" t="str">
        <f aca="false">IF(BL72="","",IFERROR(VLOOKUP(BL72,'ТН ВЭД'!$A$4:$C$40,3,0),""))</f>
        <v/>
      </c>
      <c r="BN72" s="7" t="str">
        <f aca="false">IF(COUNTIF(ЗАКАЗЫ!$F$3:$F$500,$A72)=0,"",SUMIF(ЗАКАЗЫ!$F$3:$F$500,$A72,ЗАКАЗЫ!$J$3:$J$500))</f>
        <v/>
      </c>
      <c r="BO72" s="7" t="str">
        <f aca="false">IF(BN72="","",SUMIF(ЗАКАЗЫ!$F$3:$F$500,$A72,ЗАКАЗЫ!$AL$3:$AL$500))</f>
        <v/>
      </c>
      <c r="BP72" s="7" t="str">
        <f aca="false">IF(BN72="","",BN72-BO72)</f>
        <v/>
      </c>
      <c r="BQ72" s="55" t="str">
        <f aca="false">IF(BN72="","",IF(BO72&gt;=BN72,"На складе",IF(BO72&gt;0,"Частично","Ждём")))</f>
        <v/>
      </c>
      <c r="BR72" s="43"/>
      <c r="BS72" s="47" t="str">
        <f aca="false">IF(BN72="","",IF(_xlfn.MAXIFS(ЗАКАЗЫ!$AK$3:$AK$500,ЗАКАЗЫ!$F$3:$F$500,$A72)=0,"",_xlfn.MAXIFS(ЗАКАЗЫ!$AK$3:$AK$500,ЗАКАЗЫ!$F$3:$F$500,$A72)))</f>
        <v/>
      </c>
    </row>
    <row r="73" customFormat="false" ht="15.75" hidden="false" customHeight="true" outlineLevel="0" collapsed="false">
      <c r="A73" s="80" t="s">
        <v>1274</v>
      </c>
      <c r="B73" s="81"/>
      <c r="C73" s="81"/>
      <c r="D73" s="81"/>
      <c r="E73" s="83"/>
      <c r="F73" s="81"/>
      <c r="G73" s="83"/>
      <c r="H73" s="83"/>
      <c r="I73" s="84" t="str">
        <f aca="false">IF(E73="","",A73&amp;"_1.jpg")</f>
        <v/>
      </c>
      <c r="J73" s="84" t="str">
        <f aca="false">IF(E73="","",A73&amp;"_2.jpg; "&amp;A73&amp;"_3.jpg")</f>
        <v/>
      </c>
      <c r="K73" s="84" t="str">
        <f aca="false">IF(E73="","",A73&amp;"_schema.jpg")</f>
        <v/>
      </c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 t="s">
        <v>96</v>
      </c>
      <c r="W73" s="81"/>
      <c r="X73" s="81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6" t="str">
        <f aca="false">IF(SUM(Y73:AJ73)=0,"",SUM(Y73:AJ73))</f>
        <v/>
      </c>
      <c r="AL73" s="84" t="str">
        <f aca="false">MID(IF(N(Y73)&gt;0,", "&amp;Y$2,"")&amp;IF(N(Z73)&gt;0,", "&amp;Z$2,"")&amp;IF(N(AA73)&gt;0,", "&amp;AA$2,"")&amp;IF(N(AB73)&gt;0,", "&amp;AB$2,"")&amp;IF(N(AC73)&gt;0,", "&amp;AC$2,"")&amp;IF(N(AD73)&gt;0,", "&amp;AD$2,"")&amp;IF(N(AE73)&gt;0,", "&amp;AE$2,"")&amp;IF(N(AF73)&gt;0,", "&amp;AF$2,"")&amp;IF(N(AG73)&gt;0,", "&amp;AG$2,"")&amp;IF(N(AH73)&gt;0,", "&amp;AH$2,"")&amp;IF(N(AI73)&gt;0,", "&amp;AI$2,"")&amp;IF(N(AJ73)&gt;0,", "&amp;AJ$2,""),3,999)</f>
        <v/>
      </c>
      <c r="AM73" s="87" t="str">
        <f aca="false">IF(E73="","",MID(IF(N(Y73)&gt;0,", "&amp;A73&amp;"-"&amp;Y$2,"")&amp;IF(N(Z73)&gt;0,", "&amp;A73&amp;"-"&amp;Z$2,"")&amp;IF(N(AA73)&gt;0,", "&amp;A73&amp;"-"&amp;AA$2,"")&amp;IF(N(AB73)&gt;0,", "&amp;A73&amp;"-"&amp;AB$2,"")&amp;IF(N(AC73)&gt;0,", "&amp;A73&amp;"-"&amp;AC$2,"")&amp;IF(N(AD73)&gt;0,", "&amp;A73&amp;"-"&amp;AD$2,"")&amp;IF(N(AE73)&gt;0,", "&amp;A73&amp;"-"&amp;AE$2,"")&amp;IF(N(AF73)&gt;0,", "&amp;A73&amp;"-"&amp;AF$2,"")&amp;IF(N(AG73)&gt;0,", "&amp;A73&amp;"-"&amp;AG$2,"")&amp;IF(N(AH73)&gt;0,", "&amp;A73&amp;"-"&amp;AH$2,"")&amp;IF(N(AI73)&gt;0,", "&amp;A73&amp;"-"&amp;AI$2,"")&amp;IF(N(AJ73)&gt;0,", "&amp;A73&amp;"-"&amp;AJ$2,""),3,999))</f>
        <v/>
      </c>
      <c r="AN73" s="81"/>
      <c r="AO73" s="88"/>
      <c r="AP73" s="89" t="str">
        <f aca="false">IF(AO73="","",ROUND(AO73/(1+Справочники!$B$13),2))</f>
        <v/>
      </c>
      <c r="AQ73" s="90" t="str">
        <f aca="false" t="array" ref="AQ73:AQ73">IF(AP73="","",AP73*INDEX(Справочники!$B$4:$B$7,MATCH("RUB",Справочники!$A$4:$A$7,0)))</f>
        <v/>
      </c>
      <c r="AR73" s="90" t="str">
        <f aca="false">IF(AQ73="","",ROUND(AQ73*(1+Справочники!$B$12),0))</f>
        <v/>
      </c>
      <c r="AS73" s="90" t="str">
        <f aca="false">IF(AR73="","",ROUND(AR73*(1-Справочники!$B$11),0))</f>
        <v/>
      </c>
      <c r="AT73" s="88"/>
      <c r="AU73" s="90" t="str">
        <f aca="false">IF(AT73="","",ROUND(AT73/(1+Справочники!$B$12),0))</f>
        <v/>
      </c>
      <c r="AV73" s="90" t="str">
        <f aca="false">IF(AT73="","",ROUND(AT73*(1-Справочники!$B$15),0))</f>
        <v/>
      </c>
      <c r="AW73" s="90" t="str">
        <f aca="false">IF(AT73="","",ROUND(AT73*(1-Справочники!$B$16),0))</f>
        <v/>
      </c>
      <c r="AX73" s="90" t="str">
        <f aca="false">IF(AT73="","",ROUND(AT73*(1-Справочники!$B$17),0))</f>
        <v/>
      </c>
      <c r="AY73" s="90" t="str">
        <f aca="false">IF(AT73="","",ROUND(AT73*(1-Справочники!$B$18),0))</f>
        <v/>
      </c>
      <c r="AZ73" s="90" t="str">
        <f aca="false">IF(AT73="","",ROUND(AT73*(1-Справочники!$B$19),0))</f>
        <v/>
      </c>
      <c r="BA73" s="81"/>
      <c r="BB73" s="81"/>
      <c r="BC73" s="81"/>
      <c r="BD73" s="81"/>
      <c r="BE73" s="91"/>
      <c r="BF73" s="81" t="s">
        <v>103</v>
      </c>
      <c r="BG73" s="89" t="n">
        <f aca="false" t="array" ref="BG73:BG73">IF(BF73="","",IFERROR(INDEX(Справочники!$B$4:$B$7,MATCH(BF73,Справочники!$A$4:$A$7,0)),""))</f>
        <v>68.5</v>
      </c>
      <c r="BH73" s="90" t="str">
        <f aca="false">IF(N(BN73)&gt;0,ROUND(SUMIF(ЗАКАЗЫ!$F$3:$F$500,$A73,ЗАКАЗЫ!$Y$3:$Y$500)/BN73,0),IF(OR(BE73="",BG73=""),"",ROUND(BE73*BG73*(1+Справочники!$B$10),0)))</f>
        <v/>
      </c>
      <c r="BI73" s="92" t="str">
        <f aca="false">IF(OR(AU73="",BH73="",AU73=0),"",(AU73-BH73)/AU73)</f>
        <v/>
      </c>
      <c r="BJ73" s="81"/>
      <c r="BK73" s="83"/>
      <c r="BL73" s="43" t="str">
        <f aca="false">IFERROR(INDEX(ЗАКАЗЫ!$N$3:$N$500,MATCH($A73,ЗАКАЗЫ!$F$3:$F$500,0)),"")</f>
        <v/>
      </c>
      <c r="BM73" s="8" t="str">
        <f aca="false">IF(BL73="","",IFERROR(VLOOKUP(BL73,'ТН ВЭД'!$A$4:$C$40,3,0),""))</f>
        <v/>
      </c>
      <c r="BN73" s="7" t="str">
        <f aca="false">IF(COUNTIF(ЗАКАЗЫ!$F$3:$F$500,$A73)=0,"",SUMIF(ЗАКАЗЫ!$F$3:$F$500,$A73,ЗАКАЗЫ!$J$3:$J$500))</f>
        <v/>
      </c>
      <c r="BO73" s="7" t="str">
        <f aca="false">IF(BN73="","",SUMIF(ЗАКАЗЫ!$F$3:$F$500,$A73,ЗАКАЗЫ!$AL$3:$AL$500))</f>
        <v/>
      </c>
      <c r="BP73" s="7" t="str">
        <f aca="false">IF(BN73="","",BN73-BO73)</f>
        <v/>
      </c>
      <c r="BQ73" s="55" t="str">
        <f aca="false">IF(BN73="","",IF(BO73&gt;=BN73,"На складе",IF(BO73&gt;0,"Частично","Ждём")))</f>
        <v/>
      </c>
      <c r="BR73" s="43"/>
      <c r="BS73" s="47" t="str">
        <f aca="false">IF(BN73="","",IF(_xlfn.MAXIFS(ЗАКАЗЫ!$AK$3:$AK$500,ЗАКАЗЫ!$F$3:$F$500,$A73)=0,"",_xlfn.MAXIFS(ЗАКАЗЫ!$AK$3:$AK$500,ЗАКАЗЫ!$F$3:$F$500,$A73)))</f>
        <v/>
      </c>
    </row>
    <row r="74" customFormat="false" ht="15.75" hidden="false" customHeight="true" outlineLevel="0" collapsed="false">
      <c r="A74" s="80" t="s">
        <v>1275</v>
      </c>
      <c r="B74" s="81"/>
      <c r="C74" s="81"/>
      <c r="D74" s="81"/>
      <c r="E74" s="83"/>
      <c r="F74" s="81"/>
      <c r="G74" s="83"/>
      <c r="H74" s="83"/>
      <c r="I74" s="84" t="str">
        <f aca="false">IF(E74="","",A74&amp;"_1.jpg")</f>
        <v/>
      </c>
      <c r="J74" s="84" t="str">
        <f aca="false">IF(E74="","",A74&amp;"_2.jpg; "&amp;A74&amp;"_3.jpg")</f>
        <v/>
      </c>
      <c r="K74" s="84" t="str">
        <f aca="false">IF(E74="","",A74&amp;"_schema.jpg")</f>
        <v/>
      </c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 t="s">
        <v>96</v>
      </c>
      <c r="W74" s="81"/>
      <c r="X74" s="81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6" t="str">
        <f aca="false">IF(SUM(Y74:AJ74)=0,"",SUM(Y74:AJ74))</f>
        <v/>
      </c>
      <c r="AL74" s="84" t="str">
        <f aca="false">MID(IF(N(Y74)&gt;0,", "&amp;Y$2,"")&amp;IF(N(Z74)&gt;0,", "&amp;Z$2,"")&amp;IF(N(AA74)&gt;0,", "&amp;AA$2,"")&amp;IF(N(AB74)&gt;0,", "&amp;AB$2,"")&amp;IF(N(AC74)&gt;0,", "&amp;AC$2,"")&amp;IF(N(AD74)&gt;0,", "&amp;AD$2,"")&amp;IF(N(AE74)&gt;0,", "&amp;AE$2,"")&amp;IF(N(AF74)&gt;0,", "&amp;AF$2,"")&amp;IF(N(AG74)&gt;0,", "&amp;AG$2,"")&amp;IF(N(AH74)&gt;0,", "&amp;AH$2,"")&amp;IF(N(AI74)&gt;0,", "&amp;AI$2,"")&amp;IF(N(AJ74)&gt;0,", "&amp;AJ$2,""),3,999)</f>
        <v/>
      </c>
      <c r="AM74" s="87" t="str">
        <f aca="false">IF(E74="","",MID(IF(N(Y74)&gt;0,", "&amp;A74&amp;"-"&amp;Y$2,"")&amp;IF(N(Z74)&gt;0,", "&amp;A74&amp;"-"&amp;Z$2,"")&amp;IF(N(AA74)&gt;0,", "&amp;A74&amp;"-"&amp;AA$2,"")&amp;IF(N(AB74)&gt;0,", "&amp;A74&amp;"-"&amp;AB$2,"")&amp;IF(N(AC74)&gt;0,", "&amp;A74&amp;"-"&amp;AC$2,"")&amp;IF(N(AD74)&gt;0,", "&amp;A74&amp;"-"&amp;AD$2,"")&amp;IF(N(AE74)&gt;0,", "&amp;A74&amp;"-"&amp;AE$2,"")&amp;IF(N(AF74)&gt;0,", "&amp;A74&amp;"-"&amp;AF$2,"")&amp;IF(N(AG74)&gt;0,", "&amp;A74&amp;"-"&amp;AG$2,"")&amp;IF(N(AH74)&gt;0,", "&amp;A74&amp;"-"&amp;AH$2,"")&amp;IF(N(AI74)&gt;0,", "&amp;A74&amp;"-"&amp;AI$2,"")&amp;IF(N(AJ74)&gt;0,", "&amp;A74&amp;"-"&amp;AJ$2,""),3,999))</f>
        <v/>
      </c>
      <c r="AN74" s="81"/>
      <c r="AO74" s="88"/>
      <c r="AP74" s="89" t="str">
        <f aca="false">IF(AO74="","",ROUND(AO74/(1+Справочники!$B$13),2))</f>
        <v/>
      </c>
      <c r="AQ74" s="90" t="str">
        <f aca="false" t="array" ref="AQ74:AQ74">IF(AP74="","",AP74*INDEX(Справочники!$B$4:$B$7,MATCH("RUB",Справочники!$A$4:$A$7,0)))</f>
        <v/>
      </c>
      <c r="AR74" s="90" t="str">
        <f aca="false">IF(AQ74="","",ROUND(AQ74*(1+Справочники!$B$12),0))</f>
        <v/>
      </c>
      <c r="AS74" s="90" t="str">
        <f aca="false">IF(AR74="","",ROUND(AR74*(1-Справочники!$B$11),0))</f>
        <v/>
      </c>
      <c r="AT74" s="88"/>
      <c r="AU74" s="90" t="str">
        <f aca="false">IF(AT74="","",ROUND(AT74/(1+Справочники!$B$12),0))</f>
        <v/>
      </c>
      <c r="AV74" s="90" t="str">
        <f aca="false">IF(AT74="","",ROUND(AT74*(1-Справочники!$B$15),0))</f>
        <v/>
      </c>
      <c r="AW74" s="90" t="str">
        <f aca="false">IF(AT74="","",ROUND(AT74*(1-Справочники!$B$16),0))</f>
        <v/>
      </c>
      <c r="AX74" s="90" t="str">
        <f aca="false">IF(AT74="","",ROUND(AT74*(1-Справочники!$B$17),0))</f>
        <v/>
      </c>
      <c r="AY74" s="90" t="str">
        <f aca="false">IF(AT74="","",ROUND(AT74*(1-Справочники!$B$18),0))</f>
        <v/>
      </c>
      <c r="AZ74" s="90" t="str">
        <f aca="false">IF(AT74="","",ROUND(AT74*(1-Справочники!$B$19),0))</f>
        <v/>
      </c>
      <c r="BA74" s="81"/>
      <c r="BB74" s="81"/>
      <c r="BC74" s="81"/>
      <c r="BD74" s="81"/>
      <c r="BE74" s="91"/>
      <c r="BF74" s="81" t="s">
        <v>103</v>
      </c>
      <c r="BG74" s="89" t="n">
        <f aca="false" t="array" ref="BG74:BG74">IF(BF74="","",IFERROR(INDEX(Справочники!$B$4:$B$7,MATCH(BF74,Справочники!$A$4:$A$7,0)),""))</f>
        <v>68.5</v>
      </c>
      <c r="BH74" s="90" t="str">
        <f aca="false">IF(N(BN74)&gt;0,ROUND(SUMIF(ЗАКАЗЫ!$F$3:$F$500,$A74,ЗАКАЗЫ!$Y$3:$Y$500)/BN74,0),IF(OR(BE74="",BG74=""),"",ROUND(BE74*BG74*(1+Справочники!$B$10),0)))</f>
        <v/>
      </c>
      <c r="BI74" s="92" t="str">
        <f aca="false">IF(OR(AU74="",BH74="",AU74=0),"",(AU74-BH74)/AU74)</f>
        <v/>
      </c>
      <c r="BJ74" s="81"/>
      <c r="BK74" s="83"/>
      <c r="BL74" s="43" t="str">
        <f aca="false">IFERROR(INDEX(ЗАКАЗЫ!$N$3:$N$500,MATCH($A74,ЗАКАЗЫ!$F$3:$F$500,0)),"")</f>
        <v/>
      </c>
      <c r="BM74" s="8" t="str">
        <f aca="false">IF(BL74="","",IFERROR(VLOOKUP(BL74,'ТН ВЭД'!$A$4:$C$40,3,0),""))</f>
        <v/>
      </c>
      <c r="BN74" s="7" t="str">
        <f aca="false">IF(COUNTIF(ЗАКАЗЫ!$F$3:$F$500,$A74)=0,"",SUMIF(ЗАКАЗЫ!$F$3:$F$500,$A74,ЗАКАЗЫ!$J$3:$J$500))</f>
        <v/>
      </c>
      <c r="BO74" s="7" t="str">
        <f aca="false">IF(BN74="","",SUMIF(ЗАКАЗЫ!$F$3:$F$500,$A74,ЗАКАЗЫ!$AL$3:$AL$500))</f>
        <v/>
      </c>
      <c r="BP74" s="7" t="str">
        <f aca="false">IF(BN74="","",BN74-BO74)</f>
        <v/>
      </c>
      <c r="BQ74" s="55" t="str">
        <f aca="false">IF(BN74="","",IF(BO74&gt;=BN74,"На складе",IF(BO74&gt;0,"Частично","Ждём")))</f>
        <v/>
      </c>
      <c r="BR74" s="43"/>
      <c r="BS74" s="47" t="str">
        <f aca="false">IF(BN74="","",IF(_xlfn.MAXIFS(ЗАКАЗЫ!$AK$3:$AK$500,ЗАКАЗЫ!$F$3:$F$500,$A74)=0,"",_xlfn.MAXIFS(ЗАКАЗЫ!$AK$3:$AK$500,ЗАКАЗЫ!$F$3:$F$500,$A74)))</f>
        <v/>
      </c>
    </row>
    <row r="75" customFormat="false" ht="15.75" hidden="false" customHeight="true" outlineLevel="0" collapsed="false">
      <c r="A75" s="80" t="s">
        <v>1276</v>
      </c>
      <c r="B75" s="81"/>
      <c r="C75" s="81"/>
      <c r="D75" s="81"/>
      <c r="E75" s="83"/>
      <c r="F75" s="81"/>
      <c r="G75" s="83"/>
      <c r="H75" s="83"/>
      <c r="I75" s="84" t="str">
        <f aca="false">IF(E75="","",A75&amp;"_1.jpg")</f>
        <v/>
      </c>
      <c r="J75" s="84" t="str">
        <f aca="false">IF(E75="","",A75&amp;"_2.jpg; "&amp;A75&amp;"_3.jpg")</f>
        <v/>
      </c>
      <c r="K75" s="84" t="str">
        <f aca="false">IF(E75="","",A75&amp;"_schema.jpg")</f>
        <v/>
      </c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 t="s">
        <v>96</v>
      </c>
      <c r="W75" s="81"/>
      <c r="X75" s="81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6" t="str">
        <f aca="false">IF(SUM(Y75:AJ75)=0,"",SUM(Y75:AJ75))</f>
        <v/>
      </c>
      <c r="AL75" s="84" t="str">
        <f aca="false">MID(IF(N(Y75)&gt;0,", "&amp;Y$2,"")&amp;IF(N(Z75)&gt;0,", "&amp;Z$2,"")&amp;IF(N(AA75)&gt;0,", "&amp;AA$2,"")&amp;IF(N(AB75)&gt;0,", "&amp;AB$2,"")&amp;IF(N(AC75)&gt;0,", "&amp;AC$2,"")&amp;IF(N(AD75)&gt;0,", "&amp;AD$2,"")&amp;IF(N(AE75)&gt;0,", "&amp;AE$2,"")&amp;IF(N(AF75)&gt;0,", "&amp;AF$2,"")&amp;IF(N(AG75)&gt;0,", "&amp;AG$2,"")&amp;IF(N(AH75)&gt;0,", "&amp;AH$2,"")&amp;IF(N(AI75)&gt;0,", "&amp;AI$2,"")&amp;IF(N(AJ75)&gt;0,", "&amp;AJ$2,""),3,999)</f>
        <v/>
      </c>
      <c r="AM75" s="87" t="str">
        <f aca="false">IF(E75="","",MID(IF(N(Y75)&gt;0,", "&amp;A75&amp;"-"&amp;Y$2,"")&amp;IF(N(Z75)&gt;0,", "&amp;A75&amp;"-"&amp;Z$2,"")&amp;IF(N(AA75)&gt;0,", "&amp;A75&amp;"-"&amp;AA$2,"")&amp;IF(N(AB75)&gt;0,", "&amp;A75&amp;"-"&amp;AB$2,"")&amp;IF(N(AC75)&gt;0,", "&amp;A75&amp;"-"&amp;AC$2,"")&amp;IF(N(AD75)&gt;0,", "&amp;A75&amp;"-"&amp;AD$2,"")&amp;IF(N(AE75)&gt;0,", "&amp;A75&amp;"-"&amp;AE$2,"")&amp;IF(N(AF75)&gt;0,", "&amp;A75&amp;"-"&amp;AF$2,"")&amp;IF(N(AG75)&gt;0,", "&amp;A75&amp;"-"&amp;AG$2,"")&amp;IF(N(AH75)&gt;0,", "&amp;A75&amp;"-"&amp;AH$2,"")&amp;IF(N(AI75)&gt;0,", "&amp;A75&amp;"-"&amp;AI$2,"")&amp;IF(N(AJ75)&gt;0,", "&amp;A75&amp;"-"&amp;AJ$2,""),3,999))</f>
        <v/>
      </c>
      <c r="AN75" s="81"/>
      <c r="AO75" s="88"/>
      <c r="AP75" s="89" t="str">
        <f aca="false">IF(AO75="","",ROUND(AO75/(1+Справочники!$B$13),2))</f>
        <v/>
      </c>
      <c r="AQ75" s="90" t="str">
        <f aca="false" t="array" ref="AQ75:AQ75">IF(AP75="","",AP75*INDEX(Справочники!$B$4:$B$7,MATCH("RUB",Справочники!$A$4:$A$7,0)))</f>
        <v/>
      </c>
      <c r="AR75" s="90" t="str">
        <f aca="false">IF(AQ75="","",ROUND(AQ75*(1+Справочники!$B$12),0))</f>
        <v/>
      </c>
      <c r="AS75" s="90" t="str">
        <f aca="false">IF(AR75="","",ROUND(AR75*(1-Справочники!$B$11),0))</f>
        <v/>
      </c>
      <c r="AT75" s="88"/>
      <c r="AU75" s="90" t="str">
        <f aca="false">IF(AT75="","",ROUND(AT75/(1+Справочники!$B$12),0))</f>
        <v/>
      </c>
      <c r="AV75" s="90" t="str">
        <f aca="false">IF(AT75="","",ROUND(AT75*(1-Справочники!$B$15),0))</f>
        <v/>
      </c>
      <c r="AW75" s="90" t="str">
        <f aca="false">IF(AT75="","",ROUND(AT75*(1-Справочники!$B$16),0))</f>
        <v/>
      </c>
      <c r="AX75" s="90" t="str">
        <f aca="false">IF(AT75="","",ROUND(AT75*(1-Справочники!$B$17),0))</f>
        <v/>
      </c>
      <c r="AY75" s="90" t="str">
        <f aca="false">IF(AT75="","",ROUND(AT75*(1-Справочники!$B$18),0))</f>
        <v/>
      </c>
      <c r="AZ75" s="90" t="str">
        <f aca="false">IF(AT75="","",ROUND(AT75*(1-Справочники!$B$19),0))</f>
        <v/>
      </c>
      <c r="BA75" s="81"/>
      <c r="BB75" s="81"/>
      <c r="BC75" s="81"/>
      <c r="BD75" s="81"/>
      <c r="BE75" s="91"/>
      <c r="BF75" s="81" t="s">
        <v>103</v>
      </c>
      <c r="BG75" s="89" t="n">
        <f aca="false" t="array" ref="BG75:BG75">IF(BF75="","",IFERROR(INDEX(Справочники!$B$4:$B$7,MATCH(BF75,Справочники!$A$4:$A$7,0)),""))</f>
        <v>68.5</v>
      </c>
      <c r="BH75" s="90" t="str">
        <f aca="false">IF(N(BN75)&gt;0,ROUND(SUMIF(ЗАКАЗЫ!$F$3:$F$500,$A75,ЗАКАЗЫ!$Y$3:$Y$500)/BN75,0),IF(OR(BE75="",BG75=""),"",ROUND(BE75*BG75*(1+Справочники!$B$10),0)))</f>
        <v/>
      </c>
      <c r="BI75" s="92" t="str">
        <f aca="false">IF(OR(AU75="",BH75="",AU75=0),"",(AU75-BH75)/AU75)</f>
        <v/>
      </c>
      <c r="BJ75" s="81"/>
      <c r="BK75" s="83"/>
      <c r="BL75" s="43" t="str">
        <f aca="false">IFERROR(INDEX(ЗАКАЗЫ!$N$3:$N$500,MATCH($A75,ЗАКАЗЫ!$F$3:$F$500,0)),"")</f>
        <v/>
      </c>
      <c r="BM75" s="8" t="str">
        <f aca="false">IF(BL75="","",IFERROR(VLOOKUP(BL75,'ТН ВЭД'!$A$4:$C$40,3,0),""))</f>
        <v/>
      </c>
      <c r="BN75" s="7" t="str">
        <f aca="false">IF(COUNTIF(ЗАКАЗЫ!$F$3:$F$500,$A75)=0,"",SUMIF(ЗАКАЗЫ!$F$3:$F$500,$A75,ЗАКАЗЫ!$J$3:$J$500))</f>
        <v/>
      </c>
      <c r="BO75" s="7" t="str">
        <f aca="false">IF(BN75="","",SUMIF(ЗАКАЗЫ!$F$3:$F$500,$A75,ЗАКАЗЫ!$AL$3:$AL$500))</f>
        <v/>
      </c>
      <c r="BP75" s="7" t="str">
        <f aca="false">IF(BN75="","",BN75-BO75)</f>
        <v/>
      </c>
      <c r="BQ75" s="55" t="str">
        <f aca="false">IF(BN75="","",IF(BO75&gt;=BN75,"На складе",IF(BO75&gt;0,"Частично","Ждём")))</f>
        <v/>
      </c>
      <c r="BR75" s="43"/>
      <c r="BS75" s="47" t="str">
        <f aca="false">IF(BN75="","",IF(_xlfn.MAXIFS(ЗАКАЗЫ!$AK$3:$AK$500,ЗАКАЗЫ!$F$3:$F$500,$A75)=0,"",_xlfn.MAXIFS(ЗАКАЗЫ!$AK$3:$AK$500,ЗАКАЗЫ!$F$3:$F$500,$A75)))</f>
        <v/>
      </c>
    </row>
    <row r="76" customFormat="false" ht="15.75" hidden="false" customHeight="true" outlineLevel="0" collapsed="false">
      <c r="A76" s="80" t="s">
        <v>1277</v>
      </c>
      <c r="B76" s="81"/>
      <c r="C76" s="81"/>
      <c r="D76" s="81"/>
      <c r="E76" s="83"/>
      <c r="F76" s="81"/>
      <c r="G76" s="83"/>
      <c r="H76" s="83"/>
      <c r="I76" s="84" t="str">
        <f aca="false">IF(E76="","",A76&amp;"_1.jpg")</f>
        <v/>
      </c>
      <c r="J76" s="84" t="str">
        <f aca="false">IF(E76="","",A76&amp;"_2.jpg; "&amp;A76&amp;"_3.jpg")</f>
        <v/>
      </c>
      <c r="K76" s="84" t="str">
        <f aca="false">IF(E76="","",A76&amp;"_schema.jpg")</f>
        <v/>
      </c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 t="s">
        <v>96</v>
      </c>
      <c r="W76" s="81"/>
      <c r="X76" s="81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6" t="str">
        <f aca="false">IF(SUM(Y76:AJ76)=0,"",SUM(Y76:AJ76))</f>
        <v/>
      </c>
      <c r="AL76" s="84" t="str">
        <f aca="false">MID(IF(N(Y76)&gt;0,", "&amp;Y$2,"")&amp;IF(N(Z76)&gt;0,", "&amp;Z$2,"")&amp;IF(N(AA76)&gt;0,", "&amp;AA$2,"")&amp;IF(N(AB76)&gt;0,", "&amp;AB$2,"")&amp;IF(N(AC76)&gt;0,", "&amp;AC$2,"")&amp;IF(N(AD76)&gt;0,", "&amp;AD$2,"")&amp;IF(N(AE76)&gt;0,", "&amp;AE$2,"")&amp;IF(N(AF76)&gt;0,", "&amp;AF$2,"")&amp;IF(N(AG76)&gt;0,", "&amp;AG$2,"")&amp;IF(N(AH76)&gt;0,", "&amp;AH$2,"")&amp;IF(N(AI76)&gt;0,", "&amp;AI$2,"")&amp;IF(N(AJ76)&gt;0,", "&amp;AJ$2,""),3,999)</f>
        <v/>
      </c>
      <c r="AM76" s="87" t="str">
        <f aca="false">IF(E76="","",MID(IF(N(Y76)&gt;0,", "&amp;A76&amp;"-"&amp;Y$2,"")&amp;IF(N(Z76)&gt;0,", "&amp;A76&amp;"-"&amp;Z$2,"")&amp;IF(N(AA76)&gt;0,", "&amp;A76&amp;"-"&amp;AA$2,"")&amp;IF(N(AB76)&gt;0,", "&amp;A76&amp;"-"&amp;AB$2,"")&amp;IF(N(AC76)&gt;0,", "&amp;A76&amp;"-"&amp;AC$2,"")&amp;IF(N(AD76)&gt;0,", "&amp;A76&amp;"-"&amp;AD$2,"")&amp;IF(N(AE76)&gt;0,", "&amp;A76&amp;"-"&amp;AE$2,"")&amp;IF(N(AF76)&gt;0,", "&amp;A76&amp;"-"&amp;AF$2,"")&amp;IF(N(AG76)&gt;0,", "&amp;A76&amp;"-"&amp;AG$2,"")&amp;IF(N(AH76)&gt;0,", "&amp;A76&amp;"-"&amp;AH$2,"")&amp;IF(N(AI76)&gt;0,", "&amp;A76&amp;"-"&amp;AI$2,"")&amp;IF(N(AJ76)&gt;0,", "&amp;A76&amp;"-"&amp;AJ$2,""),3,999))</f>
        <v/>
      </c>
      <c r="AN76" s="81"/>
      <c r="AO76" s="88"/>
      <c r="AP76" s="89" t="str">
        <f aca="false">IF(AO76="","",ROUND(AO76/(1+Справочники!$B$13),2))</f>
        <v/>
      </c>
      <c r="AQ76" s="90" t="str">
        <f aca="false" t="array" ref="AQ76:AQ76">IF(AP76="","",AP76*INDEX(Справочники!$B$4:$B$7,MATCH("RUB",Справочники!$A$4:$A$7,0)))</f>
        <v/>
      </c>
      <c r="AR76" s="90" t="str">
        <f aca="false">IF(AQ76="","",ROUND(AQ76*(1+Справочники!$B$12),0))</f>
        <v/>
      </c>
      <c r="AS76" s="90" t="str">
        <f aca="false">IF(AR76="","",ROUND(AR76*(1-Справочники!$B$11),0))</f>
        <v/>
      </c>
      <c r="AT76" s="88"/>
      <c r="AU76" s="90" t="str">
        <f aca="false">IF(AT76="","",ROUND(AT76/(1+Справочники!$B$12),0))</f>
        <v/>
      </c>
      <c r="AV76" s="90" t="str">
        <f aca="false">IF(AT76="","",ROUND(AT76*(1-Справочники!$B$15),0))</f>
        <v/>
      </c>
      <c r="AW76" s="90" t="str">
        <f aca="false">IF(AT76="","",ROUND(AT76*(1-Справочники!$B$16),0))</f>
        <v/>
      </c>
      <c r="AX76" s="90" t="str">
        <f aca="false">IF(AT76="","",ROUND(AT76*(1-Справочники!$B$17),0))</f>
        <v/>
      </c>
      <c r="AY76" s="90" t="str">
        <f aca="false">IF(AT76="","",ROUND(AT76*(1-Справочники!$B$18),0))</f>
        <v/>
      </c>
      <c r="AZ76" s="90" t="str">
        <f aca="false">IF(AT76="","",ROUND(AT76*(1-Справочники!$B$19),0))</f>
        <v/>
      </c>
      <c r="BA76" s="81"/>
      <c r="BB76" s="81"/>
      <c r="BC76" s="81"/>
      <c r="BD76" s="81"/>
      <c r="BE76" s="91"/>
      <c r="BF76" s="81" t="s">
        <v>103</v>
      </c>
      <c r="BG76" s="89" t="n">
        <f aca="false" t="array" ref="BG76:BG76">IF(BF76="","",IFERROR(INDEX(Справочники!$B$4:$B$7,MATCH(BF76,Справочники!$A$4:$A$7,0)),""))</f>
        <v>68.5</v>
      </c>
      <c r="BH76" s="90" t="str">
        <f aca="false">IF(N(BN76)&gt;0,ROUND(SUMIF(ЗАКАЗЫ!$F$3:$F$500,$A76,ЗАКАЗЫ!$Y$3:$Y$500)/BN76,0),IF(OR(BE76="",BG76=""),"",ROUND(BE76*BG76*(1+Справочники!$B$10),0)))</f>
        <v/>
      </c>
      <c r="BI76" s="92" t="str">
        <f aca="false">IF(OR(AU76="",BH76="",AU76=0),"",(AU76-BH76)/AU76)</f>
        <v/>
      </c>
      <c r="BJ76" s="81"/>
      <c r="BK76" s="83"/>
      <c r="BL76" s="43" t="str">
        <f aca="false">IFERROR(INDEX(ЗАКАЗЫ!$N$3:$N$500,MATCH($A76,ЗАКАЗЫ!$F$3:$F$500,0)),"")</f>
        <v/>
      </c>
      <c r="BM76" s="8" t="str">
        <f aca="false">IF(BL76="","",IFERROR(VLOOKUP(BL76,'ТН ВЭД'!$A$4:$C$40,3,0),""))</f>
        <v/>
      </c>
      <c r="BN76" s="7" t="str">
        <f aca="false">IF(COUNTIF(ЗАКАЗЫ!$F$3:$F$500,$A76)=0,"",SUMIF(ЗАКАЗЫ!$F$3:$F$500,$A76,ЗАКАЗЫ!$J$3:$J$500))</f>
        <v/>
      </c>
      <c r="BO76" s="7" t="str">
        <f aca="false">IF(BN76="","",SUMIF(ЗАКАЗЫ!$F$3:$F$500,$A76,ЗАКАЗЫ!$AL$3:$AL$500))</f>
        <v/>
      </c>
      <c r="BP76" s="7" t="str">
        <f aca="false">IF(BN76="","",BN76-BO76)</f>
        <v/>
      </c>
      <c r="BQ76" s="55" t="str">
        <f aca="false">IF(BN76="","",IF(BO76&gt;=BN76,"На складе",IF(BO76&gt;0,"Частично","Ждём")))</f>
        <v/>
      </c>
      <c r="BR76" s="43"/>
      <c r="BS76" s="47" t="str">
        <f aca="false">IF(BN76="","",IF(_xlfn.MAXIFS(ЗАКАЗЫ!$AK$3:$AK$500,ЗАКАЗЫ!$F$3:$F$500,$A76)=0,"",_xlfn.MAXIFS(ЗАКАЗЫ!$AK$3:$AK$500,ЗАКАЗЫ!$F$3:$F$500,$A76)))</f>
        <v/>
      </c>
    </row>
    <row r="77" customFormat="false" ht="15.75" hidden="false" customHeight="true" outlineLevel="0" collapsed="false">
      <c r="A77" s="80" t="s">
        <v>1278</v>
      </c>
      <c r="B77" s="81"/>
      <c r="C77" s="81"/>
      <c r="D77" s="81"/>
      <c r="E77" s="83"/>
      <c r="F77" s="81"/>
      <c r="G77" s="83"/>
      <c r="H77" s="83"/>
      <c r="I77" s="84" t="str">
        <f aca="false">IF(E77="","",A77&amp;"_1.jpg")</f>
        <v/>
      </c>
      <c r="J77" s="84" t="str">
        <f aca="false">IF(E77="","",A77&amp;"_2.jpg; "&amp;A77&amp;"_3.jpg")</f>
        <v/>
      </c>
      <c r="K77" s="84" t="str">
        <f aca="false">IF(E77="","",A77&amp;"_schema.jpg")</f>
        <v/>
      </c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 t="s">
        <v>96</v>
      </c>
      <c r="W77" s="81"/>
      <c r="X77" s="81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6" t="str">
        <f aca="false">IF(SUM(Y77:AJ77)=0,"",SUM(Y77:AJ77))</f>
        <v/>
      </c>
      <c r="AL77" s="84" t="str">
        <f aca="false">MID(IF(N(Y77)&gt;0,", "&amp;Y$2,"")&amp;IF(N(Z77)&gt;0,", "&amp;Z$2,"")&amp;IF(N(AA77)&gt;0,", "&amp;AA$2,"")&amp;IF(N(AB77)&gt;0,", "&amp;AB$2,"")&amp;IF(N(AC77)&gt;0,", "&amp;AC$2,"")&amp;IF(N(AD77)&gt;0,", "&amp;AD$2,"")&amp;IF(N(AE77)&gt;0,", "&amp;AE$2,"")&amp;IF(N(AF77)&gt;0,", "&amp;AF$2,"")&amp;IF(N(AG77)&gt;0,", "&amp;AG$2,"")&amp;IF(N(AH77)&gt;0,", "&amp;AH$2,"")&amp;IF(N(AI77)&gt;0,", "&amp;AI$2,"")&amp;IF(N(AJ77)&gt;0,", "&amp;AJ$2,""),3,999)</f>
        <v/>
      </c>
      <c r="AM77" s="87" t="str">
        <f aca="false">IF(E77="","",MID(IF(N(Y77)&gt;0,", "&amp;A77&amp;"-"&amp;Y$2,"")&amp;IF(N(Z77)&gt;0,", "&amp;A77&amp;"-"&amp;Z$2,"")&amp;IF(N(AA77)&gt;0,", "&amp;A77&amp;"-"&amp;AA$2,"")&amp;IF(N(AB77)&gt;0,", "&amp;A77&amp;"-"&amp;AB$2,"")&amp;IF(N(AC77)&gt;0,", "&amp;A77&amp;"-"&amp;AC$2,"")&amp;IF(N(AD77)&gt;0,", "&amp;A77&amp;"-"&amp;AD$2,"")&amp;IF(N(AE77)&gt;0,", "&amp;A77&amp;"-"&amp;AE$2,"")&amp;IF(N(AF77)&gt;0,", "&amp;A77&amp;"-"&amp;AF$2,"")&amp;IF(N(AG77)&gt;0,", "&amp;A77&amp;"-"&amp;AG$2,"")&amp;IF(N(AH77)&gt;0,", "&amp;A77&amp;"-"&amp;AH$2,"")&amp;IF(N(AI77)&gt;0,", "&amp;A77&amp;"-"&amp;AI$2,"")&amp;IF(N(AJ77)&gt;0,", "&amp;A77&amp;"-"&amp;AJ$2,""),3,999))</f>
        <v/>
      </c>
      <c r="AN77" s="81"/>
      <c r="AO77" s="88"/>
      <c r="AP77" s="89" t="str">
        <f aca="false">IF(AO77="","",ROUND(AO77/(1+Справочники!$B$13),2))</f>
        <v/>
      </c>
      <c r="AQ77" s="90" t="str">
        <f aca="false" t="array" ref="AQ77:AQ77">IF(AP77="","",AP77*INDEX(Справочники!$B$4:$B$7,MATCH("RUB",Справочники!$A$4:$A$7,0)))</f>
        <v/>
      </c>
      <c r="AR77" s="90" t="str">
        <f aca="false">IF(AQ77="","",ROUND(AQ77*(1+Справочники!$B$12),0))</f>
        <v/>
      </c>
      <c r="AS77" s="90" t="str">
        <f aca="false">IF(AR77="","",ROUND(AR77*(1-Справочники!$B$11),0))</f>
        <v/>
      </c>
      <c r="AT77" s="88"/>
      <c r="AU77" s="90" t="str">
        <f aca="false">IF(AT77="","",ROUND(AT77/(1+Справочники!$B$12),0))</f>
        <v/>
      </c>
      <c r="AV77" s="90" t="str">
        <f aca="false">IF(AT77="","",ROUND(AT77*(1-Справочники!$B$15),0))</f>
        <v/>
      </c>
      <c r="AW77" s="90" t="str">
        <f aca="false">IF(AT77="","",ROUND(AT77*(1-Справочники!$B$16),0))</f>
        <v/>
      </c>
      <c r="AX77" s="90" t="str">
        <f aca="false">IF(AT77="","",ROUND(AT77*(1-Справочники!$B$17),0))</f>
        <v/>
      </c>
      <c r="AY77" s="90" t="str">
        <f aca="false">IF(AT77="","",ROUND(AT77*(1-Справочники!$B$18),0))</f>
        <v/>
      </c>
      <c r="AZ77" s="90" t="str">
        <f aca="false">IF(AT77="","",ROUND(AT77*(1-Справочники!$B$19),0))</f>
        <v/>
      </c>
      <c r="BA77" s="81"/>
      <c r="BB77" s="81"/>
      <c r="BC77" s="81"/>
      <c r="BD77" s="81"/>
      <c r="BE77" s="91"/>
      <c r="BF77" s="81" t="s">
        <v>103</v>
      </c>
      <c r="BG77" s="89" t="n">
        <f aca="false" t="array" ref="BG77:BG77">IF(BF77="","",IFERROR(INDEX(Справочники!$B$4:$B$7,MATCH(BF77,Справочники!$A$4:$A$7,0)),""))</f>
        <v>68.5</v>
      </c>
      <c r="BH77" s="90" t="str">
        <f aca="false">IF(N(BN77)&gt;0,ROUND(SUMIF(ЗАКАЗЫ!$F$3:$F$500,$A77,ЗАКАЗЫ!$Y$3:$Y$500)/BN77,0),IF(OR(BE77="",BG77=""),"",ROUND(BE77*BG77*(1+Справочники!$B$10),0)))</f>
        <v/>
      </c>
      <c r="BI77" s="92" t="str">
        <f aca="false">IF(OR(AU77="",BH77="",AU77=0),"",(AU77-BH77)/AU77)</f>
        <v/>
      </c>
      <c r="BJ77" s="81"/>
      <c r="BK77" s="83"/>
      <c r="BL77" s="43" t="str">
        <f aca="false">IFERROR(INDEX(ЗАКАЗЫ!$N$3:$N$500,MATCH($A77,ЗАКАЗЫ!$F$3:$F$500,0)),"")</f>
        <v/>
      </c>
      <c r="BM77" s="8" t="str">
        <f aca="false">IF(BL77="","",IFERROR(VLOOKUP(BL77,'ТН ВЭД'!$A$4:$C$40,3,0),""))</f>
        <v/>
      </c>
      <c r="BN77" s="7" t="str">
        <f aca="false">IF(COUNTIF(ЗАКАЗЫ!$F$3:$F$500,$A77)=0,"",SUMIF(ЗАКАЗЫ!$F$3:$F$500,$A77,ЗАКАЗЫ!$J$3:$J$500))</f>
        <v/>
      </c>
      <c r="BO77" s="7" t="str">
        <f aca="false">IF(BN77="","",SUMIF(ЗАКАЗЫ!$F$3:$F$500,$A77,ЗАКАЗЫ!$AL$3:$AL$500))</f>
        <v/>
      </c>
      <c r="BP77" s="7" t="str">
        <f aca="false">IF(BN77="","",BN77-BO77)</f>
        <v/>
      </c>
      <c r="BQ77" s="55" t="str">
        <f aca="false">IF(BN77="","",IF(BO77&gt;=BN77,"На складе",IF(BO77&gt;0,"Частично","Ждём")))</f>
        <v/>
      </c>
      <c r="BR77" s="43"/>
      <c r="BS77" s="47" t="str">
        <f aca="false">IF(BN77="","",IF(_xlfn.MAXIFS(ЗАКАЗЫ!$AK$3:$AK$500,ЗАКАЗЫ!$F$3:$F$500,$A77)=0,"",_xlfn.MAXIFS(ЗАКАЗЫ!$AK$3:$AK$500,ЗАКАЗЫ!$F$3:$F$500,$A77)))</f>
        <v/>
      </c>
    </row>
    <row r="78" customFormat="false" ht="15.75" hidden="false" customHeight="true" outlineLevel="0" collapsed="false">
      <c r="A78" s="80" t="s">
        <v>1279</v>
      </c>
      <c r="B78" s="81"/>
      <c r="C78" s="81"/>
      <c r="D78" s="81"/>
      <c r="E78" s="83"/>
      <c r="F78" s="81"/>
      <c r="G78" s="83"/>
      <c r="H78" s="83"/>
      <c r="I78" s="84" t="str">
        <f aca="false">IF(E78="","",A78&amp;"_1.jpg")</f>
        <v/>
      </c>
      <c r="J78" s="84" t="str">
        <f aca="false">IF(E78="","",A78&amp;"_2.jpg; "&amp;A78&amp;"_3.jpg")</f>
        <v/>
      </c>
      <c r="K78" s="84" t="str">
        <f aca="false">IF(E78="","",A78&amp;"_schema.jpg")</f>
        <v/>
      </c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 t="s">
        <v>96</v>
      </c>
      <c r="W78" s="81"/>
      <c r="X78" s="81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6" t="str">
        <f aca="false">IF(SUM(Y78:AJ78)=0,"",SUM(Y78:AJ78))</f>
        <v/>
      </c>
      <c r="AL78" s="84" t="str">
        <f aca="false">MID(IF(N(Y78)&gt;0,", "&amp;Y$2,"")&amp;IF(N(Z78)&gt;0,", "&amp;Z$2,"")&amp;IF(N(AA78)&gt;0,", "&amp;AA$2,"")&amp;IF(N(AB78)&gt;0,", "&amp;AB$2,"")&amp;IF(N(AC78)&gt;0,", "&amp;AC$2,"")&amp;IF(N(AD78)&gt;0,", "&amp;AD$2,"")&amp;IF(N(AE78)&gt;0,", "&amp;AE$2,"")&amp;IF(N(AF78)&gt;0,", "&amp;AF$2,"")&amp;IF(N(AG78)&gt;0,", "&amp;AG$2,"")&amp;IF(N(AH78)&gt;0,", "&amp;AH$2,"")&amp;IF(N(AI78)&gt;0,", "&amp;AI$2,"")&amp;IF(N(AJ78)&gt;0,", "&amp;AJ$2,""),3,999)</f>
        <v/>
      </c>
      <c r="AM78" s="87" t="str">
        <f aca="false">IF(E78="","",MID(IF(N(Y78)&gt;0,", "&amp;A78&amp;"-"&amp;Y$2,"")&amp;IF(N(Z78)&gt;0,", "&amp;A78&amp;"-"&amp;Z$2,"")&amp;IF(N(AA78)&gt;0,", "&amp;A78&amp;"-"&amp;AA$2,"")&amp;IF(N(AB78)&gt;0,", "&amp;A78&amp;"-"&amp;AB$2,"")&amp;IF(N(AC78)&gt;0,", "&amp;A78&amp;"-"&amp;AC$2,"")&amp;IF(N(AD78)&gt;0,", "&amp;A78&amp;"-"&amp;AD$2,"")&amp;IF(N(AE78)&gt;0,", "&amp;A78&amp;"-"&amp;AE$2,"")&amp;IF(N(AF78)&gt;0,", "&amp;A78&amp;"-"&amp;AF$2,"")&amp;IF(N(AG78)&gt;0,", "&amp;A78&amp;"-"&amp;AG$2,"")&amp;IF(N(AH78)&gt;0,", "&amp;A78&amp;"-"&amp;AH$2,"")&amp;IF(N(AI78)&gt;0,", "&amp;A78&amp;"-"&amp;AI$2,"")&amp;IF(N(AJ78)&gt;0,", "&amp;A78&amp;"-"&amp;AJ$2,""),3,999))</f>
        <v/>
      </c>
      <c r="AN78" s="81"/>
      <c r="AO78" s="88"/>
      <c r="AP78" s="89" t="str">
        <f aca="false">IF(AO78="","",ROUND(AO78/(1+Справочники!$B$13),2))</f>
        <v/>
      </c>
      <c r="AQ78" s="90" t="str">
        <f aca="false" t="array" ref="AQ78:AQ78">IF(AP78="","",AP78*INDEX(Справочники!$B$4:$B$7,MATCH("RUB",Справочники!$A$4:$A$7,0)))</f>
        <v/>
      </c>
      <c r="AR78" s="90" t="str">
        <f aca="false">IF(AQ78="","",ROUND(AQ78*(1+Справочники!$B$12),0))</f>
        <v/>
      </c>
      <c r="AS78" s="90" t="str">
        <f aca="false">IF(AR78="","",ROUND(AR78*(1-Справочники!$B$11),0))</f>
        <v/>
      </c>
      <c r="AT78" s="88"/>
      <c r="AU78" s="90" t="str">
        <f aca="false">IF(AT78="","",ROUND(AT78/(1+Справочники!$B$12),0))</f>
        <v/>
      </c>
      <c r="AV78" s="90" t="str">
        <f aca="false">IF(AT78="","",ROUND(AT78*(1-Справочники!$B$15),0))</f>
        <v/>
      </c>
      <c r="AW78" s="90" t="str">
        <f aca="false">IF(AT78="","",ROUND(AT78*(1-Справочники!$B$16),0))</f>
        <v/>
      </c>
      <c r="AX78" s="90" t="str">
        <f aca="false">IF(AT78="","",ROUND(AT78*(1-Справочники!$B$17),0))</f>
        <v/>
      </c>
      <c r="AY78" s="90" t="str">
        <f aca="false">IF(AT78="","",ROUND(AT78*(1-Справочники!$B$18),0))</f>
        <v/>
      </c>
      <c r="AZ78" s="90" t="str">
        <f aca="false">IF(AT78="","",ROUND(AT78*(1-Справочники!$B$19),0))</f>
        <v/>
      </c>
      <c r="BA78" s="81"/>
      <c r="BB78" s="81"/>
      <c r="BC78" s="81"/>
      <c r="BD78" s="81"/>
      <c r="BE78" s="91"/>
      <c r="BF78" s="81" t="s">
        <v>103</v>
      </c>
      <c r="BG78" s="89" t="n">
        <f aca="false" t="array" ref="BG78:BG78">IF(BF78="","",IFERROR(INDEX(Справочники!$B$4:$B$7,MATCH(BF78,Справочники!$A$4:$A$7,0)),""))</f>
        <v>68.5</v>
      </c>
      <c r="BH78" s="90" t="str">
        <f aca="false">IF(N(BN78)&gt;0,ROUND(SUMIF(ЗАКАЗЫ!$F$3:$F$500,$A78,ЗАКАЗЫ!$Y$3:$Y$500)/BN78,0),IF(OR(BE78="",BG78=""),"",ROUND(BE78*BG78*(1+Справочники!$B$10),0)))</f>
        <v/>
      </c>
      <c r="BI78" s="92" t="str">
        <f aca="false">IF(OR(AU78="",BH78="",AU78=0),"",(AU78-BH78)/AU78)</f>
        <v/>
      </c>
      <c r="BJ78" s="81"/>
      <c r="BK78" s="83"/>
      <c r="BL78" s="43" t="str">
        <f aca="false">IFERROR(INDEX(ЗАКАЗЫ!$N$3:$N$500,MATCH($A78,ЗАКАЗЫ!$F$3:$F$500,0)),"")</f>
        <v/>
      </c>
      <c r="BM78" s="8" t="str">
        <f aca="false">IF(BL78="","",IFERROR(VLOOKUP(BL78,'ТН ВЭД'!$A$4:$C$40,3,0),""))</f>
        <v/>
      </c>
      <c r="BN78" s="7" t="str">
        <f aca="false">IF(COUNTIF(ЗАКАЗЫ!$F$3:$F$500,$A78)=0,"",SUMIF(ЗАКАЗЫ!$F$3:$F$500,$A78,ЗАКАЗЫ!$J$3:$J$500))</f>
        <v/>
      </c>
      <c r="BO78" s="7" t="str">
        <f aca="false">IF(BN78="","",SUMIF(ЗАКАЗЫ!$F$3:$F$500,$A78,ЗАКАЗЫ!$AL$3:$AL$500))</f>
        <v/>
      </c>
      <c r="BP78" s="7" t="str">
        <f aca="false">IF(BN78="","",BN78-BO78)</f>
        <v/>
      </c>
      <c r="BQ78" s="55" t="str">
        <f aca="false">IF(BN78="","",IF(BO78&gt;=BN78,"На складе",IF(BO78&gt;0,"Частично","Ждём")))</f>
        <v/>
      </c>
      <c r="BR78" s="43"/>
      <c r="BS78" s="47" t="str">
        <f aca="false">IF(BN78="","",IF(_xlfn.MAXIFS(ЗАКАЗЫ!$AK$3:$AK$500,ЗАКАЗЫ!$F$3:$F$500,$A78)=0,"",_xlfn.MAXIFS(ЗАКАЗЫ!$AK$3:$AK$500,ЗАКАЗЫ!$F$3:$F$500,$A78)))</f>
        <v/>
      </c>
    </row>
    <row r="79" customFormat="false" ht="15.75" hidden="false" customHeight="true" outlineLevel="0" collapsed="false">
      <c r="A79" s="80" t="s">
        <v>1280</v>
      </c>
      <c r="B79" s="81"/>
      <c r="C79" s="81"/>
      <c r="D79" s="81"/>
      <c r="E79" s="83"/>
      <c r="F79" s="81"/>
      <c r="G79" s="83"/>
      <c r="H79" s="83"/>
      <c r="I79" s="84" t="str">
        <f aca="false">IF(E79="","",A79&amp;"_1.jpg")</f>
        <v/>
      </c>
      <c r="J79" s="84" t="str">
        <f aca="false">IF(E79="","",A79&amp;"_2.jpg; "&amp;A79&amp;"_3.jpg")</f>
        <v/>
      </c>
      <c r="K79" s="84" t="str">
        <f aca="false">IF(E79="","",A79&amp;"_schema.jpg")</f>
        <v/>
      </c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 t="s">
        <v>96</v>
      </c>
      <c r="W79" s="81"/>
      <c r="X79" s="81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6" t="str">
        <f aca="false">IF(SUM(Y79:AJ79)=0,"",SUM(Y79:AJ79))</f>
        <v/>
      </c>
      <c r="AL79" s="84" t="str">
        <f aca="false">MID(IF(N(Y79)&gt;0,", "&amp;Y$2,"")&amp;IF(N(Z79)&gt;0,", "&amp;Z$2,"")&amp;IF(N(AA79)&gt;0,", "&amp;AA$2,"")&amp;IF(N(AB79)&gt;0,", "&amp;AB$2,"")&amp;IF(N(AC79)&gt;0,", "&amp;AC$2,"")&amp;IF(N(AD79)&gt;0,", "&amp;AD$2,"")&amp;IF(N(AE79)&gt;0,", "&amp;AE$2,"")&amp;IF(N(AF79)&gt;0,", "&amp;AF$2,"")&amp;IF(N(AG79)&gt;0,", "&amp;AG$2,"")&amp;IF(N(AH79)&gt;0,", "&amp;AH$2,"")&amp;IF(N(AI79)&gt;0,", "&amp;AI$2,"")&amp;IF(N(AJ79)&gt;0,", "&amp;AJ$2,""),3,999)</f>
        <v/>
      </c>
      <c r="AM79" s="87" t="str">
        <f aca="false">IF(E79="","",MID(IF(N(Y79)&gt;0,", "&amp;A79&amp;"-"&amp;Y$2,"")&amp;IF(N(Z79)&gt;0,", "&amp;A79&amp;"-"&amp;Z$2,"")&amp;IF(N(AA79)&gt;0,", "&amp;A79&amp;"-"&amp;AA$2,"")&amp;IF(N(AB79)&gt;0,", "&amp;A79&amp;"-"&amp;AB$2,"")&amp;IF(N(AC79)&gt;0,", "&amp;A79&amp;"-"&amp;AC$2,"")&amp;IF(N(AD79)&gt;0,", "&amp;A79&amp;"-"&amp;AD$2,"")&amp;IF(N(AE79)&gt;0,", "&amp;A79&amp;"-"&amp;AE$2,"")&amp;IF(N(AF79)&gt;0,", "&amp;A79&amp;"-"&amp;AF$2,"")&amp;IF(N(AG79)&gt;0,", "&amp;A79&amp;"-"&amp;AG$2,"")&amp;IF(N(AH79)&gt;0,", "&amp;A79&amp;"-"&amp;AH$2,"")&amp;IF(N(AI79)&gt;0,", "&amp;A79&amp;"-"&amp;AI$2,"")&amp;IF(N(AJ79)&gt;0,", "&amp;A79&amp;"-"&amp;AJ$2,""),3,999))</f>
        <v/>
      </c>
      <c r="AN79" s="81"/>
      <c r="AO79" s="88"/>
      <c r="AP79" s="89" t="str">
        <f aca="false">IF(AO79="","",ROUND(AO79/(1+Справочники!$B$13),2))</f>
        <v/>
      </c>
      <c r="AQ79" s="90" t="str">
        <f aca="false" t="array" ref="AQ79:AQ79">IF(AP79="","",AP79*INDEX(Справочники!$B$4:$B$7,MATCH("RUB",Справочники!$A$4:$A$7,0)))</f>
        <v/>
      </c>
      <c r="AR79" s="90" t="str">
        <f aca="false">IF(AQ79="","",ROUND(AQ79*(1+Справочники!$B$12),0))</f>
        <v/>
      </c>
      <c r="AS79" s="90" t="str">
        <f aca="false">IF(AR79="","",ROUND(AR79*(1-Справочники!$B$11),0))</f>
        <v/>
      </c>
      <c r="AT79" s="88"/>
      <c r="AU79" s="90" t="str">
        <f aca="false">IF(AT79="","",ROUND(AT79/(1+Справочники!$B$12),0))</f>
        <v/>
      </c>
      <c r="AV79" s="90" t="str">
        <f aca="false">IF(AT79="","",ROUND(AT79*(1-Справочники!$B$15),0))</f>
        <v/>
      </c>
      <c r="AW79" s="90" t="str">
        <f aca="false">IF(AT79="","",ROUND(AT79*(1-Справочники!$B$16),0))</f>
        <v/>
      </c>
      <c r="AX79" s="90" t="str">
        <f aca="false">IF(AT79="","",ROUND(AT79*(1-Справочники!$B$17),0))</f>
        <v/>
      </c>
      <c r="AY79" s="90" t="str">
        <f aca="false">IF(AT79="","",ROUND(AT79*(1-Справочники!$B$18),0))</f>
        <v/>
      </c>
      <c r="AZ79" s="90" t="str">
        <f aca="false">IF(AT79="","",ROUND(AT79*(1-Справочники!$B$19),0))</f>
        <v/>
      </c>
      <c r="BA79" s="81"/>
      <c r="BB79" s="81"/>
      <c r="BC79" s="81"/>
      <c r="BD79" s="81"/>
      <c r="BE79" s="91"/>
      <c r="BF79" s="81" t="s">
        <v>103</v>
      </c>
      <c r="BG79" s="89" t="n">
        <f aca="false" t="array" ref="BG79:BG79">IF(BF79="","",IFERROR(INDEX(Справочники!$B$4:$B$7,MATCH(BF79,Справочники!$A$4:$A$7,0)),""))</f>
        <v>68.5</v>
      </c>
      <c r="BH79" s="90" t="str">
        <f aca="false">IF(N(BN79)&gt;0,ROUND(SUMIF(ЗАКАЗЫ!$F$3:$F$500,$A79,ЗАКАЗЫ!$Y$3:$Y$500)/BN79,0),IF(OR(BE79="",BG79=""),"",ROUND(BE79*BG79*(1+Справочники!$B$10),0)))</f>
        <v/>
      </c>
      <c r="BI79" s="92" t="str">
        <f aca="false">IF(OR(AU79="",BH79="",AU79=0),"",(AU79-BH79)/AU79)</f>
        <v/>
      </c>
      <c r="BJ79" s="81"/>
      <c r="BK79" s="83"/>
      <c r="BL79" s="43" t="str">
        <f aca="false">IFERROR(INDEX(ЗАКАЗЫ!$N$3:$N$500,MATCH($A79,ЗАКАЗЫ!$F$3:$F$500,0)),"")</f>
        <v/>
      </c>
      <c r="BM79" s="8" t="str">
        <f aca="false">IF(BL79="","",IFERROR(VLOOKUP(BL79,'ТН ВЭД'!$A$4:$C$40,3,0),""))</f>
        <v/>
      </c>
      <c r="BN79" s="7" t="str">
        <f aca="false">IF(COUNTIF(ЗАКАЗЫ!$F$3:$F$500,$A79)=0,"",SUMIF(ЗАКАЗЫ!$F$3:$F$500,$A79,ЗАКАЗЫ!$J$3:$J$500))</f>
        <v/>
      </c>
      <c r="BO79" s="7" t="str">
        <f aca="false">IF(BN79="","",SUMIF(ЗАКАЗЫ!$F$3:$F$500,$A79,ЗАКАЗЫ!$AL$3:$AL$500))</f>
        <v/>
      </c>
      <c r="BP79" s="7" t="str">
        <f aca="false">IF(BN79="","",BN79-BO79)</f>
        <v/>
      </c>
      <c r="BQ79" s="55" t="str">
        <f aca="false">IF(BN79="","",IF(BO79&gt;=BN79,"На складе",IF(BO79&gt;0,"Частично","Ждём")))</f>
        <v/>
      </c>
      <c r="BR79" s="43"/>
      <c r="BS79" s="47" t="str">
        <f aca="false">IF(BN79="","",IF(_xlfn.MAXIFS(ЗАКАЗЫ!$AK$3:$AK$500,ЗАКАЗЫ!$F$3:$F$500,$A79)=0,"",_xlfn.MAXIFS(ЗАКАЗЫ!$AK$3:$AK$500,ЗАКАЗЫ!$F$3:$F$500,$A79)))</f>
        <v/>
      </c>
    </row>
    <row r="80" customFormat="false" ht="15.75" hidden="false" customHeight="true" outlineLevel="0" collapsed="false">
      <c r="A80" s="80" t="s">
        <v>1281</v>
      </c>
      <c r="B80" s="81"/>
      <c r="C80" s="81"/>
      <c r="D80" s="81"/>
      <c r="E80" s="83"/>
      <c r="F80" s="81"/>
      <c r="G80" s="83"/>
      <c r="H80" s="83"/>
      <c r="I80" s="84" t="str">
        <f aca="false">IF(E80="","",A80&amp;"_1.jpg")</f>
        <v/>
      </c>
      <c r="J80" s="84" t="str">
        <f aca="false">IF(E80="","",A80&amp;"_2.jpg; "&amp;A80&amp;"_3.jpg")</f>
        <v/>
      </c>
      <c r="K80" s="84" t="str">
        <f aca="false">IF(E80="","",A80&amp;"_schema.jpg")</f>
        <v/>
      </c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 t="s">
        <v>96</v>
      </c>
      <c r="W80" s="81"/>
      <c r="X80" s="81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6" t="str">
        <f aca="false">IF(SUM(Y80:AJ80)=0,"",SUM(Y80:AJ80))</f>
        <v/>
      </c>
      <c r="AL80" s="84" t="str">
        <f aca="false">MID(IF(N(Y80)&gt;0,", "&amp;Y$2,"")&amp;IF(N(Z80)&gt;0,", "&amp;Z$2,"")&amp;IF(N(AA80)&gt;0,", "&amp;AA$2,"")&amp;IF(N(AB80)&gt;0,", "&amp;AB$2,"")&amp;IF(N(AC80)&gt;0,", "&amp;AC$2,"")&amp;IF(N(AD80)&gt;0,", "&amp;AD$2,"")&amp;IF(N(AE80)&gt;0,", "&amp;AE$2,"")&amp;IF(N(AF80)&gt;0,", "&amp;AF$2,"")&amp;IF(N(AG80)&gt;0,", "&amp;AG$2,"")&amp;IF(N(AH80)&gt;0,", "&amp;AH$2,"")&amp;IF(N(AI80)&gt;0,", "&amp;AI$2,"")&amp;IF(N(AJ80)&gt;0,", "&amp;AJ$2,""),3,999)</f>
        <v/>
      </c>
      <c r="AM80" s="87" t="str">
        <f aca="false">IF(E80="","",MID(IF(N(Y80)&gt;0,", "&amp;A80&amp;"-"&amp;Y$2,"")&amp;IF(N(Z80)&gt;0,", "&amp;A80&amp;"-"&amp;Z$2,"")&amp;IF(N(AA80)&gt;0,", "&amp;A80&amp;"-"&amp;AA$2,"")&amp;IF(N(AB80)&gt;0,", "&amp;A80&amp;"-"&amp;AB$2,"")&amp;IF(N(AC80)&gt;0,", "&amp;A80&amp;"-"&amp;AC$2,"")&amp;IF(N(AD80)&gt;0,", "&amp;A80&amp;"-"&amp;AD$2,"")&amp;IF(N(AE80)&gt;0,", "&amp;A80&amp;"-"&amp;AE$2,"")&amp;IF(N(AF80)&gt;0,", "&amp;A80&amp;"-"&amp;AF$2,"")&amp;IF(N(AG80)&gt;0,", "&amp;A80&amp;"-"&amp;AG$2,"")&amp;IF(N(AH80)&gt;0,", "&amp;A80&amp;"-"&amp;AH$2,"")&amp;IF(N(AI80)&gt;0,", "&amp;A80&amp;"-"&amp;AI$2,"")&amp;IF(N(AJ80)&gt;0,", "&amp;A80&amp;"-"&amp;AJ$2,""),3,999))</f>
        <v/>
      </c>
      <c r="AN80" s="81"/>
      <c r="AO80" s="88"/>
      <c r="AP80" s="89" t="str">
        <f aca="false">IF(AO80="","",ROUND(AO80/(1+Справочники!$B$13),2))</f>
        <v/>
      </c>
      <c r="AQ80" s="90" t="str">
        <f aca="false" t="array" ref="AQ80:AQ80">IF(AP80="","",AP80*INDEX(Справочники!$B$4:$B$7,MATCH("RUB",Справочники!$A$4:$A$7,0)))</f>
        <v/>
      </c>
      <c r="AR80" s="90" t="str">
        <f aca="false">IF(AQ80="","",ROUND(AQ80*(1+Справочники!$B$12),0))</f>
        <v/>
      </c>
      <c r="AS80" s="90" t="str">
        <f aca="false">IF(AR80="","",ROUND(AR80*(1-Справочники!$B$11),0))</f>
        <v/>
      </c>
      <c r="AT80" s="88"/>
      <c r="AU80" s="90" t="str">
        <f aca="false">IF(AT80="","",ROUND(AT80/(1+Справочники!$B$12),0))</f>
        <v/>
      </c>
      <c r="AV80" s="90" t="str">
        <f aca="false">IF(AT80="","",ROUND(AT80*(1-Справочники!$B$15),0))</f>
        <v/>
      </c>
      <c r="AW80" s="90" t="str">
        <f aca="false">IF(AT80="","",ROUND(AT80*(1-Справочники!$B$16),0))</f>
        <v/>
      </c>
      <c r="AX80" s="90" t="str">
        <f aca="false">IF(AT80="","",ROUND(AT80*(1-Справочники!$B$17),0))</f>
        <v/>
      </c>
      <c r="AY80" s="90" t="str">
        <f aca="false">IF(AT80="","",ROUND(AT80*(1-Справочники!$B$18),0))</f>
        <v/>
      </c>
      <c r="AZ80" s="90" t="str">
        <f aca="false">IF(AT80="","",ROUND(AT80*(1-Справочники!$B$19),0))</f>
        <v/>
      </c>
      <c r="BA80" s="81"/>
      <c r="BB80" s="81"/>
      <c r="BC80" s="81"/>
      <c r="BD80" s="81"/>
      <c r="BE80" s="91"/>
      <c r="BF80" s="81" t="s">
        <v>103</v>
      </c>
      <c r="BG80" s="89" t="n">
        <f aca="false" t="array" ref="BG80:BG80">IF(BF80="","",IFERROR(INDEX(Справочники!$B$4:$B$7,MATCH(BF80,Справочники!$A$4:$A$7,0)),""))</f>
        <v>68.5</v>
      </c>
      <c r="BH80" s="90" t="str">
        <f aca="false">IF(N(BN80)&gt;0,ROUND(SUMIF(ЗАКАЗЫ!$F$3:$F$500,$A80,ЗАКАЗЫ!$Y$3:$Y$500)/BN80,0),IF(OR(BE80="",BG80=""),"",ROUND(BE80*BG80*(1+Справочники!$B$10),0)))</f>
        <v/>
      </c>
      <c r="BI80" s="92" t="str">
        <f aca="false">IF(OR(AU80="",BH80="",AU80=0),"",(AU80-BH80)/AU80)</f>
        <v/>
      </c>
      <c r="BJ80" s="81"/>
      <c r="BK80" s="83"/>
      <c r="BL80" s="43" t="str">
        <f aca="false">IFERROR(INDEX(ЗАКАЗЫ!$N$3:$N$500,MATCH($A80,ЗАКАЗЫ!$F$3:$F$500,0)),"")</f>
        <v/>
      </c>
      <c r="BM80" s="8" t="str">
        <f aca="false">IF(BL80="","",IFERROR(VLOOKUP(BL80,'ТН ВЭД'!$A$4:$C$40,3,0),""))</f>
        <v/>
      </c>
      <c r="BN80" s="7" t="str">
        <f aca="false">IF(COUNTIF(ЗАКАЗЫ!$F$3:$F$500,$A80)=0,"",SUMIF(ЗАКАЗЫ!$F$3:$F$500,$A80,ЗАКАЗЫ!$J$3:$J$500))</f>
        <v/>
      </c>
      <c r="BO80" s="7" t="str">
        <f aca="false">IF(BN80="","",SUMIF(ЗАКАЗЫ!$F$3:$F$500,$A80,ЗАКАЗЫ!$AL$3:$AL$500))</f>
        <v/>
      </c>
      <c r="BP80" s="7" t="str">
        <f aca="false">IF(BN80="","",BN80-BO80)</f>
        <v/>
      </c>
      <c r="BQ80" s="55" t="str">
        <f aca="false">IF(BN80="","",IF(BO80&gt;=BN80,"На складе",IF(BO80&gt;0,"Частично","Ждём")))</f>
        <v/>
      </c>
      <c r="BR80" s="43"/>
      <c r="BS80" s="47" t="str">
        <f aca="false">IF(BN80="","",IF(_xlfn.MAXIFS(ЗАКАЗЫ!$AK$3:$AK$500,ЗАКАЗЫ!$F$3:$F$500,$A80)=0,"",_xlfn.MAXIFS(ЗАКАЗЫ!$AK$3:$AK$500,ЗАКАЗЫ!$F$3:$F$500,$A80)))</f>
        <v/>
      </c>
    </row>
    <row r="81" customFormat="false" ht="15.75" hidden="false" customHeight="true" outlineLevel="0" collapsed="false">
      <c r="A81" s="80" t="s">
        <v>1282</v>
      </c>
      <c r="B81" s="81"/>
      <c r="C81" s="81"/>
      <c r="D81" s="81"/>
      <c r="E81" s="83"/>
      <c r="F81" s="81"/>
      <c r="G81" s="83"/>
      <c r="H81" s="83"/>
      <c r="I81" s="84" t="str">
        <f aca="false">IF(E81="","",A81&amp;"_1.jpg")</f>
        <v/>
      </c>
      <c r="J81" s="84" t="str">
        <f aca="false">IF(E81="","",A81&amp;"_2.jpg; "&amp;A81&amp;"_3.jpg")</f>
        <v/>
      </c>
      <c r="K81" s="84" t="str">
        <f aca="false">IF(E81="","",A81&amp;"_schema.jpg")</f>
        <v/>
      </c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 t="s">
        <v>96</v>
      </c>
      <c r="W81" s="81"/>
      <c r="X81" s="81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6" t="str">
        <f aca="false">IF(SUM(Y81:AJ81)=0,"",SUM(Y81:AJ81))</f>
        <v/>
      </c>
      <c r="AL81" s="84" t="str">
        <f aca="false">MID(IF(N(Y81)&gt;0,", "&amp;Y$2,"")&amp;IF(N(Z81)&gt;0,", "&amp;Z$2,"")&amp;IF(N(AA81)&gt;0,", "&amp;AA$2,"")&amp;IF(N(AB81)&gt;0,", "&amp;AB$2,"")&amp;IF(N(AC81)&gt;0,", "&amp;AC$2,"")&amp;IF(N(AD81)&gt;0,", "&amp;AD$2,"")&amp;IF(N(AE81)&gt;0,", "&amp;AE$2,"")&amp;IF(N(AF81)&gt;0,", "&amp;AF$2,"")&amp;IF(N(AG81)&gt;0,", "&amp;AG$2,"")&amp;IF(N(AH81)&gt;0,", "&amp;AH$2,"")&amp;IF(N(AI81)&gt;0,", "&amp;AI$2,"")&amp;IF(N(AJ81)&gt;0,", "&amp;AJ$2,""),3,999)</f>
        <v/>
      </c>
      <c r="AM81" s="87" t="str">
        <f aca="false">IF(E81="","",MID(IF(N(Y81)&gt;0,", "&amp;A81&amp;"-"&amp;Y$2,"")&amp;IF(N(Z81)&gt;0,", "&amp;A81&amp;"-"&amp;Z$2,"")&amp;IF(N(AA81)&gt;0,", "&amp;A81&amp;"-"&amp;AA$2,"")&amp;IF(N(AB81)&gt;0,", "&amp;A81&amp;"-"&amp;AB$2,"")&amp;IF(N(AC81)&gt;0,", "&amp;A81&amp;"-"&amp;AC$2,"")&amp;IF(N(AD81)&gt;0,", "&amp;A81&amp;"-"&amp;AD$2,"")&amp;IF(N(AE81)&gt;0,", "&amp;A81&amp;"-"&amp;AE$2,"")&amp;IF(N(AF81)&gt;0,", "&amp;A81&amp;"-"&amp;AF$2,"")&amp;IF(N(AG81)&gt;0,", "&amp;A81&amp;"-"&amp;AG$2,"")&amp;IF(N(AH81)&gt;0,", "&amp;A81&amp;"-"&amp;AH$2,"")&amp;IF(N(AI81)&gt;0,", "&amp;A81&amp;"-"&amp;AI$2,"")&amp;IF(N(AJ81)&gt;0,", "&amp;A81&amp;"-"&amp;AJ$2,""),3,999))</f>
        <v/>
      </c>
      <c r="AN81" s="81"/>
      <c r="AO81" s="88"/>
      <c r="AP81" s="89" t="str">
        <f aca="false">IF(AO81="","",ROUND(AO81/(1+Справочники!$B$13),2))</f>
        <v/>
      </c>
      <c r="AQ81" s="90" t="str">
        <f aca="false" t="array" ref="AQ81:AQ81">IF(AP81="","",AP81*INDEX(Справочники!$B$4:$B$7,MATCH("RUB",Справочники!$A$4:$A$7,0)))</f>
        <v/>
      </c>
      <c r="AR81" s="90" t="str">
        <f aca="false">IF(AQ81="","",ROUND(AQ81*(1+Справочники!$B$12),0))</f>
        <v/>
      </c>
      <c r="AS81" s="90" t="str">
        <f aca="false">IF(AR81="","",ROUND(AR81*(1-Справочники!$B$11),0))</f>
        <v/>
      </c>
      <c r="AT81" s="88"/>
      <c r="AU81" s="90" t="str">
        <f aca="false">IF(AT81="","",ROUND(AT81/(1+Справочники!$B$12),0))</f>
        <v/>
      </c>
      <c r="AV81" s="90" t="str">
        <f aca="false">IF(AT81="","",ROUND(AT81*(1-Справочники!$B$15),0))</f>
        <v/>
      </c>
      <c r="AW81" s="90" t="str">
        <f aca="false">IF(AT81="","",ROUND(AT81*(1-Справочники!$B$16),0))</f>
        <v/>
      </c>
      <c r="AX81" s="90" t="str">
        <f aca="false">IF(AT81="","",ROUND(AT81*(1-Справочники!$B$17),0))</f>
        <v/>
      </c>
      <c r="AY81" s="90" t="str">
        <f aca="false">IF(AT81="","",ROUND(AT81*(1-Справочники!$B$18),0))</f>
        <v/>
      </c>
      <c r="AZ81" s="90" t="str">
        <f aca="false">IF(AT81="","",ROUND(AT81*(1-Справочники!$B$19),0))</f>
        <v/>
      </c>
      <c r="BA81" s="81"/>
      <c r="BB81" s="81"/>
      <c r="BC81" s="81"/>
      <c r="BD81" s="81"/>
      <c r="BE81" s="91"/>
      <c r="BF81" s="81" t="s">
        <v>103</v>
      </c>
      <c r="BG81" s="89" t="n">
        <f aca="false" t="array" ref="BG81:BG81">IF(BF81="","",IFERROR(INDEX(Справочники!$B$4:$B$7,MATCH(BF81,Справочники!$A$4:$A$7,0)),""))</f>
        <v>68.5</v>
      </c>
      <c r="BH81" s="90" t="str">
        <f aca="false">IF(N(BN81)&gt;0,ROUND(SUMIF(ЗАКАЗЫ!$F$3:$F$500,$A81,ЗАКАЗЫ!$Y$3:$Y$500)/BN81,0),IF(OR(BE81="",BG81=""),"",ROUND(BE81*BG81*(1+Справочники!$B$10),0)))</f>
        <v/>
      </c>
      <c r="BI81" s="92" t="str">
        <f aca="false">IF(OR(AU81="",BH81="",AU81=0),"",(AU81-BH81)/AU81)</f>
        <v/>
      </c>
      <c r="BJ81" s="81"/>
      <c r="BK81" s="83"/>
      <c r="BL81" s="43" t="str">
        <f aca="false">IFERROR(INDEX(ЗАКАЗЫ!$N$3:$N$500,MATCH($A81,ЗАКАЗЫ!$F$3:$F$500,0)),"")</f>
        <v/>
      </c>
      <c r="BM81" s="8" t="str">
        <f aca="false">IF(BL81="","",IFERROR(VLOOKUP(BL81,'ТН ВЭД'!$A$4:$C$40,3,0),""))</f>
        <v/>
      </c>
      <c r="BN81" s="7" t="str">
        <f aca="false">IF(COUNTIF(ЗАКАЗЫ!$F$3:$F$500,$A81)=0,"",SUMIF(ЗАКАЗЫ!$F$3:$F$500,$A81,ЗАКАЗЫ!$J$3:$J$500))</f>
        <v/>
      </c>
      <c r="BO81" s="7" t="str">
        <f aca="false">IF(BN81="","",SUMIF(ЗАКАЗЫ!$F$3:$F$500,$A81,ЗАКАЗЫ!$AL$3:$AL$500))</f>
        <v/>
      </c>
      <c r="BP81" s="7" t="str">
        <f aca="false">IF(BN81="","",BN81-BO81)</f>
        <v/>
      </c>
      <c r="BQ81" s="55" t="str">
        <f aca="false">IF(BN81="","",IF(BO81&gt;=BN81,"На складе",IF(BO81&gt;0,"Частично","Ждём")))</f>
        <v/>
      </c>
      <c r="BR81" s="43"/>
      <c r="BS81" s="47" t="str">
        <f aca="false">IF(BN81="","",IF(_xlfn.MAXIFS(ЗАКАЗЫ!$AK$3:$AK$500,ЗАКАЗЫ!$F$3:$F$500,$A81)=0,"",_xlfn.MAXIFS(ЗАКАЗЫ!$AK$3:$AK$500,ЗАКАЗЫ!$F$3:$F$500,$A81)))</f>
        <v/>
      </c>
    </row>
    <row r="82" customFormat="false" ht="15.75" hidden="false" customHeight="true" outlineLevel="0" collapsed="false">
      <c r="A82" s="80" t="s">
        <v>1283</v>
      </c>
      <c r="B82" s="81"/>
      <c r="C82" s="81"/>
      <c r="D82" s="81"/>
      <c r="E82" s="83"/>
      <c r="F82" s="81"/>
      <c r="G82" s="83"/>
      <c r="H82" s="83"/>
      <c r="I82" s="84" t="str">
        <f aca="false">IF(E82="","",A82&amp;"_1.jpg")</f>
        <v/>
      </c>
      <c r="J82" s="84" t="str">
        <f aca="false">IF(E82="","",A82&amp;"_2.jpg; "&amp;A82&amp;"_3.jpg")</f>
        <v/>
      </c>
      <c r="K82" s="84" t="str">
        <f aca="false">IF(E82="","",A82&amp;"_schema.jpg")</f>
        <v/>
      </c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 t="s">
        <v>96</v>
      </c>
      <c r="W82" s="81"/>
      <c r="X82" s="81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6" t="str">
        <f aca="false">IF(SUM(Y82:AJ82)=0,"",SUM(Y82:AJ82))</f>
        <v/>
      </c>
      <c r="AL82" s="84" t="str">
        <f aca="false">MID(IF(N(Y82)&gt;0,", "&amp;Y$2,"")&amp;IF(N(Z82)&gt;0,", "&amp;Z$2,"")&amp;IF(N(AA82)&gt;0,", "&amp;AA$2,"")&amp;IF(N(AB82)&gt;0,", "&amp;AB$2,"")&amp;IF(N(AC82)&gt;0,", "&amp;AC$2,"")&amp;IF(N(AD82)&gt;0,", "&amp;AD$2,"")&amp;IF(N(AE82)&gt;0,", "&amp;AE$2,"")&amp;IF(N(AF82)&gt;0,", "&amp;AF$2,"")&amp;IF(N(AG82)&gt;0,", "&amp;AG$2,"")&amp;IF(N(AH82)&gt;0,", "&amp;AH$2,"")&amp;IF(N(AI82)&gt;0,", "&amp;AI$2,"")&amp;IF(N(AJ82)&gt;0,", "&amp;AJ$2,""),3,999)</f>
        <v/>
      </c>
      <c r="AM82" s="87" t="str">
        <f aca="false">IF(E82="","",MID(IF(N(Y82)&gt;0,", "&amp;A82&amp;"-"&amp;Y$2,"")&amp;IF(N(Z82)&gt;0,", "&amp;A82&amp;"-"&amp;Z$2,"")&amp;IF(N(AA82)&gt;0,", "&amp;A82&amp;"-"&amp;AA$2,"")&amp;IF(N(AB82)&gt;0,", "&amp;A82&amp;"-"&amp;AB$2,"")&amp;IF(N(AC82)&gt;0,", "&amp;A82&amp;"-"&amp;AC$2,"")&amp;IF(N(AD82)&gt;0,", "&amp;A82&amp;"-"&amp;AD$2,"")&amp;IF(N(AE82)&gt;0,", "&amp;A82&amp;"-"&amp;AE$2,"")&amp;IF(N(AF82)&gt;0,", "&amp;A82&amp;"-"&amp;AF$2,"")&amp;IF(N(AG82)&gt;0,", "&amp;A82&amp;"-"&amp;AG$2,"")&amp;IF(N(AH82)&gt;0,", "&amp;A82&amp;"-"&amp;AH$2,"")&amp;IF(N(AI82)&gt;0,", "&amp;A82&amp;"-"&amp;AI$2,"")&amp;IF(N(AJ82)&gt;0,", "&amp;A82&amp;"-"&amp;AJ$2,""),3,999))</f>
        <v/>
      </c>
      <c r="AN82" s="81"/>
      <c r="AO82" s="88"/>
      <c r="AP82" s="89" t="str">
        <f aca="false">IF(AO82="","",ROUND(AO82/(1+Справочники!$B$13),2))</f>
        <v/>
      </c>
      <c r="AQ82" s="90" t="str">
        <f aca="false" t="array" ref="AQ82:AQ82">IF(AP82="","",AP82*INDEX(Справочники!$B$4:$B$7,MATCH("RUB",Справочники!$A$4:$A$7,0)))</f>
        <v/>
      </c>
      <c r="AR82" s="90" t="str">
        <f aca="false">IF(AQ82="","",ROUND(AQ82*(1+Справочники!$B$12),0))</f>
        <v/>
      </c>
      <c r="AS82" s="90" t="str">
        <f aca="false">IF(AR82="","",ROUND(AR82*(1-Справочники!$B$11),0))</f>
        <v/>
      </c>
      <c r="AT82" s="88"/>
      <c r="AU82" s="90" t="str">
        <f aca="false">IF(AT82="","",ROUND(AT82/(1+Справочники!$B$12),0))</f>
        <v/>
      </c>
      <c r="AV82" s="90" t="str">
        <f aca="false">IF(AT82="","",ROUND(AT82*(1-Справочники!$B$15),0))</f>
        <v/>
      </c>
      <c r="AW82" s="90" t="str">
        <f aca="false">IF(AT82="","",ROUND(AT82*(1-Справочники!$B$16),0))</f>
        <v/>
      </c>
      <c r="AX82" s="90" t="str">
        <f aca="false">IF(AT82="","",ROUND(AT82*(1-Справочники!$B$17),0))</f>
        <v/>
      </c>
      <c r="AY82" s="90" t="str">
        <f aca="false">IF(AT82="","",ROUND(AT82*(1-Справочники!$B$18),0))</f>
        <v/>
      </c>
      <c r="AZ82" s="90" t="str">
        <f aca="false">IF(AT82="","",ROUND(AT82*(1-Справочники!$B$19),0))</f>
        <v/>
      </c>
      <c r="BA82" s="81"/>
      <c r="BB82" s="81"/>
      <c r="BC82" s="81"/>
      <c r="BD82" s="81"/>
      <c r="BE82" s="91"/>
      <c r="BF82" s="81" t="s">
        <v>103</v>
      </c>
      <c r="BG82" s="89" t="n">
        <f aca="false" t="array" ref="BG82:BG82">IF(BF82="","",IFERROR(INDEX(Справочники!$B$4:$B$7,MATCH(BF82,Справочники!$A$4:$A$7,0)),""))</f>
        <v>68.5</v>
      </c>
      <c r="BH82" s="90" t="str">
        <f aca="false">IF(N(BN82)&gt;0,ROUND(SUMIF(ЗАКАЗЫ!$F$3:$F$500,$A82,ЗАКАЗЫ!$Y$3:$Y$500)/BN82,0),IF(OR(BE82="",BG82=""),"",ROUND(BE82*BG82*(1+Справочники!$B$10),0)))</f>
        <v/>
      </c>
      <c r="BI82" s="92" t="str">
        <f aca="false">IF(OR(AU82="",BH82="",AU82=0),"",(AU82-BH82)/AU82)</f>
        <v/>
      </c>
      <c r="BJ82" s="81"/>
      <c r="BK82" s="83"/>
      <c r="BL82" s="43" t="str">
        <f aca="false">IFERROR(INDEX(ЗАКАЗЫ!$N$3:$N$500,MATCH($A82,ЗАКАЗЫ!$F$3:$F$500,0)),"")</f>
        <v/>
      </c>
      <c r="BM82" s="8" t="str">
        <f aca="false">IF(BL82="","",IFERROR(VLOOKUP(BL82,'ТН ВЭД'!$A$4:$C$40,3,0),""))</f>
        <v/>
      </c>
      <c r="BN82" s="7" t="str">
        <f aca="false">IF(COUNTIF(ЗАКАЗЫ!$F$3:$F$500,$A82)=0,"",SUMIF(ЗАКАЗЫ!$F$3:$F$500,$A82,ЗАКАЗЫ!$J$3:$J$500))</f>
        <v/>
      </c>
      <c r="BO82" s="7" t="str">
        <f aca="false">IF(BN82="","",SUMIF(ЗАКАЗЫ!$F$3:$F$500,$A82,ЗАКАЗЫ!$AL$3:$AL$500))</f>
        <v/>
      </c>
      <c r="BP82" s="7" t="str">
        <f aca="false">IF(BN82="","",BN82-BO82)</f>
        <v/>
      </c>
      <c r="BQ82" s="55" t="str">
        <f aca="false">IF(BN82="","",IF(BO82&gt;=BN82,"На складе",IF(BO82&gt;0,"Частично","Ждём")))</f>
        <v/>
      </c>
      <c r="BR82" s="43"/>
      <c r="BS82" s="47" t="str">
        <f aca="false">IF(BN82="","",IF(_xlfn.MAXIFS(ЗАКАЗЫ!$AK$3:$AK$500,ЗАКАЗЫ!$F$3:$F$500,$A82)=0,"",_xlfn.MAXIFS(ЗАКАЗЫ!$AK$3:$AK$500,ЗАКАЗЫ!$F$3:$F$500,$A82)))</f>
        <v/>
      </c>
    </row>
    <row r="83" customFormat="false" ht="15.75" hidden="false" customHeight="true" outlineLevel="0" collapsed="false">
      <c r="A83" s="80" t="s">
        <v>1284</v>
      </c>
      <c r="B83" s="81"/>
      <c r="C83" s="81"/>
      <c r="D83" s="81"/>
      <c r="E83" s="83"/>
      <c r="F83" s="81"/>
      <c r="G83" s="83"/>
      <c r="H83" s="83"/>
      <c r="I83" s="84" t="str">
        <f aca="false">IF(E83="","",A83&amp;"_1.jpg")</f>
        <v/>
      </c>
      <c r="J83" s="84" t="str">
        <f aca="false">IF(E83="","",A83&amp;"_2.jpg; "&amp;A83&amp;"_3.jpg")</f>
        <v/>
      </c>
      <c r="K83" s="84" t="str">
        <f aca="false">IF(E83="","",A83&amp;"_schema.jpg")</f>
        <v/>
      </c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 t="s">
        <v>96</v>
      </c>
      <c r="W83" s="81"/>
      <c r="X83" s="81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6" t="str">
        <f aca="false">IF(SUM(Y83:AJ83)=0,"",SUM(Y83:AJ83))</f>
        <v/>
      </c>
      <c r="AL83" s="84" t="str">
        <f aca="false">MID(IF(N(Y83)&gt;0,", "&amp;Y$2,"")&amp;IF(N(Z83)&gt;0,", "&amp;Z$2,"")&amp;IF(N(AA83)&gt;0,", "&amp;AA$2,"")&amp;IF(N(AB83)&gt;0,", "&amp;AB$2,"")&amp;IF(N(AC83)&gt;0,", "&amp;AC$2,"")&amp;IF(N(AD83)&gt;0,", "&amp;AD$2,"")&amp;IF(N(AE83)&gt;0,", "&amp;AE$2,"")&amp;IF(N(AF83)&gt;0,", "&amp;AF$2,"")&amp;IF(N(AG83)&gt;0,", "&amp;AG$2,"")&amp;IF(N(AH83)&gt;0,", "&amp;AH$2,"")&amp;IF(N(AI83)&gt;0,", "&amp;AI$2,"")&amp;IF(N(AJ83)&gt;0,", "&amp;AJ$2,""),3,999)</f>
        <v/>
      </c>
      <c r="AM83" s="87" t="str">
        <f aca="false">IF(E83="","",MID(IF(N(Y83)&gt;0,", "&amp;A83&amp;"-"&amp;Y$2,"")&amp;IF(N(Z83)&gt;0,", "&amp;A83&amp;"-"&amp;Z$2,"")&amp;IF(N(AA83)&gt;0,", "&amp;A83&amp;"-"&amp;AA$2,"")&amp;IF(N(AB83)&gt;0,", "&amp;A83&amp;"-"&amp;AB$2,"")&amp;IF(N(AC83)&gt;0,", "&amp;A83&amp;"-"&amp;AC$2,"")&amp;IF(N(AD83)&gt;0,", "&amp;A83&amp;"-"&amp;AD$2,"")&amp;IF(N(AE83)&gt;0,", "&amp;A83&amp;"-"&amp;AE$2,"")&amp;IF(N(AF83)&gt;0,", "&amp;A83&amp;"-"&amp;AF$2,"")&amp;IF(N(AG83)&gt;0,", "&amp;A83&amp;"-"&amp;AG$2,"")&amp;IF(N(AH83)&gt;0,", "&amp;A83&amp;"-"&amp;AH$2,"")&amp;IF(N(AI83)&gt;0,", "&amp;A83&amp;"-"&amp;AI$2,"")&amp;IF(N(AJ83)&gt;0,", "&amp;A83&amp;"-"&amp;AJ$2,""),3,999))</f>
        <v/>
      </c>
      <c r="AN83" s="81"/>
      <c r="AO83" s="88"/>
      <c r="AP83" s="89" t="str">
        <f aca="false">IF(AO83="","",ROUND(AO83/(1+Справочники!$B$13),2))</f>
        <v/>
      </c>
      <c r="AQ83" s="90" t="str">
        <f aca="false" t="array" ref="AQ83:AQ83">IF(AP83="","",AP83*INDEX(Справочники!$B$4:$B$7,MATCH("RUB",Справочники!$A$4:$A$7,0)))</f>
        <v/>
      </c>
      <c r="AR83" s="90" t="str">
        <f aca="false">IF(AQ83="","",ROUND(AQ83*(1+Справочники!$B$12),0))</f>
        <v/>
      </c>
      <c r="AS83" s="90" t="str">
        <f aca="false">IF(AR83="","",ROUND(AR83*(1-Справочники!$B$11),0))</f>
        <v/>
      </c>
      <c r="AT83" s="88"/>
      <c r="AU83" s="90" t="str">
        <f aca="false">IF(AT83="","",ROUND(AT83/(1+Справочники!$B$12),0))</f>
        <v/>
      </c>
      <c r="AV83" s="90" t="str">
        <f aca="false">IF(AT83="","",ROUND(AT83*(1-Справочники!$B$15),0))</f>
        <v/>
      </c>
      <c r="AW83" s="90" t="str">
        <f aca="false">IF(AT83="","",ROUND(AT83*(1-Справочники!$B$16),0))</f>
        <v/>
      </c>
      <c r="AX83" s="90" t="str">
        <f aca="false">IF(AT83="","",ROUND(AT83*(1-Справочники!$B$17),0))</f>
        <v/>
      </c>
      <c r="AY83" s="90" t="str">
        <f aca="false">IF(AT83="","",ROUND(AT83*(1-Справочники!$B$18),0))</f>
        <v/>
      </c>
      <c r="AZ83" s="90" t="str">
        <f aca="false">IF(AT83="","",ROUND(AT83*(1-Справочники!$B$19),0))</f>
        <v/>
      </c>
      <c r="BA83" s="81"/>
      <c r="BB83" s="81"/>
      <c r="BC83" s="81"/>
      <c r="BD83" s="81"/>
      <c r="BE83" s="91"/>
      <c r="BF83" s="81" t="s">
        <v>103</v>
      </c>
      <c r="BG83" s="89" t="n">
        <f aca="false" t="array" ref="BG83:BG83">IF(BF83="","",IFERROR(INDEX(Справочники!$B$4:$B$7,MATCH(BF83,Справочники!$A$4:$A$7,0)),""))</f>
        <v>68.5</v>
      </c>
      <c r="BH83" s="90" t="str">
        <f aca="false">IF(N(BN83)&gt;0,ROUND(SUMIF(ЗАКАЗЫ!$F$3:$F$500,$A83,ЗАКАЗЫ!$Y$3:$Y$500)/BN83,0),IF(OR(BE83="",BG83=""),"",ROUND(BE83*BG83*(1+Справочники!$B$10),0)))</f>
        <v/>
      </c>
      <c r="BI83" s="92" t="str">
        <f aca="false">IF(OR(AU83="",BH83="",AU83=0),"",(AU83-BH83)/AU83)</f>
        <v/>
      </c>
      <c r="BJ83" s="81"/>
      <c r="BK83" s="83"/>
      <c r="BL83" s="43" t="str">
        <f aca="false">IFERROR(INDEX(ЗАКАЗЫ!$N$3:$N$500,MATCH($A83,ЗАКАЗЫ!$F$3:$F$500,0)),"")</f>
        <v/>
      </c>
      <c r="BM83" s="8" t="str">
        <f aca="false">IF(BL83="","",IFERROR(VLOOKUP(BL83,'ТН ВЭД'!$A$4:$C$40,3,0),""))</f>
        <v/>
      </c>
      <c r="BN83" s="7" t="str">
        <f aca="false">IF(COUNTIF(ЗАКАЗЫ!$F$3:$F$500,$A83)=0,"",SUMIF(ЗАКАЗЫ!$F$3:$F$500,$A83,ЗАКАЗЫ!$J$3:$J$500))</f>
        <v/>
      </c>
      <c r="BO83" s="7" t="str">
        <f aca="false">IF(BN83="","",SUMIF(ЗАКАЗЫ!$F$3:$F$500,$A83,ЗАКАЗЫ!$AL$3:$AL$500))</f>
        <v/>
      </c>
      <c r="BP83" s="7" t="str">
        <f aca="false">IF(BN83="","",BN83-BO83)</f>
        <v/>
      </c>
      <c r="BQ83" s="55" t="str">
        <f aca="false">IF(BN83="","",IF(BO83&gt;=BN83,"На складе",IF(BO83&gt;0,"Частично","Ждём")))</f>
        <v/>
      </c>
      <c r="BR83" s="43"/>
      <c r="BS83" s="47" t="str">
        <f aca="false">IF(BN83="","",IF(_xlfn.MAXIFS(ЗАКАЗЫ!$AK$3:$AK$500,ЗАКАЗЫ!$F$3:$F$500,$A83)=0,"",_xlfn.MAXIFS(ЗАКАЗЫ!$AK$3:$AK$500,ЗАКАЗЫ!$F$3:$F$500,$A83)))</f>
        <v/>
      </c>
    </row>
    <row r="84" customFormat="false" ht="15.75" hidden="false" customHeight="true" outlineLevel="0" collapsed="false">
      <c r="A84" s="80" t="s">
        <v>1285</v>
      </c>
      <c r="B84" s="81"/>
      <c r="C84" s="81"/>
      <c r="D84" s="81"/>
      <c r="E84" s="83"/>
      <c r="F84" s="81"/>
      <c r="G84" s="83"/>
      <c r="H84" s="83"/>
      <c r="I84" s="84" t="str">
        <f aca="false">IF(E84="","",A84&amp;"_1.jpg")</f>
        <v/>
      </c>
      <c r="J84" s="84" t="str">
        <f aca="false">IF(E84="","",A84&amp;"_2.jpg; "&amp;A84&amp;"_3.jpg")</f>
        <v/>
      </c>
      <c r="K84" s="84" t="str">
        <f aca="false">IF(E84="","",A84&amp;"_schema.jpg")</f>
        <v/>
      </c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 t="s">
        <v>96</v>
      </c>
      <c r="W84" s="81"/>
      <c r="X84" s="81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6" t="str">
        <f aca="false">IF(SUM(Y84:AJ84)=0,"",SUM(Y84:AJ84))</f>
        <v/>
      </c>
      <c r="AL84" s="84" t="str">
        <f aca="false">MID(IF(N(Y84)&gt;0,", "&amp;Y$2,"")&amp;IF(N(Z84)&gt;0,", "&amp;Z$2,"")&amp;IF(N(AA84)&gt;0,", "&amp;AA$2,"")&amp;IF(N(AB84)&gt;0,", "&amp;AB$2,"")&amp;IF(N(AC84)&gt;0,", "&amp;AC$2,"")&amp;IF(N(AD84)&gt;0,", "&amp;AD$2,"")&amp;IF(N(AE84)&gt;0,", "&amp;AE$2,"")&amp;IF(N(AF84)&gt;0,", "&amp;AF$2,"")&amp;IF(N(AG84)&gt;0,", "&amp;AG$2,"")&amp;IF(N(AH84)&gt;0,", "&amp;AH$2,"")&amp;IF(N(AI84)&gt;0,", "&amp;AI$2,"")&amp;IF(N(AJ84)&gt;0,", "&amp;AJ$2,""),3,999)</f>
        <v/>
      </c>
      <c r="AM84" s="87" t="str">
        <f aca="false">IF(E84="","",MID(IF(N(Y84)&gt;0,", "&amp;A84&amp;"-"&amp;Y$2,"")&amp;IF(N(Z84)&gt;0,", "&amp;A84&amp;"-"&amp;Z$2,"")&amp;IF(N(AA84)&gt;0,", "&amp;A84&amp;"-"&amp;AA$2,"")&amp;IF(N(AB84)&gt;0,", "&amp;A84&amp;"-"&amp;AB$2,"")&amp;IF(N(AC84)&gt;0,", "&amp;A84&amp;"-"&amp;AC$2,"")&amp;IF(N(AD84)&gt;0,", "&amp;A84&amp;"-"&amp;AD$2,"")&amp;IF(N(AE84)&gt;0,", "&amp;A84&amp;"-"&amp;AE$2,"")&amp;IF(N(AF84)&gt;0,", "&amp;A84&amp;"-"&amp;AF$2,"")&amp;IF(N(AG84)&gt;0,", "&amp;A84&amp;"-"&amp;AG$2,"")&amp;IF(N(AH84)&gt;0,", "&amp;A84&amp;"-"&amp;AH$2,"")&amp;IF(N(AI84)&gt;0,", "&amp;A84&amp;"-"&amp;AI$2,"")&amp;IF(N(AJ84)&gt;0,", "&amp;A84&amp;"-"&amp;AJ$2,""),3,999))</f>
        <v/>
      </c>
      <c r="AN84" s="81"/>
      <c r="AO84" s="88"/>
      <c r="AP84" s="89" t="str">
        <f aca="false">IF(AO84="","",ROUND(AO84/(1+Справочники!$B$13),2))</f>
        <v/>
      </c>
      <c r="AQ84" s="90" t="str">
        <f aca="false" t="array" ref="AQ84:AQ84">IF(AP84="","",AP84*INDEX(Справочники!$B$4:$B$7,MATCH("RUB",Справочники!$A$4:$A$7,0)))</f>
        <v/>
      </c>
      <c r="AR84" s="90" t="str">
        <f aca="false">IF(AQ84="","",ROUND(AQ84*(1+Справочники!$B$12),0))</f>
        <v/>
      </c>
      <c r="AS84" s="90" t="str">
        <f aca="false">IF(AR84="","",ROUND(AR84*(1-Справочники!$B$11),0))</f>
        <v/>
      </c>
      <c r="AT84" s="88"/>
      <c r="AU84" s="90" t="str">
        <f aca="false">IF(AT84="","",ROUND(AT84/(1+Справочники!$B$12),0))</f>
        <v/>
      </c>
      <c r="AV84" s="90" t="str">
        <f aca="false">IF(AT84="","",ROUND(AT84*(1-Справочники!$B$15),0))</f>
        <v/>
      </c>
      <c r="AW84" s="90" t="str">
        <f aca="false">IF(AT84="","",ROUND(AT84*(1-Справочники!$B$16),0))</f>
        <v/>
      </c>
      <c r="AX84" s="90" t="str">
        <f aca="false">IF(AT84="","",ROUND(AT84*(1-Справочники!$B$17),0))</f>
        <v/>
      </c>
      <c r="AY84" s="90" t="str">
        <f aca="false">IF(AT84="","",ROUND(AT84*(1-Справочники!$B$18),0))</f>
        <v/>
      </c>
      <c r="AZ84" s="90" t="str">
        <f aca="false">IF(AT84="","",ROUND(AT84*(1-Справочники!$B$19),0))</f>
        <v/>
      </c>
      <c r="BA84" s="81"/>
      <c r="BB84" s="81"/>
      <c r="BC84" s="81"/>
      <c r="BD84" s="81"/>
      <c r="BE84" s="91"/>
      <c r="BF84" s="81" t="s">
        <v>103</v>
      </c>
      <c r="BG84" s="89" t="n">
        <f aca="false" t="array" ref="BG84:BG84">IF(BF84="","",IFERROR(INDEX(Справочники!$B$4:$B$7,MATCH(BF84,Справочники!$A$4:$A$7,0)),""))</f>
        <v>68.5</v>
      </c>
      <c r="BH84" s="90" t="str">
        <f aca="false">IF(N(BN84)&gt;0,ROUND(SUMIF(ЗАКАЗЫ!$F$3:$F$500,$A84,ЗАКАЗЫ!$Y$3:$Y$500)/BN84,0),IF(OR(BE84="",BG84=""),"",ROUND(BE84*BG84*(1+Справочники!$B$10),0)))</f>
        <v/>
      </c>
      <c r="BI84" s="92" t="str">
        <f aca="false">IF(OR(AU84="",BH84="",AU84=0),"",(AU84-BH84)/AU84)</f>
        <v/>
      </c>
      <c r="BJ84" s="81"/>
      <c r="BK84" s="83"/>
      <c r="BL84" s="43" t="str">
        <f aca="false">IFERROR(INDEX(ЗАКАЗЫ!$N$3:$N$500,MATCH($A84,ЗАКАЗЫ!$F$3:$F$500,0)),"")</f>
        <v/>
      </c>
      <c r="BM84" s="8" t="str">
        <f aca="false">IF(BL84="","",IFERROR(VLOOKUP(BL84,'ТН ВЭД'!$A$4:$C$40,3,0),""))</f>
        <v/>
      </c>
      <c r="BN84" s="7" t="str">
        <f aca="false">IF(COUNTIF(ЗАКАЗЫ!$F$3:$F$500,$A84)=0,"",SUMIF(ЗАКАЗЫ!$F$3:$F$500,$A84,ЗАКАЗЫ!$J$3:$J$500))</f>
        <v/>
      </c>
      <c r="BO84" s="7" t="str">
        <f aca="false">IF(BN84="","",SUMIF(ЗАКАЗЫ!$F$3:$F$500,$A84,ЗАКАЗЫ!$AL$3:$AL$500))</f>
        <v/>
      </c>
      <c r="BP84" s="7" t="str">
        <f aca="false">IF(BN84="","",BN84-BO84)</f>
        <v/>
      </c>
      <c r="BQ84" s="55" t="str">
        <f aca="false">IF(BN84="","",IF(BO84&gt;=BN84,"На складе",IF(BO84&gt;0,"Частично","Ждём")))</f>
        <v/>
      </c>
      <c r="BR84" s="43"/>
      <c r="BS84" s="47" t="str">
        <f aca="false">IF(BN84="","",IF(_xlfn.MAXIFS(ЗАКАЗЫ!$AK$3:$AK$500,ЗАКАЗЫ!$F$3:$F$500,$A84)=0,"",_xlfn.MAXIFS(ЗАКАЗЫ!$AK$3:$AK$500,ЗАКАЗЫ!$F$3:$F$500,$A84)))</f>
        <v/>
      </c>
    </row>
    <row r="85" customFormat="false" ht="15.75" hidden="false" customHeight="true" outlineLevel="0" collapsed="false">
      <c r="A85" s="80" t="s">
        <v>1286</v>
      </c>
      <c r="B85" s="81"/>
      <c r="C85" s="81"/>
      <c r="D85" s="81"/>
      <c r="E85" s="83"/>
      <c r="F85" s="81"/>
      <c r="G85" s="83"/>
      <c r="H85" s="83"/>
      <c r="I85" s="84" t="str">
        <f aca="false">IF(E85="","",A85&amp;"_1.jpg")</f>
        <v/>
      </c>
      <c r="J85" s="84" t="str">
        <f aca="false">IF(E85="","",A85&amp;"_2.jpg; "&amp;A85&amp;"_3.jpg")</f>
        <v/>
      </c>
      <c r="K85" s="84" t="str">
        <f aca="false">IF(E85="","",A85&amp;"_schema.jpg")</f>
        <v/>
      </c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 t="s">
        <v>96</v>
      </c>
      <c r="W85" s="81"/>
      <c r="X85" s="81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6" t="str">
        <f aca="false">IF(SUM(Y85:AJ85)=0,"",SUM(Y85:AJ85))</f>
        <v/>
      </c>
      <c r="AL85" s="84" t="str">
        <f aca="false">MID(IF(N(Y85)&gt;0,", "&amp;Y$2,"")&amp;IF(N(Z85)&gt;0,", "&amp;Z$2,"")&amp;IF(N(AA85)&gt;0,", "&amp;AA$2,"")&amp;IF(N(AB85)&gt;0,", "&amp;AB$2,"")&amp;IF(N(AC85)&gt;0,", "&amp;AC$2,"")&amp;IF(N(AD85)&gt;0,", "&amp;AD$2,"")&amp;IF(N(AE85)&gt;0,", "&amp;AE$2,"")&amp;IF(N(AF85)&gt;0,", "&amp;AF$2,"")&amp;IF(N(AG85)&gt;0,", "&amp;AG$2,"")&amp;IF(N(AH85)&gt;0,", "&amp;AH$2,"")&amp;IF(N(AI85)&gt;0,", "&amp;AI$2,"")&amp;IF(N(AJ85)&gt;0,", "&amp;AJ$2,""),3,999)</f>
        <v/>
      </c>
      <c r="AM85" s="87" t="str">
        <f aca="false">IF(E85="","",MID(IF(N(Y85)&gt;0,", "&amp;A85&amp;"-"&amp;Y$2,"")&amp;IF(N(Z85)&gt;0,", "&amp;A85&amp;"-"&amp;Z$2,"")&amp;IF(N(AA85)&gt;0,", "&amp;A85&amp;"-"&amp;AA$2,"")&amp;IF(N(AB85)&gt;0,", "&amp;A85&amp;"-"&amp;AB$2,"")&amp;IF(N(AC85)&gt;0,", "&amp;A85&amp;"-"&amp;AC$2,"")&amp;IF(N(AD85)&gt;0,", "&amp;A85&amp;"-"&amp;AD$2,"")&amp;IF(N(AE85)&gt;0,", "&amp;A85&amp;"-"&amp;AE$2,"")&amp;IF(N(AF85)&gt;0,", "&amp;A85&amp;"-"&amp;AF$2,"")&amp;IF(N(AG85)&gt;0,", "&amp;A85&amp;"-"&amp;AG$2,"")&amp;IF(N(AH85)&gt;0,", "&amp;A85&amp;"-"&amp;AH$2,"")&amp;IF(N(AI85)&gt;0,", "&amp;A85&amp;"-"&amp;AI$2,"")&amp;IF(N(AJ85)&gt;0,", "&amp;A85&amp;"-"&amp;AJ$2,""),3,999))</f>
        <v/>
      </c>
      <c r="AN85" s="81"/>
      <c r="AO85" s="88"/>
      <c r="AP85" s="89" t="str">
        <f aca="false">IF(AO85="","",ROUND(AO85/(1+Справочники!$B$13),2))</f>
        <v/>
      </c>
      <c r="AQ85" s="90" t="str">
        <f aca="false" t="array" ref="AQ85:AQ85">IF(AP85="","",AP85*INDEX(Справочники!$B$4:$B$7,MATCH("RUB",Справочники!$A$4:$A$7,0)))</f>
        <v/>
      </c>
      <c r="AR85" s="90" t="str">
        <f aca="false">IF(AQ85="","",ROUND(AQ85*(1+Справочники!$B$12),0))</f>
        <v/>
      </c>
      <c r="AS85" s="90" t="str">
        <f aca="false">IF(AR85="","",ROUND(AR85*(1-Справочники!$B$11),0))</f>
        <v/>
      </c>
      <c r="AT85" s="88"/>
      <c r="AU85" s="90" t="str">
        <f aca="false">IF(AT85="","",ROUND(AT85/(1+Справочники!$B$12),0))</f>
        <v/>
      </c>
      <c r="AV85" s="90" t="str">
        <f aca="false">IF(AT85="","",ROUND(AT85*(1-Справочники!$B$15),0))</f>
        <v/>
      </c>
      <c r="AW85" s="90" t="str">
        <f aca="false">IF(AT85="","",ROUND(AT85*(1-Справочники!$B$16),0))</f>
        <v/>
      </c>
      <c r="AX85" s="90" t="str">
        <f aca="false">IF(AT85="","",ROUND(AT85*(1-Справочники!$B$17),0))</f>
        <v/>
      </c>
      <c r="AY85" s="90" t="str">
        <f aca="false">IF(AT85="","",ROUND(AT85*(1-Справочники!$B$18),0))</f>
        <v/>
      </c>
      <c r="AZ85" s="90" t="str">
        <f aca="false">IF(AT85="","",ROUND(AT85*(1-Справочники!$B$19),0))</f>
        <v/>
      </c>
      <c r="BA85" s="81"/>
      <c r="BB85" s="81"/>
      <c r="BC85" s="81"/>
      <c r="BD85" s="81"/>
      <c r="BE85" s="91"/>
      <c r="BF85" s="81" t="s">
        <v>103</v>
      </c>
      <c r="BG85" s="89" t="n">
        <f aca="false" t="array" ref="BG85:BG85">IF(BF85="","",IFERROR(INDEX(Справочники!$B$4:$B$7,MATCH(BF85,Справочники!$A$4:$A$7,0)),""))</f>
        <v>68.5</v>
      </c>
      <c r="BH85" s="90" t="str">
        <f aca="false">IF(N(BN85)&gt;0,ROUND(SUMIF(ЗАКАЗЫ!$F$3:$F$500,$A85,ЗАКАЗЫ!$Y$3:$Y$500)/BN85,0),IF(OR(BE85="",BG85=""),"",ROUND(BE85*BG85*(1+Справочники!$B$10),0)))</f>
        <v/>
      </c>
      <c r="BI85" s="92" t="str">
        <f aca="false">IF(OR(AU85="",BH85="",AU85=0),"",(AU85-BH85)/AU85)</f>
        <v/>
      </c>
      <c r="BJ85" s="81"/>
      <c r="BK85" s="83"/>
      <c r="BL85" s="43" t="str">
        <f aca="false">IFERROR(INDEX(ЗАКАЗЫ!$N$3:$N$500,MATCH($A85,ЗАКАЗЫ!$F$3:$F$500,0)),"")</f>
        <v/>
      </c>
      <c r="BM85" s="8" t="str">
        <f aca="false">IF(BL85="","",IFERROR(VLOOKUP(BL85,'ТН ВЭД'!$A$4:$C$40,3,0),""))</f>
        <v/>
      </c>
      <c r="BN85" s="7" t="str">
        <f aca="false">IF(COUNTIF(ЗАКАЗЫ!$F$3:$F$500,$A85)=0,"",SUMIF(ЗАКАЗЫ!$F$3:$F$500,$A85,ЗАКАЗЫ!$J$3:$J$500))</f>
        <v/>
      </c>
      <c r="BO85" s="7" t="str">
        <f aca="false">IF(BN85="","",SUMIF(ЗАКАЗЫ!$F$3:$F$500,$A85,ЗАКАЗЫ!$AL$3:$AL$500))</f>
        <v/>
      </c>
      <c r="BP85" s="7" t="str">
        <f aca="false">IF(BN85="","",BN85-BO85)</f>
        <v/>
      </c>
      <c r="BQ85" s="55" t="str">
        <f aca="false">IF(BN85="","",IF(BO85&gt;=BN85,"На складе",IF(BO85&gt;0,"Частично","Ждём")))</f>
        <v/>
      </c>
      <c r="BR85" s="43"/>
      <c r="BS85" s="47" t="str">
        <f aca="false">IF(BN85="","",IF(_xlfn.MAXIFS(ЗАКАЗЫ!$AK$3:$AK$500,ЗАКАЗЫ!$F$3:$F$500,$A85)=0,"",_xlfn.MAXIFS(ЗАКАЗЫ!$AK$3:$AK$500,ЗАКАЗЫ!$F$3:$F$500,$A85)))</f>
        <v/>
      </c>
    </row>
    <row r="86" customFormat="false" ht="15.75" hidden="false" customHeight="true" outlineLevel="0" collapsed="false">
      <c r="A86" s="80" t="s">
        <v>1287</v>
      </c>
      <c r="B86" s="81"/>
      <c r="C86" s="81"/>
      <c r="D86" s="81"/>
      <c r="E86" s="83"/>
      <c r="F86" s="81"/>
      <c r="G86" s="83"/>
      <c r="H86" s="83"/>
      <c r="I86" s="84" t="str">
        <f aca="false">IF(E86="","",A86&amp;"_1.jpg")</f>
        <v/>
      </c>
      <c r="J86" s="84" t="str">
        <f aca="false">IF(E86="","",A86&amp;"_2.jpg; "&amp;A86&amp;"_3.jpg")</f>
        <v/>
      </c>
      <c r="K86" s="84" t="str">
        <f aca="false">IF(E86="","",A86&amp;"_schema.jpg")</f>
        <v/>
      </c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 t="s">
        <v>96</v>
      </c>
      <c r="W86" s="81"/>
      <c r="X86" s="81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6" t="str">
        <f aca="false">IF(SUM(Y86:AJ86)=0,"",SUM(Y86:AJ86))</f>
        <v/>
      </c>
      <c r="AL86" s="84" t="str">
        <f aca="false">MID(IF(N(Y86)&gt;0,", "&amp;Y$2,"")&amp;IF(N(Z86)&gt;0,", "&amp;Z$2,"")&amp;IF(N(AA86)&gt;0,", "&amp;AA$2,"")&amp;IF(N(AB86)&gt;0,", "&amp;AB$2,"")&amp;IF(N(AC86)&gt;0,", "&amp;AC$2,"")&amp;IF(N(AD86)&gt;0,", "&amp;AD$2,"")&amp;IF(N(AE86)&gt;0,", "&amp;AE$2,"")&amp;IF(N(AF86)&gt;0,", "&amp;AF$2,"")&amp;IF(N(AG86)&gt;0,", "&amp;AG$2,"")&amp;IF(N(AH86)&gt;0,", "&amp;AH$2,"")&amp;IF(N(AI86)&gt;0,", "&amp;AI$2,"")&amp;IF(N(AJ86)&gt;0,", "&amp;AJ$2,""),3,999)</f>
        <v/>
      </c>
      <c r="AM86" s="87" t="str">
        <f aca="false">IF(E86="","",MID(IF(N(Y86)&gt;0,", "&amp;A86&amp;"-"&amp;Y$2,"")&amp;IF(N(Z86)&gt;0,", "&amp;A86&amp;"-"&amp;Z$2,"")&amp;IF(N(AA86)&gt;0,", "&amp;A86&amp;"-"&amp;AA$2,"")&amp;IF(N(AB86)&gt;0,", "&amp;A86&amp;"-"&amp;AB$2,"")&amp;IF(N(AC86)&gt;0,", "&amp;A86&amp;"-"&amp;AC$2,"")&amp;IF(N(AD86)&gt;0,", "&amp;A86&amp;"-"&amp;AD$2,"")&amp;IF(N(AE86)&gt;0,", "&amp;A86&amp;"-"&amp;AE$2,"")&amp;IF(N(AF86)&gt;0,", "&amp;A86&amp;"-"&amp;AF$2,"")&amp;IF(N(AG86)&gt;0,", "&amp;A86&amp;"-"&amp;AG$2,"")&amp;IF(N(AH86)&gt;0,", "&amp;A86&amp;"-"&amp;AH$2,"")&amp;IF(N(AI86)&gt;0,", "&amp;A86&amp;"-"&amp;AI$2,"")&amp;IF(N(AJ86)&gt;0,", "&amp;A86&amp;"-"&amp;AJ$2,""),3,999))</f>
        <v/>
      </c>
      <c r="AN86" s="81"/>
      <c r="AO86" s="88"/>
      <c r="AP86" s="89" t="str">
        <f aca="false">IF(AO86="","",ROUND(AO86/(1+Справочники!$B$13),2))</f>
        <v/>
      </c>
      <c r="AQ86" s="90" t="str">
        <f aca="false" t="array" ref="AQ86:AQ86">IF(AP86="","",AP86*INDEX(Справочники!$B$4:$B$7,MATCH("RUB",Справочники!$A$4:$A$7,0)))</f>
        <v/>
      </c>
      <c r="AR86" s="90" t="str">
        <f aca="false">IF(AQ86="","",ROUND(AQ86*(1+Справочники!$B$12),0))</f>
        <v/>
      </c>
      <c r="AS86" s="90" t="str">
        <f aca="false">IF(AR86="","",ROUND(AR86*(1-Справочники!$B$11),0))</f>
        <v/>
      </c>
      <c r="AT86" s="88"/>
      <c r="AU86" s="90" t="str">
        <f aca="false">IF(AT86="","",ROUND(AT86/(1+Справочники!$B$12),0))</f>
        <v/>
      </c>
      <c r="AV86" s="90" t="str">
        <f aca="false">IF(AT86="","",ROUND(AT86*(1-Справочники!$B$15),0))</f>
        <v/>
      </c>
      <c r="AW86" s="90" t="str">
        <f aca="false">IF(AT86="","",ROUND(AT86*(1-Справочники!$B$16),0))</f>
        <v/>
      </c>
      <c r="AX86" s="90" t="str">
        <f aca="false">IF(AT86="","",ROUND(AT86*(1-Справочники!$B$17),0))</f>
        <v/>
      </c>
      <c r="AY86" s="90" t="str">
        <f aca="false">IF(AT86="","",ROUND(AT86*(1-Справочники!$B$18),0))</f>
        <v/>
      </c>
      <c r="AZ86" s="90" t="str">
        <f aca="false">IF(AT86="","",ROUND(AT86*(1-Справочники!$B$19),0))</f>
        <v/>
      </c>
      <c r="BA86" s="81"/>
      <c r="BB86" s="81"/>
      <c r="BC86" s="81"/>
      <c r="BD86" s="81"/>
      <c r="BE86" s="91"/>
      <c r="BF86" s="81" t="s">
        <v>103</v>
      </c>
      <c r="BG86" s="89" t="n">
        <f aca="false" t="array" ref="BG86:BG86">IF(BF86="","",IFERROR(INDEX(Справочники!$B$4:$B$7,MATCH(BF86,Справочники!$A$4:$A$7,0)),""))</f>
        <v>68.5</v>
      </c>
      <c r="BH86" s="90" t="str">
        <f aca="false">IF(N(BN86)&gt;0,ROUND(SUMIF(ЗАКАЗЫ!$F$3:$F$500,$A86,ЗАКАЗЫ!$Y$3:$Y$500)/BN86,0),IF(OR(BE86="",BG86=""),"",ROUND(BE86*BG86*(1+Справочники!$B$10),0)))</f>
        <v/>
      </c>
      <c r="BI86" s="92" t="str">
        <f aca="false">IF(OR(AU86="",BH86="",AU86=0),"",(AU86-BH86)/AU86)</f>
        <v/>
      </c>
      <c r="BJ86" s="81"/>
      <c r="BK86" s="83"/>
      <c r="BL86" s="43" t="str">
        <f aca="false">IFERROR(INDEX(ЗАКАЗЫ!$N$3:$N$500,MATCH($A86,ЗАКАЗЫ!$F$3:$F$500,0)),"")</f>
        <v/>
      </c>
      <c r="BM86" s="8" t="str">
        <f aca="false">IF(BL86="","",IFERROR(VLOOKUP(BL86,'ТН ВЭД'!$A$4:$C$40,3,0),""))</f>
        <v/>
      </c>
      <c r="BN86" s="7" t="str">
        <f aca="false">IF(COUNTIF(ЗАКАЗЫ!$F$3:$F$500,$A86)=0,"",SUMIF(ЗАКАЗЫ!$F$3:$F$500,$A86,ЗАКАЗЫ!$J$3:$J$500))</f>
        <v/>
      </c>
      <c r="BO86" s="7" t="str">
        <f aca="false">IF(BN86="","",SUMIF(ЗАКАЗЫ!$F$3:$F$500,$A86,ЗАКАЗЫ!$AL$3:$AL$500))</f>
        <v/>
      </c>
      <c r="BP86" s="7" t="str">
        <f aca="false">IF(BN86="","",BN86-BO86)</f>
        <v/>
      </c>
      <c r="BQ86" s="55" t="str">
        <f aca="false">IF(BN86="","",IF(BO86&gt;=BN86,"На складе",IF(BO86&gt;0,"Частично","Ждём")))</f>
        <v/>
      </c>
      <c r="BR86" s="43"/>
      <c r="BS86" s="47" t="str">
        <f aca="false">IF(BN86="","",IF(_xlfn.MAXIFS(ЗАКАЗЫ!$AK$3:$AK$500,ЗАКАЗЫ!$F$3:$F$500,$A86)=0,"",_xlfn.MAXIFS(ЗАКАЗЫ!$AK$3:$AK$500,ЗАКАЗЫ!$F$3:$F$500,$A86)))</f>
        <v/>
      </c>
    </row>
    <row r="87" customFormat="false" ht="15.75" hidden="false" customHeight="true" outlineLevel="0" collapsed="false">
      <c r="A87" s="80" t="s">
        <v>1288</v>
      </c>
      <c r="B87" s="81"/>
      <c r="C87" s="81"/>
      <c r="D87" s="81"/>
      <c r="E87" s="83"/>
      <c r="F87" s="81"/>
      <c r="G87" s="83"/>
      <c r="H87" s="83"/>
      <c r="I87" s="84" t="str">
        <f aca="false">IF(E87="","",A87&amp;"_1.jpg")</f>
        <v/>
      </c>
      <c r="J87" s="84" t="str">
        <f aca="false">IF(E87="","",A87&amp;"_2.jpg; "&amp;A87&amp;"_3.jpg")</f>
        <v/>
      </c>
      <c r="K87" s="84" t="str">
        <f aca="false">IF(E87="","",A87&amp;"_schema.jpg")</f>
        <v/>
      </c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 t="s">
        <v>96</v>
      </c>
      <c r="W87" s="81"/>
      <c r="X87" s="81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6" t="str">
        <f aca="false">IF(SUM(Y87:AJ87)=0,"",SUM(Y87:AJ87))</f>
        <v/>
      </c>
      <c r="AL87" s="84" t="str">
        <f aca="false">MID(IF(N(Y87)&gt;0,", "&amp;Y$2,"")&amp;IF(N(Z87)&gt;0,", "&amp;Z$2,"")&amp;IF(N(AA87)&gt;0,", "&amp;AA$2,"")&amp;IF(N(AB87)&gt;0,", "&amp;AB$2,"")&amp;IF(N(AC87)&gt;0,", "&amp;AC$2,"")&amp;IF(N(AD87)&gt;0,", "&amp;AD$2,"")&amp;IF(N(AE87)&gt;0,", "&amp;AE$2,"")&amp;IF(N(AF87)&gt;0,", "&amp;AF$2,"")&amp;IF(N(AG87)&gt;0,", "&amp;AG$2,"")&amp;IF(N(AH87)&gt;0,", "&amp;AH$2,"")&amp;IF(N(AI87)&gt;0,", "&amp;AI$2,"")&amp;IF(N(AJ87)&gt;0,", "&amp;AJ$2,""),3,999)</f>
        <v/>
      </c>
      <c r="AM87" s="87" t="str">
        <f aca="false">IF(E87="","",MID(IF(N(Y87)&gt;0,", "&amp;A87&amp;"-"&amp;Y$2,"")&amp;IF(N(Z87)&gt;0,", "&amp;A87&amp;"-"&amp;Z$2,"")&amp;IF(N(AA87)&gt;0,", "&amp;A87&amp;"-"&amp;AA$2,"")&amp;IF(N(AB87)&gt;0,", "&amp;A87&amp;"-"&amp;AB$2,"")&amp;IF(N(AC87)&gt;0,", "&amp;A87&amp;"-"&amp;AC$2,"")&amp;IF(N(AD87)&gt;0,", "&amp;A87&amp;"-"&amp;AD$2,"")&amp;IF(N(AE87)&gt;0,", "&amp;A87&amp;"-"&amp;AE$2,"")&amp;IF(N(AF87)&gt;0,", "&amp;A87&amp;"-"&amp;AF$2,"")&amp;IF(N(AG87)&gt;0,", "&amp;A87&amp;"-"&amp;AG$2,"")&amp;IF(N(AH87)&gt;0,", "&amp;A87&amp;"-"&amp;AH$2,"")&amp;IF(N(AI87)&gt;0,", "&amp;A87&amp;"-"&amp;AI$2,"")&amp;IF(N(AJ87)&gt;0,", "&amp;A87&amp;"-"&amp;AJ$2,""),3,999))</f>
        <v/>
      </c>
      <c r="AN87" s="81"/>
      <c r="AO87" s="88"/>
      <c r="AP87" s="89" t="str">
        <f aca="false">IF(AO87="","",ROUND(AO87/(1+Справочники!$B$13),2))</f>
        <v/>
      </c>
      <c r="AQ87" s="90" t="str">
        <f aca="false" t="array" ref="AQ87:AQ87">IF(AP87="","",AP87*INDEX(Справочники!$B$4:$B$7,MATCH("RUB",Справочники!$A$4:$A$7,0)))</f>
        <v/>
      </c>
      <c r="AR87" s="90" t="str">
        <f aca="false">IF(AQ87="","",ROUND(AQ87*(1+Справочники!$B$12),0))</f>
        <v/>
      </c>
      <c r="AS87" s="90" t="str">
        <f aca="false">IF(AR87="","",ROUND(AR87*(1-Справочники!$B$11),0))</f>
        <v/>
      </c>
      <c r="AT87" s="88"/>
      <c r="AU87" s="90" t="str">
        <f aca="false">IF(AT87="","",ROUND(AT87/(1+Справочники!$B$12),0))</f>
        <v/>
      </c>
      <c r="AV87" s="90" t="str">
        <f aca="false">IF(AT87="","",ROUND(AT87*(1-Справочники!$B$15),0))</f>
        <v/>
      </c>
      <c r="AW87" s="90" t="str">
        <f aca="false">IF(AT87="","",ROUND(AT87*(1-Справочники!$B$16),0))</f>
        <v/>
      </c>
      <c r="AX87" s="90" t="str">
        <f aca="false">IF(AT87="","",ROUND(AT87*(1-Справочники!$B$17),0))</f>
        <v/>
      </c>
      <c r="AY87" s="90" t="str">
        <f aca="false">IF(AT87="","",ROUND(AT87*(1-Справочники!$B$18),0))</f>
        <v/>
      </c>
      <c r="AZ87" s="90" t="str">
        <f aca="false">IF(AT87="","",ROUND(AT87*(1-Справочники!$B$19),0))</f>
        <v/>
      </c>
      <c r="BA87" s="81"/>
      <c r="BB87" s="81"/>
      <c r="BC87" s="81"/>
      <c r="BD87" s="81"/>
      <c r="BE87" s="91"/>
      <c r="BF87" s="81" t="s">
        <v>103</v>
      </c>
      <c r="BG87" s="89" t="n">
        <f aca="false" t="array" ref="BG87:BG87">IF(BF87="","",IFERROR(INDEX(Справочники!$B$4:$B$7,MATCH(BF87,Справочники!$A$4:$A$7,0)),""))</f>
        <v>68.5</v>
      </c>
      <c r="BH87" s="90" t="str">
        <f aca="false">IF(N(BN87)&gt;0,ROUND(SUMIF(ЗАКАЗЫ!$F$3:$F$500,$A87,ЗАКАЗЫ!$Y$3:$Y$500)/BN87,0),IF(OR(BE87="",BG87=""),"",ROUND(BE87*BG87*(1+Справочники!$B$10),0)))</f>
        <v/>
      </c>
      <c r="BI87" s="92" t="str">
        <f aca="false">IF(OR(AU87="",BH87="",AU87=0),"",(AU87-BH87)/AU87)</f>
        <v/>
      </c>
      <c r="BJ87" s="81"/>
      <c r="BK87" s="83"/>
      <c r="BL87" s="43" t="str">
        <f aca="false">IFERROR(INDEX(ЗАКАЗЫ!$N$3:$N$500,MATCH($A87,ЗАКАЗЫ!$F$3:$F$500,0)),"")</f>
        <v/>
      </c>
      <c r="BM87" s="8" t="str">
        <f aca="false">IF(BL87="","",IFERROR(VLOOKUP(BL87,'ТН ВЭД'!$A$4:$C$40,3,0),""))</f>
        <v/>
      </c>
      <c r="BN87" s="7" t="str">
        <f aca="false">IF(COUNTIF(ЗАКАЗЫ!$F$3:$F$500,$A87)=0,"",SUMIF(ЗАКАЗЫ!$F$3:$F$500,$A87,ЗАКАЗЫ!$J$3:$J$500))</f>
        <v/>
      </c>
      <c r="BO87" s="7" t="str">
        <f aca="false">IF(BN87="","",SUMIF(ЗАКАЗЫ!$F$3:$F$500,$A87,ЗАКАЗЫ!$AL$3:$AL$500))</f>
        <v/>
      </c>
      <c r="BP87" s="7" t="str">
        <f aca="false">IF(BN87="","",BN87-BO87)</f>
        <v/>
      </c>
      <c r="BQ87" s="55" t="str">
        <f aca="false">IF(BN87="","",IF(BO87&gt;=BN87,"На складе",IF(BO87&gt;0,"Частично","Ждём")))</f>
        <v/>
      </c>
      <c r="BR87" s="43"/>
      <c r="BS87" s="47" t="str">
        <f aca="false">IF(BN87="","",IF(_xlfn.MAXIFS(ЗАКАЗЫ!$AK$3:$AK$500,ЗАКАЗЫ!$F$3:$F$500,$A87)=0,"",_xlfn.MAXIFS(ЗАКАЗЫ!$AK$3:$AK$500,ЗАКАЗЫ!$F$3:$F$500,$A87)))</f>
        <v/>
      </c>
    </row>
    <row r="88" customFormat="false" ht="15.75" hidden="false" customHeight="true" outlineLevel="0" collapsed="false">
      <c r="A88" s="80" t="s">
        <v>1289</v>
      </c>
      <c r="B88" s="81"/>
      <c r="C88" s="81"/>
      <c r="D88" s="81"/>
      <c r="E88" s="83"/>
      <c r="F88" s="81"/>
      <c r="G88" s="83"/>
      <c r="H88" s="83"/>
      <c r="I88" s="84" t="str">
        <f aca="false">IF(E88="","",A88&amp;"_1.jpg")</f>
        <v/>
      </c>
      <c r="J88" s="84" t="str">
        <f aca="false">IF(E88="","",A88&amp;"_2.jpg; "&amp;A88&amp;"_3.jpg")</f>
        <v/>
      </c>
      <c r="K88" s="84" t="str">
        <f aca="false">IF(E88="","",A88&amp;"_schema.jpg")</f>
        <v/>
      </c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 t="s">
        <v>96</v>
      </c>
      <c r="W88" s="81"/>
      <c r="X88" s="81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6" t="str">
        <f aca="false">IF(SUM(Y88:AJ88)=0,"",SUM(Y88:AJ88))</f>
        <v/>
      </c>
      <c r="AL88" s="84" t="str">
        <f aca="false">MID(IF(N(Y88)&gt;0,", "&amp;Y$2,"")&amp;IF(N(Z88)&gt;0,", "&amp;Z$2,"")&amp;IF(N(AA88)&gt;0,", "&amp;AA$2,"")&amp;IF(N(AB88)&gt;0,", "&amp;AB$2,"")&amp;IF(N(AC88)&gt;0,", "&amp;AC$2,"")&amp;IF(N(AD88)&gt;0,", "&amp;AD$2,"")&amp;IF(N(AE88)&gt;0,", "&amp;AE$2,"")&amp;IF(N(AF88)&gt;0,", "&amp;AF$2,"")&amp;IF(N(AG88)&gt;0,", "&amp;AG$2,"")&amp;IF(N(AH88)&gt;0,", "&amp;AH$2,"")&amp;IF(N(AI88)&gt;0,", "&amp;AI$2,"")&amp;IF(N(AJ88)&gt;0,", "&amp;AJ$2,""),3,999)</f>
        <v/>
      </c>
      <c r="AM88" s="87" t="str">
        <f aca="false">IF(E88="","",MID(IF(N(Y88)&gt;0,", "&amp;A88&amp;"-"&amp;Y$2,"")&amp;IF(N(Z88)&gt;0,", "&amp;A88&amp;"-"&amp;Z$2,"")&amp;IF(N(AA88)&gt;0,", "&amp;A88&amp;"-"&amp;AA$2,"")&amp;IF(N(AB88)&gt;0,", "&amp;A88&amp;"-"&amp;AB$2,"")&amp;IF(N(AC88)&gt;0,", "&amp;A88&amp;"-"&amp;AC$2,"")&amp;IF(N(AD88)&gt;0,", "&amp;A88&amp;"-"&amp;AD$2,"")&amp;IF(N(AE88)&gt;0,", "&amp;A88&amp;"-"&amp;AE$2,"")&amp;IF(N(AF88)&gt;0,", "&amp;A88&amp;"-"&amp;AF$2,"")&amp;IF(N(AG88)&gt;0,", "&amp;A88&amp;"-"&amp;AG$2,"")&amp;IF(N(AH88)&gt;0,", "&amp;A88&amp;"-"&amp;AH$2,"")&amp;IF(N(AI88)&gt;0,", "&amp;A88&amp;"-"&amp;AI$2,"")&amp;IF(N(AJ88)&gt;0,", "&amp;A88&amp;"-"&amp;AJ$2,""),3,999))</f>
        <v/>
      </c>
      <c r="AN88" s="81"/>
      <c r="AO88" s="88"/>
      <c r="AP88" s="89" t="str">
        <f aca="false">IF(AO88="","",ROUND(AO88/(1+Справочники!$B$13),2))</f>
        <v/>
      </c>
      <c r="AQ88" s="90" t="str">
        <f aca="false" t="array" ref="AQ88:AQ88">IF(AP88="","",AP88*INDEX(Справочники!$B$4:$B$7,MATCH("RUB",Справочники!$A$4:$A$7,0)))</f>
        <v/>
      </c>
      <c r="AR88" s="90" t="str">
        <f aca="false">IF(AQ88="","",ROUND(AQ88*(1+Справочники!$B$12),0))</f>
        <v/>
      </c>
      <c r="AS88" s="90" t="str">
        <f aca="false">IF(AR88="","",ROUND(AR88*(1-Справочники!$B$11),0))</f>
        <v/>
      </c>
      <c r="AT88" s="88"/>
      <c r="AU88" s="90" t="str">
        <f aca="false">IF(AT88="","",ROUND(AT88/(1+Справочники!$B$12),0))</f>
        <v/>
      </c>
      <c r="AV88" s="90" t="str">
        <f aca="false">IF(AT88="","",ROUND(AT88*(1-Справочники!$B$15),0))</f>
        <v/>
      </c>
      <c r="AW88" s="90" t="str">
        <f aca="false">IF(AT88="","",ROUND(AT88*(1-Справочники!$B$16),0))</f>
        <v/>
      </c>
      <c r="AX88" s="90" t="str">
        <f aca="false">IF(AT88="","",ROUND(AT88*(1-Справочники!$B$17),0))</f>
        <v/>
      </c>
      <c r="AY88" s="90" t="str">
        <f aca="false">IF(AT88="","",ROUND(AT88*(1-Справочники!$B$18),0))</f>
        <v/>
      </c>
      <c r="AZ88" s="90" t="str">
        <f aca="false">IF(AT88="","",ROUND(AT88*(1-Справочники!$B$19),0))</f>
        <v/>
      </c>
      <c r="BA88" s="81"/>
      <c r="BB88" s="81"/>
      <c r="BC88" s="81"/>
      <c r="BD88" s="81"/>
      <c r="BE88" s="91"/>
      <c r="BF88" s="81" t="s">
        <v>103</v>
      </c>
      <c r="BG88" s="89" t="n">
        <f aca="false" t="array" ref="BG88:BG88">IF(BF88="","",IFERROR(INDEX(Справочники!$B$4:$B$7,MATCH(BF88,Справочники!$A$4:$A$7,0)),""))</f>
        <v>68.5</v>
      </c>
      <c r="BH88" s="90" t="str">
        <f aca="false">IF(N(BN88)&gt;0,ROUND(SUMIF(ЗАКАЗЫ!$F$3:$F$500,$A88,ЗАКАЗЫ!$Y$3:$Y$500)/BN88,0),IF(OR(BE88="",BG88=""),"",ROUND(BE88*BG88*(1+Справочники!$B$10),0)))</f>
        <v/>
      </c>
      <c r="BI88" s="92" t="str">
        <f aca="false">IF(OR(AU88="",BH88="",AU88=0),"",(AU88-BH88)/AU88)</f>
        <v/>
      </c>
      <c r="BJ88" s="81"/>
      <c r="BK88" s="83"/>
      <c r="BL88" s="43" t="str">
        <f aca="false">IFERROR(INDEX(ЗАКАЗЫ!$N$3:$N$500,MATCH($A88,ЗАКАЗЫ!$F$3:$F$500,0)),"")</f>
        <v/>
      </c>
      <c r="BM88" s="8" t="str">
        <f aca="false">IF(BL88="","",IFERROR(VLOOKUP(BL88,'ТН ВЭД'!$A$4:$C$40,3,0),""))</f>
        <v/>
      </c>
      <c r="BN88" s="7" t="str">
        <f aca="false">IF(COUNTIF(ЗАКАЗЫ!$F$3:$F$500,$A88)=0,"",SUMIF(ЗАКАЗЫ!$F$3:$F$500,$A88,ЗАКАЗЫ!$J$3:$J$500))</f>
        <v/>
      </c>
      <c r="BO88" s="7" t="str">
        <f aca="false">IF(BN88="","",SUMIF(ЗАКАЗЫ!$F$3:$F$500,$A88,ЗАКАЗЫ!$AL$3:$AL$500))</f>
        <v/>
      </c>
      <c r="BP88" s="7" t="str">
        <f aca="false">IF(BN88="","",BN88-BO88)</f>
        <v/>
      </c>
      <c r="BQ88" s="55" t="str">
        <f aca="false">IF(BN88="","",IF(BO88&gt;=BN88,"На складе",IF(BO88&gt;0,"Частично","Ждём")))</f>
        <v/>
      </c>
      <c r="BR88" s="43"/>
      <c r="BS88" s="47" t="str">
        <f aca="false">IF(BN88="","",IF(_xlfn.MAXIFS(ЗАКАЗЫ!$AK$3:$AK$500,ЗАКАЗЫ!$F$3:$F$500,$A88)=0,"",_xlfn.MAXIFS(ЗАКАЗЫ!$AK$3:$AK$500,ЗАКАЗЫ!$F$3:$F$500,$A88)))</f>
        <v/>
      </c>
    </row>
    <row r="89" customFormat="false" ht="15.75" hidden="false" customHeight="true" outlineLevel="0" collapsed="false">
      <c r="A89" s="80" t="s">
        <v>1290</v>
      </c>
      <c r="B89" s="81"/>
      <c r="C89" s="81"/>
      <c r="D89" s="81"/>
      <c r="E89" s="83"/>
      <c r="F89" s="81"/>
      <c r="G89" s="83"/>
      <c r="H89" s="83"/>
      <c r="I89" s="84" t="str">
        <f aca="false">IF(E89="","",A89&amp;"_1.jpg")</f>
        <v/>
      </c>
      <c r="J89" s="84" t="str">
        <f aca="false">IF(E89="","",A89&amp;"_2.jpg; "&amp;A89&amp;"_3.jpg")</f>
        <v/>
      </c>
      <c r="K89" s="84" t="str">
        <f aca="false">IF(E89="","",A89&amp;"_schema.jpg")</f>
        <v/>
      </c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 t="s">
        <v>96</v>
      </c>
      <c r="W89" s="81"/>
      <c r="X89" s="81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6" t="str">
        <f aca="false">IF(SUM(Y89:AJ89)=0,"",SUM(Y89:AJ89))</f>
        <v/>
      </c>
      <c r="AL89" s="84" t="str">
        <f aca="false">MID(IF(N(Y89)&gt;0,", "&amp;Y$2,"")&amp;IF(N(Z89)&gt;0,", "&amp;Z$2,"")&amp;IF(N(AA89)&gt;0,", "&amp;AA$2,"")&amp;IF(N(AB89)&gt;0,", "&amp;AB$2,"")&amp;IF(N(AC89)&gt;0,", "&amp;AC$2,"")&amp;IF(N(AD89)&gt;0,", "&amp;AD$2,"")&amp;IF(N(AE89)&gt;0,", "&amp;AE$2,"")&amp;IF(N(AF89)&gt;0,", "&amp;AF$2,"")&amp;IF(N(AG89)&gt;0,", "&amp;AG$2,"")&amp;IF(N(AH89)&gt;0,", "&amp;AH$2,"")&amp;IF(N(AI89)&gt;0,", "&amp;AI$2,"")&amp;IF(N(AJ89)&gt;0,", "&amp;AJ$2,""),3,999)</f>
        <v/>
      </c>
      <c r="AM89" s="87" t="str">
        <f aca="false">IF(E89="","",MID(IF(N(Y89)&gt;0,", "&amp;A89&amp;"-"&amp;Y$2,"")&amp;IF(N(Z89)&gt;0,", "&amp;A89&amp;"-"&amp;Z$2,"")&amp;IF(N(AA89)&gt;0,", "&amp;A89&amp;"-"&amp;AA$2,"")&amp;IF(N(AB89)&gt;0,", "&amp;A89&amp;"-"&amp;AB$2,"")&amp;IF(N(AC89)&gt;0,", "&amp;A89&amp;"-"&amp;AC$2,"")&amp;IF(N(AD89)&gt;0,", "&amp;A89&amp;"-"&amp;AD$2,"")&amp;IF(N(AE89)&gt;0,", "&amp;A89&amp;"-"&amp;AE$2,"")&amp;IF(N(AF89)&gt;0,", "&amp;A89&amp;"-"&amp;AF$2,"")&amp;IF(N(AG89)&gt;0,", "&amp;A89&amp;"-"&amp;AG$2,"")&amp;IF(N(AH89)&gt;0,", "&amp;A89&amp;"-"&amp;AH$2,"")&amp;IF(N(AI89)&gt;0,", "&amp;A89&amp;"-"&amp;AI$2,"")&amp;IF(N(AJ89)&gt;0,", "&amp;A89&amp;"-"&amp;AJ$2,""),3,999))</f>
        <v/>
      </c>
      <c r="AN89" s="81"/>
      <c r="AO89" s="88"/>
      <c r="AP89" s="89" t="str">
        <f aca="false">IF(AO89="","",ROUND(AO89/(1+Справочники!$B$13),2))</f>
        <v/>
      </c>
      <c r="AQ89" s="90" t="str">
        <f aca="false" t="array" ref="AQ89:AQ89">IF(AP89="","",AP89*INDEX(Справочники!$B$4:$B$7,MATCH("RUB",Справочники!$A$4:$A$7,0)))</f>
        <v/>
      </c>
      <c r="AR89" s="90" t="str">
        <f aca="false">IF(AQ89="","",ROUND(AQ89*(1+Справочники!$B$12),0))</f>
        <v/>
      </c>
      <c r="AS89" s="90" t="str">
        <f aca="false">IF(AR89="","",ROUND(AR89*(1-Справочники!$B$11),0))</f>
        <v/>
      </c>
      <c r="AT89" s="88"/>
      <c r="AU89" s="90" t="str">
        <f aca="false">IF(AT89="","",ROUND(AT89/(1+Справочники!$B$12),0))</f>
        <v/>
      </c>
      <c r="AV89" s="90" t="str">
        <f aca="false">IF(AT89="","",ROUND(AT89*(1-Справочники!$B$15),0))</f>
        <v/>
      </c>
      <c r="AW89" s="90" t="str">
        <f aca="false">IF(AT89="","",ROUND(AT89*(1-Справочники!$B$16),0))</f>
        <v/>
      </c>
      <c r="AX89" s="90" t="str">
        <f aca="false">IF(AT89="","",ROUND(AT89*(1-Справочники!$B$17),0))</f>
        <v/>
      </c>
      <c r="AY89" s="90" t="str">
        <f aca="false">IF(AT89="","",ROUND(AT89*(1-Справочники!$B$18),0))</f>
        <v/>
      </c>
      <c r="AZ89" s="90" t="str">
        <f aca="false">IF(AT89="","",ROUND(AT89*(1-Справочники!$B$19),0))</f>
        <v/>
      </c>
      <c r="BA89" s="81"/>
      <c r="BB89" s="81"/>
      <c r="BC89" s="81"/>
      <c r="BD89" s="81"/>
      <c r="BE89" s="91"/>
      <c r="BF89" s="81" t="s">
        <v>103</v>
      </c>
      <c r="BG89" s="89" t="n">
        <f aca="false" t="array" ref="BG89:BG89">IF(BF89="","",IFERROR(INDEX(Справочники!$B$4:$B$7,MATCH(BF89,Справочники!$A$4:$A$7,0)),""))</f>
        <v>68.5</v>
      </c>
      <c r="BH89" s="90" t="str">
        <f aca="false">IF(N(BN89)&gt;0,ROUND(SUMIF(ЗАКАЗЫ!$F$3:$F$500,$A89,ЗАКАЗЫ!$Y$3:$Y$500)/BN89,0),IF(OR(BE89="",BG89=""),"",ROUND(BE89*BG89*(1+Справочники!$B$10),0)))</f>
        <v/>
      </c>
      <c r="BI89" s="92" t="str">
        <f aca="false">IF(OR(AU89="",BH89="",AU89=0),"",(AU89-BH89)/AU89)</f>
        <v/>
      </c>
      <c r="BJ89" s="81"/>
      <c r="BK89" s="83"/>
      <c r="BL89" s="43" t="str">
        <f aca="false">IFERROR(INDEX(ЗАКАЗЫ!$N$3:$N$500,MATCH($A89,ЗАКАЗЫ!$F$3:$F$500,0)),"")</f>
        <v/>
      </c>
      <c r="BM89" s="8" t="str">
        <f aca="false">IF(BL89="","",IFERROR(VLOOKUP(BL89,'ТН ВЭД'!$A$4:$C$40,3,0),""))</f>
        <v/>
      </c>
      <c r="BN89" s="7" t="str">
        <f aca="false">IF(COUNTIF(ЗАКАЗЫ!$F$3:$F$500,$A89)=0,"",SUMIF(ЗАКАЗЫ!$F$3:$F$500,$A89,ЗАКАЗЫ!$J$3:$J$500))</f>
        <v/>
      </c>
      <c r="BO89" s="7" t="str">
        <f aca="false">IF(BN89="","",SUMIF(ЗАКАЗЫ!$F$3:$F$500,$A89,ЗАКАЗЫ!$AL$3:$AL$500))</f>
        <v/>
      </c>
      <c r="BP89" s="7" t="str">
        <f aca="false">IF(BN89="","",BN89-BO89)</f>
        <v/>
      </c>
      <c r="BQ89" s="55" t="str">
        <f aca="false">IF(BN89="","",IF(BO89&gt;=BN89,"На складе",IF(BO89&gt;0,"Частично","Ждём")))</f>
        <v/>
      </c>
      <c r="BR89" s="43"/>
      <c r="BS89" s="47" t="str">
        <f aca="false">IF(BN89="","",IF(_xlfn.MAXIFS(ЗАКАЗЫ!$AK$3:$AK$500,ЗАКАЗЫ!$F$3:$F$500,$A89)=0,"",_xlfn.MAXIFS(ЗАКАЗЫ!$AK$3:$AK$500,ЗАКАЗЫ!$F$3:$F$500,$A89)))</f>
        <v/>
      </c>
    </row>
    <row r="90" customFormat="false" ht="15.75" hidden="false" customHeight="true" outlineLevel="0" collapsed="false">
      <c r="A90" s="80" t="s">
        <v>1291</v>
      </c>
      <c r="B90" s="81"/>
      <c r="C90" s="81"/>
      <c r="D90" s="81"/>
      <c r="E90" s="83"/>
      <c r="F90" s="81"/>
      <c r="G90" s="83"/>
      <c r="H90" s="83"/>
      <c r="I90" s="84" t="str">
        <f aca="false">IF(E90="","",A90&amp;"_1.jpg")</f>
        <v/>
      </c>
      <c r="J90" s="84" t="str">
        <f aca="false">IF(E90="","",A90&amp;"_2.jpg; "&amp;A90&amp;"_3.jpg")</f>
        <v/>
      </c>
      <c r="K90" s="84" t="str">
        <f aca="false">IF(E90="","",A90&amp;"_schema.jpg")</f>
        <v/>
      </c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 t="s">
        <v>96</v>
      </c>
      <c r="W90" s="81"/>
      <c r="X90" s="81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6" t="str">
        <f aca="false">IF(SUM(Y90:AJ90)=0,"",SUM(Y90:AJ90))</f>
        <v/>
      </c>
      <c r="AL90" s="84" t="str">
        <f aca="false">MID(IF(N(Y90)&gt;0,", "&amp;Y$2,"")&amp;IF(N(Z90)&gt;0,", "&amp;Z$2,"")&amp;IF(N(AA90)&gt;0,", "&amp;AA$2,"")&amp;IF(N(AB90)&gt;0,", "&amp;AB$2,"")&amp;IF(N(AC90)&gt;0,", "&amp;AC$2,"")&amp;IF(N(AD90)&gt;0,", "&amp;AD$2,"")&amp;IF(N(AE90)&gt;0,", "&amp;AE$2,"")&amp;IF(N(AF90)&gt;0,", "&amp;AF$2,"")&amp;IF(N(AG90)&gt;0,", "&amp;AG$2,"")&amp;IF(N(AH90)&gt;0,", "&amp;AH$2,"")&amp;IF(N(AI90)&gt;0,", "&amp;AI$2,"")&amp;IF(N(AJ90)&gt;0,", "&amp;AJ$2,""),3,999)</f>
        <v/>
      </c>
      <c r="AM90" s="87" t="str">
        <f aca="false">IF(E90="","",MID(IF(N(Y90)&gt;0,", "&amp;A90&amp;"-"&amp;Y$2,"")&amp;IF(N(Z90)&gt;0,", "&amp;A90&amp;"-"&amp;Z$2,"")&amp;IF(N(AA90)&gt;0,", "&amp;A90&amp;"-"&amp;AA$2,"")&amp;IF(N(AB90)&gt;0,", "&amp;A90&amp;"-"&amp;AB$2,"")&amp;IF(N(AC90)&gt;0,", "&amp;A90&amp;"-"&amp;AC$2,"")&amp;IF(N(AD90)&gt;0,", "&amp;A90&amp;"-"&amp;AD$2,"")&amp;IF(N(AE90)&gt;0,", "&amp;A90&amp;"-"&amp;AE$2,"")&amp;IF(N(AF90)&gt;0,", "&amp;A90&amp;"-"&amp;AF$2,"")&amp;IF(N(AG90)&gt;0,", "&amp;A90&amp;"-"&amp;AG$2,"")&amp;IF(N(AH90)&gt;0,", "&amp;A90&amp;"-"&amp;AH$2,"")&amp;IF(N(AI90)&gt;0,", "&amp;A90&amp;"-"&amp;AI$2,"")&amp;IF(N(AJ90)&gt;0,", "&amp;A90&amp;"-"&amp;AJ$2,""),3,999))</f>
        <v/>
      </c>
      <c r="AN90" s="81"/>
      <c r="AO90" s="88"/>
      <c r="AP90" s="89" t="str">
        <f aca="false">IF(AO90="","",ROUND(AO90/(1+Справочники!$B$13),2))</f>
        <v/>
      </c>
      <c r="AQ90" s="90" t="str">
        <f aca="false" t="array" ref="AQ90:AQ90">IF(AP90="","",AP90*INDEX(Справочники!$B$4:$B$7,MATCH("RUB",Справочники!$A$4:$A$7,0)))</f>
        <v/>
      </c>
      <c r="AR90" s="90" t="str">
        <f aca="false">IF(AQ90="","",ROUND(AQ90*(1+Справочники!$B$12),0))</f>
        <v/>
      </c>
      <c r="AS90" s="90" t="str">
        <f aca="false">IF(AR90="","",ROUND(AR90*(1-Справочники!$B$11),0))</f>
        <v/>
      </c>
      <c r="AT90" s="88"/>
      <c r="AU90" s="90" t="str">
        <f aca="false">IF(AT90="","",ROUND(AT90/(1+Справочники!$B$12),0))</f>
        <v/>
      </c>
      <c r="AV90" s="90" t="str">
        <f aca="false">IF(AT90="","",ROUND(AT90*(1-Справочники!$B$15),0))</f>
        <v/>
      </c>
      <c r="AW90" s="90" t="str">
        <f aca="false">IF(AT90="","",ROUND(AT90*(1-Справочники!$B$16),0))</f>
        <v/>
      </c>
      <c r="AX90" s="90" t="str">
        <f aca="false">IF(AT90="","",ROUND(AT90*(1-Справочники!$B$17),0))</f>
        <v/>
      </c>
      <c r="AY90" s="90" t="str">
        <f aca="false">IF(AT90="","",ROUND(AT90*(1-Справочники!$B$18),0))</f>
        <v/>
      </c>
      <c r="AZ90" s="90" t="str">
        <f aca="false">IF(AT90="","",ROUND(AT90*(1-Справочники!$B$19),0))</f>
        <v/>
      </c>
      <c r="BA90" s="81"/>
      <c r="BB90" s="81"/>
      <c r="BC90" s="81"/>
      <c r="BD90" s="81"/>
      <c r="BE90" s="91"/>
      <c r="BF90" s="81" t="s">
        <v>103</v>
      </c>
      <c r="BG90" s="89" t="n">
        <f aca="false" t="array" ref="BG90:BG90">IF(BF90="","",IFERROR(INDEX(Справочники!$B$4:$B$7,MATCH(BF90,Справочники!$A$4:$A$7,0)),""))</f>
        <v>68.5</v>
      </c>
      <c r="BH90" s="90" t="str">
        <f aca="false">IF(N(BN90)&gt;0,ROUND(SUMIF(ЗАКАЗЫ!$F$3:$F$500,$A90,ЗАКАЗЫ!$Y$3:$Y$500)/BN90,0),IF(OR(BE90="",BG90=""),"",ROUND(BE90*BG90*(1+Справочники!$B$10),0)))</f>
        <v/>
      </c>
      <c r="BI90" s="92" t="str">
        <f aca="false">IF(OR(AU90="",BH90="",AU90=0),"",(AU90-BH90)/AU90)</f>
        <v/>
      </c>
      <c r="BJ90" s="81"/>
      <c r="BK90" s="83"/>
      <c r="BL90" s="43" t="str">
        <f aca="false">IFERROR(INDEX(ЗАКАЗЫ!$N$3:$N$500,MATCH($A90,ЗАКАЗЫ!$F$3:$F$500,0)),"")</f>
        <v/>
      </c>
      <c r="BM90" s="8" t="str">
        <f aca="false">IF(BL90="","",IFERROR(VLOOKUP(BL90,'ТН ВЭД'!$A$4:$C$40,3,0),""))</f>
        <v/>
      </c>
      <c r="BN90" s="7" t="str">
        <f aca="false">IF(COUNTIF(ЗАКАЗЫ!$F$3:$F$500,$A90)=0,"",SUMIF(ЗАКАЗЫ!$F$3:$F$500,$A90,ЗАКАЗЫ!$J$3:$J$500))</f>
        <v/>
      </c>
      <c r="BO90" s="7" t="str">
        <f aca="false">IF(BN90="","",SUMIF(ЗАКАЗЫ!$F$3:$F$500,$A90,ЗАКАЗЫ!$AL$3:$AL$500))</f>
        <v/>
      </c>
      <c r="BP90" s="7" t="str">
        <f aca="false">IF(BN90="","",BN90-BO90)</f>
        <v/>
      </c>
      <c r="BQ90" s="55" t="str">
        <f aca="false">IF(BN90="","",IF(BO90&gt;=BN90,"На складе",IF(BO90&gt;0,"Частично","Ждём")))</f>
        <v/>
      </c>
      <c r="BR90" s="43"/>
      <c r="BS90" s="47" t="str">
        <f aca="false">IF(BN90="","",IF(_xlfn.MAXIFS(ЗАКАЗЫ!$AK$3:$AK$500,ЗАКАЗЫ!$F$3:$F$500,$A90)=0,"",_xlfn.MAXIFS(ЗАКАЗЫ!$AK$3:$AK$500,ЗАКАЗЫ!$F$3:$F$500,$A90)))</f>
        <v/>
      </c>
    </row>
    <row r="91" customFormat="false" ht="15.75" hidden="false" customHeight="true" outlineLevel="0" collapsed="false">
      <c r="A91" s="80" t="s">
        <v>1292</v>
      </c>
      <c r="B91" s="81"/>
      <c r="C91" s="81"/>
      <c r="D91" s="81"/>
      <c r="E91" s="83"/>
      <c r="F91" s="81"/>
      <c r="G91" s="83"/>
      <c r="H91" s="83"/>
      <c r="I91" s="84" t="str">
        <f aca="false">IF(E91="","",A91&amp;"_1.jpg")</f>
        <v/>
      </c>
      <c r="J91" s="84" t="str">
        <f aca="false">IF(E91="","",A91&amp;"_2.jpg; "&amp;A91&amp;"_3.jpg")</f>
        <v/>
      </c>
      <c r="K91" s="84" t="str">
        <f aca="false">IF(E91="","",A91&amp;"_schema.jpg")</f>
        <v/>
      </c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 t="s">
        <v>96</v>
      </c>
      <c r="W91" s="81"/>
      <c r="X91" s="81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6" t="str">
        <f aca="false">IF(SUM(Y91:AJ91)=0,"",SUM(Y91:AJ91))</f>
        <v/>
      </c>
      <c r="AL91" s="84" t="str">
        <f aca="false">MID(IF(N(Y91)&gt;0,", "&amp;Y$2,"")&amp;IF(N(Z91)&gt;0,", "&amp;Z$2,"")&amp;IF(N(AA91)&gt;0,", "&amp;AA$2,"")&amp;IF(N(AB91)&gt;0,", "&amp;AB$2,"")&amp;IF(N(AC91)&gt;0,", "&amp;AC$2,"")&amp;IF(N(AD91)&gt;0,", "&amp;AD$2,"")&amp;IF(N(AE91)&gt;0,", "&amp;AE$2,"")&amp;IF(N(AF91)&gt;0,", "&amp;AF$2,"")&amp;IF(N(AG91)&gt;0,", "&amp;AG$2,"")&amp;IF(N(AH91)&gt;0,", "&amp;AH$2,"")&amp;IF(N(AI91)&gt;0,", "&amp;AI$2,"")&amp;IF(N(AJ91)&gt;0,", "&amp;AJ$2,""),3,999)</f>
        <v/>
      </c>
      <c r="AM91" s="87" t="str">
        <f aca="false">IF(E91="","",MID(IF(N(Y91)&gt;0,", "&amp;A91&amp;"-"&amp;Y$2,"")&amp;IF(N(Z91)&gt;0,", "&amp;A91&amp;"-"&amp;Z$2,"")&amp;IF(N(AA91)&gt;0,", "&amp;A91&amp;"-"&amp;AA$2,"")&amp;IF(N(AB91)&gt;0,", "&amp;A91&amp;"-"&amp;AB$2,"")&amp;IF(N(AC91)&gt;0,", "&amp;A91&amp;"-"&amp;AC$2,"")&amp;IF(N(AD91)&gt;0,", "&amp;A91&amp;"-"&amp;AD$2,"")&amp;IF(N(AE91)&gt;0,", "&amp;A91&amp;"-"&amp;AE$2,"")&amp;IF(N(AF91)&gt;0,", "&amp;A91&amp;"-"&amp;AF$2,"")&amp;IF(N(AG91)&gt;0,", "&amp;A91&amp;"-"&amp;AG$2,"")&amp;IF(N(AH91)&gt;0,", "&amp;A91&amp;"-"&amp;AH$2,"")&amp;IF(N(AI91)&gt;0,", "&amp;A91&amp;"-"&amp;AI$2,"")&amp;IF(N(AJ91)&gt;0,", "&amp;A91&amp;"-"&amp;AJ$2,""),3,999))</f>
        <v/>
      </c>
      <c r="AN91" s="81"/>
      <c r="AO91" s="88"/>
      <c r="AP91" s="89" t="str">
        <f aca="false">IF(AO91="","",ROUND(AO91/(1+Справочники!$B$13),2))</f>
        <v/>
      </c>
      <c r="AQ91" s="90" t="str">
        <f aca="false" t="array" ref="AQ91:AQ91">IF(AP91="","",AP91*INDEX(Справочники!$B$4:$B$7,MATCH("RUB",Справочники!$A$4:$A$7,0)))</f>
        <v/>
      </c>
      <c r="AR91" s="90" t="str">
        <f aca="false">IF(AQ91="","",ROUND(AQ91*(1+Справочники!$B$12),0))</f>
        <v/>
      </c>
      <c r="AS91" s="90" t="str">
        <f aca="false">IF(AR91="","",ROUND(AR91*(1-Справочники!$B$11),0))</f>
        <v/>
      </c>
      <c r="AT91" s="88"/>
      <c r="AU91" s="90" t="str">
        <f aca="false">IF(AT91="","",ROUND(AT91/(1+Справочники!$B$12),0))</f>
        <v/>
      </c>
      <c r="AV91" s="90" t="str">
        <f aca="false">IF(AT91="","",ROUND(AT91*(1-Справочники!$B$15),0))</f>
        <v/>
      </c>
      <c r="AW91" s="90" t="str">
        <f aca="false">IF(AT91="","",ROUND(AT91*(1-Справочники!$B$16),0))</f>
        <v/>
      </c>
      <c r="AX91" s="90" t="str">
        <f aca="false">IF(AT91="","",ROUND(AT91*(1-Справочники!$B$17),0))</f>
        <v/>
      </c>
      <c r="AY91" s="90" t="str">
        <f aca="false">IF(AT91="","",ROUND(AT91*(1-Справочники!$B$18),0))</f>
        <v/>
      </c>
      <c r="AZ91" s="90" t="str">
        <f aca="false">IF(AT91="","",ROUND(AT91*(1-Справочники!$B$19),0))</f>
        <v/>
      </c>
      <c r="BA91" s="81"/>
      <c r="BB91" s="81"/>
      <c r="BC91" s="81"/>
      <c r="BD91" s="81"/>
      <c r="BE91" s="91"/>
      <c r="BF91" s="81" t="s">
        <v>103</v>
      </c>
      <c r="BG91" s="89" t="n">
        <f aca="false" t="array" ref="BG91:BG91">IF(BF91="","",IFERROR(INDEX(Справочники!$B$4:$B$7,MATCH(BF91,Справочники!$A$4:$A$7,0)),""))</f>
        <v>68.5</v>
      </c>
      <c r="BH91" s="90" t="str">
        <f aca="false">IF(N(BN91)&gt;0,ROUND(SUMIF(ЗАКАЗЫ!$F$3:$F$500,$A91,ЗАКАЗЫ!$Y$3:$Y$500)/BN91,0),IF(OR(BE91="",BG91=""),"",ROUND(BE91*BG91*(1+Справочники!$B$10),0)))</f>
        <v/>
      </c>
      <c r="BI91" s="92" t="str">
        <f aca="false">IF(OR(AU91="",BH91="",AU91=0),"",(AU91-BH91)/AU91)</f>
        <v/>
      </c>
      <c r="BJ91" s="81"/>
      <c r="BK91" s="83"/>
      <c r="BL91" s="43" t="str">
        <f aca="false">IFERROR(INDEX(ЗАКАЗЫ!$N$3:$N$500,MATCH($A91,ЗАКАЗЫ!$F$3:$F$500,0)),"")</f>
        <v/>
      </c>
      <c r="BM91" s="8" t="str">
        <f aca="false">IF(BL91="","",IFERROR(VLOOKUP(BL91,'ТН ВЭД'!$A$4:$C$40,3,0),""))</f>
        <v/>
      </c>
      <c r="BN91" s="7" t="str">
        <f aca="false">IF(COUNTIF(ЗАКАЗЫ!$F$3:$F$500,$A91)=0,"",SUMIF(ЗАКАЗЫ!$F$3:$F$500,$A91,ЗАКАЗЫ!$J$3:$J$500))</f>
        <v/>
      </c>
      <c r="BO91" s="7" t="str">
        <f aca="false">IF(BN91="","",SUMIF(ЗАКАЗЫ!$F$3:$F$500,$A91,ЗАКАЗЫ!$AL$3:$AL$500))</f>
        <v/>
      </c>
      <c r="BP91" s="7" t="str">
        <f aca="false">IF(BN91="","",BN91-BO91)</f>
        <v/>
      </c>
      <c r="BQ91" s="55" t="str">
        <f aca="false">IF(BN91="","",IF(BO91&gt;=BN91,"На складе",IF(BO91&gt;0,"Частично","Ждём")))</f>
        <v/>
      </c>
      <c r="BR91" s="43"/>
      <c r="BS91" s="47" t="str">
        <f aca="false">IF(BN91="","",IF(_xlfn.MAXIFS(ЗАКАЗЫ!$AK$3:$AK$500,ЗАКАЗЫ!$F$3:$F$500,$A91)=0,"",_xlfn.MAXIFS(ЗАКАЗЫ!$AK$3:$AK$500,ЗАКАЗЫ!$F$3:$F$500,$A91)))</f>
        <v/>
      </c>
    </row>
    <row r="92" customFormat="false" ht="15.75" hidden="false" customHeight="true" outlineLevel="0" collapsed="false">
      <c r="A92" s="80" t="s">
        <v>1293</v>
      </c>
      <c r="B92" s="81"/>
      <c r="C92" s="81"/>
      <c r="D92" s="81"/>
      <c r="E92" s="83"/>
      <c r="F92" s="81"/>
      <c r="G92" s="83"/>
      <c r="H92" s="83"/>
      <c r="I92" s="84" t="str">
        <f aca="false">IF(E92="","",A92&amp;"_1.jpg")</f>
        <v/>
      </c>
      <c r="J92" s="84" t="str">
        <f aca="false">IF(E92="","",A92&amp;"_2.jpg; "&amp;A92&amp;"_3.jpg")</f>
        <v/>
      </c>
      <c r="K92" s="84" t="str">
        <f aca="false">IF(E92="","",A92&amp;"_schema.jpg")</f>
        <v/>
      </c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 t="s">
        <v>96</v>
      </c>
      <c r="W92" s="81"/>
      <c r="X92" s="81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6" t="str">
        <f aca="false">IF(SUM(Y92:AJ92)=0,"",SUM(Y92:AJ92))</f>
        <v/>
      </c>
      <c r="AL92" s="84" t="str">
        <f aca="false">MID(IF(N(Y92)&gt;0,", "&amp;Y$2,"")&amp;IF(N(Z92)&gt;0,", "&amp;Z$2,"")&amp;IF(N(AA92)&gt;0,", "&amp;AA$2,"")&amp;IF(N(AB92)&gt;0,", "&amp;AB$2,"")&amp;IF(N(AC92)&gt;0,", "&amp;AC$2,"")&amp;IF(N(AD92)&gt;0,", "&amp;AD$2,"")&amp;IF(N(AE92)&gt;0,", "&amp;AE$2,"")&amp;IF(N(AF92)&gt;0,", "&amp;AF$2,"")&amp;IF(N(AG92)&gt;0,", "&amp;AG$2,"")&amp;IF(N(AH92)&gt;0,", "&amp;AH$2,"")&amp;IF(N(AI92)&gt;0,", "&amp;AI$2,"")&amp;IF(N(AJ92)&gt;0,", "&amp;AJ$2,""),3,999)</f>
        <v/>
      </c>
      <c r="AM92" s="87" t="str">
        <f aca="false">IF(E92="","",MID(IF(N(Y92)&gt;0,", "&amp;A92&amp;"-"&amp;Y$2,"")&amp;IF(N(Z92)&gt;0,", "&amp;A92&amp;"-"&amp;Z$2,"")&amp;IF(N(AA92)&gt;0,", "&amp;A92&amp;"-"&amp;AA$2,"")&amp;IF(N(AB92)&gt;0,", "&amp;A92&amp;"-"&amp;AB$2,"")&amp;IF(N(AC92)&gt;0,", "&amp;A92&amp;"-"&amp;AC$2,"")&amp;IF(N(AD92)&gt;0,", "&amp;A92&amp;"-"&amp;AD$2,"")&amp;IF(N(AE92)&gt;0,", "&amp;A92&amp;"-"&amp;AE$2,"")&amp;IF(N(AF92)&gt;0,", "&amp;A92&amp;"-"&amp;AF$2,"")&amp;IF(N(AG92)&gt;0,", "&amp;A92&amp;"-"&amp;AG$2,"")&amp;IF(N(AH92)&gt;0,", "&amp;A92&amp;"-"&amp;AH$2,"")&amp;IF(N(AI92)&gt;0,", "&amp;A92&amp;"-"&amp;AI$2,"")&amp;IF(N(AJ92)&gt;0,", "&amp;A92&amp;"-"&amp;AJ$2,""),3,999))</f>
        <v/>
      </c>
      <c r="AN92" s="81"/>
      <c r="AO92" s="88"/>
      <c r="AP92" s="89" t="str">
        <f aca="false">IF(AO92="","",ROUND(AO92/(1+Справочники!$B$13),2))</f>
        <v/>
      </c>
      <c r="AQ92" s="90" t="str">
        <f aca="false" t="array" ref="AQ92:AQ92">IF(AP92="","",AP92*INDEX(Справочники!$B$4:$B$7,MATCH("RUB",Справочники!$A$4:$A$7,0)))</f>
        <v/>
      </c>
      <c r="AR92" s="90" t="str">
        <f aca="false">IF(AQ92="","",ROUND(AQ92*(1+Справочники!$B$12),0))</f>
        <v/>
      </c>
      <c r="AS92" s="90" t="str">
        <f aca="false">IF(AR92="","",ROUND(AR92*(1-Справочники!$B$11),0))</f>
        <v/>
      </c>
      <c r="AT92" s="88"/>
      <c r="AU92" s="90" t="str">
        <f aca="false">IF(AT92="","",ROUND(AT92/(1+Справочники!$B$12),0))</f>
        <v/>
      </c>
      <c r="AV92" s="90" t="str">
        <f aca="false">IF(AT92="","",ROUND(AT92*(1-Справочники!$B$15),0))</f>
        <v/>
      </c>
      <c r="AW92" s="90" t="str">
        <f aca="false">IF(AT92="","",ROUND(AT92*(1-Справочники!$B$16),0))</f>
        <v/>
      </c>
      <c r="AX92" s="90" t="str">
        <f aca="false">IF(AT92="","",ROUND(AT92*(1-Справочники!$B$17),0))</f>
        <v/>
      </c>
      <c r="AY92" s="90" t="str">
        <f aca="false">IF(AT92="","",ROUND(AT92*(1-Справочники!$B$18),0))</f>
        <v/>
      </c>
      <c r="AZ92" s="90" t="str">
        <f aca="false">IF(AT92="","",ROUND(AT92*(1-Справочники!$B$19),0))</f>
        <v/>
      </c>
      <c r="BA92" s="81"/>
      <c r="BB92" s="81"/>
      <c r="BC92" s="81"/>
      <c r="BD92" s="81"/>
      <c r="BE92" s="91"/>
      <c r="BF92" s="81" t="s">
        <v>103</v>
      </c>
      <c r="BG92" s="89" t="n">
        <f aca="false" t="array" ref="BG92:BG92">IF(BF92="","",IFERROR(INDEX(Справочники!$B$4:$B$7,MATCH(BF92,Справочники!$A$4:$A$7,0)),""))</f>
        <v>68.5</v>
      </c>
      <c r="BH92" s="90" t="str">
        <f aca="false">IF(N(BN92)&gt;0,ROUND(SUMIF(ЗАКАЗЫ!$F$3:$F$500,$A92,ЗАКАЗЫ!$Y$3:$Y$500)/BN92,0),IF(OR(BE92="",BG92=""),"",ROUND(BE92*BG92*(1+Справочники!$B$10),0)))</f>
        <v/>
      </c>
      <c r="BI92" s="92" t="str">
        <f aca="false">IF(OR(AU92="",BH92="",AU92=0),"",(AU92-BH92)/AU92)</f>
        <v/>
      </c>
      <c r="BJ92" s="81"/>
      <c r="BK92" s="83"/>
      <c r="BL92" s="43" t="str">
        <f aca="false">IFERROR(INDEX(ЗАКАЗЫ!$N$3:$N$500,MATCH($A92,ЗАКАЗЫ!$F$3:$F$500,0)),"")</f>
        <v/>
      </c>
      <c r="BM92" s="8" t="str">
        <f aca="false">IF(BL92="","",IFERROR(VLOOKUP(BL92,'ТН ВЭД'!$A$4:$C$40,3,0),""))</f>
        <v/>
      </c>
      <c r="BN92" s="7" t="str">
        <f aca="false">IF(COUNTIF(ЗАКАЗЫ!$F$3:$F$500,$A92)=0,"",SUMIF(ЗАКАЗЫ!$F$3:$F$500,$A92,ЗАКАЗЫ!$J$3:$J$500))</f>
        <v/>
      </c>
      <c r="BO92" s="7" t="str">
        <f aca="false">IF(BN92="","",SUMIF(ЗАКАЗЫ!$F$3:$F$500,$A92,ЗАКАЗЫ!$AL$3:$AL$500))</f>
        <v/>
      </c>
      <c r="BP92" s="7" t="str">
        <f aca="false">IF(BN92="","",BN92-BO92)</f>
        <v/>
      </c>
      <c r="BQ92" s="55" t="str">
        <f aca="false">IF(BN92="","",IF(BO92&gt;=BN92,"На складе",IF(BO92&gt;0,"Частично","Ждём")))</f>
        <v/>
      </c>
      <c r="BR92" s="43"/>
      <c r="BS92" s="47" t="str">
        <f aca="false">IF(BN92="","",IF(_xlfn.MAXIFS(ЗАКАЗЫ!$AK$3:$AK$500,ЗАКАЗЫ!$F$3:$F$500,$A92)=0,"",_xlfn.MAXIFS(ЗАКАЗЫ!$AK$3:$AK$500,ЗАКАЗЫ!$F$3:$F$500,$A92)))</f>
        <v/>
      </c>
    </row>
    <row r="93" customFormat="false" ht="15.75" hidden="false" customHeight="true" outlineLevel="0" collapsed="false">
      <c r="A93" s="80" t="s">
        <v>1294</v>
      </c>
      <c r="B93" s="81"/>
      <c r="C93" s="81"/>
      <c r="D93" s="81"/>
      <c r="E93" s="83"/>
      <c r="F93" s="81"/>
      <c r="G93" s="83"/>
      <c r="H93" s="83"/>
      <c r="I93" s="84" t="str">
        <f aca="false">IF(E93="","",A93&amp;"_1.jpg")</f>
        <v/>
      </c>
      <c r="J93" s="84" t="str">
        <f aca="false">IF(E93="","",A93&amp;"_2.jpg; "&amp;A93&amp;"_3.jpg")</f>
        <v/>
      </c>
      <c r="K93" s="84" t="str">
        <f aca="false">IF(E93="","",A93&amp;"_schema.jpg")</f>
        <v/>
      </c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 t="s">
        <v>96</v>
      </c>
      <c r="W93" s="81"/>
      <c r="X93" s="81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6" t="str">
        <f aca="false">IF(SUM(Y93:AJ93)=0,"",SUM(Y93:AJ93))</f>
        <v/>
      </c>
      <c r="AL93" s="84" t="str">
        <f aca="false">MID(IF(N(Y93)&gt;0,", "&amp;Y$2,"")&amp;IF(N(Z93)&gt;0,", "&amp;Z$2,"")&amp;IF(N(AA93)&gt;0,", "&amp;AA$2,"")&amp;IF(N(AB93)&gt;0,", "&amp;AB$2,"")&amp;IF(N(AC93)&gt;0,", "&amp;AC$2,"")&amp;IF(N(AD93)&gt;0,", "&amp;AD$2,"")&amp;IF(N(AE93)&gt;0,", "&amp;AE$2,"")&amp;IF(N(AF93)&gt;0,", "&amp;AF$2,"")&amp;IF(N(AG93)&gt;0,", "&amp;AG$2,"")&amp;IF(N(AH93)&gt;0,", "&amp;AH$2,"")&amp;IF(N(AI93)&gt;0,", "&amp;AI$2,"")&amp;IF(N(AJ93)&gt;0,", "&amp;AJ$2,""),3,999)</f>
        <v/>
      </c>
      <c r="AM93" s="87" t="str">
        <f aca="false">IF(E93="","",MID(IF(N(Y93)&gt;0,", "&amp;A93&amp;"-"&amp;Y$2,"")&amp;IF(N(Z93)&gt;0,", "&amp;A93&amp;"-"&amp;Z$2,"")&amp;IF(N(AA93)&gt;0,", "&amp;A93&amp;"-"&amp;AA$2,"")&amp;IF(N(AB93)&gt;0,", "&amp;A93&amp;"-"&amp;AB$2,"")&amp;IF(N(AC93)&gt;0,", "&amp;A93&amp;"-"&amp;AC$2,"")&amp;IF(N(AD93)&gt;0,", "&amp;A93&amp;"-"&amp;AD$2,"")&amp;IF(N(AE93)&gt;0,", "&amp;A93&amp;"-"&amp;AE$2,"")&amp;IF(N(AF93)&gt;0,", "&amp;A93&amp;"-"&amp;AF$2,"")&amp;IF(N(AG93)&gt;0,", "&amp;A93&amp;"-"&amp;AG$2,"")&amp;IF(N(AH93)&gt;0,", "&amp;A93&amp;"-"&amp;AH$2,"")&amp;IF(N(AI93)&gt;0,", "&amp;A93&amp;"-"&amp;AI$2,"")&amp;IF(N(AJ93)&gt;0,", "&amp;A93&amp;"-"&amp;AJ$2,""),3,999))</f>
        <v/>
      </c>
      <c r="AN93" s="81"/>
      <c r="AO93" s="88"/>
      <c r="AP93" s="89" t="str">
        <f aca="false">IF(AO93="","",ROUND(AO93/(1+Справочники!$B$13),2))</f>
        <v/>
      </c>
      <c r="AQ93" s="90" t="str">
        <f aca="false" t="array" ref="AQ93:AQ93">IF(AP93="","",AP93*INDEX(Справочники!$B$4:$B$7,MATCH("RUB",Справочники!$A$4:$A$7,0)))</f>
        <v/>
      </c>
      <c r="AR93" s="90" t="str">
        <f aca="false">IF(AQ93="","",ROUND(AQ93*(1+Справочники!$B$12),0))</f>
        <v/>
      </c>
      <c r="AS93" s="90" t="str">
        <f aca="false">IF(AR93="","",ROUND(AR93*(1-Справочники!$B$11),0))</f>
        <v/>
      </c>
      <c r="AT93" s="88"/>
      <c r="AU93" s="90" t="str">
        <f aca="false">IF(AT93="","",ROUND(AT93/(1+Справочники!$B$12),0))</f>
        <v/>
      </c>
      <c r="AV93" s="90" t="str">
        <f aca="false">IF(AT93="","",ROUND(AT93*(1-Справочники!$B$15),0))</f>
        <v/>
      </c>
      <c r="AW93" s="90" t="str">
        <f aca="false">IF(AT93="","",ROUND(AT93*(1-Справочники!$B$16),0))</f>
        <v/>
      </c>
      <c r="AX93" s="90" t="str">
        <f aca="false">IF(AT93="","",ROUND(AT93*(1-Справочники!$B$17),0))</f>
        <v/>
      </c>
      <c r="AY93" s="90" t="str">
        <f aca="false">IF(AT93="","",ROUND(AT93*(1-Справочники!$B$18),0))</f>
        <v/>
      </c>
      <c r="AZ93" s="90" t="str">
        <f aca="false">IF(AT93="","",ROUND(AT93*(1-Справочники!$B$19),0))</f>
        <v/>
      </c>
      <c r="BA93" s="81"/>
      <c r="BB93" s="81"/>
      <c r="BC93" s="81"/>
      <c r="BD93" s="81"/>
      <c r="BE93" s="91"/>
      <c r="BF93" s="81" t="s">
        <v>103</v>
      </c>
      <c r="BG93" s="89" t="n">
        <f aca="false" t="array" ref="BG93:BG93">IF(BF93="","",IFERROR(INDEX(Справочники!$B$4:$B$7,MATCH(BF93,Справочники!$A$4:$A$7,0)),""))</f>
        <v>68.5</v>
      </c>
      <c r="BH93" s="90" t="str">
        <f aca="false">IF(N(BN93)&gt;0,ROUND(SUMIF(ЗАКАЗЫ!$F$3:$F$500,$A93,ЗАКАЗЫ!$Y$3:$Y$500)/BN93,0),IF(OR(BE93="",BG93=""),"",ROUND(BE93*BG93*(1+Справочники!$B$10),0)))</f>
        <v/>
      </c>
      <c r="BI93" s="92" t="str">
        <f aca="false">IF(OR(AU93="",BH93="",AU93=0),"",(AU93-BH93)/AU93)</f>
        <v/>
      </c>
      <c r="BJ93" s="81"/>
      <c r="BK93" s="83"/>
      <c r="BL93" s="43" t="str">
        <f aca="false">IFERROR(INDEX(ЗАКАЗЫ!$N$3:$N$500,MATCH($A93,ЗАКАЗЫ!$F$3:$F$500,0)),"")</f>
        <v/>
      </c>
      <c r="BM93" s="8" t="str">
        <f aca="false">IF(BL93="","",IFERROR(VLOOKUP(BL93,'ТН ВЭД'!$A$4:$C$40,3,0),""))</f>
        <v/>
      </c>
      <c r="BN93" s="7" t="str">
        <f aca="false">IF(COUNTIF(ЗАКАЗЫ!$F$3:$F$500,$A93)=0,"",SUMIF(ЗАКАЗЫ!$F$3:$F$500,$A93,ЗАКАЗЫ!$J$3:$J$500))</f>
        <v/>
      </c>
      <c r="BO93" s="7" t="str">
        <f aca="false">IF(BN93="","",SUMIF(ЗАКАЗЫ!$F$3:$F$500,$A93,ЗАКАЗЫ!$AL$3:$AL$500))</f>
        <v/>
      </c>
      <c r="BP93" s="7" t="str">
        <f aca="false">IF(BN93="","",BN93-BO93)</f>
        <v/>
      </c>
      <c r="BQ93" s="55" t="str">
        <f aca="false">IF(BN93="","",IF(BO93&gt;=BN93,"На складе",IF(BO93&gt;0,"Частично","Ждём")))</f>
        <v/>
      </c>
      <c r="BR93" s="43"/>
      <c r="BS93" s="47" t="str">
        <f aca="false">IF(BN93="","",IF(_xlfn.MAXIFS(ЗАКАЗЫ!$AK$3:$AK$500,ЗАКАЗЫ!$F$3:$F$500,$A93)=0,"",_xlfn.MAXIFS(ЗАКАЗЫ!$AK$3:$AK$500,ЗАКАЗЫ!$F$3:$F$500,$A93)))</f>
        <v/>
      </c>
    </row>
    <row r="94" customFormat="false" ht="15.75" hidden="false" customHeight="true" outlineLevel="0" collapsed="false">
      <c r="A94" s="80" t="s">
        <v>1295</v>
      </c>
      <c r="B94" s="81"/>
      <c r="C94" s="81"/>
      <c r="D94" s="81"/>
      <c r="E94" s="83"/>
      <c r="F94" s="81"/>
      <c r="G94" s="83"/>
      <c r="H94" s="83"/>
      <c r="I94" s="84" t="str">
        <f aca="false">IF(E94="","",A94&amp;"_1.jpg")</f>
        <v/>
      </c>
      <c r="J94" s="84" t="str">
        <f aca="false">IF(E94="","",A94&amp;"_2.jpg; "&amp;A94&amp;"_3.jpg")</f>
        <v/>
      </c>
      <c r="K94" s="84" t="str">
        <f aca="false">IF(E94="","",A94&amp;"_schema.jpg")</f>
        <v/>
      </c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 t="s">
        <v>96</v>
      </c>
      <c r="W94" s="81"/>
      <c r="X94" s="81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6" t="str">
        <f aca="false">IF(SUM(Y94:AJ94)=0,"",SUM(Y94:AJ94))</f>
        <v/>
      </c>
      <c r="AL94" s="84" t="str">
        <f aca="false">MID(IF(N(Y94)&gt;0,", "&amp;Y$2,"")&amp;IF(N(Z94)&gt;0,", "&amp;Z$2,"")&amp;IF(N(AA94)&gt;0,", "&amp;AA$2,"")&amp;IF(N(AB94)&gt;0,", "&amp;AB$2,"")&amp;IF(N(AC94)&gt;0,", "&amp;AC$2,"")&amp;IF(N(AD94)&gt;0,", "&amp;AD$2,"")&amp;IF(N(AE94)&gt;0,", "&amp;AE$2,"")&amp;IF(N(AF94)&gt;0,", "&amp;AF$2,"")&amp;IF(N(AG94)&gt;0,", "&amp;AG$2,"")&amp;IF(N(AH94)&gt;0,", "&amp;AH$2,"")&amp;IF(N(AI94)&gt;0,", "&amp;AI$2,"")&amp;IF(N(AJ94)&gt;0,", "&amp;AJ$2,""),3,999)</f>
        <v/>
      </c>
      <c r="AM94" s="87" t="str">
        <f aca="false">IF(E94="","",MID(IF(N(Y94)&gt;0,", "&amp;A94&amp;"-"&amp;Y$2,"")&amp;IF(N(Z94)&gt;0,", "&amp;A94&amp;"-"&amp;Z$2,"")&amp;IF(N(AA94)&gt;0,", "&amp;A94&amp;"-"&amp;AA$2,"")&amp;IF(N(AB94)&gt;0,", "&amp;A94&amp;"-"&amp;AB$2,"")&amp;IF(N(AC94)&gt;0,", "&amp;A94&amp;"-"&amp;AC$2,"")&amp;IF(N(AD94)&gt;0,", "&amp;A94&amp;"-"&amp;AD$2,"")&amp;IF(N(AE94)&gt;0,", "&amp;A94&amp;"-"&amp;AE$2,"")&amp;IF(N(AF94)&gt;0,", "&amp;A94&amp;"-"&amp;AF$2,"")&amp;IF(N(AG94)&gt;0,", "&amp;A94&amp;"-"&amp;AG$2,"")&amp;IF(N(AH94)&gt;0,", "&amp;A94&amp;"-"&amp;AH$2,"")&amp;IF(N(AI94)&gt;0,", "&amp;A94&amp;"-"&amp;AI$2,"")&amp;IF(N(AJ94)&gt;0,", "&amp;A94&amp;"-"&amp;AJ$2,""),3,999))</f>
        <v/>
      </c>
      <c r="AN94" s="81"/>
      <c r="AO94" s="88"/>
      <c r="AP94" s="89" t="str">
        <f aca="false">IF(AO94="","",ROUND(AO94/(1+Справочники!$B$13),2))</f>
        <v/>
      </c>
      <c r="AQ94" s="90" t="str">
        <f aca="false" t="array" ref="AQ94:AQ94">IF(AP94="","",AP94*INDEX(Справочники!$B$4:$B$7,MATCH("RUB",Справочники!$A$4:$A$7,0)))</f>
        <v/>
      </c>
      <c r="AR94" s="90" t="str">
        <f aca="false">IF(AQ94="","",ROUND(AQ94*(1+Справочники!$B$12),0))</f>
        <v/>
      </c>
      <c r="AS94" s="90" t="str">
        <f aca="false">IF(AR94="","",ROUND(AR94*(1-Справочники!$B$11),0))</f>
        <v/>
      </c>
      <c r="AT94" s="88"/>
      <c r="AU94" s="90" t="str">
        <f aca="false">IF(AT94="","",ROUND(AT94/(1+Справочники!$B$12),0))</f>
        <v/>
      </c>
      <c r="AV94" s="90" t="str">
        <f aca="false">IF(AT94="","",ROUND(AT94*(1-Справочники!$B$15),0))</f>
        <v/>
      </c>
      <c r="AW94" s="90" t="str">
        <f aca="false">IF(AT94="","",ROUND(AT94*(1-Справочники!$B$16),0))</f>
        <v/>
      </c>
      <c r="AX94" s="90" t="str">
        <f aca="false">IF(AT94="","",ROUND(AT94*(1-Справочники!$B$17),0))</f>
        <v/>
      </c>
      <c r="AY94" s="90" t="str">
        <f aca="false">IF(AT94="","",ROUND(AT94*(1-Справочники!$B$18),0))</f>
        <v/>
      </c>
      <c r="AZ94" s="90" t="str">
        <f aca="false">IF(AT94="","",ROUND(AT94*(1-Справочники!$B$19),0))</f>
        <v/>
      </c>
      <c r="BA94" s="81"/>
      <c r="BB94" s="81"/>
      <c r="BC94" s="81"/>
      <c r="BD94" s="81"/>
      <c r="BE94" s="91"/>
      <c r="BF94" s="81" t="s">
        <v>103</v>
      </c>
      <c r="BG94" s="89" t="n">
        <f aca="false" t="array" ref="BG94:BG94">IF(BF94="","",IFERROR(INDEX(Справочники!$B$4:$B$7,MATCH(BF94,Справочники!$A$4:$A$7,0)),""))</f>
        <v>68.5</v>
      </c>
      <c r="BH94" s="90" t="str">
        <f aca="false">IF(N(BN94)&gt;0,ROUND(SUMIF(ЗАКАЗЫ!$F$3:$F$500,$A94,ЗАКАЗЫ!$Y$3:$Y$500)/BN94,0),IF(OR(BE94="",BG94=""),"",ROUND(BE94*BG94*(1+Справочники!$B$10),0)))</f>
        <v/>
      </c>
      <c r="BI94" s="92" t="str">
        <f aca="false">IF(OR(AU94="",BH94="",AU94=0),"",(AU94-BH94)/AU94)</f>
        <v/>
      </c>
      <c r="BJ94" s="81"/>
      <c r="BK94" s="83"/>
      <c r="BL94" s="43" t="str">
        <f aca="false">IFERROR(INDEX(ЗАКАЗЫ!$N$3:$N$500,MATCH($A94,ЗАКАЗЫ!$F$3:$F$500,0)),"")</f>
        <v/>
      </c>
      <c r="BM94" s="8" t="str">
        <f aca="false">IF(BL94="","",IFERROR(VLOOKUP(BL94,'ТН ВЭД'!$A$4:$C$40,3,0),""))</f>
        <v/>
      </c>
      <c r="BN94" s="7" t="str">
        <f aca="false">IF(COUNTIF(ЗАКАЗЫ!$F$3:$F$500,$A94)=0,"",SUMIF(ЗАКАЗЫ!$F$3:$F$500,$A94,ЗАКАЗЫ!$J$3:$J$500))</f>
        <v/>
      </c>
      <c r="BO94" s="7" t="str">
        <f aca="false">IF(BN94="","",SUMIF(ЗАКАЗЫ!$F$3:$F$500,$A94,ЗАКАЗЫ!$AL$3:$AL$500))</f>
        <v/>
      </c>
      <c r="BP94" s="7" t="str">
        <f aca="false">IF(BN94="","",BN94-BO94)</f>
        <v/>
      </c>
      <c r="BQ94" s="55" t="str">
        <f aca="false">IF(BN94="","",IF(BO94&gt;=BN94,"На складе",IF(BO94&gt;0,"Частично","Ждём")))</f>
        <v/>
      </c>
      <c r="BR94" s="43"/>
      <c r="BS94" s="47" t="str">
        <f aca="false">IF(BN94="","",IF(_xlfn.MAXIFS(ЗАКАЗЫ!$AK$3:$AK$500,ЗАКАЗЫ!$F$3:$F$500,$A94)=0,"",_xlfn.MAXIFS(ЗАКАЗЫ!$AK$3:$AK$500,ЗАКАЗЫ!$F$3:$F$500,$A94)))</f>
        <v/>
      </c>
    </row>
    <row r="95" customFormat="false" ht="15.75" hidden="false" customHeight="true" outlineLevel="0" collapsed="false">
      <c r="A95" s="80" t="s">
        <v>1296</v>
      </c>
      <c r="B95" s="81"/>
      <c r="C95" s="81"/>
      <c r="D95" s="81"/>
      <c r="E95" s="83"/>
      <c r="F95" s="81"/>
      <c r="G95" s="83"/>
      <c r="H95" s="83"/>
      <c r="I95" s="84" t="str">
        <f aca="false">IF(E95="","",A95&amp;"_1.jpg")</f>
        <v/>
      </c>
      <c r="J95" s="84" t="str">
        <f aca="false">IF(E95="","",A95&amp;"_2.jpg; "&amp;A95&amp;"_3.jpg")</f>
        <v/>
      </c>
      <c r="K95" s="84" t="str">
        <f aca="false">IF(E95="","",A95&amp;"_schema.jpg")</f>
        <v/>
      </c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 t="s">
        <v>96</v>
      </c>
      <c r="W95" s="81"/>
      <c r="X95" s="81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6" t="str">
        <f aca="false">IF(SUM(Y95:AJ95)=0,"",SUM(Y95:AJ95))</f>
        <v/>
      </c>
      <c r="AL95" s="84" t="str">
        <f aca="false">MID(IF(N(Y95)&gt;0,", "&amp;Y$2,"")&amp;IF(N(Z95)&gt;0,", "&amp;Z$2,"")&amp;IF(N(AA95)&gt;0,", "&amp;AA$2,"")&amp;IF(N(AB95)&gt;0,", "&amp;AB$2,"")&amp;IF(N(AC95)&gt;0,", "&amp;AC$2,"")&amp;IF(N(AD95)&gt;0,", "&amp;AD$2,"")&amp;IF(N(AE95)&gt;0,", "&amp;AE$2,"")&amp;IF(N(AF95)&gt;0,", "&amp;AF$2,"")&amp;IF(N(AG95)&gt;0,", "&amp;AG$2,"")&amp;IF(N(AH95)&gt;0,", "&amp;AH$2,"")&amp;IF(N(AI95)&gt;0,", "&amp;AI$2,"")&amp;IF(N(AJ95)&gt;0,", "&amp;AJ$2,""),3,999)</f>
        <v/>
      </c>
      <c r="AM95" s="87" t="str">
        <f aca="false">IF(E95="","",MID(IF(N(Y95)&gt;0,", "&amp;A95&amp;"-"&amp;Y$2,"")&amp;IF(N(Z95)&gt;0,", "&amp;A95&amp;"-"&amp;Z$2,"")&amp;IF(N(AA95)&gt;0,", "&amp;A95&amp;"-"&amp;AA$2,"")&amp;IF(N(AB95)&gt;0,", "&amp;A95&amp;"-"&amp;AB$2,"")&amp;IF(N(AC95)&gt;0,", "&amp;A95&amp;"-"&amp;AC$2,"")&amp;IF(N(AD95)&gt;0,", "&amp;A95&amp;"-"&amp;AD$2,"")&amp;IF(N(AE95)&gt;0,", "&amp;A95&amp;"-"&amp;AE$2,"")&amp;IF(N(AF95)&gt;0,", "&amp;A95&amp;"-"&amp;AF$2,"")&amp;IF(N(AG95)&gt;0,", "&amp;A95&amp;"-"&amp;AG$2,"")&amp;IF(N(AH95)&gt;0,", "&amp;A95&amp;"-"&amp;AH$2,"")&amp;IF(N(AI95)&gt;0,", "&amp;A95&amp;"-"&amp;AI$2,"")&amp;IF(N(AJ95)&gt;0,", "&amp;A95&amp;"-"&amp;AJ$2,""),3,999))</f>
        <v/>
      </c>
      <c r="AN95" s="81"/>
      <c r="AO95" s="88"/>
      <c r="AP95" s="89" t="str">
        <f aca="false">IF(AO95="","",ROUND(AO95/(1+Справочники!$B$13),2))</f>
        <v/>
      </c>
      <c r="AQ95" s="90" t="str">
        <f aca="false" t="array" ref="AQ95:AQ95">IF(AP95="","",AP95*INDEX(Справочники!$B$4:$B$7,MATCH("RUB",Справочники!$A$4:$A$7,0)))</f>
        <v/>
      </c>
      <c r="AR95" s="90" t="str">
        <f aca="false">IF(AQ95="","",ROUND(AQ95*(1+Справочники!$B$12),0))</f>
        <v/>
      </c>
      <c r="AS95" s="90" t="str">
        <f aca="false">IF(AR95="","",ROUND(AR95*(1-Справочники!$B$11),0))</f>
        <v/>
      </c>
      <c r="AT95" s="88"/>
      <c r="AU95" s="90" t="str">
        <f aca="false">IF(AT95="","",ROUND(AT95/(1+Справочники!$B$12),0))</f>
        <v/>
      </c>
      <c r="AV95" s="90" t="str">
        <f aca="false">IF(AT95="","",ROUND(AT95*(1-Справочники!$B$15),0))</f>
        <v/>
      </c>
      <c r="AW95" s="90" t="str">
        <f aca="false">IF(AT95="","",ROUND(AT95*(1-Справочники!$B$16),0))</f>
        <v/>
      </c>
      <c r="AX95" s="90" t="str">
        <f aca="false">IF(AT95="","",ROUND(AT95*(1-Справочники!$B$17),0))</f>
        <v/>
      </c>
      <c r="AY95" s="90" t="str">
        <f aca="false">IF(AT95="","",ROUND(AT95*(1-Справочники!$B$18),0))</f>
        <v/>
      </c>
      <c r="AZ95" s="90" t="str">
        <f aca="false">IF(AT95="","",ROUND(AT95*(1-Справочники!$B$19),0))</f>
        <v/>
      </c>
      <c r="BA95" s="81"/>
      <c r="BB95" s="81"/>
      <c r="BC95" s="81"/>
      <c r="BD95" s="81"/>
      <c r="BE95" s="91"/>
      <c r="BF95" s="81" t="s">
        <v>103</v>
      </c>
      <c r="BG95" s="89" t="n">
        <f aca="false" t="array" ref="BG95:BG95">IF(BF95="","",IFERROR(INDEX(Справочники!$B$4:$B$7,MATCH(BF95,Справочники!$A$4:$A$7,0)),""))</f>
        <v>68.5</v>
      </c>
      <c r="BH95" s="90" t="str">
        <f aca="false">IF(N(BN95)&gt;0,ROUND(SUMIF(ЗАКАЗЫ!$F$3:$F$500,$A95,ЗАКАЗЫ!$Y$3:$Y$500)/BN95,0),IF(OR(BE95="",BG95=""),"",ROUND(BE95*BG95*(1+Справочники!$B$10),0)))</f>
        <v/>
      </c>
      <c r="BI95" s="92" t="str">
        <f aca="false">IF(OR(AU95="",BH95="",AU95=0),"",(AU95-BH95)/AU95)</f>
        <v/>
      </c>
      <c r="BJ95" s="81"/>
      <c r="BK95" s="83"/>
      <c r="BL95" s="43" t="str">
        <f aca="false">IFERROR(INDEX(ЗАКАЗЫ!$N$3:$N$500,MATCH($A95,ЗАКАЗЫ!$F$3:$F$500,0)),"")</f>
        <v/>
      </c>
      <c r="BM95" s="8" t="str">
        <f aca="false">IF(BL95="","",IFERROR(VLOOKUP(BL95,'ТН ВЭД'!$A$4:$C$40,3,0),""))</f>
        <v/>
      </c>
      <c r="BN95" s="7" t="str">
        <f aca="false">IF(COUNTIF(ЗАКАЗЫ!$F$3:$F$500,$A95)=0,"",SUMIF(ЗАКАЗЫ!$F$3:$F$500,$A95,ЗАКАЗЫ!$J$3:$J$500))</f>
        <v/>
      </c>
      <c r="BO95" s="7" t="str">
        <f aca="false">IF(BN95="","",SUMIF(ЗАКАЗЫ!$F$3:$F$500,$A95,ЗАКАЗЫ!$AL$3:$AL$500))</f>
        <v/>
      </c>
      <c r="BP95" s="7" t="str">
        <f aca="false">IF(BN95="","",BN95-BO95)</f>
        <v/>
      </c>
      <c r="BQ95" s="55" t="str">
        <f aca="false">IF(BN95="","",IF(BO95&gt;=BN95,"На складе",IF(BO95&gt;0,"Частично","Ждём")))</f>
        <v/>
      </c>
      <c r="BR95" s="43"/>
      <c r="BS95" s="47" t="str">
        <f aca="false">IF(BN95="","",IF(_xlfn.MAXIFS(ЗАКАЗЫ!$AK$3:$AK$500,ЗАКАЗЫ!$F$3:$F$500,$A95)=0,"",_xlfn.MAXIFS(ЗАКАЗЫ!$AK$3:$AK$500,ЗАКАЗЫ!$F$3:$F$500,$A95)))</f>
        <v/>
      </c>
    </row>
    <row r="96" customFormat="false" ht="15.75" hidden="false" customHeight="true" outlineLevel="0" collapsed="false">
      <c r="A96" s="80" t="s">
        <v>1297</v>
      </c>
      <c r="B96" s="81"/>
      <c r="C96" s="81"/>
      <c r="D96" s="81"/>
      <c r="E96" s="83"/>
      <c r="F96" s="81"/>
      <c r="G96" s="83"/>
      <c r="H96" s="83"/>
      <c r="I96" s="84" t="str">
        <f aca="false">IF(E96="","",A96&amp;"_1.jpg")</f>
        <v/>
      </c>
      <c r="J96" s="84" t="str">
        <f aca="false">IF(E96="","",A96&amp;"_2.jpg; "&amp;A96&amp;"_3.jpg")</f>
        <v/>
      </c>
      <c r="K96" s="84" t="str">
        <f aca="false">IF(E96="","",A96&amp;"_schema.jpg")</f>
        <v/>
      </c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 t="s">
        <v>96</v>
      </c>
      <c r="W96" s="81"/>
      <c r="X96" s="81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6" t="str">
        <f aca="false">IF(SUM(Y96:AJ96)=0,"",SUM(Y96:AJ96))</f>
        <v/>
      </c>
      <c r="AL96" s="84" t="str">
        <f aca="false">MID(IF(N(Y96)&gt;0,", "&amp;Y$2,"")&amp;IF(N(Z96)&gt;0,", "&amp;Z$2,"")&amp;IF(N(AA96)&gt;0,", "&amp;AA$2,"")&amp;IF(N(AB96)&gt;0,", "&amp;AB$2,"")&amp;IF(N(AC96)&gt;0,", "&amp;AC$2,"")&amp;IF(N(AD96)&gt;0,", "&amp;AD$2,"")&amp;IF(N(AE96)&gt;0,", "&amp;AE$2,"")&amp;IF(N(AF96)&gt;0,", "&amp;AF$2,"")&amp;IF(N(AG96)&gt;0,", "&amp;AG$2,"")&amp;IF(N(AH96)&gt;0,", "&amp;AH$2,"")&amp;IF(N(AI96)&gt;0,", "&amp;AI$2,"")&amp;IF(N(AJ96)&gt;0,", "&amp;AJ$2,""),3,999)</f>
        <v/>
      </c>
      <c r="AM96" s="87" t="str">
        <f aca="false">IF(E96="","",MID(IF(N(Y96)&gt;0,", "&amp;A96&amp;"-"&amp;Y$2,"")&amp;IF(N(Z96)&gt;0,", "&amp;A96&amp;"-"&amp;Z$2,"")&amp;IF(N(AA96)&gt;0,", "&amp;A96&amp;"-"&amp;AA$2,"")&amp;IF(N(AB96)&gt;0,", "&amp;A96&amp;"-"&amp;AB$2,"")&amp;IF(N(AC96)&gt;0,", "&amp;A96&amp;"-"&amp;AC$2,"")&amp;IF(N(AD96)&gt;0,", "&amp;A96&amp;"-"&amp;AD$2,"")&amp;IF(N(AE96)&gt;0,", "&amp;A96&amp;"-"&amp;AE$2,"")&amp;IF(N(AF96)&gt;0,", "&amp;A96&amp;"-"&amp;AF$2,"")&amp;IF(N(AG96)&gt;0,", "&amp;A96&amp;"-"&amp;AG$2,"")&amp;IF(N(AH96)&gt;0,", "&amp;A96&amp;"-"&amp;AH$2,"")&amp;IF(N(AI96)&gt;0,", "&amp;A96&amp;"-"&amp;AI$2,"")&amp;IF(N(AJ96)&gt;0,", "&amp;A96&amp;"-"&amp;AJ$2,""),3,999))</f>
        <v/>
      </c>
      <c r="AN96" s="81"/>
      <c r="AO96" s="88"/>
      <c r="AP96" s="89" t="str">
        <f aca="false">IF(AO96="","",ROUND(AO96/(1+Справочники!$B$13),2))</f>
        <v/>
      </c>
      <c r="AQ96" s="90" t="str">
        <f aca="false" t="array" ref="AQ96:AQ96">IF(AP96="","",AP96*INDEX(Справочники!$B$4:$B$7,MATCH("RUB",Справочники!$A$4:$A$7,0)))</f>
        <v/>
      </c>
      <c r="AR96" s="90" t="str">
        <f aca="false">IF(AQ96="","",ROUND(AQ96*(1+Справочники!$B$12),0))</f>
        <v/>
      </c>
      <c r="AS96" s="90" t="str">
        <f aca="false">IF(AR96="","",ROUND(AR96*(1-Справочники!$B$11),0))</f>
        <v/>
      </c>
      <c r="AT96" s="88"/>
      <c r="AU96" s="90" t="str">
        <f aca="false">IF(AT96="","",ROUND(AT96/(1+Справочники!$B$12),0))</f>
        <v/>
      </c>
      <c r="AV96" s="90" t="str">
        <f aca="false">IF(AT96="","",ROUND(AT96*(1-Справочники!$B$15),0))</f>
        <v/>
      </c>
      <c r="AW96" s="90" t="str">
        <f aca="false">IF(AT96="","",ROUND(AT96*(1-Справочники!$B$16),0))</f>
        <v/>
      </c>
      <c r="AX96" s="90" t="str">
        <f aca="false">IF(AT96="","",ROUND(AT96*(1-Справочники!$B$17),0))</f>
        <v/>
      </c>
      <c r="AY96" s="90" t="str">
        <f aca="false">IF(AT96="","",ROUND(AT96*(1-Справочники!$B$18),0))</f>
        <v/>
      </c>
      <c r="AZ96" s="90" t="str">
        <f aca="false">IF(AT96="","",ROUND(AT96*(1-Справочники!$B$19),0))</f>
        <v/>
      </c>
      <c r="BA96" s="81"/>
      <c r="BB96" s="81"/>
      <c r="BC96" s="81"/>
      <c r="BD96" s="81"/>
      <c r="BE96" s="91"/>
      <c r="BF96" s="81" t="s">
        <v>103</v>
      </c>
      <c r="BG96" s="89" t="n">
        <f aca="false" t="array" ref="BG96:BG96">IF(BF96="","",IFERROR(INDEX(Справочники!$B$4:$B$7,MATCH(BF96,Справочники!$A$4:$A$7,0)),""))</f>
        <v>68.5</v>
      </c>
      <c r="BH96" s="90" t="str">
        <f aca="false">IF(N(BN96)&gt;0,ROUND(SUMIF(ЗАКАЗЫ!$F$3:$F$500,$A96,ЗАКАЗЫ!$Y$3:$Y$500)/BN96,0),IF(OR(BE96="",BG96=""),"",ROUND(BE96*BG96*(1+Справочники!$B$10),0)))</f>
        <v/>
      </c>
      <c r="BI96" s="92" t="str">
        <f aca="false">IF(OR(AU96="",BH96="",AU96=0),"",(AU96-BH96)/AU96)</f>
        <v/>
      </c>
      <c r="BJ96" s="81"/>
      <c r="BK96" s="83"/>
      <c r="BL96" s="43" t="str">
        <f aca="false">IFERROR(INDEX(ЗАКАЗЫ!$N$3:$N$500,MATCH($A96,ЗАКАЗЫ!$F$3:$F$500,0)),"")</f>
        <v/>
      </c>
      <c r="BM96" s="8" t="str">
        <f aca="false">IF(BL96="","",IFERROR(VLOOKUP(BL96,'ТН ВЭД'!$A$4:$C$40,3,0),""))</f>
        <v/>
      </c>
      <c r="BN96" s="7" t="str">
        <f aca="false">IF(COUNTIF(ЗАКАЗЫ!$F$3:$F$500,$A96)=0,"",SUMIF(ЗАКАЗЫ!$F$3:$F$500,$A96,ЗАКАЗЫ!$J$3:$J$500))</f>
        <v/>
      </c>
      <c r="BO96" s="7" t="str">
        <f aca="false">IF(BN96="","",SUMIF(ЗАКАЗЫ!$F$3:$F$500,$A96,ЗАКАЗЫ!$AL$3:$AL$500))</f>
        <v/>
      </c>
      <c r="BP96" s="7" t="str">
        <f aca="false">IF(BN96="","",BN96-BO96)</f>
        <v/>
      </c>
      <c r="BQ96" s="55" t="str">
        <f aca="false">IF(BN96="","",IF(BO96&gt;=BN96,"На складе",IF(BO96&gt;0,"Частично","Ждём")))</f>
        <v/>
      </c>
      <c r="BR96" s="43"/>
      <c r="BS96" s="47" t="str">
        <f aca="false">IF(BN96="","",IF(_xlfn.MAXIFS(ЗАКАЗЫ!$AK$3:$AK$500,ЗАКАЗЫ!$F$3:$F$500,$A96)=0,"",_xlfn.MAXIFS(ЗАКАЗЫ!$AK$3:$AK$500,ЗАКАЗЫ!$F$3:$F$500,$A96)))</f>
        <v/>
      </c>
    </row>
    <row r="97" customFormat="false" ht="15.75" hidden="false" customHeight="true" outlineLevel="0" collapsed="false">
      <c r="A97" s="80" t="s">
        <v>1298</v>
      </c>
      <c r="B97" s="81"/>
      <c r="C97" s="81"/>
      <c r="D97" s="81"/>
      <c r="E97" s="83"/>
      <c r="F97" s="81"/>
      <c r="G97" s="83"/>
      <c r="H97" s="83"/>
      <c r="I97" s="84" t="str">
        <f aca="false">IF(E97="","",A97&amp;"_1.jpg")</f>
        <v/>
      </c>
      <c r="J97" s="84" t="str">
        <f aca="false">IF(E97="","",A97&amp;"_2.jpg; "&amp;A97&amp;"_3.jpg")</f>
        <v/>
      </c>
      <c r="K97" s="84" t="str">
        <f aca="false">IF(E97="","",A97&amp;"_schema.jpg")</f>
        <v/>
      </c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 t="s">
        <v>96</v>
      </c>
      <c r="W97" s="81"/>
      <c r="X97" s="81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6" t="str">
        <f aca="false">IF(SUM(Y97:AJ97)=0,"",SUM(Y97:AJ97))</f>
        <v/>
      </c>
      <c r="AL97" s="84" t="str">
        <f aca="false">MID(IF(N(Y97)&gt;0,", "&amp;Y$2,"")&amp;IF(N(Z97)&gt;0,", "&amp;Z$2,"")&amp;IF(N(AA97)&gt;0,", "&amp;AA$2,"")&amp;IF(N(AB97)&gt;0,", "&amp;AB$2,"")&amp;IF(N(AC97)&gt;0,", "&amp;AC$2,"")&amp;IF(N(AD97)&gt;0,", "&amp;AD$2,"")&amp;IF(N(AE97)&gt;0,", "&amp;AE$2,"")&amp;IF(N(AF97)&gt;0,", "&amp;AF$2,"")&amp;IF(N(AG97)&gt;0,", "&amp;AG$2,"")&amp;IF(N(AH97)&gt;0,", "&amp;AH$2,"")&amp;IF(N(AI97)&gt;0,", "&amp;AI$2,"")&amp;IF(N(AJ97)&gt;0,", "&amp;AJ$2,""),3,999)</f>
        <v/>
      </c>
      <c r="AM97" s="87" t="str">
        <f aca="false">IF(E97="","",MID(IF(N(Y97)&gt;0,", "&amp;A97&amp;"-"&amp;Y$2,"")&amp;IF(N(Z97)&gt;0,", "&amp;A97&amp;"-"&amp;Z$2,"")&amp;IF(N(AA97)&gt;0,", "&amp;A97&amp;"-"&amp;AA$2,"")&amp;IF(N(AB97)&gt;0,", "&amp;A97&amp;"-"&amp;AB$2,"")&amp;IF(N(AC97)&gt;0,", "&amp;A97&amp;"-"&amp;AC$2,"")&amp;IF(N(AD97)&gt;0,", "&amp;A97&amp;"-"&amp;AD$2,"")&amp;IF(N(AE97)&gt;0,", "&amp;A97&amp;"-"&amp;AE$2,"")&amp;IF(N(AF97)&gt;0,", "&amp;A97&amp;"-"&amp;AF$2,"")&amp;IF(N(AG97)&gt;0,", "&amp;A97&amp;"-"&amp;AG$2,"")&amp;IF(N(AH97)&gt;0,", "&amp;A97&amp;"-"&amp;AH$2,"")&amp;IF(N(AI97)&gt;0,", "&amp;A97&amp;"-"&amp;AI$2,"")&amp;IF(N(AJ97)&gt;0,", "&amp;A97&amp;"-"&amp;AJ$2,""),3,999))</f>
        <v/>
      </c>
      <c r="AN97" s="81"/>
      <c r="AO97" s="88"/>
      <c r="AP97" s="89" t="str">
        <f aca="false">IF(AO97="","",ROUND(AO97/(1+Справочники!$B$13),2))</f>
        <v/>
      </c>
      <c r="AQ97" s="90" t="str">
        <f aca="false" t="array" ref="AQ97:AQ97">IF(AP97="","",AP97*INDEX(Справочники!$B$4:$B$7,MATCH("RUB",Справочники!$A$4:$A$7,0)))</f>
        <v/>
      </c>
      <c r="AR97" s="90" t="str">
        <f aca="false">IF(AQ97="","",ROUND(AQ97*(1+Справочники!$B$12),0))</f>
        <v/>
      </c>
      <c r="AS97" s="90" t="str">
        <f aca="false">IF(AR97="","",ROUND(AR97*(1-Справочники!$B$11),0))</f>
        <v/>
      </c>
      <c r="AT97" s="88"/>
      <c r="AU97" s="90" t="str">
        <f aca="false">IF(AT97="","",ROUND(AT97/(1+Справочники!$B$12),0))</f>
        <v/>
      </c>
      <c r="AV97" s="90" t="str">
        <f aca="false">IF(AT97="","",ROUND(AT97*(1-Справочники!$B$15),0))</f>
        <v/>
      </c>
      <c r="AW97" s="90" t="str">
        <f aca="false">IF(AT97="","",ROUND(AT97*(1-Справочники!$B$16),0))</f>
        <v/>
      </c>
      <c r="AX97" s="90" t="str">
        <f aca="false">IF(AT97="","",ROUND(AT97*(1-Справочники!$B$17),0))</f>
        <v/>
      </c>
      <c r="AY97" s="90" t="str">
        <f aca="false">IF(AT97="","",ROUND(AT97*(1-Справочники!$B$18),0))</f>
        <v/>
      </c>
      <c r="AZ97" s="90" t="str">
        <f aca="false">IF(AT97="","",ROUND(AT97*(1-Справочники!$B$19),0))</f>
        <v/>
      </c>
      <c r="BA97" s="81"/>
      <c r="BB97" s="81"/>
      <c r="BC97" s="81"/>
      <c r="BD97" s="81"/>
      <c r="BE97" s="91"/>
      <c r="BF97" s="81" t="s">
        <v>103</v>
      </c>
      <c r="BG97" s="89" t="n">
        <f aca="false" t="array" ref="BG97:BG97">IF(BF97="","",IFERROR(INDEX(Справочники!$B$4:$B$7,MATCH(BF97,Справочники!$A$4:$A$7,0)),""))</f>
        <v>68.5</v>
      </c>
      <c r="BH97" s="90" t="str">
        <f aca="false">IF(N(BN97)&gt;0,ROUND(SUMIF(ЗАКАЗЫ!$F$3:$F$500,$A97,ЗАКАЗЫ!$Y$3:$Y$500)/BN97,0),IF(OR(BE97="",BG97=""),"",ROUND(BE97*BG97*(1+Справочники!$B$10),0)))</f>
        <v/>
      </c>
      <c r="BI97" s="92" t="str">
        <f aca="false">IF(OR(AU97="",BH97="",AU97=0),"",(AU97-BH97)/AU97)</f>
        <v/>
      </c>
      <c r="BJ97" s="81"/>
      <c r="BK97" s="83"/>
      <c r="BL97" s="43" t="str">
        <f aca="false">IFERROR(INDEX(ЗАКАЗЫ!$N$3:$N$500,MATCH($A97,ЗАКАЗЫ!$F$3:$F$500,0)),"")</f>
        <v/>
      </c>
      <c r="BM97" s="8" t="str">
        <f aca="false">IF(BL97="","",IFERROR(VLOOKUP(BL97,'ТН ВЭД'!$A$4:$C$40,3,0),""))</f>
        <v/>
      </c>
      <c r="BN97" s="7" t="str">
        <f aca="false">IF(COUNTIF(ЗАКАЗЫ!$F$3:$F$500,$A97)=0,"",SUMIF(ЗАКАЗЫ!$F$3:$F$500,$A97,ЗАКАЗЫ!$J$3:$J$500))</f>
        <v/>
      </c>
      <c r="BO97" s="7" t="str">
        <f aca="false">IF(BN97="","",SUMIF(ЗАКАЗЫ!$F$3:$F$500,$A97,ЗАКАЗЫ!$AL$3:$AL$500))</f>
        <v/>
      </c>
      <c r="BP97" s="7" t="str">
        <f aca="false">IF(BN97="","",BN97-BO97)</f>
        <v/>
      </c>
      <c r="BQ97" s="55" t="str">
        <f aca="false">IF(BN97="","",IF(BO97&gt;=BN97,"На складе",IF(BO97&gt;0,"Частично","Ждём")))</f>
        <v/>
      </c>
      <c r="BR97" s="43"/>
      <c r="BS97" s="47" t="str">
        <f aca="false">IF(BN97="","",IF(_xlfn.MAXIFS(ЗАКАЗЫ!$AK$3:$AK$500,ЗАКАЗЫ!$F$3:$F$500,$A97)=0,"",_xlfn.MAXIFS(ЗАКАЗЫ!$AK$3:$AK$500,ЗАКАЗЫ!$F$3:$F$500,$A97)))</f>
        <v/>
      </c>
    </row>
    <row r="98" customFormat="false" ht="15.75" hidden="false" customHeight="true" outlineLevel="0" collapsed="false">
      <c r="A98" s="80" t="s">
        <v>1299</v>
      </c>
      <c r="B98" s="81"/>
      <c r="C98" s="81"/>
      <c r="D98" s="81"/>
      <c r="E98" s="83"/>
      <c r="F98" s="81"/>
      <c r="G98" s="83"/>
      <c r="H98" s="83"/>
      <c r="I98" s="84" t="str">
        <f aca="false">IF(E98="","",A98&amp;"_1.jpg")</f>
        <v/>
      </c>
      <c r="J98" s="84" t="str">
        <f aca="false">IF(E98="","",A98&amp;"_2.jpg; "&amp;A98&amp;"_3.jpg")</f>
        <v/>
      </c>
      <c r="K98" s="84" t="str">
        <f aca="false">IF(E98="","",A98&amp;"_schema.jpg")</f>
        <v/>
      </c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 t="s">
        <v>96</v>
      </c>
      <c r="W98" s="81"/>
      <c r="X98" s="81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6" t="str">
        <f aca="false">IF(SUM(Y98:AJ98)=0,"",SUM(Y98:AJ98))</f>
        <v/>
      </c>
      <c r="AL98" s="84" t="str">
        <f aca="false">MID(IF(N(Y98)&gt;0,", "&amp;Y$2,"")&amp;IF(N(Z98)&gt;0,", "&amp;Z$2,"")&amp;IF(N(AA98)&gt;0,", "&amp;AA$2,"")&amp;IF(N(AB98)&gt;0,", "&amp;AB$2,"")&amp;IF(N(AC98)&gt;0,", "&amp;AC$2,"")&amp;IF(N(AD98)&gt;0,", "&amp;AD$2,"")&amp;IF(N(AE98)&gt;0,", "&amp;AE$2,"")&amp;IF(N(AF98)&gt;0,", "&amp;AF$2,"")&amp;IF(N(AG98)&gt;0,", "&amp;AG$2,"")&amp;IF(N(AH98)&gt;0,", "&amp;AH$2,"")&amp;IF(N(AI98)&gt;0,", "&amp;AI$2,"")&amp;IF(N(AJ98)&gt;0,", "&amp;AJ$2,""),3,999)</f>
        <v/>
      </c>
      <c r="AM98" s="87" t="str">
        <f aca="false">IF(E98="","",MID(IF(N(Y98)&gt;0,", "&amp;A98&amp;"-"&amp;Y$2,"")&amp;IF(N(Z98)&gt;0,", "&amp;A98&amp;"-"&amp;Z$2,"")&amp;IF(N(AA98)&gt;0,", "&amp;A98&amp;"-"&amp;AA$2,"")&amp;IF(N(AB98)&gt;0,", "&amp;A98&amp;"-"&amp;AB$2,"")&amp;IF(N(AC98)&gt;0,", "&amp;A98&amp;"-"&amp;AC$2,"")&amp;IF(N(AD98)&gt;0,", "&amp;A98&amp;"-"&amp;AD$2,"")&amp;IF(N(AE98)&gt;0,", "&amp;A98&amp;"-"&amp;AE$2,"")&amp;IF(N(AF98)&gt;0,", "&amp;A98&amp;"-"&amp;AF$2,"")&amp;IF(N(AG98)&gt;0,", "&amp;A98&amp;"-"&amp;AG$2,"")&amp;IF(N(AH98)&gt;0,", "&amp;A98&amp;"-"&amp;AH$2,"")&amp;IF(N(AI98)&gt;0,", "&amp;A98&amp;"-"&amp;AI$2,"")&amp;IF(N(AJ98)&gt;0,", "&amp;A98&amp;"-"&amp;AJ$2,""),3,999))</f>
        <v/>
      </c>
      <c r="AN98" s="81"/>
      <c r="AO98" s="88"/>
      <c r="AP98" s="89" t="str">
        <f aca="false">IF(AO98="","",ROUND(AO98/(1+Справочники!$B$13),2))</f>
        <v/>
      </c>
      <c r="AQ98" s="90" t="str">
        <f aca="false" t="array" ref="AQ98:AQ98">IF(AP98="","",AP98*INDEX(Справочники!$B$4:$B$7,MATCH("RUB",Справочники!$A$4:$A$7,0)))</f>
        <v/>
      </c>
      <c r="AR98" s="90" t="str">
        <f aca="false">IF(AQ98="","",ROUND(AQ98*(1+Справочники!$B$12),0))</f>
        <v/>
      </c>
      <c r="AS98" s="90" t="str">
        <f aca="false">IF(AR98="","",ROUND(AR98*(1-Справочники!$B$11),0))</f>
        <v/>
      </c>
      <c r="AT98" s="88"/>
      <c r="AU98" s="90" t="str">
        <f aca="false">IF(AT98="","",ROUND(AT98/(1+Справочники!$B$12),0))</f>
        <v/>
      </c>
      <c r="AV98" s="90" t="str">
        <f aca="false">IF(AT98="","",ROUND(AT98*(1-Справочники!$B$15),0))</f>
        <v/>
      </c>
      <c r="AW98" s="90" t="str">
        <f aca="false">IF(AT98="","",ROUND(AT98*(1-Справочники!$B$16),0))</f>
        <v/>
      </c>
      <c r="AX98" s="90" t="str">
        <f aca="false">IF(AT98="","",ROUND(AT98*(1-Справочники!$B$17),0))</f>
        <v/>
      </c>
      <c r="AY98" s="90" t="str">
        <f aca="false">IF(AT98="","",ROUND(AT98*(1-Справочники!$B$18),0))</f>
        <v/>
      </c>
      <c r="AZ98" s="90" t="str">
        <f aca="false">IF(AT98="","",ROUND(AT98*(1-Справочники!$B$19),0))</f>
        <v/>
      </c>
      <c r="BA98" s="81"/>
      <c r="BB98" s="81"/>
      <c r="BC98" s="81"/>
      <c r="BD98" s="81"/>
      <c r="BE98" s="91"/>
      <c r="BF98" s="81" t="s">
        <v>103</v>
      </c>
      <c r="BG98" s="89" t="n">
        <f aca="false" t="array" ref="BG98:BG98">IF(BF98="","",IFERROR(INDEX(Справочники!$B$4:$B$7,MATCH(BF98,Справочники!$A$4:$A$7,0)),""))</f>
        <v>68.5</v>
      </c>
      <c r="BH98" s="90" t="str">
        <f aca="false">IF(N(BN98)&gt;0,ROUND(SUMIF(ЗАКАЗЫ!$F$3:$F$500,$A98,ЗАКАЗЫ!$Y$3:$Y$500)/BN98,0),IF(OR(BE98="",BG98=""),"",ROUND(BE98*BG98*(1+Справочники!$B$10),0)))</f>
        <v/>
      </c>
      <c r="BI98" s="92" t="str">
        <f aca="false">IF(OR(AU98="",BH98="",AU98=0),"",(AU98-BH98)/AU98)</f>
        <v/>
      </c>
      <c r="BJ98" s="81"/>
      <c r="BK98" s="83"/>
      <c r="BL98" s="43" t="str">
        <f aca="false">IFERROR(INDEX(ЗАКАЗЫ!$N$3:$N$500,MATCH($A98,ЗАКАЗЫ!$F$3:$F$500,0)),"")</f>
        <v/>
      </c>
      <c r="BM98" s="8" t="str">
        <f aca="false">IF(BL98="","",IFERROR(VLOOKUP(BL98,'ТН ВЭД'!$A$4:$C$40,3,0),""))</f>
        <v/>
      </c>
      <c r="BN98" s="7" t="str">
        <f aca="false">IF(COUNTIF(ЗАКАЗЫ!$F$3:$F$500,$A98)=0,"",SUMIF(ЗАКАЗЫ!$F$3:$F$500,$A98,ЗАКАЗЫ!$J$3:$J$500))</f>
        <v/>
      </c>
      <c r="BO98" s="7" t="str">
        <f aca="false">IF(BN98="","",SUMIF(ЗАКАЗЫ!$F$3:$F$500,$A98,ЗАКАЗЫ!$AL$3:$AL$500))</f>
        <v/>
      </c>
      <c r="BP98" s="7" t="str">
        <f aca="false">IF(BN98="","",BN98-BO98)</f>
        <v/>
      </c>
      <c r="BQ98" s="55" t="str">
        <f aca="false">IF(BN98="","",IF(BO98&gt;=BN98,"На складе",IF(BO98&gt;0,"Частично","Ждём")))</f>
        <v/>
      </c>
      <c r="BR98" s="43"/>
      <c r="BS98" s="47" t="str">
        <f aca="false">IF(BN98="","",IF(_xlfn.MAXIFS(ЗАКАЗЫ!$AK$3:$AK$500,ЗАКАЗЫ!$F$3:$F$500,$A98)=0,"",_xlfn.MAXIFS(ЗАКАЗЫ!$AK$3:$AK$500,ЗАКАЗЫ!$F$3:$F$500,$A98)))</f>
        <v/>
      </c>
    </row>
    <row r="99" customFormat="false" ht="15.75" hidden="false" customHeight="true" outlineLevel="0" collapsed="false">
      <c r="A99" s="80" t="s">
        <v>1300</v>
      </c>
      <c r="B99" s="81"/>
      <c r="C99" s="81"/>
      <c r="D99" s="81"/>
      <c r="E99" s="83"/>
      <c r="F99" s="81"/>
      <c r="G99" s="83"/>
      <c r="H99" s="83"/>
      <c r="I99" s="84" t="str">
        <f aca="false">IF(E99="","",A99&amp;"_1.jpg")</f>
        <v/>
      </c>
      <c r="J99" s="84" t="str">
        <f aca="false">IF(E99="","",A99&amp;"_2.jpg; "&amp;A99&amp;"_3.jpg")</f>
        <v/>
      </c>
      <c r="K99" s="84" t="str">
        <f aca="false">IF(E99="","",A99&amp;"_schema.jpg")</f>
        <v/>
      </c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 t="s">
        <v>96</v>
      </c>
      <c r="W99" s="81"/>
      <c r="X99" s="81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6" t="str">
        <f aca="false">IF(SUM(Y99:AJ99)=0,"",SUM(Y99:AJ99))</f>
        <v/>
      </c>
      <c r="AL99" s="84" t="str">
        <f aca="false">MID(IF(N(Y99)&gt;0,", "&amp;Y$2,"")&amp;IF(N(Z99)&gt;0,", "&amp;Z$2,"")&amp;IF(N(AA99)&gt;0,", "&amp;AA$2,"")&amp;IF(N(AB99)&gt;0,", "&amp;AB$2,"")&amp;IF(N(AC99)&gt;0,", "&amp;AC$2,"")&amp;IF(N(AD99)&gt;0,", "&amp;AD$2,"")&amp;IF(N(AE99)&gt;0,", "&amp;AE$2,"")&amp;IF(N(AF99)&gt;0,", "&amp;AF$2,"")&amp;IF(N(AG99)&gt;0,", "&amp;AG$2,"")&amp;IF(N(AH99)&gt;0,", "&amp;AH$2,"")&amp;IF(N(AI99)&gt;0,", "&amp;AI$2,"")&amp;IF(N(AJ99)&gt;0,", "&amp;AJ$2,""),3,999)</f>
        <v/>
      </c>
      <c r="AM99" s="87" t="str">
        <f aca="false">IF(E99="","",MID(IF(N(Y99)&gt;0,", "&amp;A99&amp;"-"&amp;Y$2,"")&amp;IF(N(Z99)&gt;0,", "&amp;A99&amp;"-"&amp;Z$2,"")&amp;IF(N(AA99)&gt;0,", "&amp;A99&amp;"-"&amp;AA$2,"")&amp;IF(N(AB99)&gt;0,", "&amp;A99&amp;"-"&amp;AB$2,"")&amp;IF(N(AC99)&gt;0,", "&amp;A99&amp;"-"&amp;AC$2,"")&amp;IF(N(AD99)&gt;0,", "&amp;A99&amp;"-"&amp;AD$2,"")&amp;IF(N(AE99)&gt;0,", "&amp;A99&amp;"-"&amp;AE$2,"")&amp;IF(N(AF99)&gt;0,", "&amp;A99&amp;"-"&amp;AF$2,"")&amp;IF(N(AG99)&gt;0,", "&amp;A99&amp;"-"&amp;AG$2,"")&amp;IF(N(AH99)&gt;0,", "&amp;A99&amp;"-"&amp;AH$2,"")&amp;IF(N(AI99)&gt;0,", "&amp;A99&amp;"-"&amp;AI$2,"")&amp;IF(N(AJ99)&gt;0,", "&amp;A99&amp;"-"&amp;AJ$2,""),3,999))</f>
        <v/>
      </c>
      <c r="AN99" s="81"/>
      <c r="AO99" s="88"/>
      <c r="AP99" s="89" t="str">
        <f aca="false">IF(AO99="","",ROUND(AO99/(1+Справочники!$B$13),2))</f>
        <v/>
      </c>
      <c r="AQ99" s="90" t="str">
        <f aca="false" t="array" ref="AQ99:AQ99">IF(AP99="","",AP99*INDEX(Справочники!$B$4:$B$7,MATCH("RUB",Справочники!$A$4:$A$7,0)))</f>
        <v/>
      </c>
      <c r="AR99" s="90" t="str">
        <f aca="false">IF(AQ99="","",ROUND(AQ99*(1+Справочники!$B$12),0))</f>
        <v/>
      </c>
      <c r="AS99" s="90" t="str">
        <f aca="false">IF(AR99="","",ROUND(AR99*(1-Справочники!$B$11),0))</f>
        <v/>
      </c>
      <c r="AT99" s="88"/>
      <c r="AU99" s="90" t="str">
        <f aca="false">IF(AT99="","",ROUND(AT99/(1+Справочники!$B$12),0))</f>
        <v/>
      </c>
      <c r="AV99" s="90" t="str">
        <f aca="false">IF(AT99="","",ROUND(AT99*(1-Справочники!$B$15),0))</f>
        <v/>
      </c>
      <c r="AW99" s="90" t="str">
        <f aca="false">IF(AT99="","",ROUND(AT99*(1-Справочники!$B$16),0))</f>
        <v/>
      </c>
      <c r="AX99" s="90" t="str">
        <f aca="false">IF(AT99="","",ROUND(AT99*(1-Справочники!$B$17),0))</f>
        <v/>
      </c>
      <c r="AY99" s="90" t="str">
        <f aca="false">IF(AT99="","",ROUND(AT99*(1-Справочники!$B$18),0))</f>
        <v/>
      </c>
      <c r="AZ99" s="90" t="str">
        <f aca="false">IF(AT99="","",ROUND(AT99*(1-Справочники!$B$19),0))</f>
        <v/>
      </c>
      <c r="BA99" s="81"/>
      <c r="BB99" s="81"/>
      <c r="BC99" s="81"/>
      <c r="BD99" s="81"/>
      <c r="BE99" s="91"/>
      <c r="BF99" s="81" t="s">
        <v>103</v>
      </c>
      <c r="BG99" s="89" t="n">
        <f aca="false" t="array" ref="BG99:BG99">IF(BF99="","",IFERROR(INDEX(Справочники!$B$4:$B$7,MATCH(BF99,Справочники!$A$4:$A$7,0)),""))</f>
        <v>68.5</v>
      </c>
      <c r="BH99" s="90" t="str">
        <f aca="false">IF(N(BN99)&gt;0,ROUND(SUMIF(ЗАКАЗЫ!$F$3:$F$500,$A99,ЗАКАЗЫ!$Y$3:$Y$500)/BN99,0),IF(OR(BE99="",BG99=""),"",ROUND(BE99*BG99*(1+Справочники!$B$10),0)))</f>
        <v/>
      </c>
      <c r="BI99" s="92" t="str">
        <f aca="false">IF(OR(AU99="",BH99="",AU99=0),"",(AU99-BH99)/AU99)</f>
        <v/>
      </c>
      <c r="BJ99" s="81"/>
      <c r="BK99" s="83"/>
      <c r="BL99" s="43" t="str">
        <f aca="false">IFERROR(INDEX(ЗАКАЗЫ!$N$3:$N$500,MATCH($A99,ЗАКАЗЫ!$F$3:$F$500,0)),"")</f>
        <v/>
      </c>
      <c r="BM99" s="8" t="str">
        <f aca="false">IF(BL99="","",IFERROR(VLOOKUP(BL99,'ТН ВЭД'!$A$4:$C$40,3,0),""))</f>
        <v/>
      </c>
      <c r="BN99" s="7" t="str">
        <f aca="false">IF(COUNTIF(ЗАКАЗЫ!$F$3:$F$500,$A99)=0,"",SUMIF(ЗАКАЗЫ!$F$3:$F$500,$A99,ЗАКАЗЫ!$J$3:$J$500))</f>
        <v/>
      </c>
      <c r="BO99" s="7" t="str">
        <f aca="false">IF(BN99="","",SUMIF(ЗАКАЗЫ!$F$3:$F$500,$A99,ЗАКАЗЫ!$AL$3:$AL$500))</f>
        <v/>
      </c>
      <c r="BP99" s="7" t="str">
        <f aca="false">IF(BN99="","",BN99-BO99)</f>
        <v/>
      </c>
      <c r="BQ99" s="55" t="str">
        <f aca="false">IF(BN99="","",IF(BO99&gt;=BN99,"На складе",IF(BO99&gt;0,"Частично","Ждём")))</f>
        <v/>
      </c>
      <c r="BR99" s="43"/>
      <c r="BS99" s="47" t="str">
        <f aca="false">IF(BN99="","",IF(_xlfn.MAXIFS(ЗАКАЗЫ!$AK$3:$AK$500,ЗАКАЗЫ!$F$3:$F$500,$A99)=0,"",_xlfn.MAXIFS(ЗАКАЗЫ!$AK$3:$AK$500,ЗАКАЗЫ!$F$3:$F$500,$A99)))</f>
        <v/>
      </c>
    </row>
    <row r="100" customFormat="false" ht="15.75" hidden="false" customHeight="true" outlineLevel="0" collapsed="false">
      <c r="A100" s="80" t="s">
        <v>1301</v>
      </c>
      <c r="B100" s="81"/>
      <c r="C100" s="81"/>
      <c r="D100" s="81"/>
      <c r="E100" s="83"/>
      <c r="F100" s="81"/>
      <c r="G100" s="83"/>
      <c r="H100" s="83"/>
      <c r="I100" s="84" t="str">
        <f aca="false">IF(E100="","",A100&amp;"_1.jpg")</f>
        <v/>
      </c>
      <c r="J100" s="84" t="str">
        <f aca="false">IF(E100="","",A100&amp;"_2.jpg; "&amp;A100&amp;"_3.jpg")</f>
        <v/>
      </c>
      <c r="K100" s="84" t="str">
        <f aca="false">IF(E100="","",A100&amp;"_schema.jpg")</f>
        <v/>
      </c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 t="s">
        <v>96</v>
      </c>
      <c r="W100" s="81"/>
      <c r="X100" s="81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6" t="str">
        <f aca="false">IF(SUM(Y100:AJ100)=0,"",SUM(Y100:AJ100))</f>
        <v/>
      </c>
      <c r="AL100" s="84" t="str">
        <f aca="false">MID(IF(N(Y100)&gt;0,", "&amp;Y$2,"")&amp;IF(N(Z100)&gt;0,", "&amp;Z$2,"")&amp;IF(N(AA100)&gt;0,", "&amp;AA$2,"")&amp;IF(N(AB100)&gt;0,", "&amp;AB$2,"")&amp;IF(N(AC100)&gt;0,", "&amp;AC$2,"")&amp;IF(N(AD100)&gt;0,", "&amp;AD$2,"")&amp;IF(N(AE100)&gt;0,", "&amp;AE$2,"")&amp;IF(N(AF100)&gt;0,", "&amp;AF$2,"")&amp;IF(N(AG100)&gt;0,", "&amp;AG$2,"")&amp;IF(N(AH100)&gt;0,", "&amp;AH$2,"")&amp;IF(N(AI100)&gt;0,", "&amp;AI$2,"")&amp;IF(N(AJ100)&gt;0,", "&amp;AJ$2,""),3,999)</f>
        <v/>
      </c>
      <c r="AM100" s="87" t="str">
        <f aca="false">IF(E100="","",MID(IF(N(Y100)&gt;0,", "&amp;A100&amp;"-"&amp;Y$2,"")&amp;IF(N(Z100)&gt;0,", "&amp;A100&amp;"-"&amp;Z$2,"")&amp;IF(N(AA100)&gt;0,", "&amp;A100&amp;"-"&amp;AA$2,"")&amp;IF(N(AB100)&gt;0,", "&amp;A100&amp;"-"&amp;AB$2,"")&amp;IF(N(AC100)&gt;0,", "&amp;A100&amp;"-"&amp;AC$2,"")&amp;IF(N(AD100)&gt;0,", "&amp;A100&amp;"-"&amp;AD$2,"")&amp;IF(N(AE100)&gt;0,", "&amp;A100&amp;"-"&amp;AE$2,"")&amp;IF(N(AF100)&gt;0,", "&amp;A100&amp;"-"&amp;AF$2,"")&amp;IF(N(AG100)&gt;0,", "&amp;A100&amp;"-"&amp;AG$2,"")&amp;IF(N(AH100)&gt;0,", "&amp;A100&amp;"-"&amp;AH$2,"")&amp;IF(N(AI100)&gt;0,", "&amp;A100&amp;"-"&amp;AI$2,"")&amp;IF(N(AJ100)&gt;0,", "&amp;A100&amp;"-"&amp;AJ$2,""),3,999))</f>
        <v/>
      </c>
      <c r="AN100" s="81"/>
      <c r="AO100" s="88"/>
      <c r="AP100" s="89" t="str">
        <f aca="false">IF(AO100="","",ROUND(AO100/(1+Справочники!$B$13),2))</f>
        <v/>
      </c>
      <c r="AQ100" s="90" t="str">
        <f aca="false" t="array" ref="AQ100:AQ100">IF(AP100="","",AP100*INDEX(Справочники!$B$4:$B$7,MATCH("RUB",Справочники!$A$4:$A$7,0)))</f>
        <v/>
      </c>
      <c r="AR100" s="90" t="str">
        <f aca="false">IF(AQ100="","",ROUND(AQ100*(1+Справочники!$B$12),0))</f>
        <v/>
      </c>
      <c r="AS100" s="90" t="str">
        <f aca="false">IF(AR100="","",ROUND(AR100*(1-Справочники!$B$11),0))</f>
        <v/>
      </c>
      <c r="AT100" s="88"/>
      <c r="AU100" s="90" t="str">
        <f aca="false">IF(AT100="","",ROUND(AT100/(1+Справочники!$B$12),0))</f>
        <v/>
      </c>
      <c r="AV100" s="90" t="str">
        <f aca="false">IF(AT100="","",ROUND(AT100*(1-Справочники!$B$15),0))</f>
        <v/>
      </c>
      <c r="AW100" s="90" t="str">
        <f aca="false">IF(AT100="","",ROUND(AT100*(1-Справочники!$B$16),0))</f>
        <v/>
      </c>
      <c r="AX100" s="90" t="str">
        <f aca="false">IF(AT100="","",ROUND(AT100*(1-Справочники!$B$17),0))</f>
        <v/>
      </c>
      <c r="AY100" s="90" t="str">
        <f aca="false">IF(AT100="","",ROUND(AT100*(1-Справочники!$B$18),0))</f>
        <v/>
      </c>
      <c r="AZ100" s="90" t="str">
        <f aca="false">IF(AT100="","",ROUND(AT100*(1-Справочники!$B$19),0))</f>
        <v/>
      </c>
      <c r="BA100" s="81"/>
      <c r="BB100" s="81"/>
      <c r="BC100" s="81"/>
      <c r="BD100" s="81"/>
      <c r="BE100" s="91"/>
      <c r="BF100" s="81" t="s">
        <v>103</v>
      </c>
      <c r="BG100" s="89" t="n">
        <f aca="false" t="array" ref="BG100:BG100">IF(BF100="","",IFERROR(INDEX(Справочники!$B$4:$B$7,MATCH(BF100,Справочники!$A$4:$A$7,0)),""))</f>
        <v>68.5</v>
      </c>
      <c r="BH100" s="90" t="str">
        <f aca="false">IF(N(BN100)&gt;0,ROUND(SUMIF(ЗАКАЗЫ!$F$3:$F$500,$A100,ЗАКАЗЫ!$Y$3:$Y$500)/BN100,0),IF(OR(BE100="",BG100=""),"",ROUND(BE100*BG100*(1+Справочники!$B$10),0)))</f>
        <v/>
      </c>
      <c r="BI100" s="92" t="str">
        <f aca="false">IF(OR(AU100="",BH100="",AU100=0),"",(AU100-BH100)/AU100)</f>
        <v/>
      </c>
      <c r="BJ100" s="81"/>
      <c r="BK100" s="83"/>
      <c r="BL100" s="43" t="str">
        <f aca="false">IFERROR(INDEX(ЗАКАЗЫ!$N$3:$N$500,MATCH($A100,ЗАКАЗЫ!$F$3:$F$500,0)),"")</f>
        <v/>
      </c>
      <c r="BM100" s="8" t="str">
        <f aca="false">IF(BL100="","",IFERROR(VLOOKUP(BL100,'ТН ВЭД'!$A$4:$C$40,3,0),""))</f>
        <v/>
      </c>
      <c r="BN100" s="7" t="str">
        <f aca="false">IF(COUNTIF(ЗАКАЗЫ!$F$3:$F$500,$A100)=0,"",SUMIF(ЗАКАЗЫ!$F$3:$F$500,$A100,ЗАКАЗЫ!$J$3:$J$500))</f>
        <v/>
      </c>
      <c r="BO100" s="7" t="str">
        <f aca="false">IF(BN100="","",SUMIF(ЗАКАЗЫ!$F$3:$F$500,$A100,ЗАКАЗЫ!$AL$3:$AL$500))</f>
        <v/>
      </c>
      <c r="BP100" s="7" t="str">
        <f aca="false">IF(BN100="","",BN100-BO100)</f>
        <v/>
      </c>
      <c r="BQ100" s="55" t="str">
        <f aca="false">IF(BN100="","",IF(BO100&gt;=BN100,"На складе",IF(BO100&gt;0,"Частично","Ждём")))</f>
        <v/>
      </c>
      <c r="BR100" s="43"/>
      <c r="BS100" s="47" t="str">
        <f aca="false">IF(BN100="","",IF(_xlfn.MAXIFS(ЗАКАЗЫ!$AK$3:$AK$500,ЗАКАЗЫ!$F$3:$F$500,$A100)=0,"",_xlfn.MAXIFS(ЗАКАЗЫ!$AK$3:$AK$500,ЗАКАЗЫ!$F$3:$F$500,$A100)))</f>
        <v/>
      </c>
    </row>
    <row r="101" customFormat="false" ht="15.75" hidden="false" customHeight="true" outlineLevel="0" collapsed="false">
      <c r="A101" s="80" t="s">
        <v>1302</v>
      </c>
      <c r="B101" s="81"/>
      <c r="C101" s="81"/>
      <c r="D101" s="81"/>
      <c r="E101" s="83"/>
      <c r="F101" s="81"/>
      <c r="G101" s="83"/>
      <c r="H101" s="83"/>
      <c r="I101" s="84" t="str">
        <f aca="false">IF(E101="","",A101&amp;"_1.jpg")</f>
        <v/>
      </c>
      <c r="J101" s="84" t="str">
        <f aca="false">IF(E101="","",A101&amp;"_2.jpg; "&amp;A101&amp;"_3.jpg")</f>
        <v/>
      </c>
      <c r="K101" s="84" t="str">
        <f aca="false">IF(E101="","",A101&amp;"_schema.jpg")</f>
        <v/>
      </c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 t="s">
        <v>96</v>
      </c>
      <c r="W101" s="81"/>
      <c r="X101" s="81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6" t="str">
        <f aca="false">IF(SUM(Y101:AJ101)=0,"",SUM(Y101:AJ101))</f>
        <v/>
      </c>
      <c r="AL101" s="84" t="str">
        <f aca="false">MID(IF(N(Y101)&gt;0,", "&amp;Y$2,"")&amp;IF(N(Z101)&gt;0,", "&amp;Z$2,"")&amp;IF(N(AA101)&gt;0,", "&amp;AA$2,"")&amp;IF(N(AB101)&gt;0,", "&amp;AB$2,"")&amp;IF(N(AC101)&gt;0,", "&amp;AC$2,"")&amp;IF(N(AD101)&gt;0,", "&amp;AD$2,"")&amp;IF(N(AE101)&gt;0,", "&amp;AE$2,"")&amp;IF(N(AF101)&gt;0,", "&amp;AF$2,"")&amp;IF(N(AG101)&gt;0,", "&amp;AG$2,"")&amp;IF(N(AH101)&gt;0,", "&amp;AH$2,"")&amp;IF(N(AI101)&gt;0,", "&amp;AI$2,"")&amp;IF(N(AJ101)&gt;0,", "&amp;AJ$2,""),3,999)</f>
        <v/>
      </c>
      <c r="AM101" s="87" t="str">
        <f aca="false">IF(E101="","",MID(IF(N(Y101)&gt;0,", "&amp;A101&amp;"-"&amp;Y$2,"")&amp;IF(N(Z101)&gt;0,", "&amp;A101&amp;"-"&amp;Z$2,"")&amp;IF(N(AA101)&gt;0,", "&amp;A101&amp;"-"&amp;AA$2,"")&amp;IF(N(AB101)&gt;0,", "&amp;A101&amp;"-"&amp;AB$2,"")&amp;IF(N(AC101)&gt;0,", "&amp;A101&amp;"-"&amp;AC$2,"")&amp;IF(N(AD101)&gt;0,", "&amp;A101&amp;"-"&amp;AD$2,"")&amp;IF(N(AE101)&gt;0,", "&amp;A101&amp;"-"&amp;AE$2,"")&amp;IF(N(AF101)&gt;0,", "&amp;A101&amp;"-"&amp;AF$2,"")&amp;IF(N(AG101)&gt;0,", "&amp;A101&amp;"-"&amp;AG$2,"")&amp;IF(N(AH101)&gt;0,", "&amp;A101&amp;"-"&amp;AH$2,"")&amp;IF(N(AI101)&gt;0,", "&amp;A101&amp;"-"&amp;AI$2,"")&amp;IF(N(AJ101)&gt;0,", "&amp;A101&amp;"-"&amp;AJ$2,""),3,999))</f>
        <v/>
      </c>
      <c r="AN101" s="81"/>
      <c r="AO101" s="88"/>
      <c r="AP101" s="89" t="str">
        <f aca="false">IF(AO101="","",ROUND(AO101/(1+Справочники!$B$13),2))</f>
        <v/>
      </c>
      <c r="AQ101" s="90" t="str">
        <f aca="false" t="array" ref="AQ101:AQ101">IF(AP101="","",AP101*INDEX(Справочники!$B$4:$B$7,MATCH("RUB",Справочники!$A$4:$A$7,0)))</f>
        <v/>
      </c>
      <c r="AR101" s="90" t="str">
        <f aca="false">IF(AQ101="","",ROUND(AQ101*(1+Справочники!$B$12),0))</f>
        <v/>
      </c>
      <c r="AS101" s="90" t="str">
        <f aca="false">IF(AR101="","",ROUND(AR101*(1-Справочники!$B$11),0))</f>
        <v/>
      </c>
      <c r="AT101" s="88"/>
      <c r="AU101" s="90" t="str">
        <f aca="false">IF(AT101="","",ROUND(AT101/(1+Справочники!$B$12),0))</f>
        <v/>
      </c>
      <c r="AV101" s="90" t="str">
        <f aca="false">IF(AT101="","",ROUND(AT101*(1-Справочники!$B$15),0))</f>
        <v/>
      </c>
      <c r="AW101" s="90" t="str">
        <f aca="false">IF(AT101="","",ROUND(AT101*(1-Справочники!$B$16),0))</f>
        <v/>
      </c>
      <c r="AX101" s="90" t="str">
        <f aca="false">IF(AT101="","",ROUND(AT101*(1-Справочники!$B$17),0))</f>
        <v/>
      </c>
      <c r="AY101" s="90" t="str">
        <f aca="false">IF(AT101="","",ROUND(AT101*(1-Справочники!$B$18),0))</f>
        <v/>
      </c>
      <c r="AZ101" s="90" t="str">
        <f aca="false">IF(AT101="","",ROUND(AT101*(1-Справочники!$B$19),0))</f>
        <v/>
      </c>
      <c r="BA101" s="81"/>
      <c r="BB101" s="81"/>
      <c r="BC101" s="81"/>
      <c r="BD101" s="81"/>
      <c r="BE101" s="91"/>
      <c r="BF101" s="81" t="s">
        <v>103</v>
      </c>
      <c r="BG101" s="89" t="n">
        <f aca="false" t="array" ref="BG101:BG101">IF(BF101="","",IFERROR(INDEX(Справочники!$B$4:$B$7,MATCH(BF101,Справочники!$A$4:$A$7,0)),""))</f>
        <v>68.5</v>
      </c>
      <c r="BH101" s="90" t="str">
        <f aca="false">IF(N(BN101)&gt;0,ROUND(SUMIF(ЗАКАЗЫ!$F$3:$F$500,$A101,ЗАКАЗЫ!$Y$3:$Y$500)/BN101,0),IF(OR(BE101="",BG101=""),"",ROUND(BE101*BG101*(1+Справочники!$B$10),0)))</f>
        <v/>
      </c>
      <c r="BI101" s="92" t="str">
        <f aca="false">IF(OR(AU101="",BH101="",AU101=0),"",(AU101-BH101)/AU101)</f>
        <v/>
      </c>
      <c r="BJ101" s="81"/>
      <c r="BK101" s="83"/>
      <c r="BL101" s="43" t="str">
        <f aca="false">IFERROR(INDEX(ЗАКАЗЫ!$N$3:$N$500,MATCH($A101,ЗАКАЗЫ!$F$3:$F$500,0)),"")</f>
        <v/>
      </c>
      <c r="BM101" s="8" t="str">
        <f aca="false">IF(BL101="","",IFERROR(VLOOKUP(BL101,'ТН ВЭД'!$A$4:$C$40,3,0),""))</f>
        <v/>
      </c>
      <c r="BN101" s="7" t="str">
        <f aca="false">IF(COUNTIF(ЗАКАЗЫ!$F$3:$F$500,$A101)=0,"",SUMIF(ЗАКАЗЫ!$F$3:$F$500,$A101,ЗАКАЗЫ!$J$3:$J$500))</f>
        <v/>
      </c>
      <c r="BO101" s="7" t="str">
        <f aca="false">IF(BN101="","",SUMIF(ЗАКАЗЫ!$F$3:$F$500,$A101,ЗАКАЗЫ!$AL$3:$AL$500))</f>
        <v/>
      </c>
      <c r="BP101" s="7" t="str">
        <f aca="false">IF(BN101="","",BN101-BO101)</f>
        <v/>
      </c>
      <c r="BQ101" s="55" t="str">
        <f aca="false">IF(BN101="","",IF(BO101&gt;=BN101,"На складе",IF(BO101&gt;0,"Частично","Ждём")))</f>
        <v/>
      </c>
      <c r="BR101" s="43"/>
      <c r="BS101" s="47" t="str">
        <f aca="false">IF(BN101="","",IF(_xlfn.MAXIFS(ЗАКАЗЫ!$AK$3:$AK$500,ЗАКАЗЫ!$F$3:$F$500,$A101)=0,"",_xlfn.MAXIFS(ЗАКАЗЫ!$AK$3:$AK$500,ЗАКАЗЫ!$F$3:$F$500,$A101)))</f>
        <v/>
      </c>
    </row>
    <row r="102" customFormat="false" ht="15.75" hidden="false" customHeight="true" outlineLevel="0" collapsed="false">
      <c r="A102" s="80" t="s">
        <v>1303</v>
      </c>
      <c r="B102" s="81"/>
      <c r="C102" s="81"/>
      <c r="D102" s="81"/>
      <c r="E102" s="83"/>
      <c r="F102" s="81"/>
      <c r="G102" s="83"/>
      <c r="H102" s="83"/>
      <c r="I102" s="84" t="str">
        <f aca="false">IF(E102="","",A102&amp;"_1.jpg")</f>
        <v/>
      </c>
      <c r="J102" s="84" t="str">
        <f aca="false">IF(E102="","",A102&amp;"_2.jpg; "&amp;A102&amp;"_3.jpg")</f>
        <v/>
      </c>
      <c r="K102" s="84" t="str">
        <f aca="false">IF(E102="","",A102&amp;"_schema.jpg")</f>
        <v/>
      </c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 t="s">
        <v>96</v>
      </c>
      <c r="W102" s="81"/>
      <c r="X102" s="81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6" t="str">
        <f aca="false">IF(SUM(Y102:AJ102)=0,"",SUM(Y102:AJ102))</f>
        <v/>
      </c>
      <c r="AL102" s="84" t="str">
        <f aca="false">MID(IF(N(Y102)&gt;0,", "&amp;Y$2,"")&amp;IF(N(Z102)&gt;0,", "&amp;Z$2,"")&amp;IF(N(AA102)&gt;0,", "&amp;AA$2,"")&amp;IF(N(AB102)&gt;0,", "&amp;AB$2,"")&amp;IF(N(AC102)&gt;0,", "&amp;AC$2,"")&amp;IF(N(AD102)&gt;0,", "&amp;AD$2,"")&amp;IF(N(AE102)&gt;0,", "&amp;AE$2,"")&amp;IF(N(AF102)&gt;0,", "&amp;AF$2,"")&amp;IF(N(AG102)&gt;0,", "&amp;AG$2,"")&amp;IF(N(AH102)&gt;0,", "&amp;AH$2,"")&amp;IF(N(AI102)&gt;0,", "&amp;AI$2,"")&amp;IF(N(AJ102)&gt;0,", "&amp;AJ$2,""),3,999)</f>
        <v/>
      </c>
      <c r="AM102" s="87" t="str">
        <f aca="false">IF(E102="","",MID(IF(N(Y102)&gt;0,", "&amp;A102&amp;"-"&amp;Y$2,"")&amp;IF(N(Z102)&gt;0,", "&amp;A102&amp;"-"&amp;Z$2,"")&amp;IF(N(AA102)&gt;0,", "&amp;A102&amp;"-"&amp;AA$2,"")&amp;IF(N(AB102)&gt;0,", "&amp;A102&amp;"-"&amp;AB$2,"")&amp;IF(N(AC102)&gt;0,", "&amp;A102&amp;"-"&amp;AC$2,"")&amp;IF(N(AD102)&gt;0,", "&amp;A102&amp;"-"&amp;AD$2,"")&amp;IF(N(AE102)&gt;0,", "&amp;A102&amp;"-"&amp;AE$2,"")&amp;IF(N(AF102)&gt;0,", "&amp;A102&amp;"-"&amp;AF$2,"")&amp;IF(N(AG102)&gt;0,", "&amp;A102&amp;"-"&amp;AG$2,"")&amp;IF(N(AH102)&gt;0,", "&amp;A102&amp;"-"&amp;AH$2,"")&amp;IF(N(AI102)&gt;0,", "&amp;A102&amp;"-"&amp;AI$2,"")&amp;IF(N(AJ102)&gt;0,", "&amp;A102&amp;"-"&amp;AJ$2,""),3,999))</f>
        <v/>
      </c>
      <c r="AN102" s="81"/>
      <c r="AO102" s="88"/>
      <c r="AP102" s="89" t="str">
        <f aca="false">IF(AO102="","",ROUND(AO102/(1+Справочники!$B$13),2))</f>
        <v/>
      </c>
      <c r="AQ102" s="90" t="str">
        <f aca="false" t="array" ref="AQ102:AQ102">IF(AP102="","",AP102*INDEX(Справочники!$B$4:$B$7,MATCH("RUB",Справочники!$A$4:$A$7,0)))</f>
        <v/>
      </c>
      <c r="AR102" s="90" t="str">
        <f aca="false">IF(AQ102="","",ROUND(AQ102*(1+Справочники!$B$12),0))</f>
        <v/>
      </c>
      <c r="AS102" s="90" t="str">
        <f aca="false">IF(AR102="","",ROUND(AR102*(1-Справочники!$B$11),0))</f>
        <v/>
      </c>
      <c r="AT102" s="88"/>
      <c r="AU102" s="90" t="str">
        <f aca="false">IF(AT102="","",ROUND(AT102/(1+Справочники!$B$12),0))</f>
        <v/>
      </c>
      <c r="AV102" s="90" t="str">
        <f aca="false">IF(AT102="","",ROUND(AT102*(1-Справочники!$B$15),0))</f>
        <v/>
      </c>
      <c r="AW102" s="90" t="str">
        <f aca="false">IF(AT102="","",ROUND(AT102*(1-Справочники!$B$16),0))</f>
        <v/>
      </c>
      <c r="AX102" s="90" t="str">
        <f aca="false">IF(AT102="","",ROUND(AT102*(1-Справочники!$B$17),0))</f>
        <v/>
      </c>
      <c r="AY102" s="90" t="str">
        <f aca="false">IF(AT102="","",ROUND(AT102*(1-Справочники!$B$18),0))</f>
        <v/>
      </c>
      <c r="AZ102" s="90" t="str">
        <f aca="false">IF(AT102="","",ROUND(AT102*(1-Справочники!$B$19),0))</f>
        <v/>
      </c>
      <c r="BA102" s="81"/>
      <c r="BB102" s="81"/>
      <c r="BC102" s="81"/>
      <c r="BD102" s="81"/>
      <c r="BE102" s="91"/>
      <c r="BF102" s="81" t="s">
        <v>103</v>
      </c>
      <c r="BG102" s="89" t="n">
        <f aca="false" t="array" ref="BG102:BG102">IF(BF102="","",IFERROR(INDEX(Справочники!$B$4:$B$7,MATCH(BF102,Справочники!$A$4:$A$7,0)),""))</f>
        <v>68.5</v>
      </c>
      <c r="BH102" s="90" t="str">
        <f aca="false">IF(N(BN102)&gt;0,ROUND(SUMIF(ЗАКАЗЫ!$F$3:$F$500,$A102,ЗАКАЗЫ!$Y$3:$Y$500)/BN102,0),IF(OR(BE102="",BG102=""),"",ROUND(BE102*BG102*(1+Справочники!$B$10),0)))</f>
        <v/>
      </c>
      <c r="BI102" s="92" t="str">
        <f aca="false">IF(OR(AU102="",BH102="",AU102=0),"",(AU102-BH102)/AU102)</f>
        <v/>
      </c>
      <c r="BJ102" s="81"/>
      <c r="BK102" s="83"/>
      <c r="BL102" s="43" t="str">
        <f aca="false">IFERROR(INDEX(ЗАКАЗЫ!$N$3:$N$500,MATCH($A102,ЗАКАЗЫ!$F$3:$F$500,0)),"")</f>
        <v/>
      </c>
      <c r="BM102" s="8" t="str">
        <f aca="false">IF(BL102="","",IFERROR(VLOOKUP(BL102,'ТН ВЭД'!$A$4:$C$40,3,0),""))</f>
        <v/>
      </c>
      <c r="BN102" s="7" t="str">
        <f aca="false">IF(COUNTIF(ЗАКАЗЫ!$F$3:$F$500,$A102)=0,"",SUMIF(ЗАКАЗЫ!$F$3:$F$500,$A102,ЗАКАЗЫ!$J$3:$J$500))</f>
        <v/>
      </c>
      <c r="BO102" s="7" t="str">
        <f aca="false">IF(BN102="","",SUMIF(ЗАКАЗЫ!$F$3:$F$500,$A102,ЗАКАЗЫ!$AL$3:$AL$500))</f>
        <v/>
      </c>
      <c r="BP102" s="7" t="str">
        <f aca="false">IF(BN102="","",BN102-BO102)</f>
        <v/>
      </c>
      <c r="BQ102" s="55" t="str">
        <f aca="false">IF(BN102="","",IF(BO102&gt;=BN102,"На складе",IF(BO102&gt;0,"Частично","Ждём")))</f>
        <v/>
      </c>
      <c r="BR102" s="43"/>
      <c r="BS102" s="47" t="str">
        <f aca="false">IF(BN102="","",IF(_xlfn.MAXIFS(ЗАКАЗЫ!$AK$3:$AK$500,ЗАКАЗЫ!$F$3:$F$500,$A102)=0,"",_xlfn.MAXIFS(ЗАКАЗЫ!$AK$3:$AK$500,ЗАКАЗЫ!$F$3:$F$500,$A102)))</f>
        <v/>
      </c>
    </row>
    <row r="103" customFormat="false" ht="15.75" hidden="false" customHeight="true" outlineLevel="0" collapsed="false">
      <c r="A103" s="80" t="s">
        <v>1304</v>
      </c>
      <c r="B103" s="81"/>
      <c r="C103" s="81"/>
      <c r="D103" s="81"/>
      <c r="E103" s="83"/>
      <c r="F103" s="81"/>
      <c r="G103" s="83"/>
      <c r="H103" s="83"/>
      <c r="I103" s="84" t="str">
        <f aca="false">IF(E103="","",A103&amp;"_1.jpg")</f>
        <v/>
      </c>
      <c r="J103" s="84" t="str">
        <f aca="false">IF(E103="","",A103&amp;"_2.jpg; "&amp;A103&amp;"_3.jpg")</f>
        <v/>
      </c>
      <c r="K103" s="84" t="str">
        <f aca="false">IF(E103="","",A103&amp;"_schema.jpg")</f>
        <v/>
      </c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 t="s">
        <v>96</v>
      </c>
      <c r="W103" s="81"/>
      <c r="X103" s="81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6" t="str">
        <f aca="false">IF(SUM(Y103:AJ103)=0,"",SUM(Y103:AJ103))</f>
        <v/>
      </c>
      <c r="AL103" s="84" t="str">
        <f aca="false">MID(IF(N(Y103)&gt;0,", "&amp;Y$2,"")&amp;IF(N(Z103)&gt;0,", "&amp;Z$2,"")&amp;IF(N(AA103)&gt;0,", "&amp;AA$2,"")&amp;IF(N(AB103)&gt;0,", "&amp;AB$2,"")&amp;IF(N(AC103)&gt;0,", "&amp;AC$2,"")&amp;IF(N(AD103)&gt;0,", "&amp;AD$2,"")&amp;IF(N(AE103)&gt;0,", "&amp;AE$2,"")&amp;IF(N(AF103)&gt;0,", "&amp;AF$2,"")&amp;IF(N(AG103)&gt;0,", "&amp;AG$2,"")&amp;IF(N(AH103)&gt;0,", "&amp;AH$2,"")&amp;IF(N(AI103)&gt;0,", "&amp;AI$2,"")&amp;IF(N(AJ103)&gt;0,", "&amp;AJ$2,""),3,999)</f>
        <v/>
      </c>
      <c r="AM103" s="87" t="str">
        <f aca="false">IF(E103="","",MID(IF(N(Y103)&gt;0,", "&amp;A103&amp;"-"&amp;Y$2,"")&amp;IF(N(Z103)&gt;0,", "&amp;A103&amp;"-"&amp;Z$2,"")&amp;IF(N(AA103)&gt;0,", "&amp;A103&amp;"-"&amp;AA$2,"")&amp;IF(N(AB103)&gt;0,", "&amp;A103&amp;"-"&amp;AB$2,"")&amp;IF(N(AC103)&gt;0,", "&amp;A103&amp;"-"&amp;AC$2,"")&amp;IF(N(AD103)&gt;0,", "&amp;A103&amp;"-"&amp;AD$2,"")&amp;IF(N(AE103)&gt;0,", "&amp;A103&amp;"-"&amp;AE$2,"")&amp;IF(N(AF103)&gt;0,", "&amp;A103&amp;"-"&amp;AF$2,"")&amp;IF(N(AG103)&gt;0,", "&amp;A103&amp;"-"&amp;AG$2,"")&amp;IF(N(AH103)&gt;0,", "&amp;A103&amp;"-"&amp;AH$2,"")&amp;IF(N(AI103)&gt;0,", "&amp;A103&amp;"-"&amp;AI$2,"")&amp;IF(N(AJ103)&gt;0,", "&amp;A103&amp;"-"&amp;AJ$2,""),3,999))</f>
        <v/>
      </c>
      <c r="AN103" s="81"/>
      <c r="AO103" s="88"/>
      <c r="AP103" s="89" t="str">
        <f aca="false">IF(AO103="","",ROUND(AO103/(1+Справочники!$B$13),2))</f>
        <v/>
      </c>
      <c r="AQ103" s="90" t="str">
        <f aca="false" t="array" ref="AQ103:AQ103">IF(AP103="","",AP103*INDEX(Справочники!$B$4:$B$7,MATCH("RUB",Справочники!$A$4:$A$7,0)))</f>
        <v/>
      </c>
      <c r="AR103" s="90" t="str">
        <f aca="false">IF(AQ103="","",ROUND(AQ103*(1+Справочники!$B$12),0))</f>
        <v/>
      </c>
      <c r="AS103" s="90" t="str">
        <f aca="false">IF(AR103="","",ROUND(AR103*(1-Справочники!$B$11),0))</f>
        <v/>
      </c>
      <c r="AT103" s="88"/>
      <c r="AU103" s="90" t="str">
        <f aca="false">IF(AT103="","",ROUND(AT103/(1+Справочники!$B$12),0))</f>
        <v/>
      </c>
      <c r="AV103" s="90" t="str">
        <f aca="false">IF(AT103="","",ROUND(AT103*(1-Справочники!$B$15),0))</f>
        <v/>
      </c>
      <c r="AW103" s="90" t="str">
        <f aca="false">IF(AT103="","",ROUND(AT103*(1-Справочники!$B$16),0))</f>
        <v/>
      </c>
      <c r="AX103" s="90" t="str">
        <f aca="false">IF(AT103="","",ROUND(AT103*(1-Справочники!$B$17),0))</f>
        <v/>
      </c>
      <c r="AY103" s="90" t="str">
        <f aca="false">IF(AT103="","",ROUND(AT103*(1-Справочники!$B$18),0))</f>
        <v/>
      </c>
      <c r="AZ103" s="90" t="str">
        <f aca="false">IF(AT103="","",ROUND(AT103*(1-Справочники!$B$19),0))</f>
        <v/>
      </c>
      <c r="BA103" s="81"/>
      <c r="BB103" s="81"/>
      <c r="BC103" s="81"/>
      <c r="BD103" s="81"/>
      <c r="BE103" s="91"/>
      <c r="BF103" s="81" t="s">
        <v>103</v>
      </c>
      <c r="BG103" s="89" t="n">
        <f aca="false" t="array" ref="BG103:BG103">IF(BF103="","",IFERROR(INDEX(Справочники!$B$4:$B$7,MATCH(BF103,Справочники!$A$4:$A$7,0)),""))</f>
        <v>68.5</v>
      </c>
      <c r="BH103" s="90" t="str">
        <f aca="false">IF(N(BN103)&gt;0,ROUND(SUMIF(ЗАКАЗЫ!$F$3:$F$500,$A103,ЗАКАЗЫ!$Y$3:$Y$500)/BN103,0),IF(OR(BE103="",BG103=""),"",ROUND(BE103*BG103*(1+Справочники!$B$10),0)))</f>
        <v/>
      </c>
      <c r="BI103" s="92" t="str">
        <f aca="false">IF(OR(AU103="",BH103="",AU103=0),"",(AU103-BH103)/AU103)</f>
        <v/>
      </c>
      <c r="BJ103" s="81"/>
      <c r="BK103" s="83"/>
      <c r="BL103" s="43" t="str">
        <f aca="false">IFERROR(INDEX(ЗАКАЗЫ!$N$3:$N$500,MATCH($A103,ЗАКАЗЫ!$F$3:$F$500,0)),"")</f>
        <v/>
      </c>
      <c r="BM103" s="8" t="str">
        <f aca="false">IF(BL103="","",IFERROR(VLOOKUP(BL103,'ТН ВЭД'!$A$4:$C$40,3,0),""))</f>
        <v/>
      </c>
      <c r="BN103" s="7" t="str">
        <f aca="false">IF(COUNTIF(ЗАКАЗЫ!$F$3:$F$500,$A103)=0,"",SUMIF(ЗАКАЗЫ!$F$3:$F$500,$A103,ЗАКАЗЫ!$J$3:$J$500))</f>
        <v/>
      </c>
      <c r="BO103" s="7" t="str">
        <f aca="false">IF(BN103="","",SUMIF(ЗАКАЗЫ!$F$3:$F$500,$A103,ЗАКАЗЫ!$AL$3:$AL$500))</f>
        <v/>
      </c>
      <c r="BP103" s="7" t="str">
        <f aca="false">IF(BN103="","",BN103-BO103)</f>
        <v/>
      </c>
      <c r="BQ103" s="55" t="str">
        <f aca="false">IF(BN103="","",IF(BO103&gt;=BN103,"На складе",IF(BO103&gt;0,"Частично","Ждём")))</f>
        <v/>
      </c>
      <c r="BR103" s="43"/>
      <c r="BS103" s="47" t="str">
        <f aca="false">IF(BN103="","",IF(_xlfn.MAXIFS(ЗАКАЗЫ!$AK$3:$AK$500,ЗАКАЗЫ!$F$3:$F$500,$A103)=0,"",_xlfn.MAXIFS(ЗАКАЗЫ!$AK$3:$AK$500,ЗАКАЗЫ!$F$3:$F$500,$A103)))</f>
        <v/>
      </c>
    </row>
    <row r="104" customFormat="false" ht="15.75" hidden="false" customHeight="true" outlineLevel="0" collapsed="false">
      <c r="A104" s="80" t="s">
        <v>1305</v>
      </c>
      <c r="B104" s="81"/>
      <c r="C104" s="81"/>
      <c r="D104" s="81"/>
      <c r="E104" s="83"/>
      <c r="F104" s="81"/>
      <c r="G104" s="83"/>
      <c r="H104" s="83"/>
      <c r="I104" s="84" t="str">
        <f aca="false">IF(E104="","",A104&amp;"_1.jpg")</f>
        <v/>
      </c>
      <c r="J104" s="84" t="str">
        <f aca="false">IF(E104="","",A104&amp;"_2.jpg; "&amp;A104&amp;"_3.jpg")</f>
        <v/>
      </c>
      <c r="K104" s="84" t="str">
        <f aca="false">IF(E104="","",A104&amp;"_schema.jpg")</f>
        <v/>
      </c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 t="s">
        <v>96</v>
      </c>
      <c r="W104" s="81"/>
      <c r="X104" s="81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6" t="str">
        <f aca="false">IF(SUM(Y104:AJ104)=0,"",SUM(Y104:AJ104))</f>
        <v/>
      </c>
      <c r="AL104" s="84" t="str">
        <f aca="false">MID(IF(N(Y104)&gt;0,", "&amp;Y$2,"")&amp;IF(N(Z104)&gt;0,", "&amp;Z$2,"")&amp;IF(N(AA104)&gt;0,", "&amp;AA$2,"")&amp;IF(N(AB104)&gt;0,", "&amp;AB$2,"")&amp;IF(N(AC104)&gt;0,", "&amp;AC$2,"")&amp;IF(N(AD104)&gt;0,", "&amp;AD$2,"")&amp;IF(N(AE104)&gt;0,", "&amp;AE$2,"")&amp;IF(N(AF104)&gt;0,", "&amp;AF$2,"")&amp;IF(N(AG104)&gt;0,", "&amp;AG$2,"")&amp;IF(N(AH104)&gt;0,", "&amp;AH$2,"")&amp;IF(N(AI104)&gt;0,", "&amp;AI$2,"")&amp;IF(N(AJ104)&gt;0,", "&amp;AJ$2,""),3,999)</f>
        <v/>
      </c>
      <c r="AM104" s="87" t="str">
        <f aca="false">IF(E104="","",MID(IF(N(Y104)&gt;0,", "&amp;A104&amp;"-"&amp;Y$2,"")&amp;IF(N(Z104)&gt;0,", "&amp;A104&amp;"-"&amp;Z$2,"")&amp;IF(N(AA104)&gt;0,", "&amp;A104&amp;"-"&amp;AA$2,"")&amp;IF(N(AB104)&gt;0,", "&amp;A104&amp;"-"&amp;AB$2,"")&amp;IF(N(AC104)&gt;0,", "&amp;A104&amp;"-"&amp;AC$2,"")&amp;IF(N(AD104)&gt;0,", "&amp;A104&amp;"-"&amp;AD$2,"")&amp;IF(N(AE104)&gt;0,", "&amp;A104&amp;"-"&amp;AE$2,"")&amp;IF(N(AF104)&gt;0,", "&amp;A104&amp;"-"&amp;AF$2,"")&amp;IF(N(AG104)&gt;0,", "&amp;A104&amp;"-"&amp;AG$2,"")&amp;IF(N(AH104)&gt;0,", "&amp;A104&amp;"-"&amp;AH$2,"")&amp;IF(N(AI104)&gt;0,", "&amp;A104&amp;"-"&amp;AI$2,"")&amp;IF(N(AJ104)&gt;0,", "&amp;A104&amp;"-"&amp;AJ$2,""),3,999))</f>
        <v/>
      </c>
      <c r="AN104" s="81"/>
      <c r="AO104" s="88"/>
      <c r="AP104" s="89" t="str">
        <f aca="false">IF(AO104="","",ROUND(AO104/(1+Справочники!$B$13),2))</f>
        <v/>
      </c>
      <c r="AQ104" s="90" t="str">
        <f aca="false" t="array" ref="AQ104:AQ104">IF(AP104="","",AP104*INDEX(Справочники!$B$4:$B$7,MATCH("RUB",Справочники!$A$4:$A$7,0)))</f>
        <v/>
      </c>
      <c r="AR104" s="90" t="str">
        <f aca="false">IF(AQ104="","",ROUND(AQ104*(1+Справочники!$B$12),0))</f>
        <v/>
      </c>
      <c r="AS104" s="90" t="str">
        <f aca="false">IF(AR104="","",ROUND(AR104*(1-Справочники!$B$11),0))</f>
        <v/>
      </c>
      <c r="AT104" s="88"/>
      <c r="AU104" s="90" t="str">
        <f aca="false">IF(AT104="","",ROUND(AT104/(1+Справочники!$B$12),0))</f>
        <v/>
      </c>
      <c r="AV104" s="90" t="str">
        <f aca="false">IF(AT104="","",ROUND(AT104*(1-Справочники!$B$15),0))</f>
        <v/>
      </c>
      <c r="AW104" s="90" t="str">
        <f aca="false">IF(AT104="","",ROUND(AT104*(1-Справочники!$B$16),0))</f>
        <v/>
      </c>
      <c r="AX104" s="90" t="str">
        <f aca="false">IF(AT104="","",ROUND(AT104*(1-Справочники!$B$17),0))</f>
        <v/>
      </c>
      <c r="AY104" s="90" t="str">
        <f aca="false">IF(AT104="","",ROUND(AT104*(1-Справочники!$B$18),0))</f>
        <v/>
      </c>
      <c r="AZ104" s="90" t="str">
        <f aca="false">IF(AT104="","",ROUND(AT104*(1-Справочники!$B$19),0))</f>
        <v/>
      </c>
      <c r="BA104" s="81"/>
      <c r="BB104" s="81"/>
      <c r="BC104" s="81"/>
      <c r="BD104" s="81"/>
      <c r="BE104" s="91"/>
      <c r="BF104" s="81" t="s">
        <v>103</v>
      </c>
      <c r="BG104" s="89" t="n">
        <f aca="false" t="array" ref="BG104:BG104">IF(BF104="","",IFERROR(INDEX(Справочники!$B$4:$B$7,MATCH(BF104,Справочники!$A$4:$A$7,0)),""))</f>
        <v>68.5</v>
      </c>
      <c r="BH104" s="90" t="str">
        <f aca="false">IF(N(BN104)&gt;0,ROUND(SUMIF(ЗАКАЗЫ!$F$3:$F$500,$A104,ЗАКАЗЫ!$Y$3:$Y$500)/BN104,0),IF(OR(BE104="",BG104=""),"",ROUND(BE104*BG104*(1+Справочники!$B$10),0)))</f>
        <v/>
      </c>
      <c r="BI104" s="92" t="str">
        <f aca="false">IF(OR(AU104="",BH104="",AU104=0),"",(AU104-BH104)/AU104)</f>
        <v/>
      </c>
      <c r="BJ104" s="81"/>
      <c r="BK104" s="83"/>
      <c r="BL104" s="43" t="str">
        <f aca="false">IFERROR(INDEX(ЗАКАЗЫ!$N$3:$N$500,MATCH($A104,ЗАКАЗЫ!$F$3:$F$500,0)),"")</f>
        <v/>
      </c>
      <c r="BM104" s="8" t="str">
        <f aca="false">IF(BL104="","",IFERROR(VLOOKUP(BL104,'ТН ВЭД'!$A$4:$C$40,3,0),""))</f>
        <v/>
      </c>
      <c r="BN104" s="7" t="str">
        <f aca="false">IF(COUNTIF(ЗАКАЗЫ!$F$3:$F$500,$A104)=0,"",SUMIF(ЗАКАЗЫ!$F$3:$F$500,$A104,ЗАКАЗЫ!$J$3:$J$500))</f>
        <v/>
      </c>
      <c r="BO104" s="7" t="str">
        <f aca="false">IF(BN104="","",SUMIF(ЗАКАЗЫ!$F$3:$F$500,$A104,ЗАКАЗЫ!$AL$3:$AL$500))</f>
        <v/>
      </c>
      <c r="BP104" s="7" t="str">
        <f aca="false">IF(BN104="","",BN104-BO104)</f>
        <v/>
      </c>
      <c r="BQ104" s="55" t="str">
        <f aca="false">IF(BN104="","",IF(BO104&gt;=BN104,"На складе",IF(BO104&gt;0,"Частично","Ждём")))</f>
        <v/>
      </c>
      <c r="BR104" s="43"/>
      <c r="BS104" s="47" t="str">
        <f aca="false">IF(BN104="","",IF(_xlfn.MAXIFS(ЗАКАЗЫ!$AK$3:$AK$500,ЗАКАЗЫ!$F$3:$F$500,$A104)=0,"",_xlfn.MAXIFS(ЗАКАЗЫ!$AK$3:$AK$500,ЗАКАЗЫ!$F$3:$F$500,$A104)))</f>
        <v/>
      </c>
    </row>
    <row r="105" customFormat="false" ht="15.75" hidden="false" customHeight="true" outlineLevel="0" collapsed="false">
      <c r="A105" s="80" t="s">
        <v>1306</v>
      </c>
      <c r="B105" s="81"/>
      <c r="C105" s="81"/>
      <c r="D105" s="81"/>
      <c r="E105" s="83"/>
      <c r="F105" s="81"/>
      <c r="G105" s="83"/>
      <c r="H105" s="83"/>
      <c r="I105" s="84" t="str">
        <f aca="false">IF(E105="","",A105&amp;"_1.jpg")</f>
        <v/>
      </c>
      <c r="J105" s="84" t="str">
        <f aca="false">IF(E105="","",A105&amp;"_2.jpg; "&amp;A105&amp;"_3.jpg")</f>
        <v/>
      </c>
      <c r="K105" s="84" t="str">
        <f aca="false">IF(E105="","",A105&amp;"_schema.jpg")</f>
        <v/>
      </c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 t="s">
        <v>96</v>
      </c>
      <c r="W105" s="81"/>
      <c r="X105" s="81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6" t="str">
        <f aca="false">IF(SUM(Y105:AJ105)=0,"",SUM(Y105:AJ105))</f>
        <v/>
      </c>
      <c r="AL105" s="84" t="str">
        <f aca="false">MID(IF(N(Y105)&gt;0,", "&amp;Y$2,"")&amp;IF(N(Z105)&gt;0,", "&amp;Z$2,"")&amp;IF(N(AA105)&gt;0,", "&amp;AA$2,"")&amp;IF(N(AB105)&gt;0,", "&amp;AB$2,"")&amp;IF(N(AC105)&gt;0,", "&amp;AC$2,"")&amp;IF(N(AD105)&gt;0,", "&amp;AD$2,"")&amp;IF(N(AE105)&gt;0,", "&amp;AE$2,"")&amp;IF(N(AF105)&gt;0,", "&amp;AF$2,"")&amp;IF(N(AG105)&gt;0,", "&amp;AG$2,"")&amp;IF(N(AH105)&gt;0,", "&amp;AH$2,"")&amp;IF(N(AI105)&gt;0,", "&amp;AI$2,"")&amp;IF(N(AJ105)&gt;0,", "&amp;AJ$2,""),3,999)</f>
        <v/>
      </c>
      <c r="AM105" s="87" t="str">
        <f aca="false">IF(E105="","",MID(IF(N(Y105)&gt;0,", "&amp;A105&amp;"-"&amp;Y$2,"")&amp;IF(N(Z105)&gt;0,", "&amp;A105&amp;"-"&amp;Z$2,"")&amp;IF(N(AA105)&gt;0,", "&amp;A105&amp;"-"&amp;AA$2,"")&amp;IF(N(AB105)&gt;0,", "&amp;A105&amp;"-"&amp;AB$2,"")&amp;IF(N(AC105)&gt;0,", "&amp;A105&amp;"-"&amp;AC$2,"")&amp;IF(N(AD105)&gt;0,", "&amp;A105&amp;"-"&amp;AD$2,"")&amp;IF(N(AE105)&gt;0,", "&amp;A105&amp;"-"&amp;AE$2,"")&amp;IF(N(AF105)&gt;0,", "&amp;A105&amp;"-"&amp;AF$2,"")&amp;IF(N(AG105)&gt;0,", "&amp;A105&amp;"-"&amp;AG$2,"")&amp;IF(N(AH105)&gt;0,", "&amp;A105&amp;"-"&amp;AH$2,"")&amp;IF(N(AI105)&gt;0,", "&amp;A105&amp;"-"&amp;AI$2,"")&amp;IF(N(AJ105)&gt;0,", "&amp;A105&amp;"-"&amp;AJ$2,""),3,999))</f>
        <v/>
      </c>
      <c r="AN105" s="81"/>
      <c r="AO105" s="88"/>
      <c r="AP105" s="89" t="str">
        <f aca="false">IF(AO105="","",ROUND(AO105/(1+Справочники!$B$13),2))</f>
        <v/>
      </c>
      <c r="AQ105" s="90" t="str">
        <f aca="false" t="array" ref="AQ105:AQ105">IF(AP105="","",AP105*INDEX(Справочники!$B$4:$B$7,MATCH("RUB",Справочники!$A$4:$A$7,0)))</f>
        <v/>
      </c>
      <c r="AR105" s="90" t="str">
        <f aca="false">IF(AQ105="","",ROUND(AQ105*(1+Справочники!$B$12),0))</f>
        <v/>
      </c>
      <c r="AS105" s="90" t="str">
        <f aca="false">IF(AR105="","",ROUND(AR105*(1-Справочники!$B$11),0))</f>
        <v/>
      </c>
      <c r="AT105" s="88"/>
      <c r="AU105" s="90" t="str">
        <f aca="false">IF(AT105="","",ROUND(AT105/(1+Справочники!$B$12),0))</f>
        <v/>
      </c>
      <c r="AV105" s="90" t="str">
        <f aca="false">IF(AT105="","",ROUND(AT105*(1-Справочники!$B$15),0))</f>
        <v/>
      </c>
      <c r="AW105" s="90" t="str">
        <f aca="false">IF(AT105="","",ROUND(AT105*(1-Справочники!$B$16),0))</f>
        <v/>
      </c>
      <c r="AX105" s="90" t="str">
        <f aca="false">IF(AT105="","",ROUND(AT105*(1-Справочники!$B$17),0))</f>
        <v/>
      </c>
      <c r="AY105" s="90" t="str">
        <f aca="false">IF(AT105="","",ROUND(AT105*(1-Справочники!$B$18),0))</f>
        <v/>
      </c>
      <c r="AZ105" s="90" t="str">
        <f aca="false">IF(AT105="","",ROUND(AT105*(1-Справочники!$B$19),0))</f>
        <v/>
      </c>
      <c r="BA105" s="81"/>
      <c r="BB105" s="81"/>
      <c r="BC105" s="81"/>
      <c r="BD105" s="81"/>
      <c r="BE105" s="91"/>
      <c r="BF105" s="81" t="s">
        <v>103</v>
      </c>
      <c r="BG105" s="89" t="n">
        <f aca="false" t="array" ref="BG105:BG105">IF(BF105="","",IFERROR(INDEX(Справочники!$B$4:$B$7,MATCH(BF105,Справочники!$A$4:$A$7,0)),""))</f>
        <v>68.5</v>
      </c>
      <c r="BH105" s="90" t="str">
        <f aca="false">IF(N(BN105)&gt;0,ROUND(SUMIF(ЗАКАЗЫ!$F$3:$F$500,$A105,ЗАКАЗЫ!$Y$3:$Y$500)/BN105,0),IF(OR(BE105="",BG105=""),"",ROUND(BE105*BG105*(1+Справочники!$B$10),0)))</f>
        <v/>
      </c>
      <c r="BI105" s="92" t="str">
        <f aca="false">IF(OR(AU105="",BH105="",AU105=0),"",(AU105-BH105)/AU105)</f>
        <v/>
      </c>
      <c r="BJ105" s="81"/>
      <c r="BK105" s="83"/>
      <c r="BL105" s="43" t="str">
        <f aca="false">IFERROR(INDEX(ЗАКАЗЫ!$N$3:$N$500,MATCH($A105,ЗАКАЗЫ!$F$3:$F$500,0)),"")</f>
        <v/>
      </c>
      <c r="BM105" s="8" t="str">
        <f aca="false">IF(BL105="","",IFERROR(VLOOKUP(BL105,'ТН ВЭД'!$A$4:$C$40,3,0),""))</f>
        <v/>
      </c>
      <c r="BN105" s="7" t="str">
        <f aca="false">IF(COUNTIF(ЗАКАЗЫ!$F$3:$F$500,$A105)=0,"",SUMIF(ЗАКАЗЫ!$F$3:$F$500,$A105,ЗАКАЗЫ!$J$3:$J$500))</f>
        <v/>
      </c>
      <c r="BO105" s="7" t="str">
        <f aca="false">IF(BN105="","",SUMIF(ЗАКАЗЫ!$F$3:$F$500,$A105,ЗАКАЗЫ!$AL$3:$AL$500))</f>
        <v/>
      </c>
      <c r="BP105" s="7" t="str">
        <f aca="false">IF(BN105="","",BN105-BO105)</f>
        <v/>
      </c>
      <c r="BQ105" s="55" t="str">
        <f aca="false">IF(BN105="","",IF(BO105&gt;=BN105,"На складе",IF(BO105&gt;0,"Частично","Ждём")))</f>
        <v/>
      </c>
      <c r="BR105" s="43"/>
      <c r="BS105" s="47" t="str">
        <f aca="false">IF(BN105="","",IF(_xlfn.MAXIFS(ЗАКАЗЫ!$AK$3:$AK$500,ЗАКАЗЫ!$F$3:$F$500,$A105)=0,"",_xlfn.MAXIFS(ЗАКАЗЫ!$AK$3:$AK$500,ЗАКАЗЫ!$F$3:$F$500,$A105)))</f>
        <v/>
      </c>
    </row>
    <row r="106" customFormat="false" ht="15.75" hidden="false" customHeight="true" outlineLevel="0" collapsed="false">
      <c r="A106" s="80" t="s">
        <v>1307</v>
      </c>
      <c r="B106" s="81"/>
      <c r="C106" s="81"/>
      <c r="D106" s="81"/>
      <c r="E106" s="83"/>
      <c r="F106" s="81"/>
      <c r="G106" s="83"/>
      <c r="H106" s="83"/>
      <c r="I106" s="84" t="str">
        <f aca="false">IF(E106="","",A106&amp;"_1.jpg")</f>
        <v/>
      </c>
      <c r="J106" s="84" t="str">
        <f aca="false">IF(E106="","",A106&amp;"_2.jpg; "&amp;A106&amp;"_3.jpg")</f>
        <v/>
      </c>
      <c r="K106" s="84" t="str">
        <f aca="false">IF(E106="","",A106&amp;"_schema.jpg")</f>
        <v/>
      </c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 t="s">
        <v>96</v>
      </c>
      <c r="W106" s="81"/>
      <c r="X106" s="81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6" t="str">
        <f aca="false">IF(SUM(Y106:AJ106)=0,"",SUM(Y106:AJ106))</f>
        <v/>
      </c>
      <c r="AL106" s="84" t="str">
        <f aca="false">MID(IF(N(Y106)&gt;0,", "&amp;Y$2,"")&amp;IF(N(Z106)&gt;0,", "&amp;Z$2,"")&amp;IF(N(AA106)&gt;0,", "&amp;AA$2,"")&amp;IF(N(AB106)&gt;0,", "&amp;AB$2,"")&amp;IF(N(AC106)&gt;0,", "&amp;AC$2,"")&amp;IF(N(AD106)&gt;0,", "&amp;AD$2,"")&amp;IF(N(AE106)&gt;0,", "&amp;AE$2,"")&amp;IF(N(AF106)&gt;0,", "&amp;AF$2,"")&amp;IF(N(AG106)&gt;0,", "&amp;AG$2,"")&amp;IF(N(AH106)&gt;0,", "&amp;AH$2,"")&amp;IF(N(AI106)&gt;0,", "&amp;AI$2,"")&amp;IF(N(AJ106)&gt;0,", "&amp;AJ$2,""),3,999)</f>
        <v/>
      </c>
      <c r="AM106" s="87" t="str">
        <f aca="false">IF(E106="","",MID(IF(N(Y106)&gt;0,", "&amp;A106&amp;"-"&amp;Y$2,"")&amp;IF(N(Z106)&gt;0,", "&amp;A106&amp;"-"&amp;Z$2,"")&amp;IF(N(AA106)&gt;0,", "&amp;A106&amp;"-"&amp;AA$2,"")&amp;IF(N(AB106)&gt;0,", "&amp;A106&amp;"-"&amp;AB$2,"")&amp;IF(N(AC106)&gt;0,", "&amp;A106&amp;"-"&amp;AC$2,"")&amp;IF(N(AD106)&gt;0,", "&amp;A106&amp;"-"&amp;AD$2,"")&amp;IF(N(AE106)&gt;0,", "&amp;A106&amp;"-"&amp;AE$2,"")&amp;IF(N(AF106)&gt;0,", "&amp;A106&amp;"-"&amp;AF$2,"")&amp;IF(N(AG106)&gt;0,", "&amp;A106&amp;"-"&amp;AG$2,"")&amp;IF(N(AH106)&gt;0,", "&amp;A106&amp;"-"&amp;AH$2,"")&amp;IF(N(AI106)&gt;0,", "&amp;A106&amp;"-"&amp;AI$2,"")&amp;IF(N(AJ106)&gt;0,", "&amp;A106&amp;"-"&amp;AJ$2,""),3,999))</f>
        <v/>
      </c>
      <c r="AN106" s="81"/>
      <c r="AO106" s="88"/>
      <c r="AP106" s="89" t="str">
        <f aca="false">IF(AO106="","",ROUND(AO106/(1+Справочники!$B$13),2))</f>
        <v/>
      </c>
      <c r="AQ106" s="90" t="str">
        <f aca="false" t="array" ref="AQ106:AQ106">IF(AP106="","",AP106*INDEX(Справочники!$B$4:$B$7,MATCH("RUB",Справочники!$A$4:$A$7,0)))</f>
        <v/>
      </c>
      <c r="AR106" s="90" t="str">
        <f aca="false">IF(AQ106="","",ROUND(AQ106*(1+Справочники!$B$12),0))</f>
        <v/>
      </c>
      <c r="AS106" s="90" t="str">
        <f aca="false">IF(AR106="","",ROUND(AR106*(1-Справочники!$B$11),0))</f>
        <v/>
      </c>
      <c r="AT106" s="88"/>
      <c r="AU106" s="90" t="str">
        <f aca="false">IF(AT106="","",ROUND(AT106/(1+Справочники!$B$12),0))</f>
        <v/>
      </c>
      <c r="AV106" s="90" t="str">
        <f aca="false">IF(AT106="","",ROUND(AT106*(1-Справочники!$B$15),0))</f>
        <v/>
      </c>
      <c r="AW106" s="90" t="str">
        <f aca="false">IF(AT106="","",ROUND(AT106*(1-Справочники!$B$16),0))</f>
        <v/>
      </c>
      <c r="AX106" s="90" t="str">
        <f aca="false">IF(AT106="","",ROUND(AT106*(1-Справочники!$B$17),0))</f>
        <v/>
      </c>
      <c r="AY106" s="90" t="str">
        <f aca="false">IF(AT106="","",ROUND(AT106*(1-Справочники!$B$18),0))</f>
        <v/>
      </c>
      <c r="AZ106" s="90" t="str">
        <f aca="false">IF(AT106="","",ROUND(AT106*(1-Справочники!$B$19),0))</f>
        <v/>
      </c>
      <c r="BA106" s="81"/>
      <c r="BB106" s="81"/>
      <c r="BC106" s="81"/>
      <c r="BD106" s="81"/>
      <c r="BE106" s="91"/>
      <c r="BF106" s="81" t="s">
        <v>103</v>
      </c>
      <c r="BG106" s="89" t="n">
        <f aca="false" t="array" ref="BG106:BG106">IF(BF106="","",IFERROR(INDEX(Справочники!$B$4:$B$7,MATCH(BF106,Справочники!$A$4:$A$7,0)),""))</f>
        <v>68.5</v>
      </c>
      <c r="BH106" s="90" t="str">
        <f aca="false">IF(N(BN106)&gt;0,ROUND(SUMIF(ЗАКАЗЫ!$F$3:$F$500,$A106,ЗАКАЗЫ!$Y$3:$Y$500)/BN106,0),IF(OR(BE106="",BG106=""),"",ROUND(BE106*BG106*(1+Справочники!$B$10),0)))</f>
        <v/>
      </c>
      <c r="BI106" s="92" t="str">
        <f aca="false">IF(OR(AU106="",BH106="",AU106=0),"",(AU106-BH106)/AU106)</f>
        <v/>
      </c>
      <c r="BJ106" s="81"/>
      <c r="BK106" s="83"/>
      <c r="BL106" s="43" t="str">
        <f aca="false">IFERROR(INDEX(ЗАКАЗЫ!$N$3:$N$500,MATCH($A106,ЗАКАЗЫ!$F$3:$F$500,0)),"")</f>
        <v/>
      </c>
      <c r="BM106" s="8" t="str">
        <f aca="false">IF(BL106="","",IFERROR(VLOOKUP(BL106,'ТН ВЭД'!$A$4:$C$40,3,0),""))</f>
        <v/>
      </c>
      <c r="BN106" s="7" t="str">
        <f aca="false">IF(COUNTIF(ЗАКАЗЫ!$F$3:$F$500,$A106)=0,"",SUMIF(ЗАКАЗЫ!$F$3:$F$500,$A106,ЗАКАЗЫ!$J$3:$J$500))</f>
        <v/>
      </c>
      <c r="BO106" s="7" t="str">
        <f aca="false">IF(BN106="","",SUMIF(ЗАКАЗЫ!$F$3:$F$500,$A106,ЗАКАЗЫ!$AL$3:$AL$500))</f>
        <v/>
      </c>
      <c r="BP106" s="7" t="str">
        <f aca="false">IF(BN106="","",BN106-BO106)</f>
        <v/>
      </c>
      <c r="BQ106" s="55" t="str">
        <f aca="false">IF(BN106="","",IF(BO106&gt;=BN106,"На складе",IF(BO106&gt;0,"Частично","Ждём")))</f>
        <v/>
      </c>
      <c r="BR106" s="43"/>
      <c r="BS106" s="47" t="str">
        <f aca="false">IF(BN106="","",IF(_xlfn.MAXIFS(ЗАКАЗЫ!$AK$3:$AK$500,ЗАКАЗЫ!$F$3:$F$500,$A106)=0,"",_xlfn.MAXIFS(ЗАКАЗЫ!$AK$3:$AK$500,ЗАКАЗЫ!$F$3:$F$500,$A106)))</f>
        <v/>
      </c>
    </row>
    <row r="107" customFormat="false" ht="15.75" hidden="false" customHeight="true" outlineLevel="0" collapsed="false">
      <c r="A107" s="80" t="s">
        <v>1308</v>
      </c>
      <c r="B107" s="81"/>
      <c r="C107" s="81"/>
      <c r="D107" s="81"/>
      <c r="E107" s="83"/>
      <c r="F107" s="81"/>
      <c r="G107" s="83"/>
      <c r="H107" s="83"/>
      <c r="I107" s="84" t="str">
        <f aca="false">IF(E107="","",A107&amp;"_1.jpg")</f>
        <v/>
      </c>
      <c r="J107" s="84" t="str">
        <f aca="false">IF(E107="","",A107&amp;"_2.jpg; "&amp;A107&amp;"_3.jpg")</f>
        <v/>
      </c>
      <c r="K107" s="84" t="str">
        <f aca="false">IF(E107="","",A107&amp;"_schema.jpg")</f>
        <v/>
      </c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 t="s">
        <v>96</v>
      </c>
      <c r="W107" s="81"/>
      <c r="X107" s="81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6" t="str">
        <f aca="false">IF(SUM(Y107:AJ107)=0,"",SUM(Y107:AJ107))</f>
        <v/>
      </c>
      <c r="AL107" s="84" t="str">
        <f aca="false">MID(IF(N(Y107)&gt;0,", "&amp;Y$2,"")&amp;IF(N(Z107)&gt;0,", "&amp;Z$2,"")&amp;IF(N(AA107)&gt;0,", "&amp;AA$2,"")&amp;IF(N(AB107)&gt;0,", "&amp;AB$2,"")&amp;IF(N(AC107)&gt;0,", "&amp;AC$2,"")&amp;IF(N(AD107)&gt;0,", "&amp;AD$2,"")&amp;IF(N(AE107)&gt;0,", "&amp;AE$2,"")&amp;IF(N(AF107)&gt;0,", "&amp;AF$2,"")&amp;IF(N(AG107)&gt;0,", "&amp;AG$2,"")&amp;IF(N(AH107)&gt;0,", "&amp;AH$2,"")&amp;IF(N(AI107)&gt;0,", "&amp;AI$2,"")&amp;IF(N(AJ107)&gt;0,", "&amp;AJ$2,""),3,999)</f>
        <v/>
      </c>
      <c r="AM107" s="87" t="str">
        <f aca="false">IF(E107="","",MID(IF(N(Y107)&gt;0,", "&amp;A107&amp;"-"&amp;Y$2,"")&amp;IF(N(Z107)&gt;0,", "&amp;A107&amp;"-"&amp;Z$2,"")&amp;IF(N(AA107)&gt;0,", "&amp;A107&amp;"-"&amp;AA$2,"")&amp;IF(N(AB107)&gt;0,", "&amp;A107&amp;"-"&amp;AB$2,"")&amp;IF(N(AC107)&gt;0,", "&amp;A107&amp;"-"&amp;AC$2,"")&amp;IF(N(AD107)&gt;0,", "&amp;A107&amp;"-"&amp;AD$2,"")&amp;IF(N(AE107)&gt;0,", "&amp;A107&amp;"-"&amp;AE$2,"")&amp;IF(N(AF107)&gt;0,", "&amp;A107&amp;"-"&amp;AF$2,"")&amp;IF(N(AG107)&gt;0,", "&amp;A107&amp;"-"&amp;AG$2,"")&amp;IF(N(AH107)&gt;0,", "&amp;A107&amp;"-"&amp;AH$2,"")&amp;IF(N(AI107)&gt;0,", "&amp;A107&amp;"-"&amp;AI$2,"")&amp;IF(N(AJ107)&gt;0,", "&amp;A107&amp;"-"&amp;AJ$2,""),3,999))</f>
        <v/>
      </c>
      <c r="AN107" s="81"/>
      <c r="AO107" s="88"/>
      <c r="AP107" s="89" t="str">
        <f aca="false">IF(AO107="","",ROUND(AO107/(1+Справочники!$B$13),2))</f>
        <v/>
      </c>
      <c r="AQ107" s="90" t="str">
        <f aca="false" t="array" ref="AQ107:AQ107">IF(AP107="","",AP107*INDEX(Справочники!$B$4:$B$7,MATCH("RUB",Справочники!$A$4:$A$7,0)))</f>
        <v/>
      </c>
      <c r="AR107" s="90" t="str">
        <f aca="false">IF(AQ107="","",ROUND(AQ107*(1+Справочники!$B$12),0))</f>
        <v/>
      </c>
      <c r="AS107" s="90" t="str">
        <f aca="false">IF(AR107="","",ROUND(AR107*(1-Справочники!$B$11),0))</f>
        <v/>
      </c>
      <c r="AT107" s="88"/>
      <c r="AU107" s="90" t="str">
        <f aca="false">IF(AT107="","",ROUND(AT107/(1+Справочники!$B$12),0))</f>
        <v/>
      </c>
      <c r="AV107" s="90" t="str">
        <f aca="false">IF(AT107="","",ROUND(AT107*(1-Справочники!$B$15),0))</f>
        <v/>
      </c>
      <c r="AW107" s="90" t="str">
        <f aca="false">IF(AT107="","",ROUND(AT107*(1-Справочники!$B$16),0))</f>
        <v/>
      </c>
      <c r="AX107" s="90" t="str">
        <f aca="false">IF(AT107="","",ROUND(AT107*(1-Справочники!$B$17),0))</f>
        <v/>
      </c>
      <c r="AY107" s="90" t="str">
        <f aca="false">IF(AT107="","",ROUND(AT107*(1-Справочники!$B$18),0))</f>
        <v/>
      </c>
      <c r="AZ107" s="90" t="str">
        <f aca="false">IF(AT107="","",ROUND(AT107*(1-Справочники!$B$19),0))</f>
        <v/>
      </c>
      <c r="BA107" s="81"/>
      <c r="BB107" s="81"/>
      <c r="BC107" s="81"/>
      <c r="BD107" s="81"/>
      <c r="BE107" s="91"/>
      <c r="BF107" s="81" t="s">
        <v>103</v>
      </c>
      <c r="BG107" s="89" t="n">
        <f aca="false" t="array" ref="BG107:BG107">IF(BF107="","",IFERROR(INDEX(Справочники!$B$4:$B$7,MATCH(BF107,Справочники!$A$4:$A$7,0)),""))</f>
        <v>68.5</v>
      </c>
      <c r="BH107" s="90" t="str">
        <f aca="false">IF(N(BN107)&gt;0,ROUND(SUMIF(ЗАКАЗЫ!$F$3:$F$500,$A107,ЗАКАЗЫ!$Y$3:$Y$500)/BN107,0),IF(OR(BE107="",BG107=""),"",ROUND(BE107*BG107*(1+Справочники!$B$10),0)))</f>
        <v/>
      </c>
      <c r="BI107" s="92" t="str">
        <f aca="false">IF(OR(AU107="",BH107="",AU107=0),"",(AU107-BH107)/AU107)</f>
        <v/>
      </c>
      <c r="BJ107" s="81"/>
      <c r="BK107" s="83"/>
      <c r="BL107" s="43" t="str">
        <f aca="false">IFERROR(INDEX(ЗАКАЗЫ!$N$3:$N$500,MATCH($A107,ЗАКАЗЫ!$F$3:$F$500,0)),"")</f>
        <v/>
      </c>
      <c r="BM107" s="8" t="str">
        <f aca="false">IF(BL107="","",IFERROR(VLOOKUP(BL107,'ТН ВЭД'!$A$4:$C$40,3,0),""))</f>
        <v/>
      </c>
      <c r="BN107" s="7" t="str">
        <f aca="false">IF(COUNTIF(ЗАКАЗЫ!$F$3:$F$500,$A107)=0,"",SUMIF(ЗАКАЗЫ!$F$3:$F$500,$A107,ЗАКАЗЫ!$J$3:$J$500))</f>
        <v/>
      </c>
      <c r="BO107" s="7" t="str">
        <f aca="false">IF(BN107="","",SUMIF(ЗАКАЗЫ!$F$3:$F$500,$A107,ЗАКАЗЫ!$AL$3:$AL$500))</f>
        <v/>
      </c>
      <c r="BP107" s="7" t="str">
        <f aca="false">IF(BN107="","",BN107-BO107)</f>
        <v/>
      </c>
      <c r="BQ107" s="55" t="str">
        <f aca="false">IF(BN107="","",IF(BO107&gt;=BN107,"На складе",IF(BO107&gt;0,"Частично","Ждём")))</f>
        <v/>
      </c>
      <c r="BR107" s="43"/>
      <c r="BS107" s="47" t="str">
        <f aca="false">IF(BN107="","",IF(_xlfn.MAXIFS(ЗАКАЗЫ!$AK$3:$AK$500,ЗАКАЗЫ!$F$3:$F$500,$A107)=0,"",_xlfn.MAXIFS(ЗАКАЗЫ!$AK$3:$AK$500,ЗАКАЗЫ!$F$3:$F$500,$A107)))</f>
        <v/>
      </c>
    </row>
    <row r="108" customFormat="false" ht="15.75" hidden="false" customHeight="true" outlineLevel="0" collapsed="false">
      <c r="A108" s="80" t="s">
        <v>1309</v>
      </c>
      <c r="B108" s="81"/>
      <c r="C108" s="81"/>
      <c r="D108" s="81"/>
      <c r="E108" s="83"/>
      <c r="F108" s="81"/>
      <c r="G108" s="83"/>
      <c r="H108" s="83"/>
      <c r="I108" s="84" t="str">
        <f aca="false">IF(E108="","",A108&amp;"_1.jpg")</f>
        <v/>
      </c>
      <c r="J108" s="84" t="str">
        <f aca="false">IF(E108="","",A108&amp;"_2.jpg; "&amp;A108&amp;"_3.jpg")</f>
        <v/>
      </c>
      <c r="K108" s="84" t="str">
        <f aca="false">IF(E108="","",A108&amp;"_schema.jpg")</f>
        <v/>
      </c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 t="s">
        <v>96</v>
      </c>
      <c r="W108" s="81"/>
      <c r="X108" s="81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6" t="str">
        <f aca="false">IF(SUM(Y108:AJ108)=0,"",SUM(Y108:AJ108))</f>
        <v/>
      </c>
      <c r="AL108" s="84" t="str">
        <f aca="false">MID(IF(N(Y108)&gt;0,", "&amp;Y$2,"")&amp;IF(N(Z108)&gt;0,", "&amp;Z$2,"")&amp;IF(N(AA108)&gt;0,", "&amp;AA$2,"")&amp;IF(N(AB108)&gt;0,", "&amp;AB$2,"")&amp;IF(N(AC108)&gt;0,", "&amp;AC$2,"")&amp;IF(N(AD108)&gt;0,", "&amp;AD$2,"")&amp;IF(N(AE108)&gt;0,", "&amp;AE$2,"")&amp;IF(N(AF108)&gt;0,", "&amp;AF$2,"")&amp;IF(N(AG108)&gt;0,", "&amp;AG$2,"")&amp;IF(N(AH108)&gt;0,", "&amp;AH$2,"")&amp;IF(N(AI108)&gt;0,", "&amp;AI$2,"")&amp;IF(N(AJ108)&gt;0,", "&amp;AJ$2,""),3,999)</f>
        <v/>
      </c>
      <c r="AM108" s="87" t="str">
        <f aca="false">IF(E108="","",MID(IF(N(Y108)&gt;0,", "&amp;A108&amp;"-"&amp;Y$2,"")&amp;IF(N(Z108)&gt;0,", "&amp;A108&amp;"-"&amp;Z$2,"")&amp;IF(N(AA108)&gt;0,", "&amp;A108&amp;"-"&amp;AA$2,"")&amp;IF(N(AB108)&gt;0,", "&amp;A108&amp;"-"&amp;AB$2,"")&amp;IF(N(AC108)&gt;0,", "&amp;A108&amp;"-"&amp;AC$2,"")&amp;IF(N(AD108)&gt;0,", "&amp;A108&amp;"-"&amp;AD$2,"")&amp;IF(N(AE108)&gt;0,", "&amp;A108&amp;"-"&amp;AE$2,"")&amp;IF(N(AF108)&gt;0,", "&amp;A108&amp;"-"&amp;AF$2,"")&amp;IF(N(AG108)&gt;0,", "&amp;A108&amp;"-"&amp;AG$2,"")&amp;IF(N(AH108)&gt;0,", "&amp;A108&amp;"-"&amp;AH$2,"")&amp;IF(N(AI108)&gt;0,", "&amp;A108&amp;"-"&amp;AI$2,"")&amp;IF(N(AJ108)&gt;0,", "&amp;A108&amp;"-"&amp;AJ$2,""),3,999))</f>
        <v/>
      </c>
      <c r="AN108" s="81"/>
      <c r="AO108" s="88"/>
      <c r="AP108" s="89" t="str">
        <f aca="false">IF(AO108="","",ROUND(AO108/(1+Справочники!$B$13),2))</f>
        <v/>
      </c>
      <c r="AQ108" s="90" t="str">
        <f aca="false" t="array" ref="AQ108:AQ108">IF(AP108="","",AP108*INDEX(Справочники!$B$4:$B$7,MATCH("RUB",Справочники!$A$4:$A$7,0)))</f>
        <v/>
      </c>
      <c r="AR108" s="90" t="str">
        <f aca="false">IF(AQ108="","",ROUND(AQ108*(1+Справочники!$B$12),0))</f>
        <v/>
      </c>
      <c r="AS108" s="90" t="str">
        <f aca="false">IF(AR108="","",ROUND(AR108*(1-Справочники!$B$11),0))</f>
        <v/>
      </c>
      <c r="AT108" s="88"/>
      <c r="AU108" s="90" t="str">
        <f aca="false">IF(AT108="","",ROUND(AT108/(1+Справочники!$B$12),0))</f>
        <v/>
      </c>
      <c r="AV108" s="90" t="str">
        <f aca="false">IF(AT108="","",ROUND(AT108*(1-Справочники!$B$15),0))</f>
        <v/>
      </c>
      <c r="AW108" s="90" t="str">
        <f aca="false">IF(AT108="","",ROUND(AT108*(1-Справочники!$B$16),0))</f>
        <v/>
      </c>
      <c r="AX108" s="90" t="str">
        <f aca="false">IF(AT108="","",ROUND(AT108*(1-Справочники!$B$17),0))</f>
        <v/>
      </c>
      <c r="AY108" s="90" t="str">
        <f aca="false">IF(AT108="","",ROUND(AT108*(1-Справочники!$B$18),0))</f>
        <v/>
      </c>
      <c r="AZ108" s="90" t="str">
        <f aca="false">IF(AT108="","",ROUND(AT108*(1-Справочники!$B$19),0))</f>
        <v/>
      </c>
      <c r="BA108" s="81"/>
      <c r="BB108" s="81"/>
      <c r="BC108" s="81"/>
      <c r="BD108" s="81"/>
      <c r="BE108" s="91"/>
      <c r="BF108" s="81" t="s">
        <v>103</v>
      </c>
      <c r="BG108" s="89" t="n">
        <f aca="false" t="array" ref="BG108:BG108">IF(BF108="","",IFERROR(INDEX(Справочники!$B$4:$B$7,MATCH(BF108,Справочники!$A$4:$A$7,0)),""))</f>
        <v>68.5</v>
      </c>
      <c r="BH108" s="90" t="str">
        <f aca="false">IF(N(BN108)&gt;0,ROUND(SUMIF(ЗАКАЗЫ!$F$3:$F$500,$A108,ЗАКАЗЫ!$Y$3:$Y$500)/BN108,0),IF(OR(BE108="",BG108=""),"",ROUND(BE108*BG108*(1+Справочники!$B$10),0)))</f>
        <v/>
      </c>
      <c r="BI108" s="92" t="str">
        <f aca="false">IF(OR(AU108="",BH108="",AU108=0),"",(AU108-BH108)/AU108)</f>
        <v/>
      </c>
      <c r="BJ108" s="81"/>
      <c r="BK108" s="83"/>
      <c r="BL108" s="43" t="str">
        <f aca="false">IFERROR(INDEX(ЗАКАЗЫ!$N$3:$N$500,MATCH($A108,ЗАКАЗЫ!$F$3:$F$500,0)),"")</f>
        <v/>
      </c>
      <c r="BM108" s="8" t="str">
        <f aca="false">IF(BL108="","",IFERROR(VLOOKUP(BL108,'ТН ВЭД'!$A$4:$C$40,3,0),""))</f>
        <v/>
      </c>
      <c r="BN108" s="7" t="str">
        <f aca="false">IF(COUNTIF(ЗАКАЗЫ!$F$3:$F$500,$A108)=0,"",SUMIF(ЗАКАЗЫ!$F$3:$F$500,$A108,ЗАКАЗЫ!$J$3:$J$500))</f>
        <v/>
      </c>
      <c r="BO108" s="7" t="str">
        <f aca="false">IF(BN108="","",SUMIF(ЗАКАЗЫ!$F$3:$F$500,$A108,ЗАКАЗЫ!$AL$3:$AL$500))</f>
        <v/>
      </c>
      <c r="BP108" s="7" t="str">
        <f aca="false">IF(BN108="","",BN108-BO108)</f>
        <v/>
      </c>
      <c r="BQ108" s="55" t="str">
        <f aca="false">IF(BN108="","",IF(BO108&gt;=BN108,"На складе",IF(BO108&gt;0,"Частично","Ждём")))</f>
        <v/>
      </c>
      <c r="BR108" s="43"/>
      <c r="BS108" s="47" t="str">
        <f aca="false">IF(BN108="","",IF(_xlfn.MAXIFS(ЗАКАЗЫ!$AK$3:$AK$500,ЗАКАЗЫ!$F$3:$F$500,$A108)=0,"",_xlfn.MAXIFS(ЗАКАЗЫ!$AK$3:$AK$500,ЗАКАЗЫ!$F$3:$F$500,$A108)))</f>
        <v/>
      </c>
    </row>
    <row r="109" customFormat="false" ht="15.75" hidden="false" customHeight="true" outlineLevel="0" collapsed="false">
      <c r="A109" s="80" t="s">
        <v>1310</v>
      </c>
      <c r="B109" s="81"/>
      <c r="C109" s="81"/>
      <c r="D109" s="81"/>
      <c r="E109" s="83"/>
      <c r="F109" s="81"/>
      <c r="G109" s="83"/>
      <c r="H109" s="83"/>
      <c r="I109" s="84" t="str">
        <f aca="false">IF(E109="","",A109&amp;"_1.jpg")</f>
        <v/>
      </c>
      <c r="J109" s="84" t="str">
        <f aca="false">IF(E109="","",A109&amp;"_2.jpg; "&amp;A109&amp;"_3.jpg")</f>
        <v/>
      </c>
      <c r="K109" s="84" t="str">
        <f aca="false">IF(E109="","",A109&amp;"_schema.jpg")</f>
        <v/>
      </c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 t="s">
        <v>96</v>
      </c>
      <c r="W109" s="81"/>
      <c r="X109" s="81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6" t="str">
        <f aca="false">IF(SUM(Y109:AJ109)=0,"",SUM(Y109:AJ109))</f>
        <v/>
      </c>
      <c r="AL109" s="84" t="str">
        <f aca="false">MID(IF(N(Y109)&gt;0,", "&amp;Y$2,"")&amp;IF(N(Z109)&gt;0,", "&amp;Z$2,"")&amp;IF(N(AA109)&gt;0,", "&amp;AA$2,"")&amp;IF(N(AB109)&gt;0,", "&amp;AB$2,"")&amp;IF(N(AC109)&gt;0,", "&amp;AC$2,"")&amp;IF(N(AD109)&gt;0,", "&amp;AD$2,"")&amp;IF(N(AE109)&gt;0,", "&amp;AE$2,"")&amp;IF(N(AF109)&gt;0,", "&amp;AF$2,"")&amp;IF(N(AG109)&gt;0,", "&amp;AG$2,"")&amp;IF(N(AH109)&gt;0,", "&amp;AH$2,"")&amp;IF(N(AI109)&gt;0,", "&amp;AI$2,"")&amp;IF(N(AJ109)&gt;0,", "&amp;AJ$2,""),3,999)</f>
        <v/>
      </c>
      <c r="AM109" s="87" t="str">
        <f aca="false">IF(E109="","",MID(IF(N(Y109)&gt;0,", "&amp;A109&amp;"-"&amp;Y$2,"")&amp;IF(N(Z109)&gt;0,", "&amp;A109&amp;"-"&amp;Z$2,"")&amp;IF(N(AA109)&gt;0,", "&amp;A109&amp;"-"&amp;AA$2,"")&amp;IF(N(AB109)&gt;0,", "&amp;A109&amp;"-"&amp;AB$2,"")&amp;IF(N(AC109)&gt;0,", "&amp;A109&amp;"-"&amp;AC$2,"")&amp;IF(N(AD109)&gt;0,", "&amp;A109&amp;"-"&amp;AD$2,"")&amp;IF(N(AE109)&gt;0,", "&amp;A109&amp;"-"&amp;AE$2,"")&amp;IF(N(AF109)&gt;0,", "&amp;A109&amp;"-"&amp;AF$2,"")&amp;IF(N(AG109)&gt;0,", "&amp;A109&amp;"-"&amp;AG$2,"")&amp;IF(N(AH109)&gt;0,", "&amp;A109&amp;"-"&amp;AH$2,"")&amp;IF(N(AI109)&gt;0,", "&amp;A109&amp;"-"&amp;AI$2,"")&amp;IF(N(AJ109)&gt;0,", "&amp;A109&amp;"-"&amp;AJ$2,""),3,999))</f>
        <v/>
      </c>
      <c r="AN109" s="81"/>
      <c r="AO109" s="88"/>
      <c r="AP109" s="89" t="str">
        <f aca="false">IF(AO109="","",ROUND(AO109/(1+Справочники!$B$13),2))</f>
        <v/>
      </c>
      <c r="AQ109" s="90" t="str">
        <f aca="false" t="array" ref="AQ109:AQ109">IF(AP109="","",AP109*INDEX(Справочники!$B$4:$B$7,MATCH("RUB",Справочники!$A$4:$A$7,0)))</f>
        <v/>
      </c>
      <c r="AR109" s="90" t="str">
        <f aca="false">IF(AQ109="","",ROUND(AQ109*(1+Справочники!$B$12),0))</f>
        <v/>
      </c>
      <c r="AS109" s="90" t="str">
        <f aca="false">IF(AR109="","",ROUND(AR109*(1-Справочники!$B$11),0))</f>
        <v/>
      </c>
      <c r="AT109" s="88"/>
      <c r="AU109" s="90" t="str">
        <f aca="false">IF(AT109="","",ROUND(AT109/(1+Справочники!$B$12),0))</f>
        <v/>
      </c>
      <c r="AV109" s="90" t="str">
        <f aca="false">IF(AT109="","",ROUND(AT109*(1-Справочники!$B$15),0))</f>
        <v/>
      </c>
      <c r="AW109" s="90" t="str">
        <f aca="false">IF(AT109="","",ROUND(AT109*(1-Справочники!$B$16),0))</f>
        <v/>
      </c>
      <c r="AX109" s="90" t="str">
        <f aca="false">IF(AT109="","",ROUND(AT109*(1-Справочники!$B$17),0))</f>
        <v/>
      </c>
      <c r="AY109" s="90" t="str">
        <f aca="false">IF(AT109="","",ROUND(AT109*(1-Справочники!$B$18),0))</f>
        <v/>
      </c>
      <c r="AZ109" s="90" t="str">
        <f aca="false">IF(AT109="","",ROUND(AT109*(1-Справочники!$B$19),0))</f>
        <v/>
      </c>
      <c r="BA109" s="81"/>
      <c r="BB109" s="81"/>
      <c r="BC109" s="81"/>
      <c r="BD109" s="81"/>
      <c r="BE109" s="91"/>
      <c r="BF109" s="81" t="s">
        <v>103</v>
      </c>
      <c r="BG109" s="89" t="n">
        <f aca="false" t="array" ref="BG109:BG109">IF(BF109="","",IFERROR(INDEX(Справочники!$B$4:$B$7,MATCH(BF109,Справочники!$A$4:$A$7,0)),""))</f>
        <v>68.5</v>
      </c>
      <c r="BH109" s="90" t="str">
        <f aca="false">IF(N(BN109)&gt;0,ROUND(SUMIF(ЗАКАЗЫ!$F$3:$F$500,$A109,ЗАКАЗЫ!$Y$3:$Y$500)/BN109,0),IF(OR(BE109="",BG109=""),"",ROUND(BE109*BG109*(1+Справочники!$B$10),0)))</f>
        <v/>
      </c>
      <c r="BI109" s="92" t="str">
        <f aca="false">IF(OR(AU109="",BH109="",AU109=0),"",(AU109-BH109)/AU109)</f>
        <v/>
      </c>
      <c r="BJ109" s="81"/>
      <c r="BK109" s="83"/>
      <c r="BL109" s="43" t="str">
        <f aca="false">IFERROR(INDEX(ЗАКАЗЫ!$N$3:$N$500,MATCH($A109,ЗАКАЗЫ!$F$3:$F$500,0)),"")</f>
        <v/>
      </c>
      <c r="BM109" s="8" t="str">
        <f aca="false">IF(BL109="","",IFERROR(VLOOKUP(BL109,'ТН ВЭД'!$A$4:$C$40,3,0),""))</f>
        <v/>
      </c>
      <c r="BN109" s="7" t="str">
        <f aca="false">IF(COUNTIF(ЗАКАЗЫ!$F$3:$F$500,$A109)=0,"",SUMIF(ЗАКАЗЫ!$F$3:$F$500,$A109,ЗАКАЗЫ!$J$3:$J$500))</f>
        <v/>
      </c>
      <c r="BO109" s="7" t="str">
        <f aca="false">IF(BN109="","",SUMIF(ЗАКАЗЫ!$F$3:$F$500,$A109,ЗАКАЗЫ!$AL$3:$AL$500))</f>
        <v/>
      </c>
      <c r="BP109" s="7" t="str">
        <f aca="false">IF(BN109="","",BN109-BO109)</f>
        <v/>
      </c>
      <c r="BQ109" s="55" t="str">
        <f aca="false">IF(BN109="","",IF(BO109&gt;=BN109,"На складе",IF(BO109&gt;0,"Частично","Ждём")))</f>
        <v/>
      </c>
      <c r="BR109" s="43"/>
      <c r="BS109" s="47" t="str">
        <f aca="false">IF(BN109="","",IF(_xlfn.MAXIFS(ЗАКАЗЫ!$AK$3:$AK$500,ЗАКАЗЫ!$F$3:$F$500,$A109)=0,"",_xlfn.MAXIFS(ЗАКАЗЫ!$AK$3:$AK$500,ЗАКАЗЫ!$F$3:$F$500,$A109)))</f>
        <v/>
      </c>
    </row>
    <row r="110" customFormat="false" ht="15.75" hidden="false" customHeight="true" outlineLevel="0" collapsed="false">
      <c r="A110" s="80" t="s">
        <v>1311</v>
      </c>
      <c r="B110" s="81"/>
      <c r="C110" s="81"/>
      <c r="D110" s="81"/>
      <c r="E110" s="83"/>
      <c r="F110" s="81"/>
      <c r="G110" s="83"/>
      <c r="H110" s="83"/>
      <c r="I110" s="84" t="str">
        <f aca="false">IF(E110="","",A110&amp;"_1.jpg")</f>
        <v/>
      </c>
      <c r="J110" s="84" t="str">
        <f aca="false">IF(E110="","",A110&amp;"_2.jpg; "&amp;A110&amp;"_3.jpg")</f>
        <v/>
      </c>
      <c r="K110" s="84" t="str">
        <f aca="false">IF(E110="","",A110&amp;"_schema.jpg")</f>
        <v/>
      </c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 t="s">
        <v>96</v>
      </c>
      <c r="W110" s="81"/>
      <c r="X110" s="81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6" t="str">
        <f aca="false">IF(SUM(Y110:AJ110)=0,"",SUM(Y110:AJ110))</f>
        <v/>
      </c>
      <c r="AL110" s="84" t="str">
        <f aca="false">MID(IF(N(Y110)&gt;0,", "&amp;Y$2,"")&amp;IF(N(Z110)&gt;0,", "&amp;Z$2,"")&amp;IF(N(AA110)&gt;0,", "&amp;AA$2,"")&amp;IF(N(AB110)&gt;0,", "&amp;AB$2,"")&amp;IF(N(AC110)&gt;0,", "&amp;AC$2,"")&amp;IF(N(AD110)&gt;0,", "&amp;AD$2,"")&amp;IF(N(AE110)&gt;0,", "&amp;AE$2,"")&amp;IF(N(AF110)&gt;0,", "&amp;AF$2,"")&amp;IF(N(AG110)&gt;0,", "&amp;AG$2,"")&amp;IF(N(AH110)&gt;0,", "&amp;AH$2,"")&amp;IF(N(AI110)&gt;0,", "&amp;AI$2,"")&amp;IF(N(AJ110)&gt;0,", "&amp;AJ$2,""),3,999)</f>
        <v/>
      </c>
      <c r="AM110" s="87" t="str">
        <f aca="false">IF(E110="","",MID(IF(N(Y110)&gt;0,", "&amp;A110&amp;"-"&amp;Y$2,"")&amp;IF(N(Z110)&gt;0,", "&amp;A110&amp;"-"&amp;Z$2,"")&amp;IF(N(AA110)&gt;0,", "&amp;A110&amp;"-"&amp;AA$2,"")&amp;IF(N(AB110)&gt;0,", "&amp;A110&amp;"-"&amp;AB$2,"")&amp;IF(N(AC110)&gt;0,", "&amp;A110&amp;"-"&amp;AC$2,"")&amp;IF(N(AD110)&gt;0,", "&amp;A110&amp;"-"&amp;AD$2,"")&amp;IF(N(AE110)&gt;0,", "&amp;A110&amp;"-"&amp;AE$2,"")&amp;IF(N(AF110)&gt;0,", "&amp;A110&amp;"-"&amp;AF$2,"")&amp;IF(N(AG110)&gt;0,", "&amp;A110&amp;"-"&amp;AG$2,"")&amp;IF(N(AH110)&gt;0,", "&amp;A110&amp;"-"&amp;AH$2,"")&amp;IF(N(AI110)&gt;0,", "&amp;A110&amp;"-"&amp;AI$2,"")&amp;IF(N(AJ110)&gt;0,", "&amp;A110&amp;"-"&amp;AJ$2,""),3,999))</f>
        <v/>
      </c>
      <c r="AN110" s="81"/>
      <c r="AO110" s="88"/>
      <c r="AP110" s="89" t="str">
        <f aca="false">IF(AO110="","",ROUND(AO110/(1+Справочники!$B$13),2))</f>
        <v/>
      </c>
      <c r="AQ110" s="90" t="str">
        <f aca="false" t="array" ref="AQ110:AQ110">IF(AP110="","",AP110*INDEX(Справочники!$B$4:$B$7,MATCH("RUB",Справочники!$A$4:$A$7,0)))</f>
        <v/>
      </c>
      <c r="AR110" s="90" t="str">
        <f aca="false">IF(AQ110="","",ROUND(AQ110*(1+Справочники!$B$12),0))</f>
        <v/>
      </c>
      <c r="AS110" s="90" t="str">
        <f aca="false">IF(AR110="","",ROUND(AR110*(1-Справочники!$B$11),0))</f>
        <v/>
      </c>
      <c r="AT110" s="88"/>
      <c r="AU110" s="90" t="str">
        <f aca="false">IF(AT110="","",ROUND(AT110/(1+Справочники!$B$12),0))</f>
        <v/>
      </c>
      <c r="AV110" s="90" t="str">
        <f aca="false">IF(AT110="","",ROUND(AT110*(1-Справочники!$B$15),0))</f>
        <v/>
      </c>
      <c r="AW110" s="90" t="str">
        <f aca="false">IF(AT110="","",ROUND(AT110*(1-Справочники!$B$16),0))</f>
        <v/>
      </c>
      <c r="AX110" s="90" t="str">
        <f aca="false">IF(AT110="","",ROUND(AT110*(1-Справочники!$B$17),0))</f>
        <v/>
      </c>
      <c r="AY110" s="90" t="str">
        <f aca="false">IF(AT110="","",ROUND(AT110*(1-Справочники!$B$18),0))</f>
        <v/>
      </c>
      <c r="AZ110" s="90" t="str">
        <f aca="false">IF(AT110="","",ROUND(AT110*(1-Справочники!$B$19),0))</f>
        <v/>
      </c>
      <c r="BA110" s="81"/>
      <c r="BB110" s="81"/>
      <c r="BC110" s="81"/>
      <c r="BD110" s="81"/>
      <c r="BE110" s="91"/>
      <c r="BF110" s="81" t="s">
        <v>103</v>
      </c>
      <c r="BG110" s="89" t="n">
        <f aca="false" t="array" ref="BG110:BG110">IF(BF110="","",IFERROR(INDEX(Справочники!$B$4:$B$7,MATCH(BF110,Справочники!$A$4:$A$7,0)),""))</f>
        <v>68.5</v>
      </c>
      <c r="BH110" s="90" t="str">
        <f aca="false">IF(N(BN110)&gt;0,ROUND(SUMIF(ЗАКАЗЫ!$F$3:$F$500,$A110,ЗАКАЗЫ!$Y$3:$Y$500)/BN110,0),IF(OR(BE110="",BG110=""),"",ROUND(BE110*BG110*(1+Справочники!$B$10),0)))</f>
        <v/>
      </c>
      <c r="BI110" s="92" t="str">
        <f aca="false">IF(OR(AU110="",BH110="",AU110=0),"",(AU110-BH110)/AU110)</f>
        <v/>
      </c>
      <c r="BJ110" s="81"/>
      <c r="BK110" s="83"/>
      <c r="BL110" s="43" t="str">
        <f aca="false">IFERROR(INDEX(ЗАКАЗЫ!$N$3:$N$500,MATCH($A110,ЗАКАЗЫ!$F$3:$F$500,0)),"")</f>
        <v/>
      </c>
      <c r="BM110" s="8" t="str">
        <f aca="false">IF(BL110="","",IFERROR(VLOOKUP(BL110,'ТН ВЭД'!$A$4:$C$40,3,0),""))</f>
        <v/>
      </c>
      <c r="BN110" s="7" t="str">
        <f aca="false">IF(COUNTIF(ЗАКАЗЫ!$F$3:$F$500,$A110)=0,"",SUMIF(ЗАКАЗЫ!$F$3:$F$500,$A110,ЗАКАЗЫ!$J$3:$J$500))</f>
        <v/>
      </c>
      <c r="BO110" s="7" t="str">
        <f aca="false">IF(BN110="","",SUMIF(ЗАКАЗЫ!$F$3:$F$500,$A110,ЗАКАЗЫ!$AL$3:$AL$500))</f>
        <v/>
      </c>
      <c r="BP110" s="7" t="str">
        <f aca="false">IF(BN110="","",BN110-BO110)</f>
        <v/>
      </c>
      <c r="BQ110" s="55" t="str">
        <f aca="false">IF(BN110="","",IF(BO110&gt;=BN110,"На складе",IF(BO110&gt;0,"Частично","Ждём")))</f>
        <v/>
      </c>
      <c r="BR110" s="43"/>
      <c r="BS110" s="47" t="str">
        <f aca="false">IF(BN110="","",IF(_xlfn.MAXIFS(ЗАКАЗЫ!$AK$3:$AK$500,ЗАКАЗЫ!$F$3:$F$500,$A110)=0,"",_xlfn.MAXIFS(ЗАКАЗЫ!$AK$3:$AK$500,ЗАКАЗЫ!$F$3:$F$500,$A110)))</f>
        <v/>
      </c>
    </row>
    <row r="111" customFormat="false" ht="15.75" hidden="false" customHeight="true" outlineLevel="0" collapsed="false">
      <c r="A111" s="80" t="s">
        <v>1312</v>
      </c>
      <c r="B111" s="81"/>
      <c r="C111" s="81"/>
      <c r="D111" s="81"/>
      <c r="E111" s="83"/>
      <c r="F111" s="81"/>
      <c r="G111" s="83"/>
      <c r="H111" s="83"/>
      <c r="I111" s="84" t="str">
        <f aca="false">IF(E111="","",A111&amp;"_1.jpg")</f>
        <v/>
      </c>
      <c r="J111" s="84" t="str">
        <f aca="false">IF(E111="","",A111&amp;"_2.jpg; "&amp;A111&amp;"_3.jpg")</f>
        <v/>
      </c>
      <c r="K111" s="84" t="str">
        <f aca="false">IF(E111="","",A111&amp;"_schema.jpg")</f>
        <v/>
      </c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 t="s">
        <v>96</v>
      </c>
      <c r="W111" s="81"/>
      <c r="X111" s="81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6" t="str">
        <f aca="false">IF(SUM(Y111:AJ111)=0,"",SUM(Y111:AJ111))</f>
        <v/>
      </c>
      <c r="AL111" s="84" t="str">
        <f aca="false">MID(IF(N(Y111)&gt;0,", "&amp;Y$2,"")&amp;IF(N(Z111)&gt;0,", "&amp;Z$2,"")&amp;IF(N(AA111)&gt;0,", "&amp;AA$2,"")&amp;IF(N(AB111)&gt;0,", "&amp;AB$2,"")&amp;IF(N(AC111)&gt;0,", "&amp;AC$2,"")&amp;IF(N(AD111)&gt;0,", "&amp;AD$2,"")&amp;IF(N(AE111)&gt;0,", "&amp;AE$2,"")&amp;IF(N(AF111)&gt;0,", "&amp;AF$2,"")&amp;IF(N(AG111)&gt;0,", "&amp;AG$2,"")&amp;IF(N(AH111)&gt;0,", "&amp;AH$2,"")&amp;IF(N(AI111)&gt;0,", "&amp;AI$2,"")&amp;IF(N(AJ111)&gt;0,", "&amp;AJ$2,""),3,999)</f>
        <v/>
      </c>
      <c r="AM111" s="87" t="str">
        <f aca="false">IF(E111="","",MID(IF(N(Y111)&gt;0,", "&amp;A111&amp;"-"&amp;Y$2,"")&amp;IF(N(Z111)&gt;0,", "&amp;A111&amp;"-"&amp;Z$2,"")&amp;IF(N(AA111)&gt;0,", "&amp;A111&amp;"-"&amp;AA$2,"")&amp;IF(N(AB111)&gt;0,", "&amp;A111&amp;"-"&amp;AB$2,"")&amp;IF(N(AC111)&gt;0,", "&amp;A111&amp;"-"&amp;AC$2,"")&amp;IF(N(AD111)&gt;0,", "&amp;A111&amp;"-"&amp;AD$2,"")&amp;IF(N(AE111)&gt;0,", "&amp;A111&amp;"-"&amp;AE$2,"")&amp;IF(N(AF111)&gt;0,", "&amp;A111&amp;"-"&amp;AF$2,"")&amp;IF(N(AG111)&gt;0,", "&amp;A111&amp;"-"&amp;AG$2,"")&amp;IF(N(AH111)&gt;0,", "&amp;A111&amp;"-"&amp;AH$2,"")&amp;IF(N(AI111)&gt;0,", "&amp;A111&amp;"-"&amp;AI$2,"")&amp;IF(N(AJ111)&gt;0,", "&amp;A111&amp;"-"&amp;AJ$2,""),3,999))</f>
        <v/>
      </c>
      <c r="AN111" s="81"/>
      <c r="AO111" s="88"/>
      <c r="AP111" s="89" t="str">
        <f aca="false">IF(AO111="","",ROUND(AO111/(1+Справочники!$B$13),2))</f>
        <v/>
      </c>
      <c r="AQ111" s="90" t="str">
        <f aca="false" t="array" ref="AQ111:AQ111">IF(AP111="","",AP111*INDEX(Справочники!$B$4:$B$7,MATCH("RUB",Справочники!$A$4:$A$7,0)))</f>
        <v/>
      </c>
      <c r="AR111" s="90" t="str">
        <f aca="false">IF(AQ111="","",ROUND(AQ111*(1+Справочники!$B$12),0))</f>
        <v/>
      </c>
      <c r="AS111" s="90" t="str">
        <f aca="false">IF(AR111="","",ROUND(AR111*(1-Справочники!$B$11),0))</f>
        <v/>
      </c>
      <c r="AT111" s="88"/>
      <c r="AU111" s="90" t="str">
        <f aca="false">IF(AT111="","",ROUND(AT111/(1+Справочники!$B$12),0))</f>
        <v/>
      </c>
      <c r="AV111" s="90" t="str">
        <f aca="false">IF(AT111="","",ROUND(AT111*(1-Справочники!$B$15),0))</f>
        <v/>
      </c>
      <c r="AW111" s="90" t="str">
        <f aca="false">IF(AT111="","",ROUND(AT111*(1-Справочники!$B$16),0))</f>
        <v/>
      </c>
      <c r="AX111" s="90" t="str">
        <f aca="false">IF(AT111="","",ROUND(AT111*(1-Справочники!$B$17),0))</f>
        <v/>
      </c>
      <c r="AY111" s="90" t="str">
        <f aca="false">IF(AT111="","",ROUND(AT111*(1-Справочники!$B$18),0))</f>
        <v/>
      </c>
      <c r="AZ111" s="90" t="str">
        <f aca="false">IF(AT111="","",ROUND(AT111*(1-Справочники!$B$19),0))</f>
        <v/>
      </c>
      <c r="BA111" s="81"/>
      <c r="BB111" s="81"/>
      <c r="BC111" s="81"/>
      <c r="BD111" s="81"/>
      <c r="BE111" s="91"/>
      <c r="BF111" s="81" t="s">
        <v>103</v>
      </c>
      <c r="BG111" s="89" t="n">
        <f aca="false" t="array" ref="BG111:BG111">IF(BF111="","",IFERROR(INDEX(Справочники!$B$4:$B$7,MATCH(BF111,Справочники!$A$4:$A$7,0)),""))</f>
        <v>68.5</v>
      </c>
      <c r="BH111" s="90" t="str">
        <f aca="false">IF(N(BN111)&gt;0,ROUND(SUMIF(ЗАКАЗЫ!$F$3:$F$500,$A111,ЗАКАЗЫ!$Y$3:$Y$500)/BN111,0),IF(OR(BE111="",BG111=""),"",ROUND(BE111*BG111*(1+Справочники!$B$10),0)))</f>
        <v/>
      </c>
      <c r="BI111" s="92" t="str">
        <f aca="false">IF(OR(AU111="",BH111="",AU111=0),"",(AU111-BH111)/AU111)</f>
        <v/>
      </c>
      <c r="BJ111" s="81"/>
      <c r="BK111" s="83"/>
      <c r="BL111" s="43" t="str">
        <f aca="false">IFERROR(INDEX(ЗАКАЗЫ!$N$3:$N$500,MATCH($A111,ЗАКАЗЫ!$F$3:$F$500,0)),"")</f>
        <v/>
      </c>
      <c r="BM111" s="8" t="str">
        <f aca="false">IF(BL111="","",IFERROR(VLOOKUP(BL111,'ТН ВЭД'!$A$4:$C$40,3,0),""))</f>
        <v/>
      </c>
      <c r="BN111" s="7" t="str">
        <f aca="false">IF(COUNTIF(ЗАКАЗЫ!$F$3:$F$500,$A111)=0,"",SUMIF(ЗАКАЗЫ!$F$3:$F$500,$A111,ЗАКАЗЫ!$J$3:$J$500))</f>
        <v/>
      </c>
      <c r="BO111" s="7" t="str">
        <f aca="false">IF(BN111="","",SUMIF(ЗАКАЗЫ!$F$3:$F$500,$A111,ЗАКАЗЫ!$AL$3:$AL$500))</f>
        <v/>
      </c>
      <c r="BP111" s="7" t="str">
        <f aca="false">IF(BN111="","",BN111-BO111)</f>
        <v/>
      </c>
      <c r="BQ111" s="55" t="str">
        <f aca="false">IF(BN111="","",IF(BO111&gt;=BN111,"На складе",IF(BO111&gt;0,"Частично","Ждём")))</f>
        <v/>
      </c>
      <c r="BR111" s="43"/>
      <c r="BS111" s="47" t="str">
        <f aca="false">IF(BN111="","",IF(_xlfn.MAXIFS(ЗАКАЗЫ!$AK$3:$AK$500,ЗАКАЗЫ!$F$3:$F$500,$A111)=0,"",_xlfn.MAXIFS(ЗАКАЗЫ!$AK$3:$AK$500,ЗАКАЗЫ!$F$3:$F$500,$A111)))</f>
        <v/>
      </c>
    </row>
    <row r="112" customFormat="false" ht="15.75" hidden="false" customHeight="true" outlineLevel="0" collapsed="false">
      <c r="A112" s="80" t="s">
        <v>1313</v>
      </c>
      <c r="B112" s="81"/>
      <c r="C112" s="81"/>
      <c r="D112" s="81"/>
      <c r="E112" s="83"/>
      <c r="F112" s="81"/>
      <c r="G112" s="83"/>
      <c r="H112" s="83"/>
      <c r="I112" s="84" t="str">
        <f aca="false">IF(E112="","",A112&amp;"_1.jpg")</f>
        <v/>
      </c>
      <c r="J112" s="84" t="str">
        <f aca="false">IF(E112="","",A112&amp;"_2.jpg; "&amp;A112&amp;"_3.jpg")</f>
        <v/>
      </c>
      <c r="K112" s="84" t="str">
        <f aca="false">IF(E112="","",A112&amp;"_schema.jpg")</f>
        <v/>
      </c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 t="s">
        <v>96</v>
      </c>
      <c r="W112" s="81"/>
      <c r="X112" s="81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6" t="str">
        <f aca="false">IF(SUM(Y112:AJ112)=0,"",SUM(Y112:AJ112))</f>
        <v/>
      </c>
      <c r="AL112" s="84" t="str">
        <f aca="false">MID(IF(N(Y112)&gt;0,", "&amp;Y$2,"")&amp;IF(N(Z112)&gt;0,", "&amp;Z$2,"")&amp;IF(N(AA112)&gt;0,", "&amp;AA$2,"")&amp;IF(N(AB112)&gt;0,", "&amp;AB$2,"")&amp;IF(N(AC112)&gt;0,", "&amp;AC$2,"")&amp;IF(N(AD112)&gt;0,", "&amp;AD$2,"")&amp;IF(N(AE112)&gt;0,", "&amp;AE$2,"")&amp;IF(N(AF112)&gt;0,", "&amp;AF$2,"")&amp;IF(N(AG112)&gt;0,", "&amp;AG$2,"")&amp;IF(N(AH112)&gt;0,", "&amp;AH$2,"")&amp;IF(N(AI112)&gt;0,", "&amp;AI$2,"")&amp;IF(N(AJ112)&gt;0,", "&amp;AJ$2,""),3,999)</f>
        <v/>
      </c>
      <c r="AM112" s="87" t="str">
        <f aca="false">IF(E112="","",MID(IF(N(Y112)&gt;0,", "&amp;A112&amp;"-"&amp;Y$2,"")&amp;IF(N(Z112)&gt;0,", "&amp;A112&amp;"-"&amp;Z$2,"")&amp;IF(N(AA112)&gt;0,", "&amp;A112&amp;"-"&amp;AA$2,"")&amp;IF(N(AB112)&gt;0,", "&amp;A112&amp;"-"&amp;AB$2,"")&amp;IF(N(AC112)&gt;0,", "&amp;A112&amp;"-"&amp;AC$2,"")&amp;IF(N(AD112)&gt;0,", "&amp;A112&amp;"-"&amp;AD$2,"")&amp;IF(N(AE112)&gt;0,", "&amp;A112&amp;"-"&amp;AE$2,"")&amp;IF(N(AF112)&gt;0,", "&amp;A112&amp;"-"&amp;AF$2,"")&amp;IF(N(AG112)&gt;0,", "&amp;A112&amp;"-"&amp;AG$2,"")&amp;IF(N(AH112)&gt;0,", "&amp;A112&amp;"-"&amp;AH$2,"")&amp;IF(N(AI112)&gt;0,", "&amp;A112&amp;"-"&amp;AI$2,"")&amp;IF(N(AJ112)&gt;0,", "&amp;A112&amp;"-"&amp;AJ$2,""),3,999))</f>
        <v/>
      </c>
      <c r="AN112" s="81"/>
      <c r="AO112" s="88"/>
      <c r="AP112" s="89" t="str">
        <f aca="false">IF(AO112="","",ROUND(AO112/(1+Справочники!$B$13),2))</f>
        <v/>
      </c>
      <c r="AQ112" s="90" t="str">
        <f aca="false" t="array" ref="AQ112:AQ112">IF(AP112="","",AP112*INDEX(Справочники!$B$4:$B$7,MATCH("RUB",Справочники!$A$4:$A$7,0)))</f>
        <v/>
      </c>
      <c r="AR112" s="90" t="str">
        <f aca="false">IF(AQ112="","",ROUND(AQ112*(1+Справочники!$B$12),0))</f>
        <v/>
      </c>
      <c r="AS112" s="90" t="str">
        <f aca="false">IF(AR112="","",ROUND(AR112*(1-Справочники!$B$11),0))</f>
        <v/>
      </c>
      <c r="AT112" s="88"/>
      <c r="AU112" s="90" t="str">
        <f aca="false">IF(AT112="","",ROUND(AT112/(1+Справочники!$B$12),0))</f>
        <v/>
      </c>
      <c r="AV112" s="90" t="str">
        <f aca="false">IF(AT112="","",ROUND(AT112*(1-Справочники!$B$15),0))</f>
        <v/>
      </c>
      <c r="AW112" s="90" t="str">
        <f aca="false">IF(AT112="","",ROUND(AT112*(1-Справочники!$B$16),0))</f>
        <v/>
      </c>
      <c r="AX112" s="90" t="str">
        <f aca="false">IF(AT112="","",ROUND(AT112*(1-Справочники!$B$17),0))</f>
        <v/>
      </c>
      <c r="AY112" s="90" t="str">
        <f aca="false">IF(AT112="","",ROUND(AT112*(1-Справочники!$B$18),0))</f>
        <v/>
      </c>
      <c r="AZ112" s="90" t="str">
        <f aca="false">IF(AT112="","",ROUND(AT112*(1-Справочники!$B$19),0))</f>
        <v/>
      </c>
      <c r="BA112" s="81"/>
      <c r="BB112" s="81"/>
      <c r="BC112" s="81"/>
      <c r="BD112" s="81"/>
      <c r="BE112" s="91"/>
      <c r="BF112" s="81" t="s">
        <v>103</v>
      </c>
      <c r="BG112" s="89" t="n">
        <f aca="false" t="array" ref="BG112:BG112">IF(BF112="","",IFERROR(INDEX(Справочники!$B$4:$B$7,MATCH(BF112,Справочники!$A$4:$A$7,0)),""))</f>
        <v>68.5</v>
      </c>
      <c r="BH112" s="90" t="str">
        <f aca="false">IF(N(BN112)&gt;0,ROUND(SUMIF(ЗАКАЗЫ!$F$3:$F$500,$A112,ЗАКАЗЫ!$Y$3:$Y$500)/BN112,0),IF(OR(BE112="",BG112=""),"",ROUND(BE112*BG112*(1+Справочники!$B$10),0)))</f>
        <v/>
      </c>
      <c r="BI112" s="92" t="str">
        <f aca="false">IF(OR(AU112="",BH112="",AU112=0),"",(AU112-BH112)/AU112)</f>
        <v/>
      </c>
      <c r="BJ112" s="81"/>
      <c r="BK112" s="83"/>
      <c r="BL112" s="43" t="str">
        <f aca="false">IFERROR(INDEX(ЗАКАЗЫ!$N$3:$N$500,MATCH($A112,ЗАКАЗЫ!$F$3:$F$500,0)),"")</f>
        <v/>
      </c>
      <c r="BM112" s="8" t="str">
        <f aca="false">IF(BL112="","",IFERROR(VLOOKUP(BL112,'ТН ВЭД'!$A$4:$C$40,3,0),""))</f>
        <v/>
      </c>
      <c r="BN112" s="7" t="str">
        <f aca="false">IF(COUNTIF(ЗАКАЗЫ!$F$3:$F$500,$A112)=0,"",SUMIF(ЗАКАЗЫ!$F$3:$F$500,$A112,ЗАКАЗЫ!$J$3:$J$500))</f>
        <v/>
      </c>
      <c r="BO112" s="7" t="str">
        <f aca="false">IF(BN112="","",SUMIF(ЗАКАЗЫ!$F$3:$F$500,$A112,ЗАКАЗЫ!$AL$3:$AL$500))</f>
        <v/>
      </c>
      <c r="BP112" s="7" t="str">
        <f aca="false">IF(BN112="","",BN112-BO112)</f>
        <v/>
      </c>
      <c r="BQ112" s="55" t="str">
        <f aca="false">IF(BN112="","",IF(BO112&gt;=BN112,"На складе",IF(BO112&gt;0,"Частично","Ждём")))</f>
        <v/>
      </c>
      <c r="BR112" s="43"/>
      <c r="BS112" s="47" t="str">
        <f aca="false">IF(BN112="","",IF(_xlfn.MAXIFS(ЗАКАЗЫ!$AK$3:$AK$500,ЗАКАЗЫ!$F$3:$F$500,$A112)=0,"",_xlfn.MAXIFS(ЗАКАЗЫ!$AK$3:$AK$500,ЗАКАЗЫ!$F$3:$F$500,$A112)))</f>
        <v/>
      </c>
    </row>
    <row r="113" customFormat="false" ht="15.75" hidden="false" customHeight="true" outlineLevel="0" collapsed="false">
      <c r="A113" s="80" t="s">
        <v>1314</v>
      </c>
      <c r="B113" s="81"/>
      <c r="C113" s="81"/>
      <c r="D113" s="81"/>
      <c r="E113" s="83"/>
      <c r="F113" s="81"/>
      <c r="G113" s="83"/>
      <c r="H113" s="83"/>
      <c r="I113" s="84" t="str">
        <f aca="false">IF(E113="","",A113&amp;"_1.jpg")</f>
        <v/>
      </c>
      <c r="J113" s="84" t="str">
        <f aca="false">IF(E113="","",A113&amp;"_2.jpg; "&amp;A113&amp;"_3.jpg")</f>
        <v/>
      </c>
      <c r="K113" s="84" t="str">
        <f aca="false">IF(E113="","",A113&amp;"_schema.jpg")</f>
        <v/>
      </c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 t="s">
        <v>96</v>
      </c>
      <c r="W113" s="81"/>
      <c r="X113" s="81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6" t="str">
        <f aca="false">IF(SUM(Y113:AJ113)=0,"",SUM(Y113:AJ113))</f>
        <v/>
      </c>
      <c r="AL113" s="84" t="str">
        <f aca="false">MID(IF(N(Y113)&gt;0,", "&amp;Y$2,"")&amp;IF(N(Z113)&gt;0,", "&amp;Z$2,"")&amp;IF(N(AA113)&gt;0,", "&amp;AA$2,"")&amp;IF(N(AB113)&gt;0,", "&amp;AB$2,"")&amp;IF(N(AC113)&gt;0,", "&amp;AC$2,"")&amp;IF(N(AD113)&gt;0,", "&amp;AD$2,"")&amp;IF(N(AE113)&gt;0,", "&amp;AE$2,"")&amp;IF(N(AF113)&gt;0,", "&amp;AF$2,"")&amp;IF(N(AG113)&gt;0,", "&amp;AG$2,"")&amp;IF(N(AH113)&gt;0,", "&amp;AH$2,"")&amp;IF(N(AI113)&gt;0,", "&amp;AI$2,"")&amp;IF(N(AJ113)&gt;0,", "&amp;AJ$2,""),3,999)</f>
        <v/>
      </c>
      <c r="AM113" s="87" t="str">
        <f aca="false">IF(E113="","",MID(IF(N(Y113)&gt;0,", "&amp;A113&amp;"-"&amp;Y$2,"")&amp;IF(N(Z113)&gt;0,", "&amp;A113&amp;"-"&amp;Z$2,"")&amp;IF(N(AA113)&gt;0,", "&amp;A113&amp;"-"&amp;AA$2,"")&amp;IF(N(AB113)&gt;0,", "&amp;A113&amp;"-"&amp;AB$2,"")&amp;IF(N(AC113)&gt;0,", "&amp;A113&amp;"-"&amp;AC$2,"")&amp;IF(N(AD113)&gt;0,", "&amp;A113&amp;"-"&amp;AD$2,"")&amp;IF(N(AE113)&gt;0,", "&amp;A113&amp;"-"&amp;AE$2,"")&amp;IF(N(AF113)&gt;0,", "&amp;A113&amp;"-"&amp;AF$2,"")&amp;IF(N(AG113)&gt;0,", "&amp;A113&amp;"-"&amp;AG$2,"")&amp;IF(N(AH113)&gt;0,", "&amp;A113&amp;"-"&amp;AH$2,"")&amp;IF(N(AI113)&gt;0,", "&amp;A113&amp;"-"&amp;AI$2,"")&amp;IF(N(AJ113)&gt;0,", "&amp;A113&amp;"-"&amp;AJ$2,""),3,999))</f>
        <v/>
      </c>
      <c r="AN113" s="81"/>
      <c r="AO113" s="88"/>
      <c r="AP113" s="89" t="str">
        <f aca="false">IF(AO113="","",ROUND(AO113/(1+Справочники!$B$13),2))</f>
        <v/>
      </c>
      <c r="AQ113" s="90" t="str">
        <f aca="false" t="array" ref="AQ113:AQ113">IF(AP113="","",AP113*INDEX(Справочники!$B$4:$B$7,MATCH("RUB",Справочники!$A$4:$A$7,0)))</f>
        <v/>
      </c>
      <c r="AR113" s="90" t="str">
        <f aca="false">IF(AQ113="","",ROUND(AQ113*(1+Справочники!$B$12),0))</f>
        <v/>
      </c>
      <c r="AS113" s="90" t="str">
        <f aca="false">IF(AR113="","",ROUND(AR113*(1-Справочники!$B$11),0))</f>
        <v/>
      </c>
      <c r="AT113" s="88"/>
      <c r="AU113" s="90" t="str">
        <f aca="false">IF(AT113="","",ROUND(AT113/(1+Справочники!$B$12),0))</f>
        <v/>
      </c>
      <c r="AV113" s="90" t="str">
        <f aca="false">IF(AT113="","",ROUND(AT113*(1-Справочники!$B$15),0))</f>
        <v/>
      </c>
      <c r="AW113" s="90" t="str">
        <f aca="false">IF(AT113="","",ROUND(AT113*(1-Справочники!$B$16),0))</f>
        <v/>
      </c>
      <c r="AX113" s="90" t="str">
        <f aca="false">IF(AT113="","",ROUND(AT113*(1-Справочники!$B$17),0))</f>
        <v/>
      </c>
      <c r="AY113" s="90" t="str">
        <f aca="false">IF(AT113="","",ROUND(AT113*(1-Справочники!$B$18),0))</f>
        <v/>
      </c>
      <c r="AZ113" s="90" t="str">
        <f aca="false">IF(AT113="","",ROUND(AT113*(1-Справочники!$B$19),0))</f>
        <v/>
      </c>
      <c r="BA113" s="81"/>
      <c r="BB113" s="81"/>
      <c r="BC113" s="81"/>
      <c r="BD113" s="81"/>
      <c r="BE113" s="91"/>
      <c r="BF113" s="81" t="s">
        <v>103</v>
      </c>
      <c r="BG113" s="89" t="n">
        <f aca="false" t="array" ref="BG113:BG113">IF(BF113="","",IFERROR(INDEX(Справочники!$B$4:$B$7,MATCH(BF113,Справочники!$A$4:$A$7,0)),""))</f>
        <v>68.5</v>
      </c>
      <c r="BH113" s="90" t="str">
        <f aca="false">IF(N(BN113)&gt;0,ROUND(SUMIF(ЗАКАЗЫ!$F$3:$F$500,$A113,ЗАКАЗЫ!$Y$3:$Y$500)/BN113,0),IF(OR(BE113="",BG113=""),"",ROUND(BE113*BG113*(1+Справочники!$B$10),0)))</f>
        <v/>
      </c>
      <c r="BI113" s="92" t="str">
        <f aca="false">IF(OR(AU113="",BH113="",AU113=0),"",(AU113-BH113)/AU113)</f>
        <v/>
      </c>
      <c r="BJ113" s="81"/>
      <c r="BK113" s="83"/>
      <c r="BL113" s="43" t="str">
        <f aca="false">IFERROR(INDEX(ЗАКАЗЫ!$N$3:$N$500,MATCH($A113,ЗАКАЗЫ!$F$3:$F$500,0)),"")</f>
        <v/>
      </c>
      <c r="BM113" s="8" t="str">
        <f aca="false">IF(BL113="","",IFERROR(VLOOKUP(BL113,'ТН ВЭД'!$A$4:$C$40,3,0),""))</f>
        <v/>
      </c>
      <c r="BN113" s="7" t="str">
        <f aca="false">IF(COUNTIF(ЗАКАЗЫ!$F$3:$F$500,$A113)=0,"",SUMIF(ЗАКАЗЫ!$F$3:$F$500,$A113,ЗАКАЗЫ!$J$3:$J$500))</f>
        <v/>
      </c>
      <c r="BO113" s="7" t="str">
        <f aca="false">IF(BN113="","",SUMIF(ЗАКАЗЫ!$F$3:$F$500,$A113,ЗАКАЗЫ!$AL$3:$AL$500))</f>
        <v/>
      </c>
      <c r="BP113" s="7" t="str">
        <f aca="false">IF(BN113="","",BN113-BO113)</f>
        <v/>
      </c>
      <c r="BQ113" s="55" t="str">
        <f aca="false">IF(BN113="","",IF(BO113&gt;=BN113,"На складе",IF(BO113&gt;0,"Частично","Ждём")))</f>
        <v/>
      </c>
      <c r="BR113" s="43"/>
      <c r="BS113" s="47" t="str">
        <f aca="false">IF(BN113="","",IF(_xlfn.MAXIFS(ЗАКАЗЫ!$AK$3:$AK$500,ЗАКАЗЫ!$F$3:$F$500,$A113)=0,"",_xlfn.MAXIFS(ЗАКАЗЫ!$AK$3:$AK$500,ЗАКАЗЫ!$F$3:$F$500,$A113)))</f>
        <v/>
      </c>
    </row>
    <row r="114" customFormat="false" ht="15.75" hidden="false" customHeight="true" outlineLevel="0" collapsed="false">
      <c r="A114" s="80" t="s">
        <v>1315</v>
      </c>
      <c r="B114" s="81"/>
      <c r="C114" s="81"/>
      <c r="D114" s="81"/>
      <c r="E114" s="83"/>
      <c r="F114" s="81"/>
      <c r="G114" s="83"/>
      <c r="H114" s="83"/>
      <c r="I114" s="84" t="str">
        <f aca="false">IF(E114="","",A114&amp;"_1.jpg")</f>
        <v/>
      </c>
      <c r="J114" s="84" t="str">
        <f aca="false">IF(E114="","",A114&amp;"_2.jpg; "&amp;A114&amp;"_3.jpg")</f>
        <v/>
      </c>
      <c r="K114" s="84" t="str">
        <f aca="false">IF(E114="","",A114&amp;"_schema.jpg")</f>
        <v/>
      </c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 t="s">
        <v>96</v>
      </c>
      <c r="W114" s="81"/>
      <c r="X114" s="81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6" t="str">
        <f aca="false">IF(SUM(Y114:AJ114)=0,"",SUM(Y114:AJ114))</f>
        <v/>
      </c>
      <c r="AL114" s="84" t="str">
        <f aca="false">MID(IF(N(Y114)&gt;0,", "&amp;Y$2,"")&amp;IF(N(Z114)&gt;0,", "&amp;Z$2,"")&amp;IF(N(AA114)&gt;0,", "&amp;AA$2,"")&amp;IF(N(AB114)&gt;0,", "&amp;AB$2,"")&amp;IF(N(AC114)&gt;0,", "&amp;AC$2,"")&amp;IF(N(AD114)&gt;0,", "&amp;AD$2,"")&amp;IF(N(AE114)&gt;0,", "&amp;AE$2,"")&amp;IF(N(AF114)&gt;0,", "&amp;AF$2,"")&amp;IF(N(AG114)&gt;0,", "&amp;AG$2,"")&amp;IF(N(AH114)&gt;0,", "&amp;AH$2,"")&amp;IF(N(AI114)&gt;0,", "&amp;AI$2,"")&amp;IF(N(AJ114)&gt;0,", "&amp;AJ$2,""),3,999)</f>
        <v/>
      </c>
      <c r="AM114" s="87" t="str">
        <f aca="false">IF(E114="","",MID(IF(N(Y114)&gt;0,", "&amp;A114&amp;"-"&amp;Y$2,"")&amp;IF(N(Z114)&gt;0,", "&amp;A114&amp;"-"&amp;Z$2,"")&amp;IF(N(AA114)&gt;0,", "&amp;A114&amp;"-"&amp;AA$2,"")&amp;IF(N(AB114)&gt;0,", "&amp;A114&amp;"-"&amp;AB$2,"")&amp;IF(N(AC114)&gt;0,", "&amp;A114&amp;"-"&amp;AC$2,"")&amp;IF(N(AD114)&gt;0,", "&amp;A114&amp;"-"&amp;AD$2,"")&amp;IF(N(AE114)&gt;0,", "&amp;A114&amp;"-"&amp;AE$2,"")&amp;IF(N(AF114)&gt;0,", "&amp;A114&amp;"-"&amp;AF$2,"")&amp;IF(N(AG114)&gt;0,", "&amp;A114&amp;"-"&amp;AG$2,"")&amp;IF(N(AH114)&gt;0,", "&amp;A114&amp;"-"&amp;AH$2,"")&amp;IF(N(AI114)&gt;0,", "&amp;A114&amp;"-"&amp;AI$2,"")&amp;IF(N(AJ114)&gt;0,", "&amp;A114&amp;"-"&amp;AJ$2,""),3,999))</f>
        <v/>
      </c>
      <c r="AN114" s="81"/>
      <c r="AO114" s="88"/>
      <c r="AP114" s="89" t="str">
        <f aca="false">IF(AO114="","",ROUND(AO114/(1+Справочники!$B$13),2))</f>
        <v/>
      </c>
      <c r="AQ114" s="90" t="str">
        <f aca="false" t="array" ref="AQ114:AQ114">IF(AP114="","",AP114*INDEX(Справочники!$B$4:$B$7,MATCH("RUB",Справочники!$A$4:$A$7,0)))</f>
        <v/>
      </c>
      <c r="AR114" s="90" t="str">
        <f aca="false">IF(AQ114="","",ROUND(AQ114*(1+Справочники!$B$12),0))</f>
        <v/>
      </c>
      <c r="AS114" s="90" t="str">
        <f aca="false">IF(AR114="","",ROUND(AR114*(1-Справочники!$B$11),0))</f>
        <v/>
      </c>
      <c r="AT114" s="88"/>
      <c r="AU114" s="90" t="str">
        <f aca="false">IF(AT114="","",ROUND(AT114/(1+Справочники!$B$12),0))</f>
        <v/>
      </c>
      <c r="AV114" s="90" t="str">
        <f aca="false">IF(AT114="","",ROUND(AT114*(1-Справочники!$B$15),0))</f>
        <v/>
      </c>
      <c r="AW114" s="90" t="str">
        <f aca="false">IF(AT114="","",ROUND(AT114*(1-Справочники!$B$16),0))</f>
        <v/>
      </c>
      <c r="AX114" s="90" t="str">
        <f aca="false">IF(AT114="","",ROUND(AT114*(1-Справочники!$B$17),0))</f>
        <v/>
      </c>
      <c r="AY114" s="90" t="str">
        <f aca="false">IF(AT114="","",ROUND(AT114*(1-Справочники!$B$18),0))</f>
        <v/>
      </c>
      <c r="AZ114" s="90" t="str">
        <f aca="false">IF(AT114="","",ROUND(AT114*(1-Справочники!$B$19),0))</f>
        <v/>
      </c>
      <c r="BA114" s="81"/>
      <c r="BB114" s="81"/>
      <c r="BC114" s="81"/>
      <c r="BD114" s="81"/>
      <c r="BE114" s="91"/>
      <c r="BF114" s="81" t="s">
        <v>103</v>
      </c>
      <c r="BG114" s="89" t="n">
        <f aca="false" t="array" ref="BG114:BG114">IF(BF114="","",IFERROR(INDEX(Справочники!$B$4:$B$7,MATCH(BF114,Справочники!$A$4:$A$7,0)),""))</f>
        <v>68.5</v>
      </c>
      <c r="BH114" s="90" t="str">
        <f aca="false">IF(N(BN114)&gt;0,ROUND(SUMIF(ЗАКАЗЫ!$F$3:$F$500,$A114,ЗАКАЗЫ!$Y$3:$Y$500)/BN114,0),IF(OR(BE114="",BG114=""),"",ROUND(BE114*BG114*(1+Справочники!$B$10),0)))</f>
        <v/>
      </c>
      <c r="BI114" s="92" t="str">
        <f aca="false">IF(OR(AU114="",BH114="",AU114=0),"",(AU114-BH114)/AU114)</f>
        <v/>
      </c>
      <c r="BJ114" s="81"/>
      <c r="BK114" s="83"/>
      <c r="BL114" s="43" t="str">
        <f aca="false">IFERROR(INDEX(ЗАКАЗЫ!$N$3:$N$500,MATCH($A114,ЗАКАЗЫ!$F$3:$F$500,0)),"")</f>
        <v/>
      </c>
      <c r="BM114" s="8" t="str">
        <f aca="false">IF(BL114="","",IFERROR(VLOOKUP(BL114,'ТН ВЭД'!$A$4:$C$40,3,0),""))</f>
        <v/>
      </c>
      <c r="BN114" s="7" t="str">
        <f aca="false">IF(COUNTIF(ЗАКАЗЫ!$F$3:$F$500,$A114)=0,"",SUMIF(ЗАКАЗЫ!$F$3:$F$500,$A114,ЗАКАЗЫ!$J$3:$J$500))</f>
        <v/>
      </c>
      <c r="BO114" s="7" t="str">
        <f aca="false">IF(BN114="","",SUMIF(ЗАКАЗЫ!$F$3:$F$500,$A114,ЗАКАЗЫ!$AL$3:$AL$500))</f>
        <v/>
      </c>
      <c r="BP114" s="7" t="str">
        <f aca="false">IF(BN114="","",BN114-BO114)</f>
        <v/>
      </c>
      <c r="BQ114" s="55" t="str">
        <f aca="false">IF(BN114="","",IF(BO114&gt;=BN114,"На складе",IF(BO114&gt;0,"Частично","Ждём")))</f>
        <v/>
      </c>
      <c r="BR114" s="43"/>
      <c r="BS114" s="47" t="str">
        <f aca="false">IF(BN114="","",IF(_xlfn.MAXIFS(ЗАКАЗЫ!$AK$3:$AK$500,ЗАКАЗЫ!$F$3:$F$500,$A114)=0,"",_xlfn.MAXIFS(ЗАКАЗЫ!$AK$3:$AK$500,ЗАКАЗЫ!$F$3:$F$500,$A114)))</f>
        <v/>
      </c>
    </row>
    <row r="115" customFormat="false" ht="15.75" hidden="false" customHeight="true" outlineLevel="0" collapsed="false">
      <c r="A115" s="80" t="s">
        <v>1316</v>
      </c>
      <c r="B115" s="81"/>
      <c r="C115" s="81"/>
      <c r="D115" s="81"/>
      <c r="E115" s="83"/>
      <c r="F115" s="81"/>
      <c r="G115" s="83"/>
      <c r="H115" s="83"/>
      <c r="I115" s="84" t="str">
        <f aca="false">IF(E115="","",A115&amp;"_1.jpg")</f>
        <v/>
      </c>
      <c r="J115" s="84" t="str">
        <f aca="false">IF(E115="","",A115&amp;"_2.jpg; "&amp;A115&amp;"_3.jpg")</f>
        <v/>
      </c>
      <c r="K115" s="84" t="str">
        <f aca="false">IF(E115="","",A115&amp;"_schema.jpg")</f>
        <v/>
      </c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 t="s">
        <v>96</v>
      </c>
      <c r="W115" s="81"/>
      <c r="X115" s="81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6" t="str">
        <f aca="false">IF(SUM(Y115:AJ115)=0,"",SUM(Y115:AJ115))</f>
        <v/>
      </c>
      <c r="AL115" s="84" t="str">
        <f aca="false">MID(IF(N(Y115)&gt;0,", "&amp;Y$2,"")&amp;IF(N(Z115)&gt;0,", "&amp;Z$2,"")&amp;IF(N(AA115)&gt;0,", "&amp;AA$2,"")&amp;IF(N(AB115)&gt;0,", "&amp;AB$2,"")&amp;IF(N(AC115)&gt;0,", "&amp;AC$2,"")&amp;IF(N(AD115)&gt;0,", "&amp;AD$2,"")&amp;IF(N(AE115)&gt;0,", "&amp;AE$2,"")&amp;IF(N(AF115)&gt;0,", "&amp;AF$2,"")&amp;IF(N(AG115)&gt;0,", "&amp;AG$2,"")&amp;IF(N(AH115)&gt;0,", "&amp;AH$2,"")&amp;IF(N(AI115)&gt;0,", "&amp;AI$2,"")&amp;IF(N(AJ115)&gt;0,", "&amp;AJ$2,""),3,999)</f>
        <v/>
      </c>
      <c r="AM115" s="87" t="str">
        <f aca="false">IF(E115="","",MID(IF(N(Y115)&gt;0,", "&amp;A115&amp;"-"&amp;Y$2,"")&amp;IF(N(Z115)&gt;0,", "&amp;A115&amp;"-"&amp;Z$2,"")&amp;IF(N(AA115)&gt;0,", "&amp;A115&amp;"-"&amp;AA$2,"")&amp;IF(N(AB115)&gt;0,", "&amp;A115&amp;"-"&amp;AB$2,"")&amp;IF(N(AC115)&gt;0,", "&amp;A115&amp;"-"&amp;AC$2,"")&amp;IF(N(AD115)&gt;0,", "&amp;A115&amp;"-"&amp;AD$2,"")&amp;IF(N(AE115)&gt;0,", "&amp;A115&amp;"-"&amp;AE$2,"")&amp;IF(N(AF115)&gt;0,", "&amp;A115&amp;"-"&amp;AF$2,"")&amp;IF(N(AG115)&gt;0,", "&amp;A115&amp;"-"&amp;AG$2,"")&amp;IF(N(AH115)&gt;0,", "&amp;A115&amp;"-"&amp;AH$2,"")&amp;IF(N(AI115)&gt;0,", "&amp;A115&amp;"-"&amp;AI$2,"")&amp;IF(N(AJ115)&gt;0,", "&amp;A115&amp;"-"&amp;AJ$2,""),3,999))</f>
        <v/>
      </c>
      <c r="AN115" s="81"/>
      <c r="AO115" s="88"/>
      <c r="AP115" s="89" t="str">
        <f aca="false">IF(AO115="","",ROUND(AO115/(1+Справочники!$B$13),2))</f>
        <v/>
      </c>
      <c r="AQ115" s="90" t="str">
        <f aca="false" t="array" ref="AQ115:AQ115">IF(AP115="","",AP115*INDEX(Справочники!$B$4:$B$7,MATCH("RUB",Справочники!$A$4:$A$7,0)))</f>
        <v/>
      </c>
      <c r="AR115" s="90" t="str">
        <f aca="false">IF(AQ115="","",ROUND(AQ115*(1+Справочники!$B$12),0))</f>
        <v/>
      </c>
      <c r="AS115" s="90" t="str">
        <f aca="false">IF(AR115="","",ROUND(AR115*(1-Справочники!$B$11),0))</f>
        <v/>
      </c>
      <c r="AT115" s="88"/>
      <c r="AU115" s="90" t="str">
        <f aca="false">IF(AT115="","",ROUND(AT115/(1+Справочники!$B$12),0))</f>
        <v/>
      </c>
      <c r="AV115" s="90" t="str">
        <f aca="false">IF(AT115="","",ROUND(AT115*(1-Справочники!$B$15),0))</f>
        <v/>
      </c>
      <c r="AW115" s="90" t="str">
        <f aca="false">IF(AT115="","",ROUND(AT115*(1-Справочники!$B$16),0))</f>
        <v/>
      </c>
      <c r="AX115" s="90" t="str">
        <f aca="false">IF(AT115="","",ROUND(AT115*(1-Справочники!$B$17),0))</f>
        <v/>
      </c>
      <c r="AY115" s="90" t="str">
        <f aca="false">IF(AT115="","",ROUND(AT115*(1-Справочники!$B$18),0))</f>
        <v/>
      </c>
      <c r="AZ115" s="90" t="str">
        <f aca="false">IF(AT115="","",ROUND(AT115*(1-Справочники!$B$19),0))</f>
        <v/>
      </c>
      <c r="BA115" s="81"/>
      <c r="BB115" s="81"/>
      <c r="BC115" s="81"/>
      <c r="BD115" s="81"/>
      <c r="BE115" s="91"/>
      <c r="BF115" s="81" t="s">
        <v>103</v>
      </c>
      <c r="BG115" s="89" t="n">
        <f aca="false" t="array" ref="BG115:BG115">IF(BF115="","",IFERROR(INDEX(Справочники!$B$4:$B$7,MATCH(BF115,Справочники!$A$4:$A$7,0)),""))</f>
        <v>68.5</v>
      </c>
      <c r="BH115" s="90" t="str">
        <f aca="false">IF(N(BN115)&gt;0,ROUND(SUMIF(ЗАКАЗЫ!$F$3:$F$500,$A115,ЗАКАЗЫ!$Y$3:$Y$500)/BN115,0),IF(OR(BE115="",BG115=""),"",ROUND(BE115*BG115*(1+Справочники!$B$10),0)))</f>
        <v/>
      </c>
      <c r="BI115" s="92" t="str">
        <f aca="false">IF(OR(AU115="",BH115="",AU115=0),"",(AU115-BH115)/AU115)</f>
        <v/>
      </c>
      <c r="BJ115" s="81"/>
      <c r="BK115" s="83"/>
      <c r="BL115" s="43" t="str">
        <f aca="false">IFERROR(INDEX(ЗАКАЗЫ!$N$3:$N$500,MATCH($A115,ЗАКАЗЫ!$F$3:$F$500,0)),"")</f>
        <v/>
      </c>
      <c r="BM115" s="8" t="str">
        <f aca="false">IF(BL115="","",IFERROR(VLOOKUP(BL115,'ТН ВЭД'!$A$4:$C$40,3,0),""))</f>
        <v/>
      </c>
      <c r="BN115" s="7" t="str">
        <f aca="false">IF(COUNTIF(ЗАКАЗЫ!$F$3:$F$500,$A115)=0,"",SUMIF(ЗАКАЗЫ!$F$3:$F$500,$A115,ЗАКАЗЫ!$J$3:$J$500))</f>
        <v/>
      </c>
      <c r="BO115" s="7" t="str">
        <f aca="false">IF(BN115="","",SUMIF(ЗАКАЗЫ!$F$3:$F$500,$A115,ЗАКАЗЫ!$AL$3:$AL$500))</f>
        <v/>
      </c>
      <c r="BP115" s="7" t="str">
        <f aca="false">IF(BN115="","",BN115-BO115)</f>
        <v/>
      </c>
      <c r="BQ115" s="55" t="str">
        <f aca="false">IF(BN115="","",IF(BO115&gt;=BN115,"На складе",IF(BO115&gt;0,"Частично","Ждём")))</f>
        <v/>
      </c>
      <c r="BR115" s="43"/>
      <c r="BS115" s="47" t="str">
        <f aca="false">IF(BN115="","",IF(_xlfn.MAXIFS(ЗАКАЗЫ!$AK$3:$AK$500,ЗАКАЗЫ!$F$3:$F$500,$A115)=0,"",_xlfn.MAXIFS(ЗАКАЗЫ!$AK$3:$AK$500,ЗАКАЗЫ!$F$3:$F$500,$A115)))</f>
        <v/>
      </c>
    </row>
    <row r="116" customFormat="false" ht="15.75" hidden="false" customHeight="true" outlineLevel="0" collapsed="false">
      <c r="A116" s="80" t="s">
        <v>1317</v>
      </c>
      <c r="B116" s="81"/>
      <c r="C116" s="81"/>
      <c r="D116" s="81"/>
      <c r="E116" s="83"/>
      <c r="F116" s="81"/>
      <c r="G116" s="83"/>
      <c r="H116" s="83"/>
      <c r="I116" s="84" t="str">
        <f aca="false">IF(E116="","",A116&amp;"_1.jpg")</f>
        <v/>
      </c>
      <c r="J116" s="84" t="str">
        <f aca="false">IF(E116="","",A116&amp;"_2.jpg; "&amp;A116&amp;"_3.jpg")</f>
        <v/>
      </c>
      <c r="K116" s="84" t="str">
        <f aca="false">IF(E116="","",A116&amp;"_schema.jpg")</f>
        <v/>
      </c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 t="s">
        <v>96</v>
      </c>
      <c r="W116" s="81"/>
      <c r="X116" s="81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6" t="str">
        <f aca="false">IF(SUM(Y116:AJ116)=0,"",SUM(Y116:AJ116))</f>
        <v/>
      </c>
      <c r="AL116" s="84" t="str">
        <f aca="false">MID(IF(N(Y116)&gt;0,", "&amp;Y$2,"")&amp;IF(N(Z116)&gt;0,", "&amp;Z$2,"")&amp;IF(N(AA116)&gt;0,", "&amp;AA$2,"")&amp;IF(N(AB116)&gt;0,", "&amp;AB$2,"")&amp;IF(N(AC116)&gt;0,", "&amp;AC$2,"")&amp;IF(N(AD116)&gt;0,", "&amp;AD$2,"")&amp;IF(N(AE116)&gt;0,", "&amp;AE$2,"")&amp;IF(N(AF116)&gt;0,", "&amp;AF$2,"")&amp;IF(N(AG116)&gt;0,", "&amp;AG$2,"")&amp;IF(N(AH116)&gt;0,", "&amp;AH$2,"")&amp;IF(N(AI116)&gt;0,", "&amp;AI$2,"")&amp;IF(N(AJ116)&gt;0,", "&amp;AJ$2,""),3,999)</f>
        <v/>
      </c>
      <c r="AM116" s="87" t="str">
        <f aca="false">IF(E116="","",MID(IF(N(Y116)&gt;0,", "&amp;A116&amp;"-"&amp;Y$2,"")&amp;IF(N(Z116)&gt;0,", "&amp;A116&amp;"-"&amp;Z$2,"")&amp;IF(N(AA116)&gt;0,", "&amp;A116&amp;"-"&amp;AA$2,"")&amp;IF(N(AB116)&gt;0,", "&amp;A116&amp;"-"&amp;AB$2,"")&amp;IF(N(AC116)&gt;0,", "&amp;A116&amp;"-"&amp;AC$2,"")&amp;IF(N(AD116)&gt;0,", "&amp;A116&amp;"-"&amp;AD$2,"")&amp;IF(N(AE116)&gt;0,", "&amp;A116&amp;"-"&amp;AE$2,"")&amp;IF(N(AF116)&gt;0,", "&amp;A116&amp;"-"&amp;AF$2,"")&amp;IF(N(AG116)&gt;0,", "&amp;A116&amp;"-"&amp;AG$2,"")&amp;IF(N(AH116)&gt;0,", "&amp;A116&amp;"-"&amp;AH$2,"")&amp;IF(N(AI116)&gt;0,", "&amp;A116&amp;"-"&amp;AI$2,"")&amp;IF(N(AJ116)&gt;0,", "&amp;A116&amp;"-"&amp;AJ$2,""),3,999))</f>
        <v/>
      </c>
      <c r="AN116" s="81"/>
      <c r="AO116" s="88"/>
      <c r="AP116" s="89" t="str">
        <f aca="false">IF(AO116="","",ROUND(AO116/(1+Справочники!$B$13),2))</f>
        <v/>
      </c>
      <c r="AQ116" s="90" t="str">
        <f aca="false" t="array" ref="AQ116:AQ116">IF(AP116="","",AP116*INDEX(Справочники!$B$4:$B$7,MATCH("RUB",Справочники!$A$4:$A$7,0)))</f>
        <v/>
      </c>
      <c r="AR116" s="90" t="str">
        <f aca="false">IF(AQ116="","",ROUND(AQ116*(1+Справочники!$B$12),0))</f>
        <v/>
      </c>
      <c r="AS116" s="90" t="str">
        <f aca="false">IF(AR116="","",ROUND(AR116*(1-Справочники!$B$11),0))</f>
        <v/>
      </c>
      <c r="AT116" s="88"/>
      <c r="AU116" s="90" t="str">
        <f aca="false">IF(AT116="","",ROUND(AT116/(1+Справочники!$B$12),0))</f>
        <v/>
      </c>
      <c r="AV116" s="90" t="str">
        <f aca="false">IF(AT116="","",ROUND(AT116*(1-Справочники!$B$15),0))</f>
        <v/>
      </c>
      <c r="AW116" s="90" t="str">
        <f aca="false">IF(AT116="","",ROUND(AT116*(1-Справочники!$B$16),0))</f>
        <v/>
      </c>
      <c r="AX116" s="90" t="str">
        <f aca="false">IF(AT116="","",ROUND(AT116*(1-Справочники!$B$17),0))</f>
        <v/>
      </c>
      <c r="AY116" s="90" t="str">
        <f aca="false">IF(AT116="","",ROUND(AT116*(1-Справочники!$B$18),0))</f>
        <v/>
      </c>
      <c r="AZ116" s="90" t="str">
        <f aca="false">IF(AT116="","",ROUND(AT116*(1-Справочники!$B$19),0))</f>
        <v/>
      </c>
      <c r="BA116" s="81"/>
      <c r="BB116" s="81"/>
      <c r="BC116" s="81"/>
      <c r="BD116" s="81"/>
      <c r="BE116" s="91"/>
      <c r="BF116" s="81" t="s">
        <v>103</v>
      </c>
      <c r="BG116" s="89" t="n">
        <f aca="false" t="array" ref="BG116:BG116">IF(BF116="","",IFERROR(INDEX(Справочники!$B$4:$B$7,MATCH(BF116,Справочники!$A$4:$A$7,0)),""))</f>
        <v>68.5</v>
      </c>
      <c r="BH116" s="90" t="str">
        <f aca="false">IF(N(BN116)&gt;0,ROUND(SUMIF(ЗАКАЗЫ!$F$3:$F$500,$A116,ЗАКАЗЫ!$Y$3:$Y$500)/BN116,0),IF(OR(BE116="",BG116=""),"",ROUND(BE116*BG116*(1+Справочники!$B$10),0)))</f>
        <v/>
      </c>
      <c r="BI116" s="92" t="str">
        <f aca="false">IF(OR(AU116="",BH116="",AU116=0),"",(AU116-BH116)/AU116)</f>
        <v/>
      </c>
      <c r="BJ116" s="81"/>
      <c r="BK116" s="83"/>
      <c r="BL116" s="43" t="str">
        <f aca="false">IFERROR(INDEX(ЗАКАЗЫ!$N$3:$N$500,MATCH($A116,ЗАКАЗЫ!$F$3:$F$500,0)),"")</f>
        <v/>
      </c>
      <c r="BM116" s="8" t="str">
        <f aca="false">IF(BL116="","",IFERROR(VLOOKUP(BL116,'ТН ВЭД'!$A$4:$C$40,3,0),""))</f>
        <v/>
      </c>
      <c r="BN116" s="7" t="str">
        <f aca="false">IF(COUNTIF(ЗАКАЗЫ!$F$3:$F$500,$A116)=0,"",SUMIF(ЗАКАЗЫ!$F$3:$F$500,$A116,ЗАКАЗЫ!$J$3:$J$500))</f>
        <v/>
      </c>
      <c r="BO116" s="7" t="str">
        <f aca="false">IF(BN116="","",SUMIF(ЗАКАЗЫ!$F$3:$F$500,$A116,ЗАКАЗЫ!$AL$3:$AL$500))</f>
        <v/>
      </c>
      <c r="BP116" s="7" t="str">
        <f aca="false">IF(BN116="","",BN116-BO116)</f>
        <v/>
      </c>
      <c r="BQ116" s="55" t="str">
        <f aca="false">IF(BN116="","",IF(BO116&gt;=BN116,"На складе",IF(BO116&gt;0,"Частично","Ждём")))</f>
        <v/>
      </c>
      <c r="BR116" s="43"/>
      <c r="BS116" s="47" t="str">
        <f aca="false">IF(BN116="","",IF(_xlfn.MAXIFS(ЗАКАЗЫ!$AK$3:$AK$500,ЗАКАЗЫ!$F$3:$F$500,$A116)=0,"",_xlfn.MAXIFS(ЗАКАЗЫ!$AK$3:$AK$500,ЗАКАЗЫ!$F$3:$F$500,$A116)))</f>
        <v/>
      </c>
    </row>
    <row r="117" customFormat="false" ht="15.75" hidden="false" customHeight="true" outlineLevel="0" collapsed="false">
      <c r="A117" s="80" t="s">
        <v>1318</v>
      </c>
      <c r="B117" s="81"/>
      <c r="C117" s="81"/>
      <c r="D117" s="81"/>
      <c r="E117" s="83"/>
      <c r="F117" s="81"/>
      <c r="G117" s="83"/>
      <c r="H117" s="83"/>
      <c r="I117" s="84" t="str">
        <f aca="false">IF(E117="","",A117&amp;"_1.jpg")</f>
        <v/>
      </c>
      <c r="J117" s="84" t="str">
        <f aca="false">IF(E117="","",A117&amp;"_2.jpg; "&amp;A117&amp;"_3.jpg")</f>
        <v/>
      </c>
      <c r="K117" s="84" t="str">
        <f aca="false">IF(E117="","",A117&amp;"_schema.jpg")</f>
        <v/>
      </c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 t="s">
        <v>96</v>
      </c>
      <c r="W117" s="81"/>
      <c r="X117" s="81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6" t="str">
        <f aca="false">IF(SUM(Y117:AJ117)=0,"",SUM(Y117:AJ117))</f>
        <v/>
      </c>
      <c r="AL117" s="84" t="str">
        <f aca="false">MID(IF(N(Y117)&gt;0,", "&amp;Y$2,"")&amp;IF(N(Z117)&gt;0,", "&amp;Z$2,"")&amp;IF(N(AA117)&gt;0,", "&amp;AA$2,"")&amp;IF(N(AB117)&gt;0,", "&amp;AB$2,"")&amp;IF(N(AC117)&gt;0,", "&amp;AC$2,"")&amp;IF(N(AD117)&gt;0,", "&amp;AD$2,"")&amp;IF(N(AE117)&gt;0,", "&amp;AE$2,"")&amp;IF(N(AF117)&gt;0,", "&amp;AF$2,"")&amp;IF(N(AG117)&gt;0,", "&amp;AG$2,"")&amp;IF(N(AH117)&gt;0,", "&amp;AH$2,"")&amp;IF(N(AI117)&gt;0,", "&amp;AI$2,"")&amp;IF(N(AJ117)&gt;0,", "&amp;AJ$2,""),3,999)</f>
        <v/>
      </c>
      <c r="AM117" s="87" t="str">
        <f aca="false">IF(E117="","",MID(IF(N(Y117)&gt;0,", "&amp;A117&amp;"-"&amp;Y$2,"")&amp;IF(N(Z117)&gt;0,", "&amp;A117&amp;"-"&amp;Z$2,"")&amp;IF(N(AA117)&gt;0,", "&amp;A117&amp;"-"&amp;AA$2,"")&amp;IF(N(AB117)&gt;0,", "&amp;A117&amp;"-"&amp;AB$2,"")&amp;IF(N(AC117)&gt;0,", "&amp;A117&amp;"-"&amp;AC$2,"")&amp;IF(N(AD117)&gt;0,", "&amp;A117&amp;"-"&amp;AD$2,"")&amp;IF(N(AE117)&gt;0,", "&amp;A117&amp;"-"&amp;AE$2,"")&amp;IF(N(AF117)&gt;0,", "&amp;A117&amp;"-"&amp;AF$2,"")&amp;IF(N(AG117)&gt;0,", "&amp;A117&amp;"-"&amp;AG$2,"")&amp;IF(N(AH117)&gt;0,", "&amp;A117&amp;"-"&amp;AH$2,"")&amp;IF(N(AI117)&gt;0,", "&amp;A117&amp;"-"&amp;AI$2,"")&amp;IF(N(AJ117)&gt;0,", "&amp;A117&amp;"-"&amp;AJ$2,""),3,999))</f>
        <v/>
      </c>
      <c r="AN117" s="81"/>
      <c r="AO117" s="88"/>
      <c r="AP117" s="89" t="str">
        <f aca="false">IF(AO117="","",ROUND(AO117/(1+Справочники!$B$13),2))</f>
        <v/>
      </c>
      <c r="AQ117" s="90" t="str">
        <f aca="false" t="array" ref="AQ117:AQ117">IF(AP117="","",AP117*INDEX(Справочники!$B$4:$B$7,MATCH("RUB",Справочники!$A$4:$A$7,0)))</f>
        <v/>
      </c>
      <c r="AR117" s="90" t="str">
        <f aca="false">IF(AQ117="","",ROUND(AQ117*(1+Справочники!$B$12),0))</f>
        <v/>
      </c>
      <c r="AS117" s="90" t="str">
        <f aca="false">IF(AR117="","",ROUND(AR117*(1-Справочники!$B$11),0))</f>
        <v/>
      </c>
      <c r="AT117" s="88"/>
      <c r="AU117" s="90" t="str">
        <f aca="false">IF(AT117="","",ROUND(AT117/(1+Справочники!$B$12),0))</f>
        <v/>
      </c>
      <c r="AV117" s="90" t="str">
        <f aca="false">IF(AT117="","",ROUND(AT117*(1-Справочники!$B$15),0))</f>
        <v/>
      </c>
      <c r="AW117" s="90" t="str">
        <f aca="false">IF(AT117="","",ROUND(AT117*(1-Справочники!$B$16),0))</f>
        <v/>
      </c>
      <c r="AX117" s="90" t="str">
        <f aca="false">IF(AT117="","",ROUND(AT117*(1-Справочники!$B$17),0))</f>
        <v/>
      </c>
      <c r="AY117" s="90" t="str">
        <f aca="false">IF(AT117="","",ROUND(AT117*(1-Справочники!$B$18),0))</f>
        <v/>
      </c>
      <c r="AZ117" s="90" t="str">
        <f aca="false">IF(AT117="","",ROUND(AT117*(1-Справочники!$B$19),0))</f>
        <v/>
      </c>
      <c r="BA117" s="81"/>
      <c r="BB117" s="81"/>
      <c r="BC117" s="81"/>
      <c r="BD117" s="81"/>
      <c r="BE117" s="91"/>
      <c r="BF117" s="81" t="s">
        <v>103</v>
      </c>
      <c r="BG117" s="89" t="n">
        <f aca="false" t="array" ref="BG117:BG117">IF(BF117="","",IFERROR(INDEX(Справочники!$B$4:$B$7,MATCH(BF117,Справочники!$A$4:$A$7,0)),""))</f>
        <v>68.5</v>
      </c>
      <c r="BH117" s="90" t="str">
        <f aca="false">IF(N(BN117)&gt;0,ROUND(SUMIF(ЗАКАЗЫ!$F$3:$F$500,$A117,ЗАКАЗЫ!$Y$3:$Y$500)/BN117,0),IF(OR(BE117="",BG117=""),"",ROUND(BE117*BG117*(1+Справочники!$B$10),0)))</f>
        <v/>
      </c>
      <c r="BI117" s="92" t="str">
        <f aca="false">IF(OR(AU117="",BH117="",AU117=0),"",(AU117-BH117)/AU117)</f>
        <v/>
      </c>
      <c r="BJ117" s="81"/>
      <c r="BK117" s="83"/>
      <c r="BL117" s="43" t="str">
        <f aca="false">IFERROR(INDEX(ЗАКАЗЫ!$N$3:$N$500,MATCH($A117,ЗАКАЗЫ!$F$3:$F$500,0)),"")</f>
        <v/>
      </c>
      <c r="BM117" s="8" t="str">
        <f aca="false">IF(BL117="","",IFERROR(VLOOKUP(BL117,'ТН ВЭД'!$A$4:$C$40,3,0),""))</f>
        <v/>
      </c>
      <c r="BN117" s="7" t="str">
        <f aca="false">IF(COUNTIF(ЗАКАЗЫ!$F$3:$F$500,$A117)=0,"",SUMIF(ЗАКАЗЫ!$F$3:$F$500,$A117,ЗАКАЗЫ!$J$3:$J$500))</f>
        <v/>
      </c>
      <c r="BO117" s="7" t="str">
        <f aca="false">IF(BN117="","",SUMIF(ЗАКАЗЫ!$F$3:$F$500,$A117,ЗАКАЗЫ!$AL$3:$AL$500))</f>
        <v/>
      </c>
      <c r="BP117" s="7" t="str">
        <f aca="false">IF(BN117="","",BN117-BO117)</f>
        <v/>
      </c>
      <c r="BQ117" s="55" t="str">
        <f aca="false">IF(BN117="","",IF(BO117&gt;=BN117,"На складе",IF(BO117&gt;0,"Частично","Ждём")))</f>
        <v/>
      </c>
      <c r="BR117" s="43"/>
      <c r="BS117" s="47" t="str">
        <f aca="false">IF(BN117="","",IF(_xlfn.MAXIFS(ЗАКАЗЫ!$AK$3:$AK$500,ЗАКАЗЫ!$F$3:$F$500,$A117)=0,"",_xlfn.MAXIFS(ЗАКАЗЫ!$AK$3:$AK$500,ЗАКАЗЫ!$F$3:$F$500,$A117)))</f>
        <v/>
      </c>
    </row>
    <row r="118" customFormat="false" ht="15.75" hidden="false" customHeight="true" outlineLevel="0" collapsed="false">
      <c r="A118" s="80" t="s">
        <v>1319</v>
      </c>
      <c r="B118" s="81"/>
      <c r="C118" s="81"/>
      <c r="D118" s="81"/>
      <c r="E118" s="83"/>
      <c r="F118" s="81"/>
      <c r="G118" s="83"/>
      <c r="H118" s="83"/>
      <c r="I118" s="84" t="str">
        <f aca="false">IF(E118="","",A118&amp;"_1.jpg")</f>
        <v/>
      </c>
      <c r="J118" s="84" t="str">
        <f aca="false">IF(E118="","",A118&amp;"_2.jpg; "&amp;A118&amp;"_3.jpg")</f>
        <v/>
      </c>
      <c r="K118" s="84" t="str">
        <f aca="false">IF(E118="","",A118&amp;"_schema.jpg")</f>
        <v/>
      </c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 t="s">
        <v>96</v>
      </c>
      <c r="W118" s="81"/>
      <c r="X118" s="81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6" t="str">
        <f aca="false">IF(SUM(Y118:AJ118)=0,"",SUM(Y118:AJ118))</f>
        <v/>
      </c>
      <c r="AL118" s="84" t="str">
        <f aca="false">MID(IF(N(Y118)&gt;0,", "&amp;Y$2,"")&amp;IF(N(Z118)&gt;0,", "&amp;Z$2,"")&amp;IF(N(AA118)&gt;0,", "&amp;AA$2,"")&amp;IF(N(AB118)&gt;0,", "&amp;AB$2,"")&amp;IF(N(AC118)&gt;0,", "&amp;AC$2,"")&amp;IF(N(AD118)&gt;0,", "&amp;AD$2,"")&amp;IF(N(AE118)&gt;0,", "&amp;AE$2,"")&amp;IF(N(AF118)&gt;0,", "&amp;AF$2,"")&amp;IF(N(AG118)&gt;0,", "&amp;AG$2,"")&amp;IF(N(AH118)&gt;0,", "&amp;AH$2,"")&amp;IF(N(AI118)&gt;0,", "&amp;AI$2,"")&amp;IF(N(AJ118)&gt;0,", "&amp;AJ$2,""),3,999)</f>
        <v/>
      </c>
      <c r="AM118" s="87" t="str">
        <f aca="false">IF(E118="","",MID(IF(N(Y118)&gt;0,", "&amp;A118&amp;"-"&amp;Y$2,"")&amp;IF(N(Z118)&gt;0,", "&amp;A118&amp;"-"&amp;Z$2,"")&amp;IF(N(AA118)&gt;0,", "&amp;A118&amp;"-"&amp;AA$2,"")&amp;IF(N(AB118)&gt;0,", "&amp;A118&amp;"-"&amp;AB$2,"")&amp;IF(N(AC118)&gt;0,", "&amp;A118&amp;"-"&amp;AC$2,"")&amp;IF(N(AD118)&gt;0,", "&amp;A118&amp;"-"&amp;AD$2,"")&amp;IF(N(AE118)&gt;0,", "&amp;A118&amp;"-"&amp;AE$2,"")&amp;IF(N(AF118)&gt;0,", "&amp;A118&amp;"-"&amp;AF$2,"")&amp;IF(N(AG118)&gt;0,", "&amp;A118&amp;"-"&amp;AG$2,"")&amp;IF(N(AH118)&gt;0,", "&amp;A118&amp;"-"&amp;AH$2,"")&amp;IF(N(AI118)&gt;0,", "&amp;A118&amp;"-"&amp;AI$2,"")&amp;IF(N(AJ118)&gt;0,", "&amp;A118&amp;"-"&amp;AJ$2,""),3,999))</f>
        <v/>
      </c>
      <c r="AN118" s="81"/>
      <c r="AO118" s="88"/>
      <c r="AP118" s="89" t="str">
        <f aca="false">IF(AO118="","",ROUND(AO118/(1+Справочники!$B$13),2))</f>
        <v/>
      </c>
      <c r="AQ118" s="90" t="str">
        <f aca="false" t="array" ref="AQ118:AQ118">IF(AP118="","",AP118*INDEX(Справочники!$B$4:$B$7,MATCH("RUB",Справочники!$A$4:$A$7,0)))</f>
        <v/>
      </c>
      <c r="AR118" s="90" t="str">
        <f aca="false">IF(AQ118="","",ROUND(AQ118*(1+Справочники!$B$12),0))</f>
        <v/>
      </c>
      <c r="AS118" s="90" t="str">
        <f aca="false">IF(AR118="","",ROUND(AR118*(1-Справочники!$B$11),0))</f>
        <v/>
      </c>
      <c r="AT118" s="88"/>
      <c r="AU118" s="90" t="str">
        <f aca="false">IF(AT118="","",ROUND(AT118/(1+Справочники!$B$12),0))</f>
        <v/>
      </c>
      <c r="AV118" s="90" t="str">
        <f aca="false">IF(AT118="","",ROUND(AT118*(1-Справочники!$B$15),0))</f>
        <v/>
      </c>
      <c r="AW118" s="90" t="str">
        <f aca="false">IF(AT118="","",ROUND(AT118*(1-Справочники!$B$16),0))</f>
        <v/>
      </c>
      <c r="AX118" s="90" t="str">
        <f aca="false">IF(AT118="","",ROUND(AT118*(1-Справочники!$B$17),0))</f>
        <v/>
      </c>
      <c r="AY118" s="90" t="str">
        <f aca="false">IF(AT118="","",ROUND(AT118*(1-Справочники!$B$18),0))</f>
        <v/>
      </c>
      <c r="AZ118" s="90" t="str">
        <f aca="false">IF(AT118="","",ROUND(AT118*(1-Справочники!$B$19),0))</f>
        <v/>
      </c>
      <c r="BA118" s="81"/>
      <c r="BB118" s="81"/>
      <c r="BC118" s="81"/>
      <c r="BD118" s="81"/>
      <c r="BE118" s="91"/>
      <c r="BF118" s="81" t="s">
        <v>103</v>
      </c>
      <c r="BG118" s="89" t="n">
        <f aca="false" t="array" ref="BG118:BG118">IF(BF118="","",IFERROR(INDEX(Справочники!$B$4:$B$7,MATCH(BF118,Справочники!$A$4:$A$7,0)),""))</f>
        <v>68.5</v>
      </c>
      <c r="BH118" s="90" t="str">
        <f aca="false">IF(N(BN118)&gt;0,ROUND(SUMIF(ЗАКАЗЫ!$F$3:$F$500,$A118,ЗАКАЗЫ!$Y$3:$Y$500)/BN118,0),IF(OR(BE118="",BG118=""),"",ROUND(BE118*BG118*(1+Справочники!$B$10),0)))</f>
        <v/>
      </c>
      <c r="BI118" s="92" t="str">
        <f aca="false">IF(OR(AU118="",BH118="",AU118=0),"",(AU118-BH118)/AU118)</f>
        <v/>
      </c>
      <c r="BJ118" s="81"/>
      <c r="BK118" s="83"/>
      <c r="BL118" s="43" t="str">
        <f aca="false">IFERROR(INDEX(ЗАКАЗЫ!$N$3:$N$500,MATCH($A118,ЗАКАЗЫ!$F$3:$F$500,0)),"")</f>
        <v/>
      </c>
      <c r="BM118" s="8" t="str">
        <f aca="false">IF(BL118="","",IFERROR(VLOOKUP(BL118,'ТН ВЭД'!$A$4:$C$40,3,0),""))</f>
        <v/>
      </c>
      <c r="BN118" s="7" t="str">
        <f aca="false">IF(COUNTIF(ЗАКАЗЫ!$F$3:$F$500,$A118)=0,"",SUMIF(ЗАКАЗЫ!$F$3:$F$500,$A118,ЗАКАЗЫ!$J$3:$J$500))</f>
        <v/>
      </c>
      <c r="BO118" s="7" t="str">
        <f aca="false">IF(BN118="","",SUMIF(ЗАКАЗЫ!$F$3:$F$500,$A118,ЗАКАЗЫ!$AL$3:$AL$500))</f>
        <v/>
      </c>
      <c r="BP118" s="7" t="str">
        <f aca="false">IF(BN118="","",BN118-BO118)</f>
        <v/>
      </c>
      <c r="BQ118" s="55" t="str">
        <f aca="false">IF(BN118="","",IF(BO118&gt;=BN118,"На складе",IF(BO118&gt;0,"Частично","Ждём")))</f>
        <v/>
      </c>
      <c r="BR118" s="43"/>
      <c r="BS118" s="47" t="str">
        <f aca="false">IF(BN118="","",IF(_xlfn.MAXIFS(ЗАКАЗЫ!$AK$3:$AK$500,ЗАКАЗЫ!$F$3:$F$500,$A118)=0,"",_xlfn.MAXIFS(ЗАКАЗЫ!$AK$3:$AK$500,ЗАКАЗЫ!$F$3:$F$500,$A118)))</f>
        <v/>
      </c>
    </row>
    <row r="119" customFormat="false" ht="15.75" hidden="false" customHeight="true" outlineLevel="0" collapsed="false">
      <c r="A119" s="80" t="s">
        <v>1320</v>
      </c>
      <c r="B119" s="81"/>
      <c r="C119" s="81"/>
      <c r="D119" s="81"/>
      <c r="E119" s="83"/>
      <c r="F119" s="81"/>
      <c r="G119" s="83"/>
      <c r="H119" s="83"/>
      <c r="I119" s="84" t="str">
        <f aca="false">IF(E119="","",A119&amp;"_1.jpg")</f>
        <v/>
      </c>
      <c r="J119" s="84" t="str">
        <f aca="false">IF(E119="","",A119&amp;"_2.jpg; "&amp;A119&amp;"_3.jpg")</f>
        <v/>
      </c>
      <c r="K119" s="84" t="str">
        <f aca="false">IF(E119="","",A119&amp;"_schema.jpg")</f>
        <v/>
      </c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 t="s">
        <v>96</v>
      </c>
      <c r="W119" s="81"/>
      <c r="X119" s="81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6" t="str">
        <f aca="false">IF(SUM(Y119:AJ119)=0,"",SUM(Y119:AJ119))</f>
        <v/>
      </c>
      <c r="AL119" s="84" t="str">
        <f aca="false">MID(IF(N(Y119)&gt;0,", "&amp;Y$2,"")&amp;IF(N(Z119)&gt;0,", "&amp;Z$2,"")&amp;IF(N(AA119)&gt;0,", "&amp;AA$2,"")&amp;IF(N(AB119)&gt;0,", "&amp;AB$2,"")&amp;IF(N(AC119)&gt;0,", "&amp;AC$2,"")&amp;IF(N(AD119)&gt;0,", "&amp;AD$2,"")&amp;IF(N(AE119)&gt;0,", "&amp;AE$2,"")&amp;IF(N(AF119)&gt;0,", "&amp;AF$2,"")&amp;IF(N(AG119)&gt;0,", "&amp;AG$2,"")&amp;IF(N(AH119)&gt;0,", "&amp;AH$2,"")&amp;IF(N(AI119)&gt;0,", "&amp;AI$2,"")&amp;IF(N(AJ119)&gt;0,", "&amp;AJ$2,""),3,999)</f>
        <v/>
      </c>
      <c r="AM119" s="87" t="str">
        <f aca="false">IF(E119="","",MID(IF(N(Y119)&gt;0,", "&amp;A119&amp;"-"&amp;Y$2,"")&amp;IF(N(Z119)&gt;0,", "&amp;A119&amp;"-"&amp;Z$2,"")&amp;IF(N(AA119)&gt;0,", "&amp;A119&amp;"-"&amp;AA$2,"")&amp;IF(N(AB119)&gt;0,", "&amp;A119&amp;"-"&amp;AB$2,"")&amp;IF(N(AC119)&gt;0,", "&amp;A119&amp;"-"&amp;AC$2,"")&amp;IF(N(AD119)&gt;0,", "&amp;A119&amp;"-"&amp;AD$2,"")&amp;IF(N(AE119)&gt;0,", "&amp;A119&amp;"-"&amp;AE$2,"")&amp;IF(N(AF119)&gt;0,", "&amp;A119&amp;"-"&amp;AF$2,"")&amp;IF(N(AG119)&gt;0,", "&amp;A119&amp;"-"&amp;AG$2,"")&amp;IF(N(AH119)&gt;0,", "&amp;A119&amp;"-"&amp;AH$2,"")&amp;IF(N(AI119)&gt;0,", "&amp;A119&amp;"-"&amp;AI$2,"")&amp;IF(N(AJ119)&gt;0,", "&amp;A119&amp;"-"&amp;AJ$2,""),3,999))</f>
        <v/>
      </c>
      <c r="AN119" s="81"/>
      <c r="AO119" s="88"/>
      <c r="AP119" s="89" t="str">
        <f aca="false">IF(AO119="","",ROUND(AO119/(1+Справочники!$B$13),2))</f>
        <v/>
      </c>
      <c r="AQ119" s="90" t="str">
        <f aca="false" t="array" ref="AQ119:AQ119">IF(AP119="","",AP119*INDEX(Справочники!$B$4:$B$7,MATCH("RUB",Справочники!$A$4:$A$7,0)))</f>
        <v/>
      </c>
      <c r="AR119" s="90" t="str">
        <f aca="false">IF(AQ119="","",ROUND(AQ119*(1+Справочники!$B$12),0))</f>
        <v/>
      </c>
      <c r="AS119" s="90" t="str">
        <f aca="false">IF(AR119="","",ROUND(AR119*(1-Справочники!$B$11),0))</f>
        <v/>
      </c>
      <c r="AT119" s="88"/>
      <c r="AU119" s="90" t="str">
        <f aca="false">IF(AT119="","",ROUND(AT119/(1+Справочники!$B$12),0))</f>
        <v/>
      </c>
      <c r="AV119" s="90" t="str">
        <f aca="false">IF(AT119="","",ROUND(AT119*(1-Справочники!$B$15),0))</f>
        <v/>
      </c>
      <c r="AW119" s="90" t="str">
        <f aca="false">IF(AT119="","",ROUND(AT119*(1-Справочники!$B$16),0))</f>
        <v/>
      </c>
      <c r="AX119" s="90" t="str">
        <f aca="false">IF(AT119="","",ROUND(AT119*(1-Справочники!$B$17),0))</f>
        <v/>
      </c>
      <c r="AY119" s="90" t="str">
        <f aca="false">IF(AT119="","",ROUND(AT119*(1-Справочники!$B$18),0))</f>
        <v/>
      </c>
      <c r="AZ119" s="90" t="str">
        <f aca="false">IF(AT119="","",ROUND(AT119*(1-Справочники!$B$19),0))</f>
        <v/>
      </c>
      <c r="BA119" s="81"/>
      <c r="BB119" s="81"/>
      <c r="BC119" s="81"/>
      <c r="BD119" s="81"/>
      <c r="BE119" s="91"/>
      <c r="BF119" s="81" t="s">
        <v>103</v>
      </c>
      <c r="BG119" s="89" t="n">
        <f aca="false" t="array" ref="BG119:BG119">IF(BF119="","",IFERROR(INDEX(Справочники!$B$4:$B$7,MATCH(BF119,Справочники!$A$4:$A$7,0)),""))</f>
        <v>68.5</v>
      </c>
      <c r="BH119" s="90" t="str">
        <f aca="false">IF(N(BN119)&gt;0,ROUND(SUMIF(ЗАКАЗЫ!$F$3:$F$500,$A119,ЗАКАЗЫ!$Y$3:$Y$500)/BN119,0),IF(OR(BE119="",BG119=""),"",ROUND(BE119*BG119*(1+Справочники!$B$10),0)))</f>
        <v/>
      </c>
      <c r="BI119" s="92" t="str">
        <f aca="false">IF(OR(AU119="",BH119="",AU119=0),"",(AU119-BH119)/AU119)</f>
        <v/>
      </c>
      <c r="BJ119" s="81"/>
      <c r="BK119" s="83"/>
      <c r="BL119" s="43" t="str">
        <f aca="false">IFERROR(INDEX(ЗАКАЗЫ!$N$3:$N$500,MATCH($A119,ЗАКАЗЫ!$F$3:$F$500,0)),"")</f>
        <v/>
      </c>
      <c r="BM119" s="8" t="str">
        <f aca="false">IF(BL119="","",IFERROR(VLOOKUP(BL119,'ТН ВЭД'!$A$4:$C$40,3,0),""))</f>
        <v/>
      </c>
      <c r="BN119" s="7" t="str">
        <f aca="false">IF(COUNTIF(ЗАКАЗЫ!$F$3:$F$500,$A119)=0,"",SUMIF(ЗАКАЗЫ!$F$3:$F$500,$A119,ЗАКАЗЫ!$J$3:$J$500))</f>
        <v/>
      </c>
      <c r="BO119" s="7" t="str">
        <f aca="false">IF(BN119="","",SUMIF(ЗАКАЗЫ!$F$3:$F$500,$A119,ЗАКАЗЫ!$AL$3:$AL$500))</f>
        <v/>
      </c>
      <c r="BP119" s="7" t="str">
        <f aca="false">IF(BN119="","",BN119-BO119)</f>
        <v/>
      </c>
      <c r="BQ119" s="55" t="str">
        <f aca="false">IF(BN119="","",IF(BO119&gt;=BN119,"На складе",IF(BO119&gt;0,"Частично","Ждём")))</f>
        <v/>
      </c>
      <c r="BR119" s="43"/>
      <c r="BS119" s="47" t="str">
        <f aca="false">IF(BN119="","",IF(_xlfn.MAXIFS(ЗАКАЗЫ!$AK$3:$AK$500,ЗАКАЗЫ!$F$3:$F$500,$A119)=0,"",_xlfn.MAXIFS(ЗАКАЗЫ!$AK$3:$AK$500,ЗАКАЗЫ!$F$3:$F$500,$A119)))</f>
        <v/>
      </c>
    </row>
    <row r="120" customFormat="false" ht="15.75" hidden="false" customHeight="true" outlineLevel="0" collapsed="false">
      <c r="A120" s="80" t="s">
        <v>1321</v>
      </c>
      <c r="B120" s="81"/>
      <c r="C120" s="81"/>
      <c r="D120" s="81"/>
      <c r="E120" s="83"/>
      <c r="F120" s="81"/>
      <c r="G120" s="83"/>
      <c r="H120" s="83"/>
      <c r="I120" s="84" t="str">
        <f aca="false">IF(E120="","",A120&amp;"_1.jpg")</f>
        <v/>
      </c>
      <c r="J120" s="84" t="str">
        <f aca="false">IF(E120="","",A120&amp;"_2.jpg; "&amp;A120&amp;"_3.jpg")</f>
        <v/>
      </c>
      <c r="K120" s="84" t="str">
        <f aca="false">IF(E120="","",A120&amp;"_schema.jpg")</f>
        <v/>
      </c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 t="s">
        <v>96</v>
      </c>
      <c r="W120" s="81"/>
      <c r="X120" s="81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6" t="str">
        <f aca="false">IF(SUM(Y120:AJ120)=0,"",SUM(Y120:AJ120))</f>
        <v/>
      </c>
      <c r="AL120" s="84" t="str">
        <f aca="false">MID(IF(N(Y120)&gt;0,", "&amp;Y$2,"")&amp;IF(N(Z120)&gt;0,", "&amp;Z$2,"")&amp;IF(N(AA120)&gt;0,", "&amp;AA$2,"")&amp;IF(N(AB120)&gt;0,", "&amp;AB$2,"")&amp;IF(N(AC120)&gt;0,", "&amp;AC$2,"")&amp;IF(N(AD120)&gt;0,", "&amp;AD$2,"")&amp;IF(N(AE120)&gt;0,", "&amp;AE$2,"")&amp;IF(N(AF120)&gt;0,", "&amp;AF$2,"")&amp;IF(N(AG120)&gt;0,", "&amp;AG$2,"")&amp;IF(N(AH120)&gt;0,", "&amp;AH$2,"")&amp;IF(N(AI120)&gt;0,", "&amp;AI$2,"")&amp;IF(N(AJ120)&gt;0,", "&amp;AJ$2,""),3,999)</f>
        <v/>
      </c>
      <c r="AM120" s="87" t="str">
        <f aca="false">IF(E120="","",MID(IF(N(Y120)&gt;0,", "&amp;A120&amp;"-"&amp;Y$2,"")&amp;IF(N(Z120)&gt;0,", "&amp;A120&amp;"-"&amp;Z$2,"")&amp;IF(N(AA120)&gt;0,", "&amp;A120&amp;"-"&amp;AA$2,"")&amp;IF(N(AB120)&gt;0,", "&amp;A120&amp;"-"&amp;AB$2,"")&amp;IF(N(AC120)&gt;0,", "&amp;A120&amp;"-"&amp;AC$2,"")&amp;IF(N(AD120)&gt;0,", "&amp;A120&amp;"-"&amp;AD$2,"")&amp;IF(N(AE120)&gt;0,", "&amp;A120&amp;"-"&amp;AE$2,"")&amp;IF(N(AF120)&gt;0,", "&amp;A120&amp;"-"&amp;AF$2,"")&amp;IF(N(AG120)&gt;0,", "&amp;A120&amp;"-"&amp;AG$2,"")&amp;IF(N(AH120)&gt;0,", "&amp;A120&amp;"-"&amp;AH$2,"")&amp;IF(N(AI120)&gt;0,", "&amp;A120&amp;"-"&amp;AI$2,"")&amp;IF(N(AJ120)&gt;0,", "&amp;A120&amp;"-"&amp;AJ$2,""),3,999))</f>
        <v/>
      </c>
      <c r="AN120" s="81"/>
      <c r="AO120" s="88"/>
      <c r="AP120" s="89" t="str">
        <f aca="false">IF(AO120="","",ROUND(AO120/(1+Справочники!$B$13),2))</f>
        <v/>
      </c>
      <c r="AQ120" s="90" t="str">
        <f aca="false" t="array" ref="AQ120:AQ120">IF(AP120="","",AP120*INDEX(Справочники!$B$4:$B$7,MATCH("RUB",Справочники!$A$4:$A$7,0)))</f>
        <v/>
      </c>
      <c r="AR120" s="90" t="str">
        <f aca="false">IF(AQ120="","",ROUND(AQ120*(1+Справочники!$B$12),0))</f>
        <v/>
      </c>
      <c r="AS120" s="90" t="str">
        <f aca="false">IF(AR120="","",ROUND(AR120*(1-Справочники!$B$11),0))</f>
        <v/>
      </c>
      <c r="AT120" s="88"/>
      <c r="AU120" s="90" t="str">
        <f aca="false">IF(AT120="","",ROUND(AT120/(1+Справочники!$B$12),0))</f>
        <v/>
      </c>
      <c r="AV120" s="90" t="str">
        <f aca="false">IF(AT120="","",ROUND(AT120*(1-Справочники!$B$15),0))</f>
        <v/>
      </c>
      <c r="AW120" s="90" t="str">
        <f aca="false">IF(AT120="","",ROUND(AT120*(1-Справочники!$B$16),0))</f>
        <v/>
      </c>
      <c r="AX120" s="90" t="str">
        <f aca="false">IF(AT120="","",ROUND(AT120*(1-Справочники!$B$17),0))</f>
        <v/>
      </c>
      <c r="AY120" s="90" t="str">
        <f aca="false">IF(AT120="","",ROUND(AT120*(1-Справочники!$B$18),0))</f>
        <v/>
      </c>
      <c r="AZ120" s="90" t="str">
        <f aca="false">IF(AT120="","",ROUND(AT120*(1-Справочники!$B$19),0))</f>
        <v/>
      </c>
      <c r="BA120" s="81"/>
      <c r="BB120" s="81"/>
      <c r="BC120" s="81"/>
      <c r="BD120" s="81"/>
      <c r="BE120" s="91"/>
      <c r="BF120" s="81" t="s">
        <v>103</v>
      </c>
      <c r="BG120" s="89" t="n">
        <f aca="false" t="array" ref="BG120:BG120">IF(BF120="","",IFERROR(INDEX(Справочники!$B$4:$B$7,MATCH(BF120,Справочники!$A$4:$A$7,0)),""))</f>
        <v>68.5</v>
      </c>
      <c r="BH120" s="90" t="str">
        <f aca="false">IF(N(BN120)&gt;0,ROUND(SUMIF(ЗАКАЗЫ!$F$3:$F$500,$A120,ЗАКАЗЫ!$Y$3:$Y$500)/BN120,0),IF(OR(BE120="",BG120=""),"",ROUND(BE120*BG120*(1+Справочники!$B$10),0)))</f>
        <v/>
      </c>
      <c r="BI120" s="92" t="str">
        <f aca="false">IF(OR(AU120="",BH120="",AU120=0),"",(AU120-BH120)/AU120)</f>
        <v/>
      </c>
      <c r="BJ120" s="81"/>
      <c r="BK120" s="83"/>
      <c r="BL120" s="43" t="str">
        <f aca="false">IFERROR(INDEX(ЗАКАЗЫ!$N$3:$N$500,MATCH($A120,ЗАКАЗЫ!$F$3:$F$500,0)),"")</f>
        <v/>
      </c>
      <c r="BM120" s="8" t="str">
        <f aca="false">IF(BL120="","",IFERROR(VLOOKUP(BL120,'ТН ВЭД'!$A$4:$C$40,3,0),""))</f>
        <v/>
      </c>
      <c r="BN120" s="7" t="str">
        <f aca="false">IF(COUNTIF(ЗАКАЗЫ!$F$3:$F$500,$A120)=0,"",SUMIF(ЗАКАЗЫ!$F$3:$F$500,$A120,ЗАКАЗЫ!$J$3:$J$500))</f>
        <v/>
      </c>
      <c r="BO120" s="7" t="str">
        <f aca="false">IF(BN120="","",SUMIF(ЗАКАЗЫ!$F$3:$F$500,$A120,ЗАКАЗЫ!$AL$3:$AL$500))</f>
        <v/>
      </c>
      <c r="BP120" s="7" t="str">
        <f aca="false">IF(BN120="","",BN120-BO120)</f>
        <v/>
      </c>
      <c r="BQ120" s="55" t="str">
        <f aca="false">IF(BN120="","",IF(BO120&gt;=BN120,"На складе",IF(BO120&gt;0,"Частично","Ждём")))</f>
        <v/>
      </c>
      <c r="BR120" s="43"/>
      <c r="BS120" s="47" t="str">
        <f aca="false">IF(BN120="","",IF(_xlfn.MAXIFS(ЗАКАЗЫ!$AK$3:$AK$500,ЗАКАЗЫ!$F$3:$F$500,$A120)=0,"",_xlfn.MAXIFS(ЗАКАЗЫ!$AK$3:$AK$500,ЗАКАЗЫ!$F$3:$F$500,$A120)))</f>
        <v/>
      </c>
    </row>
    <row r="121" customFormat="false" ht="15.75" hidden="false" customHeight="true" outlineLevel="0" collapsed="false">
      <c r="A121" s="80" t="s">
        <v>1322</v>
      </c>
      <c r="B121" s="81"/>
      <c r="C121" s="81"/>
      <c r="D121" s="81"/>
      <c r="E121" s="83"/>
      <c r="F121" s="81"/>
      <c r="G121" s="83"/>
      <c r="H121" s="83"/>
      <c r="I121" s="84" t="str">
        <f aca="false">IF(E121="","",A121&amp;"_1.jpg")</f>
        <v/>
      </c>
      <c r="J121" s="84" t="str">
        <f aca="false">IF(E121="","",A121&amp;"_2.jpg; "&amp;A121&amp;"_3.jpg")</f>
        <v/>
      </c>
      <c r="K121" s="84" t="str">
        <f aca="false">IF(E121="","",A121&amp;"_schema.jpg")</f>
        <v/>
      </c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 t="s">
        <v>96</v>
      </c>
      <c r="W121" s="81"/>
      <c r="X121" s="81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6" t="str">
        <f aca="false">IF(SUM(Y121:AJ121)=0,"",SUM(Y121:AJ121))</f>
        <v/>
      </c>
      <c r="AL121" s="84" t="str">
        <f aca="false">MID(IF(N(Y121)&gt;0,", "&amp;Y$2,"")&amp;IF(N(Z121)&gt;0,", "&amp;Z$2,"")&amp;IF(N(AA121)&gt;0,", "&amp;AA$2,"")&amp;IF(N(AB121)&gt;0,", "&amp;AB$2,"")&amp;IF(N(AC121)&gt;0,", "&amp;AC$2,"")&amp;IF(N(AD121)&gt;0,", "&amp;AD$2,"")&amp;IF(N(AE121)&gt;0,", "&amp;AE$2,"")&amp;IF(N(AF121)&gt;0,", "&amp;AF$2,"")&amp;IF(N(AG121)&gt;0,", "&amp;AG$2,"")&amp;IF(N(AH121)&gt;0,", "&amp;AH$2,"")&amp;IF(N(AI121)&gt;0,", "&amp;AI$2,"")&amp;IF(N(AJ121)&gt;0,", "&amp;AJ$2,""),3,999)</f>
        <v/>
      </c>
      <c r="AM121" s="87" t="str">
        <f aca="false">IF(E121="","",MID(IF(N(Y121)&gt;0,", "&amp;A121&amp;"-"&amp;Y$2,"")&amp;IF(N(Z121)&gt;0,", "&amp;A121&amp;"-"&amp;Z$2,"")&amp;IF(N(AA121)&gt;0,", "&amp;A121&amp;"-"&amp;AA$2,"")&amp;IF(N(AB121)&gt;0,", "&amp;A121&amp;"-"&amp;AB$2,"")&amp;IF(N(AC121)&gt;0,", "&amp;A121&amp;"-"&amp;AC$2,"")&amp;IF(N(AD121)&gt;0,", "&amp;A121&amp;"-"&amp;AD$2,"")&amp;IF(N(AE121)&gt;0,", "&amp;A121&amp;"-"&amp;AE$2,"")&amp;IF(N(AF121)&gt;0,", "&amp;A121&amp;"-"&amp;AF$2,"")&amp;IF(N(AG121)&gt;0,", "&amp;A121&amp;"-"&amp;AG$2,"")&amp;IF(N(AH121)&gt;0,", "&amp;A121&amp;"-"&amp;AH$2,"")&amp;IF(N(AI121)&gt;0,", "&amp;A121&amp;"-"&amp;AI$2,"")&amp;IF(N(AJ121)&gt;0,", "&amp;A121&amp;"-"&amp;AJ$2,""),3,999))</f>
        <v/>
      </c>
      <c r="AN121" s="81"/>
      <c r="AO121" s="88"/>
      <c r="AP121" s="89" t="str">
        <f aca="false">IF(AO121="","",ROUND(AO121/(1+Справочники!$B$13),2))</f>
        <v/>
      </c>
      <c r="AQ121" s="90" t="str">
        <f aca="false" t="array" ref="AQ121:AQ121">IF(AP121="","",AP121*INDEX(Справочники!$B$4:$B$7,MATCH("RUB",Справочники!$A$4:$A$7,0)))</f>
        <v/>
      </c>
      <c r="AR121" s="90" t="str">
        <f aca="false">IF(AQ121="","",ROUND(AQ121*(1+Справочники!$B$12),0))</f>
        <v/>
      </c>
      <c r="AS121" s="90" t="str">
        <f aca="false">IF(AR121="","",ROUND(AR121*(1-Справочники!$B$11),0))</f>
        <v/>
      </c>
      <c r="AT121" s="88"/>
      <c r="AU121" s="90" t="str">
        <f aca="false">IF(AT121="","",ROUND(AT121/(1+Справочники!$B$12),0))</f>
        <v/>
      </c>
      <c r="AV121" s="90" t="str">
        <f aca="false">IF(AT121="","",ROUND(AT121*(1-Справочники!$B$15),0))</f>
        <v/>
      </c>
      <c r="AW121" s="90" t="str">
        <f aca="false">IF(AT121="","",ROUND(AT121*(1-Справочники!$B$16),0))</f>
        <v/>
      </c>
      <c r="AX121" s="90" t="str">
        <f aca="false">IF(AT121="","",ROUND(AT121*(1-Справочники!$B$17),0))</f>
        <v/>
      </c>
      <c r="AY121" s="90" t="str">
        <f aca="false">IF(AT121="","",ROUND(AT121*(1-Справочники!$B$18),0))</f>
        <v/>
      </c>
      <c r="AZ121" s="90" t="str">
        <f aca="false">IF(AT121="","",ROUND(AT121*(1-Справочники!$B$19),0))</f>
        <v/>
      </c>
      <c r="BA121" s="81"/>
      <c r="BB121" s="81"/>
      <c r="BC121" s="81"/>
      <c r="BD121" s="81"/>
      <c r="BE121" s="91"/>
      <c r="BF121" s="81" t="s">
        <v>103</v>
      </c>
      <c r="BG121" s="89" t="n">
        <f aca="false" t="array" ref="BG121:BG121">IF(BF121="","",IFERROR(INDEX(Справочники!$B$4:$B$7,MATCH(BF121,Справочники!$A$4:$A$7,0)),""))</f>
        <v>68.5</v>
      </c>
      <c r="BH121" s="90" t="str">
        <f aca="false">IF(N(BN121)&gt;0,ROUND(SUMIF(ЗАКАЗЫ!$F$3:$F$500,$A121,ЗАКАЗЫ!$Y$3:$Y$500)/BN121,0),IF(OR(BE121="",BG121=""),"",ROUND(BE121*BG121*(1+Справочники!$B$10),0)))</f>
        <v/>
      </c>
      <c r="BI121" s="92" t="str">
        <f aca="false">IF(OR(AU121="",BH121="",AU121=0),"",(AU121-BH121)/AU121)</f>
        <v/>
      </c>
      <c r="BJ121" s="81"/>
      <c r="BK121" s="83"/>
      <c r="BL121" s="43" t="str">
        <f aca="false">IFERROR(INDEX(ЗАКАЗЫ!$N$3:$N$500,MATCH($A121,ЗАКАЗЫ!$F$3:$F$500,0)),"")</f>
        <v/>
      </c>
      <c r="BM121" s="8" t="str">
        <f aca="false">IF(BL121="","",IFERROR(VLOOKUP(BL121,'ТН ВЭД'!$A$4:$C$40,3,0),""))</f>
        <v/>
      </c>
      <c r="BN121" s="7" t="str">
        <f aca="false">IF(COUNTIF(ЗАКАЗЫ!$F$3:$F$500,$A121)=0,"",SUMIF(ЗАКАЗЫ!$F$3:$F$500,$A121,ЗАКАЗЫ!$J$3:$J$500))</f>
        <v/>
      </c>
      <c r="BO121" s="7" t="str">
        <f aca="false">IF(BN121="","",SUMIF(ЗАКАЗЫ!$F$3:$F$500,$A121,ЗАКАЗЫ!$AL$3:$AL$500))</f>
        <v/>
      </c>
      <c r="BP121" s="7" t="str">
        <f aca="false">IF(BN121="","",BN121-BO121)</f>
        <v/>
      </c>
      <c r="BQ121" s="55" t="str">
        <f aca="false">IF(BN121="","",IF(BO121&gt;=BN121,"На складе",IF(BO121&gt;0,"Частично","Ждём")))</f>
        <v/>
      </c>
      <c r="BR121" s="43"/>
      <c r="BS121" s="47" t="str">
        <f aca="false">IF(BN121="","",IF(_xlfn.MAXIFS(ЗАКАЗЫ!$AK$3:$AK$500,ЗАКАЗЫ!$F$3:$F$500,$A121)=0,"",_xlfn.MAXIFS(ЗАКАЗЫ!$AK$3:$AK$500,ЗАКАЗЫ!$F$3:$F$500,$A121)))</f>
        <v/>
      </c>
    </row>
    <row r="122" customFormat="false" ht="15.75" hidden="false" customHeight="true" outlineLevel="0" collapsed="false">
      <c r="A122" s="80" t="s">
        <v>1323</v>
      </c>
      <c r="B122" s="81"/>
      <c r="C122" s="81"/>
      <c r="D122" s="81"/>
      <c r="E122" s="83"/>
      <c r="F122" s="81"/>
      <c r="G122" s="83"/>
      <c r="H122" s="83"/>
      <c r="I122" s="84" t="str">
        <f aca="false">IF(E122="","",A122&amp;"_1.jpg")</f>
        <v/>
      </c>
      <c r="J122" s="84" t="str">
        <f aca="false">IF(E122="","",A122&amp;"_2.jpg; "&amp;A122&amp;"_3.jpg")</f>
        <v/>
      </c>
      <c r="K122" s="84" t="str">
        <f aca="false">IF(E122="","",A122&amp;"_schema.jpg")</f>
        <v/>
      </c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 t="s">
        <v>96</v>
      </c>
      <c r="W122" s="81"/>
      <c r="X122" s="81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6" t="str">
        <f aca="false">IF(SUM(Y122:AJ122)=0,"",SUM(Y122:AJ122))</f>
        <v/>
      </c>
      <c r="AL122" s="84" t="str">
        <f aca="false">MID(IF(N(Y122)&gt;0,", "&amp;Y$2,"")&amp;IF(N(Z122)&gt;0,", "&amp;Z$2,"")&amp;IF(N(AA122)&gt;0,", "&amp;AA$2,"")&amp;IF(N(AB122)&gt;0,", "&amp;AB$2,"")&amp;IF(N(AC122)&gt;0,", "&amp;AC$2,"")&amp;IF(N(AD122)&gt;0,", "&amp;AD$2,"")&amp;IF(N(AE122)&gt;0,", "&amp;AE$2,"")&amp;IF(N(AF122)&gt;0,", "&amp;AF$2,"")&amp;IF(N(AG122)&gt;0,", "&amp;AG$2,"")&amp;IF(N(AH122)&gt;0,", "&amp;AH$2,"")&amp;IF(N(AI122)&gt;0,", "&amp;AI$2,"")&amp;IF(N(AJ122)&gt;0,", "&amp;AJ$2,""),3,999)</f>
        <v/>
      </c>
      <c r="AM122" s="87" t="str">
        <f aca="false">IF(E122="","",MID(IF(N(Y122)&gt;0,", "&amp;A122&amp;"-"&amp;Y$2,"")&amp;IF(N(Z122)&gt;0,", "&amp;A122&amp;"-"&amp;Z$2,"")&amp;IF(N(AA122)&gt;0,", "&amp;A122&amp;"-"&amp;AA$2,"")&amp;IF(N(AB122)&gt;0,", "&amp;A122&amp;"-"&amp;AB$2,"")&amp;IF(N(AC122)&gt;0,", "&amp;A122&amp;"-"&amp;AC$2,"")&amp;IF(N(AD122)&gt;0,", "&amp;A122&amp;"-"&amp;AD$2,"")&amp;IF(N(AE122)&gt;0,", "&amp;A122&amp;"-"&amp;AE$2,"")&amp;IF(N(AF122)&gt;0,", "&amp;A122&amp;"-"&amp;AF$2,"")&amp;IF(N(AG122)&gt;0,", "&amp;A122&amp;"-"&amp;AG$2,"")&amp;IF(N(AH122)&gt;0,", "&amp;A122&amp;"-"&amp;AH$2,"")&amp;IF(N(AI122)&gt;0,", "&amp;A122&amp;"-"&amp;AI$2,"")&amp;IF(N(AJ122)&gt;0,", "&amp;A122&amp;"-"&amp;AJ$2,""),3,999))</f>
        <v/>
      </c>
      <c r="AN122" s="81"/>
      <c r="AO122" s="88"/>
      <c r="AP122" s="89" t="str">
        <f aca="false">IF(AO122="","",ROUND(AO122/(1+Справочники!$B$13),2))</f>
        <v/>
      </c>
      <c r="AQ122" s="90" t="str">
        <f aca="false" t="array" ref="AQ122:AQ122">IF(AP122="","",AP122*INDEX(Справочники!$B$4:$B$7,MATCH("RUB",Справочники!$A$4:$A$7,0)))</f>
        <v/>
      </c>
      <c r="AR122" s="90" t="str">
        <f aca="false">IF(AQ122="","",ROUND(AQ122*(1+Справочники!$B$12),0))</f>
        <v/>
      </c>
      <c r="AS122" s="90" t="str">
        <f aca="false">IF(AR122="","",ROUND(AR122*(1-Справочники!$B$11),0))</f>
        <v/>
      </c>
      <c r="AT122" s="88"/>
      <c r="AU122" s="90" t="str">
        <f aca="false">IF(AT122="","",ROUND(AT122/(1+Справочники!$B$12),0))</f>
        <v/>
      </c>
      <c r="AV122" s="90" t="str">
        <f aca="false">IF(AT122="","",ROUND(AT122*(1-Справочники!$B$15),0))</f>
        <v/>
      </c>
      <c r="AW122" s="90" t="str">
        <f aca="false">IF(AT122="","",ROUND(AT122*(1-Справочники!$B$16),0))</f>
        <v/>
      </c>
      <c r="AX122" s="90" t="str">
        <f aca="false">IF(AT122="","",ROUND(AT122*(1-Справочники!$B$17),0))</f>
        <v/>
      </c>
      <c r="AY122" s="90" t="str">
        <f aca="false">IF(AT122="","",ROUND(AT122*(1-Справочники!$B$18),0))</f>
        <v/>
      </c>
      <c r="AZ122" s="90" t="str">
        <f aca="false">IF(AT122="","",ROUND(AT122*(1-Справочники!$B$19),0))</f>
        <v/>
      </c>
      <c r="BA122" s="81"/>
      <c r="BB122" s="81"/>
      <c r="BC122" s="81"/>
      <c r="BD122" s="81"/>
      <c r="BE122" s="91"/>
      <c r="BF122" s="81" t="s">
        <v>103</v>
      </c>
      <c r="BG122" s="89" t="n">
        <f aca="false" t="array" ref="BG122:BG122">IF(BF122="","",IFERROR(INDEX(Справочники!$B$4:$B$7,MATCH(BF122,Справочники!$A$4:$A$7,0)),""))</f>
        <v>68.5</v>
      </c>
      <c r="BH122" s="90" t="str">
        <f aca="false">IF(N(BN122)&gt;0,ROUND(SUMIF(ЗАКАЗЫ!$F$3:$F$500,$A122,ЗАКАЗЫ!$Y$3:$Y$500)/BN122,0),IF(OR(BE122="",BG122=""),"",ROUND(BE122*BG122*(1+Справочники!$B$10),0)))</f>
        <v/>
      </c>
      <c r="BI122" s="92" t="str">
        <f aca="false">IF(OR(AU122="",BH122="",AU122=0),"",(AU122-BH122)/AU122)</f>
        <v/>
      </c>
      <c r="BJ122" s="81"/>
      <c r="BK122" s="83"/>
      <c r="BL122" s="43" t="str">
        <f aca="false">IFERROR(INDEX(ЗАКАЗЫ!$N$3:$N$500,MATCH($A122,ЗАКАЗЫ!$F$3:$F$500,0)),"")</f>
        <v/>
      </c>
      <c r="BM122" s="8" t="str">
        <f aca="false">IF(BL122="","",IFERROR(VLOOKUP(BL122,'ТН ВЭД'!$A$4:$C$40,3,0),""))</f>
        <v/>
      </c>
      <c r="BN122" s="7" t="str">
        <f aca="false">IF(COUNTIF(ЗАКАЗЫ!$F$3:$F$500,$A122)=0,"",SUMIF(ЗАКАЗЫ!$F$3:$F$500,$A122,ЗАКАЗЫ!$J$3:$J$500))</f>
        <v/>
      </c>
      <c r="BO122" s="7" t="str">
        <f aca="false">IF(BN122="","",SUMIF(ЗАКАЗЫ!$F$3:$F$500,$A122,ЗАКАЗЫ!$AL$3:$AL$500))</f>
        <v/>
      </c>
      <c r="BP122" s="7" t="str">
        <f aca="false">IF(BN122="","",BN122-BO122)</f>
        <v/>
      </c>
      <c r="BQ122" s="55" t="str">
        <f aca="false">IF(BN122="","",IF(BO122&gt;=BN122,"На складе",IF(BO122&gt;0,"Частично","Ждём")))</f>
        <v/>
      </c>
      <c r="BR122" s="43"/>
      <c r="BS122" s="47" t="str">
        <f aca="false">IF(BN122="","",IF(_xlfn.MAXIFS(ЗАКАЗЫ!$AK$3:$AK$500,ЗАКАЗЫ!$F$3:$F$500,$A122)=0,"",_xlfn.MAXIFS(ЗАКАЗЫ!$AK$3:$AK$500,ЗАКАЗЫ!$F$3:$F$500,$A122)))</f>
        <v/>
      </c>
    </row>
    <row r="123" customFormat="false" ht="15.75" hidden="false" customHeight="true" outlineLevel="0" collapsed="false">
      <c r="A123" s="80" t="s">
        <v>1324</v>
      </c>
      <c r="B123" s="81"/>
      <c r="C123" s="81"/>
      <c r="D123" s="81"/>
      <c r="E123" s="83"/>
      <c r="F123" s="81"/>
      <c r="G123" s="83"/>
      <c r="H123" s="83"/>
      <c r="I123" s="84" t="str">
        <f aca="false">IF(E123="","",A123&amp;"_1.jpg")</f>
        <v/>
      </c>
      <c r="J123" s="84" t="str">
        <f aca="false">IF(E123="","",A123&amp;"_2.jpg; "&amp;A123&amp;"_3.jpg")</f>
        <v/>
      </c>
      <c r="K123" s="84" t="str">
        <f aca="false">IF(E123="","",A123&amp;"_schema.jpg")</f>
        <v/>
      </c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 t="s">
        <v>96</v>
      </c>
      <c r="W123" s="81"/>
      <c r="X123" s="81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6" t="str">
        <f aca="false">IF(SUM(Y123:AJ123)=0,"",SUM(Y123:AJ123))</f>
        <v/>
      </c>
      <c r="AL123" s="84" t="str">
        <f aca="false">MID(IF(N(Y123)&gt;0,", "&amp;Y$2,"")&amp;IF(N(Z123)&gt;0,", "&amp;Z$2,"")&amp;IF(N(AA123)&gt;0,", "&amp;AA$2,"")&amp;IF(N(AB123)&gt;0,", "&amp;AB$2,"")&amp;IF(N(AC123)&gt;0,", "&amp;AC$2,"")&amp;IF(N(AD123)&gt;0,", "&amp;AD$2,"")&amp;IF(N(AE123)&gt;0,", "&amp;AE$2,"")&amp;IF(N(AF123)&gt;0,", "&amp;AF$2,"")&amp;IF(N(AG123)&gt;0,", "&amp;AG$2,"")&amp;IF(N(AH123)&gt;0,", "&amp;AH$2,"")&amp;IF(N(AI123)&gt;0,", "&amp;AI$2,"")&amp;IF(N(AJ123)&gt;0,", "&amp;AJ$2,""),3,999)</f>
        <v/>
      </c>
      <c r="AM123" s="87" t="str">
        <f aca="false">IF(E123="","",MID(IF(N(Y123)&gt;0,", "&amp;A123&amp;"-"&amp;Y$2,"")&amp;IF(N(Z123)&gt;0,", "&amp;A123&amp;"-"&amp;Z$2,"")&amp;IF(N(AA123)&gt;0,", "&amp;A123&amp;"-"&amp;AA$2,"")&amp;IF(N(AB123)&gt;0,", "&amp;A123&amp;"-"&amp;AB$2,"")&amp;IF(N(AC123)&gt;0,", "&amp;A123&amp;"-"&amp;AC$2,"")&amp;IF(N(AD123)&gt;0,", "&amp;A123&amp;"-"&amp;AD$2,"")&amp;IF(N(AE123)&gt;0,", "&amp;A123&amp;"-"&amp;AE$2,"")&amp;IF(N(AF123)&gt;0,", "&amp;A123&amp;"-"&amp;AF$2,"")&amp;IF(N(AG123)&gt;0,", "&amp;A123&amp;"-"&amp;AG$2,"")&amp;IF(N(AH123)&gt;0,", "&amp;A123&amp;"-"&amp;AH$2,"")&amp;IF(N(AI123)&gt;0,", "&amp;A123&amp;"-"&amp;AI$2,"")&amp;IF(N(AJ123)&gt;0,", "&amp;A123&amp;"-"&amp;AJ$2,""),3,999))</f>
        <v/>
      </c>
      <c r="AN123" s="81"/>
      <c r="AO123" s="88"/>
      <c r="AP123" s="89" t="str">
        <f aca="false">IF(AO123="","",ROUND(AO123/(1+Справочники!$B$13),2))</f>
        <v/>
      </c>
      <c r="AQ123" s="90" t="str">
        <f aca="false" t="array" ref="AQ123:AQ123">IF(AP123="","",AP123*INDEX(Справочники!$B$4:$B$7,MATCH("RUB",Справочники!$A$4:$A$7,0)))</f>
        <v/>
      </c>
      <c r="AR123" s="90" t="str">
        <f aca="false">IF(AQ123="","",ROUND(AQ123*(1+Справочники!$B$12),0))</f>
        <v/>
      </c>
      <c r="AS123" s="90" t="str">
        <f aca="false">IF(AR123="","",ROUND(AR123*(1-Справочники!$B$11),0))</f>
        <v/>
      </c>
      <c r="AT123" s="88"/>
      <c r="AU123" s="90" t="str">
        <f aca="false">IF(AT123="","",ROUND(AT123/(1+Справочники!$B$12),0))</f>
        <v/>
      </c>
      <c r="AV123" s="90" t="str">
        <f aca="false">IF(AT123="","",ROUND(AT123*(1-Справочники!$B$15),0))</f>
        <v/>
      </c>
      <c r="AW123" s="90" t="str">
        <f aca="false">IF(AT123="","",ROUND(AT123*(1-Справочники!$B$16),0))</f>
        <v/>
      </c>
      <c r="AX123" s="90" t="str">
        <f aca="false">IF(AT123="","",ROUND(AT123*(1-Справочники!$B$17),0))</f>
        <v/>
      </c>
      <c r="AY123" s="90" t="str">
        <f aca="false">IF(AT123="","",ROUND(AT123*(1-Справочники!$B$18),0))</f>
        <v/>
      </c>
      <c r="AZ123" s="90" t="str">
        <f aca="false">IF(AT123="","",ROUND(AT123*(1-Справочники!$B$19),0))</f>
        <v/>
      </c>
      <c r="BA123" s="81"/>
      <c r="BB123" s="81"/>
      <c r="BC123" s="81"/>
      <c r="BD123" s="81"/>
      <c r="BE123" s="91"/>
      <c r="BF123" s="81" t="s">
        <v>103</v>
      </c>
      <c r="BG123" s="89" t="n">
        <f aca="false" t="array" ref="BG123:BG123">IF(BF123="","",IFERROR(INDEX(Справочники!$B$4:$B$7,MATCH(BF123,Справочники!$A$4:$A$7,0)),""))</f>
        <v>68.5</v>
      </c>
      <c r="BH123" s="90" t="str">
        <f aca="false">IF(N(BN123)&gt;0,ROUND(SUMIF(ЗАКАЗЫ!$F$3:$F$500,$A123,ЗАКАЗЫ!$Y$3:$Y$500)/BN123,0),IF(OR(BE123="",BG123=""),"",ROUND(BE123*BG123*(1+Справочники!$B$10),0)))</f>
        <v/>
      </c>
      <c r="BI123" s="92" t="str">
        <f aca="false">IF(OR(AU123="",BH123="",AU123=0),"",(AU123-BH123)/AU123)</f>
        <v/>
      </c>
      <c r="BJ123" s="81"/>
      <c r="BK123" s="83"/>
      <c r="BL123" s="43" t="str">
        <f aca="false">IFERROR(INDEX(ЗАКАЗЫ!$N$3:$N$500,MATCH($A123,ЗАКАЗЫ!$F$3:$F$500,0)),"")</f>
        <v/>
      </c>
      <c r="BM123" s="8" t="str">
        <f aca="false">IF(BL123="","",IFERROR(VLOOKUP(BL123,'ТН ВЭД'!$A$4:$C$40,3,0),""))</f>
        <v/>
      </c>
      <c r="BN123" s="7" t="str">
        <f aca="false">IF(COUNTIF(ЗАКАЗЫ!$F$3:$F$500,$A123)=0,"",SUMIF(ЗАКАЗЫ!$F$3:$F$500,$A123,ЗАКАЗЫ!$J$3:$J$500))</f>
        <v/>
      </c>
      <c r="BO123" s="7" t="str">
        <f aca="false">IF(BN123="","",SUMIF(ЗАКАЗЫ!$F$3:$F$500,$A123,ЗАКАЗЫ!$AL$3:$AL$500))</f>
        <v/>
      </c>
      <c r="BP123" s="7" t="str">
        <f aca="false">IF(BN123="","",BN123-BO123)</f>
        <v/>
      </c>
      <c r="BQ123" s="55" t="str">
        <f aca="false">IF(BN123="","",IF(BO123&gt;=BN123,"На складе",IF(BO123&gt;0,"Частично","Ждём")))</f>
        <v/>
      </c>
      <c r="BR123" s="43"/>
      <c r="BS123" s="47" t="str">
        <f aca="false">IF(BN123="","",IF(_xlfn.MAXIFS(ЗАКАЗЫ!$AK$3:$AK$500,ЗАКАЗЫ!$F$3:$F$500,$A123)=0,"",_xlfn.MAXIFS(ЗАКАЗЫ!$AK$3:$AK$500,ЗАКАЗЫ!$F$3:$F$500,$A123)))</f>
        <v/>
      </c>
    </row>
    <row r="124" customFormat="false" ht="15.75" hidden="false" customHeight="true" outlineLevel="0" collapsed="false">
      <c r="A124" s="80" t="s">
        <v>1325</v>
      </c>
      <c r="B124" s="81"/>
      <c r="C124" s="81"/>
      <c r="D124" s="81"/>
      <c r="E124" s="83"/>
      <c r="F124" s="81"/>
      <c r="G124" s="83"/>
      <c r="H124" s="83"/>
      <c r="I124" s="84" t="str">
        <f aca="false">IF(E124="","",A124&amp;"_1.jpg")</f>
        <v/>
      </c>
      <c r="J124" s="84" t="str">
        <f aca="false">IF(E124="","",A124&amp;"_2.jpg; "&amp;A124&amp;"_3.jpg")</f>
        <v/>
      </c>
      <c r="K124" s="84" t="str">
        <f aca="false">IF(E124="","",A124&amp;"_schema.jpg")</f>
        <v/>
      </c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 t="s">
        <v>96</v>
      </c>
      <c r="W124" s="81"/>
      <c r="X124" s="81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6" t="str">
        <f aca="false">IF(SUM(Y124:AJ124)=0,"",SUM(Y124:AJ124))</f>
        <v/>
      </c>
      <c r="AL124" s="84" t="str">
        <f aca="false">MID(IF(N(Y124)&gt;0,", "&amp;Y$2,"")&amp;IF(N(Z124)&gt;0,", "&amp;Z$2,"")&amp;IF(N(AA124)&gt;0,", "&amp;AA$2,"")&amp;IF(N(AB124)&gt;0,", "&amp;AB$2,"")&amp;IF(N(AC124)&gt;0,", "&amp;AC$2,"")&amp;IF(N(AD124)&gt;0,", "&amp;AD$2,"")&amp;IF(N(AE124)&gt;0,", "&amp;AE$2,"")&amp;IF(N(AF124)&gt;0,", "&amp;AF$2,"")&amp;IF(N(AG124)&gt;0,", "&amp;AG$2,"")&amp;IF(N(AH124)&gt;0,", "&amp;AH$2,"")&amp;IF(N(AI124)&gt;0,", "&amp;AI$2,"")&amp;IF(N(AJ124)&gt;0,", "&amp;AJ$2,""),3,999)</f>
        <v/>
      </c>
      <c r="AM124" s="87" t="str">
        <f aca="false">IF(E124="","",MID(IF(N(Y124)&gt;0,", "&amp;A124&amp;"-"&amp;Y$2,"")&amp;IF(N(Z124)&gt;0,", "&amp;A124&amp;"-"&amp;Z$2,"")&amp;IF(N(AA124)&gt;0,", "&amp;A124&amp;"-"&amp;AA$2,"")&amp;IF(N(AB124)&gt;0,", "&amp;A124&amp;"-"&amp;AB$2,"")&amp;IF(N(AC124)&gt;0,", "&amp;A124&amp;"-"&amp;AC$2,"")&amp;IF(N(AD124)&gt;0,", "&amp;A124&amp;"-"&amp;AD$2,"")&amp;IF(N(AE124)&gt;0,", "&amp;A124&amp;"-"&amp;AE$2,"")&amp;IF(N(AF124)&gt;0,", "&amp;A124&amp;"-"&amp;AF$2,"")&amp;IF(N(AG124)&gt;0,", "&amp;A124&amp;"-"&amp;AG$2,"")&amp;IF(N(AH124)&gt;0,", "&amp;A124&amp;"-"&amp;AH$2,"")&amp;IF(N(AI124)&gt;0,", "&amp;A124&amp;"-"&amp;AI$2,"")&amp;IF(N(AJ124)&gt;0,", "&amp;A124&amp;"-"&amp;AJ$2,""),3,999))</f>
        <v/>
      </c>
      <c r="AN124" s="81"/>
      <c r="AO124" s="88"/>
      <c r="AP124" s="89" t="str">
        <f aca="false">IF(AO124="","",ROUND(AO124/(1+Справочники!$B$13),2))</f>
        <v/>
      </c>
      <c r="AQ124" s="90" t="str">
        <f aca="false" t="array" ref="AQ124:AQ124">IF(AP124="","",AP124*INDEX(Справочники!$B$4:$B$7,MATCH("RUB",Справочники!$A$4:$A$7,0)))</f>
        <v/>
      </c>
      <c r="AR124" s="90" t="str">
        <f aca="false">IF(AQ124="","",ROUND(AQ124*(1+Справочники!$B$12),0))</f>
        <v/>
      </c>
      <c r="AS124" s="90" t="str">
        <f aca="false">IF(AR124="","",ROUND(AR124*(1-Справочники!$B$11),0))</f>
        <v/>
      </c>
      <c r="AT124" s="88"/>
      <c r="AU124" s="90" t="str">
        <f aca="false">IF(AT124="","",ROUND(AT124/(1+Справочники!$B$12),0))</f>
        <v/>
      </c>
      <c r="AV124" s="90" t="str">
        <f aca="false">IF(AT124="","",ROUND(AT124*(1-Справочники!$B$15),0))</f>
        <v/>
      </c>
      <c r="AW124" s="90" t="str">
        <f aca="false">IF(AT124="","",ROUND(AT124*(1-Справочники!$B$16),0))</f>
        <v/>
      </c>
      <c r="AX124" s="90" t="str">
        <f aca="false">IF(AT124="","",ROUND(AT124*(1-Справочники!$B$17),0))</f>
        <v/>
      </c>
      <c r="AY124" s="90" t="str">
        <f aca="false">IF(AT124="","",ROUND(AT124*(1-Справочники!$B$18),0))</f>
        <v/>
      </c>
      <c r="AZ124" s="90" t="str">
        <f aca="false">IF(AT124="","",ROUND(AT124*(1-Справочники!$B$19),0))</f>
        <v/>
      </c>
      <c r="BA124" s="81"/>
      <c r="BB124" s="81"/>
      <c r="BC124" s="81"/>
      <c r="BD124" s="81"/>
      <c r="BE124" s="91"/>
      <c r="BF124" s="81" t="s">
        <v>103</v>
      </c>
      <c r="BG124" s="89" t="n">
        <f aca="false" t="array" ref="BG124:BG124">IF(BF124="","",IFERROR(INDEX(Справочники!$B$4:$B$7,MATCH(BF124,Справочники!$A$4:$A$7,0)),""))</f>
        <v>68.5</v>
      </c>
      <c r="BH124" s="90" t="str">
        <f aca="false">IF(N(BN124)&gt;0,ROUND(SUMIF(ЗАКАЗЫ!$F$3:$F$500,$A124,ЗАКАЗЫ!$Y$3:$Y$500)/BN124,0),IF(OR(BE124="",BG124=""),"",ROUND(BE124*BG124*(1+Справочники!$B$10),0)))</f>
        <v/>
      </c>
      <c r="BI124" s="92" t="str">
        <f aca="false">IF(OR(AU124="",BH124="",AU124=0),"",(AU124-BH124)/AU124)</f>
        <v/>
      </c>
      <c r="BJ124" s="81"/>
      <c r="BK124" s="83"/>
      <c r="BL124" s="43" t="str">
        <f aca="false">IFERROR(INDEX(ЗАКАЗЫ!$N$3:$N$500,MATCH($A124,ЗАКАЗЫ!$F$3:$F$500,0)),"")</f>
        <v/>
      </c>
      <c r="BM124" s="8" t="str">
        <f aca="false">IF(BL124="","",IFERROR(VLOOKUP(BL124,'ТН ВЭД'!$A$4:$C$40,3,0),""))</f>
        <v/>
      </c>
      <c r="BN124" s="7" t="str">
        <f aca="false">IF(COUNTIF(ЗАКАЗЫ!$F$3:$F$500,$A124)=0,"",SUMIF(ЗАКАЗЫ!$F$3:$F$500,$A124,ЗАКАЗЫ!$J$3:$J$500))</f>
        <v/>
      </c>
      <c r="BO124" s="7" t="str">
        <f aca="false">IF(BN124="","",SUMIF(ЗАКАЗЫ!$F$3:$F$500,$A124,ЗАКАЗЫ!$AL$3:$AL$500))</f>
        <v/>
      </c>
      <c r="BP124" s="7" t="str">
        <f aca="false">IF(BN124="","",BN124-BO124)</f>
        <v/>
      </c>
      <c r="BQ124" s="55" t="str">
        <f aca="false">IF(BN124="","",IF(BO124&gt;=BN124,"На складе",IF(BO124&gt;0,"Частично","Ждём")))</f>
        <v/>
      </c>
      <c r="BR124" s="43"/>
      <c r="BS124" s="47" t="str">
        <f aca="false">IF(BN124="","",IF(_xlfn.MAXIFS(ЗАКАЗЫ!$AK$3:$AK$500,ЗАКАЗЫ!$F$3:$F$500,$A124)=0,"",_xlfn.MAXIFS(ЗАКАЗЫ!$AK$3:$AK$500,ЗАКАЗЫ!$F$3:$F$500,$A124)))</f>
        <v/>
      </c>
    </row>
    <row r="125" customFormat="false" ht="15.75" hidden="false" customHeight="true" outlineLevel="0" collapsed="false">
      <c r="A125" s="80" t="s">
        <v>1326</v>
      </c>
      <c r="B125" s="81"/>
      <c r="C125" s="81"/>
      <c r="D125" s="81"/>
      <c r="E125" s="83"/>
      <c r="F125" s="81"/>
      <c r="G125" s="83"/>
      <c r="H125" s="83"/>
      <c r="I125" s="84" t="str">
        <f aca="false">IF(E125="","",A125&amp;"_1.jpg")</f>
        <v/>
      </c>
      <c r="J125" s="84" t="str">
        <f aca="false">IF(E125="","",A125&amp;"_2.jpg; "&amp;A125&amp;"_3.jpg")</f>
        <v/>
      </c>
      <c r="K125" s="84" t="str">
        <f aca="false">IF(E125="","",A125&amp;"_schema.jpg")</f>
        <v/>
      </c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 t="s">
        <v>96</v>
      </c>
      <c r="W125" s="81"/>
      <c r="X125" s="81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6" t="str">
        <f aca="false">IF(SUM(Y125:AJ125)=0,"",SUM(Y125:AJ125))</f>
        <v/>
      </c>
      <c r="AL125" s="84" t="str">
        <f aca="false">MID(IF(N(Y125)&gt;0,", "&amp;Y$2,"")&amp;IF(N(Z125)&gt;0,", "&amp;Z$2,"")&amp;IF(N(AA125)&gt;0,", "&amp;AA$2,"")&amp;IF(N(AB125)&gt;0,", "&amp;AB$2,"")&amp;IF(N(AC125)&gt;0,", "&amp;AC$2,"")&amp;IF(N(AD125)&gt;0,", "&amp;AD$2,"")&amp;IF(N(AE125)&gt;0,", "&amp;AE$2,"")&amp;IF(N(AF125)&gt;0,", "&amp;AF$2,"")&amp;IF(N(AG125)&gt;0,", "&amp;AG$2,"")&amp;IF(N(AH125)&gt;0,", "&amp;AH$2,"")&amp;IF(N(AI125)&gt;0,", "&amp;AI$2,"")&amp;IF(N(AJ125)&gt;0,", "&amp;AJ$2,""),3,999)</f>
        <v/>
      </c>
      <c r="AM125" s="87" t="str">
        <f aca="false">IF(E125="","",MID(IF(N(Y125)&gt;0,", "&amp;A125&amp;"-"&amp;Y$2,"")&amp;IF(N(Z125)&gt;0,", "&amp;A125&amp;"-"&amp;Z$2,"")&amp;IF(N(AA125)&gt;0,", "&amp;A125&amp;"-"&amp;AA$2,"")&amp;IF(N(AB125)&gt;0,", "&amp;A125&amp;"-"&amp;AB$2,"")&amp;IF(N(AC125)&gt;0,", "&amp;A125&amp;"-"&amp;AC$2,"")&amp;IF(N(AD125)&gt;0,", "&amp;A125&amp;"-"&amp;AD$2,"")&amp;IF(N(AE125)&gt;0,", "&amp;A125&amp;"-"&amp;AE$2,"")&amp;IF(N(AF125)&gt;0,", "&amp;A125&amp;"-"&amp;AF$2,"")&amp;IF(N(AG125)&gt;0,", "&amp;A125&amp;"-"&amp;AG$2,"")&amp;IF(N(AH125)&gt;0,", "&amp;A125&amp;"-"&amp;AH$2,"")&amp;IF(N(AI125)&gt;0,", "&amp;A125&amp;"-"&amp;AI$2,"")&amp;IF(N(AJ125)&gt;0,", "&amp;A125&amp;"-"&amp;AJ$2,""),3,999))</f>
        <v/>
      </c>
      <c r="AN125" s="81"/>
      <c r="AO125" s="88"/>
      <c r="AP125" s="89" t="str">
        <f aca="false">IF(AO125="","",ROUND(AO125/(1+Справочники!$B$13),2))</f>
        <v/>
      </c>
      <c r="AQ125" s="90" t="str">
        <f aca="false" t="array" ref="AQ125:AQ125">IF(AP125="","",AP125*INDEX(Справочники!$B$4:$B$7,MATCH("RUB",Справочники!$A$4:$A$7,0)))</f>
        <v/>
      </c>
      <c r="AR125" s="90" t="str">
        <f aca="false">IF(AQ125="","",ROUND(AQ125*(1+Справочники!$B$12),0))</f>
        <v/>
      </c>
      <c r="AS125" s="90" t="str">
        <f aca="false">IF(AR125="","",ROUND(AR125*(1-Справочники!$B$11),0))</f>
        <v/>
      </c>
      <c r="AT125" s="88"/>
      <c r="AU125" s="90" t="str">
        <f aca="false">IF(AT125="","",ROUND(AT125/(1+Справочники!$B$12),0))</f>
        <v/>
      </c>
      <c r="AV125" s="90" t="str">
        <f aca="false">IF(AT125="","",ROUND(AT125*(1-Справочники!$B$15),0))</f>
        <v/>
      </c>
      <c r="AW125" s="90" t="str">
        <f aca="false">IF(AT125="","",ROUND(AT125*(1-Справочники!$B$16),0))</f>
        <v/>
      </c>
      <c r="AX125" s="90" t="str">
        <f aca="false">IF(AT125="","",ROUND(AT125*(1-Справочники!$B$17),0))</f>
        <v/>
      </c>
      <c r="AY125" s="90" t="str">
        <f aca="false">IF(AT125="","",ROUND(AT125*(1-Справочники!$B$18),0))</f>
        <v/>
      </c>
      <c r="AZ125" s="90" t="str">
        <f aca="false">IF(AT125="","",ROUND(AT125*(1-Справочники!$B$19),0))</f>
        <v/>
      </c>
      <c r="BA125" s="81"/>
      <c r="BB125" s="81"/>
      <c r="BC125" s="81"/>
      <c r="BD125" s="81"/>
      <c r="BE125" s="91"/>
      <c r="BF125" s="81" t="s">
        <v>103</v>
      </c>
      <c r="BG125" s="89" t="n">
        <f aca="false" t="array" ref="BG125:BG125">IF(BF125="","",IFERROR(INDEX(Справочники!$B$4:$B$7,MATCH(BF125,Справочники!$A$4:$A$7,0)),""))</f>
        <v>68.5</v>
      </c>
      <c r="BH125" s="90" t="str">
        <f aca="false">IF(N(BN125)&gt;0,ROUND(SUMIF(ЗАКАЗЫ!$F$3:$F$500,$A125,ЗАКАЗЫ!$Y$3:$Y$500)/BN125,0),IF(OR(BE125="",BG125=""),"",ROUND(BE125*BG125*(1+Справочники!$B$10),0)))</f>
        <v/>
      </c>
      <c r="BI125" s="92" t="str">
        <f aca="false">IF(OR(AU125="",BH125="",AU125=0),"",(AU125-BH125)/AU125)</f>
        <v/>
      </c>
      <c r="BJ125" s="81"/>
      <c r="BK125" s="83"/>
      <c r="BL125" s="43" t="str">
        <f aca="false">IFERROR(INDEX(ЗАКАЗЫ!$N$3:$N$500,MATCH($A125,ЗАКАЗЫ!$F$3:$F$500,0)),"")</f>
        <v/>
      </c>
      <c r="BM125" s="8" t="str">
        <f aca="false">IF(BL125="","",IFERROR(VLOOKUP(BL125,'ТН ВЭД'!$A$4:$C$40,3,0),""))</f>
        <v/>
      </c>
      <c r="BN125" s="7" t="str">
        <f aca="false">IF(COUNTIF(ЗАКАЗЫ!$F$3:$F$500,$A125)=0,"",SUMIF(ЗАКАЗЫ!$F$3:$F$500,$A125,ЗАКАЗЫ!$J$3:$J$500))</f>
        <v/>
      </c>
      <c r="BO125" s="7" t="str">
        <f aca="false">IF(BN125="","",SUMIF(ЗАКАЗЫ!$F$3:$F$500,$A125,ЗАКАЗЫ!$AL$3:$AL$500))</f>
        <v/>
      </c>
      <c r="BP125" s="7" t="str">
        <f aca="false">IF(BN125="","",BN125-BO125)</f>
        <v/>
      </c>
      <c r="BQ125" s="55" t="str">
        <f aca="false">IF(BN125="","",IF(BO125&gt;=BN125,"На складе",IF(BO125&gt;0,"Частично","Ждём")))</f>
        <v/>
      </c>
      <c r="BR125" s="43"/>
      <c r="BS125" s="47" t="str">
        <f aca="false">IF(BN125="","",IF(_xlfn.MAXIFS(ЗАКАЗЫ!$AK$3:$AK$500,ЗАКАЗЫ!$F$3:$F$500,$A125)=0,"",_xlfn.MAXIFS(ЗАКАЗЫ!$AK$3:$AK$500,ЗАКАЗЫ!$F$3:$F$500,$A125)))</f>
        <v/>
      </c>
    </row>
    <row r="126" customFormat="false" ht="15.75" hidden="false" customHeight="true" outlineLevel="0" collapsed="false">
      <c r="A126" s="80" t="s">
        <v>1327</v>
      </c>
      <c r="B126" s="81"/>
      <c r="C126" s="81"/>
      <c r="D126" s="81"/>
      <c r="E126" s="83"/>
      <c r="F126" s="81"/>
      <c r="G126" s="83"/>
      <c r="H126" s="83"/>
      <c r="I126" s="84" t="str">
        <f aca="false">IF(E126="","",A126&amp;"_1.jpg")</f>
        <v/>
      </c>
      <c r="J126" s="84" t="str">
        <f aca="false">IF(E126="","",A126&amp;"_2.jpg; "&amp;A126&amp;"_3.jpg")</f>
        <v/>
      </c>
      <c r="K126" s="84" t="str">
        <f aca="false">IF(E126="","",A126&amp;"_schema.jpg")</f>
        <v/>
      </c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 t="s">
        <v>96</v>
      </c>
      <c r="W126" s="81"/>
      <c r="X126" s="81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6" t="str">
        <f aca="false">IF(SUM(Y126:AJ126)=0,"",SUM(Y126:AJ126))</f>
        <v/>
      </c>
      <c r="AL126" s="84" t="str">
        <f aca="false">MID(IF(N(Y126)&gt;0,", "&amp;Y$2,"")&amp;IF(N(Z126)&gt;0,", "&amp;Z$2,"")&amp;IF(N(AA126)&gt;0,", "&amp;AA$2,"")&amp;IF(N(AB126)&gt;0,", "&amp;AB$2,"")&amp;IF(N(AC126)&gt;0,", "&amp;AC$2,"")&amp;IF(N(AD126)&gt;0,", "&amp;AD$2,"")&amp;IF(N(AE126)&gt;0,", "&amp;AE$2,"")&amp;IF(N(AF126)&gt;0,", "&amp;AF$2,"")&amp;IF(N(AG126)&gt;0,", "&amp;AG$2,"")&amp;IF(N(AH126)&gt;0,", "&amp;AH$2,"")&amp;IF(N(AI126)&gt;0,", "&amp;AI$2,"")&amp;IF(N(AJ126)&gt;0,", "&amp;AJ$2,""),3,999)</f>
        <v/>
      </c>
      <c r="AM126" s="87" t="str">
        <f aca="false">IF(E126="","",MID(IF(N(Y126)&gt;0,", "&amp;A126&amp;"-"&amp;Y$2,"")&amp;IF(N(Z126)&gt;0,", "&amp;A126&amp;"-"&amp;Z$2,"")&amp;IF(N(AA126)&gt;0,", "&amp;A126&amp;"-"&amp;AA$2,"")&amp;IF(N(AB126)&gt;0,", "&amp;A126&amp;"-"&amp;AB$2,"")&amp;IF(N(AC126)&gt;0,", "&amp;A126&amp;"-"&amp;AC$2,"")&amp;IF(N(AD126)&gt;0,", "&amp;A126&amp;"-"&amp;AD$2,"")&amp;IF(N(AE126)&gt;0,", "&amp;A126&amp;"-"&amp;AE$2,"")&amp;IF(N(AF126)&gt;0,", "&amp;A126&amp;"-"&amp;AF$2,"")&amp;IF(N(AG126)&gt;0,", "&amp;A126&amp;"-"&amp;AG$2,"")&amp;IF(N(AH126)&gt;0,", "&amp;A126&amp;"-"&amp;AH$2,"")&amp;IF(N(AI126)&gt;0,", "&amp;A126&amp;"-"&amp;AI$2,"")&amp;IF(N(AJ126)&gt;0,", "&amp;A126&amp;"-"&amp;AJ$2,""),3,999))</f>
        <v/>
      </c>
      <c r="AN126" s="81"/>
      <c r="AO126" s="88"/>
      <c r="AP126" s="89" t="str">
        <f aca="false">IF(AO126="","",ROUND(AO126/(1+Справочники!$B$13),2))</f>
        <v/>
      </c>
      <c r="AQ126" s="90" t="str">
        <f aca="false" t="array" ref="AQ126:AQ126">IF(AP126="","",AP126*INDEX(Справочники!$B$4:$B$7,MATCH("RUB",Справочники!$A$4:$A$7,0)))</f>
        <v/>
      </c>
      <c r="AR126" s="90" t="str">
        <f aca="false">IF(AQ126="","",ROUND(AQ126*(1+Справочники!$B$12),0))</f>
        <v/>
      </c>
      <c r="AS126" s="90" t="str">
        <f aca="false">IF(AR126="","",ROUND(AR126*(1-Справочники!$B$11),0))</f>
        <v/>
      </c>
      <c r="AT126" s="88"/>
      <c r="AU126" s="90" t="str">
        <f aca="false">IF(AT126="","",ROUND(AT126/(1+Справочники!$B$12),0))</f>
        <v/>
      </c>
      <c r="AV126" s="90" t="str">
        <f aca="false">IF(AT126="","",ROUND(AT126*(1-Справочники!$B$15),0))</f>
        <v/>
      </c>
      <c r="AW126" s="90" t="str">
        <f aca="false">IF(AT126="","",ROUND(AT126*(1-Справочники!$B$16),0))</f>
        <v/>
      </c>
      <c r="AX126" s="90" t="str">
        <f aca="false">IF(AT126="","",ROUND(AT126*(1-Справочники!$B$17),0))</f>
        <v/>
      </c>
      <c r="AY126" s="90" t="str">
        <f aca="false">IF(AT126="","",ROUND(AT126*(1-Справочники!$B$18),0))</f>
        <v/>
      </c>
      <c r="AZ126" s="90" t="str">
        <f aca="false">IF(AT126="","",ROUND(AT126*(1-Справочники!$B$19),0))</f>
        <v/>
      </c>
      <c r="BA126" s="81"/>
      <c r="BB126" s="81"/>
      <c r="BC126" s="81"/>
      <c r="BD126" s="81"/>
      <c r="BE126" s="91"/>
      <c r="BF126" s="81" t="s">
        <v>103</v>
      </c>
      <c r="BG126" s="89" t="n">
        <f aca="false" t="array" ref="BG126:BG126">IF(BF126="","",IFERROR(INDEX(Справочники!$B$4:$B$7,MATCH(BF126,Справочники!$A$4:$A$7,0)),""))</f>
        <v>68.5</v>
      </c>
      <c r="BH126" s="90" t="str">
        <f aca="false">IF(N(BN126)&gt;0,ROUND(SUMIF(ЗАКАЗЫ!$F$3:$F$500,$A126,ЗАКАЗЫ!$Y$3:$Y$500)/BN126,0),IF(OR(BE126="",BG126=""),"",ROUND(BE126*BG126*(1+Справочники!$B$10),0)))</f>
        <v/>
      </c>
      <c r="BI126" s="92" t="str">
        <f aca="false">IF(OR(AU126="",BH126="",AU126=0),"",(AU126-BH126)/AU126)</f>
        <v/>
      </c>
      <c r="BJ126" s="81"/>
      <c r="BK126" s="83"/>
      <c r="BL126" s="43" t="str">
        <f aca="false">IFERROR(INDEX(ЗАКАЗЫ!$N$3:$N$500,MATCH($A126,ЗАКАЗЫ!$F$3:$F$500,0)),"")</f>
        <v/>
      </c>
      <c r="BM126" s="8" t="str">
        <f aca="false">IF(BL126="","",IFERROR(VLOOKUP(BL126,'ТН ВЭД'!$A$4:$C$40,3,0),""))</f>
        <v/>
      </c>
      <c r="BN126" s="7" t="str">
        <f aca="false">IF(COUNTIF(ЗАКАЗЫ!$F$3:$F$500,$A126)=0,"",SUMIF(ЗАКАЗЫ!$F$3:$F$500,$A126,ЗАКАЗЫ!$J$3:$J$500))</f>
        <v/>
      </c>
      <c r="BO126" s="7" t="str">
        <f aca="false">IF(BN126="","",SUMIF(ЗАКАЗЫ!$F$3:$F$500,$A126,ЗАКАЗЫ!$AL$3:$AL$500))</f>
        <v/>
      </c>
      <c r="BP126" s="7" t="str">
        <f aca="false">IF(BN126="","",BN126-BO126)</f>
        <v/>
      </c>
      <c r="BQ126" s="55" t="str">
        <f aca="false">IF(BN126="","",IF(BO126&gt;=BN126,"На складе",IF(BO126&gt;0,"Частично","Ждём")))</f>
        <v/>
      </c>
      <c r="BR126" s="43"/>
      <c r="BS126" s="47" t="str">
        <f aca="false">IF(BN126="","",IF(_xlfn.MAXIFS(ЗАКАЗЫ!$AK$3:$AK$500,ЗАКАЗЫ!$F$3:$F$500,$A126)=0,"",_xlfn.MAXIFS(ЗАКАЗЫ!$AK$3:$AK$500,ЗАКАЗЫ!$F$3:$F$500,$A126)))</f>
        <v/>
      </c>
    </row>
    <row r="127" customFormat="false" ht="15.75" hidden="false" customHeight="true" outlineLevel="0" collapsed="false">
      <c r="A127" s="80" t="s">
        <v>1328</v>
      </c>
      <c r="B127" s="81"/>
      <c r="C127" s="81"/>
      <c r="D127" s="81"/>
      <c r="E127" s="83"/>
      <c r="F127" s="81"/>
      <c r="G127" s="83"/>
      <c r="H127" s="83"/>
      <c r="I127" s="84" t="str">
        <f aca="false">IF(E127="","",A127&amp;"_1.jpg")</f>
        <v/>
      </c>
      <c r="J127" s="84" t="str">
        <f aca="false">IF(E127="","",A127&amp;"_2.jpg; "&amp;A127&amp;"_3.jpg")</f>
        <v/>
      </c>
      <c r="K127" s="84" t="str">
        <f aca="false">IF(E127="","",A127&amp;"_schema.jpg")</f>
        <v/>
      </c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 t="s">
        <v>96</v>
      </c>
      <c r="W127" s="81"/>
      <c r="X127" s="81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6" t="str">
        <f aca="false">IF(SUM(Y127:AJ127)=0,"",SUM(Y127:AJ127))</f>
        <v/>
      </c>
      <c r="AL127" s="84" t="str">
        <f aca="false">MID(IF(N(Y127)&gt;0,", "&amp;Y$2,"")&amp;IF(N(Z127)&gt;0,", "&amp;Z$2,"")&amp;IF(N(AA127)&gt;0,", "&amp;AA$2,"")&amp;IF(N(AB127)&gt;0,", "&amp;AB$2,"")&amp;IF(N(AC127)&gt;0,", "&amp;AC$2,"")&amp;IF(N(AD127)&gt;0,", "&amp;AD$2,"")&amp;IF(N(AE127)&gt;0,", "&amp;AE$2,"")&amp;IF(N(AF127)&gt;0,", "&amp;AF$2,"")&amp;IF(N(AG127)&gt;0,", "&amp;AG$2,"")&amp;IF(N(AH127)&gt;0,", "&amp;AH$2,"")&amp;IF(N(AI127)&gt;0,", "&amp;AI$2,"")&amp;IF(N(AJ127)&gt;0,", "&amp;AJ$2,""),3,999)</f>
        <v/>
      </c>
      <c r="AM127" s="87" t="str">
        <f aca="false">IF(E127="","",MID(IF(N(Y127)&gt;0,", "&amp;A127&amp;"-"&amp;Y$2,"")&amp;IF(N(Z127)&gt;0,", "&amp;A127&amp;"-"&amp;Z$2,"")&amp;IF(N(AA127)&gt;0,", "&amp;A127&amp;"-"&amp;AA$2,"")&amp;IF(N(AB127)&gt;0,", "&amp;A127&amp;"-"&amp;AB$2,"")&amp;IF(N(AC127)&gt;0,", "&amp;A127&amp;"-"&amp;AC$2,"")&amp;IF(N(AD127)&gt;0,", "&amp;A127&amp;"-"&amp;AD$2,"")&amp;IF(N(AE127)&gt;0,", "&amp;A127&amp;"-"&amp;AE$2,"")&amp;IF(N(AF127)&gt;0,", "&amp;A127&amp;"-"&amp;AF$2,"")&amp;IF(N(AG127)&gt;0,", "&amp;A127&amp;"-"&amp;AG$2,"")&amp;IF(N(AH127)&gt;0,", "&amp;A127&amp;"-"&amp;AH$2,"")&amp;IF(N(AI127)&gt;0,", "&amp;A127&amp;"-"&amp;AI$2,"")&amp;IF(N(AJ127)&gt;0,", "&amp;A127&amp;"-"&amp;AJ$2,""),3,999))</f>
        <v/>
      </c>
      <c r="AN127" s="81"/>
      <c r="AO127" s="88"/>
      <c r="AP127" s="89" t="str">
        <f aca="false">IF(AO127="","",ROUND(AO127/(1+Справочники!$B$13),2))</f>
        <v/>
      </c>
      <c r="AQ127" s="90" t="str">
        <f aca="false" t="array" ref="AQ127:AQ127">IF(AP127="","",AP127*INDEX(Справочники!$B$4:$B$7,MATCH("RUB",Справочники!$A$4:$A$7,0)))</f>
        <v/>
      </c>
      <c r="AR127" s="90" t="str">
        <f aca="false">IF(AQ127="","",ROUND(AQ127*(1+Справочники!$B$12),0))</f>
        <v/>
      </c>
      <c r="AS127" s="90" t="str">
        <f aca="false">IF(AR127="","",ROUND(AR127*(1-Справочники!$B$11),0))</f>
        <v/>
      </c>
      <c r="AT127" s="88"/>
      <c r="AU127" s="90" t="str">
        <f aca="false">IF(AT127="","",ROUND(AT127/(1+Справочники!$B$12),0))</f>
        <v/>
      </c>
      <c r="AV127" s="90" t="str">
        <f aca="false">IF(AT127="","",ROUND(AT127*(1-Справочники!$B$15),0))</f>
        <v/>
      </c>
      <c r="AW127" s="90" t="str">
        <f aca="false">IF(AT127="","",ROUND(AT127*(1-Справочники!$B$16),0))</f>
        <v/>
      </c>
      <c r="AX127" s="90" t="str">
        <f aca="false">IF(AT127="","",ROUND(AT127*(1-Справочники!$B$17),0))</f>
        <v/>
      </c>
      <c r="AY127" s="90" t="str">
        <f aca="false">IF(AT127="","",ROUND(AT127*(1-Справочники!$B$18),0))</f>
        <v/>
      </c>
      <c r="AZ127" s="90" t="str">
        <f aca="false">IF(AT127="","",ROUND(AT127*(1-Справочники!$B$19),0))</f>
        <v/>
      </c>
      <c r="BA127" s="81"/>
      <c r="BB127" s="81"/>
      <c r="BC127" s="81"/>
      <c r="BD127" s="81"/>
      <c r="BE127" s="91"/>
      <c r="BF127" s="81" t="s">
        <v>103</v>
      </c>
      <c r="BG127" s="89" t="n">
        <f aca="false" t="array" ref="BG127:BG127">IF(BF127="","",IFERROR(INDEX(Справочники!$B$4:$B$7,MATCH(BF127,Справочники!$A$4:$A$7,0)),""))</f>
        <v>68.5</v>
      </c>
      <c r="BH127" s="90" t="str">
        <f aca="false">IF(N(BN127)&gt;0,ROUND(SUMIF(ЗАКАЗЫ!$F$3:$F$500,$A127,ЗАКАЗЫ!$Y$3:$Y$500)/BN127,0),IF(OR(BE127="",BG127=""),"",ROUND(BE127*BG127*(1+Справочники!$B$10),0)))</f>
        <v/>
      </c>
      <c r="BI127" s="92" t="str">
        <f aca="false">IF(OR(AU127="",BH127="",AU127=0),"",(AU127-BH127)/AU127)</f>
        <v/>
      </c>
      <c r="BJ127" s="81"/>
      <c r="BK127" s="83"/>
      <c r="BL127" s="43" t="str">
        <f aca="false">IFERROR(INDEX(ЗАКАЗЫ!$N$3:$N$500,MATCH($A127,ЗАКАЗЫ!$F$3:$F$500,0)),"")</f>
        <v/>
      </c>
      <c r="BM127" s="8" t="str">
        <f aca="false">IF(BL127="","",IFERROR(VLOOKUP(BL127,'ТН ВЭД'!$A$4:$C$40,3,0),""))</f>
        <v/>
      </c>
      <c r="BN127" s="7" t="str">
        <f aca="false">IF(COUNTIF(ЗАКАЗЫ!$F$3:$F$500,$A127)=0,"",SUMIF(ЗАКАЗЫ!$F$3:$F$500,$A127,ЗАКАЗЫ!$J$3:$J$500))</f>
        <v/>
      </c>
      <c r="BO127" s="7" t="str">
        <f aca="false">IF(BN127="","",SUMIF(ЗАКАЗЫ!$F$3:$F$500,$A127,ЗАКАЗЫ!$AL$3:$AL$500))</f>
        <v/>
      </c>
      <c r="BP127" s="7" t="str">
        <f aca="false">IF(BN127="","",BN127-BO127)</f>
        <v/>
      </c>
      <c r="BQ127" s="55" t="str">
        <f aca="false">IF(BN127="","",IF(BO127&gt;=BN127,"На складе",IF(BO127&gt;0,"Частично","Ждём")))</f>
        <v/>
      </c>
      <c r="BR127" s="43"/>
      <c r="BS127" s="47" t="str">
        <f aca="false">IF(BN127="","",IF(_xlfn.MAXIFS(ЗАКАЗЫ!$AK$3:$AK$500,ЗАКАЗЫ!$F$3:$F$500,$A127)=0,"",_xlfn.MAXIFS(ЗАКАЗЫ!$AK$3:$AK$500,ЗАКАЗЫ!$F$3:$F$500,$A127)))</f>
        <v/>
      </c>
    </row>
    <row r="128" customFormat="false" ht="15.75" hidden="false" customHeight="true" outlineLevel="0" collapsed="false">
      <c r="A128" s="80" t="s">
        <v>1329</v>
      </c>
      <c r="B128" s="81"/>
      <c r="C128" s="81"/>
      <c r="D128" s="81"/>
      <c r="E128" s="83"/>
      <c r="F128" s="81"/>
      <c r="G128" s="83"/>
      <c r="H128" s="83"/>
      <c r="I128" s="84" t="str">
        <f aca="false">IF(E128="","",A128&amp;"_1.jpg")</f>
        <v/>
      </c>
      <c r="J128" s="84" t="str">
        <f aca="false">IF(E128="","",A128&amp;"_2.jpg; "&amp;A128&amp;"_3.jpg")</f>
        <v/>
      </c>
      <c r="K128" s="84" t="str">
        <f aca="false">IF(E128="","",A128&amp;"_schema.jpg")</f>
        <v/>
      </c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 t="s">
        <v>96</v>
      </c>
      <c r="W128" s="81"/>
      <c r="X128" s="81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6" t="str">
        <f aca="false">IF(SUM(Y128:AJ128)=0,"",SUM(Y128:AJ128))</f>
        <v/>
      </c>
      <c r="AL128" s="84" t="str">
        <f aca="false">MID(IF(N(Y128)&gt;0,", "&amp;Y$2,"")&amp;IF(N(Z128)&gt;0,", "&amp;Z$2,"")&amp;IF(N(AA128)&gt;0,", "&amp;AA$2,"")&amp;IF(N(AB128)&gt;0,", "&amp;AB$2,"")&amp;IF(N(AC128)&gt;0,", "&amp;AC$2,"")&amp;IF(N(AD128)&gt;0,", "&amp;AD$2,"")&amp;IF(N(AE128)&gt;0,", "&amp;AE$2,"")&amp;IF(N(AF128)&gt;0,", "&amp;AF$2,"")&amp;IF(N(AG128)&gt;0,", "&amp;AG$2,"")&amp;IF(N(AH128)&gt;0,", "&amp;AH$2,"")&amp;IF(N(AI128)&gt;0,", "&amp;AI$2,"")&amp;IF(N(AJ128)&gt;0,", "&amp;AJ$2,""),3,999)</f>
        <v/>
      </c>
      <c r="AM128" s="87" t="str">
        <f aca="false">IF(E128="","",MID(IF(N(Y128)&gt;0,", "&amp;A128&amp;"-"&amp;Y$2,"")&amp;IF(N(Z128)&gt;0,", "&amp;A128&amp;"-"&amp;Z$2,"")&amp;IF(N(AA128)&gt;0,", "&amp;A128&amp;"-"&amp;AA$2,"")&amp;IF(N(AB128)&gt;0,", "&amp;A128&amp;"-"&amp;AB$2,"")&amp;IF(N(AC128)&gt;0,", "&amp;A128&amp;"-"&amp;AC$2,"")&amp;IF(N(AD128)&gt;0,", "&amp;A128&amp;"-"&amp;AD$2,"")&amp;IF(N(AE128)&gt;0,", "&amp;A128&amp;"-"&amp;AE$2,"")&amp;IF(N(AF128)&gt;0,", "&amp;A128&amp;"-"&amp;AF$2,"")&amp;IF(N(AG128)&gt;0,", "&amp;A128&amp;"-"&amp;AG$2,"")&amp;IF(N(AH128)&gt;0,", "&amp;A128&amp;"-"&amp;AH$2,"")&amp;IF(N(AI128)&gt;0,", "&amp;A128&amp;"-"&amp;AI$2,"")&amp;IF(N(AJ128)&gt;0,", "&amp;A128&amp;"-"&amp;AJ$2,""),3,999))</f>
        <v/>
      </c>
      <c r="AN128" s="81"/>
      <c r="AO128" s="88"/>
      <c r="AP128" s="89" t="str">
        <f aca="false">IF(AO128="","",ROUND(AO128/(1+Справочники!$B$13),2))</f>
        <v/>
      </c>
      <c r="AQ128" s="90" t="str">
        <f aca="false" t="array" ref="AQ128:AQ128">IF(AP128="","",AP128*INDEX(Справочники!$B$4:$B$7,MATCH("RUB",Справочники!$A$4:$A$7,0)))</f>
        <v/>
      </c>
      <c r="AR128" s="90" t="str">
        <f aca="false">IF(AQ128="","",ROUND(AQ128*(1+Справочники!$B$12),0))</f>
        <v/>
      </c>
      <c r="AS128" s="90" t="str">
        <f aca="false">IF(AR128="","",ROUND(AR128*(1-Справочники!$B$11),0))</f>
        <v/>
      </c>
      <c r="AT128" s="88"/>
      <c r="AU128" s="90" t="str">
        <f aca="false">IF(AT128="","",ROUND(AT128/(1+Справочники!$B$12),0))</f>
        <v/>
      </c>
      <c r="AV128" s="90" t="str">
        <f aca="false">IF(AT128="","",ROUND(AT128*(1-Справочники!$B$15),0))</f>
        <v/>
      </c>
      <c r="AW128" s="90" t="str">
        <f aca="false">IF(AT128="","",ROUND(AT128*(1-Справочники!$B$16),0))</f>
        <v/>
      </c>
      <c r="AX128" s="90" t="str">
        <f aca="false">IF(AT128="","",ROUND(AT128*(1-Справочники!$B$17),0))</f>
        <v/>
      </c>
      <c r="AY128" s="90" t="str">
        <f aca="false">IF(AT128="","",ROUND(AT128*(1-Справочники!$B$18),0))</f>
        <v/>
      </c>
      <c r="AZ128" s="90" t="str">
        <f aca="false">IF(AT128="","",ROUND(AT128*(1-Справочники!$B$19),0))</f>
        <v/>
      </c>
      <c r="BA128" s="81"/>
      <c r="BB128" s="81"/>
      <c r="BC128" s="81"/>
      <c r="BD128" s="81"/>
      <c r="BE128" s="91"/>
      <c r="BF128" s="81" t="s">
        <v>103</v>
      </c>
      <c r="BG128" s="89" t="n">
        <f aca="false" t="array" ref="BG128:BG128">IF(BF128="","",IFERROR(INDEX(Справочники!$B$4:$B$7,MATCH(BF128,Справочники!$A$4:$A$7,0)),""))</f>
        <v>68.5</v>
      </c>
      <c r="BH128" s="90" t="str">
        <f aca="false">IF(N(BN128)&gt;0,ROUND(SUMIF(ЗАКАЗЫ!$F$3:$F$500,$A128,ЗАКАЗЫ!$Y$3:$Y$500)/BN128,0),IF(OR(BE128="",BG128=""),"",ROUND(BE128*BG128*(1+Справочники!$B$10),0)))</f>
        <v/>
      </c>
      <c r="BI128" s="92" t="str">
        <f aca="false">IF(OR(AU128="",BH128="",AU128=0),"",(AU128-BH128)/AU128)</f>
        <v/>
      </c>
      <c r="BJ128" s="81"/>
      <c r="BK128" s="83"/>
      <c r="BL128" s="43" t="str">
        <f aca="false">IFERROR(INDEX(ЗАКАЗЫ!$N$3:$N$500,MATCH($A128,ЗАКАЗЫ!$F$3:$F$500,0)),"")</f>
        <v/>
      </c>
      <c r="BM128" s="8" t="str">
        <f aca="false">IF(BL128="","",IFERROR(VLOOKUP(BL128,'ТН ВЭД'!$A$4:$C$40,3,0),""))</f>
        <v/>
      </c>
      <c r="BN128" s="7" t="str">
        <f aca="false">IF(COUNTIF(ЗАКАЗЫ!$F$3:$F$500,$A128)=0,"",SUMIF(ЗАКАЗЫ!$F$3:$F$500,$A128,ЗАКАЗЫ!$J$3:$J$500))</f>
        <v/>
      </c>
      <c r="BO128" s="7" t="str">
        <f aca="false">IF(BN128="","",SUMIF(ЗАКАЗЫ!$F$3:$F$500,$A128,ЗАКАЗЫ!$AL$3:$AL$500))</f>
        <v/>
      </c>
      <c r="BP128" s="7" t="str">
        <f aca="false">IF(BN128="","",BN128-BO128)</f>
        <v/>
      </c>
      <c r="BQ128" s="55" t="str">
        <f aca="false">IF(BN128="","",IF(BO128&gt;=BN128,"На складе",IF(BO128&gt;0,"Частично","Ждём")))</f>
        <v/>
      </c>
      <c r="BR128" s="43"/>
      <c r="BS128" s="47" t="str">
        <f aca="false">IF(BN128="","",IF(_xlfn.MAXIFS(ЗАКАЗЫ!$AK$3:$AK$500,ЗАКАЗЫ!$F$3:$F$500,$A128)=0,"",_xlfn.MAXIFS(ЗАКАЗЫ!$AK$3:$AK$500,ЗАКАЗЫ!$F$3:$F$500,$A128)))</f>
        <v/>
      </c>
    </row>
    <row r="129" customFormat="false" ht="15.75" hidden="false" customHeight="true" outlineLevel="0" collapsed="false">
      <c r="A129" s="80" t="s">
        <v>1330</v>
      </c>
      <c r="B129" s="81"/>
      <c r="C129" s="81"/>
      <c r="D129" s="81"/>
      <c r="E129" s="83"/>
      <c r="F129" s="81"/>
      <c r="G129" s="83"/>
      <c r="H129" s="83"/>
      <c r="I129" s="84" t="str">
        <f aca="false">IF(E129="","",A129&amp;"_1.jpg")</f>
        <v/>
      </c>
      <c r="J129" s="84" t="str">
        <f aca="false">IF(E129="","",A129&amp;"_2.jpg; "&amp;A129&amp;"_3.jpg")</f>
        <v/>
      </c>
      <c r="K129" s="84" t="str">
        <f aca="false">IF(E129="","",A129&amp;"_schema.jpg")</f>
        <v/>
      </c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 t="s">
        <v>96</v>
      </c>
      <c r="W129" s="81"/>
      <c r="X129" s="81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6" t="str">
        <f aca="false">IF(SUM(Y129:AJ129)=0,"",SUM(Y129:AJ129))</f>
        <v/>
      </c>
      <c r="AL129" s="84" t="str">
        <f aca="false">MID(IF(N(Y129)&gt;0,", "&amp;Y$2,"")&amp;IF(N(Z129)&gt;0,", "&amp;Z$2,"")&amp;IF(N(AA129)&gt;0,", "&amp;AA$2,"")&amp;IF(N(AB129)&gt;0,", "&amp;AB$2,"")&amp;IF(N(AC129)&gt;0,", "&amp;AC$2,"")&amp;IF(N(AD129)&gt;0,", "&amp;AD$2,"")&amp;IF(N(AE129)&gt;0,", "&amp;AE$2,"")&amp;IF(N(AF129)&gt;0,", "&amp;AF$2,"")&amp;IF(N(AG129)&gt;0,", "&amp;AG$2,"")&amp;IF(N(AH129)&gt;0,", "&amp;AH$2,"")&amp;IF(N(AI129)&gt;0,", "&amp;AI$2,"")&amp;IF(N(AJ129)&gt;0,", "&amp;AJ$2,""),3,999)</f>
        <v/>
      </c>
      <c r="AM129" s="87" t="str">
        <f aca="false">IF(E129="","",MID(IF(N(Y129)&gt;0,", "&amp;A129&amp;"-"&amp;Y$2,"")&amp;IF(N(Z129)&gt;0,", "&amp;A129&amp;"-"&amp;Z$2,"")&amp;IF(N(AA129)&gt;0,", "&amp;A129&amp;"-"&amp;AA$2,"")&amp;IF(N(AB129)&gt;0,", "&amp;A129&amp;"-"&amp;AB$2,"")&amp;IF(N(AC129)&gt;0,", "&amp;A129&amp;"-"&amp;AC$2,"")&amp;IF(N(AD129)&gt;0,", "&amp;A129&amp;"-"&amp;AD$2,"")&amp;IF(N(AE129)&gt;0,", "&amp;A129&amp;"-"&amp;AE$2,"")&amp;IF(N(AF129)&gt;0,", "&amp;A129&amp;"-"&amp;AF$2,"")&amp;IF(N(AG129)&gt;0,", "&amp;A129&amp;"-"&amp;AG$2,"")&amp;IF(N(AH129)&gt;0,", "&amp;A129&amp;"-"&amp;AH$2,"")&amp;IF(N(AI129)&gt;0,", "&amp;A129&amp;"-"&amp;AI$2,"")&amp;IF(N(AJ129)&gt;0,", "&amp;A129&amp;"-"&amp;AJ$2,""),3,999))</f>
        <v/>
      </c>
      <c r="AN129" s="81"/>
      <c r="AO129" s="88"/>
      <c r="AP129" s="89" t="str">
        <f aca="false">IF(AO129="","",ROUND(AO129/(1+Справочники!$B$13),2))</f>
        <v/>
      </c>
      <c r="AQ129" s="90" t="str">
        <f aca="false" t="array" ref="AQ129:AQ129">IF(AP129="","",AP129*INDEX(Справочники!$B$4:$B$7,MATCH("RUB",Справочники!$A$4:$A$7,0)))</f>
        <v/>
      </c>
      <c r="AR129" s="90" t="str">
        <f aca="false">IF(AQ129="","",ROUND(AQ129*(1+Справочники!$B$12),0))</f>
        <v/>
      </c>
      <c r="AS129" s="90" t="str">
        <f aca="false">IF(AR129="","",ROUND(AR129*(1-Справочники!$B$11),0))</f>
        <v/>
      </c>
      <c r="AT129" s="88"/>
      <c r="AU129" s="90" t="str">
        <f aca="false">IF(AT129="","",ROUND(AT129/(1+Справочники!$B$12),0))</f>
        <v/>
      </c>
      <c r="AV129" s="90" t="str">
        <f aca="false">IF(AT129="","",ROUND(AT129*(1-Справочники!$B$15),0))</f>
        <v/>
      </c>
      <c r="AW129" s="90" t="str">
        <f aca="false">IF(AT129="","",ROUND(AT129*(1-Справочники!$B$16),0))</f>
        <v/>
      </c>
      <c r="AX129" s="90" t="str">
        <f aca="false">IF(AT129="","",ROUND(AT129*(1-Справочники!$B$17),0))</f>
        <v/>
      </c>
      <c r="AY129" s="90" t="str">
        <f aca="false">IF(AT129="","",ROUND(AT129*(1-Справочники!$B$18),0))</f>
        <v/>
      </c>
      <c r="AZ129" s="90" t="str">
        <f aca="false">IF(AT129="","",ROUND(AT129*(1-Справочники!$B$19),0))</f>
        <v/>
      </c>
      <c r="BA129" s="81"/>
      <c r="BB129" s="81"/>
      <c r="BC129" s="81"/>
      <c r="BD129" s="81"/>
      <c r="BE129" s="91"/>
      <c r="BF129" s="81" t="s">
        <v>103</v>
      </c>
      <c r="BG129" s="89" t="n">
        <f aca="false" t="array" ref="BG129:BG129">IF(BF129="","",IFERROR(INDEX(Справочники!$B$4:$B$7,MATCH(BF129,Справочники!$A$4:$A$7,0)),""))</f>
        <v>68.5</v>
      </c>
      <c r="BH129" s="90" t="str">
        <f aca="false">IF(N(BN129)&gt;0,ROUND(SUMIF(ЗАКАЗЫ!$F$3:$F$500,$A129,ЗАКАЗЫ!$Y$3:$Y$500)/BN129,0),IF(OR(BE129="",BG129=""),"",ROUND(BE129*BG129*(1+Справочники!$B$10),0)))</f>
        <v/>
      </c>
      <c r="BI129" s="92" t="str">
        <f aca="false">IF(OR(AU129="",BH129="",AU129=0),"",(AU129-BH129)/AU129)</f>
        <v/>
      </c>
      <c r="BJ129" s="81"/>
      <c r="BK129" s="83"/>
      <c r="BL129" s="43" t="str">
        <f aca="false">IFERROR(INDEX(ЗАКАЗЫ!$N$3:$N$500,MATCH($A129,ЗАКАЗЫ!$F$3:$F$500,0)),"")</f>
        <v/>
      </c>
      <c r="BM129" s="8" t="str">
        <f aca="false">IF(BL129="","",IFERROR(VLOOKUP(BL129,'ТН ВЭД'!$A$4:$C$40,3,0),""))</f>
        <v/>
      </c>
      <c r="BN129" s="7" t="str">
        <f aca="false">IF(COUNTIF(ЗАКАЗЫ!$F$3:$F$500,$A129)=0,"",SUMIF(ЗАКАЗЫ!$F$3:$F$500,$A129,ЗАКАЗЫ!$J$3:$J$500))</f>
        <v/>
      </c>
      <c r="BO129" s="7" t="str">
        <f aca="false">IF(BN129="","",SUMIF(ЗАКАЗЫ!$F$3:$F$500,$A129,ЗАКАЗЫ!$AL$3:$AL$500))</f>
        <v/>
      </c>
      <c r="BP129" s="7" t="str">
        <f aca="false">IF(BN129="","",BN129-BO129)</f>
        <v/>
      </c>
      <c r="BQ129" s="55" t="str">
        <f aca="false">IF(BN129="","",IF(BO129&gt;=BN129,"На складе",IF(BO129&gt;0,"Частично","Ждём")))</f>
        <v/>
      </c>
      <c r="BR129" s="43"/>
      <c r="BS129" s="47" t="str">
        <f aca="false">IF(BN129="","",IF(_xlfn.MAXIFS(ЗАКАЗЫ!$AK$3:$AK$500,ЗАКАЗЫ!$F$3:$F$500,$A129)=0,"",_xlfn.MAXIFS(ЗАКАЗЫ!$AK$3:$AK$500,ЗАКАЗЫ!$F$3:$F$500,$A129)))</f>
        <v/>
      </c>
    </row>
    <row r="130" customFormat="false" ht="15.75" hidden="false" customHeight="true" outlineLevel="0" collapsed="false">
      <c r="A130" s="80" t="s">
        <v>1331</v>
      </c>
      <c r="B130" s="81"/>
      <c r="C130" s="81"/>
      <c r="D130" s="81"/>
      <c r="E130" s="83"/>
      <c r="F130" s="81"/>
      <c r="G130" s="83"/>
      <c r="H130" s="83"/>
      <c r="I130" s="84" t="str">
        <f aca="false">IF(E130="","",A130&amp;"_1.jpg")</f>
        <v/>
      </c>
      <c r="J130" s="84" t="str">
        <f aca="false">IF(E130="","",A130&amp;"_2.jpg; "&amp;A130&amp;"_3.jpg")</f>
        <v/>
      </c>
      <c r="K130" s="84" t="str">
        <f aca="false">IF(E130="","",A130&amp;"_schema.jpg")</f>
        <v/>
      </c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 t="s">
        <v>96</v>
      </c>
      <c r="W130" s="81"/>
      <c r="X130" s="81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6" t="str">
        <f aca="false">IF(SUM(Y130:AJ130)=0,"",SUM(Y130:AJ130))</f>
        <v/>
      </c>
      <c r="AL130" s="84" t="str">
        <f aca="false">MID(IF(N(Y130)&gt;0,", "&amp;Y$2,"")&amp;IF(N(Z130)&gt;0,", "&amp;Z$2,"")&amp;IF(N(AA130)&gt;0,", "&amp;AA$2,"")&amp;IF(N(AB130)&gt;0,", "&amp;AB$2,"")&amp;IF(N(AC130)&gt;0,", "&amp;AC$2,"")&amp;IF(N(AD130)&gt;0,", "&amp;AD$2,"")&amp;IF(N(AE130)&gt;0,", "&amp;AE$2,"")&amp;IF(N(AF130)&gt;0,", "&amp;AF$2,"")&amp;IF(N(AG130)&gt;0,", "&amp;AG$2,"")&amp;IF(N(AH130)&gt;0,", "&amp;AH$2,"")&amp;IF(N(AI130)&gt;0,", "&amp;AI$2,"")&amp;IF(N(AJ130)&gt;0,", "&amp;AJ$2,""),3,999)</f>
        <v/>
      </c>
      <c r="AM130" s="87" t="str">
        <f aca="false">IF(E130="","",MID(IF(N(Y130)&gt;0,", "&amp;A130&amp;"-"&amp;Y$2,"")&amp;IF(N(Z130)&gt;0,", "&amp;A130&amp;"-"&amp;Z$2,"")&amp;IF(N(AA130)&gt;0,", "&amp;A130&amp;"-"&amp;AA$2,"")&amp;IF(N(AB130)&gt;0,", "&amp;A130&amp;"-"&amp;AB$2,"")&amp;IF(N(AC130)&gt;0,", "&amp;A130&amp;"-"&amp;AC$2,"")&amp;IF(N(AD130)&gt;0,", "&amp;A130&amp;"-"&amp;AD$2,"")&amp;IF(N(AE130)&gt;0,", "&amp;A130&amp;"-"&amp;AE$2,"")&amp;IF(N(AF130)&gt;0,", "&amp;A130&amp;"-"&amp;AF$2,"")&amp;IF(N(AG130)&gt;0,", "&amp;A130&amp;"-"&amp;AG$2,"")&amp;IF(N(AH130)&gt;0,", "&amp;A130&amp;"-"&amp;AH$2,"")&amp;IF(N(AI130)&gt;0,", "&amp;A130&amp;"-"&amp;AI$2,"")&amp;IF(N(AJ130)&gt;0,", "&amp;A130&amp;"-"&amp;AJ$2,""),3,999))</f>
        <v/>
      </c>
      <c r="AN130" s="81"/>
      <c r="AO130" s="88"/>
      <c r="AP130" s="89" t="str">
        <f aca="false">IF(AO130="","",ROUND(AO130/(1+Справочники!$B$13),2))</f>
        <v/>
      </c>
      <c r="AQ130" s="90" t="str">
        <f aca="false" t="array" ref="AQ130:AQ130">IF(AP130="","",AP130*INDEX(Справочники!$B$4:$B$7,MATCH("RUB",Справочники!$A$4:$A$7,0)))</f>
        <v/>
      </c>
      <c r="AR130" s="90" t="str">
        <f aca="false">IF(AQ130="","",ROUND(AQ130*(1+Справочники!$B$12),0))</f>
        <v/>
      </c>
      <c r="AS130" s="90" t="str">
        <f aca="false">IF(AR130="","",ROUND(AR130*(1-Справочники!$B$11),0))</f>
        <v/>
      </c>
      <c r="AT130" s="88"/>
      <c r="AU130" s="90" t="str">
        <f aca="false">IF(AT130="","",ROUND(AT130/(1+Справочники!$B$12),0))</f>
        <v/>
      </c>
      <c r="AV130" s="90" t="str">
        <f aca="false">IF(AT130="","",ROUND(AT130*(1-Справочники!$B$15),0))</f>
        <v/>
      </c>
      <c r="AW130" s="90" t="str">
        <f aca="false">IF(AT130="","",ROUND(AT130*(1-Справочники!$B$16),0))</f>
        <v/>
      </c>
      <c r="AX130" s="90" t="str">
        <f aca="false">IF(AT130="","",ROUND(AT130*(1-Справочники!$B$17),0))</f>
        <v/>
      </c>
      <c r="AY130" s="90" t="str">
        <f aca="false">IF(AT130="","",ROUND(AT130*(1-Справочники!$B$18),0))</f>
        <v/>
      </c>
      <c r="AZ130" s="90" t="str">
        <f aca="false">IF(AT130="","",ROUND(AT130*(1-Справочники!$B$19),0))</f>
        <v/>
      </c>
      <c r="BA130" s="81"/>
      <c r="BB130" s="81"/>
      <c r="BC130" s="81"/>
      <c r="BD130" s="81"/>
      <c r="BE130" s="91"/>
      <c r="BF130" s="81" t="s">
        <v>103</v>
      </c>
      <c r="BG130" s="89" t="n">
        <f aca="false" t="array" ref="BG130:BG130">IF(BF130="","",IFERROR(INDEX(Справочники!$B$4:$B$7,MATCH(BF130,Справочники!$A$4:$A$7,0)),""))</f>
        <v>68.5</v>
      </c>
      <c r="BH130" s="90" t="str">
        <f aca="false">IF(N(BN130)&gt;0,ROUND(SUMIF(ЗАКАЗЫ!$F$3:$F$500,$A130,ЗАКАЗЫ!$Y$3:$Y$500)/BN130,0),IF(OR(BE130="",BG130=""),"",ROUND(BE130*BG130*(1+Справочники!$B$10),0)))</f>
        <v/>
      </c>
      <c r="BI130" s="92" t="str">
        <f aca="false">IF(OR(AU130="",BH130="",AU130=0),"",(AU130-BH130)/AU130)</f>
        <v/>
      </c>
      <c r="BJ130" s="81"/>
      <c r="BK130" s="83"/>
      <c r="BL130" s="43" t="str">
        <f aca="false">IFERROR(INDEX(ЗАКАЗЫ!$N$3:$N$500,MATCH($A130,ЗАКАЗЫ!$F$3:$F$500,0)),"")</f>
        <v/>
      </c>
      <c r="BM130" s="8" t="str">
        <f aca="false">IF(BL130="","",IFERROR(VLOOKUP(BL130,'ТН ВЭД'!$A$4:$C$40,3,0),""))</f>
        <v/>
      </c>
      <c r="BN130" s="7" t="str">
        <f aca="false">IF(COUNTIF(ЗАКАЗЫ!$F$3:$F$500,$A130)=0,"",SUMIF(ЗАКАЗЫ!$F$3:$F$500,$A130,ЗАКАЗЫ!$J$3:$J$500))</f>
        <v/>
      </c>
      <c r="BO130" s="7" t="str">
        <f aca="false">IF(BN130="","",SUMIF(ЗАКАЗЫ!$F$3:$F$500,$A130,ЗАКАЗЫ!$AL$3:$AL$500))</f>
        <v/>
      </c>
      <c r="BP130" s="7" t="str">
        <f aca="false">IF(BN130="","",BN130-BO130)</f>
        <v/>
      </c>
      <c r="BQ130" s="55" t="str">
        <f aca="false">IF(BN130="","",IF(BO130&gt;=BN130,"На складе",IF(BO130&gt;0,"Частично","Ждём")))</f>
        <v/>
      </c>
      <c r="BR130" s="43"/>
      <c r="BS130" s="47" t="str">
        <f aca="false">IF(BN130="","",IF(_xlfn.MAXIFS(ЗАКАЗЫ!$AK$3:$AK$500,ЗАКАЗЫ!$F$3:$F$500,$A130)=0,"",_xlfn.MAXIFS(ЗАКАЗЫ!$AK$3:$AK$500,ЗАКАЗЫ!$F$3:$F$500,$A130)))</f>
        <v/>
      </c>
    </row>
    <row r="131" customFormat="false" ht="15.75" hidden="false" customHeight="true" outlineLevel="0" collapsed="false">
      <c r="A131" s="80" t="s">
        <v>1332</v>
      </c>
      <c r="B131" s="81"/>
      <c r="C131" s="81"/>
      <c r="D131" s="81"/>
      <c r="E131" s="83"/>
      <c r="F131" s="81"/>
      <c r="G131" s="83"/>
      <c r="H131" s="83"/>
      <c r="I131" s="84" t="str">
        <f aca="false">IF(E131="","",A131&amp;"_1.jpg")</f>
        <v/>
      </c>
      <c r="J131" s="84" t="str">
        <f aca="false">IF(E131="","",A131&amp;"_2.jpg; "&amp;A131&amp;"_3.jpg")</f>
        <v/>
      </c>
      <c r="K131" s="84" t="str">
        <f aca="false">IF(E131="","",A131&amp;"_schema.jpg")</f>
        <v/>
      </c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 t="s">
        <v>96</v>
      </c>
      <c r="W131" s="81"/>
      <c r="X131" s="81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6" t="str">
        <f aca="false">IF(SUM(Y131:AJ131)=0,"",SUM(Y131:AJ131))</f>
        <v/>
      </c>
      <c r="AL131" s="84" t="str">
        <f aca="false">MID(IF(N(Y131)&gt;0,", "&amp;Y$2,"")&amp;IF(N(Z131)&gt;0,", "&amp;Z$2,"")&amp;IF(N(AA131)&gt;0,", "&amp;AA$2,"")&amp;IF(N(AB131)&gt;0,", "&amp;AB$2,"")&amp;IF(N(AC131)&gt;0,", "&amp;AC$2,"")&amp;IF(N(AD131)&gt;0,", "&amp;AD$2,"")&amp;IF(N(AE131)&gt;0,", "&amp;AE$2,"")&amp;IF(N(AF131)&gt;0,", "&amp;AF$2,"")&amp;IF(N(AG131)&gt;0,", "&amp;AG$2,"")&amp;IF(N(AH131)&gt;0,", "&amp;AH$2,"")&amp;IF(N(AI131)&gt;0,", "&amp;AI$2,"")&amp;IF(N(AJ131)&gt;0,", "&amp;AJ$2,""),3,999)</f>
        <v/>
      </c>
      <c r="AM131" s="87" t="str">
        <f aca="false">IF(E131="","",MID(IF(N(Y131)&gt;0,", "&amp;A131&amp;"-"&amp;Y$2,"")&amp;IF(N(Z131)&gt;0,", "&amp;A131&amp;"-"&amp;Z$2,"")&amp;IF(N(AA131)&gt;0,", "&amp;A131&amp;"-"&amp;AA$2,"")&amp;IF(N(AB131)&gt;0,", "&amp;A131&amp;"-"&amp;AB$2,"")&amp;IF(N(AC131)&gt;0,", "&amp;A131&amp;"-"&amp;AC$2,"")&amp;IF(N(AD131)&gt;0,", "&amp;A131&amp;"-"&amp;AD$2,"")&amp;IF(N(AE131)&gt;0,", "&amp;A131&amp;"-"&amp;AE$2,"")&amp;IF(N(AF131)&gt;0,", "&amp;A131&amp;"-"&amp;AF$2,"")&amp;IF(N(AG131)&gt;0,", "&amp;A131&amp;"-"&amp;AG$2,"")&amp;IF(N(AH131)&gt;0,", "&amp;A131&amp;"-"&amp;AH$2,"")&amp;IF(N(AI131)&gt;0,", "&amp;A131&amp;"-"&amp;AI$2,"")&amp;IF(N(AJ131)&gt;0,", "&amp;A131&amp;"-"&amp;AJ$2,""),3,999))</f>
        <v/>
      </c>
      <c r="AN131" s="81"/>
      <c r="AO131" s="88"/>
      <c r="AP131" s="89" t="str">
        <f aca="false">IF(AO131="","",ROUND(AO131/(1+Справочники!$B$13),2))</f>
        <v/>
      </c>
      <c r="AQ131" s="90" t="str">
        <f aca="false" t="array" ref="AQ131:AQ131">IF(AP131="","",AP131*INDEX(Справочники!$B$4:$B$7,MATCH("RUB",Справочники!$A$4:$A$7,0)))</f>
        <v/>
      </c>
      <c r="AR131" s="90" t="str">
        <f aca="false">IF(AQ131="","",ROUND(AQ131*(1+Справочники!$B$12),0))</f>
        <v/>
      </c>
      <c r="AS131" s="90" t="str">
        <f aca="false">IF(AR131="","",ROUND(AR131*(1-Справочники!$B$11),0))</f>
        <v/>
      </c>
      <c r="AT131" s="88"/>
      <c r="AU131" s="90" t="str">
        <f aca="false">IF(AT131="","",ROUND(AT131/(1+Справочники!$B$12),0))</f>
        <v/>
      </c>
      <c r="AV131" s="90" t="str">
        <f aca="false">IF(AT131="","",ROUND(AT131*(1-Справочники!$B$15),0))</f>
        <v/>
      </c>
      <c r="AW131" s="90" t="str">
        <f aca="false">IF(AT131="","",ROUND(AT131*(1-Справочники!$B$16),0))</f>
        <v/>
      </c>
      <c r="AX131" s="90" t="str">
        <f aca="false">IF(AT131="","",ROUND(AT131*(1-Справочники!$B$17),0))</f>
        <v/>
      </c>
      <c r="AY131" s="90" t="str">
        <f aca="false">IF(AT131="","",ROUND(AT131*(1-Справочники!$B$18),0))</f>
        <v/>
      </c>
      <c r="AZ131" s="90" t="str">
        <f aca="false">IF(AT131="","",ROUND(AT131*(1-Справочники!$B$19),0))</f>
        <v/>
      </c>
      <c r="BA131" s="81"/>
      <c r="BB131" s="81"/>
      <c r="BC131" s="81"/>
      <c r="BD131" s="81"/>
      <c r="BE131" s="91"/>
      <c r="BF131" s="81" t="s">
        <v>103</v>
      </c>
      <c r="BG131" s="89" t="n">
        <f aca="false" t="array" ref="BG131:BG131">IF(BF131="","",IFERROR(INDEX(Справочники!$B$4:$B$7,MATCH(BF131,Справочники!$A$4:$A$7,0)),""))</f>
        <v>68.5</v>
      </c>
      <c r="BH131" s="90" t="str">
        <f aca="false">IF(N(BN131)&gt;0,ROUND(SUMIF(ЗАКАЗЫ!$F$3:$F$500,$A131,ЗАКАЗЫ!$Y$3:$Y$500)/BN131,0),IF(OR(BE131="",BG131=""),"",ROUND(BE131*BG131*(1+Справочники!$B$10),0)))</f>
        <v/>
      </c>
      <c r="BI131" s="92" t="str">
        <f aca="false">IF(OR(AU131="",BH131="",AU131=0),"",(AU131-BH131)/AU131)</f>
        <v/>
      </c>
      <c r="BJ131" s="81"/>
      <c r="BK131" s="83"/>
      <c r="BL131" s="43" t="str">
        <f aca="false">IFERROR(INDEX(ЗАКАЗЫ!$N$3:$N$500,MATCH($A131,ЗАКАЗЫ!$F$3:$F$500,0)),"")</f>
        <v/>
      </c>
      <c r="BM131" s="8" t="str">
        <f aca="false">IF(BL131="","",IFERROR(VLOOKUP(BL131,'ТН ВЭД'!$A$4:$C$40,3,0),""))</f>
        <v/>
      </c>
      <c r="BN131" s="7" t="str">
        <f aca="false">IF(COUNTIF(ЗАКАЗЫ!$F$3:$F$500,$A131)=0,"",SUMIF(ЗАКАЗЫ!$F$3:$F$500,$A131,ЗАКАЗЫ!$J$3:$J$500))</f>
        <v/>
      </c>
      <c r="BO131" s="7" t="str">
        <f aca="false">IF(BN131="","",SUMIF(ЗАКАЗЫ!$F$3:$F$500,$A131,ЗАКАЗЫ!$AL$3:$AL$500))</f>
        <v/>
      </c>
      <c r="BP131" s="7" t="str">
        <f aca="false">IF(BN131="","",BN131-BO131)</f>
        <v/>
      </c>
      <c r="BQ131" s="55" t="str">
        <f aca="false">IF(BN131="","",IF(BO131&gt;=BN131,"На складе",IF(BO131&gt;0,"Частично","Ждём")))</f>
        <v/>
      </c>
      <c r="BR131" s="43"/>
      <c r="BS131" s="47" t="str">
        <f aca="false">IF(BN131="","",IF(_xlfn.MAXIFS(ЗАКАЗЫ!$AK$3:$AK$500,ЗАКАЗЫ!$F$3:$F$500,$A131)=0,"",_xlfn.MAXIFS(ЗАКАЗЫ!$AK$3:$AK$500,ЗАКАЗЫ!$F$3:$F$500,$A131)))</f>
        <v/>
      </c>
    </row>
    <row r="132" customFormat="false" ht="15.75" hidden="false" customHeight="true" outlineLevel="0" collapsed="false">
      <c r="A132" s="80" t="s">
        <v>1333</v>
      </c>
      <c r="B132" s="81"/>
      <c r="C132" s="81"/>
      <c r="D132" s="81"/>
      <c r="E132" s="83"/>
      <c r="F132" s="81"/>
      <c r="G132" s="83"/>
      <c r="H132" s="83"/>
      <c r="I132" s="84" t="str">
        <f aca="false">IF(E132="","",A132&amp;"_1.jpg")</f>
        <v/>
      </c>
      <c r="J132" s="84" t="str">
        <f aca="false">IF(E132="","",A132&amp;"_2.jpg; "&amp;A132&amp;"_3.jpg")</f>
        <v/>
      </c>
      <c r="K132" s="84" t="str">
        <f aca="false">IF(E132="","",A132&amp;"_schema.jpg")</f>
        <v/>
      </c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 t="s">
        <v>96</v>
      </c>
      <c r="W132" s="81"/>
      <c r="X132" s="81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6" t="str">
        <f aca="false">IF(SUM(Y132:AJ132)=0,"",SUM(Y132:AJ132))</f>
        <v/>
      </c>
      <c r="AL132" s="84" t="str">
        <f aca="false">MID(IF(N(Y132)&gt;0,", "&amp;Y$2,"")&amp;IF(N(Z132)&gt;0,", "&amp;Z$2,"")&amp;IF(N(AA132)&gt;0,", "&amp;AA$2,"")&amp;IF(N(AB132)&gt;0,", "&amp;AB$2,"")&amp;IF(N(AC132)&gt;0,", "&amp;AC$2,"")&amp;IF(N(AD132)&gt;0,", "&amp;AD$2,"")&amp;IF(N(AE132)&gt;0,", "&amp;AE$2,"")&amp;IF(N(AF132)&gt;0,", "&amp;AF$2,"")&amp;IF(N(AG132)&gt;0,", "&amp;AG$2,"")&amp;IF(N(AH132)&gt;0,", "&amp;AH$2,"")&amp;IF(N(AI132)&gt;0,", "&amp;AI$2,"")&amp;IF(N(AJ132)&gt;0,", "&amp;AJ$2,""),3,999)</f>
        <v/>
      </c>
      <c r="AM132" s="87" t="str">
        <f aca="false">IF(E132="","",MID(IF(N(Y132)&gt;0,", "&amp;A132&amp;"-"&amp;Y$2,"")&amp;IF(N(Z132)&gt;0,", "&amp;A132&amp;"-"&amp;Z$2,"")&amp;IF(N(AA132)&gt;0,", "&amp;A132&amp;"-"&amp;AA$2,"")&amp;IF(N(AB132)&gt;0,", "&amp;A132&amp;"-"&amp;AB$2,"")&amp;IF(N(AC132)&gt;0,", "&amp;A132&amp;"-"&amp;AC$2,"")&amp;IF(N(AD132)&gt;0,", "&amp;A132&amp;"-"&amp;AD$2,"")&amp;IF(N(AE132)&gt;0,", "&amp;A132&amp;"-"&amp;AE$2,"")&amp;IF(N(AF132)&gt;0,", "&amp;A132&amp;"-"&amp;AF$2,"")&amp;IF(N(AG132)&gt;0,", "&amp;A132&amp;"-"&amp;AG$2,"")&amp;IF(N(AH132)&gt;0,", "&amp;A132&amp;"-"&amp;AH$2,"")&amp;IF(N(AI132)&gt;0,", "&amp;A132&amp;"-"&amp;AI$2,"")&amp;IF(N(AJ132)&gt;0,", "&amp;A132&amp;"-"&amp;AJ$2,""),3,999))</f>
        <v/>
      </c>
      <c r="AN132" s="81"/>
      <c r="AO132" s="88"/>
      <c r="AP132" s="89" t="str">
        <f aca="false">IF(AO132="","",ROUND(AO132/(1+Справочники!$B$13),2))</f>
        <v/>
      </c>
      <c r="AQ132" s="90" t="str">
        <f aca="false" t="array" ref="AQ132:AQ132">IF(AP132="","",AP132*INDEX(Справочники!$B$4:$B$7,MATCH("RUB",Справочники!$A$4:$A$7,0)))</f>
        <v/>
      </c>
      <c r="AR132" s="90" t="str">
        <f aca="false">IF(AQ132="","",ROUND(AQ132*(1+Справочники!$B$12),0))</f>
        <v/>
      </c>
      <c r="AS132" s="90" t="str">
        <f aca="false">IF(AR132="","",ROUND(AR132*(1-Справочники!$B$11),0))</f>
        <v/>
      </c>
      <c r="AT132" s="88"/>
      <c r="AU132" s="90" t="str">
        <f aca="false">IF(AT132="","",ROUND(AT132/(1+Справочники!$B$12),0))</f>
        <v/>
      </c>
      <c r="AV132" s="90" t="str">
        <f aca="false">IF(AT132="","",ROUND(AT132*(1-Справочники!$B$15),0))</f>
        <v/>
      </c>
      <c r="AW132" s="90" t="str">
        <f aca="false">IF(AT132="","",ROUND(AT132*(1-Справочники!$B$16),0))</f>
        <v/>
      </c>
      <c r="AX132" s="90" t="str">
        <f aca="false">IF(AT132="","",ROUND(AT132*(1-Справочники!$B$17),0))</f>
        <v/>
      </c>
      <c r="AY132" s="90" t="str">
        <f aca="false">IF(AT132="","",ROUND(AT132*(1-Справочники!$B$18),0))</f>
        <v/>
      </c>
      <c r="AZ132" s="90" t="str">
        <f aca="false">IF(AT132="","",ROUND(AT132*(1-Справочники!$B$19),0))</f>
        <v/>
      </c>
      <c r="BA132" s="81"/>
      <c r="BB132" s="81"/>
      <c r="BC132" s="81"/>
      <c r="BD132" s="81"/>
      <c r="BE132" s="91"/>
      <c r="BF132" s="81" t="s">
        <v>103</v>
      </c>
      <c r="BG132" s="89" t="n">
        <f aca="false" t="array" ref="BG132:BG132">IF(BF132="","",IFERROR(INDEX(Справочники!$B$4:$B$7,MATCH(BF132,Справочники!$A$4:$A$7,0)),""))</f>
        <v>68.5</v>
      </c>
      <c r="BH132" s="90" t="str">
        <f aca="false">IF(N(BN132)&gt;0,ROUND(SUMIF(ЗАКАЗЫ!$F$3:$F$500,$A132,ЗАКАЗЫ!$Y$3:$Y$500)/BN132,0),IF(OR(BE132="",BG132=""),"",ROUND(BE132*BG132*(1+Справочники!$B$10),0)))</f>
        <v/>
      </c>
      <c r="BI132" s="92" t="str">
        <f aca="false">IF(OR(AU132="",BH132="",AU132=0),"",(AU132-BH132)/AU132)</f>
        <v/>
      </c>
      <c r="BJ132" s="81"/>
      <c r="BK132" s="83"/>
      <c r="BL132" s="43" t="str">
        <f aca="false">IFERROR(INDEX(ЗАКАЗЫ!$N$3:$N$500,MATCH($A132,ЗАКАЗЫ!$F$3:$F$500,0)),"")</f>
        <v/>
      </c>
      <c r="BM132" s="8" t="str">
        <f aca="false">IF(BL132="","",IFERROR(VLOOKUP(BL132,'ТН ВЭД'!$A$4:$C$40,3,0),""))</f>
        <v/>
      </c>
      <c r="BN132" s="7" t="str">
        <f aca="false">IF(COUNTIF(ЗАКАЗЫ!$F$3:$F$500,$A132)=0,"",SUMIF(ЗАКАЗЫ!$F$3:$F$500,$A132,ЗАКАЗЫ!$J$3:$J$500))</f>
        <v/>
      </c>
      <c r="BO132" s="7" t="str">
        <f aca="false">IF(BN132="","",SUMIF(ЗАКАЗЫ!$F$3:$F$500,$A132,ЗАКАЗЫ!$AL$3:$AL$500))</f>
        <v/>
      </c>
      <c r="BP132" s="7" t="str">
        <f aca="false">IF(BN132="","",BN132-BO132)</f>
        <v/>
      </c>
      <c r="BQ132" s="55" t="str">
        <f aca="false">IF(BN132="","",IF(BO132&gt;=BN132,"На складе",IF(BO132&gt;0,"Частично","Ждём")))</f>
        <v/>
      </c>
      <c r="BR132" s="43"/>
      <c r="BS132" s="47" t="str">
        <f aca="false">IF(BN132="","",IF(_xlfn.MAXIFS(ЗАКАЗЫ!$AK$3:$AK$500,ЗАКАЗЫ!$F$3:$F$500,$A132)=0,"",_xlfn.MAXIFS(ЗАКАЗЫ!$AK$3:$AK$500,ЗАКАЗЫ!$F$3:$F$500,$A132)))</f>
        <v/>
      </c>
    </row>
    <row r="133" customFormat="false" ht="15.75" hidden="false" customHeight="true" outlineLevel="0" collapsed="false">
      <c r="A133" s="80" t="s">
        <v>1334</v>
      </c>
      <c r="B133" s="81"/>
      <c r="C133" s="81"/>
      <c r="D133" s="81"/>
      <c r="E133" s="83"/>
      <c r="F133" s="81"/>
      <c r="G133" s="83"/>
      <c r="H133" s="83"/>
      <c r="I133" s="84" t="str">
        <f aca="false">IF(E133="","",A133&amp;"_1.jpg")</f>
        <v/>
      </c>
      <c r="J133" s="84" t="str">
        <f aca="false">IF(E133="","",A133&amp;"_2.jpg; "&amp;A133&amp;"_3.jpg")</f>
        <v/>
      </c>
      <c r="K133" s="84" t="str">
        <f aca="false">IF(E133="","",A133&amp;"_schema.jpg")</f>
        <v/>
      </c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 t="s">
        <v>96</v>
      </c>
      <c r="W133" s="81"/>
      <c r="X133" s="81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6" t="str">
        <f aca="false">IF(SUM(Y133:AJ133)=0,"",SUM(Y133:AJ133))</f>
        <v/>
      </c>
      <c r="AL133" s="84" t="str">
        <f aca="false">MID(IF(N(Y133)&gt;0,", "&amp;Y$2,"")&amp;IF(N(Z133)&gt;0,", "&amp;Z$2,"")&amp;IF(N(AA133)&gt;0,", "&amp;AA$2,"")&amp;IF(N(AB133)&gt;0,", "&amp;AB$2,"")&amp;IF(N(AC133)&gt;0,", "&amp;AC$2,"")&amp;IF(N(AD133)&gt;0,", "&amp;AD$2,"")&amp;IF(N(AE133)&gt;0,", "&amp;AE$2,"")&amp;IF(N(AF133)&gt;0,", "&amp;AF$2,"")&amp;IF(N(AG133)&gt;0,", "&amp;AG$2,"")&amp;IF(N(AH133)&gt;0,", "&amp;AH$2,"")&amp;IF(N(AI133)&gt;0,", "&amp;AI$2,"")&amp;IF(N(AJ133)&gt;0,", "&amp;AJ$2,""),3,999)</f>
        <v/>
      </c>
      <c r="AM133" s="87" t="str">
        <f aca="false">IF(E133="","",MID(IF(N(Y133)&gt;0,", "&amp;A133&amp;"-"&amp;Y$2,"")&amp;IF(N(Z133)&gt;0,", "&amp;A133&amp;"-"&amp;Z$2,"")&amp;IF(N(AA133)&gt;0,", "&amp;A133&amp;"-"&amp;AA$2,"")&amp;IF(N(AB133)&gt;0,", "&amp;A133&amp;"-"&amp;AB$2,"")&amp;IF(N(AC133)&gt;0,", "&amp;A133&amp;"-"&amp;AC$2,"")&amp;IF(N(AD133)&gt;0,", "&amp;A133&amp;"-"&amp;AD$2,"")&amp;IF(N(AE133)&gt;0,", "&amp;A133&amp;"-"&amp;AE$2,"")&amp;IF(N(AF133)&gt;0,", "&amp;A133&amp;"-"&amp;AF$2,"")&amp;IF(N(AG133)&gt;0,", "&amp;A133&amp;"-"&amp;AG$2,"")&amp;IF(N(AH133)&gt;0,", "&amp;A133&amp;"-"&amp;AH$2,"")&amp;IF(N(AI133)&gt;0,", "&amp;A133&amp;"-"&amp;AI$2,"")&amp;IF(N(AJ133)&gt;0,", "&amp;A133&amp;"-"&amp;AJ$2,""),3,999))</f>
        <v/>
      </c>
      <c r="AN133" s="81"/>
      <c r="AO133" s="88"/>
      <c r="AP133" s="89" t="str">
        <f aca="false">IF(AO133="","",ROUND(AO133/(1+Справочники!$B$13),2))</f>
        <v/>
      </c>
      <c r="AQ133" s="90" t="str">
        <f aca="false" t="array" ref="AQ133:AQ133">IF(AP133="","",AP133*INDEX(Справочники!$B$4:$B$7,MATCH("RUB",Справочники!$A$4:$A$7,0)))</f>
        <v/>
      </c>
      <c r="AR133" s="90" t="str">
        <f aca="false">IF(AQ133="","",ROUND(AQ133*(1+Справочники!$B$12),0))</f>
        <v/>
      </c>
      <c r="AS133" s="90" t="str">
        <f aca="false">IF(AR133="","",ROUND(AR133*(1-Справочники!$B$11),0))</f>
        <v/>
      </c>
      <c r="AT133" s="88"/>
      <c r="AU133" s="90" t="str">
        <f aca="false">IF(AT133="","",ROUND(AT133/(1+Справочники!$B$12),0))</f>
        <v/>
      </c>
      <c r="AV133" s="90" t="str">
        <f aca="false">IF(AT133="","",ROUND(AT133*(1-Справочники!$B$15),0))</f>
        <v/>
      </c>
      <c r="AW133" s="90" t="str">
        <f aca="false">IF(AT133="","",ROUND(AT133*(1-Справочники!$B$16),0))</f>
        <v/>
      </c>
      <c r="AX133" s="90" t="str">
        <f aca="false">IF(AT133="","",ROUND(AT133*(1-Справочники!$B$17),0))</f>
        <v/>
      </c>
      <c r="AY133" s="90" t="str">
        <f aca="false">IF(AT133="","",ROUND(AT133*(1-Справочники!$B$18),0))</f>
        <v/>
      </c>
      <c r="AZ133" s="90" t="str">
        <f aca="false">IF(AT133="","",ROUND(AT133*(1-Справочники!$B$19),0))</f>
        <v/>
      </c>
      <c r="BA133" s="81"/>
      <c r="BB133" s="81"/>
      <c r="BC133" s="81"/>
      <c r="BD133" s="81"/>
      <c r="BE133" s="91"/>
      <c r="BF133" s="81" t="s">
        <v>103</v>
      </c>
      <c r="BG133" s="89" t="n">
        <f aca="false" t="array" ref="BG133:BG133">IF(BF133="","",IFERROR(INDEX(Справочники!$B$4:$B$7,MATCH(BF133,Справочники!$A$4:$A$7,0)),""))</f>
        <v>68.5</v>
      </c>
      <c r="BH133" s="90" t="str">
        <f aca="false">IF(N(BN133)&gt;0,ROUND(SUMIF(ЗАКАЗЫ!$F$3:$F$500,$A133,ЗАКАЗЫ!$Y$3:$Y$500)/BN133,0),IF(OR(BE133="",BG133=""),"",ROUND(BE133*BG133*(1+Справочники!$B$10),0)))</f>
        <v/>
      </c>
      <c r="BI133" s="92" t="str">
        <f aca="false">IF(OR(AU133="",BH133="",AU133=0),"",(AU133-BH133)/AU133)</f>
        <v/>
      </c>
      <c r="BJ133" s="81"/>
      <c r="BK133" s="83"/>
      <c r="BL133" s="43" t="str">
        <f aca="false">IFERROR(INDEX(ЗАКАЗЫ!$N$3:$N$500,MATCH($A133,ЗАКАЗЫ!$F$3:$F$500,0)),"")</f>
        <v/>
      </c>
      <c r="BM133" s="8" t="str">
        <f aca="false">IF(BL133="","",IFERROR(VLOOKUP(BL133,'ТН ВЭД'!$A$4:$C$40,3,0),""))</f>
        <v/>
      </c>
      <c r="BN133" s="7" t="str">
        <f aca="false">IF(COUNTIF(ЗАКАЗЫ!$F$3:$F$500,$A133)=0,"",SUMIF(ЗАКАЗЫ!$F$3:$F$500,$A133,ЗАКАЗЫ!$J$3:$J$500))</f>
        <v/>
      </c>
      <c r="BO133" s="7" t="str">
        <f aca="false">IF(BN133="","",SUMIF(ЗАКАЗЫ!$F$3:$F$500,$A133,ЗАКАЗЫ!$AL$3:$AL$500))</f>
        <v/>
      </c>
      <c r="BP133" s="7" t="str">
        <f aca="false">IF(BN133="","",BN133-BO133)</f>
        <v/>
      </c>
      <c r="BQ133" s="55" t="str">
        <f aca="false">IF(BN133="","",IF(BO133&gt;=BN133,"На складе",IF(BO133&gt;0,"Частично","Ждём")))</f>
        <v/>
      </c>
      <c r="BR133" s="43"/>
      <c r="BS133" s="47" t="str">
        <f aca="false">IF(BN133="","",IF(_xlfn.MAXIFS(ЗАКАЗЫ!$AK$3:$AK$500,ЗАКАЗЫ!$F$3:$F$500,$A133)=0,"",_xlfn.MAXIFS(ЗАКАЗЫ!$AK$3:$AK$500,ЗАКАЗЫ!$F$3:$F$500,$A133)))</f>
        <v/>
      </c>
    </row>
    <row r="134" customFormat="false" ht="15.75" hidden="false" customHeight="true" outlineLevel="0" collapsed="false">
      <c r="A134" s="80" t="s">
        <v>1335</v>
      </c>
      <c r="B134" s="81"/>
      <c r="C134" s="81"/>
      <c r="D134" s="81"/>
      <c r="E134" s="83"/>
      <c r="F134" s="81"/>
      <c r="G134" s="83"/>
      <c r="H134" s="83"/>
      <c r="I134" s="84" t="str">
        <f aca="false">IF(E134="","",A134&amp;"_1.jpg")</f>
        <v/>
      </c>
      <c r="J134" s="84" t="str">
        <f aca="false">IF(E134="","",A134&amp;"_2.jpg; "&amp;A134&amp;"_3.jpg")</f>
        <v/>
      </c>
      <c r="K134" s="84" t="str">
        <f aca="false">IF(E134="","",A134&amp;"_schema.jpg")</f>
        <v/>
      </c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 t="s">
        <v>96</v>
      </c>
      <c r="W134" s="81"/>
      <c r="X134" s="81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6" t="str">
        <f aca="false">IF(SUM(Y134:AJ134)=0,"",SUM(Y134:AJ134))</f>
        <v/>
      </c>
      <c r="AL134" s="84" t="str">
        <f aca="false">MID(IF(N(Y134)&gt;0,", "&amp;Y$2,"")&amp;IF(N(Z134)&gt;0,", "&amp;Z$2,"")&amp;IF(N(AA134)&gt;0,", "&amp;AA$2,"")&amp;IF(N(AB134)&gt;0,", "&amp;AB$2,"")&amp;IF(N(AC134)&gt;0,", "&amp;AC$2,"")&amp;IF(N(AD134)&gt;0,", "&amp;AD$2,"")&amp;IF(N(AE134)&gt;0,", "&amp;AE$2,"")&amp;IF(N(AF134)&gt;0,", "&amp;AF$2,"")&amp;IF(N(AG134)&gt;0,", "&amp;AG$2,"")&amp;IF(N(AH134)&gt;0,", "&amp;AH$2,"")&amp;IF(N(AI134)&gt;0,", "&amp;AI$2,"")&amp;IF(N(AJ134)&gt;0,", "&amp;AJ$2,""),3,999)</f>
        <v/>
      </c>
      <c r="AM134" s="87" t="str">
        <f aca="false">IF(E134="","",MID(IF(N(Y134)&gt;0,", "&amp;A134&amp;"-"&amp;Y$2,"")&amp;IF(N(Z134)&gt;0,", "&amp;A134&amp;"-"&amp;Z$2,"")&amp;IF(N(AA134)&gt;0,", "&amp;A134&amp;"-"&amp;AA$2,"")&amp;IF(N(AB134)&gt;0,", "&amp;A134&amp;"-"&amp;AB$2,"")&amp;IF(N(AC134)&gt;0,", "&amp;A134&amp;"-"&amp;AC$2,"")&amp;IF(N(AD134)&gt;0,", "&amp;A134&amp;"-"&amp;AD$2,"")&amp;IF(N(AE134)&gt;0,", "&amp;A134&amp;"-"&amp;AE$2,"")&amp;IF(N(AF134)&gt;0,", "&amp;A134&amp;"-"&amp;AF$2,"")&amp;IF(N(AG134)&gt;0,", "&amp;A134&amp;"-"&amp;AG$2,"")&amp;IF(N(AH134)&gt;0,", "&amp;A134&amp;"-"&amp;AH$2,"")&amp;IF(N(AI134)&gt;0,", "&amp;A134&amp;"-"&amp;AI$2,"")&amp;IF(N(AJ134)&gt;0,", "&amp;A134&amp;"-"&amp;AJ$2,""),3,999))</f>
        <v/>
      </c>
      <c r="AN134" s="81"/>
      <c r="AO134" s="88"/>
      <c r="AP134" s="89" t="str">
        <f aca="false">IF(AO134="","",ROUND(AO134/(1+Справочники!$B$13),2))</f>
        <v/>
      </c>
      <c r="AQ134" s="90" t="str">
        <f aca="false" t="array" ref="AQ134:AQ134">IF(AP134="","",AP134*INDEX(Справочники!$B$4:$B$7,MATCH("RUB",Справочники!$A$4:$A$7,0)))</f>
        <v/>
      </c>
      <c r="AR134" s="90" t="str">
        <f aca="false">IF(AQ134="","",ROUND(AQ134*(1+Справочники!$B$12),0))</f>
        <v/>
      </c>
      <c r="AS134" s="90" t="str">
        <f aca="false">IF(AR134="","",ROUND(AR134*(1-Справочники!$B$11),0))</f>
        <v/>
      </c>
      <c r="AT134" s="88"/>
      <c r="AU134" s="90" t="str">
        <f aca="false">IF(AT134="","",ROUND(AT134/(1+Справочники!$B$12),0))</f>
        <v/>
      </c>
      <c r="AV134" s="90" t="str">
        <f aca="false">IF(AT134="","",ROUND(AT134*(1-Справочники!$B$15),0))</f>
        <v/>
      </c>
      <c r="AW134" s="90" t="str">
        <f aca="false">IF(AT134="","",ROUND(AT134*(1-Справочники!$B$16),0))</f>
        <v/>
      </c>
      <c r="AX134" s="90" t="str">
        <f aca="false">IF(AT134="","",ROUND(AT134*(1-Справочники!$B$17),0))</f>
        <v/>
      </c>
      <c r="AY134" s="90" t="str">
        <f aca="false">IF(AT134="","",ROUND(AT134*(1-Справочники!$B$18),0))</f>
        <v/>
      </c>
      <c r="AZ134" s="90" t="str">
        <f aca="false">IF(AT134="","",ROUND(AT134*(1-Справочники!$B$19),0))</f>
        <v/>
      </c>
      <c r="BA134" s="81"/>
      <c r="BB134" s="81"/>
      <c r="BC134" s="81"/>
      <c r="BD134" s="81"/>
      <c r="BE134" s="91"/>
      <c r="BF134" s="81" t="s">
        <v>103</v>
      </c>
      <c r="BG134" s="89" t="n">
        <f aca="false" t="array" ref="BG134:BG134">IF(BF134="","",IFERROR(INDEX(Справочники!$B$4:$B$7,MATCH(BF134,Справочники!$A$4:$A$7,0)),""))</f>
        <v>68.5</v>
      </c>
      <c r="BH134" s="90" t="str">
        <f aca="false">IF(N(BN134)&gt;0,ROUND(SUMIF(ЗАКАЗЫ!$F$3:$F$500,$A134,ЗАКАЗЫ!$Y$3:$Y$500)/BN134,0),IF(OR(BE134="",BG134=""),"",ROUND(BE134*BG134*(1+Справочники!$B$10),0)))</f>
        <v/>
      </c>
      <c r="BI134" s="92" t="str">
        <f aca="false">IF(OR(AU134="",BH134="",AU134=0),"",(AU134-BH134)/AU134)</f>
        <v/>
      </c>
      <c r="BJ134" s="81"/>
      <c r="BK134" s="83"/>
      <c r="BL134" s="43" t="str">
        <f aca="false">IFERROR(INDEX(ЗАКАЗЫ!$N$3:$N$500,MATCH($A134,ЗАКАЗЫ!$F$3:$F$500,0)),"")</f>
        <v/>
      </c>
      <c r="BM134" s="8" t="str">
        <f aca="false">IF(BL134="","",IFERROR(VLOOKUP(BL134,'ТН ВЭД'!$A$4:$C$40,3,0),""))</f>
        <v/>
      </c>
      <c r="BN134" s="7" t="str">
        <f aca="false">IF(COUNTIF(ЗАКАЗЫ!$F$3:$F$500,$A134)=0,"",SUMIF(ЗАКАЗЫ!$F$3:$F$500,$A134,ЗАКАЗЫ!$J$3:$J$500))</f>
        <v/>
      </c>
      <c r="BO134" s="7" t="str">
        <f aca="false">IF(BN134="","",SUMIF(ЗАКАЗЫ!$F$3:$F$500,$A134,ЗАКАЗЫ!$AL$3:$AL$500))</f>
        <v/>
      </c>
      <c r="BP134" s="7" t="str">
        <f aca="false">IF(BN134="","",BN134-BO134)</f>
        <v/>
      </c>
      <c r="BQ134" s="55" t="str">
        <f aca="false">IF(BN134="","",IF(BO134&gt;=BN134,"На складе",IF(BO134&gt;0,"Частично","Ждём")))</f>
        <v/>
      </c>
      <c r="BR134" s="43"/>
      <c r="BS134" s="47" t="str">
        <f aca="false">IF(BN134="","",IF(_xlfn.MAXIFS(ЗАКАЗЫ!$AK$3:$AK$500,ЗАКАЗЫ!$F$3:$F$500,$A134)=0,"",_xlfn.MAXIFS(ЗАКАЗЫ!$AK$3:$AK$500,ЗАКАЗЫ!$F$3:$F$500,$A134)))</f>
        <v/>
      </c>
    </row>
    <row r="135" customFormat="false" ht="15.75" hidden="false" customHeight="true" outlineLevel="0" collapsed="false">
      <c r="A135" s="80" t="s">
        <v>1336</v>
      </c>
      <c r="B135" s="81"/>
      <c r="C135" s="81"/>
      <c r="D135" s="81"/>
      <c r="E135" s="83"/>
      <c r="F135" s="81"/>
      <c r="G135" s="83"/>
      <c r="H135" s="83"/>
      <c r="I135" s="84" t="str">
        <f aca="false">IF(E135="","",A135&amp;"_1.jpg")</f>
        <v/>
      </c>
      <c r="J135" s="84" t="str">
        <f aca="false">IF(E135="","",A135&amp;"_2.jpg; "&amp;A135&amp;"_3.jpg")</f>
        <v/>
      </c>
      <c r="K135" s="84" t="str">
        <f aca="false">IF(E135="","",A135&amp;"_schema.jpg")</f>
        <v/>
      </c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 t="s">
        <v>96</v>
      </c>
      <c r="W135" s="81"/>
      <c r="X135" s="81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6" t="str">
        <f aca="false">IF(SUM(Y135:AJ135)=0,"",SUM(Y135:AJ135))</f>
        <v/>
      </c>
      <c r="AL135" s="84" t="str">
        <f aca="false">MID(IF(N(Y135)&gt;0,", "&amp;Y$2,"")&amp;IF(N(Z135)&gt;0,", "&amp;Z$2,"")&amp;IF(N(AA135)&gt;0,", "&amp;AA$2,"")&amp;IF(N(AB135)&gt;0,", "&amp;AB$2,"")&amp;IF(N(AC135)&gt;0,", "&amp;AC$2,"")&amp;IF(N(AD135)&gt;0,", "&amp;AD$2,"")&amp;IF(N(AE135)&gt;0,", "&amp;AE$2,"")&amp;IF(N(AF135)&gt;0,", "&amp;AF$2,"")&amp;IF(N(AG135)&gt;0,", "&amp;AG$2,"")&amp;IF(N(AH135)&gt;0,", "&amp;AH$2,"")&amp;IF(N(AI135)&gt;0,", "&amp;AI$2,"")&amp;IF(N(AJ135)&gt;0,", "&amp;AJ$2,""),3,999)</f>
        <v/>
      </c>
      <c r="AM135" s="87" t="str">
        <f aca="false">IF(E135="","",MID(IF(N(Y135)&gt;0,", "&amp;A135&amp;"-"&amp;Y$2,"")&amp;IF(N(Z135)&gt;0,", "&amp;A135&amp;"-"&amp;Z$2,"")&amp;IF(N(AA135)&gt;0,", "&amp;A135&amp;"-"&amp;AA$2,"")&amp;IF(N(AB135)&gt;0,", "&amp;A135&amp;"-"&amp;AB$2,"")&amp;IF(N(AC135)&gt;0,", "&amp;A135&amp;"-"&amp;AC$2,"")&amp;IF(N(AD135)&gt;0,", "&amp;A135&amp;"-"&amp;AD$2,"")&amp;IF(N(AE135)&gt;0,", "&amp;A135&amp;"-"&amp;AE$2,"")&amp;IF(N(AF135)&gt;0,", "&amp;A135&amp;"-"&amp;AF$2,"")&amp;IF(N(AG135)&gt;0,", "&amp;A135&amp;"-"&amp;AG$2,"")&amp;IF(N(AH135)&gt;0,", "&amp;A135&amp;"-"&amp;AH$2,"")&amp;IF(N(AI135)&gt;0,", "&amp;A135&amp;"-"&amp;AI$2,"")&amp;IF(N(AJ135)&gt;0,", "&amp;A135&amp;"-"&amp;AJ$2,""),3,999))</f>
        <v/>
      </c>
      <c r="AN135" s="81"/>
      <c r="AO135" s="88"/>
      <c r="AP135" s="89" t="str">
        <f aca="false">IF(AO135="","",ROUND(AO135/(1+Справочники!$B$13),2))</f>
        <v/>
      </c>
      <c r="AQ135" s="90" t="str">
        <f aca="false" t="array" ref="AQ135:AQ135">IF(AP135="","",AP135*INDEX(Справочники!$B$4:$B$7,MATCH("RUB",Справочники!$A$4:$A$7,0)))</f>
        <v/>
      </c>
      <c r="AR135" s="90" t="str">
        <f aca="false">IF(AQ135="","",ROUND(AQ135*(1+Справочники!$B$12),0))</f>
        <v/>
      </c>
      <c r="AS135" s="90" t="str">
        <f aca="false">IF(AR135="","",ROUND(AR135*(1-Справочники!$B$11),0))</f>
        <v/>
      </c>
      <c r="AT135" s="88"/>
      <c r="AU135" s="90" t="str">
        <f aca="false">IF(AT135="","",ROUND(AT135/(1+Справочники!$B$12),0))</f>
        <v/>
      </c>
      <c r="AV135" s="90" t="str">
        <f aca="false">IF(AT135="","",ROUND(AT135*(1-Справочники!$B$15),0))</f>
        <v/>
      </c>
      <c r="AW135" s="90" t="str">
        <f aca="false">IF(AT135="","",ROUND(AT135*(1-Справочники!$B$16),0))</f>
        <v/>
      </c>
      <c r="AX135" s="90" t="str">
        <f aca="false">IF(AT135="","",ROUND(AT135*(1-Справочники!$B$17),0))</f>
        <v/>
      </c>
      <c r="AY135" s="90" t="str">
        <f aca="false">IF(AT135="","",ROUND(AT135*(1-Справочники!$B$18),0))</f>
        <v/>
      </c>
      <c r="AZ135" s="90" t="str">
        <f aca="false">IF(AT135="","",ROUND(AT135*(1-Справочники!$B$19),0))</f>
        <v/>
      </c>
      <c r="BA135" s="81"/>
      <c r="BB135" s="81"/>
      <c r="BC135" s="81"/>
      <c r="BD135" s="81"/>
      <c r="BE135" s="91"/>
      <c r="BF135" s="81" t="s">
        <v>103</v>
      </c>
      <c r="BG135" s="89" t="n">
        <f aca="false" t="array" ref="BG135:BG135">IF(BF135="","",IFERROR(INDEX(Справочники!$B$4:$B$7,MATCH(BF135,Справочники!$A$4:$A$7,0)),""))</f>
        <v>68.5</v>
      </c>
      <c r="BH135" s="90" t="str">
        <f aca="false">IF(N(BN135)&gt;0,ROUND(SUMIF(ЗАКАЗЫ!$F$3:$F$500,$A135,ЗАКАЗЫ!$Y$3:$Y$500)/BN135,0),IF(OR(BE135="",BG135=""),"",ROUND(BE135*BG135*(1+Справочники!$B$10),0)))</f>
        <v/>
      </c>
      <c r="BI135" s="92" t="str">
        <f aca="false">IF(OR(AU135="",BH135="",AU135=0),"",(AU135-BH135)/AU135)</f>
        <v/>
      </c>
      <c r="BJ135" s="81"/>
      <c r="BK135" s="83"/>
      <c r="BL135" s="43" t="str">
        <f aca="false">IFERROR(INDEX(ЗАКАЗЫ!$N$3:$N$500,MATCH($A135,ЗАКАЗЫ!$F$3:$F$500,0)),"")</f>
        <v/>
      </c>
      <c r="BM135" s="8" t="str">
        <f aca="false">IF(BL135="","",IFERROR(VLOOKUP(BL135,'ТН ВЭД'!$A$4:$C$40,3,0),""))</f>
        <v/>
      </c>
      <c r="BN135" s="7" t="str">
        <f aca="false">IF(COUNTIF(ЗАКАЗЫ!$F$3:$F$500,$A135)=0,"",SUMIF(ЗАКАЗЫ!$F$3:$F$500,$A135,ЗАКАЗЫ!$J$3:$J$500))</f>
        <v/>
      </c>
      <c r="BO135" s="7" t="str">
        <f aca="false">IF(BN135="","",SUMIF(ЗАКАЗЫ!$F$3:$F$500,$A135,ЗАКАЗЫ!$AL$3:$AL$500))</f>
        <v/>
      </c>
      <c r="BP135" s="7" t="str">
        <f aca="false">IF(BN135="","",BN135-BO135)</f>
        <v/>
      </c>
      <c r="BQ135" s="55" t="str">
        <f aca="false">IF(BN135="","",IF(BO135&gt;=BN135,"На складе",IF(BO135&gt;0,"Частично","Ждём")))</f>
        <v/>
      </c>
      <c r="BR135" s="43"/>
      <c r="BS135" s="47" t="str">
        <f aca="false">IF(BN135="","",IF(_xlfn.MAXIFS(ЗАКАЗЫ!$AK$3:$AK$500,ЗАКАЗЫ!$F$3:$F$500,$A135)=0,"",_xlfn.MAXIFS(ЗАКАЗЫ!$AK$3:$AK$500,ЗАКАЗЫ!$F$3:$F$500,$A135)))</f>
        <v/>
      </c>
    </row>
    <row r="136" customFormat="false" ht="15.75" hidden="false" customHeight="true" outlineLevel="0" collapsed="false">
      <c r="A136" s="80" t="s">
        <v>1337</v>
      </c>
      <c r="B136" s="81"/>
      <c r="C136" s="81"/>
      <c r="D136" s="81"/>
      <c r="E136" s="83"/>
      <c r="F136" s="81"/>
      <c r="G136" s="83"/>
      <c r="H136" s="83"/>
      <c r="I136" s="84" t="str">
        <f aca="false">IF(E136="","",A136&amp;"_1.jpg")</f>
        <v/>
      </c>
      <c r="J136" s="84" t="str">
        <f aca="false">IF(E136="","",A136&amp;"_2.jpg; "&amp;A136&amp;"_3.jpg")</f>
        <v/>
      </c>
      <c r="K136" s="84" t="str">
        <f aca="false">IF(E136="","",A136&amp;"_schema.jpg")</f>
        <v/>
      </c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 t="s">
        <v>96</v>
      </c>
      <c r="W136" s="81"/>
      <c r="X136" s="81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6" t="str">
        <f aca="false">IF(SUM(Y136:AJ136)=0,"",SUM(Y136:AJ136))</f>
        <v/>
      </c>
      <c r="AL136" s="84" t="str">
        <f aca="false">MID(IF(N(Y136)&gt;0,", "&amp;Y$2,"")&amp;IF(N(Z136)&gt;0,", "&amp;Z$2,"")&amp;IF(N(AA136)&gt;0,", "&amp;AA$2,"")&amp;IF(N(AB136)&gt;0,", "&amp;AB$2,"")&amp;IF(N(AC136)&gt;0,", "&amp;AC$2,"")&amp;IF(N(AD136)&gt;0,", "&amp;AD$2,"")&amp;IF(N(AE136)&gt;0,", "&amp;AE$2,"")&amp;IF(N(AF136)&gt;0,", "&amp;AF$2,"")&amp;IF(N(AG136)&gt;0,", "&amp;AG$2,"")&amp;IF(N(AH136)&gt;0,", "&amp;AH$2,"")&amp;IF(N(AI136)&gt;0,", "&amp;AI$2,"")&amp;IF(N(AJ136)&gt;0,", "&amp;AJ$2,""),3,999)</f>
        <v/>
      </c>
      <c r="AM136" s="87" t="str">
        <f aca="false">IF(E136="","",MID(IF(N(Y136)&gt;0,", "&amp;A136&amp;"-"&amp;Y$2,"")&amp;IF(N(Z136)&gt;0,", "&amp;A136&amp;"-"&amp;Z$2,"")&amp;IF(N(AA136)&gt;0,", "&amp;A136&amp;"-"&amp;AA$2,"")&amp;IF(N(AB136)&gt;0,", "&amp;A136&amp;"-"&amp;AB$2,"")&amp;IF(N(AC136)&gt;0,", "&amp;A136&amp;"-"&amp;AC$2,"")&amp;IF(N(AD136)&gt;0,", "&amp;A136&amp;"-"&amp;AD$2,"")&amp;IF(N(AE136)&gt;0,", "&amp;A136&amp;"-"&amp;AE$2,"")&amp;IF(N(AF136)&gt;0,", "&amp;A136&amp;"-"&amp;AF$2,"")&amp;IF(N(AG136)&gt;0,", "&amp;A136&amp;"-"&amp;AG$2,"")&amp;IF(N(AH136)&gt;0,", "&amp;A136&amp;"-"&amp;AH$2,"")&amp;IF(N(AI136)&gt;0,", "&amp;A136&amp;"-"&amp;AI$2,"")&amp;IF(N(AJ136)&gt;0,", "&amp;A136&amp;"-"&amp;AJ$2,""),3,999))</f>
        <v/>
      </c>
      <c r="AN136" s="81"/>
      <c r="AO136" s="88"/>
      <c r="AP136" s="89" t="str">
        <f aca="false">IF(AO136="","",ROUND(AO136/(1+Справочники!$B$13),2))</f>
        <v/>
      </c>
      <c r="AQ136" s="90" t="str">
        <f aca="false" t="array" ref="AQ136:AQ136">IF(AP136="","",AP136*INDEX(Справочники!$B$4:$B$7,MATCH("RUB",Справочники!$A$4:$A$7,0)))</f>
        <v/>
      </c>
      <c r="AR136" s="90" t="str">
        <f aca="false">IF(AQ136="","",ROUND(AQ136*(1+Справочники!$B$12),0))</f>
        <v/>
      </c>
      <c r="AS136" s="90" t="str">
        <f aca="false">IF(AR136="","",ROUND(AR136*(1-Справочники!$B$11),0))</f>
        <v/>
      </c>
      <c r="AT136" s="88"/>
      <c r="AU136" s="90" t="str">
        <f aca="false">IF(AT136="","",ROUND(AT136/(1+Справочники!$B$12),0))</f>
        <v/>
      </c>
      <c r="AV136" s="90" t="str">
        <f aca="false">IF(AT136="","",ROUND(AT136*(1-Справочники!$B$15),0))</f>
        <v/>
      </c>
      <c r="AW136" s="90" t="str">
        <f aca="false">IF(AT136="","",ROUND(AT136*(1-Справочники!$B$16),0))</f>
        <v/>
      </c>
      <c r="AX136" s="90" t="str">
        <f aca="false">IF(AT136="","",ROUND(AT136*(1-Справочники!$B$17),0))</f>
        <v/>
      </c>
      <c r="AY136" s="90" t="str">
        <f aca="false">IF(AT136="","",ROUND(AT136*(1-Справочники!$B$18),0))</f>
        <v/>
      </c>
      <c r="AZ136" s="90" t="str">
        <f aca="false">IF(AT136="","",ROUND(AT136*(1-Справочники!$B$19),0))</f>
        <v/>
      </c>
      <c r="BA136" s="81"/>
      <c r="BB136" s="81"/>
      <c r="BC136" s="81"/>
      <c r="BD136" s="81"/>
      <c r="BE136" s="91"/>
      <c r="BF136" s="81" t="s">
        <v>103</v>
      </c>
      <c r="BG136" s="89" t="n">
        <f aca="false" t="array" ref="BG136:BG136">IF(BF136="","",IFERROR(INDEX(Справочники!$B$4:$B$7,MATCH(BF136,Справочники!$A$4:$A$7,0)),""))</f>
        <v>68.5</v>
      </c>
      <c r="BH136" s="90" t="str">
        <f aca="false">IF(N(BN136)&gt;0,ROUND(SUMIF(ЗАКАЗЫ!$F$3:$F$500,$A136,ЗАКАЗЫ!$Y$3:$Y$500)/BN136,0),IF(OR(BE136="",BG136=""),"",ROUND(BE136*BG136*(1+Справочники!$B$10),0)))</f>
        <v/>
      </c>
      <c r="BI136" s="92" t="str">
        <f aca="false">IF(OR(AU136="",BH136="",AU136=0),"",(AU136-BH136)/AU136)</f>
        <v/>
      </c>
      <c r="BJ136" s="81"/>
      <c r="BK136" s="83"/>
      <c r="BL136" s="43" t="str">
        <f aca="false">IFERROR(INDEX(ЗАКАЗЫ!$N$3:$N$500,MATCH($A136,ЗАКАЗЫ!$F$3:$F$500,0)),"")</f>
        <v/>
      </c>
      <c r="BM136" s="8" t="str">
        <f aca="false">IF(BL136="","",IFERROR(VLOOKUP(BL136,'ТН ВЭД'!$A$4:$C$40,3,0),""))</f>
        <v/>
      </c>
      <c r="BN136" s="7" t="str">
        <f aca="false">IF(COUNTIF(ЗАКАЗЫ!$F$3:$F$500,$A136)=0,"",SUMIF(ЗАКАЗЫ!$F$3:$F$500,$A136,ЗАКАЗЫ!$J$3:$J$500))</f>
        <v/>
      </c>
      <c r="BO136" s="7" t="str">
        <f aca="false">IF(BN136="","",SUMIF(ЗАКАЗЫ!$F$3:$F$500,$A136,ЗАКАЗЫ!$AL$3:$AL$500))</f>
        <v/>
      </c>
      <c r="BP136" s="7" t="str">
        <f aca="false">IF(BN136="","",BN136-BO136)</f>
        <v/>
      </c>
      <c r="BQ136" s="55" t="str">
        <f aca="false">IF(BN136="","",IF(BO136&gt;=BN136,"На складе",IF(BO136&gt;0,"Частично","Ждём")))</f>
        <v/>
      </c>
      <c r="BR136" s="43"/>
      <c r="BS136" s="47" t="str">
        <f aca="false">IF(BN136="","",IF(_xlfn.MAXIFS(ЗАКАЗЫ!$AK$3:$AK$500,ЗАКАЗЫ!$F$3:$F$500,$A136)=0,"",_xlfn.MAXIFS(ЗАКАЗЫ!$AK$3:$AK$500,ЗАКАЗЫ!$F$3:$F$500,$A136)))</f>
        <v/>
      </c>
    </row>
    <row r="137" customFormat="false" ht="15.75" hidden="false" customHeight="true" outlineLevel="0" collapsed="false">
      <c r="A137" s="80" t="s">
        <v>1338</v>
      </c>
      <c r="B137" s="81"/>
      <c r="C137" s="81"/>
      <c r="D137" s="81"/>
      <c r="E137" s="83"/>
      <c r="F137" s="81"/>
      <c r="G137" s="83"/>
      <c r="H137" s="83"/>
      <c r="I137" s="84" t="str">
        <f aca="false">IF(E137="","",A137&amp;"_1.jpg")</f>
        <v/>
      </c>
      <c r="J137" s="84" t="str">
        <f aca="false">IF(E137="","",A137&amp;"_2.jpg; "&amp;A137&amp;"_3.jpg")</f>
        <v/>
      </c>
      <c r="K137" s="84" t="str">
        <f aca="false">IF(E137="","",A137&amp;"_schema.jpg")</f>
        <v/>
      </c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 t="s">
        <v>96</v>
      </c>
      <c r="W137" s="81"/>
      <c r="X137" s="81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6" t="str">
        <f aca="false">IF(SUM(Y137:AJ137)=0,"",SUM(Y137:AJ137))</f>
        <v/>
      </c>
      <c r="AL137" s="84" t="str">
        <f aca="false">MID(IF(N(Y137)&gt;0,", "&amp;Y$2,"")&amp;IF(N(Z137)&gt;0,", "&amp;Z$2,"")&amp;IF(N(AA137)&gt;0,", "&amp;AA$2,"")&amp;IF(N(AB137)&gt;0,", "&amp;AB$2,"")&amp;IF(N(AC137)&gt;0,", "&amp;AC$2,"")&amp;IF(N(AD137)&gt;0,", "&amp;AD$2,"")&amp;IF(N(AE137)&gt;0,", "&amp;AE$2,"")&amp;IF(N(AF137)&gt;0,", "&amp;AF$2,"")&amp;IF(N(AG137)&gt;0,", "&amp;AG$2,"")&amp;IF(N(AH137)&gt;0,", "&amp;AH$2,"")&amp;IF(N(AI137)&gt;0,", "&amp;AI$2,"")&amp;IF(N(AJ137)&gt;0,", "&amp;AJ$2,""),3,999)</f>
        <v/>
      </c>
      <c r="AM137" s="87" t="str">
        <f aca="false">IF(E137="","",MID(IF(N(Y137)&gt;0,", "&amp;A137&amp;"-"&amp;Y$2,"")&amp;IF(N(Z137)&gt;0,", "&amp;A137&amp;"-"&amp;Z$2,"")&amp;IF(N(AA137)&gt;0,", "&amp;A137&amp;"-"&amp;AA$2,"")&amp;IF(N(AB137)&gt;0,", "&amp;A137&amp;"-"&amp;AB$2,"")&amp;IF(N(AC137)&gt;0,", "&amp;A137&amp;"-"&amp;AC$2,"")&amp;IF(N(AD137)&gt;0,", "&amp;A137&amp;"-"&amp;AD$2,"")&amp;IF(N(AE137)&gt;0,", "&amp;A137&amp;"-"&amp;AE$2,"")&amp;IF(N(AF137)&gt;0,", "&amp;A137&amp;"-"&amp;AF$2,"")&amp;IF(N(AG137)&gt;0,", "&amp;A137&amp;"-"&amp;AG$2,"")&amp;IF(N(AH137)&gt;0,", "&amp;A137&amp;"-"&amp;AH$2,"")&amp;IF(N(AI137)&gt;0,", "&amp;A137&amp;"-"&amp;AI$2,"")&amp;IF(N(AJ137)&gt;0,", "&amp;A137&amp;"-"&amp;AJ$2,""),3,999))</f>
        <v/>
      </c>
      <c r="AN137" s="81"/>
      <c r="AO137" s="88"/>
      <c r="AP137" s="89" t="str">
        <f aca="false">IF(AO137="","",ROUND(AO137/(1+Справочники!$B$13),2))</f>
        <v/>
      </c>
      <c r="AQ137" s="90" t="str">
        <f aca="false" t="array" ref="AQ137:AQ137">IF(AP137="","",AP137*INDEX(Справочники!$B$4:$B$7,MATCH("RUB",Справочники!$A$4:$A$7,0)))</f>
        <v/>
      </c>
      <c r="AR137" s="90" t="str">
        <f aca="false">IF(AQ137="","",ROUND(AQ137*(1+Справочники!$B$12),0))</f>
        <v/>
      </c>
      <c r="AS137" s="90" t="str">
        <f aca="false">IF(AR137="","",ROUND(AR137*(1-Справочники!$B$11),0))</f>
        <v/>
      </c>
      <c r="AT137" s="88"/>
      <c r="AU137" s="90" t="str">
        <f aca="false">IF(AT137="","",ROUND(AT137/(1+Справочники!$B$12),0))</f>
        <v/>
      </c>
      <c r="AV137" s="90" t="str">
        <f aca="false">IF(AT137="","",ROUND(AT137*(1-Справочники!$B$15),0))</f>
        <v/>
      </c>
      <c r="AW137" s="90" t="str">
        <f aca="false">IF(AT137="","",ROUND(AT137*(1-Справочники!$B$16),0))</f>
        <v/>
      </c>
      <c r="AX137" s="90" t="str">
        <f aca="false">IF(AT137="","",ROUND(AT137*(1-Справочники!$B$17),0))</f>
        <v/>
      </c>
      <c r="AY137" s="90" t="str">
        <f aca="false">IF(AT137="","",ROUND(AT137*(1-Справочники!$B$18),0))</f>
        <v/>
      </c>
      <c r="AZ137" s="90" t="str">
        <f aca="false">IF(AT137="","",ROUND(AT137*(1-Справочники!$B$19),0))</f>
        <v/>
      </c>
      <c r="BA137" s="81"/>
      <c r="BB137" s="81"/>
      <c r="BC137" s="81"/>
      <c r="BD137" s="81"/>
      <c r="BE137" s="91"/>
      <c r="BF137" s="81" t="s">
        <v>103</v>
      </c>
      <c r="BG137" s="89" t="n">
        <f aca="false" t="array" ref="BG137:BG137">IF(BF137="","",IFERROR(INDEX(Справочники!$B$4:$B$7,MATCH(BF137,Справочники!$A$4:$A$7,0)),""))</f>
        <v>68.5</v>
      </c>
      <c r="BH137" s="90" t="str">
        <f aca="false">IF(N(BN137)&gt;0,ROUND(SUMIF(ЗАКАЗЫ!$F$3:$F$500,$A137,ЗАКАЗЫ!$Y$3:$Y$500)/BN137,0),IF(OR(BE137="",BG137=""),"",ROUND(BE137*BG137*(1+Справочники!$B$10),0)))</f>
        <v/>
      </c>
      <c r="BI137" s="92" t="str">
        <f aca="false">IF(OR(AU137="",BH137="",AU137=0),"",(AU137-BH137)/AU137)</f>
        <v/>
      </c>
      <c r="BJ137" s="81"/>
      <c r="BK137" s="83"/>
      <c r="BL137" s="43" t="str">
        <f aca="false">IFERROR(INDEX(ЗАКАЗЫ!$N$3:$N$500,MATCH($A137,ЗАКАЗЫ!$F$3:$F$500,0)),"")</f>
        <v/>
      </c>
      <c r="BM137" s="8" t="str">
        <f aca="false">IF(BL137="","",IFERROR(VLOOKUP(BL137,'ТН ВЭД'!$A$4:$C$40,3,0),""))</f>
        <v/>
      </c>
      <c r="BN137" s="7" t="str">
        <f aca="false">IF(COUNTIF(ЗАКАЗЫ!$F$3:$F$500,$A137)=0,"",SUMIF(ЗАКАЗЫ!$F$3:$F$500,$A137,ЗАКАЗЫ!$J$3:$J$500))</f>
        <v/>
      </c>
      <c r="BO137" s="7" t="str">
        <f aca="false">IF(BN137="","",SUMIF(ЗАКАЗЫ!$F$3:$F$500,$A137,ЗАКАЗЫ!$AL$3:$AL$500))</f>
        <v/>
      </c>
      <c r="BP137" s="7" t="str">
        <f aca="false">IF(BN137="","",BN137-BO137)</f>
        <v/>
      </c>
      <c r="BQ137" s="55" t="str">
        <f aca="false">IF(BN137="","",IF(BO137&gt;=BN137,"На складе",IF(BO137&gt;0,"Частично","Ждём")))</f>
        <v/>
      </c>
      <c r="BR137" s="43"/>
      <c r="BS137" s="47" t="str">
        <f aca="false">IF(BN137="","",IF(_xlfn.MAXIFS(ЗАКАЗЫ!$AK$3:$AK$500,ЗАКАЗЫ!$F$3:$F$500,$A137)=0,"",_xlfn.MAXIFS(ЗАКАЗЫ!$AK$3:$AK$500,ЗАКАЗЫ!$F$3:$F$500,$A137)))</f>
        <v/>
      </c>
    </row>
    <row r="138" customFormat="false" ht="15.75" hidden="false" customHeight="true" outlineLevel="0" collapsed="false">
      <c r="A138" s="80" t="s">
        <v>1339</v>
      </c>
      <c r="B138" s="81"/>
      <c r="C138" s="81"/>
      <c r="D138" s="81"/>
      <c r="E138" s="83"/>
      <c r="F138" s="81"/>
      <c r="G138" s="83"/>
      <c r="H138" s="83"/>
      <c r="I138" s="84" t="str">
        <f aca="false">IF(E138="","",A138&amp;"_1.jpg")</f>
        <v/>
      </c>
      <c r="J138" s="84" t="str">
        <f aca="false">IF(E138="","",A138&amp;"_2.jpg; "&amp;A138&amp;"_3.jpg")</f>
        <v/>
      </c>
      <c r="K138" s="84" t="str">
        <f aca="false">IF(E138="","",A138&amp;"_schema.jpg")</f>
        <v/>
      </c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 t="s">
        <v>96</v>
      </c>
      <c r="W138" s="81"/>
      <c r="X138" s="81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6" t="str">
        <f aca="false">IF(SUM(Y138:AJ138)=0,"",SUM(Y138:AJ138))</f>
        <v/>
      </c>
      <c r="AL138" s="84" t="str">
        <f aca="false">MID(IF(N(Y138)&gt;0,", "&amp;Y$2,"")&amp;IF(N(Z138)&gt;0,", "&amp;Z$2,"")&amp;IF(N(AA138)&gt;0,", "&amp;AA$2,"")&amp;IF(N(AB138)&gt;0,", "&amp;AB$2,"")&amp;IF(N(AC138)&gt;0,", "&amp;AC$2,"")&amp;IF(N(AD138)&gt;0,", "&amp;AD$2,"")&amp;IF(N(AE138)&gt;0,", "&amp;AE$2,"")&amp;IF(N(AF138)&gt;0,", "&amp;AF$2,"")&amp;IF(N(AG138)&gt;0,", "&amp;AG$2,"")&amp;IF(N(AH138)&gt;0,", "&amp;AH$2,"")&amp;IF(N(AI138)&gt;0,", "&amp;AI$2,"")&amp;IF(N(AJ138)&gt;0,", "&amp;AJ$2,""),3,999)</f>
        <v/>
      </c>
      <c r="AM138" s="87" t="str">
        <f aca="false">IF(E138="","",MID(IF(N(Y138)&gt;0,", "&amp;A138&amp;"-"&amp;Y$2,"")&amp;IF(N(Z138)&gt;0,", "&amp;A138&amp;"-"&amp;Z$2,"")&amp;IF(N(AA138)&gt;0,", "&amp;A138&amp;"-"&amp;AA$2,"")&amp;IF(N(AB138)&gt;0,", "&amp;A138&amp;"-"&amp;AB$2,"")&amp;IF(N(AC138)&gt;0,", "&amp;A138&amp;"-"&amp;AC$2,"")&amp;IF(N(AD138)&gt;0,", "&amp;A138&amp;"-"&amp;AD$2,"")&amp;IF(N(AE138)&gt;0,", "&amp;A138&amp;"-"&amp;AE$2,"")&amp;IF(N(AF138)&gt;0,", "&amp;A138&amp;"-"&amp;AF$2,"")&amp;IF(N(AG138)&gt;0,", "&amp;A138&amp;"-"&amp;AG$2,"")&amp;IF(N(AH138)&gt;0,", "&amp;A138&amp;"-"&amp;AH$2,"")&amp;IF(N(AI138)&gt;0,", "&amp;A138&amp;"-"&amp;AI$2,"")&amp;IF(N(AJ138)&gt;0,", "&amp;A138&amp;"-"&amp;AJ$2,""),3,999))</f>
        <v/>
      </c>
      <c r="AN138" s="81"/>
      <c r="AO138" s="88"/>
      <c r="AP138" s="89" t="str">
        <f aca="false">IF(AO138="","",ROUND(AO138/(1+Справочники!$B$13),2))</f>
        <v/>
      </c>
      <c r="AQ138" s="90" t="str">
        <f aca="false" t="array" ref="AQ138:AQ138">IF(AP138="","",AP138*INDEX(Справочники!$B$4:$B$7,MATCH("RUB",Справочники!$A$4:$A$7,0)))</f>
        <v/>
      </c>
      <c r="AR138" s="90" t="str">
        <f aca="false">IF(AQ138="","",ROUND(AQ138*(1+Справочники!$B$12),0))</f>
        <v/>
      </c>
      <c r="AS138" s="90" t="str">
        <f aca="false">IF(AR138="","",ROUND(AR138*(1-Справочники!$B$11),0))</f>
        <v/>
      </c>
      <c r="AT138" s="88"/>
      <c r="AU138" s="90" t="str">
        <f aca="false">IF(AT138="","",ROUND(AT138/(1+Справочники!$B$12),0))</f>
        <v/>
      </c>
      <c r="AV138" s="90" t="str">
        <f aca="false">IF(AT138="","",ROUND(AT138*(1-Справочники!$B$15),0))</f>
        <v/>
      </c>
      <c r="AW138" s="90" t="str">
        <f aca="false">IF(AT138="","",ROUND(AT138*(1-Справочники!$B$16),0))</f>
        <v/>
      </c>
      <c r="AX138" s="90" t="str">
        <f aca="false">IF(AT138="","",ROUND(AT138*(1-Справочники!$B$17),0))</f>
        <v/>
      </c>
      <c r="AY138" s="90" t="str">
        <f aca="false">IF(AT138="","",ROUND(AT138*(1-Справочники!$B$18),0))</f>
        <v/>
      </c>
      <c r="AZ138" s="90" t="str">
        <f aca="false">IF(AT138="","",ROUND(AT138*(1-Справочники!$B$19),0))</f>
        <v/>
      </c>
      <c r="BA138" s="81"/>
      <c r="BB138" s="81"/>
      <c r="BC138" s="81"/>
      <c r="BD138" s="81"/>
      <c r="BE138" s="91"/>
      <c r="BF138" s="81" t="s">
        <v>103</v>
      </c>
      <c r="BG138" s="89" t="n">
        <f aca="false" t="array" ref="BG138:BG138">IF(BF138="","",IFERROR(INDEX(Справочники!$B$4:$B$7,MATCH(BF138,Справочники!$A$4:$A$7,0)),""))</f>
        <v>68.5</v>
      </c>
      <c r="BH138" s="90" t="str">
        <f aca="false">IF(N(BN138)&gt;0,ROUND(SUMIF(ЗАКАЗЫ!$F$3:$F$500,$A138,ЗАКАЗЫ!$Y$3:$Y$500)/BN138,0),IF(OR(BE138="",BG138=""),"",ROUND(BE138*BG138*(1+Справочники!$B$10),0)))</f>
        <v/>
      </c>
      <c r="BI138" s="92" t="str">
        <f aca="false">IF(OR(AU138="",BH138="",AU138=0),"",(AU138-BH138)/AU138)</f>
        <v/>
      </c>
      <c r="BJ138" s="81"/>
      <c r="BK138" s="83"/>
      <c r="BL138" s="43" t="str">
        <f aca="false">IFERROR(INDEX(ЗАКАЗЫ!$N$3:$N$500,MATCH($A138,ЗАКАЗЫ!$F$3:$F$500,0)),"")</f>
        <v/>
      </c>
      <c r="BM138" s="8" t="str">
        <f aca="false">IF(BL138="","",IFERROR(VLOOKUP(BL138,'ТН ВЭД'!$A$4:$C$40,3,0),""))</f>
        <v/>
      </c>
      <c r="BN138" s="7" t="str">
        <f aca="false">IF(COUNTIF(ЗАКАЗЫ!$F$3:$F$500,$A138)=0,"",SUMIF(ЗАКАЗЫ!$F$3:$F$500,$A138,ЗАКАЗЫ!$J$3:$J$500))</f>
        <v/>
      </c>
      <c r="BO138" s="7" t="str">
        <f aca="false">IF(BN138="","",SUMIF(ЗАКАЗЫ!$F$3:$F$500,$A138,ЗАКАЗЫ!$AL$3:$AL$500))</f>
        <v/>
      </c>
      <c r="BP138" s="7" t="str">
        <f aca="false">IF(BN138="","",BN138-BO138)</f>
        <v/>
      </c>
      <c r="BQ138" s="55" t="str">
        <f aca="false">IF(BN138="","",IF(BO138&gt;=BN138,"На складе",IF(BO138&gt;0,"Частично","Ждём")))</f>
        <v/>
      </c>
      <c r="BR138" s="43"/>
      <c r="BS138" s="47" t="str">
        <f aca="false">IF(BN138="","",IF(_xlfn.MAXIFS(ЗАКАЗЫ!$AK$3:$AK$500,ЗАКАЗЫ!$F$3:$F$500,$A138)=0,"",_xlfn.MAXIFS(ЗАКАЗЫ!$AK$3:$AK$500,ЗАКАЗЫ!$F$3:$F$500,$A138)))</f>
        <v/>
      </c>
    </row>
    <row r="139" customFormat="false" ht="15.75" hidden="false" customHeight="true" outlineLevel="0" collapsed="false">
      <c r="A139" s="80" t="s">
        <v>1340</v>
      </c>
      <c r="B139" s="81"/>
      <c r="C139" s="81"/>
      <c r="D139" s="81"/>
      <c r="E139" s="83"/>
      <c r="F139" s="81"/>
      <c r="G139" s="83"/>
      <c r="H139" s="83"/>
      <c r="I139" s="84" t="str">
        <f aca="false">IF(E139="","",A139&amp;"_1.jpg")</f>
        <v/>
      </c>
      <c r="J139" s="84" t="str">
        <f aca="false">IF(E139="","",A139&amp;"_2.jpg; "&amp;A139&amp;"_3.jpg")</f>
        <v/>
      </c>
      <c r="K139" s="84" t="str">
        <f aca="false">IF(E139="","",A139&amp;"_schema.jpg")</f>
        <v/>
      </c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 t="s">
        <v>96</v>
      </c>
      <c r="W139" s="81"/>
      <c r="X139" s="81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6" t="str">
        <f aca="false">IF(SUM(Y139:AJ139)=0,"",SUM(Y139:AJ139))</f>
        <v/>
      </c>
      <c r="AL139" s="84" t="str">
        <f aca="false">MID(IF(N(Y139)&gt;0,", "&amp;Y$2,"")&amp;IF(N(Z139)&gt;0,", "&amp;Z$2,"")&amp;IF(N(AA139)&gt;0,", "&amp;AA$2,"")&amp;IF(N(AB139)&gt;0,", "&amp;AB$2,"")&amp;IF(N(AC139)&gt;0,", "&amp;AC$2,"")&amp;IF(N(AD139)&gt;0,", "&amp;AD$2,"")&amp;IF(N(AE139)&gt;0,", "&amp;AE$2,"")&amp;IF(N(AF139)&gt;0,", "&amp;AF$2,"")&amp;IF(N(AG139)&gt;0,", "&amp;AG$2,"")&amp;IF(N(AH139)&gt;0,", "&amp;AH$2,"")&amp;IF(N(AI139)&gt;0,", "&amp;AI$2,"")&amp;IF(N(AJ139)&gt;0,", "&amp;AJ$2,""),3,999)</f>
        <v/>
      </c>
      <c r="AM139" s="87" t="str">
        <f aca="false">IF(E139="","",MID(IF(N(Y139)&gt;0,", "&amp;A139&amp;"-"&amp;Y$2,"")&amp;IF(N(Z139)&gt;0,", "&amp;A139&amp;"-"&amp;Z$2,"")&amp;IF(N(AA139)&gt;0,", "&amp;A139&amp;"-"&amp;AA$2,"")&amp;IF(N(AB139)&gt;0,", "&amp;A139&amp;"-"&amp;AB$2,"")&amp;IF(N(AC139)&gt;0,", "&amp;A139&amp;"-"&amp;AC$2,"")&amp;IF(N(AD139)&gt;0,", "&amp;A139&amp;"-"&amp;AD$2,"")&amp;IF(N(AE139)&gt;0,", "&amp;A139&amp;"-"&amp;AE$2,"")&amp;IF(N(AF139)&gt;0,", "&amp;A139&amp;"-"&amp;AF$2,"")&amp;IF(N(AG139)&gt;0,", "&amp;A139&amp;"-"&amp;AG$2,"")&amp;IF(N(AH139)&gt;0,", "&amp;A139&amp;"-"&amp;AH$2,"")&amp;IF(N(AI139)&gt;0,", "&amp;A139&amp;"-"&amp;AI$2,"")&amp;IF(N(AJ139)&gt;0,", "&amp;A139&amp;"-"&amp;AJ$2,""),3,999))</f>
        <v/>
      </c>
      <c r="AN139" s="81"/>
      <c r="AO139" s="88"/>
      <c r="AP139" s="89" t="str">
        <f aca="false">IF(AO139="","",ROUND(AO139/(1+Справочники!$B$13),2))</f>
        <v/>
      </c>
      <c r="AQ139" s="90" t="str">
        <f aca="false" t="array" ref="AQ139:AQ139">IF(AP139="","",AP139*INDEX(Справочники!$B$4:$B$7,MATCH("RUB",Справочники!$A$4:$A$7,0)))</f>
        <v/>
      </c>
      <c r="AR139" s="90" t="str">
        <f aca="false">IF(AQ139="","",ROUND(AQ139*(1+Справочники!$B$12),0))</f>
        <v/>
      </c>
      <c r="AS139" s="90" t="str">
        <f aca="false">IF(AR139="","",ROUND(AR139*(1-Справочники!$B$11),0))</f>
        <v/>
      </c>
      <c r="AT139" s="88"/>
      <c r="AU139" s="90" t="str">
        <f aca="false">IF(AT139="","",ROUND(AT139/(1+Справочники!$B$12),0))</f>
        <v/>
      </c>
      <c r="AV139" s="90" t="str">
        <f aca="false">IF(AT139="","",ROUND(AT139*(1-Справочники!$B$15),0))</f>
        <v/>
      </c>
      <c r="AW139" s="90" t="str">
        <f aca="false">IF(AT139="","",ROUND(AT139*(1-Справочники!$B$16),0))</f>
        <v/>
      </c>
      <c r="AX139" s="90" t="str">
        <f aca="false">IF(AT139="","",ROUND(AT139*(1-Справочники!$B$17),0))</f>
        <v/>
      </c>
      <c r="AY139" s="90" t="str">
        <f aca="false">IF(AT139="","",ROUND(AT139*(1-Справочники!$B$18),0))</f>
        <v/>
      </c>
      <c r="AZ139" s="90" t="str">
        <f aca="false">IF(AT139="","",ROUND(AT139*(1-Справочники!$B$19),0))</f>
        <v/>
      </c>
      <c r="BA139" s="81"/>
      <c r="BB139" s="81"/>
      <c r="BC139" s="81"/>
      <c r="BD139" s="81"/>
      <c r="BE139" s="91"/>
      <c r="BF139" s="81" t="s">
        <v>103</v>
      </c>
      <c r="BG139" s="89" t="n">
        <f aca="false" t="array" ref="BG139:BG139">IF(BF139="","",IFERROR(INDEX(Справочники!$B$4:$B$7,MATCH(BF139,Справочники!$A$4:$A$7,0)),""))</f>
        <v>68.5</v>
      </c>
      <c r="BH139" s="90" t="str">
        <f aca="false">IF(N(BN139)&gt;0,ROUND(SUMIF(ЗАКАЗЫ!$F$3:$F$500,$A139,ЗАКАЗЫ!$Y$3:$Y$500)/BN139,0),IF(OR(BE139="",BG139=""),"",ROUND(BE139*BG139*(1+Справочники!$B$10),0)))</f>
        <v/>
      </c>
      <c r="BI139" s="92" t="str">
        <f aca="false">IF(OR(AU139="",BH139="",AU139=0),"",(AU139-BH139)/AU139)</f>
        <v/>
      </c>
      <c r="BJ139" s="81"/>
      <c r="BK139" s="83"/>
      <c r="BL139" s="43" t="str">
        <f aca="false">IFERROR(INDEX(ЗАКАЗЫ!$N$3:$N$500,MATCH($A139,ЗАКАЗЫ!$F$3:$F$500,0)),"")</f>
        <v/>
      </c>
      <c r="BM139" s="8" t="str">
        <f aca="false">IF(BL139="","",IFERROR(VLOOKUP(BL139,'ТН ВЭД'!$A$4:$C$40,3,0),""))</f>
        <v/>
      </c>
      <c r="BN139" s="7" t="str">
        <f aca="false">IF(COUNTIF(ЗАКАЗЫ!$F$3:$F$500,$A139)=0,"",SUMIF(ЗАКАЗЫ!$F$3:$F$500,$A139,ЗАКАЗЫ!$J$3:$J$500))</f>
        <v/>
      </c>
      <c r="BO139" s="7" t="str">
        <f aca="false">IF(BN139="","",SUMIF(ЗАКАЗЫ!$F$3:$F$500,$A139,ЗАКАЗЫ!$AL$3:$AL$500))</f>
        <v/>
      </c>
      <c r="BP139" s="7" t="str">
        <f aca="false">IF(BN139="","",BN139-BO139)</f>
        <v/>
      </c>
      <c r="BQ139" s="55" t="str">
        <f aca="false">IF(BN139="","",IF(BO139&gt;=BN139,"На складе",IF(BO139&gt;0,"Частично","Ждём")))</f>
        <v/>
      </c>
      <c r="BR139" s="43"/>
      <c r="BS139" s="47" t="str">
        <f aca="false">IF(BN139="","",IF(_xlfn.MAXIFS(ЗАКАЗЫ!$AK$3:$AK$500,ЗАКАЗЫ!$F$3:$F$500,$A139)=0,"",_xlfn.MAXIFS(ЗАКАЗЫ!$AK$3:$AK$500,ЗАКАЗЫ!$F$3:$F$500,$A139)))</f>
        <v/>
      </c>
    </row>
    <row r="140" customFormat="false" ht="15.75" hidden="false" customHeight="true" outlineLevel="0" collapsed="false">
      <c r="A140" s="80" t="s">
        <v>1341</v>
      </c>
      <c r="B140" s="81"/>
      <c r="C140" s="81"/>
      <c r="D140" s="81"/>
      <c r="E140" s="83"/>
      <c r="F140" s="81"/>
      <c r="G140" s="83"/>
      <c r="H140" s="83"/>
      <c r="I140" s="84" t="str">
        <f aca="false">IF(E140="","",A140&amp;"_1.jpg")</f>
        <v/>
      </c>
      <c r="J140" s="84" t="str">
        <f aca="false">IF(E140="","",A140&amp;"_2.jpg; "&amp;A140&amp;"_3.jpg")</f>
        <v/>
      </c>
      <c r="K140" s="84" t="str">
        <f aca="false">IF(E140="","",A140&amp;"_schema.jpg")</f>
        <v/>
      </c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 t="s">
        <v>96</v>
      </c>
      <c r="W140" s="81"/>
      <c r="X140" s="81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6" t="str">
        <f aca="false">IF(SUM(Y140:AJ140)=0,"",SUM(Y140:AJ140))</f>
        <v/>
      </c>
      <c r="AL140" s="84" t="str">
        <f aca="false">MID(IF(N(Y140)&gt;0,", "&amp;Y$2,"")&amp;IF(N(Z140)&gt;0,", "&amp;Z$2,"")&amp;IF(N(AA140)&gt;0,", "&amp;AA$2,"")&amp;IF(N(AB140)&gt;0,", "&amp;AB$2,"")&amp;IF(N(AC140)&gt;0,", "&amp;AC$2,"")&amp;IF(N(AD140)&gt;0,", "&amp;AD$2,"")&amp;IF(N(AE140)&gt;0,", "&amp;AE$2,"")&amp;IF(N(AF140)&gt;0,", "&amp;AF$2,"")&amp;IF(N(AG140)&gt;0,", "&amp;AG$2,"")&amp;IF(N(AH140)&gt;0,", "&amp;AH$2,"")&amp;IF(N(AI140)&gt;0,", "&amp;AI$2,"")&amp;IF(N(AJ140)&gt;0,", "&amp;AJ$2,""),3,999)</f>
        <v/>
      </c>
      <c r="AM140" s="87" t="str">
        <f aca="false">IF(E140="","",MID(IF(N(Y140)&gt;0,", "&amp;A140&amp;"-"&amp;Y$2,"")&amp;IF(N(Z140)&gt;0,", "&amp;A140&amp;"-"&amp;Z$2,"")&amp;IF(N(AA140)&gt;0,", "&amp;A140&amp;"-"&amp;AA$2,"")&amp;IF(N(AB140)&gt;0,", "&amp;A140&amp;"-"&amp;AB$2,"")&amp;IF(N(AC140)&gt;0,", "&amp;A140&amp;"-"&amp;AC$2,"")&amp;IF(N(AD140)&gt;0,", "&amp;A140&amp;"-"&amp;AD$2,"")&amp;IF(N(AE140)&gt;0,", "&amp;A140&amp;"-"&amp;AE$2,"")&amp;IF(N(AF140)&gt;0,", "&amp;A140&amp;"-"&amp;AF$2,"")&amp;IF(N(AG140)&gt;0,", "&amp;A140&amp;"-"&amp;AG$2,"")&amp;IF(N(AH140)&gt;0,", "&amp;A140&amp;"-"&amp;AH$2,"")&amp;IF(N(AI140)&gt;0,", "&amp;A140&amp;"-"&amp;AI$2,"")&amp;IF(N(AJ140)&gt;0,", "&amp;A140&amp;"-"&amp;AJ$2,""),3,999))</f>
        <v/>
      </c>
      <c r="AN140" s="81"/>
      <c r="AO140" s="88"/>
      <c r="AP140" s="89" t="str">
        <f aca="false">IF(AO140="","",ROUND(AO140/(1+Справочники!$B$13),2))</f>
        <v/>
      </c>
      <c r="AQ140" s="90" t="str">
        <f aca="false" t="array" ref="AQ140:AQ140">IF(AP140="","",AP140*INDEX(Справочники!$B$4:$B$7,MATCH("RUB",Справочники!$A$4:$A$7,0)))</f>
        <v/>
      </c>
      <c r="AR140" s="90" t="str">
        <f aca="false">IF(AQ140="","",ROUND(AQ140*(1+Справочники!$B$12),0))</f>
        <v/>
      </c>
      <c r="AS140" s="90" t="str">
        <f aca="false">IF(AR140="","",ROUND(AR140*(1-Справочники!$B$11),0))</f>
        <v/>
      </c>
      <c r="AT140" s="88"/>
      <c r="AU140" s="90" t="str">
        <f aca="false">IF(AT140="","",ROUND(AT140/(1+Справочники!$B$12),0))</f>
        <v/>
      </c>
      <c r="AV140" s="90" t="str">
        <f aca="false">IF(AT140="","",ROUND(AT140*(1-Справочники!$B$15),0))</f>
        <v/>
      </c>
      <c r="AW140" s="90" t="str">
        <f aca="false">IF(AT140="","",ROUND(AT140*(1-Справочники!$B$16),0))</f>
        <v/>
      </c>
      <c r="AX140" s="90" t="str">
        <f aca="false">IF(AT140="","",ROUND(AT140*(1-Справочники!$B$17),0))</f>
        <v/>
      </c>
      <c r="AY140" s="90" t="str">
        <f aca="false">IF(AT140="","",ROUND(AT140*(1-Справочники!$B$18),0))</f>
        <v/>
      </c>
      <c r="AZ140" s="90" t="str">
        <f aca="false">IF(AT140="","",ROUND(AT140*(1-Справочники!$B$19),0))</f>
        <v/>
      </c>
      <c r="BA140" s="81"/>
      <c r="BB140" s="81"/>
      <c r="BC140" s="81"/>
      <c r="BD140" s="81"/>
      <c r="BE140" s="91"/>
      <c r="BF140" s="81" t="s">
        <v>103</v>
      </c>
      <c r="BG140" s="89" t="n">
        <f aca="false" t="array" ref="BG140:BG140">IF(BF140="","",IFERROR(INDEX(Справочники!$B$4:$B$7,MATCH(BF140,Справочники!$A$4:$A$7,0)),""))</f>
        <v>68.5</v>
      </c>
      <c r="BH140" s="90" t="str">
        <f aca="false">IF(N(BN140)&gt;0,ROUND(SUMIF(ЗАКАЗЫ!$F$3:$F$500,$A140,ЗАКАЗЫ!$Y$3:$Y$500)/BN140,0),IF(OR(BE140="",BG140=""),"",ROUND(BE140*BG140*(1+Справочники!$B$10),0)))</f>
        <v/>
      </c>
      <c r="BI140" s="92" t="str">
        <f aca="false">IF(OR(AU140="",BH140="",AU140=0),"",(AU140-BH140)/AU140)</f>
        <v/>
      </c>
      <c r="BJ140" s="81"/>
      <c r="BK140" s="83"/>
      <c r="BL140" s="43" t="str">
        <f aca="false">IFERROR(INDEX(ЗАКАЗЫ!$N$3:$N$500,MATCH($A140,ЗАКАЗЫ!$F$3:$F$500,0)),"")</f>
        <v/>
      </c>
      <c r="BM140" s="8" t="str">
        <f aca="false">IF(BL140="","",IFERROR(VLOOKUP(BL140,'ТН ВЭД'!$A$4:$C$40,3,0),""))</f>
        <v/>
      </c>
      <c r="BN140" s="7" t="str">
        <f aca="false">IF(COUNTIF(ЗАКАЗЫ!$F$3:$F$500,$A140)=0,"",SUMIF(ЗАКАЗЫ!$F$3:$F$500,$A140,ЗАКАЗЫ!$J$3:$J$500))</f>
        <v/>
      </c>
      <c r="BO140" s="7" t="str">
        <f aca="false">IF(BN140="","",SUMIF(ЗАКАЗЫ!$F$3:$F$500,$A140,ЗАКАЗЫ!$AL$3:$AL$500))</f>
        <v/>
      </c>
      <c r="BP140" s="7" t="str">
        <f aca="false">IF(BN140="","",BN140-BO140)</f>
        <v/>
      </c>
      <c r="BQ140" s="55" t="str">
        <f aca="false">IF(BN140="","",IF(BO140&gt;=BN140,"На складе",IF(BO140&gt;0,"Частично","Ждём")))</f>
        <v/>
      </c>
      <c r="BR140" s="43"/>
      <c r="BS140" s="47" t="str">
        <f aca="false">IF(BN140="","",IF(_xlfn.MAXIFS(ЗАКАЗЫ!$AK$3:$AK$500,ЗАКАЗЫ!$F$3:$F$500,$A140)=0,"",_xlfn.MAXIFS(ЗАКАЗЫ!$AK$3:$AK$500,ЗАКАЗЫ!$F$3:$F$500,$A140)))</f>
        <v/>
      </c>
    </row>
    <row r="141" customFormat="false" ht="15.75" hidden="false" customHeight="true" outlineLevel="0" collapsed="false">
      <c r="A141" s="80" t="s">
        <v>1342</v>
      </c>
      <c r="B141" s="81"/>
      <c r="C141" s="81"/>
      <c r="D141" s="81"/>
      <c r="E141" s="83"/>
      <c r="F141" s="81"/>
      <c r="G141" s="83"/>
      <c r="H141" s="83"/>
      <c r="I141" s="84" t="str">
        <f aca="false">IF(E141="","",A141&amp;"_1.jpg")</f>
        <v/>
      </c>
      <c r="J141" s="84" t="str">
        <f aca="false">IF(E141="","",A141&amp;"_2.jpg; "&amp;A141&amp;"_3.jpg")</f>
        <v/>
      </c>
      <c r="K141" s="84" t="str">
        <f aca="false">IF(E141="","",A141&amp;"_schema.jpg")</f>
        <v/>
      </c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 t="s">
        <v>96</v>
      </c>
      <c r="W141" s="81"/>
      <c r="X141" s="81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6" t="str">
        <f aca="false">IF(SUM(Y141:AJ141)=0,"",SUM(Y141:AJ141))</f>
        <v/>
      </c>
      <c r="AL141" s="84" t="str">
        <f aca="false">MID(IF(N(Y141)&gt;0,", "&amp;Y$2,"")&amp;IF(N(Z141)&gt;0,", "&amp;Z$2,"")&amp;IF(N(AA141)&gt;0,", "&amp;AA$2,"")&amp;IF(N(AB141)&gt;0,", "&amp;AB$2,"")&amp;IF(N(AC141)&gt;0,", "&amp;AC$2,"")&amp;IF(N(AD141)&gt;0,", "&amp;AD$2,"")&amp;IF(N(AE141)&gt;0,", "&amp;AE$2,"")&amp;IF(N(AF141)&gt;0,", "&amp;AF$2,"")&amp;IF(N(AG141)&gt;0,", "&amp;AG$2,"")&amp;IF(N(AH141)&gt;0,", "&amp;AH$2,"")&amp;IF(N(AI141)&gt;0,", "&amp;AI$2,"")&amp;IF(N(AJ141)&gt;0,", "&amp;AJ$2,""),3,999)</f>
        <v/>
      </c>
      <c r="AM141" s="87" t="str">
        <f aca="false">IF(E141="","",MID(IF(N(Y141)&gt;0,", "&amp;A141&amp;"-"&amp;Y$2,"")&amp;IF(N(Z141)&gt;0,", "&amp;A141&amp;"-"&amp;Z$2,"")&amp;IF(N(AA141)&gt;0,", "&amp;A141&amp;"-"&amp;AA$2,"")&amp;IF(N(AB141)&gt;0,", "&amp;A141&amp;"-"&amp;AB$2,"")&amp;IF(N(AC141)&gt;0,", "&amp;A141&amp;"-"&amp;AC$2,"")&amp;IF(N(AD141)&gt;0,", "&amp;A141&amp;"-"&amp;AD$2,"")&amp;IF(N(AE141)&gt;0,", "&amp;A141&amp;"-"&amp;AE$2,"")&amp;IF(N(AF141)&gt;0,", "&amp;A141&amp;"-"&amp;AF$2,"")&amp;IF(N(AG141)&gt;0,", "&amp;A141&amp;"-"&amp;AG$2,"")&amp;IF(N(AH141)&gt;0,", "&amp;A141&amp;"-"&amp;AH$2,"")&amp;IF(N(AI141)&gt;0,", "&amp;A141&amp;"-"&amp;AI$2,"")&amp;IF(N(AJ141)&gt;0,", "&amp;A141&amp;"-"&amp;AJ$2,""),3,999))</f>
        <v/>
      </c>
      <c r="AN141" s="81"/>
      <c r="AO141" s="88"/>
      <c r="AP141" s="89" t="str">
        <f aca="false">IF(AO141="","",ROUND(AO141/(1+Справочники!$B$13),2))</f>
        <v/>
      </c>
      <c r="AQ141" s="90" t="str">
        <f aca="false" t="array" ref="AQ141:AQ141">IF(AP141="","",AP141*INDEX(Справочники!$B$4:$B$7,MATCH("RUB",Справочники!$A$4:$A$7,0)))</f>
        <v/>
      </c>
      <c r="AR141" s="90" t="str">
        <f aca="false">IF(AQ141="","",ROUND(AQ141*(1+Справочники!$B$12),0))</f>
        <v/>
      </c>
      <c r="AS141" s="90" t="str">
        <f aca="false">IF(AR141="","",ROUND(AR141*(1-Справочники!$B$11),0))</f>
        <v/>
      </c>
      <c r="AT141" s="88"/>
      <c r="AU141" s="90" t="str">
        <f aca="false">IF(AT141="","",ROUND(AT141/(1+Справочники!$B$12),0))</f>
        <v/>
      </c>
      <c r="AV141" s="90" t="str">
        <f aca="false">IF(AT141="","",ROUND(AT141*(1-Справочники!$B$15),0))</f>
        <v/>
      </c>
      <c r="AW141" s="90" t="str">
        <f aca="false">IF(AT141="","",ROUND(AT141*(1-Справочники!$B$16),0))</f>
        <v/>
      </c>
      <c r="AX141" s="90" t="str">
        <f aca="false">IF(AT141="","",ROUND(AT141*(1-Справочники!$B$17),0))</f>
        <v/>
      </c>
      <c r="AY141" s="90" t="str">
        <f aca="false">IF(AT141="","",ROUND(AT141*(1-Справочники!$B$18),0))</f>
        <v/>
      </c>
      <c r="AZ141" s="90" t="str">
        <f aca="false">IF(AT141="","",ROUND(AT141*(1-Справочники!$B$19),0))</f>
        <v/>
      </c>
      <c r="BA141" s="81"/>
      <c r="BB141" s="81"/>
      <c r="BC141" s="81"/>
      <c r="BD141" s="81"/>
      <c r="BE141" s="91"/>
      <c r="BF141" s="81" t="s">
        <v>103</v>
      </c>
      <c r="BG141" s="89" t="n">
        <f aca="false" t="array" ref="BG141:BG141">IF(BF141="","",IFERROR(INDEX(Справочники!$B$4:$B$7,MATCH(BF141,Справочники!$A$4:$A$7,0)),""))</f>
        <v>68.5</v>
      </c>
      <c r="BH141" s="90" t="str">
        <f aca="false">IF(N(BN141)&gt;0,ROUND(SUMIF(ЗАКАЗЫ!$F$3:$F$500,$A141,ЗАКАЗЫ!$Y$3:$Y$500)/BN141,0),IF(OR(BE141="",BG141=""),"",ROUND(BE141*BG141*(1+Справочники!$B$10),0)))</f>
        <v/>
      </c>
      <c r="BI141" s="92" t="str">
        <f aca="false">IF(OR(AU141="",BH141="",AU141=0),"",(AU141-BH141)/AU141)</f>
        <v/>
      </c>
      <c r="BJ141" s="81"/>
      <c r="BK141" s="83"/>
      <c r="BL141" s="43" t="str">
        <f aca="false">IFERROR(INDEX(ЗАКАЗЫ!$N$3:$N$500,MATCH($A141,ЗАКАЗЫ!$F$3:$F$500,0)),"")</f>
        <v/>
      </c>
      <c r="BM141" s="8" t="str">
        <f aca="false">IF(BL141="","",IFERROR(VLOOKUP(BL141,'ТН ВЭД'!$A$4:$C$40,3,0),""))</f>
        <v/>
      </c>
      <c r="BN141" s="7" t="str">
        <f aca="false">IF(COUNTIF(ЗАКАЗЫ!$F$3:$F$500,$A141)=0,"",SUMIF(ЗАКАЗЫ!$F$3:$F$500,$A141,ЗАКАЗЫ!$J$3:$J$500))</f>
        <v/>
      </c>
      <c r="BO141" s="7" t="str">
        <f aca="false">IF(BN141="","",SUMIF(ЗАКАЗЫ!$F$3:$F$500,$A141,ЗАКАЗЫ!$AL$3:$AL$500))</f>
        <v/>
      </c>
      <c r="BP141" s="7" t="str">
        <f aca="false">IF(BN141="","",BN141-BO141)</f>
        <v/>
      </c>
      <c r="BQ141" s="55" t="str">
        <f aca="false">IF(BN141="","",IF(BO141&gt;=BN141,"На складе",IF(BO141&gt;0,"Частично","Ждём")))</f>
        <v/>
      </c>
      <c r="BR141" s="43"/>
      <c r="BS141" s="47" t="str">
        <f aca="false">IF(BN141="","",IF(_xlfn.MAXIFS(ЗАКАЗЫ!$AK$3:$AK$500,ЗАКАЗЫ!$F$3:$F$500,$A141)=0,"",_xlfn.MAXIFS(ЗАКАЗЫ!$AK$3:$AK$500,ЗАКАЗЫ!$F$3:$F$500,$A141)))</f>
        <v/>
      </c>
    </row>
    <row r="142" customFormat="false" ht="15.75" hidden="false" customHeight="true" outlineLevel="0" collapsed="false">
      <c r="A142" s="80" t="s">
        <v>1343</v>
      </c>
      <c r="B142" s="81"/>
      <c r="C142" s="81"/>
      <c r="D142" s="81"/>
      <c r="E142" s="83"/>
      <c r="F142" s="81"/>
      <c r="G142" s="83"/>
      <c r="H142" s="83"/>
      <c r="I142" s="84" t="str">
        <f aca="false">IF(E142="","",A142&amp;"_1.jpg")</f>
        <v/>
      </c>
      <c r="J142" s="84" t="str">
        <f aca="false">IF(E142="","",A142&amp;"_2.jpg; "&amp;A142&amp;"_3.jpg")</f>
        <v/>
      </c>
      <c r="K142" s="84" t="str">
        <f aca="false">IF(E142="","",A142&amp;"_schema.jpg")</f>
        <v/>
      </c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 t="s">
        <v>96</v>
      </c>
      <c r="W142" s="81"/>
      <c r="X142" s="81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6" t="str">
        <f aca="false">IF(SUM(Y142:AJ142)=0,"",SUM(Y142:AJ142))</f>
        <v/>
      </c>
      <c r="AL142" s="84" t="str">
        <f aca="false">MID(IF(N(Y142)&gt;0,", "&amp;Y$2,"")&amp;IF(N(Z142)&gt;0,", "&amp;Z$2,"")&amp;IF(N(AA142)&gt;0,", "&amp;AA$2,"")&amp;IF(N(AB142)&gt;0,", "&amp;AB$2,"")&amp;IF(N(AC142)&gt;0,", "&amp;AC$2,"")&amp;IF(N(AD142)&gt;0,", "&amp;AD$2,"")&amp;IF(N(AE142)&gt;0,", "&amp;AE$2,"")&amp;IF(N(AF142)&gt;0,", "&amp;AF$2,"")&amp;IF(N(AG142)&gt;0,", "&amp;AG$2,"")&amp;IF(N(AH142)&gt;0,", "&amp;AH$2,"")&amp;IF(N(AI142)&gt;0,", "&amp;AI$2,"")&amp;IF(N(AJ142)&gt;0,", "&amp;AJ$2,""),3,999)</f>
        <v/>
      </c>
      <c r="AM142" s="87" t="str">
        <f aca="false">IF(E142="","",MID(IF(N(Y142)&gt;0,", "&amp;A142&amp;"-"&amp;Y$2,"")&amp;IF(N(Z142)&gt;0,", "&amp;A142&amp;"-"&amp;Z$2,"")&amp;IF(N(AA142)&gt;0,", "&amp;A142&amp;"-"&amp;AA$2,"")&amp;IF(N(AB142)&gt;0,", "&amp;A142&amp;"-"&amp;AB$2,"")&amp;IF(N(AC142)&gt;0,", "&amp;A142&amp;"-"&amp;AC$2,"")&amp;IF(N(AD142)&gt;0,", "&amp;A142&amp;"-"&amp;AD$2,"")&amp;IF(N(AE142)&gt;0,", "&amp;A142&amp;"-"&amp;AE$2,"")&amp;IF(N(AF142)&gt;0,", "&amp;A142&amp;"-"&amp;AF$2,"")&amp;IF(N(AG142)&gt;0,", "&amp;A142&amp;"-"&amp;AG$2,"")&amp;IF(N(AH142)&gt;0,", "&amp;A142&amp;"-"&amp;AH$2,"")&amp;IF(N(AI142)&gt;0,", "&amp;A142&amp;"-"&amp;AI$2,"")&amp;IF(N(AJ142)&gt;0,", "&amp;A142&amp;"-"&amp;AJ$2,""),3,999))</f>
        <v/>
      </c>
      <c r="AN142" s="81"/>
      <c r="AO142" s="88"/>
      <c r="AP142" s="89" t="str">
        <f aca="false">IF(AO142="","",ROUND(AO142/(1+Справочники!$B$13),2))</f>
        <v/>
      </c>
      <c r="AQ142" s="90" t="str">
        <f aca="false" t="array" ref="AQ142:AQ142">IF(AP142="","",AP142*INDEX(Справочники!$B$4:$B$7,MATCH("RUB",Справочники!$A$4:$A$7,0)))</f>
        <v/>
      </c>
      <c r="AR142" s="90" t="str">
        <f aca="false">IF(AQ142="","",ROUND(AQ142*(1+Справочники!$B$12),0))</f>
        <v/>
      </c>
      <c r="AS142" s="90" t="str">
        <f aca="false">IF(AR142="","",ROUND(AR142*(1-Справочники!$B$11),0))</f>
        <v/>
      </c>
      <c r="AT142" s="88"/>
      <c r="AU142" s="90" t="str">
        <f aca="false">IF(AT142="","",ROUND(AT142/(1+Справочники!$B$12),0))</f>
        <v/>
      </c>
      <c r="AV142" s="90" t="str">
        <f aca="false">IF(AT142="","",ROUND(AT142*(1-Справочники!$B$15),0))</f>
        <v/>
      </c>
      <c r="AW142" s="90" t="str">
        <f aca="false">IF(AT142="","",ROUND(AT142*(1-Справочники!$B$16),0))</f>
        <v/>
      </c>
      <c r="AX142" s="90" t="str">
        <f aca="false">IF(AT142="","",ROUND(AT142*(1-Справочники!$B$17),0))</f>
        <v/>
      </c>
      <c r="AY142" s="90" t="str">
        <f aca="false">IF(AT142="","",ROUND(AT142*(1-Справочники!$B$18),0))</f>
        <v/>
      </c>
      <c r="AZ142" s="90" t="str">
        <f aca="false">IF(AT142="","",ROUND(AT142*(1-Справочники!$B$19),0))</f>
        <v/>
      </c>
      <c r="BA142" s="81"/>
      <c r="BB142" s="81"/>
      <c r="BC142" s="81"/>
      <c r="BD142" s="81"/>
      <c r="BE142" s="91"/>
      <c r="BF142" s="81" t="s">
        <v>103</v>
      </c>
      <c r="BG142" s="89" t="n">
        <f aca="false" t="array" ref="BG142:BG142">IF(BF142="","",IFERROR(INDEX(Справочники!$B$4:$B$7,MATCH(BF142,Справочники!$A$4:$A$7,0)),""))</f>
        <v>68.5</v>
      </c>
      <c r="BH142" s="90" t="str">
        <f aca="false">IF(N(BN142)&gt;0,ROUND(SUMIF(ЗАКАЗЫ!$F$3:$F$500,$A142,ЗАКАЗЫ!$Y$3:$Y$500)/BN142,0),IF(OR(BE142="",BG142=""),"",ROUND(BE142*BG142*(1+Справочники!$B$10),0)))</f>
        <v/>
      </c>
      <c r="BI142" s="92" t="str">
        <f aca="false">IF(OR(AU142="",BH142="",AU142=0),"",(AU142-BH142)/AU142)</f>
        <v/>
      </c>
      <c r="BJ142" s="81"/>
      <c r="BK142" s="83"/>
      <c r="BL142" s="43" t="str">
        <f aca="false">IFERROR(INDEX(ЗАКАЗЫ!$N$3:$N$500,MATCH($A142,ЗАКАЗЫ!$F$3:$F$500,0)),"")</f>
        <v/>
      </c>
      <c r="BM142" s="8" t="str">
        <f aca="false">IF(BL142="","",IFERROR(VLOOKUP(BL142,'ТН ВЭД'!$A$4:$C$40,3,0),""))</f>
        <v/>
      </c>
      <c r="BN142" s="7" t="str">
        <f aca="false">IF(COUNTIF(ЗАКАЗЫ!$F$3:$F$500,$A142)=0,"",SUMIF(ЗАКАЗЫ!$F$3:$F$500,$A142,ЗАКАЗЫ!$J$3:$J$500))</f>
        <v/>
      </c>
      <c r="BO142" s="7" t="str">
        <f aca="false">IF(BN142="","",SUMIF(ЗАКАЗЫ!$F$3:$F$500,$A142,ЗАКАЗЫ!$AL$3:$AL$500))</f>
        <v/>
      </c>
      <c r="BP142" s="7" t="str">
        <f aca="false">IF(BN142="","",BN142-BO142)</f>
        <v/>
      </c>
      <c r="BQ142" s="55" t="str">
        <f aca="false">IF(BN142="","",IF(BO142&gt;=BN142,"На складе",IF(BO142&gt;0,"Частично","Ждём")))</f>
        <v/>
      </c>
      <c r="BR142" s="43"/>
      <c r="BS142" s="47" t="str">
        <f aca="false">IF(BN142="","",IF(_xlfn.MAXIFS(ЗАКАЗЫ!$AK$3:$AK$500,ЗАКАЗЫ!$F$3:$F$500,$A142)=0,"",_xlfn.MAXIFS(ЗАКАЗЫ!$AK$3:$AK$500,ЗАКАЗЫ!$F$3:$F$500,$A142)))</f>
        <v/>
      </c>
    </row>
    <row r="143" customFormat="false" ht="15.75" hidden="false" customHeight="true" outlineLevel="0" collapsed="false">
      <c r="A143" s="80" t="s">
        <v>1344</v>
      </c>
      <c r="B143" s="81"/>
      <c r="C143" s="81"/>
      <c r="D143" s="81"/>
      <c r="E143" s="83"/>
      <c r="F143" s="81"/>
      <c r="G143" s="83"/>
      <c r="H143" s="83"/>
      <c r="I143" s="84" t="str">
        <f aca="false">IF(E143="","",A143&amp;"_1.jpg")</f>
        <v/>
      </c>
      <c r="J143" s="84" t="str">
        <f aca="false">IF(E143="","",A143&amp;"_2.jpg; "&amp;A143&amp;"_3.jpg")</f>
        <v/>
      </c>
      <c r="K143" s="84" t="str">
        <f aca="false">IF(E143="","",A143&amp;"_schema.jpg")</f>
        <v/>
      </c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 t="s">
        <v>96</v>
      </c>
      <c r="W143" s="81"/>
      <c r="X143" s="81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6" t="str">
        <f aca="false">IF(SUM(Y143:AJ143)=0,"",SUM(Y143:AJ143))</f>
        <v/>
      </c>
      <c r="AL143" s="84" t="str">
        <f aca="false">MID(IF(N(Y143)&gt;0,", "&amp;Y$2,"")&amp;IF(N(Z143)&gt;0,", "&amp;Z$2,"")&amp;IF(N(AA143)&gt;0,", "&amp;AA$2,"")&amp;IF(N(AB143)&gt;0,", "&amp;AB$2,"")&amp;IF(N(AC143)&gt;0,", "&amp;AC$2,"")&amp;IF(N(AD143)&gt;0,", "&amp;AD$2,"")&amp;IF(N(AE143)&gt;0,", "&amp;AE$2,"")&amp;IF(N(AF143)&gt;0,", "&amp;AF$2,"")&amp;IF(N(AG143)&gt;0,", "&amp;AG$2,"")&amp;IF(N(AH143)&gt;0,", "&amp;AH$2,"")&amp;IF(N(AI143)&gt;0,", "&amp;AI$2,"")&amp;IF(N(AJ143)&gt;0,", "&amp;AJ$2,""),3,999)</f>
        <v/>
      </c>
      <c r="AM143" s="87" t="str">
        <f aca="false">IF(E143="","",MID(IF(N(Y143)&gt;0,", "&amp;A143&amp;"-"&amp;Y$2,"")&amp;IF(N(Z143)&gt;0,", "&amp;A143&amp;"-"&amp;Z$2,"")&amp;IF(N(AA143)&gt;0,", "&amp;A143&amp;"-"&amp;AA$2,"")&amp;IF(N(AB143)&gt;0,", "&amp;A143&amp;"-"&amp;AB$2,"")&amp;IF(N(AC143)&gt;0,", "&amp;A143&amp;"-"&amp;AC$2,"")&amp;IF(N(AD143)&gt;0,", "&amp;A143&amp;"-"&amp;AD$2,"")&amp;IF(N(AE143)&gt;0,", "&amp;A143&amp;"-"&amp;AE$2,"")&amp;IF(N(AF143)&gt;0,", "&amp;A143&amp;"-"&amp;AF$2,"")&amp;IF(N(AG143)&gt;0,", "&amp;A143&amp;"-"&amp;AG$2,"")&amp;IF(N(AH143)&gt;0,", "&amp;A143&amp;"-"&amp;AH$2,"")&amp;IF(N(AI143)&gt;0,", "&amp;A143&amp;"-"&amp;AI$2,"")&amp;IF(N(AJ143)&gt;0,", "&amp;A143&amp;"-"&amp;AJ$2,""),3,999))</f>
        <v/>
      </c>
      <c r="AN143" s="81"/>
      <c r="AO143" s="88"/>
      <c r="AP143" s="89" t="str">
        <f aca="false">IF(AO143="","",ROUND(AO143/(1+Справочники!$B$13),2))</f>
        <v/>
      </c>
      <c r="AQ143" s="90" t="str">
        <f aca="false" t="array" ref="AQ143:AQ143">IF(AP143="","",AP143*INDEX(Справочники!$B$4:$B$7,MATCH("RUB",Справочники!$A$4:$A$7,0)))</f>
        <v/>
      </c>
      <c r="AR143" s="90" t="str">
        <f aca="false">IF(AQ143="","",ROUND(AQ143*(1+Справочники!$B$12),0))</f>
        <v/>
      </c>
      <c r="AS143" s="90" t="str">
        <f aca="false">IF(AR143="","",ROUND(AR143*(1-Справочники!$B$11),0))</f>
        <v/>
      </c>
      <c r="AT143" s="88"/>
      <c r="AU143" s="90" t="str">
        <f aca="false">IF(AT143="","",ROUND(AT143/(1+Справочники!$B$12),0))</f>
        <v/>
      </c>
      <c r="AV143" s="90" t="str">
        <f aca="false">IF(AT143="","",ROUND(AT143*(1-Справочники!$B$15),0))</f>
        <v/>
      </c>
      <c r="AW143" s="90" t="str">
        <f aca="false">IF(AT143="","",ROUND(AT143*(1-Справочники!$B$16),0))</f>
        <v/>
      </c>
      <c r="AX143" s="90" t="str">
        <f aca="false">IF(AT143="","",ROUND(AT143*(1-Справочники!$B$17),0))</f>
        <v/>
      </c>
      <c r="AY143" s="90" t="str">
        <f aca="false">IF(AT143="","",ROUND(AT143*(1-Справочники!$B$18),0))</f>
        <v/>
      </c>
      <c r="AZ143" s="90" t="str">
        <f aca="false">IF(AT143="","",ROUND(AT143*(1-Справочники!$B$19),0))</f>
        <v/>
      </c>
      <c r="BA143" s="81"/>
      <c r="BB143" s="81"/>
      <c r="BC143" s="81"/>
      <c r="BD143" s="81"/>
      <c r="BE143" s="91"/>
      <c r="BF143" s="81" t="s">
        <v>103</v>
      </c>
      <c r="BG143" s="89" t="n">
        <f aca="false" t="array" ref="BG143:BG143">IF(BF143="","",IFERROR(INDEX(Справочники!$B$4:$B$7,MATCH(BF143,Справочники!$A$4:$A$7,0)),""))</f>
        <v>68.5</v>
      </c>
      <c r="BH143" s="90" t="str">
        <f aca="false">IF(N(BN143)&gt;0,ROUND(SUMIF(ЗАКАЗЫ!$F$3:$F$500,$A143,ЗАКАЗЫ!$Y$3:$Y$500)/BN143,0),IF(OR(BE143="",BG143=""),"",ROUND(BE143*BG143*(1+Справочники!$B$10),0)))</f>
        <v/>
      </c>
      <c r="BI143" s="92" t="str">
        <f aca="false">IF(OR(AU143="",BH143="",AU143=0),"",(AU143-BH143)/AU143)</f>
        <v/>
      </c>
      <c r="BJ143" s="81"/>
      <c r="BK143" s="83"/>
      <c r="BL143" s="43" t="str">
        <f aca="false">IFERROR(INDEX(ЗАКАЗЫ!$N$3:$N$500,MATCH($A143,ЗАКАЗЫ!$F$3:$F$500,0)),"")</f>
        <v/>
      </c>
      <c r="BM143" s="8" t="str">
        <f aca="false">IF(BL143="","",IFERROR(VLOOKUP(BL143,'ТН ВЭД'!$A$4:$C$40,3,0),""))</f>
        <v/>
      </c>
      <c r="BN143" s="7" t="str">
        <f aca="false">IF(COUNTIF(ЗАКАЗЫ!$F$3:$F$500,$A143)=0,"",SUMIF(ЗАКАЗЫ!$F$3:$F$500,$A143,ЗАКАЗЫ!$J$3:$J$500))</f>
        <v/>
      </c>
      <c r="BO143" s="7" t="str">
        <f aca="false">IF(BN143="","",SUMIF(ЗАКАЗЫ!$F$3:$F$500,$A143,ЗАКАЗЫ!$AL$3:$AL$500))</f>
        <v/>
      </c>
      <c r="BP143" s="7" t="str">
        <f aca="false">IF(BN143="","",BN143-BO143)</f>
        <v/>
      </c>
      <c r="BQ143" s="55" t="str">
        <f aca="false">IF(BN143="","",IF(BO143&gt;=BN143,"На складе",IF(BO143&gt;0,"Частично","Ждём")))</f>
        <v/>
      </c>
      <c r="BR143" s="43"/>
      <c r="BS143" s="47" t="str">
        <f aca="false">IF(BN143="","",IF(_xlfn.MAXIFS(ЗАКАЗЫ!$AK$3:$AK$500,ЗАКАЗЫ!$F$3:$F$500,$A143)=0,"",_xlfn.MAXIFS(ЗАКАЗЫ!$AK$3:$AK$500,ЗАКАЗЫ!$F$3:$F$500,$A143)))</f>
        <v/>
      </c>
    </row>
    <row r="144" customFormat="false" ht="15.75" hidden="false" customHeight="true" outlineLevel="0" collapsed="false">
      <c r="A144" s="80" t="s">
        <v>1345</v>
      </c>
      <c r="B144" s="81"/>
      <c r="C144" s="81"/>
      <c r="D144" s="81"/>
      <c r="E144" s="83"/>
      <c r="F144" s="81"/>
      <c r="G144" s="83"/>
      <c r="H144" s="83"/>
      <c r="I144" s="84" t="str">
        <f aca="false">IF(E144="","",A144&amp;"_1.jpg")</f>
        <v/>
      </c>
      <c r="J144" s="84" t="str">
        <f aca="false">IF(E144="","",A144&amp;"_2.jpg; "&amp;A144&amp;"_3.jpg")</f>
        <v/>
      </c>
      <c r="K144" s="84" t="str">
        <f aca="false">IF(E144="","",A144&amp;"_schema.jpg")</f>
        <v/>
      </c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 t="s">
        <v>96</v>
      </c>
      <c r="W144" s="81"/>
      <c r="X144" s="81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6" t="str">
        <f aca="false">IF(SUM(Y144:AJ144)=0,"",SUM(Y144:AJ144))</f>
        <v/>
      </c>
      <c r="AL144" s="84" t="str">
        <f aca="false">MID(IF(N(Y144)&gt;0,", "&amp;Y$2,"")&amp;IF(N(Z144)&gt;0,", "&amp;Z$2,"")&amp;IF(N(AA144)&gt;0,", "&amp;AA$2,"")&amp;IF(N(AB144)&gt;0,", "&amp;AB$2,"")&amp;IF(N(AC144)&gt;0,", "&amp;AC$2,"")&amp;IF(N(AD144)&gt;0,", "&amp;AD$2,"")&amp;IF(N(AE144)&gt;0,", "&amp;AE$2,"")&amp;IF(N(AF144)&gt;0,", "&amp;AF$2,"")&amp;IF(N(AG144)&gt;0,", "&amp;AG$2,"")&amp;IF(N(AH144)&gt;0,", "&amp;AH$2,"")&amp;IF(N(AI144)&gt;0,", "&amp;AI$2,"")&amp;IF(N(AJ144)&gt;0,", "&amp;AJ$2,""),3,999)</f>
        <v/>
      </c>
      <c r="AM144" s="87" t="str">
        <f aca="false">IF(E144="","",MID(IF(N(Y144)&gt;0,", "&amp;A144&amp;"-"&amp;Y$2,"")&amp;IF(N(Z144)&gt;0,", "&amp;A144&amp;"-"&amp;Z$2,"")&amp;IF(N(AA144)&gt;0,", "&amp;A144&amp;"-"&amp;AA$2,"")&amp;IF(N(AB144)&gt;0,", "&amp;A144&amp;"-"&amp;AB$2,"")&amp;IF(N(AC144)&gt;0,", "&amp;A144&amp;"-"&amp;AC$2,"")&amp;IF(N(AD144)&gt;0,", "&amp;A144&amp;"-"&amp;AD$2,"")&amp;IF(N(AE144)&gt;0,", "&amp;A144&amp;"-"&amp;AE$2,"")&amp;IF(N(AF144)&gt;0,", "&amp;A144&amp;"-"&amp;AF$2,"")&amp;IF(N(AG144)&gt;0,", "&amp;A144&amp;"-"&amp;AG$2,"")&amp;IF(N(AH144)&gt;0,", "&amp;A144&amp;"-"&amp;AH$2,"")&amp;IF(N(AI144)&gt;0,", "&amp;A144&amp;"-"&amp;AI$2,"")&amp;IF(N(AJ144)&gt;0,", "&amp;A144&amp;"-"&amp;AJ$2,""),3,999))</f>
        <v/>
      </c>
      <c r="AN144" s="81"/>
      <c r="AO144" s="88"/>
      <c r="AP144" s="89" t="str">
        <f aca="false">IF(AO144="","",ROUND(AO144/(1+Справочники!$B$13),2))</f>
        <v/>
      </c>
      <c r="AQ144" s="90" t="str">
        <f aca="false" t="array" ref="AQ144:AQ144">IF(AP144="","",AP144*INDEX(Справочники!$B$4:$B$7,MATCH("RUB",Справочники!$A$4:$A$7,0)))</f>
        <v/>
      </c>
      <c r="AR144" s="90" t="str">
        <f aca="false">IF(AQ144="","",ROUND(AQ144*(1+Справочники!$B$12),0))</f>
        <v/>
      </c>
      <c r="AS144" s="90" t="str">
        <f aca="false">IF(AR144="","",ROUND(AR144*(1-Справочники!$B$11),0))</f>
        <v/>
      </c>
      <c r="AT144" s="88"/>
      <c r="AU144" s="90" t="str">
        <f aca="false">IF(AT144="","",ROUND(AT144/(1+Справочники!$B$12),0))</f>
        <v/>
      </c>
      <c r="AV144" s="90" t="str">
        <f aca="false">IF(AT144="","",ROUND(AT144*(1-Справочники!$B$15),0))</f>
        <v/>
      </c>
      <c r="AW144" s="90" t="str">
        <f aca="false">IF(AT144="","",ROUND(AT144*(1-Справочники!$B$16),0))</f>
        <v/>
      </c>
      <c r="AX144" s="90" t="str">
        <f aca="false">IF(AT144="","",ROUND(AT144*(1-Справочники!$B$17),0))</f>
        <v/>
      </c>
      <c r="AY144" s="90" t="str">
        <f aca="false">IF(AT144="","",ROUND(AT144*(1-Справочники!$B$18),0))</f>
        <v/>
      </c>
      <c r="AZ144" s="90" t="str">
        <f aca="false">IF(AT144="","",ROUND(AT144*(1-Справочники!$B$19),0))</f>
        <v/>
      </c>
      <c r="BA144" s="81"/>
      <c r="BB144" s="81"/>
      <c r="BC144" s="81"/>
      <c r="BD144" s="81"/>
      <c r="BE144" s="91"/>
      <c r="BF144" s="81" t="s">
        <v>103</v>
      </c>
      <c r="BG144" s="89" t="n">
        <f aca="false" t="array" ref="BG144:BG144">IF(BF144="","",IFERROR(INDEX(Справочники!$B$4:$B$7,MATCH(BF144,Справочники!$A$4:$A$7,0)),""))</f>
        <v>68.5</v>
      </c>
      <c r="BH144" s="90" t="str">
        <f aca="false">IF(N(BN144)&gt;0,ROUND(SUMIF(ЗАКАЗЫ!$F$3:$F$500,$A144,ЗАКАЗЫ!$Y$3:$Y$500)/BN144,0),IF(OR(BE144="",BG144=""),"",ROUND(BE144*BG144*(1+Справочники!$B$10),0)))</f>
        <v/>
      </c>
      <c r="BI144" s="92" t="str">
        <f aca="false">IF(OR(AU144="",BH144="",AU144=0),"",(AU144-BH144)/AU144)</f>
        <v/>
      </c>
      <c r="BJ144" s="81"/>
      <c r="BK144" s="83"/>
      <c r="BL144" s="43" t="str">
        <f aca="false">IFERROR(INDEX(ЗАКАЗЫ!$N$3:$N$500,MATCH($A144,ЗАКАЗЫ!$F$3:$F$500,0)),"")</f>
        <v/>
      </c>
      <c r="BM144" s="8" t="str">
        <f aca="false">IF(BL144="","",IFERROR(VLOOKUP(BL144,'ТН ВЭД'!$A$4:$C$40,3,0),""))</f>
        <v/>
      </c>
      <c r="BN144" s="7" t="str">
        <f aca="false">IF(COUNTIF(ЗАКАЗЫ!$F$3:$F$500,$A144)=0,"",SUMIF(ЗАКАЗЫ!$F$3:$F$500,$A144,ЗАКАЗЫ!$J$3:$J$500))</f>
        <v/>
      </c>
      <c r="BO144" s="7" t="str">
        <f aca="false">IF(BN144="","",SUMIF(ЗАКАЗЫ!$F$3:$F$500,$A144,ЗАКАЗЫ!$AL$3:$AL$500))</f>
        <v/>
      </c>
      <c r="BP144" s="7" t="str">
        <f aca="false">IF(BN144="","",BN144-BO144)</f>
        <v/>
      </c>
      <c r="BQ144" s="55" t="str">
        <f aca="false">IF(BN144="","",IF(BO144&gt;=BN144,"На складе",IF(BO144&gt;0,"Частично","Ждём")))</f>
        <v/>
      </c>
      <c r="BR144" s="43"/>
      <c r="BS144" s="47" t="str">
        <f aca="false">IF(BN144="","",IF(_xlfn.MAXIFS(ЗАКАЗЫ!$AK$3:$AK$500,ЗАКАЗЫ!$F$3:$F$500,$A144)=0,"",_xlfn.MAXIFS(ЗАКАЗЫ!$AK$3:$AK$500,ЗАКАЗЫ!$F$3:$F$500,$A144)))</f>
        <v/>
      </c>
    </row>
    <row r="145" customFormat="false" ht="15.75" hidden="false" customHeight="true" outlineLevel="0" collapsed="false">
      <c r="A145" s="80" t="s">
        <v>1346</v>
      </c>
      <c r="B145" s="81"/>
      <c r="C145" s="81"/>
      <c r="D145" s="81"/>
      <c r="E145" s="83"/>
      <c r="F145" s="81"/>
      <c r="G145" s="83"/>
      <c r="H145" s="83"/>
      <c r="I145" s="84" t="str">
        <f aca="false">IF(E145="","",A145&amp;"_1.jpg")</f>
        <v/>
      </c>
      <c r="J145" s="84" t="str">
        <f aca="false">IF(E145="","",A145&amp;"_2.jpg; "&amp;A145&amp;"_3.jpg")</f>
        <v/>
      </c>
      <c r="K145" s="84" t="str">
        <f aca="false">IF(E145="","",A145&amp;"_schema.jpg")</f>
        <v/>
      </c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 t="s">
        <v>96</v>
      </c>
      <c r="W145" s="81"/>
      <c r="X145" s="81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6" t="str">
        <f aca="false">IF(SUM(Y145:AJ145)=0,"",SUM(Y145:AJ145))</f>
        <v/>
      </c>
      <c r="AL145" s="84" t="str">
        <f aca="false">MID(IF(N(Y145)&gt;0,", "&amp;Y$2,"")&amp;IF(N(Z145)&gt;0,", "&amp;Z$2,"")&amp;IF(N(AA145)&gt;0,", "&amp;AA$2,"")&amp;IF(N(AB145)&gt;0,", "&amp;AB$2,"")&amp;IF(N(AC145)&gt;0,", "&amp;AC$2,"")&amp;IF(N(AD145)&gt;0,", "&amp;AD$2,"")&amp;IF(N(AE145)&gt;0,", "&amp;AE$2,"")&amp;IF(N(AF145)&gt;0,", "&amp;AF$2,"")&amp;IF(N(AG145)&gt;0,", "&amp;AG$2,"")&amp;IF(N(AH145)&gt;0,", "&amp;AH$2,"")&amp;IF(N(AI145)&gt;0,", "&amp;AI$2,"")&amp;IF(N(AJ145)&gt;0,", "&amp;AJ$2,""),3,999)</f>
        <v/>
      </c>
      <c r="AM145" s="87" t="str">
        <f aca="false">IF(E145="","",MID(IF(N(Y145)&gt;0,", "&amp;A145&amp;"-"&amp;Y$2,"")&amp;IF(N(Z145)&gt;0,", "&amp;A145&amp;"-"&amp;Z$2,"")&amp;IF(N(AA145)&gt;0,", "&amp;A145&amp;"-"&amp;AA$2,"")&amp;IF(N(AB145)&gt;0,", "&amp;A145&amp;"-"&amp;AB$2,"")&amp;IF(N(AC145)&gt;0,", "&amp;A145&amp;"-"&amp;AC$2,"")&amp;IF(N(AD145)&gt;0,", "&amp;A145&amp;"-"&amp;AD$2,"")&amp;IF(N(AE145)&gt;0,", "&amp;A145&amp;"-"&amp;AE$2,"")&amp;IF(N(AF145)&gt;0,", "&amp;A145&amp;"-"&amp;AF$2,"")&amp;IF(N(AG145)&gt;0,", "&amp;A145&amp;"-"&amp;AG$2,"")&amp;IF(N(AH145)&gt;0,", "&amp;A145&amp;"-"&amp;AH$2,"")&amp;IF(N(AI145)&gt;0,", "&amp;A145&amp;"-"&amp;AI$2,"")&amp;IF(N(AJ145)&gt;0,", "&amp;A145&amp;"-"&amp;AJ$2,""),3,999))</f>
        <v/>
      </c>
      <c r="AN145" s="81"/>
      <c r="AO145" s="88"/>
      <c r="AP145" s="89" t="str">
        <f aca="false">IF(AO145="","",ROUND(AO145/(1+Справочники!$B$13),2))</f>
        <v/>
      </c>
      <c r="AQ145" s="90" t="str">
        <f aca="false" t="array" ref="AQ145:AQ145">IF(AP145="","",AP145*INDEX(Справочники!$B$4:$B$7,MATCH("RUB",Справочники!$A$4:$A$7,0)))</f>
        <v/>
      </c>
      <c r="AR145" s="90" t="str">
        <f aca="false">IF(AQ145="","",ROUND(AQ145*(1+Справочники!$B$12),0))</f>
        <v/>
      </c>
      <c r="AS145" s="90" t="str">
        <f aca="false">IF(AR145="","",ROUND(AR145*(1-Справочники!$B$11),0))</f>
        <v/>
      </c>
      <c r="AT145" s="88"/>
      <c r="AU145" s="90" t="str">
        <f aca="false">IF(AT145="","",ROUND(AT145/(1+Справочники!$B$12),0))</f>
        <v/>
      </c>
      <c r="AV145" s="90" t="str">
        <f aca="false">IF(AT145="","",ROUND(AT145*(1-Справочники!$B$15),0))</f>
        <v/>
      </c>
      <c r="AW145" s="90" t="str">
        <f aca="false">IF(AT145="","",ROUND(AT145*(1-Справочники!$B$16),0))</f>
        <v/>
      </c>
      <c r="AX145" s="90" t="str">
        <f aca="false">IF(AT145="","",ROUND(AT145*(1-Справочники!$B$17),0))</f>
        <v/>
      </c>
      <c r="AY145" s="90" t="str">
        <f aca="false">IF(AT145="","",ROUND(AT145*(1-Справочники!$B$18),0))</f>
        <v/>
      </c>
      <c r="AZ145" s="90" t="str">
        <f aca="false">IF(AT145="","",ROUND(AT145*(1-Справочники!$B$19),0))</f>
        <v/>
      </c>
      <c r="BA145" s="81"/>
      <c r="BB145" s="81"/>
      <c r="BC145" s="81"/>
      <c r="BD145" s="81"/>
      <c r="BE145" s="91"/>
      <c r="BF145" s="81" t="s">
        <v>103</v>
      </c>
      <c r="BG145" s="89" t="n">
        <f aca="false" t="array" ref="BG145:BG145">IF(BF145="","",IFERROR(INDEX(Справочники!$B$4:$B$7,MATCH(BF145,Справочники!$A$4:$A$7,0)),""))</f>
        <v>68.5</v>
      </c>
      <c r="BH145" s="90" t="str">
        <f aca="false">IF(N(BN145)&gt;0,ROUND(SUMIF(ЗАКАЗЫ!$F$3:$F$500,$A145,ЗАКАЗЫ!$Y$3:$Y$500)/BN145,0),IF(OR(BE145="",BG145=""),"",ROUND(BE145*BG145*(1+Справочники!$B$10),0)))</f>
        <v/>
      </c>
      <c r="BI145" s="92" t="str">
        <f aca="false">IF(OR(AU145="",BH145="",AU145=0),"",(AU145-BH145)/AU145)</f>
        <v/>
      </c>
      <c r="BJ145" s="81"/>
      <c r="BK145" s="83"/>
      <c r="BL145" s="43" t="str">
        <f aca="false">IFERROR(INDEX(ЗАКАЗЫ!$N$3:$N$500,MATCH($A145,ЗАКАЗЫ!$F$3:$F$500,0)),"")</f>
        <v/>
      </c>
      <c r="BM145" s="8" t="str">
        <f aca="false">IF(BL145="","",IFERROR(VLOOKUP(BL145,'ТН ВЭД'!$A$4:$C$40,3,0),""))</f>
        <v/>
      </c>
      <c r="BN145" s="7" t="str">
        <f aca="false">IF(COUNTIF(ЗАКАЗЫ!$F$3:$F$500,$A145)=0,"",SUMIF(ЗАКАЗЫ!$F$3:$F$500,$A145,ЗАКАЗЫ!$J$3:$J$500))</f>
        <v/>
      </c>
      <c r="BO145" s="7" t="str">
        <f aca="false">IF(BN145="","",SUMIF(ЗАКАЗЫ!$F$3:$F$500,$A145,ЗАКАЗЫ!$AL$3:$AL$500))</f>
        <v/>
      </c>
      <c r="BP145" s="7" t="str">
        <f aca="false">IF(BN145="","",BN145-BO145)</f>
        <v/>
      </c>
      <c r="BQ145" s="55" t="str">
        <f aca="false">IF(BN145="","",IF(BO145&gt;=BN145,"На складе",IF(BO145&gt;0,"Частично","Ждём")))</f>
        <v/>
      </c>
      <c r="BR145" s="43"/>
      <c r="BS145" s="47" t="str">
        <f aca="false">IF(BN145="","",IF(_xlfn.MAXIFS(ЗАКАЗЫ!$AK$3:$AK$500,ЗАКАЗЫ!$F$3:$F$500,$A145)=0,"",_xlfn.MAXIFS(ЗАКАЗЫ!$AK$3:$AK$500,ЗАКАЗЫ!$F$3:$F$500,$A145)))</f>
        <v/>
      </c>
    </row>
    <row r="146" customFormat="false" ht="15.75" hidden="false" customHeight="true" outlineLevel="0" collapsed="false">
      <c r="A146" s="80" t="s">
        <v>1347</v>
      </c>
      <c r="B146" s="81"/>
      <c r="C146" s="81"/>
      <c r="D146" s="81"/>
      <c r="E146" s="83"/>
      <c r="F146" s="81"/>
      <c r="G146" s="83"/>
      <c r="H146" s="83"/>
      <c r="I146" s="84" t="str">
        <f aca="false">IF(E146="","",A146&amp;"_1.jpg")</f>
        <v/>
      </c>
      <c r="J146" s="84" t="str">
        <f aca="false">IF(E146="","",A146&amp;"_2.jpg; "&amp;A146&amp;"_3.jpg")</f>
        <v/>
      </c>
      <c r="K146" s="84" t="str">
        <f aca="false">IF(E146="","",A146&amp;"_schema.jpg")</f>
        <v/>
      </c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 t="s">
        <v>96</v>
      </c>
      <c r="W146" s="81"/>
      <c r="X146" s="81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6" t="str">
        <f aca="false">IF(SUM(Y146:AJ146)=0,"",SUM(Y146:AJ146))</f>
        <v/>
      </c>
      <c r="AL146" s="84" t="str">
        <f aca="false">MID(IF(N(Y146)&gt;0,", "&amp;Y$2,"")&amp;IF(N(Z146)&gt;0,", "&amp;Z$2,"")&amp;IF(N(AA146)&gt;0,", "&amp;AA$2,"")&amp;IF(N(AB146)&gt;0,", "&amp;AB$2,"")&amp;IF(N(AC146)&gt;0,", "&amp;AC$2,"")&amp;IF(N(AD146)&gt;0,", "&amp;AD$2,"")&amp;IF(N(AE146)&gt;0,", "&amp;AE$2,"")&amp;IF(N(AF146)&gt;0,", "&amp;AF$2,"")&amp;IF(N(AG146)&gt;0,", "&amp;AG$2,"")&amp;IF(N(AH146)&gt;0,", "&amp;AH$2,"")&amp;IF(N(AI146)&gt;0,", "&amp;AI$2,"")&amp;IF(N(AJ146)&gt;0,", "&amp;AJ$2,""),3,999)</f>
        <v/>
      </c>
      <c r="AM146" s="87" t="str">
        <f aca="false">IF(E146="","",MID(IF(N(Y146)&gt;0,", "&amp;A146&amp;"-"&amp;Y$2,"")&amp;IF(N(Z146)&gt;0,", "&amp;A146&amp;"-"&amp;Z$2,"")&amp;IF(N(AA146)&gt;0,", "&amp;A146&amp;"-"&amp;AA$2,"")&amp;IF(N(AB146)&gt;0,", "&amp;A146&amp;"-"&amp;AB$2,"")&amp;IF(N(AC146)&gt;0,", "&amp;A146&amp;"-"&amp;AC$2,"")&amp;IF(N(AD146)&gt;0,", "&amp;A146&amp;"-"&amp;AD$2,"")&amp;IF(N(AE146)&gt;0,", "&amp;A146&amp;"-"&amp;AE$2,"")&amp;IF(N(AF146)&gt;0,", "&amp;A146&amp;"-"&amp;AF$2,"")&amp;IF(N(AG146)&gt;0,", "&amp;A146&amp;"-"&amp;AG$2,"")&amp;IF(N(AH146)&gt;0,", "&amp;A146&amp;"-"&amp;AH$2,"")&amp;IF(N(AI146)&gt;0,", "&amp;A146&amp;"-"&amp;AI$2,"")&amp;IF(N(AJ146)&gt;0,", "&amp;A146&amp;"-"&amp;AJ$2,""),3,999))</f>
        <v/>
      </c>
      <c r="AN146" s="81"/>
      <c r="AO146" s="88"/>
      <c r="AP146" s="89" t="str">
        <f aca="false">IF(AO146="","",ROUND(AO146/(1+Справочники!$B$13),2))</f>
        <v/>
      </c>
      <c r="AQ146" s="90" t="str">
        <f aca="false" t="array" ref="AQ146:AQ146">IF(AP146="","",AP146*INDEX(Справочники!$B$4:$B$7,MATCH("RUB",Справочники!$A$4:$A$7,0)))</f>
        <v/>
      </c>
      <c r="AR146" s="90" t="str">
        <f aca="false">IF(AQ146="","",ROUND(AQ146*(1+Справочники!$B$12),0))</f>
        <v/>
      </c>
      <c r="AS146" s="90" t="str">
        <f aca="false">IF(AR146="","",ROUND(AR146*(1-Справочники!$B$11),0))</f>
        <v/>
      </c>
      <c r="AT146" s="88"/>
      <c r="AU146" s="90" t="str">
        <f aca="false">IF(AT146="","",ROUND(AT146/(1+Справочники!$B$12),0))</f>
        <v/>
      </c>
      <c r="AV146" s="90" t="str">
        <f aca="false">IF(AT146="","",ROUND(AT146*(1-Справочники!$B$15),0))</f>
        <v/>
      </c>
      <c r="AW146" s="90" t="str">
        <f aca="false">IF(AT146="","",ROUND(AT146*(1-Справочники!$B$16),0))</f>
        <v/>
      </c>
      <c r="AX146" s="90" t="str">
        <f aca="false">IF(AT146="","",ROUND(AT146*(1-Справочники!$B$17),0))</f>
        <v/>
      </c>
      <c r="AY146" s="90" t="str">
        <f aca="false">IF(AT146="","",ROUND(AT146*(1-Справочники!$B$18),0))</f>
        <v/>
      </c>
      <c r="AZ146" s="90" t="str">
        <f aca="false">IF(AT146="","",ROUND(AT146*(1-Справочники!$B$19),0))</f>
        <v/>
      </c>
      <c r="BA146" s="81"/>
      <c r="BB146" s="81"/>
      <c r="BC146" s="81"/>
      <c r="BD146" s="81"/>
      <c r="BE146" s="91"/>
      <c r="BF146" s="81" t="s">
        <v>103</v>
      </c>
      <c r="BG146" s="89" t="n">
        <f aca="false" t="array" ref="BG146:BG146">IF(BF146="","",IFERROR(INDEX(Справочники!$B$4:$B$7,MATCH(BF146,Справочники!$A$4:$A$7,0)),""))</f>
        <v>68.5</v>
      </c>
      <c r="BH146" s="90" t="str">
        <f aca="false">IF(N(BN146)&gt;0,ROUND(SUMIF(ЗАКАЗЫ!$F$3:$F$500,$A146,ЗАКАЗЫ!$Y$3:$Y$500)/BN146,0),IF(OR(BE146="",BG146=""),"",ROUND(BE146*BG146*(1+Справочники!$B$10),0)))</f>
        <v/>
      </c>
      <c r="BI146" s="92" t="str">
        <f aca="false">IF(OR(AU146="",BH146="",AU146=0),"",(AU146-BH146)/AU146)</f>
        <v/>
      </c>
      <c r="BJ146" s="81"/>
      <c r="BK146" s="83"/>
      <c r="BL146" s="43" t="str">
        <f aca="false">IFERROR(INDEX(ЗАКАЗЫ!$N$3:$N$500,MATCH($A146,ЗАКАЗЫ!$F$3:$F$500,0)),"")</f>
        <v/>
      </c>
      <c r="BM146" s="8" t="str">
        <f aca="false">IF(BL146="","",IFERROR(VLOOKUP(BL146,'ТН ВЭД'!$A$4:$C$40,3,0),""))</f>
        <v/>
      </c>
      <c r="BN146" s="7" t="str">
        <f aca="false">IF(COUNTIF(ЗАКАЗЫ!$F$3:$F$500,$A146)=0,"",SUMIF(ЗАКАЗЫ!$F$3:$F$500,$A146,ЗАКАЗЫ!$J$3:$J$500))</f>
        <v/>
      </c>
      <c r="BO146" s="7" t="str">
        <f aca="false">IF(BN146="","",SUMIF(ЗАКАЗЫ!$F$3:$F$500,$A146,ЗАКАЗЫ!$AL$3:$AL$500))</f>
        <v/>
      </c>
      <c r="BP146" s="7" t="str">
        <f aca="false">IF(BN146="","",BN146-BO146)</f>
        <v/>
      </c>
      <c r="BQ146" s="55" t="str">
        <f aca="false">IF(BN146="","",IF(BO146&gt;=BN146,"На складе",IF(BO146&gt;0,"Частично","Ждём")))</f>
        <v/>
      </c>
      <c r="BR146" s="43"/>
      <c r="BS146" s="47" t="str">
        <f aca="false">IF(BN146="","",IF(_xlfn.MAXIFS(ЗАКАЗЫ!$AK$3:$AK$500,ЗАКАЗЫ!$F$3:$F$500,$A146)=0,"",_xlfn.MAXIFS(ЗАКАЗЫ!$AK$3:$AK$500,ЗАКАЗЫ!$F$3:$F$500,$A146)))</f>
        <v/>
      </c>
    </row>
    <row r="147" customFormat="false" ht="15.75" hidden="false" customHeight="true" outlineLevel="0" collapsed="false">
      <c r="A147" s="80" t="s">
        <v>1348</v>
      </c>
      <c r="B147" s="81"/>
      <c r="C147" s="81"/>
      <c r="D147" s="81"/>
      <c r="E147" s="83"/>
      <c r="F147" s="81"/>
      <c r="G147" s="83"/>
      <c r="H147" s="83"/>
      <c r="I147" s="84" t="str">
        <f aca="false">IF(E147="","",A147&amp;"_1.jpg")</f>
        <v/>
      </c>
      <c r="J147" s="84" t="str">
        <f aca="false">IF(E147="","",A147&amp;"_2.jpg; "&amp;A147&amp;"_3.jpg")</f>
        <v/>
      </c>
      <c r="K147" s="84" t="str">
        <f aca="false">IF(E147="","",A147&amp;"_schema.jpg")</f>
        <v/>
      </c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 t="s">
        <v>96</v>
      </c>
      <c r="W147" s="81"/>
      <c r="X147" s="81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6" t="str">
        <f aca="false">IF(SUM(Y147:AJ147)=0,"",SUM(Y147:AJ147))</f>
        <v/>
      </c>
      <c r="AL147" s="84" t="str">
        <f aca="false">MID(IF(N(Y147)&gt;0,", "&amp;Y$2,"")&amp;IF(N(Z147)&gt;0,", "&amp;Z$2,"")&amp;IF(N(AA147)&gt;0,", "&amp;AA$2,"")&amp;IF(N(AB147)&gt;0,", "&amp;AB$2,"")&amp;IF(N(AC147)&gt;0,", "&amp;AC$2,"")&amp;IF(N(AD147)&gt;0,", "&amp;AD$2,"")&amp;IF(N(AE147)&gt;0,", "&amp;AE$2,"")&amp;IF(N(AF147)&gt;0,", "&amp;AF$2,"")&amp;IF(N(AG147)&gt;0,", "&amp;AG$2,"")&amp;IF(N(AH147)&gt;0,", "&amp;AH$2,"")&amp;IF(N(AI147)&gt;0,", "&amp;AI$2,"")&amp;IF(N(AJ147)&gt;0,", "&amp;AJ$2,""),3,999)</f>
        <v/>
      </c>
      <c r="AM147" s="87" t="str">
        <f aca="false">IF(E147="","",MID(IF(N(Y147)&gt;0,", "&amp;A147&amp;"-"&amp;Y$2,"")&amp;IF(N(Z147)&gt;0,", "&amp;A147&amp;"-"&amp;Z$2,"")&amp;IF(N(AA147)&gt;0,", "&amp;A147&amp;"-"&amp;AA$2,"")&amp;IF(N(AB147)&gt;0,", "&amp;A147&amp;"-"&amp;AB$2,"")&amp;IF(N(AC147)&gt;0,", "&amp;A147&amp;"-"&amp;AC$2,"")&amp;IF(N(AD147)&gt;0,", "&amp;A147&amp;"-"&amp;AD$2,"")&amp;IF(N(AE147)&gt;0,", "&amp;A147&amp;"-"&amp;AE$2,"")&amp;IF(N(AF147)&gt;0,", "&amp;A147&amp;"-"&amp;AF$2,"")&amp;IF(N(AG147)&gt;0,", "&amp;A147&amp;"-"&amp;AG$2,"")&amp;IF(N(AH147)&gt;0,", "&amp;A147&amp;"-"&amp;AH$2,"")&amp;IF(N(AI147)&gt;0,", "&amp;A147&amp;"-"&amp;AI$2,"")&amp;IF(N(AJ147)&gt;0,", "&amp;A147&amp;"-"&amp;AJ$2,""),3,999))</f>
        <v/>
      </c>
      <c r="AN147" s="81"/>
      <c r="AO147" s="88"/>
      <c r="AP147" s="89" t="str">
        <f aca="false">IF(AO147="","",ROUND(AO147/(1+Справочники!$B$13),2))</f>
        <v/>
      </c>
      <c r="AQ147" s="90" t="str">
        <f aca="false" t="array" ref="AQ147:AQ147">IF(AP147="","",AP147*INDEX(Справочники!$B$4:$B$7,MATCH("RUB",Справочники!$A$4:$A$7,0)))</f>
        <v/>
      </c>
      <c r="AR147" s="90" t="str">
        <f aca="false">IF(AQ147="","",ROUND(AQ147*(1+Справочники!$B$12),0))</f>
        <v/>
      </c>
      <c r="AS147" s="90" t="str">
        <f aca="false">IF(AR147="","",ROUND(AR147*(1-Справочники!$B$11),0))</f>
        <v/>
      </c>
      <c r="AT147" s="88"/>
      <c r="AU147" s="90" t="str">
        <f aca="false">IF(AT147="","",ROUND(AT147/(1+Справочники!$B$12),0))</f>
        <v/>
      </c>
      <c r="AV147" s="90" t="str">
        <f aca="false">IF(AT147="","",ROUND(AT147*(1-Справочники!$B$15),0))</f>
        <v/>
      </c>
      <c r="AW147" s="90" t="str">
        <f aca="false">IF(AT147="","",ROUND(AT147*(1-Справочники!$B$16),0))</f>
        <v/>
      </c>
      <c r="AX147" s="90" t="str">
        <f aca="false">IF(AT147="","",ROUND(AT147*(1-Справочники!$B$17),0))</f>
        <v/>
      </c>
      <c r="AY147" s="90" t="str">
        <f aca="false">IF(AT147="","",ROUND(AT147*(1-Справочники!$B$18),0))</f>
        <v/>
      </c>
      <c r="AZ147" s="90" t="str">
        <f aca="false">IF(AT147="","",ROUND(AT147*(1-Справочники!$B$19),0))</f>
        <v/>
      </c>
      <c r="BA147" s="81"/>
      <c r="BB147" s="81"/>
      <c r="BC147" s="81"/>
      <c r="BD147" s="81"/>
      <c r="BE147" s="91"/>
      <c r="BF147" s="81" t="s">
        <v>103</v>
      </c>
      <c r="BG147" s="89" t="n">
        <f aca="false" t="array" ref="BG147:BG147">IF(BF147="","",IFERROR(INDEX(Справочники!$B$4:$B$7,MATCH(BF147,Справочники!$A$4:$A$7,0)),""))</f>
        <v>68.5</v>
      </c>
      <c r="BH147" s="90" t="str">
        <f aca="false">IF(N(BN147)&gt;0,ROUND(SUMIF(ЗАКАЗЫ!$F$3:$F$500,$A147,ЗАКАЗЫ!$Y$3:$Y$500)/BN147,0),IF(OR(BE147="",BG147=""),"",ROUND(BE147*BG147*(1+Справочники!$B$10),0)))</f>
        <v/>
      </c>
      <c r="BI147" s="92" t="str">
        <f aca="false">IF(OR(AU147="",BH147="",AU147=0),"",(AU147-BH147)/AU147)</f>
        <v/>
      </c>
      <c r="BJ147" s="81"/>
      <c r="BK147" s="83"/>
      <c r="BL147" s="43" t="str">
        <f aca="false">IFERROR(INDEX(ЗАКАЗЫ!$N$3:$N$500,MATCH($A147,ЗАКАЗЫ!$F$3:$F$500,0)),"")</f>
        <v/>
      </c>
      <c r="BM147" s="8" t="str">
        <f aca="false">IF(BL147="","",IFERROR(VLOOKUP(BL147,'ТН ВЭД'!$A$4:$C$40,3,0),""))</f>
        <v/>
      </c>
      <c r="BN147" s="7" t="str">
        <f aca="false">IF(COUNTIF(ЗАКАЗЫ!$F$3:$F$500,$A147)=0,"",SUMIF(ЗАКАЗЫ!$F$3:$F$500,$A147,ЗАКАЗЫ!$J$3:$J$500))</f>
        <v/>
      </c>
      <c r="BO147" s="7" t="str">
        <f aca="false">IF(BN147="","",SUMIF(ЗАКАЗЫ!$F$3:$F$500,$A147,ЗАКАЗЫ!$AL$3:$AL$500))</f>
        <v/>
      </c>
      <c r="BP147" s="7" t="str">
        <f aca="false">IF(BN147="","",BN147-BO147)</f>
        <v/>
      </c>
      <c r="BQ147" s="55" t="str">
        <f aca="false">IF(BN147="","",IF(BO147&gt;=BN147,"На складе",IF(BO147&gt;0,"Частично","Ждём")))</f>
        <v/>
      </c>
      <c r="BR147" s="43"/>
      <c r="BS147" s="47" t="str">
        <f aca="false">IF(BN147="","",IF(_xlfn.MAXIFS(ЗАКАЗЫ!$AK$3:$AK$500,ЗАКАЗЫ!$F$3:$F$500,$A147)=0,"",_xlfn.MAXIFS(ЗАКАЗЫ!$AK$3:$AK$500,ЗАКАЗЫ!$F$3:$F$500,$A147)))</f>
        <v/>
      </c>
    </row>
    <row r="148" customFormat="false" ht="15.75" hidden="false" customHeight="true" outlineLevel="0" collapsed="false">
      <c r="A148" s="80" t="s">
        <v>1349</v>
      </c>
      <c r="B148" s="81"/>
      <c r="C148" s="81"/>
      <c r="D148" s="81"/>
      <c r="E148" s="83"/>
      <c r="F148" s="81"/>
      <c r="G148" s="83"/>
      <c r="H148" s="83"/>
      <c r="I148" s="84" t="str">
        <f aca="false">IF(E148="","",A148&amp;"_1.jpg")</f>
        <v/>
      </c>
      <c r="J148" s="84" t="str">
        <f aca="false">IF(E148="","",A148&amp;"_2.jpg; "&amp;A148&amp;"_3.jpg")</f>
        <v/>
      </c>
      <c r="K148" s="84" t="str">
        <f aca="false">IF(E148="","",A148&amp;"_schema.jpg")</f>
        <v/>
      </c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 t="s">
        <v>96</v>
      </c>
      <c r="W148" s="81"/>
      <c r="X148" s="81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6" t="str">
        <f aca="false">IF(SUM(Y148:AJ148)=0,"",SUM(Y148:AJ148))</f>
        <v/>
      </c>
      <c r="AL148" s="84" t="str">
        <f aca="false">MID(IF(N(Y148)&gt;0,", "&amp;Y$2,"")&amp;IF(N(Z148)&gt;0,", "&amp;Z$2,"")&amp;IF(N(AA148)&gt;0,", "&amp;AA$2,"")&amp;IF(N(AB148)&gt;0,", "&amp;AB$2,"")&amp;IF(N(AC148)&gt;0,", "&amp;AC$2,"")&amp;IF(N(AD148)&gt;0,", "&amp;AD$2,"")&amp;IF(N(AE148)&gt;0,", "&amp;AE$2,"")&amp;IF(N(AF148)&gt;0,", "&amp;AF$2,"")&amp;IF(N(AG148)&gt;0,", "&amp;AG$2,"")&amp;IF(N(AH148)&gt;0,", "&amp;AH$2,"")&amp;IF(N(AI148)&gt;0,", "&amp;AI$2,"")&amp;IF(N(AJ148)&gt;0,", "&amp;AJ$2,""),3,999)</f>
        <v/>
      </c>
      <c r="AM148" s="87" t="str">
        <f aca="false">IF(E148="","",MID(IF(N(Y148)&gt;0,", "&amp;A148&amp;"-"&amp;Y$2,"")&amp;IF(N(Z148)&gt;0,", "&amp;A148&amp;"-"&amp;Z$2,"")&amp;IF(N(AA148)&gt;0,", "&amp;A148&amp;"-"&amp;AA$2,"")&amp;IF(N(AB148)&gt;0,", "&amp;A148&amp;"-"&amp;AB$2,"")&amp;IF(N(AC148)&gt;0,", "&amp;A148&amp;"-"&amp;AC$2,"")&amp;IF(N(AD148)&gt;0,", "&amp;A148&amp;"-"&amp;AD$2,"")&amp;IF(N(AE148)&gt;0,", "&amp;A148&amp;"-"&amp;AE$2,"")&amp;IF(N(AF148)&gt;0,", "&amp;A148&amp;"-"&amp;AF$2,"")&amp;IF(N(AG148)&gt;0,", "&amp;A148&amp;"-"&amp;AG$2,"")&amp;IF(N(AH148)&gt;0,", "&amp;A148&amp;"-"&amp;AH$2,"")&amp;IF(N(AI148)&gt;0,", "&amp;A148&amp;"-"&amp;AI$2,"")&amp;IF(N(AJ148)&gt;0,", "&amp;A148&amp;"-"&amp;AJ$2,""),3,999))</f>
        <v/>
      </c>
      <c r="AN148" s="81"/>
      <c r="AO148" s="88"/>
      <c r="AP148" s="89" t="str">
        <f aca="false">IF(AO148="","",ROUND(AO148/(1+Справочники!$B$13),2))</f>
        <v/>
      </c>
      <c r="AQ148" s="90" t="str">
        <f aca="false" t="array" ref="AQ148:AQ148">IF(AP148="","",AP148*INDEX(Справочники!$B$4:$B$7,MATCH("RUB",Справочники!$A$4:$A$7,0)))</f>
        <v/>
      </c>
      <c r="AR148" s="90" t="str">
        <f aca="false">IF(AQ148="","",ROUND(AQ148*(1+Справочники!$B$12),0))</f>
        <v/>
      </c>
      <c r="AS148" s="90" t="str">
        <f aca="false">IF(AR148="","",ROUND(AR148*(1-Справочники!$B$11),0))</f>
        <v/>
      </c>
      <c r="AT148" s="88"/>
      <c r="AU148" s="90" t="str">
        <f aca="false">IF(AT148="","",ROUND(AT148/(1+Справочники!$B$12),0))</f>
        <v/>
      </c>
      <c r="AV148" s="90" t="str">
        <f aca="false">IF(AT148="","",ROUND(AT148*(1-Справочники!$B$15),0))</f>
        <v/>
      </c>
      <c r="AW148" s="90" t="str">
        <f aca="false">IF(AT148="","",ROUND(AT148*(1-Справочники!$B$16),0))</f>
        <v/>
      </c>
      <c r="AX148" s="90" t="str">
        <f aca="false">IF(AT148="","",ROUND(AT148*(1-Справочники!$B$17),0))</f>
        <v/>
      </c>
      <c r="AY148" s="90" t="str">
        <f aca="false">IF(AT148="","",ROUND(AT148*(1-Справочники!$B$18),0))</f>
        <v/>
      </c>
      <c r="AZ148" s="90" t="str">
        <f aca="false">IF(AT148="","",ROUND(AT148*(1-Справочники!$B$19),0))</f>
        <v/>
      </c>
      <c r="BA148" s="81"/>
      <c r="BB148" s="81"/>
      <c r="BC148" s="81"/>
      <c r="BD148" s="81"/>
      <c r="BE148" s="91"/>
      <c r="BF148" s="81" t="s">
        <v>103</v>
      </c>
      <c r="BG148" s="89" t="n">
        <f aca="false" t="array" ref="BG148:BG148">IF(BF148="","",IFERROR(INDEX(Справочники!$B$4:$B$7,MATCH(BF148,Справочники!$A$4:$A$7,0)),""))</f>
        <v>68.5</v>
      </c>
      <c r="BH148" s="90" t="str">
        <f aca="false">IF(N(BN148)&gt;0,ROUND(SUMIF(ЗАКАЗЫ!$F$3:$F$500,$A148,ЗАКАЗЫ!$Y$3:$Y$500)/BN148,0),IF(OR(BE148="",BG148=""),"",ROUND(BE148*BG148*(1+Справочники!$B$10),0)))</f>
        <v/>
      </c>
      <c r="BI148" s="92" t="str">
        <f aca="false">IF(OR(AU148="",BH148="",AU148=0),"",(AU148-BH148)/AU148)</f>
        <v/>
      </c>
      <c r="BJ148" s="81"/>
      <c r="BK148" s="83"/>
      <c r="BL148" s="43" t="str">
        <f aca="false">IFERROR(INDEX(ЗАКАЗЫ!$N$3:$N$500,MATCH($A148,ЗАКАЗЫ!$F$3:$F$500,0)),"")</f>
        <v/>
      </c>
      <c r="BM148" s="8" t="str">
        <f aca="false">IF(BL148="","",IFERROR(VLOOKUP(BL148,'ТН ВЭД'!$A$4:$C$40,3,0),""))</f>
        <v/>
      </c>
      <c r="BN148" s="7" t="str">
        <f aca="false">IF(COUNTIF(ЗАКАЗЫ!$F$3:$F$500,$A148)=0,"",SUMIF(ЗАКАЗЫ!$F$3:$F$500,$A148,ЗАКАЗЫ!$J$3:$J$500))</f>
        <v/>
      </c>
      <c r="BO148" s="7" t="str">
        <f aca="false">IF(BN148="","",SUMIF(ЗАКАЗЫ!$F$3:$F$500,$A148,ЗАКАЗЫ!$AL$3:$AL$500))</f>
        <v/>
      </c>
      <c r="BP148" s="7" t="str">
        <f aca="false">IF(BN148="","",BN148-BO148)</f>
        <v/>
      </c>
      <c r="BQ148" s="55" t="str">
        <f aca="false">IF(BN148="","",IF(BO148&gt;=BN148,"На складе",IF(BO148&gt;0,"Частично","Ждём")))</f>
        <v/>
      </c>
      <c r="BR148" s="43"/>
      <c r="BS148" s="47" t="str">
        <f aca="false">IF(BN148="","",IF(_xlfn.MAXIFS(ЗАКАЗЫ!$AK$3:$AK$500,ЗАКАЗЫ!$F$3:$F$500,$A148)=0,"",_xlfn.MAXIFS(ЗАКАЗЫ!$AK$3:$AK$500,ЗАКАЗЫ!$F$3:$F$500,$A148)))</f>
        <v/>
      </c>
    </row>
    <row r="149" customFormat="false" ht="15.75" hidden="false" customHeight="true" outlineLevel="0" collapsed="false">
      <c r="A149" s="80" t="s">
        <v>1350</v>
      </c>
      <c r="B149" s="81"/>
      <c r="C149" s="81"/>
      <c r="D149" s="81"/>
      <c r="E149" s="83"/>
      <c r="F149" s="81"/>
      <c r="G149" s="83"/>
      <c r="H149" s="83"/>
      <c r="I149" s="84" t="str">
        <f aca="false">IF(E149="","",A149&amp;"_1.jpg")</f>
        <v/>
      </c>
      <c r="J149" s="84" t="str">
        <f aca="false">IF(E149="","",A149&amp;"_2.jpg; "&amp;A149&amp;"_3.jpg")</f>
        <v/>
      </c>
      <c r="K149" s="84" t="str">
        <f aca="false">IF(E149="","",A149&amp;"_schema.jpg")</f>
        <v/>
      </c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 t="s">
        <v>96</v>
      </c>
      <c r="W149" s="81"/>
      <c r="X149" s="81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6" t="str">
        <f aca="false">IF(SUM(Y149:AJ149)=0,"",SUM(Y149:AJ149))</f>
        <v/>
      </c>
      <c r="AL149" s="84" t="str">
        <f aca="false">MID(IF(N(Y149)&gt;0,", "&amp;Y$2,"")&amp;IF(N(Z149)&gt;0,", "&amp;Z$2,"")&amp;IF(N(AA149)&gt;0,", "&amp;AA$2,"")&amp;IF(N(AB149)&gt;0,", "&amp;AB$2,"")&amp;IF(N(AC149)&gt;0,", "&amp;AC$2,"")&amp;IF(N(AD149)&gt;0,", "&amp;AD$2,"")&amp;IF(N(AE149)&gt;0,", "&amp;AE$2,"")&amp;IF(N(AF149)&gt;0,", "&amp;AF$2,"")&amp;IF(N(AG149)&gt;0,", "&amp;AG$2,"")&amp;IF(N(AH149)&gt;0,", "&amp;AH$2,"")&amp;IF(N(AI149)&gt;0,", "&amp;AI$2,"")&amp;IF(N(AJ149)&gt;0,", "&amp;AJ$2,""),3,999)</f>
        <v/>
      </c>
      <c r="AM149" s="87" t="str">
        <f aca="false">IF(E149="","",MID(IF(N(Y149)&gt;0,", "&amp;A149&amp;"-"&amp;Y$2,"")&amp;IF(N(Z149)&gt;0,", "&amp;A149&amp;"-"&amp;Z$2,"")&amp;IF(N(AA149)&gt;0,", "&amp;A149&amp;"-"&amp;AA$2,"")&amp;IF(N(AB149)&gt;0,", "&amp;A149&amp;"-"&amp;AB$2,"")&amp;IF(N(AC149)&gt;0,", "&amp;A149&amp;"-"&amp;AC$2,"")&amp;IF(N(AD149)&gt;0,", "&amp;A149&amp;"-"&amp;AD$2,"")&amp;IF(N(AE149)&gt;0,", "&amp;A149&amp;"-"&amp;AE$2,"")&amp;IF(N(AF149)&gt;0,", "&amp;A149&amp;"-"&amp;AF$2,"")&amp;IF(N(AG149)&gt;0,", "&amp;A149&amp;"-"&amp;AG$2,"")&amp;IF(N(AH149)&gt;0,", "&amp;A149&amp;"-"&amp;AH$2,"")&amp;IF(N(AI149)&gt;0,", "&amp;A149&amp;"-"&amp;AI$2,"")&amp;IF(N(AJ149)&gt;0,", "&amp;A149&amp;"-"&amp;AJ$2,""),3,999))</f>
        <v/>
      </c>
      <c r="AN149" s="81"/>
      <c r="AO149" s="88"/>
      <c r="AP149" s="89" t="str">
        <f aca="false">IF(AO149="","",ROUND(AO149/(1+Справочники!$B$13),2))</f>
        <v/>
      </c>
      <c r="AQ149" s="90" t="str">
        <f aca="false" t="array" ref="AQ149:AQ149">IF(AP149="","",AP149*INDEX(Справочники!$B$4:$B$7,MATCH("RUB",Справочники!$A$4:$A$7,0)))</f>
        <v/>
      </c>
      <c r="AR149" s="90" t="str">
        <f aca="false">IF(AQ149="","",ROUND(AQ149*(1+Справочники!$B$12),0))</f>
        <v/>
      </c>
      <c r="AS149" s="90" t="str">
        <f aca="false">IF(AR149="","",ROUND(AR149*(1-Справочники!$B$11),0))</f>
        <v/>
      </c>
      <c r="AT149" s="88"/>
      <c r="AU149" s="90" t="str">
        <f aca="false">IF(AT149="","",ROUND(AT149/(1+Справочники!$B$12),0))</f>
        <v/>
      </c>
      <c r="AV149" s="90" t="str">
        <f aca="false">IF(AT149="","",ROUND(AT149*(1-Справочники!$B$15),0))</f>
        <v/>
      </c>
      <c r="AW149" s="90" t="str">
        <f aca="false">IF(AT149="","",ROUND(AT149*(1-Справочники!$B$16),0))</f>
        <v/>
      </c>
      <c r="AX149" s="90" t="str">
        <f aca="false">IF(AT149="","",ROUND(AT149*(1-Справочники!$B$17),0))</f>
        <v/>
      </c>
      <c r="AY149" s="90" t="str">
        <f aca="false">IF(AT149="","",ROUND(AT149*(1-Справочники!$B$18),0))</f>
        <v/>
      </c>
      <c r="AZ149" s="90" t="str">
        <f aca="false">IF(AT149="","",ROUND(AT149*(1-Справочники!$B$19),0))</f>
        <v/>
      </c>
      <c r="BA149" s="81"/>
      <c r="BB149" s="81"/>
      <c r="BC149" s="81"/>
      <c r="BD149" s="81"/>
      <c r="BE149" s="91"/>
      <c r="BF149" s="81" t="s">
        <v>103</v>
      </c>
      <c r="BG149" s="89" t="n">
        <f aca="false" t="array" ref="BG149:BG149">IF(BF149="","",IFERROR(INDEX(Справочники!$B$4:$B$7,MATCH(BF149,Справочники!$A$4:$A$7,0)),""))</f>
        <v>68.5</v>
      </c>
      <c r="BH149" s="90" t="str">
        <f aca="false">IF(N(BN149)&gt;0,ROUND(SUMIF(ЗАКАЗЫ!$F$3:$F$500,$A149,ЗАКАЗЫ!$Y$3:$Y$500)/BN149,0),IF(OR(BE149="",BG149=""),"",ROUND(BE149*BG149*(1+Справочники!$B$10),0)))</f>
        <v/>
      </c>
      <c r="BI149" s="92" t="str">
        <f aca="false">IF(OR(AU149="",BH149="",AU149=0),"",(AU149-BH149)/AU149)</f>
        <v/>
      </c>
      <c r="BJ149" s="81"/>
      <c r="BK149" s="83"/>
      <c r="BL149" s="43" t="str">
        <f aca="false">IFERROR(INDEX(ЗАКАЗЫ!$N$3:$N$500,MATCH($A149,ЗАКАЗЫ!$F$3:$F$500,0)),"")</f>
        <v/>
      </c>
      <c r="BM149" s="8" t="str">
        <f aca="false">IF(BL149="","",IFERROR(VLOOKUP(BL149,'ТН ВЭД'!$A$4:$C$40,3,0),""))</f>
        <v/>
      </c>
      <c r="BN149" s="7" t="str">
        <f aca="false">IF(COUNTIF(ЗАКАЗЫ!$F$3:$F$500,$A149)=0,"",SUMIF(ЗАКАЗЫ!$F$3:$F$500,$A149,ЗАКАЗЫ!$J$3:$J$500))</f>
        <v/>
      </c>
      <c r="BO149" s="7" t="str">
        <f aca="false">IF(BN149="","",SUMIF(ЗАКАЗЫ!$F$3:$F$500,$A149,ЗАКАЗЫ!$AL$3:$AL$500))</f>
        <v/>
      </c>
      <c r="BP149" s="7" t="str">
        <f aca="false">IF(BN149="","",BN149-BO149)</f>
        <v/>
      </c>
      <c r="BQ149" s="55" t="str">
        <f aca="false">IF(BN149="","",IF(BO149&gt;=BN149,"На складе",IF(BO149&gt;0,"Частично","Ждём")))</f>
        <v/>
      </c>
      <c r="BR149" s="43"/>
      <c r="BS149" s="47" t="str">
        <f aca="false">IF(BN149="","",IF(_xlfn.MAXIFS(ЗАКАЗЫ!$AK$3:$AK$500,ЗАКАЗЫ!$F$3:$F$500,$A149)=0,"",_xlfn.MAXIFS(ЗАКАЗЫ!$AK$3:$AK$500,ЗАКАЗЫ!$F$3:$F$500,$A149)))</f>
        <v/>
      </c>
    </row>
    <row r="150" customFormat="false" ht="15.75" hidden="false" customHeight="true" outlineLevel="0" collapsed="false">
      <c r="A150" s="80" t="s">
        <v>1351</v>
      </c>
      <c r="B150" s="81"/>
      <c r="C150" s="81"/>
      <c r="D150" s="81"/>
      <c r="E150" s="83"/>
      <c r="F150" s="81"/>
      <c r="G150" s="83"/>
      <c r="H150" s="83"/>
      <c r="I150" s="84" t="str">
        <f aca="false">IF(E150="","",A150&amp;"_1.jpg")</f>
        <v/>
      </c>
      <c r="J150" s="84" t="str">
        <f aca="false">IF(E150="","",A150&amp;"_2.jpg; "&amp;A150&amp;"_3.jpg")</f>
        <v/>
      </c>
      <c r="K150" s="84" t="str">
        <f aca="false">IF(E150="","",A150&amp;"_schema.jpg")</f>
        <v/>
      </c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 t="s">
        <v>96</v>
      </c>
      <c r="W150" s="81"/>
      <c r="X150" s="81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6" t="str">
        <f aca="false">IF(SUM(Y150:AJ150)=0,"",SUM(Y150:AJ150))</f>
        <v/>
      </c>
      <c r="AL150" s="84" t="str">
        <f aca="false">MID(IF(N(Y150)&gt;0,", "&amp;Y$2,"")&amp;IF(N(Z150)&gt;0,", "&amp;Z$2,"")&amp;IF(N(AA150)&gt;0,", "&amp;AA$2,"")&amp;IF(N(AB150)&gt;0,", "&amp;AB$2,"")&amp;IF(N(AC150)&gt;0,", "&amp;AC$2,"")&amp;IF(N(AD150)&gt;0,", "&amp;AD$2,"")&amp;IF(N(AE150)&gt;0,", "&amp;AE$2,"")&amp;IF(N(AF150)&gt;0,", "&amp;AF$2,"")&amp;IF(N(AG150)&gt;0,", "&amp;AG$2,"")&amp;IF(N(AH150)&gt;0,", "&amp;AH$2,"")&amp;IF(N(AI150)&gt;0,", "&amp;AI$2,"")&amp;IF(N(AJ150)&gt;0,", "&amp;AJ$2,""),3,999)</f>
        <v/>
      </c>
      <c r="AM150" s="87" t="str">
        <f aca="false">IF(E150="","",MID(IF(N(Y150)&gt;0,", "&amp;A150&amp;"-"&amp;Y$2,"")&amp;IF(N(Z150)&gt;0,", "&amp;A150&amp;"-"&amp;Z$2,"")&amp;IF(N(AA150)&gt;0,", "&amp;A150&amp;"-"&amp;AA$2,"")&amp;IF(N(AB150)&gt;0,", "&amp;A150&amp;"-"&amp;AB$2,"")&amp;IF(N(AC150)&gt;0,", "&amp;A150&amp;"-"&amp;AC$2,"")&amp;IF(N(AD150)&gt;0,", "&amp;A150&amp;"-"&amp;AD$2,"")&amp;IF(N(AE150)&gt;0,", "&amp;A150&amp;"-"&amp;AE$2,"")&amp;IF(N(AF150)&gt;0,", "&amp;A150&amp;"-"&amp;AF$2,"")&amp;IF(N(AG150)&gt;0,", "&amp;A150&amp;"-"&amp;AG$2,"")&amp;IF(N(AH150)&gt;0,", "&amp;A150&amp;"-"&amp;AH$2,"")&amp;IF(N(AI150)&gt;0,", "&amp;A150&amp;"-"&amp;AI$2,"")&amp;IF(N(AJ150)&gt;0,", "&amp;A150&amp;"-"&amp;AJ$2,""),3,999))</f>
        <v/>
      </c>
      <c r="AN150" s="81"/>
      <c r="AO150" s="88"/>
      <c r="AP150" s="89" t="str">
        <f aca="false">IF(AO150="","",ROUND(AO150/(1+Справочники!$B$13),2))</f>
        <v/>
      </c>
      <c r="AQ150" s="90" t="str">
        <f aca="false" t="array" ref="AQ150:AQ150">IF(AP150="","",AP150*INDEX(Справочники!$B$4:$B$7,MATCH("RUB",Справочники!$A$4:$A$7,0)))</f>
        <v/>
      </c>
      <c r="AR150" s="90" t="str">
        <f aca="false">IF(AQ150="","",ROUND(AQ150*(1+Справочники!$B$12),0))</f>
        <v/>
      </c>
      <c r="AS150" s="90" t="str">
        <f aca="false">IF(AR150="","",ROUND(AR150*(1-Справочники!$B$11),0))</f>
        <v/>
      </c>
      <c r="AT150" s="88"/>
      <c r="AU150" s="90" t="str">
        <f aca="false">IF(AT150="","",ROUND(AT150/(1+Справочники!$B$12),0))</f>
        <v/>
      </c>
      <c r="AV150" s="90" t="str">
        <f aca="false">IF(AT150="","",ROUND(AT150*(1-Справочники!$B$15),0))</f>
        <v/>
      </c>
      <c r="AW150" s="90" t="str">
        <f aca="false">IF(AT150="","",ROUND(AT150*(1-Справочники!$B$16),0))</f>
        <v/>
      </c>
      <c r="AX150" s="90" t="str">
        <f aca="false">IF(AT150="","",ROUND(AT150*(1-Справочники!$B$17),0))</f>
        <v/>
      </c>
      <c r="AY150" s="90" t="str">
        <f aca="false">IF(AT150="","",ROUND(AT150*(1-Справочники!$B$18),0))</f>
        <v/>
      </c>
      <c r="AZ150" s="90" t="str">
        <f aca="false">IF(AT150="","",ROUND(AT150*(1-Справочники!$B$19),0))</f>
        <v/>
      </c>
      <c r="BA150" s="81"/>
      <c r="BB150" s="81"/>
      <c r="BC150" s="81"/>
      <c r="BD150" s="81"/>
      <c r="BE150" s="91"/>
      <c r="BF150" s="81" t="s">
        <v>103</v>
      </c>
      <c r="BG150" s="89" t="n">
        <f aca="false" t="array" ref="BG150:BG150">IF(BF150="","",IFERROR(INDEX(Справочники!$B$4:$B$7,MATCH(BF150,Справочники!$A$4:$A$7,0)),""))</f>
        <v>68.5</v>
      </c>
      <c r="BH150" s="90" t="str">
        <f aca="false">IF(N(BN150)&gt;0,ROUND(SUMIF(ЗАКАЗЫ!$F$3:$F$500,$A150,ЗАКАЗЫ!$Y$3:$Y$500)/BN150,0),IF(OR(BE150="",BG150=""),"",ROUND(BE150*BG150*(1+Справочники!$B$10),0)))</f>
        <v/>
      </c>
      <c r="BI150" s="92" t="str">
        <f aca="false">IF(OR(AU150="",BH150="",AU150=0),"",(AU150-BH150)/AU150)</f>
        <v/>
      </c>
      <c r="BJ150" s="81"/>
      <c r="BK150" s="83"/>
      <c r="BL150" s="43" t="str">
        <f aca="false">IFERROR(INDEX(ЗАКАЗЫ!$N$3:$N$500,MATCH($A150,ЗАКАЗЫ!$F$3:$F$500,0)),"")</f>
        <v/>
      </c>
      <c r="BM150" s="8" t="str">
        <f aca="false">IF(BL150="","",IFERROR(VLOOKUP(BL150,'ТН ВЭД'!$A$4:$C$40,3,0),""))</f>
        <v/>
      </c>
      <c r="BN150" s="7" t="str">
        <f aca="false">IF(COUNTIF(ЗАКАЗЫ!$F$3:$F$500,$A150)=0,"",SUMIF(ЗАКАЗЫ!$F$3:$F$500,$A150,ЗАКАЗЫ!$J$3:$J$500))</f>
        <v/>
      </c>
      <c r="BO150" s="7" t="str">
        <f aca="false">IF(BN150="","",SUMIF(ЗАКАЗЫ!$F$3:$F$500,$A150,ЗАКАЗЫ!$AL$3:$AL$500))</f>
        <v/>
      </c>
      <c r="BP150" s="7" t="str">
        <f aca="false">IF(BN150="","",BN150-BO150)</f>
        <v/>
      </c>
      <c r="BQ150" s="55" t="str">
        <f aca="false">IF(BN150="","",IF(BO150&gt;=BN150,"На складе",IF(BO150&gt;0,"Частично","Ждём")))</f>
        <v/>
      </c>
      <c r="BR150" s="43"/>
      <c r="BS150" s="47" t="str">
        <f aca="false">IF(BN150="","",IF(_xlfn.MAXIFS(ЗАКАЗЫ!$AK$3:$AK$500,ЗАКАЗЫ!$F$3:$F$500,$A150)=0,"",_xlfn.MAXIFS(ЗАКАЗЫ!$AK$3:$AK$500,ЗАКАЗЫ!$F$3:$F$500,$A150)))</f>
        <v/>
      </c>
    </row>
    <row r="151" customFormat="false" ht="15.75" hidden="false" customHeight="true" outlineLevel="0" collapsed="false">
      <c r="A151" s="80" t="s">
        <v>1352</v>
      </c>
      <c r="B151" s="81"/>
      <c r="C151" s="81"/>
      <c r="D151" s="81"/>
      <c r="E151" s="83"/>
      <c r="F151" s="81"/>
      <c r="G151" s="83"/>
      <c r="H151" s="83"/>
      <c r="I151" s="84" t="str">
        <f aca="false">IF(E151="","",A151&amp;"_1.jpg")</f>
        <v/>
      </c>
      <c r="J151" s="84" t="str">
        <f aca="false">IF(E151="","",A151&amp;"_2.jpg; "&amp;A151&amp;"_3.jpg")</f>
        <v/>
      </c>
      <c r="K151" s="84" t="str">
        <f aca="false">IF(E151="","",A151&amp;"_schema.jpg")</f>
        <v/>
      </c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 t="s">
        <v>96</v>
      </c>
      <c r="W151" s="81"/>
      <c r="X151" s="81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6" t="str">
        <f aca="false">IF(SUM(Y151:AJ151)=0,"",SUM(Y151:AJ151))</f>
        <v/>
      </c>
      <c r="AL151" s="84" t="str">
        <f aca="false">MID(IF(N(Y151)&gt;0,", "&amp;Y$2,"")&amp;IF(N(Z151)&gt;0,", "&amp;Z$2,"")&amp;IF(N(AA151)&gt;0,", "&amp;AA$2,"")&amp;IF(N(AB151)&gt;0,", "&amp;AB$2,"")&amp;IF(N(AC151)&gt;0,", "&amp;AC$2,"")&amp;IF(N(AD151)&gt;0,", "&amp;AD$2,"")&amp;IF(N(AE151)&gt;0,", "&amp;AE$2,"")&amp;IF(N(AF151)&gt;0,", "&amp;AF$2,"")&amp;IF(N(AG151)&gt;0,", "&amp;AG$2,"")&amp;IF(N(AH151)&gt;0,", "&amp;AH$2,"")&amp;IF(N(AI151)&gt;0,", "&amp;AI$2,"")&amp;IF(N(AJ151)&gt;0,", "&amp;AJ$2,""),3,999)</f>
        <v/>
      </c>
      <c r="AM151" s="87" t="str">
        <f aca="false">IF(E151="","",MID(IF(N(Y151)&gt;0,", "&amp;A151&amp;"-"&amp;Y$2,"")&amp;IF(N(Z151)&gt;0,", "&amp;A151&amp;"-"&amp;Z$2,"")&amp;IF(N(AA151)&gt;0,", "&amp;A151&amp;"-"&amp;AA$2,"")&amp;IF(N(AB151)&gt;0,", "&amp;A151&amp;"-"&amp;AB$2,"")&amp;IF(N(AC151)&gt;0,", "&amp;A151&amp;"-"&amp;AC$2,"")&amp;IF(N(AD151)&gt;0,", "&amp;A151&amp;"-"&amp;AD$2,"")&amp;IF(N(AE151)&gt;0,", "&amp;A151&amp;"-"&amp;AE$2,"")&amp;IF(N(AF151)&gt;0,", "&amp;A151&amp;"-"&amp;AF$2,"")&amp;IF(N(AG151)&gt;0,", "&amp;A151&amp;"-"&amp;AG$2,"")&amp;IF(N(AH151)&gt;0,", "&amp;A151&amp;"-"&amp;AH$2,"")&amp;IF(N(AI151)&gt;0,", "&amp;A151&amp;"-"&amp;AI$2,"")&amp;IF(N(AJ151)&gt;0,", "&amp;A151&amp;"-"&amp;AJ$2,""),3,999))</f>
        <v/>
      </c>
      <c r="AN151" s="81"/>
      <c r="AO151" s="88"/>
      <c r="AP151" s="89" t="str">
        <f aca="false">IF(AO151="","",ROUND(AO151/(1+Справочники!$B$13),2))</f>
        <v/>
      </c>
      <c r="AQ151" s="90" t="str">
        <f aca="false" t="array" ref="AQ151:AQ151">IF(AP151="","",AP151*INDEX(Справочники!$B$4:$B$7,MATCH("RUB",Справочники!$A$4:$A$7,0)))</f>
        <v/>
      </c>
      <c r="AR151" s="90" t="str">
        <f aca="false">IF(AQ151="","",ROUND(AQ151*(1+Справочники!$B$12),0))</f>
        <v/>
      </c>
      <c r="AS151" s="90" t="str">
        <f aca="false">IF(AR151="","",ROUND(AR151*(1-Справочники!$B$11),0))</f>
        <v/>
      </c>
      <c r="AT151" s="88"/>
      <c r="AU151" s="90" t="str">
        <f aca="false">IF(AT151="","",ROUND(AT151/(1+Справочники!$B$12),0))</f>
        <v/>
      </c>
      <c r="AV151" s="90" t="str">
        <f aca="false">IF(AT151="","",ROUND(AT151*(1-Справочники!$B$15),0))</f>
        <v/>
      </c>
      <c r="AW151" s="90" t="str">
        <f aca="false">IF(AT151="","",ROUND(AT151*(1-Справочники!$B$16),0))</f>
        <v/>
      </c>
      <c r="AX151" s="90" t="str">
        <f aca="false">IF(AT151="","",ROUND(AT151*(1-Справочники!$B$17),0))</f>
        <v/>
      </c>
      <c r="AY151" s="90" t="str">
        <f aca="false">IF(AT151="","",ROUND(AT151*(1-Справочники!$B$18),0))</f>
        <v/>
      </c>
      <c r="AZ151" s="90" t="str">
        <f aca="false">IF(AT151="","",ROUND(AT151*(1-Справочники!$B$19),0))</f>
        <v/>
      </c>
      <c r="BA151" s="81"/>
      <c r="BB151" s="81"/>
      <c r="BC151" s="81"/>
      <c r="BD151" s="81"/>
      <c r="BE151" s="91"/>
      <c r="BF151" s="81" t="s">
        <v>103</v>
      </c>
      <c r="BG151" s="89" t="n">
        <f aca="false" t="array" ref="BG151:BG151">IF(BF151="","",IFERROR(INDEX(Справочники!$B$4:$B$7,MATCH(BF151,Справочники!$A$4:$A$7,0)),""))</f>
        <v>68.5</v>
      </c>
      <c r="BH151" s="90" t="str">
        <f aca="false">IF(N(BN151)&gt;0,ROUND(SUMIF(ЗАКАЗЫ!$F$3:$F$500,$A151,ЗАКАЗЫ!$Y$3:$Y$500)/BN151,0),IF(OR(BE151="",BG151=""),"",ROUND(BE151*BG151*(1+Справочники!$B$10),0)))</f>
        <v/>
      </c>
      <c r="BI151" s="92" t="str">
        <f aca="false">IF(OR(AU151="",BH151="",AU151=0),"",(AU151-BH151)/AU151)</f>
        <v/>
      </c>
      <c r="BJ151" s="81"/>
      <c r="BK151" s="83"/>
      <c r="BL151" s="43" t="str">
        <f aca="false">IFERROR(INDEX(ЗАКАЗЫ!$N$3:$N$500,MATCH($A151,ЗАКАЗЫ!$F$3:$F$500,0)),"")</f>
        <v/>
      </c>
      <c r="BM151" s="8" t="str">
        <f aca="false">IF(BL151="","",IFERROR(VLOOKUP(BL151,'ТН ВЭД'!$A$4:$C$40,3,0),""))</f>
        <v/>
      </c>
      <c r="BN151" s="7" t="str">
        <f aca="false">IF(COUNTIF(ЗАКАЗЫ!$F$3:$F$500,$A151)=0,"",SUMIF(ЗАКАЗЫ!$F$3:$F$500,$A151,ЗАКАЗЫ!$J$3:$J$500))</f>
        <v/>
      </c>
      <c r="BO151" s="7" t="str">
        <f aca="false">IF(BN151="","",SUMIF(ЗАКАЗЫ!$F$3:$F$500,$A151,ЗАКАЗЫ!$AL$3:$AL$500))</f>
        <v/>
      </c>
      <c r="BP151" s="7" t="str">
        <f aca="false">IF(BN151="","",BN151-BO151)</f>
        <v/>
      </c>
      <c r="BQ151" s="55" t="str">
        <f aca="false">IF(BN151="","",IF(BO151&gt;=BN151,"На складе",IF(BO151&gt;0,"Частично","Ждём")))</f>
        <v/>
      </c>
      <c r="BR151" s="43"/>
      <c r="BS151" s="47" t="str">
        <f aca="false">IF(BN151="","",IF(_xlfn.MAXIFS(ЗАКАЗЫ!$AK$3:$AK$500,ЗАКАЗЫ!$F$3:$F$500,$A151)=0,"",_xlfn.MAXIFS(ЗАКАЗЫ!$AK$3:$AK$500,ЗАКАЗЫ!$F$3:$F$500,$A151)))</f>
        <v/>
      </c>
    </row>
    <row r="152" customFormat="false" ht="15.75" hidden="false" customHeight="true" outlineLevel="0" collapsed="false">
      <c r="A152" s="80" t="s">
        <v>1353</v>
      </c>
      <c r="B152" s="81"/>
      <c r="C152" s="81"/>
      <c r="D152" s="81"/>
      <c r="E152" s="83"/>
      <c r="F152" s="81"/>
      <c r="G152" s="83"/>
      <c r="H152" s="83"/>
      <c r="I152" s="84" t="str">
        <f aca="false">IF(E152="","",A152&amp;"_1.jpg")</f>
        <v/>
      </c>
      <c r="J152" s="84" t="str">
        <f aca="false">IF(E152="","",A152&amp;"_2.jpg; "&amp;A152&amp;"_3.jpg")</f>
        <v/>
      </c>
      <c r="K152" s="84" t="str">
        <f aca="false">IF(E152="","",A152&amp;"_schema.jpg")</f>
        <v/>
      </c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 t="s">
        <v>96</v>
      </c>
      <c r="W152" s="81"/>
      <c r="X152" s="81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6" t="str">
        <f aca="false">IF(SUM(Y152:AJ152)=0,"",SUM(Y152:AJ152))</f>
        <v/>
      </c>
      <c r="AL152" s="84" t="str">
        <f aca="false">MID(IF(N(Y152)&gt;0,", "&amp;Y$2,"")&amp;IF(N(Z152)&gt;0,", "&amp;Z$2,"")&amp;IF(N(AA152)&gt;0,", "&amp;AA$2,"")&amp;IF(N(AB152)&gt;0,", "&amp;AB$2,"")&amp;IF(N(AC152)&gt;0,", "&amp;AC$2,"")&amp;IF(N(AD152)&gt;0,", "&amp;AD$2,"")&amp;IF(N(AE152)&gt;0,", "&amp;AE$2,"")&amp;IF(N(AF152)&gt;0,", "&amp;AF$2,"")&amp;IF(N(AG152)&gt;0,", "&amp;AG$2,"")&amp;IF(N(AH152)&gt;0,", "&amp;AH$2,"")&amp;IF(N(AI152)&gt;0,", "&amp;AI$2,"")&amp;IF(N(AJ152)&gt;0,", "&amp;AJ$2,""),3,999)</f>
        <v/>
      </c>
      <c r="AM152" s="87" t="str">
        <f aca="false">IF(E152="","",MID(IF(N(Y152)&gt;0,", "&amp;A152&amp;"-"&amp;Y$2,"")&amp;IF(N(Z152)&gt;0,", "&amp;A152&amp;"-"&amp;Z$2,"")&amp;IF(N(AA152)&gt;0,", "&amp;A152&amp;"-"&amp;AA$2,"")&amp;IF(N(AB152)&gt;0,", "&amp;A152&amp;"-"&amp;AB$2,"")&amp;IF(N(AC152)&gt;0,", "&amp;A152&amp;"-"&amp;AC$2,"")&amp;IF(N(AD152)&gt;0,", "&amp;A152&amp;"-"&amp;AD$2,"")&amp;IF(N(AE152)&gt;0,", "&amp;A152&amp;"-"&amp;AE$2,"")&amp;IF(N(AF152)&gt;0,", "&amp;A152&amp;"-"&amp;AF$2,"")&amp;IF(N(AG152)&gt;0,", "&amp;A152&amp;"-"&amp;AG$2,"")&amp;IF(N(AH152)&gt;0,", "&amp;A152&amp;"-"&amp;AH$2,"")&amp;IF(N(AI152)&gt;0,", "&amp;A152&amp;"-"&amp;AI$2,"")&amp;IF(N(AJ152)&gt;0,", "&amp;A152&amp;"-"&amp;AJ$2,""),3,999))</f>
        <v/>
      </c>
      <c r="AN152" s="81"/>
      <c r="AO152" s="88"/>
      <c r="AP152" s="89" t="str">
        <f aca="false">IF(AO152="","",ROUND(AO152/(1+Справочники!$B$13),2))</f>
        <v/>
      </c>
      <c r="AQ152" s="90" t="str">
        <f aca="false" t="array" ref="AQ152:AQ152">IF(AP152="","",AP152*INDEX(Справочники!$B$4:$B$7,MATCH("RUB",Справочники!$A$4:$A$7,0)))</f>
        <v/>
      </c>
      <c r="AR152" s="90" t="str">
        <f aca="false">IF(AQ152="","",ROUND(AQ152*(1+Справочники!$B$12),0))</f>
        <v/>
      </c>
      <c r="AS152" s="90" t="str">
        <f aca="false">IF(AR152="","",ROUND(AR152*(1-Справочники!$B$11),0))</f>
        <v/>
      </c>
      <c r="AT152" s="88"/>
      <c r="AU152" s="90" t="str">
        <f aca="false">IF(AT152="","",ROUND(AT152/(1+Справочники!$B$12),0))</f>
        <v/>
      </c>
      <c r="AV152" s="90" t="str">
        <f aca="false">IF(AT152="","",ROUND(AT152*(1-Справочники!$B$15),0))</f>
        <v/>
      </c>
      <c r="AW152" s="90" t="str">
        <f aca="false">IF(AT152="","",ROUND(AT152*(1-Справочники!$B$16),0))</f>
        <v/>
      </c>
      <c r="AX152" s="90" t="str">
        <f aca="false">IF(AT152="","",ROUND(AT152*(1-Справочники!$B$17),0))</f>
        <v/>
      </c>
      <c r="AY152" s="90" t="str">
        <f aca="false">IF(AT152="","",ROUND(AT152*(1-Справочники!$B$18),0))</f>
        <v/>
      </c>
      <c r="AZ152" s="90" t="str">
        <f aca="false">IF(AT152="","",ROUND(AT152*(1-Справочники!$B$19),0))</f>
        <v/>
      </c>
      <c r="BA152" s="81"/>
      <c r="BB152" s="81"/>
      <c r="BC152" s="81"/>
      <c r="BD152" s="81"/>
      <c r="BE152" s="91"/>
      <c r="BF152" s="81" t="s">
        <v>103</v>
      </c>
      <c r="BG152" s="89" t="n">
        <f aca="false" t="array" ref="BG152:BG152">IF(BF152="","",IFERROR(INDEX(Справочники!$B$4:$B$7,MATCH(BF152,Справочники!$A$4:$A$7,0)),""))</f>
        <v>68.5</v>
      </c>
      <c r="BH152" s="90" t="str">
        <f aca="false">IF(N(BN152)&gt;0,ROUND(SUMIF(ЗАКАЗЫ!$F$3:$F$500,$A152,ЗАКАЗЫ!$Y$3:$Y$500)/BN152,0),IF(OR(BE152="",BG152=""),"",ROUND(BE152*BG152*(1+Справочники!$B$10),0)))</f>
        <v/>
      </c>
      <c r="BI152" s="92" t="str">
        <f aca="false">IF(OR(AU152="",BH152="",AU152=0),"",(AU152-BH152)/AU152)</f>
        <v/>
      </c>
      <c r="BJ152" s="81"/>
      <c r="BK152" s="83"/>
      <c r="BL152" s="43" t="str">
        <f aca="false">IFERROR(INDEX(ЗАКАЗЫ!$N$3:$N$500,MATCH($A152,ЗАКАЗЫ!$F$3:$F$500,0)),"")</f>
        <v/>
      </c>
      <c r="BM152" s="8" t="str">
        <f aca="false">IF(BL152="","",IFERROR(VLOOKUP(BL152,'ТН ВЭД'!$A$4:$C$40,3,0),""))</f>
        <v/>
      </c>
      <c r="BN152" s="7" t="str">
        <f aca="false">IF(COUNTIF(ЗАКАЗЫ!$F$3:$F$500,$A152)=0,"",SUMIF(ЗАКАЗЫ!$F$3:$F$500,$A152,ЗАКАЗЫ!$J$3:$J$500))</f>
        <v/>
      </c>
      <c r="BO152" s="7" t="str">
        <f aca="false">IF(BN152="","",SUMIF(ЗАКАЗЫ!$F$3:$F$500,$A152,ЗАКАЗЫ!$AL$3:$AL$500))</f>
        <v/>
      </c>
      <c r="BP152" s="7" t="str">
        <f aca="false">IF(BN152="","",BN152-BO152)</f>
        <v/>
      </c>
      <c r="BQ152" s="55" t="str">
        <f aca="false">IF(BN152="","",IF(BO152&gt;=BN152,"На складе",IF(BO152&gt;0,"Частично","Ждём")))</f>
        <v/>
      </c>
      <c r="BR152" s="43"/>
      <c r="BS152" s="47" t="str">
        <f aca="false">IF(BN152="","",IF(_xlfn.MAXIFS(ЗАКАЗЫ!$AK$3:$AK$500,ЗАКАЗЫ!$F$3:$F$500,$A152)=0,"",_xlfn.MAXIFS(ЗАКАЗЫ!$AK$3:$AK$500,ЗАКАЗЫ!$F$3:$F$500,$A152)))</f>
        <v/>
      </c>
    </row>
    <row r="153" customFormat="false" ht="15.75" hidden="false" customHeight="true" outlineLevel="0" collapsed="false">
      <c r="A153" s="80" t="s">
        <v>1354</v>
      </c>
      <c r="B153" s="81"/>
      <c r="C153" s="81"/>
      <c r="D153" s="81"/>
      <c r="E153" s="83"/>
      <c r="F153" s="81"/>
      <c r="G153" s="83"/>
      <c r="H153" s="83"/>
      <c r="I153" s="84" t="str">
        <f aca="false">IF(E153="","",A153&amp;"_1.jpg")</f>
        <v/>
      </c>
      <c r="J153" s="84" t="str">
        <f aca="false">IF(E153="","",A153&amp;"_2.jpg; "&amp;A153&amp;"_3.jpg")</f>
        <v/>
      </c>
      <c r="K153" s="84" t="str">
        <f aca="false">IF(E153="","",A153&amp;"_schema.jpg")</f>
        <v/>
      </c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 t="s">
        <v>96</v>
      </c>
      <c r="W153" s="81"/>
      <c r="X153" s="81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6" t="str">
        <f aca="false">IF(SUM(Y153:AJ153)=0,"",SUM(Y153:AJ153))</f>
        <v/>
      </c>
      <c r="AL153" s="84" t="str">
        <f aca="false">MID(IF(N(Y153)&gt;0,", "&amp;Y$2,"")&amp;IF(N(Z153)&gt;0,", "&amp;Z$2,"")&amp;IF(N(AA153)&gt;0,", "&amp;AA$2,"")&amp;IF(N(AB153)&gt;0,", "&amp;AB$2,"")&amp;IF(N(AC153)&gt;0,", "&amp;AC$2,"")&amp;IF(N(AD153)&gt;0,", "&amp;AD$2,"")&amp;IF(N(AE153)&gt;0,", "&amp;AE$2,"")&amp;IF(N(AF153)&gt;0,", "&amp;AF$2,"")&amp;IF(N(AG153)&gt;0,", "&amp;AG$2,"")&amp;IF(N(AH153)&gt;0,", "&amp;AH$2,"")&amp;IF(N(AI153)&gt;0,", "&amp;AI$2,"")&amp;IF(N(AJ153)&gt;0,", "&amp;AJ$2,""),3,999)</f>
        <v/>
      </c>
      <c r="AM153" s="87" t="str">
        <f aca="false">IF(E153="","",MID(IF(N(Y153)&gt;0,", "&amp;A153&amp;"-"&amp;Y$2,"")&amp;IF(N(Z153)&gt;0,", "&amp;A153&amp;"-"&amp;Z$2,"")&amp;IF(N(AA153)&gt;0,", "&amp;A153&amp;"-"&amp;AA$2,"")&amp;IF(N(AB153)&gt;0,", "&amp;A153&amp;"-"&amp;AB$2,"")&amp;IF(N(AC153)&gt;0,", "&amp;A153&amp;"-"&amp;AC$2,"")&amp;IF(N(AD153)&gt;0,", "&amp;A153&amp;"-"&amp;AD$2,"")&amp;IF(N(AE153)&gt;0,", "&amp;A153&amp;"-"&amp;AE$2,"")&amp;IF(N(AF153)&gt;0,", "&amp;A153&amp;"-"&amp;AF$2,"")&amp;IF(N(AG153)&gt;0,", "&amp;A153&amp;"-"&amp;AG$2,"")&amp;IF(N(AH153)&gt;0,", "&amp;A153&amp;"-"&amp;AH$2,"")&amp;IF(N(AI153)&gt;0,", "&amp;A153&amp;"-"&amp;AI$2,"")&amp;IF(N(AJ153)&gt;0,", "&amp;A153&amp;"-"&amp;AJ$2,""),3,999))</f>
        <v/>
      </c>
      <c r="AN153" s="81"/>
      <c r="AO153" s="88"/>
      <c r="AP153" s="89" t="str">
        <f aca="false">IF(AO153="","",ROUND(AO153/(1+Справочники!$B$13),2))</f>
        <v/>
      </c>
      <c r="AQ153" s="90" t="str">
        <f aca="false" t="array" ref="AQ153:AQ153">IF(AP153="","",AP153*INDEX(Справочники!$B$4:$B$7,MATCH("RUB",Справочники!$A$4:$A$7,0)))</f>
        <v/>
      </c>
      <c r="AR153" s="90" t="str">
        <f aca="false">IF(AQ153="","",ROUND(AQ153*(1+Справочники!$B$12),0))</f>
        <v/>
      </c>
      <c r="AS153" s="90" t="str">
        <f aca="false">IF(AR153="","",ROUND(AR153*(1-Справочники!$B$11),0))</f>
        <v/>
      </c>
      <c r="AT153" s="88"/>
      <c r="AU153" s="90" t="str">
        <f aca="false">IF(AT153="","",ROUND(AT153/(1+Справочники!$B$12),0))</f>
        <v/>
      </c>
      <c r="AV153" s="90" t="str">
        <f aca="false">IF(AT153="","",ROUND(AT153*(1-Справочники!$B$15),0))</f>
        <v/>
      </c>
      <c r="AW153" s="90" t="str">
        <f aca="false">IF(AT153="","",ROUND(AT153*(1-Справочники!$B$16),0))</f>
        <v/>
      </c>
      <c r="AX153" s="90" t="str">
        <f aca="false">IF(AT153="","",ROUND(AT153*(1-Справочники!$B$17),0))</f>
        <v/>
      </c>
      <c r="AY153" s="90" t="str">
        <f aca="false">IF(AT153="","",ROUND(AT153*(1-Справочники!$B$18),0))</f>
        <v/>
      </c>
      <c r="AZ153" s="90" t="str">
        <f aca="false">IF(AT153="","",ROUND(AT153*(1-Справочники!$B$19),0))</f>
        <v/>
      </c>
      <c r="BA153" s="81"/>
      <c r="BB153" s="81"/>
      <c r="BC153" s="81"/>
      <c r="BD153" s="81"/>
      <c r="BE153" s="91"/>
      <c r="BF153" s="81" t="s">
        <v>103</v>
      </c>
      <c r="BG153" s="89" t="n">
        <f aca="false" t="array" ref="BG153:BG153">IF(BF153="","",IFERROR(INDEX(Справочники!$B$4:$B$7,MATCH(BF153,Справочники!$A$4:$A$7,0)),""))</f>
        <v>68.5</v>
      </c>
      <c r="BH153" s="90" t="str">
        <f aca="false">IF(N(BN153)&gt;0,ROUND(SUMIF(ЗАКАЗЫ!$F$3:$F$500,$A153,ЗАКАЗЫ!$Y$3:$Y$500)/BN153,0),IF(OR(BE153="",BG153=""),"",ROUND(BE153*BG153*(1+Справочники!$B$10),0)))</f>
        <v/>
      </c>
      <c r="BI153" s="92" t="str">
        <f aca="false">IF(OR(AU153="",BH153="",AU153=0),"",(AU153-BH153)/AU153)</f>
        <v/>
      </c>
      <c r="BJ153" s="81"/>
      <c r="BK153" s="83"/>
      <c r="BL153" s="43" t="str">
        <f aca="false">IFERROR(INDEX(ЗАКАЗЫ!$N$3:$N$500,MATCH($A153,ЗАКАЗЫ!$F$3:$F$500,0)),"")</f>
        <v/>
      </c>
      <c r="BM153" s="8" t="str">
        <f aca="false">IF(BL153="","",IFERROR(VLOOKUP(BL153,'ТН ВЭД'!$A$4:$C$40,3,0),""))</f>
        <v/>
      </c>
      <c r="BN153" s="7" t="str">
        <f aca="false">IF(COUNTIF(ЗАКАЗЫ!$F$3:$F$500,$A153)=0,"",SUMIF(ЗАКАЗЫ!$F$3:$F$500,$A153,ЗАКАЗЫ!$J$3:$J$500))</f>
        <v/>
      </c>
      <c r="BO153" s="7" t="str">
        <f aca="false">IF(BN153="","",SUMIF(ЗАКАЗЫ!$F$3:$F$500,$A153,ЗАКАЗЫ!$AL$3:$AL$500))</f>
        <v/>
      </c>
      <c r="BP153" s="7" t="str">
        <f aca="false">IF(BN153="","",BN153-BO153)</f>
        <v/>
      </c>
      <c r="BQ153" s="55" t="str">
        <f aca="false">IF(BN153="","",IF(BO153&gt;=BN153,"На складе",IF(BO153&gt;0,"Частично","Ждём")))</f>
        <v/>
      </c>
      <c r="BR153" s="43"/>
      <c r="BS153" s="47" t="str">
        <f aca="false">IF(BN153="","",IF(_xlfn.MAXIFS(ЗАКАЗЫ!$AK$3:$AK$500,ЗАКАЗЫ!$F$3:$F$500,$A153)=0,"",_xlfn.MAXIFS(ЗАКАЗЫ!$AK$3:$AK$500,ЗАКАЗЫ!$F$3:$F$500,$A153)))</f>
        <v/>
      </c>
    </row>
    <row r="154" customFormat="false" ht="15.75" hidden="false" customHeight="true" outlineLevel="0" collapsed="false">
      <c r="A154" s="80" t="s">
        <v>1355</v>
      </c>
      <c r="B154" s="81"/>
      <c r="C154" s="81"/>
      <c r="D154" s="81"/>
      <c r="E154" s="83"/>
      <c r="F154" s="81"/>
      <c r="G154" s="83"/>
      <c r="H154" s="83"/>
      <c r="I154" s="84" t="str">
        <f aca="false">IF(E154="","",A154&amp;"_1.jpg")</f>
        <v/>
      </c>
      <c r="J154" s="84" t="str">
        <f aca="false">IF(E154="","",A154&amp;"_2.jpg; "&amp;A154&amp;"_3.jpg")</f>
        <v/>
      </c>
      <c r="K154" s="84" t="str">
        <f aca="false">IF(E154="","",A154&amp;"_schema.jpg")</f>
        <v/>
      </c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 t="s">
        <v>96</v>
      </c>
      <c r="W154" s="81"/>
      <c r="X154" s="81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6" t="str">
        <f aca="false">IF(SUM(Y154:AJ154)=0,"",SUM(Y154:AJ154))</f>
        <v/>
      </c>
      <c r="AL154" s="84" t="str">
        <f aca="false">MID(IF(N(Y154)&gt;0,", "&amp;Y$2,"")&amp;IF(N(Z154)&gt;0,", "&amp;Z$2,"")&amp;IF(N(AA154)&gt;0,", "&amp;AA$2,"")&amp;IF(N(AB154)&gt;0,", "&amp;AB$2,"")&amp;IF(N(AC154)&gt;0,", "&amp;AC$2,"")&amp;IF(N(AD154)&gt;0,", "&amp;AD$2,"")&amp;IF(N(AE154)&gt;0,", "&amp;AE$2,"")&amp;IF(N(AF154)&gt;0,", "&amp;AF$2,"")&amp;IF(N(AG154)&gt;0,", "&amp;AG$2,"")&amp;IF(N(AH154)&gt;0,", "&amp;AH$2,"")&amp;IF(N(AI154)&gt;0,", "&amp;AI$2,"")&amp;IF(N(AJ154)&gt;0,", "&amp;AJ$2,""),3,999)</f>
        <v/>
      </c>
      <c r="AM154" s="87" t="str">
        <f aca="false">IF(E154="","",MID(IF(N(Y154)&gt;0,", "&amp;A154&amp;"-"&amp;Y$2,"")&amp;IF(N(Z154)&gt;0,", "&amp;A154&amp;"-"&amp;Z$2,"")&amp;IF(N(AA154)&gt;0,", "&amp;A154&amp;"-"&amp;AA$2,"")&amp;IF(N(AB154)&gt;0,", "&amp;A154&amp;"-"&amp;AB$2,"")&amp;IF(N(AC154)&gt;0,", "&amp;A154&amp;"-"&amp;AC$2,"")&amp;IF(N(AD154)&gt;0,", "&amp;A154&amp;"-"&amp;AD$2,"")&amp;IF(N(AE154)&gt;0,", "&amp;A154&amp;"-"&amp;AE$2,"")&amp;IF(N(AF154)&gt;0,", "&amp;A154&amp;"-"&amp;AF$2,"")&amp;IF(N(AG154)&gt;0,", "&amp;A154&amp;"-"&amp;AG$2,"")&amp;IF(N(AH154)&gt;0,", "&amp;A154&amp;"-"&amp;AH$2,"")&amp;IF(N(AI154)&gt;0,", "&amp;A154&amp;"-"&amp;AI$2,"")&amp;IF(N(AJ154)&gt;0,", "&amp;A154&amp;"-"&amp;AJ$2,""),3,999))</f>
        <v/>
      </c>
      <c r="AN154" s="81"/>
      <c r="AO154" s="88"/>
      <c r="AP154" s="89" t="str">
        <f aca="false">IF(AO154="","",ROUND(AO154/(1+Справочники!$B$13),2))</f>
        <v/>
      </c>
      <c r="AQ154" s="90" t="str">
        <f aca="false" t="array" ref="AQ154:AQ154">IF(AP154="","",AP154*INDEX(Справочники!$B$4:$B$7,MATCH("RUB",Справочники!$A$4:$A$7,0)))</f>
        <v/>
      </c>
      <c r="AR154" s="90" t="str">
        <f aca="false">IF(AQ154="","",ROUND(AQ154*(1+Справочники!$B$12),0))</f>
        <v/>
      </c>
      <c r="AS154" s="90" t="str">
        <f aca="false">IF(AR154="","",ROUND(AR154*(1-Справочники!$B$11),0))</f>
        <v/>
      </c>
      <c r="AT154" s="88"/>
      <c r="AU154" s="90" t="str">
        <f aca="false">IF(AT154="","",ROUND(AT154/(1+Справочники!$B$12),0))</f>
        <v/>
      </c>
      <c r="AV154" s="90" t="str">
        <f aca="false">IF(AT154="","",ROUND(AT154*(1-Справочники!$B$15),0))</f>
        <v/>
      </c>
      <c r="AW154" s="90" t="str">
        <f aca="false">IF(AT154="","",ROUND(AT154*(1-Справочники!$B$16),0))</f>
        <v/>
      </c>
      <c r="AX154" s="90" t="str">
        <f aca="false">IF(AT154="","",ROUND(AT154*(1-Справочники!$B$17),0))</f>
        <v/>
      </c>
      <c r="AY154" s="90" t="str">
        <f aca="false">IF(AT154="","",ROUND(AT154*(1-Справочники!$B$18),0))</f>
        <v/>
      </c>
      <c r="AZ154" s="90" t="str">
        <f aca="false">IF(AT154="","",ROUND(AT154*(1-Справочники!$B$19),0))</f>
        <v/>
      </c>
      <c r="BA154" s="81"/>
      <c r="BB154" s="81"/>
      <c r="BC154" s="81"/>
      <c r="BD154" s="81"/>
      <c r="BE154" s="91"/>
      <c r="BF154" s="81" t="s">
        <v>103</v>
      </c>
      <c r="BG154" s="89" t="n">
        <f aca="false" t="array" ref="BG154:BG154">IF(BF154="","",IFERROR(INDEX(Справочники!$B$4:$B$7,MATCH(BF154,Справочники!$A$4:$A$7,0)),""))</f>
        <v>68.5</v>
      </c>
      <c r="BH154" s="90" t="str">
        <f aca="false">IF(N(BN154)&gt;0,ROUND(SUMIF(ЗАКАЗЫ!$F$3:$F$500,$A154,ЗАКАЗЫ!$Y$3:$Y$500)/BN154,0),IF(OR(BE154="",BG154=""),"",ROUND(BE154*BG154*(1+Справочники!$B$10),0)))</f>
        <v/>
      </c>
      <c r="BI154" s="92" t="str">
        <f aca="false">IF(OR(AU154="",BH154="",AU154=0),"",(AU154-BH154)/AU154)</f>
        <v/>
      </c>
      <c r="BJ154" s="81"/>
      <c r="BK154" s="83"/>
      <c r="BL154" s="43" t="str">
        <f aca="false">IFERROR(INDEX(ЗАКАЗЫ!$N$3:$N$500,MATCH($A154,ЗАКАЗЫ!$F$3:$F$500,0)),"")</f>
        <v/>
      </c>
      <c r="BM154" s="8" t="str">
        <f aca="false">IF(BL154="","",IFERROR(VLOOKUP(BL154,'ТН ВЭД'!$A$4:$C$40,3,0),""))</f>
        <v/>
      </c>
      <c r="BN154" s="7" t="str">
        <f aca="false">IF(COUNTIF(ЗАКАЗЫ!$F$3:$F$500,$A154)=0,"",SUMIF(ЗАКАЗЫ!$F$3:$F$500,$A154,ЗАКАЗЫ!$J$3:$J$500))</f>
        <v/>
      </c>
      <c r="BO154" s="7" t="str">
        <f aca="false">IF(BN154="","",SUMIF(ЗАКАЗЫ!$F$3:$F$500,$A154,ЗАКАЗЫ!$AL$3:$AL$500))</f>
        <v/>
      </c>
      <c r="BP154" s="7" t="str">
        <f aca="false">IF(BN154="","",BN154-BO154)</f>
        <v/>
      </c>
      <c r="BQ154" s="55" t="str">
        <f aca="false">IF(BN154="","",IF(BO154&gt;=BN154,"На складе",IF(BO154&gt;0,"Частично","Ждём")))</f>
        <v/>
      </c>
      <c r="BR154" s="43"/>
      <c r="BS154" s="47" t="str">
        <f aca="false">IF(BN154="","",IF(_xlfn.MAXIFS(ЗАКАЗЫ!$AK$3:$AK$500,ЗАКАЗЫ!$F$3:$F$500,$A154)=0,"",_xlfn.MAXIFS(ЗАКАЗЫ!$AK$3:$AK$500,ЗАКАЗЫ!$F$3:$F$500,$A154)))</f>
        <v/>
      </c>
    </row>
    <row r="155" customFormat="false" ht="15.75" hidden="false" customHeight="true" outlineLevel="0" collapsed="false">
      <c r="A155" s="80" t="s">
        <v>1356</v>
      </c>
      <c r="B155" s="81"/>
      <c r="C155" s="81"/>
      <c r="D155" s="81"/>
      <c r="E155" s="83"/>
      <c r="F155" s="81"/>
      <c r="G155" s="83"/>
      <c r="H155" s="83"/>
      <c r="I155" s="84" t="str">
        <f aca="false">IF(E155="","",A155&amp;"_1.jpg")</f>
        <v/>
      </c>
      <c r="J155" s="84" t="str">
        <f aca="false">IF(E155="","",A155&amp;"_2.jpg; "&amp;A155&amp;"_3.jpg")</f>
        <v/>
      </c>
      <c r="K155" s="84" t="str">
        <f aca="false">IF(E155="","",A155&amp;"_schema.jpg")</f>
        <v/>
      </c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 t="s">
        <v>96</v>
      </c>
      <c r="W155" s="81"/>
      <c r="X155" s="81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6" t="str">
        <f aca="false">IF(SUM(Y155:AJ155)=0,"",SUM(Y155:AJ155))</f>
        <v/>
      </c>
      <c r="AL155" s="84" t="str">
        <f aca="false">MID(IF(N(Y155)&gt;0,", "&amp;Y$2,"")&amp;IF(N(Z155)&gt;0,", "&amp;Z$2,"")&amp;IF(N(AA155)&gt;0,", "&amp;AA$2,"")&amp;IF(N(AB155)&gt;0,", "&amp;AB$2,"")&amp;IF(N(AC155)&gt;0,", "&amp;AC$2,"")&amp;IF(N(AD155)&gt;0,", "&amp;AD$2,"")&amp;IF(N(AE155)&gt;0,", "&amp;AE$2,"")&amp;IF(N(AF155)&gt;0,", "&amp;AF$2,"")&amp;IF(N(AG155)&gt;0,", "&amp;AG$2,"")&amp;IF(N(AH155)&gt;0,", "&amp;AH$2,"")&amp;IF(N(AI155)&gt;0,", "&amp;AI$2,"")&amp;IF(N(AJ155)&gt;0,", "&amp;AJ$2,""),3,999)</f>
        <v/>
      </c>
      <c r="AM155" s="87" t="str">
        <f aca="false">IF(E155="","",MID(IF(N(Y155)&gt;0,", "&amp;A155&amp;"-"&amp;Y$2,"")&amp;IF(N(Z155)&gt;0,", "&amp;A155&amp;"-"&amp;Z$2,"")&amp;IF(N(AA155)&gt;0,", "&amp;A155&amp;"-"&amp;AA$2,"")&amp;IF(N(AB155)&gt;0,", "&amp;A155&amp;"-"&amp;AB$2,"")&amp;IF(N(AC155)&gt;0,", "&amp;A155&amp;"-"&amp;AC$2,"")&amp;IF(N(AD155)&gt;0,", "&amp;A155&amp;"-"&amp;AD$2,"")&amp;IF(N(AE155)&gt;0,", "&amp;A155&amp;"-"&amp;AE$2,"")&amp;IF(N(AF155)&gt;0,", "&amp;A155&amp;"-"&amp;AF$2,"")&amp;IF(N(AG155)&gt;0,", "&amp;A155&amp;"-"&amp;AG$2,"")&amp;IF(N(AH155)&gt;0,", "&amp;A155&amp;"-"&amp;AH$2,"")&amp;IF(N(AI155)&gt;0,", "&amp;A155&amp;"-"&amp;AI$2,"")&amp;IF(N(AJ155)&gt;0,", "&amp;A155&amp;"-"&amp;AJ$2,""),3,999))</f>
        <v/>
      </c>
      <c r="AN155" s="81"/>
      <c r="AO155" s="88"/>
      <c r="AP155" s="89" t="str">
        <f aca="false">IF(AO155="","",ROUND(AO155/(1+Справочники!$B$13),2))</f>
        <v/>
      </c>
      <c r="AQ155" s="90" t="str">
        <f aca="false" t="array" ref="AQ155:AQ155">IF(AP155="","",AP155*INDEX(Справочники!$B$4:$B$7,MATCH("RUB",Справочники!$A$4:$A$7,0)))</f>
        <v/>
      </c>
      <c r="AR155" s="90" t="str">
        <f aca="false">IF(AQ155="","",ROUND(AQ155*(1+Справочники!$B$12),0))</f>
        <v/>
      </c>
      <c r="AS155" s="90" t="str">
        <f aca="false">IF(AR155="","",ROUND(AR155*(1-Справочники!$B$11),0))</f>
        <v/>
      </c>
      <c r="AT155" s="88"/>
      <c r="AU155" s="90" t="str">
        <f aca="false">IF(AT155="","",ROUND(AT155/(1+Справочники!$B$12),0))</f>
        <v/>
      </c>
      <c r="AV155" s="90" t="str">
        <f aca="false">IF(AT155="","",ROUND(AT155*(1-Справочники!$B$15),0))</f>
        <v/>
      </c>
      <c r="AW155" s="90" t="str">
        <f aca="false">IF(AT155="","",ROUND(AT155*(1-Справочники!$B$16),0))</f>
        <v/>
      </c>
      <c r="AX155" s="90" t="str">
        <f aca="false">IF(AT155="","",ROUND(AT155*(1-Справочники!$B$17),0))</f>
        <v/>
      </c>
      <c r="AY155" s="90" t="str">
        <f aca="false">IF(AT155="","",ROUND(AT155*(1-Справочники!$B$18),0))</f>
        <v/>
      </c>
      <c r="AZ155" s="90" t="str">
        <f aca="false">IF(AT155="","",ROUND(AT155*(1-Справочники!$B$19),0))</f>
        <v/>
      </c>
      <c r="BA155" s="81"/>
      <c r="BB155" s="81"/>
      <c r="BC155" s="81"/>
      <c r="BD155" s="81"/>
      <c r="BE155" s="91"/>
      <c r="BF155" s="81" t="s">
        <v>103</v>
      </c>
      <c r="BG155" s="89" t="n">
        <f aca="false" t="array" ref="BG155:BG155">IF(BF155="","",IFERROR(INDEX(Справочники!$B$4:$B$7,MATCH(BF155,Справочники!$A$4:$A$7,0)),""))</f>
        <v>68.5</v>
      </c>
      <c r="BH155" s="90" t="str">
        <f aca="false">IF(N(BN155)&gt;0,ROUND(SUMIF(ЗАКАЗЫ!$F$3:$F$500,$A155,ЗАКАЗЫ!$Y$3:$Y$500)/BN155,0),IF(OR(BE155="",BG155=""),"",ROUND(BE155*BG155*(1+Справочники!$B$10),0)))</f>
        <v/>
      </c>
      <c r="BI155" s="92" t="str">
        <f aca="false">IF(OR(AU155="",BH155="",AU155=0),"",(AU155-BH155)/AU155)</f>
        <v/>
      </c>
      <c r="BJ155" s="81"/>
      <c r="BK155" s="83"/>
      <c r="BL155" s="43" t="str">
        <f aca="false">IFERROR(INDEX(ЗАКАЗЫ!$N$3:$N$500,MATCH($A155,ЗАКАЗЫ!$F$3:$F$500,0)),"")</f>
        <v/>
      </c>
      <c r="BM155" s="8" t="str">
        <f aca="false">IF(BL155="","",IFERROR(VLOOKUP(BL155,'ТН ВЭД'!$A$4:$C$40,3,0),""))</f>
        <v/>
      </c>
      <c r="BN155" s="7" t="str">
        <f aca="false">IF(COUNTIF(ЗАКАЗЫ!$F$3:$F$500,$A155)=0,"",SUMIF(ЗАКАЗЫ!$F$3:$F$500,$A155,ЗАКАЗЫ!$J$3:$J$500))</f>
        <v/>
      </c>
      <c r="BO155" s="7" t="str">
        <f aca="false">IF(BN155="","",SUMIF(ЗАКАЗЫ!$F$3:$F$500,$A155,ЗАКАЗЫ!$AL$3:$AL$500))</f>
        <v/>
      </c>
      <c r="BP155" s="7" t="str">
        <f aca="false">IF(BN155="","",BN155-BO155)</f>
        <v/>
      </c>
      <c r="BQ155" s="55" t="str">
        <f aca="false">IF(BN155="","",IF(BO155&gt;=BN155,"На складе",IF(BO155&gt;0,"Частично","Ждём")))</f>
        <v/>
      </c>
      <c r="BR155" s="43"/>
      <c r="BS155" s="47" t="str">
        <f aca="false">IF(BN155="","",IF(_xlfn.MAXIFS(ЗАКАЗЫ!$AK$3:$AK$500,ЗАКАЗЫ!$F$3:$F$500,$A155)=0,"",_xlfn.MAXIFS(ЗАКАЗЫ!$AK$3:$AK$500,ЗАКАЗЫ!$F$3:$F$500,$A155)))</f>
        <v/>
      </c>
    </row>
    <row r="156" customFormat="false" ht="15.75" hidden="false" customHeight="true" outlineLevel="0" collapsed="false">
      <c r="A156" s="80" t="s">
        <v>1357</v>
      </c>
      <c r="B156" s="81"/>
      <c r="C156" s="81"/>
      <c r="D156" s="81"/>
      <c r="E156" s="83"/>
      <c r="F156" s="81"/>
      <c r="G156" s="83"/>
      <c r="H156" s="83"/>
      <c r="I156" s="84" t="str">
        <f aca="false">IF(E156="","",A156&amp;"_1.jpg")</f>
        <v/>
      </c>
      <c r="J156" s="84" t="str">
        <f aca="false">IF(E156="","",A156&amp;"_2.jpg; "&amp;A156&amp;"_3.jpg")</f>
        <v/>
      </c>
      <c r="K156" s="84" t="str">
        <f aca="false">IF(E156="","",A156&amp;"_schema.jpg")</f>
        <v/>
      </c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 t="s">
        <v>96</v>
      </c>
      <c r="W156" s="81"/>
      <c r="X156" s="81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6" t="str">
        <f aca="false">IF(SUM(Y156:AJ156)=0,"",SUM(Y156:AJ156))</f>
        <v/>
      </c>
      <c r="AL156" s="84" t="str">
        <f aca="false">MID(IF(N(Y156)&gt;0,", "&amp;Y$2,"")&amp;IF(N(Z156)&gt;0,", "&amp;Z$2,"")&amp;IF(N(AA156)&gt;0,", "&amp;AA$2,"")&amp;IF(N(AB156)&gt;0,", "&amp;AB$2,"")&amp;IF(N(AC156)&gt;0,", "&amp;AC$2,"")&amp;IF(N(AD156)&gt;0,", "&amp;AD$2,"")&amp;IF(N(AE156)&gt;0,", "&amp;AE$2,"")&amp;IF(N(AF156)&gt;0,", "&amp;AF$2,"")&amp;IF(N(AG156)&gt;0,", "&amp;AG$2,"")&amp;IF(N(AH156)&gt;0,", "&amp;AH$2,"")&amp;IF(N(AI156)&gt;0,", "&amp;AI$2,"")&amp;IF(N(AJ156)&gt;0,", "&amp;AJ$2,""),3,999)</f>
        <v/>
      </c>
      <c r="AM156" s="87" t="str">
        <f aca="false">IF(E156="","",MID(IF(N(Y156)&gt;0,", "&amp;A156&amp;"-"&amp;Y$2,"")&amp;IF(N(Z156)&gt;0,", "&amp;A156&amp;"-"&amp;Z$2,"")&amp;IF(N(AA156)&gt;0,", "&amp;A156&amp;"-"&amp;AA$2,"")&amp;IF(N(AB156)&gt;0,", "&amp;A156&amp;"-"&amp;AB$2,"")&amp;IF(N(AC156)&gt;0,", "&amp;A156&amp;"-"&amp;AC$2,"")&amp;IF(N(AD156)&gt;0,", "&amp;A156&amp;"-"&amp;AD$2,"")&amp;IF(N(AE156)&gt;0,", "&amp;A156&amp;"-"&amp;AE$2,"")&amp;IF(N(AF156)&gt;0,", "&amp;A156&amp;"-"&amp;AF$2,"")&amp;IF(N(AG156)&gt;0,", "&amp;A156&amp;"-"&amp;AG$2,"")&amp;IF(N(AH156)&gt;0,", "&amp;A156&amp;"-"&amp;AH$2,"")&amp;IF(N(AI156)&gt;0,", "&amp;A156&amp;"-"&amp;AI$2,"")&amp;IF(N(AJ156)&gt;0,", "&amp;A156&amp;"-"&amp;AJ$2,""),3,999))</f>
        <v/>
      </c>
      <c r="AN156" s="81"/>
      <c r="AO156" s="88"/>
      <c r="AP156" s="89" t="str">
        <f aca="false">IF(AO156="","",ROUND(AO156/(1+Справочники!$B$13),2))</f>
        <v/>
      </c>
      <c r="AQ156" s="90" t="str">
        <f aca="false" t="array" ref="AQ156:AQ156">IF(AP156="","",AP156*INDEX(Справочники!$B$4:$B$7,MATCH("RUB",Справочники!$A$4:$A$7,0)))</f>
        <v/>
      </c>
      <c r="AR156" s="90" t="str">
        <f aca="false">IF(AQ156="","",ROUND(AQ156*(1+Справочники!$B$12),0))</f>
        <v/>
      </c>
      <c r="AS156" s="90" t="str">
        <f aca="false">IF(AR156="","",ROUND(AR156*(1-Справочники!$B$11),0))</f>
        <v/>
      </c>
      <c r="AT156" s="88"/>
      <c r="AU156" s="90" t="str">
        <f aca="false">IF(AT156="","",ROUND(AT156/(1+Справочники!$B$12),0))</f>
        <v/>
      </c>
      <c r="AV156" s="90" t="str">
        <f aca="false">IF(AT156="","",ROUND(AT156*(1-Справочники!$B$15),0))</f>
        <v/>
      </c>
      <c r="AW156" s="90" t="str">
        <f aca="false">IF(AT156="","",ROUND(AT156*(1-Справочники!$B$16),0))</f>
        <v/>
      </c>
      <c r="AX156" s="90" t="str">
        <f aca="false">IF(AT156="","",ROUND(AT156*(1-Справочники!$B$17),0))</f>
        <v/>
      </c>
      <c r="AY156" s="90" t="str">
        <f aca="false">IF(AT156="","",ROUND(AT156*(1-Справочники!$B$18),0))</f>
        <v/>
      </c>
      <c r="AZ156" s="90" t="str">
        <f aca="false">IF(AT156="","",ROUND(AT156*(1-Справочники!$B$19),0))</f>
        <v/>
      </c>
      <c r="BA156" s="81"/>
      <c r="BB156" s="81"/>
      <c r="BC156" s="81"/>
      <c r="BD156" s="81"/>
      <c r="BE156" s="91"/>
      <c r="BF156" s="81" t="s">
        <v>103</v>
      </c>
      <c r="BG156" s="89" t="n">
        <f aca="false" t="array" ref="BG156:BG156">IF(BF156="","",IFERROR(INDEX(Справочники!$B$4:$B$7,MATCH(BF156,Справочники!$A$4:$A$7,0)),""))</f>
        <v>68.5</v>
      </c>
      <c r="BH156" s="90" t="str">
        <f aca="false">IF(N(BN156)&gt;0,ROUND(SUMIF(ЗАКАЗЫ!$F$3:$F$500,$A156,ЗАКАЗЫ!$Y$3:$Y$500)/BN156,0),IF(OR(BE156="",BG156=""),"",ROUND(BE156*BG156*(1+Справочники!$B$10),0)))</f>
        <v/>
      </c>
      <c r="BI156" s="92" t="str">
        <f aca="false">IF(OR(AU156="",BH156="",AU156=0),"",(AU156-BH156)/AU156)</f>
        <v/>
      </c>
      <c r="BJ156" s="81"/>
      <c r="BK156" s="83"/>
      <c r="BL156" s="43" t="str">
        <f aca="false">IFERROR(INDEX(ЗАКАЗЫ!$N$3:$N$500,MATCH($A156,ЗАКАЗЫ!$F$3:$F$500,0)),"")</f>
        <v/>
      </c>
      <c r="BM156" s="8" t="str">
        <f aca="false">IF(BL156="","",IFERROR(VLOOKUP(BL156,'ТН ВЭД'!$A$4:$C$40,3,0),""))</f>
        <v/>
      </c>
      <c r="BN156" s="7" t="str">
        <f aca="false">IF(COUNTIF(ЗАКАЗЫ!$F$3:$F$500,$A156)=0,"",SUMIF(ЗАКАЗЫ!$F$3:$F$500,$A156,ЗАКАЗЫ!$J$3:$J$500))</f>
        <v/>
      </c>
      <c r="BO156" s="7" t="str">
        <f aca="false">IF(BN156="","",SUMIF(ЗАКАЗЫ!$F$3:$F$500,$A156,ЗАКАЗЫ!$AL$3:$AL$500))</f>
        <v/>
      </c>
      <c r="BP156" s="7" t="str">
        <f aca="false">IF(BN156="","",BN156-BO156)</f>
        <v/>
      </c>
      <c r="BQ156" s="55" t="str">
        <f aca="false">IF(BN156="","",IF(BO156&gt;=BN156,"На складе",IF(BO156&gt;0,"Частично","Ждём")))</f>
        <v/>
      </c>
      <c r="BR156" s="43"/>
      <c r="BS156" s="47" t="str">
        <f aca="false">IF(BN156="","",IF(_xlfn.MAXIFS(ЗАКАЗЫ!$AK$3:$AK$500,ЗАКАЗЫ!$F$3:$F$500,$A156)=0,"",_xlfn.MAXIFS(ЗАКАЗЫ!$AK$3:$AK$500,ЗАКАЗЫ!$F$3:$F$500,$A156)))</f>
        <v/>
      </c>
    </row>
    <row r="157" customFormat="false" ht="15.75" hidden="false" customHeight="true" outlineLevel="0" collapsed="false">
      <c r="A157" s="80" t="s">
        <v>1358</v>
      </c>
      <c r="B157" s="81"/>
      <c r="C157" s="81"/>
      <c r="D157" s="81"/>
      <c r="E157" s="83"/>
      <c r="F157" s="81"/>
      <c r="G157" s="83"/>
      <c r="H157" s="83"/>
      <c r="I157" s="84" t="str">
        <f aca="false">IF(E157="","",A157&amp;"_1.jpg")</f>
        <v/>
      </c>
      <c r="J157" s="84" t="str">
        <f aca="false">IF(E157="","",A157&amp;"_2.jpg; "&amp;A157&amp;"_3.jpg")</f>
        <v/>
      </c>
      <c r="K157" s="84" t="str">
        <f aca="false">IF(E157="","",A157&amp;"_schema.jpg")</f>
        <v/>
      </c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 t="s">
        <v>96</v>
      </c>
      <c r="W157" s="81"/>
      <c r="X157" s="81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6" t="str">
        <f aca="false">IF(SUM(Y157:AJ157)=0,"",SUM(Y157:AJ157))</f>
        <v/>
      </c>
      <c r="AL157" s="84" t="str">
        <f aca="false">MID(IF(N(Y157)&gt;0,", "&amp;Y$2,"")&amp;IF(N(Z157)&gt;0,", "&amp;Z$2,"")&amp;IF(N(AA157)&gt;0,", "&amp;AA$2,"")&amp;IF(N(AB157)&gt;0,", "&amp;AB$2,"")&amp;IF(N(AC157)&gt;0,", "&amp;AC$2,"")&amp;IF(N(AD157)&gt;0,", "&amp;AD$2,"")&amp;IF(N(AE157)&gt;0,", "&amp;AE$2,"")&amp;IF(N(AF157)&gt;0,", "&amp;AF$2,"")&amp;IF(N(AG157)&gt;0,", "&amp;AG$2,"")&amp;IF(N(AH157)&gt;0,", "&amp;AH$2,"")&amp;IF(N(AI157)&gt;0,", "&amp;AI$2,"")&amp;IF(N(AJ157)&gt;0,", "&amp;AJ$2,""),3,999)</f>
        <v/>
      </c>
      <c r="AM157" s="87" t="str">
        <f aca="false">IF(E157="","",MID(IF(N(Y157)&gt;0,", "&amp;A157&amp;"-"&amp;Y$2,"")&amp;IF(N(Z157)&gt;0,", "&amp;A157&amp;"-"&amp;Z$2,"")&amp;IF(N(AA157)&gt;0,", "&amp;A157&amp;"-"&amp;AA$2,"")&amp;IF(N(AB157)&gt;0,", "&amp;A157&amp;"-"&amp;AB$2,"")&amp;IF(N(AC157)&gt;0,", "&amp;A157&amp;"-"&amp;AC$2,"")&amp;IF(N(AD157)&gt;0,", "&amp;A157&amp;"-"&amp;AD$2,"")&amp;IF(N(AE157)&gt;0,", "&amp;A157&amp;"-"&amp;AE$2,"")&amp;IF(N(AF157)&gt;0,", "&amp;A157&amp;"-"&amp;AF$2,"")&amp;IF(N(AG157)&gt;0,", "&amp;A157&amp;"-"&amp;AG$2,"")&amp;IF(N(AH157)&gt;0,", "&amp;A157&amp;"-"&amp;AH$2,"")&amp;IF(N(AI157)&gt;0,", "&amp;A157&amp;"-"&amp;AI$2,"")&amp;IF(N(AJ157)&gt;0,", "&amp;A157&amp;"-"&amp;AJ$2,""),3,999))</f>
        <v/>
      </c>
      <c r="AN157" s="81"/>
      <c r="AO157" s="88"/>
      <c r="AP157" s="89" t="str">
        <f aca="false">IF(AO157="","",ROUND(AO157/(1+Справочники!$B$13),2))</f>
        <v/>
      </c>
      <c r="AQ157" s="90" t="str">
        <f aca="false" t="array" ref="AQ157:AQ157">IF(AP157="","",AP157*INDEX(Справочники!$B$4:$B$7,MATCH("RUB",Справочники!$A$4:$A$7,0)))</f>
        <v/>
      </c>
      <c r="AR157" s="90" t="str">
        <f aca="false">IF(AQ157="","",ROUND(AQ157*(1+Справочники!$B$12),0))</f>
        <v/>
      </c>
      <c r="AS157" s="90" t="str">
        <f aca="false">IF(AR157="","",ROUND(AR157*(1-Справочники!$B$11),0))</f>
        <v/>
      </c>
      <c r="AT157" s="88"/>
      <c r="AU157" s="90" t="str">
        <f aca="false">IF(AT157="","",ROUND(AT157/(1+Справочники!$B$12),0))</f>
        <v/>
      </c>
      <c r="AV157" s="90" t="str">
        <f aca="false">IF(AT157="","",ROUND(AT157*(1-Справочники!$B$15),0))</f>
        <v/>
      </c>
      <c r="AW157" s="90" t="str">
        <f aca="false">IF(AT157="","",ROUND(AT157*(1-Справочники!$B$16),0))</f>
        <v/>
      </c>
      <c r="AX157" s="90" t="str">
        <f aca="false">IF(AT157="","",ROUND(AT157*(1-Справочники!$B$17),0))</f>
        <v/>
      </c>
      <c r="AY157" s="90" t="str">
        <f aca="false">IF(AT157="","",ROUND(AT157*(1-Справочники!$B$18),0))</f>
        <v/>
      </c>
      <c r="AZ157" s="90" t="str">
        <f aca="false">IF(AT157="","",ROUND(AT157*(1-Справочники!$B$19),0))</f>
        <v/>
      </c>
      <c r="BA157" s="81"/>
      <c r="BB157" s="81"/>
      <c r="BC157" s="81"/>
      <c r="BD157" s="81"/>
      <c r="BE157" s="91"/>
      <c r="BF157" s="81" t="s">
        <v>103</v>
      </c>
      <c r="BG157" s="89" t="n">
        <f aca="false" t="array" ref="BG157:BG157">IF(BF157="","",IFERROR(INDEX(Справочники!$B$4:$B$7,MATCH(BF157,Справочники!$A$4:$A$7,0)),""))</f>
        <v>68.5</v>
      </c>
      <c r="BH157" s="90" t="str">
        <f aca="false">IF(N(BN157)&gt;0,ROUND(SUMIF(ЗАКАЗЫ!$F$3:$F$500,$A157,ЗАКАЗЫ!$Y$3:$Y$500)/BN157,0),IF(OR(BE157="",BG157=""),"",ROUND(BE157*BG157*(1+Справочники!$B$10),0)))</f>
        <v/>
      </c>
      <c r="BI157" s="92" t="str">
        <f aca="false">IF(OR(AU157="",BH157="",AU157=0),"",(AU157-BH157)/AU157)</f>
        <v/>
      </c>
      <c r="BJ157" s="81"/>
      <c r="BK157" s="83"/>
      <c r="BL157" s="43" t="str">
        <f aca="false">IFERROR(INDEX(ЗАКАЗЫ!$N$3:$N$500,MATCH($A157,ЗАКАЗЫ!$F$3:$F$500,0)),"")</f>
        <v/>
      </c>
      <c r="BM157" s="8" t="str">
        <f aca="false">IF(BL157="","",IFERROR(VLOOKUP(BL157,'ТН ВЭД'!$A$4:$C$40,3,0),""))</f>
        <v/>
      </c>
      <c r="BN157" s="7" t="str">
        <f aca="false">IF(COUNTIF(ЗАКАЗЫ!$F$3:$F$500,$A157)=0,"",SUMIF(ЗАКАЗЫ!$F$3:$F$500,$A157,ЗАКАЗЫ!$J$3:$J$500))</f>
        <v/>
      </c>
      <c r="BO157" s="7" t="str">
        <f aca="false">IF(BN157="","",SUMIF(ЗАКАЗЫ!$F$3:$F$500,$A157,ЗАКАЗЫ!$AL$3:$AL$500))</f>
        <v/>
      </c>
      <c r="BP157" s="7" t="str">
        <f aca="false">IF(BN157="","",BN157-BO157)</f>
        <v/>
      </c>
      <c r="BQ157" s="55" t="str">
        <f aca="false">IF(BN157="","",IF(BO157&gt;=BN157,"На складе",IF(BO157&gt;0,"Частично","Ждём")))</f>
        <v/>
      </c>
      <c r="BR157" s="43"/>
      <c r="BS157" s="47" t="str">
        <f aca="false">IF(BN157="","",IF(_xlfn.MAXIFS(ЗАКАЗЫ!$AK$3:$AK$500,ЗАКАЗЫ!$F$3:$F$500,$A157)=0,"",_xlfn.MAXIFS(ЗАКАЗЫ!$AK$3:$AK$500,ЗАКАЗЫ!$F$3:$F$500,$A157)))</f>
        <v/>
      </c>
    </row>
    <row r="158" customFormat="false" ht="15.75" hidden="false" customHeight="true" outlineLevel="0" collapsed="false">
      <c r="A158" s="80" t="s">
        <v>1359</v>
      </c>
      <c r="B158" s="81"/>
      <c r="C158" s="81"/>
      <c r="D158" s="81"/>
      <c r="E158" s="83"/>
      <c r="F158" s="81"/>
      <c r="G158" s="83"/>
      <c r="H158" s="83"/>
      <c r="I158" s="84" t="str">
        <f aca="false">IF(E158="","",A158&amp;"_1.jpg")</f>
        <v/>
      </c>
      <c r="J158" s="84" t="str">
        <f aca="false">IF(E158="","",A158&amp;"_2.jpg; "&amp;A158&amp;"_3.jpg")</f>
        <v/>
      </c>
      <c r="K158" s="84" t="str">
        <f aca="false">IF(E158="","",A158&amp;"_schema.jpg")</f>
        <v/>
      </c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 t="s">
        <v>96</v>
      </c>
      <c r="W158" s="81"/>
      <c r="X158" s="81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6" t="str">
        <f aca="false">IF(SUM(Y158:AJ158)=0,"",SUM(Y158:AJ158))</f>
        <v/>
      </c>
      <c r="AL158" s="84" t="str">
        <f aca="false">MID(IF(N(Y158)&gt;0,", "&amp;Y$2,"")&amp;IF(N(Z158)&gt;0,", "&amp;Z$2,"")&amp;IF(N(AA158)&gt;0,", "&amp;AA$2,"")&amp;IF(N(AB158)&gt;0,", "&amp;AB$2,"")&amp;IF(N(AC158)&gt;0,", "&amp;AC$2,"")&amp;IF(N(AD158)&gt;0,", "&amp;AD$2,"")&amp;IF(N(AE158)&gt;0,", "&amp;AE$2,"")&amp;IF(N(AF158)&gt;0,", "&amp;AF$2,"")&amp;IF(N(AG158)&gt;0,", "&amp;AG$2,"")&amp;IF(N(AH158)&gt;0,", "&amp;AH$2,"")&amp;IF(N(AI158)&gt;0,", "&amp;AI$2,"")&amp;IF(N(AJ158)&gt;0,", "&amp;AJ$2,""),3,999)</f>
        <v/>
      </c>
      <c r="AM158" s="87" t="str">
        <f aca="false">IF(E158="","",MID(IF(N(Y158)&gt;0,", "&amp;A158&amp;"-"&amp;Y$2,"")&amp;IF(N(Z158)&gt;0,", "&amp;A158&amp;"-"&amp;Z$2,"")&amp;IF(N(AA158)&gt;0,", "&amp;A158&amp;"-"&amp;AA$2,"")&amp;IF(N(AB158)&gt;0,", "&amp;A158&amp;"-"&amp;AB$2,"")&amp;IF(N(AC158)&gt;0,", "&amp;A158&amp;"-"&amp;AC$2,"")&amp;IF(N(AD158)&gt;0,", "&amp;A158&amp;"-"&amp;AD$2,"")&amp;IF(N(AE158)&gt;0,", "&amp;A158&amp;"-"&amp;AE$2,"")&amp;IF(N(AF158)&gt;0,", "&amp;A158&amp;"-"&amp;AF$2,"")&amp;IF(N(AG158)&gt;0,", "&amp;A158&amp;"-"&amp;AG$2,"")&amp;IF(N(AH158)&gt;0,", "&amp;A158&amp;"-"&amp;AH$2,"")&amp;IF(N(AI158)&gt;0,", "&amp;A158&amp;"-"&amp;AI$2,"")&amp;IF(N(AJ158)&gt;0,", "&amp;A158&amp;"-"&amp;AJ$2,""),3,999))</f>
        <v/>
      </c>
      <c r="AN158" s="81"/>
      <c r="AO158" s="88"/>
      <c r="AP158" s="89" t="str">
        <f aca="false">IF(AO158="","",ROUND(AO158/(1+Справочники!$B$13),2))</f>
        <v/>
      </c>
      <c r="AQ158" s="90" t="str">
        <f aca="false" t="array" ref="AQ158:AQ158">IF(AP158="","",AP158*INDEX(Справочники!$B$4:$B$7,MATCH("RUB",Справочники!$A$4:$A$7,0)))</f>
        <v/>
      </c>
      <c r="AR158" s="90" t="str">
        <f aca="false">IF(AQ158="","",ROUND(AQ158*(1+Справочники!$B$12),0))</f>
        <v/>
      </c>
      <c r="AS158" s="90" t="str">
        <f aca="false">IF(AR158="","",ROUND(AR158*(1-Справочники!$B$11),0))</f>
        <v/>
      </c>
      <c r="AT158" s="88"/>
      <c r="AU158" s="90" t="str">
        <f aca="false">IF(AT158="","",ROUND(AT158/(1+Справочники!$B$12),0))</f>
        <v/>
      </c>
      <c r="AV158" s="90" t="str">
        <f aca="false">IF(AT158="","",ROUND(AT158*(1-Справочники!$B$15),0))</f>
        <v/>
      </c>
      <c r="AW158" s="90" t="str">
        <f aca="false">IF(AT158="","",ROUND(AT158*(1-Справочники!$B$16),0))</f>
        <v/>
      </c>
      <c r="AX158" s="90" t="str">
        <f aca="false">IF(AT158="","",ROUND(AT158*(1-Справочники!$B$17),0))</f>
        <v/>
      </c>
      <c r="AY158" s="90" t="str">
        <f aca="false">IF(AT158="","",ROUND(AT158*(1-Справочники!$B$18),0))</f>
        <v/>
      </c>
      <c r="AZ158" s="90" t="str">
        <f aca="false">IF(AT158="","",ROUND(AT158*(1-Справочники!$B$19),0))</f>
        <v/>
      </c>
      <c r="BA158" s="81"/>
      <c r="BB158" s="81"/>
      <c r="BC158" s="81"/>
      <c r="BD158" s="81"/>
      <c r="BE158" s="91"/>
      <c r="BF158" s="81" t="s">
        <v>103</v>
      </c>
      <c r="BG158" s="89" t="n">
        <f aca="false" t="array" ref="BG158:BG158">IF(BF158="","",IFERROR(INDEX(Справочники!$B$4:$B$7,MATCH(BF158,Справочники!$A$4:$A$7,0)),""))</f>
        <v>68.5</v>
      </c>
      <c r="BH158" s="90" t="str">
        <f aca="false">IF(N(BN158)&gt;0,ROUND(SUMIF(ЗАКАЗЫ!$F$3:$F$500,$A158,ЗАКАЗЫ!$Y$3:$Y$500)/BN158,0),IF(OR(BE158="",BG158=""),"",ROUND(BE158*BG158*(1+Справочники!$B$10),0)))</f>
        <v/>
      </c>
      <c r="BI158" s="92" t="str">
        <f aca="false">IF(OR(AU158="",BH158="",AU158=0),"",(AU158-BH158)/AU158)</f>
        <v/>
      </c>
      <c r="BJ158" s="81"/>
      <c r="BK158" s="83"/>
      <c r="BL158" s="43" t="str">
        <f aca="false">IFERROR(INDEX(ЗАКАЗЫ!$N$3:$N$500,MATCH($A158,ЗАКАЗЫ!$F$3:$F$500,0)),"")</f>
        <v/>
      </c>
      <c r="BM158" s="8" t="str">
        <f aca="false">IF(BL158="","",IFERROR(VLOOKUP(BL158,'ТН ВЭД'!$A$4:$C$40,3,0),""))</f>
        <v/>
      </c>
      <c r="BN158" s="7" t="str">
        <f aca="false">IF(COUNTIF(ЗАКАЗЫ!$F$3:$F$500,$A158)=0,"",SUMIF(ЗАКАЗЫ!$F$3:$F$500,$A158,ЗАКАЗЫ!$J$3:$J$500))</f>
        <v/>
      </c>
      <c r="BO158" s="7" t="str">
        <f aca="false">IF(BN158="","",SUMIF(ЗАКАЗЫ!$F$3:$F$500,$A158,ЗАКАЗЫ!$AL$3:$AL$500))</f>
        <v/>
      </c>
      <c r="BP158" s="7" t="str">
        <f aca="false">IF(BN158="","",BN158-BO158)</f>
        <v/>
      </c>
      <c r="BQ158" s="55" t="str">
        <f aca="false">IF(BN158="","",IF(BO158&gt;=BN158,"На складе",IF(BO158&gt;0,"Частично","Ждём")))</f>
        <v/>
      </c>
      <c r="BR158" s="43"/>
      <c r="BS158" s="47" t="str">
        <f aca="false">IF(BN158="","",IF(_xlfn.MAXIFS(ЗАКАЗЫ!$AK$3:$AK$500,ЗАКАЗЫ!$F$3:$F$500,$A158)=0,"",_xlfn.MAXIFS(ЗАКАЗЫ!$AK$3:$AK$500,ЗАКАЗЫ!$F$3:$F$500,$A158)))</f>
        <v/>
      </c>
    </row>
    <row r="159" customFormat="false" ht="15.75" hidden="false" customHeight="true" outlineLevel="0" collapsed="false">
      <c r="A159" s="80" t="s">
        <v>1360</v>
      </c>
      <c r="B159" s="81"/>
      <c r="C159" s="81"/>
      <c r="D159" s="81"/>
      <c r="E159" s="83"/>
      <c r="F159" s="81"/>
      <c r="G159" s="83"/>
      <c r="H159" s="83"/>
      <c r="I159" s="84" t="str">
        <f aca="false">IF(E159="","",A159&amp;"_1.jpg")</f>
        <v/>
      </c>
      <c r="J159" s="84" t="str">
        <f aca="false">IF(E159="","",A159&amp;"_2.jpg; "&amp;A159&amp;"_3.jpg")</f>
        <v/>
      </c>
      <c r="K159" s="84" t="str">
        <f aca="false">IF(E159="","",A159&amp;"_schema.jpg")</f>
        <v/>
      </c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 t="s">
        <v>96</v>
      </c>
      <c r="W159" s="81"/>
      <c r="X159" s="81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6" t="str">
        <f aca="false">IF(SUM(Y159:AJ159)=0,"",SUM(Y159:AJ159))</f>
        <v/>
      </c>
      <c r="AL159" s="84" t="str">
        <f aca="false">MID(IF(N(Y159)&gt;0,", "&amp;Y$2,"")&amp;IF(N(Z159)&gt;0,", "&amp;Z$2,"")&amp;IF(N(AA159)&gt;0,", "&amp;AA$2,"")&amp;IF(N(AB159)&gt;0,", "&amp;AB$2,"")&amp;IF(N(AC159)&gt;0,", "&amp;AC$2,"")&amp;IF(N(AD159)&gt;0,", "&amp;AD$2,"")&amp;IF(N(AE159)&gt;0,", "&amp;AE$2,"")&amp;IF(N(AF159)&gt;0,", "&amp;AF$2,"")&amp;IF(N(AG159)&gt;0,", "&amp;AG$2,"")&amp;IF(N(AH159)&gt;0,", "&amp;AH$2,"")&amp;IF(N(AI159)&gt;0,", "&amp;AI$2,"")&amp;IF(N(AJ159)&gt;0,", "&amp;AJ$2,""),3,999)</f>
        <v/>
      </c>
      <c r="AM159" s="87" t="str">
        <f aca="false">IF(E159="","",MID(IF(N(Y159)&gt;0,", "&amp;A159&amp;"-"&amp;Y$2,"")&amp;IF(N(Z159)&gt;0,", "&amp;A159&amp;"-"&amp;Z$2,"")&amp;IF(N(AA159)&gt;0,", "&amp;A159&amp;"-"&amp;AA$2,"")&amp;IF(N(AB159)&gt;0,", "&amp;A159&amp;"-"&amp;AB$2,"")&amp;IF(N(AC159)&gt;0,", "&amp;A159&amp;"-"&amp;AC$2,"")&amp;IF(N(AD159)&gt;0,", "&amp;A159&amp;"-"&amp;AD$2,"")&amp;IF(N(AE159)&gt;0,", "&amp;A159&amp;"-"&amp;AE$2,"")&amp;IF(N(AF159)&gt;0,", "&amp;A159&amp;"-"&amp;AF$2,"")&amp;IF(N(AG159)&gt;0,", "&amp;A159&amp;"-"&amp;AG$2,"")&amp;IF(N(AH159)&gt;0,", "&amp;A159&amp;"-"&amp;AH$2,"")&amp;IF(N(AI159)&gt;0,", "&amp;A159&amp;"-"&amp;AI$2,"")&amp;IF(N(AJ159)&gt;0,", "&amp;A159&amp;"-"&amp;AJ$2,""),3,999))</f>
        <v/>
      </c>
      <c r="AN159" s="81"/>
      <c r="AO159" s="88"/>
      <c r="AP159" s="89" t="str">
        <f aca="false">IF(AO159="","",ROUND(AO159/(1+Справочники!$B$13),2))</f>
        <v/>
      </c>
      <c r="AQ159" s="90" t="str">
        <f aca="false" t="array" ref="AQ159:AQ159">IF(AP159="","",AP159*INDEX(Справочники!$B$4:$B$7,MATCH("RUB",Справочники!$A$4:$A$7,0)))</f>
        <v/>
      </c>
      <c r="AR159" s="90" t="str">
        <f aca="false">IF(AQ159="","",ROUND(AQ159*(1+Справочники!$B$12),0))</f>
        <v/>
      </c>
      <c r="AS159" s="90" t="str">
        <f aca="false">IF(AR159="","",ROUND(AR159*(1-Справочники!$B$11),0))</f>
        <v/>
      </c>
      <c r="AT159" s="88"/>
      <c r="AU159" s="90" t="str">
        <f aca="false">IF(AT159="","",ROUND(AT159/(1+Справочники!$B$12),0))</f>
        <v/>
      </c>
      <c r="AV159" s="90" t="str">
        <f aca="false">IF(AT159="","",ROUND(AT159*(1-Справочники!$B$15),0))</f>
        <v/>
      </c>
      <c r="AW159" s="90" t="str">
        <f aca="false">IF(AT159="","",ROUND(AT159*(1-Справочники!$B$16),0))</f>
        <v/>
      </c>
      <c r="AX159" s="90" t="str">
        <f aca="false">IF(AT159="","",ROUND(AT159*(1-Справочники!$B$17),0))</f>
        <v/>
      </c>
      <c r="AY159" s="90" t="str">
        <f aca="false">IF(AT159="","",ROUND(AT159*(1-Справочники!$B$18),0))</f>
        <v/>
      </c>
      <c r="AZ159" s="90" t="str">
        <f aca="false">IF(AT159="","",ROUND(AT159*(1-Справочники!$B$19),0))</f>
        <v/>
      </c>
      <c r="BA159" s="81"/>
      <c r="BB159" s="81"/>
      <c r="BC159" s="81"/>
      <c r="BD159" s="81"/>
      <c r="BE159" s="91"/>
      <c r="BF159" s="81" t="s">
        <v>103</v>
      </c>
      <c r="BG159" s="89" t="n">
        <f aca="false" t="array" ref="BG159:BG159">IF(BF159="","",IFERROR(INDEX(Справочники!$B$4:$B$7,MATCH(BF159,Справочники!$A$4:$A$7,0)),""))</f>
        <v>68.5</v>
      </c>
      <c r="BH159" s="90" t="str">
        <f aca="false">IF(N(BN159)&gt;0,ROUND(SUMIF(ЗАКАЗЫ!$F$3:$F$500,$A159,ЗАКАЗЫ!$Y$3:$Y$500)/BN159,0),IF(OR(BE159="",BG159=""),"",ROUND(BE159*BG159*(1+Справочники!$B$10),0)))</f>
        <v/>
      </c>
      <c r="BI159" s="92" t="str">
        <f aca="false">IF(OR(AU159="",BH159="",AU159=0),"",(AU159-BH159)/AU159)</f>
        <v/>
      </c>
      <c r="BJ159" s="81"/>
      <c r="BK159" s="83"/>
      <c r="BL159" s="43" t="str">
        <f aca="false">IFERROR(INDEX(ЗАКАЗЫ!$N$3:$N$500,MATCH($A159,ЗАКАЗЫ!$F$3:$F$500,0)),"")</f>
        <v/>
      </c>
      <c r="BM159" s="8" t="str">
        <f aca="false">IF(BL159="","",IFERROR(VLOOKUP(BL159,'ТН ВЭД'!$A$4:$C$40,3,0),""))</f>
        <v/>
      </c>
      <c r="BN159" s="7" t="str">
        <f aca="false">IF(COUNTIF(ЗАКАЗЫ!$F$3:$F$500,$A159)=0,"",SUMIF(ЗАКАЗЫ!$F$3:$F$500,$A159,ЗАКАЗЫ!$J$3:$J$500))</f>
        <v/>
      </c>
      <c r="BO159" s="7" t="str">
        <f aca="false">IF(BN159="","",SUMIF(ЗАКАЗЫ!$F$3:$F$500,$A159,ЗАКАЗЫ!$AL$3:$AL$500))</f>
        <v/>
      </c>
      <c r="BP159" s="7" t="str">
        <f aca="false">IF(BN159="","",BN159-BO159)</f>
        <v/>
      </c>
      <c r="BQ159" s="55" t="str">
        <f aca="false">IF(BN159="","",IF(BO159&gt;=BN159,"На складе",IF(BO159&gt;0,"Частично","Ждём")))</f>
        <v/>
      </c>
      <c r="BR159" s="43"/>
      <c r="BS159" s="47" t="str">
        <f aca="false">IF(BN159="","",IF(_xlfn.MAXIFS(ЗАКАЗЫ!$AK$3:$AK$500,ЗАКАЗЫ!$F$3:$F$500,$A159)=0,"",_xlfn.MAXIFS(ЗАКАЗЫ!$AK$3:$AK$500,ЗАКАЗЫ!$F$3:$F$500,$A159)))</f>
        <v/>
      </c>
    </row>
    <row r="160" customFormat="false" ht="15.75" hidden="false" customHeight="true" outlineLevel="0" collapsed="false">
      <c r="A160" s="80" t="s">
        <v>1361</v>
      </c>
      <c r="B160" s="81"/>
      <c r="C160" s="81"/>
      <c r="D160" s="81"/>
      <c r="E160" s="83"/>
      <c r="F160" s="81"/>
      <c r="G160" s="83"/>
      <c r="H160" s="83"/>
      <c r="I160" s="84" t="str">
        <f aca="false">IF(E160="","",A160&amp;"_1.jpg")</f>
        <v/>
      </c>
      <c r="J160" s="84" t="str">
        <f aca="false">IF(E160="","",A160&amp;"_2.jpg; "&amp;A160&amp;"_3.jpg")</f>
        <v/>
      </c>
      <c r="K160" s="84" t="str">
        <f aca="false">IF(E160="","",A160&amp;"_schema.jpg")</f>
        <v/>
      </c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 t="s">
        <v>96</v>
      </c>
      <c r="W160" s="81"/>
      <c r="X160" s="81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6" t="str">
        <f aca="false">IF(SUM(Y160:AJ160)=0,"",SUM(Y160:AJ160))</f>
        <v/>
      </c>
      <c r="AL160" s="84" t="str">
        <f aca="false">MID(IF(N(Y160)&gt;0,", "&amp;Y$2,"")&amp;IF(N(Z160)&gt;0,", "&amp;Z$2,"")&amp;IF(N(AA160)&gt;0,", "&amp;AA$2,"")&amp;IF(N(AB160)&gt;0,", "&amp;AB$2,"")&amp;IF(N(AC160)&gt;0,", "&amp;AC$2,"")&amp;IF(N(AD160)&gt;0,", "&amp;AD$2,"")&amp;IF(N(AE160)&gt;0,", "&amp;AE$2,"")&amp;IF(N(AF160)&gt;0,", "&amp;AF$2,"")&amp;IF(N(AG160)&gt;0,", "&amp;AG$2,"")&amp;IF(N(AH160)&gt;0,", "&amp;AH$2,"")&amp;IF(N(AI160)&gt;0,", "&amp;AI$2,"")&amp;IF(N(AJ160)&gt;0,", "&amp;AJ$2,""),3,999)</f>
        <v/>
      </c>
      <c r="AM160" s="87" t="str">
        <f aca="false">IF(E160="","",MID(IF(N(Y160)&gt;0,", "&amp;A160&amp;"-"&amp;Y$2,"")&amp;IF(N(Z160)&gt;0,", "&amp;A160&amp;"-"&amp;Z$2,"")&amp;IF(N(AA160)&gt;0,", "&amp;A160&amp;"-"&amp;AA$2,"")&amp;IF(N(AB160)&gt;0,", "&amp;A160&amp;"-"&amp;AB$2,"")&amp;IF(N(AC160)&gt;0,", "&amp;A160&amp;"-"&amp;AC$2,"")&amp;IF(N(AD160)&gt;0,", "&amp;A160&amp;"-"&amp;AD$2,"")&amp;IF(N(AE160)&gt;0,", "&amp;A160&amp;"-"&amp;AE$2,"")&amp;IF(N(AF160)&gt;0,", "&amp;A160&amp;"-"&amp;AF$2,"")&amp;IF(N(AG160)&gt;0,", "&amp;A160&amp;"-"&amp;AG$2,"")&amp;IF(N(AH160)&gt;0,", "&amp;A160&amp;"-"&amp;AH$2,"")&amp;IF(N(AI160)&gt;0,", "&amp;A160&amp;"-"&amp;AI$2,"")&amp;IF(N(AJ160)&gt;0,", "&amp;A160&amp;"-"&amp;AJ$2,""),3,999))</f>
        <v/>
      </c>
      <c r="AN160" s="81"/>
      <c r="AO160" s="88"/>
      <c r="AP160" s="89" t="str">
        <f aca="false">IF(AO160="","",ROUND(AO160/(1+Справочники!$B$13),2))</f>
        <v/>
      </c>
      <c r="AQ160" s="90" t="str">
        <f aca="false" t="array" ref="AQ160:AQ160">IF(AP160="","",AP160*INDEX(Справочники!$B$4:$B$7,MATCH("RUB",Справочники!$A$4:$A$7,0)))</f>
        <v/>
      </c>
      <c r="AR160" s="90" t="str">
        <f aca="false">IF(AQ160="","",ROUND(AQ160*(1+Справочники!$B$12),0))</f>
        <v/>
      </c>
      <c r="AS160" s="90" t="str">
        <f aca="false">IF(AR160="","",ROUND(AR160*(1-Справочники!$B$11),0))</f>
        <v/>
      </c>
      <c r="AT160" s="88"/>
      <c r="AU160" s="90" t="str">
        <f aca="false">IF(AT160="","",ROUND(AT160/(1+Справочники!$B$12),0))</f>
        <v/>
      </c>
      <c r="AV160" s="90" t="str">
        <f aca="false">IF(AT160="","",ROUND(AT160*(1-Справочники!$B$15),0))</f>
        <v/>
      </c>
      <c r="AW160" s="90" t="str">
        <f aca="false">IF(AT160="","",ROUND(AT160*(1-Справочники!$B$16),0))</f>
        <v/>
      </c>
      <c r="AX160" s="90" t="str">
        <f aca="false">IF(AT160="","",ROUND(AT160*(1-Справочники!$B$17),0))</f>
        <v/>
      </c>
      <c r="AY160" s="90" t="str">
        <f aca="false">IF(AT160="","",ROUND(AT160*(1-Справочники!$B$18),0))</f>
        <v/>
      </c>
      <c r="AZ160" s="90" t="str">
        <f aca="false">IF(AT160="","",ROUND(AT160*(1-Справочники!$B$19),0))</f>
        <v/>
      </c>
      <c r="BA160" s="81"/>
      <c r="BB160" s="81"/>
      <c r="BC160" s="81"/>
      <c r="BD160" s="81"/>
      <c r="BE160" s="91"/>
      <c r="BF160" s="81" t="s">
        <v>103</v>
      </c>
      <c r="BG160" s="89" t="n">
        <f aca="false" t="array" ref="BG160:BG160">IF(BF160="","",IFERROR(INDEX(Справочники!$B$4:$B$7,MATCH(BF160,Справочники!$A$4:$A$7,0)),""))</f>
        <v>68.5</v>
      </c>
      <c r="BH160" s="90" t="str">
        <f aca="false">IF(N(BN160)&gt;0,ROUND(SUMIF(ЗАКАЗЫ!$F$3:$F$500,$A160,ЗАКАЗЫ!$Y$3:$Y$500)/BN160,0),IF(OR(BE160="",BG160=""),"",ROUND(BE160*BG160*(1+Справочники!$B$10),0)))</f>
        <v/>
      </c>
      <c r="BI160" s="92" t="str">
        <f aca="false">IF(OR(AU160="",BH160="",AU160=0),"",(AU160-BH160)/AU160)</f>
        <v/>
      </c>
      <c r="BJ160" s="81"/>
      <c r="BK160" s="83"/>
      <c r="BL160" s="43" t="str">
        <f aca="false">IFERROR(INDEX(ЗАКАЗЫ!$N$3:$N$500,MATCH($A160,ЗАКАЗЫ!$F$3:$F$500,0)),"")</f>
        <v/>
      </c>
      <c r="BM160" s="8" t="str">
        <f aca="false">IF(BL160="","",IFERROR(VLOOKUP(BL160,'ТН ВЭД'!$A$4:$C$40,3,0),""))</f>
        <v/>
      </c>
      <c r="BN160" s="7" t="str">
        <f aca="false">IF(COUNTIF(ЗАКАЗЫ!$F$3:$F$500,$A160)=0,"",SUMIF(ЗАКАЗЫ!$F$3:$F$500,$A160,ЗАКАЗЫ!$J$3:$J$500))</f>
        <v/>
      </c>
      <c r="BO160" s="7" t="str">
        <f aca="false">IF(BN160="","",SUMIF(ЗАКАЗЫ!$F$3:$F$500,$A160,ЗАКАЗЫ!$AL$3:$AL$500))</f>
        <v/>
      </c>
      <c r="BP160" s="7" t="str">
        <f aca="false">IF(BN160="","",BN160-BO160)</f>
        <v/>
      </c>
      <c r="BQ160" s="55" t="str">
        <f aca="false">IF(BN160="","",IF(BO160&gt;=BN160,"На складе",IF(BO160&gt;0,"Частично","Ждём")))</f>
        <v/>
      </c>
      <c r="BR160" s="43"/>
      <c r="BS160" s="47" t="str">
        <f aca="false">IF(BN160="","",IF(_xlfn.MAXIFS(ЗАКАЗЫ!$AK$3:$AK$500,ЗАКАЗЫ!$F$3:$F$500,$A160)=0,"",_xlfn.MAXIFS(ЗАКАЗЫ!$AK$3:$AK$500,ЗАКАЗЫ!$F$3:$F$500,$A160)))</f>
        <v/>
      </c>
    </row>
    <row r="161" customFormat="false" ht="15.75" hidden="false" customHeight="true" outlineLevel="0" collapsed="false">
      <c r="A161" s="80" t="s">
        <v>1362</v>
      </c>
      <c r="B161" s="81"/>
      <c r="C161" s="81"/>
      <c r="D161" s="81"/>
      <c r="E161" s="83"/>
      <c r="F161" s="81"/>
      <c r="G161" s="83"/>
      <c r="H161" s="83"/>
      <c r="I161" s="84" t="str">
        <f aca="false">IF(E161="","",A161&amp;"_1.jpg")</f>
        <v/>
      </c>
      <c r="J161" s="84" t="str">
        <f aca="false">IF(E161="","",A161&amp;"_2.jpg; "&amp;A161&amp;"_3.jpg")</f>
        <v/>
      </c>
      <c r="K161" s="84" t="str">
        <f aca="false">IF(E161="","",A161&amp;"_schema.jpg")</f>
        <v/>
      </c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 t="s">
        <v>96</v>
      </c>
      <c r="W161" s="81"/>
      <c r="X161" s="81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6" t="str">
        <f aca="false">IF(SUM(Y161:AJ161)=0,"",SUM(Y161:AJ161))</f>
        <v/>
      </c>
      <c r="AL161" s="84" t="str">
        <f aca="false">MID(IF(N(Y161)&gt;0,", "&amp;Y$2,"")&amp;IF(N(Z161)&gt;0,", "&amp;Z$2,"")&amp;IF(N(AA161)&gt;0,", "&amp;AA$2,"")&amp;IF(N(AB161)&gt;0,", "&amp;AB$2,"")&amp;IF(N(AC161)&gt;0,", "&amp;AC$2,"")&amp;IF(N(AD161)&gt;0,", "&amp;AD$2,"")&amp;IF(N(AE161)&gt;0,", "&amp;AE$2,"")&amp;IF(N(AF161)&gt;0,", "&amp;AF$2,"")&amp;IF(N(AG161)&gt;0,", "&amp;AG$2,"")&amp;IF(N(AH161)&gt;0,", "&amp;AH$2,"")&amp;IF(N(AI161)&gt;0,", "&amp;AI$2,"")&amp;IF(N(AJ161)&gt;0,", "&amp;AJ$2,""),3,999)</f>
        <v/>
      </c>
      <c r="AM161" s="87" t="str">
        <f aca="false">IF(E161="","",MID(IF(N(Y161)&gt;0,", "&amp;A161&amp;"-"&amp;Y$2,"")&amp;IF(N(Z161)&gt;0,", "&amp;A161&amp;"-"&amp;Z$2,"")&amp;IF(N(AA161)&gt;0,", "&amp;A161&amp;"-"&amp;AA$2,"")&amp;IF(N(AB161)&gt;0,", "&amp;A161&amp;"-"&amp;AB$2,"")&amp;IF(N(AC161)&gt;0,", "&amp;A161&amp;"-"&amp;AC$2,"")&amp;IF(N(AD161)&gt;0,", "&amp;A161&amp;"-"&amp;AD$2,"")&amp;IF(N(AE161)&gt;0,", "&amp;A161&amp;"-"&amp;AE$2,"")&amp;IF(N(AF161)&gt;0,", "&amp;A161&amp;"-"&amp;AF$2,"")&amp;IF(N(AG161)&gt;0,", "&amp;A161&amp;"-"&amp;AG$2,"")&amp;IF(N(AH161)&gt;0,", "&amp;A161&amp;"-"&amp;AH$2,"")&amp;IF(N(AI161)&gt;0,", "&amp;A161&amp;"-"&amp;AI$2,"")&amp;IF(N(AJ161)&gt;0,", "&amp;A161&amp;"-"&amp;AJ$2,""),3,999))</f>
        <v/>
      </c>
      <c r="AN161" s="81"/>
      <c r="AO161" s="88"/>
      <c r="AP161" s="89" t="str">
        <f aca="false">IF(AO161="","",ROUND(AO161/(1+Справочники!$B$13),2))</f>
        <v/>
      </c>
      <c r="AQ161" s="90" t="str">
        <f aca="false" t="array" ref="AQ161:AQ161">IF(AP161="","",AP161*INDEX(Справочники!$B$4:$B$7,MATCH("RUB",Справочники!$A$4:$A$7,0)))</f>
        <v/>
      </c>
      <c r="AR161" s="90" t="str">
        <f aca="false">IF(AQ161="","",ROUND(AQ161*(1+Справочники!$B$12),0))</f>
        <v/>
      </c>
      <c r="AS161" s="90" t="str">
        <f aca="false">IF(AR161="","",ROUND(AR161*(1-Справочники!$B$11),0))</f>
        <v/>
      </c>
      <c r="AT161" s="88"/>
      <c r="AU161" s="90" t="str">
        <f aca="false">IF(AT161="","",ROUND(AT161/(1+Справочники!$B$12),0))</f>
        <v/>
      </c>
      <c r="AV161" s="90" t="str">
        <f aca="false">IF(AT161="","",ROUND(AT161*(1-Справочники!$B$15),0))</f>
        <v/>
      </c>
      <c r="AW161" s="90" t="str">
        <f aca="false">IF(AT161="","",ROUND(AT161*(1-Справочники!$B$16),0))</f>
        <v/>
      </c>
      <c r="AX161" s="90" t="str">
        <f aca="false">IF(AT161="","",ROUND(AT161*(1-Справочники!$B$17),0))</f>
        <v/>
      </c>
      <c r="AY161" s="90" t="str">
        <f aca="false">IF(AT161="","",ROUND(AT161*(1-Справочники!$B$18),0))</f>
        <v/>
      </c>
      <c r="AZ161" s="90" t="str">
        <f aca="false">IF(AT161="","",ROUND(AT161*(1-Справочники!$B$19),0))</f>
        <v/>
      </c>
      <c r="BA161" s="81"/>
      <c r="BB161" s="81"/>
      <c r="BC161" s="81"/>
      <c r="BD161" s="81"/>
      <c r="BE161" s="91"/>
      <c r="BF161" s="81" t="s">
        <v>103</v>
      </c>
      <c r="BG161" s="89" t="n">
        <f aca="false" t="array" ref="BG161:BG161">IF(BF161="","",IFERROR(INDEX(Справочники!$B$4:$B$7,MATCH(BF161,Справочники!$A$4:$A$7,0)),""))</f>
        <v>68.5</v>
      </c>
      <c r="BH161" s="90" t="str">
        <f aca="false">IF(N(BN161)&gt;0,ROUND(SUMIF(ЗАКАЗЫ!$F$3:$F$500,$A161,ЗАКАЗЫ!$Y$3:$Y$500)/BN161,0),IF(OR(BE161="",BG161=""),"",ROUND(BE161*BG161*(1+Справочники!$B$10),0)))</f>
        <v/>
      </c>
      <c r="BI161" s="92" t="str">
        <f aca="false">IF(OR(AU161="",BH161="",AU161=0),"",(AU161-BH161)/AU161)</f>
        <v/>
      </c>
      <c r="BJ161" s="81"/>
      <c r="BK161" s="83"/>
      <c r="BL161" s="43" t="str">
        <f aca="false">IFERROR(INDEX(ЗАКАЗЫ!$N$3:$N$500,MATCH($A161,ЗАКАЗЫ!$F$3:$F$500,0)),"")</f>
        <v/>
      </c>
      <c r="BM161" s="8" t="str">
        <f aca="false">IF(BL161="","",IFERROR(VLOOKUP(BL161,'ТН ВЭД'!$A$4:$C$40,3,0),""))</f>
        <v/>
      </c>
      <c r="BN161" s="7" t="str">
        <f aca="false">IF(COUNTIF(ЗАКАЗЫ!$F$3:$F$500,$A161)=0,"",SUMIF(ЗАКАЗЫ!$F$3:$F$500,$A161,ЗАКАЗЫ!$J$3:$J$500))</f>
        <v/>
      </c>
      <c r="BO161" s="7" t="str">
        <f aca="false">IF(BN161="","",SUMIF(ЗАКАЗЫ!$F$3:$F$500,$A161,ЗАКАЗЫ!$AL$3:$AL$500))</f>
        <v/>
      </c>
      <c r="BP161" s="7" t="str">
        <f aca="false">IF(BN161="","",BN161-BO161)</f>
        <v/>
      </c>
      <c r="BQ161" s="55" t="str">
        <f aca="false">IF(BN161="","",IF(BO161&gt;=BN161,"На складе",IF(BO161&gt;0,"Частично","Ждём")))</f>
        <v/>
      </c>
      <c r="BR161" s="43"/>
      <c r="BS161" s="47" t="str">
        <f aca="false">IF(BN161="","",IF(_xlfn.MAXIFS(ЗАКАЗЫ!$AK$3:$AK$500,ЗАКАЗЫ!$F$3:$F$500,$A161)=0,"",_xlfn.MAXIFS(ЗАКАЗЫ!$AK$3:$AK$500,ЗАКАЗЫ!$F$3:$F$500,$A161)))</f>
        <v/>
      </c>
    </row>
    <row r="162" customFormat="false" ht="15.75" hidden="false" customHeight="true" outlineLevel="0" collapsed="false">
      <c r="A162" s="80" t="s">
        <v>1363</v>
      </c>
      <c r="B162" s="81"/>
      <c r="C162" s="81"/>
      <c r="D162" s="81"/>
      <c r="E162" s="83"/>
      <c r="F162" s="81"/>
      <c r="G162" s="83"/>
      <c r="H162" s="83"/>
      <c r="I162" s="84" t="str">
        <f aca="false">IF(E162="","",A162&amp;"_1.jpg")</f>
        <v/>
      </c>
      <c r="J162" s="84" t="str">
        <f aca="false">IF(E162="","",A162&amp;"_2.jpg; "&amp;A162&amp;"_3.jpg")</f>
        <v/>
      </c>
      <c r="K162" s="84" t="str">
        <f aca="false">IF(E162="","",A162&amp;"_schema.jpg")</f>
        <v/>
      </c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 t="s">
        <v>96</v>
      </c>
      <c r="W162" s="81"/>
      <c r="X162" s="81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6" t="str">
        <f aca="false">IF(SUM(Y162:AJ162)=0,"",SUM(Y162:AJ162))</f>
        <v/>
      </c>
      <c r="AL162" s="84" t="str">
        <f aca="false">MID(IF(N(Y162)&gt;0,", "&amp;Y$2,"")&amp;IF(N(Z162)&gt;0,", "&amp;Z$2,"")&amp;IF(N(AA162)&gt;0,", "&amp;AA$2,"")&amp;IF(N(AB162)&gt;0,", "&amp;AB$2,"")&amp;IF(N(AC162)&gt;0,", "&amp;AC$2,"")&amp;IF(N(AD162)&gt;0,", "&amp;AD$2,"")&amp;IF(N(AE162)&gt;0,", "&amp;AE$2,"")&amp;IF(N(AF162)&gt;0,", "&amp;AF$2,"")&amp;IF(N(AG162)&gt;0,", "&amp;AG$2,"")&amp;IF(N(AH162)&gt;0,", "&amp;AH$2,"")&amp;IF(N(AI162)&gt;0,", "&amp;AI$2,"")&amp;IF(N(AJ162)&gt;0,", "&amp;AJ$2,""),3,999)</f>
        <v/>
      </c>
      <c r="AM162" s="87" t="str">
        <f aca="false">IF(E162="","",MID(IF(N(Y162)&gt;0,", "&amp;A162&amp;"-"&amp;Y$2,"")&amp;IF(N(Z162)&gt;0,", "&amp;A162&amp;"-"&amp;Z$2,"")&amp;IF(N(AA162)&gt;0,", "&amp;A162&amp;"-"&amp;AA$2,"")&amp;IF(N(AB162)&gt;0,", "&amp;A162&amp;"-"&amp;AB$2,"")&amp;IF(N(AC162)&gt;0,", "&amp;A162&amp;"-"&amp;AC$2,"")&amp;IF(N(AD162)&gt;0,", "&amp;A162&amp;"-"&amp;AD$2,"")&amp;IF(N(AE162)&gt;0,", "&amp;A162&amp;"-"&amp;AE$2,"")&amp;IF(N(AF162)&gt;0,", "&amp;A162&amp;"-"&amp;AF$2,"")&amp;IF(N(AG162)&gt;0,", "&amp;A162&amp;"-"&amp;AG$2,"")&amp;IF(N(AH162)&gt;0,", "&amp;A162&amp;"-"&amp;AH$2,"")&amp;IF(N(AI162)&gt;0,", "&amp;A162&amp;"-"&amp;AI$2,"")&amp;IF(N(AJ162)&gt;0,", "&amp;A162&amp;"-"&amp;AJ$2,""),3,999))</f>
        <v/>
      </c>
      <c r="AN162" s="81"/>
      <c r="AO162" s="88"/>
      <c r="AP162" s="89" t="str">
        <f aca="false">IF(AO162="","",ROUND(AO162/(1+Справочники!$B$13),2))</f>
        <v/>
      </c>
      <c r="AQ162" s="90" t="str">
        <f aca="false" t="array" ref="AQ162:AQ162">IF(AP162="","",AP162*INDEX(Справочники!$B$4:$B$7,MATCH("RUB",Справочники!$A$4:$A$7,0)))</f>
        <v/>
      </c>
      <c r="AR162" s="90" t="str">
        <f aca="false">IF(AQ162="","",ROUND(AQ162*(1+Справочники!$B$12),0))</f>
        <v/>
      </c>
      <c r="AS162" s="90" t="str">
        <f aca="false">IF(AR162="","",ROUND(AR162*(1-Справочники!$B$11),0))</f>
        <v/>
      </c>
      <c r="AT162" s="88"/>
      <c r="AU162" s="90" t="str">
        <f aca="false">IF(AT162="","",ROUND(AT162/(1+Справочники!$B$12),0))</f>
        <v/>
      </c>
      <c r="AV162" s="90" t="str">
        <f aca="false">IF(AT162="","",ROUND(AT162*(1-Справочники!$B$15),0))</f>
        <v/>
      </c>
      <c r="AW162" s="90" t="str">
        <f aca="false">IF(AT162="","",ROUND(AT162*(1-Справочники!$B$16),0))</f>
        <v/>
      </c>
      <c r="AX162" s="90" t="str">
        <f aca="false">IF(AT162="","",ROUND(AT162*(1-Справочники!$B$17),0))</f>
        <v/>
      </c>
      <c r="AY162" s="90" t="str">
        <f aca="false">IF(AT162="","",ROUND(AT162*(1-Справочники!$B$18),0))</f>
        <v/>
      </c>
      <c r="AZ162" s="90" t="str">
        <f aca="false">IF(AT162="","",ROUND(AT162*(1-Справочники!$B$19),0))</f>
        <v/>
      </c>
      <c r="BA162" s="81"/>
      <c r="BB162" s="81"/>
      <c r="BC162" s="81"/>
      <c r="BD162" s="81"/>
      <c r="BE162" s="91"/>
      <c r="BF162" s="81" t="s">
        <v>103</v>
      </c>
      <c r="BG162" s="89" t="n">
        <f aca="false" t="array" ref="BG162:BG162">IF(BF162="","",IFERROR(INDEX(Справочники!$B$4:$B$7,MATCH(BF162,Справочники!$A$4:$A$7,0)),""))</f>
        <v>68.5</v>
      </c>
      <c r="BH162" s="90" t="str">
        <f aca="false">IF(N(BN162)&gt;0,ROUND(SUMIF(ЗАКАЗЫ!$F$3:$F$500,$A162,ЗАКАЗЫ!$Y$3:$Y$500)/BN162,0),IF(OR(BE162="",BG162=""),"",ROUND(BE162*BG162*(1+Справочники!$B$10),0)))</f>
        <v/>
      </c>
      <c r="BI162" s="92" t="str">
        <f aca="false">IF(OR(AU162="",BH162="",AU162=0),"",(AU162-BH162)/AU162)</f>
        <v/>
      </c>
      <c r="BJ162" s="81"/>
      <c r="BK162" s="83"/>
      <c r="BL162" s="43" t="str">
        <f aca="false">IFERROR(INDEX(ЗАКАЗЫ!$N$3:$N$500,MATCH($A162,ЗАКАЗЫ!$F$3:$F$500,0)),"")</f>
        <v/>
      </c>
      <c r="BM162" s="8" t="str">
        <f aca="false">IF(BL162="","",IFERROR(VLOOKUP(BL162,'ТН ВЭД'!$A$4:$C$40,3,0),""))</f>
        <v/>
      </c>
      <c r="BN162" s="7" t="str">
        <f aca="false">IF(COUNTIF(ЗАКАЗЫ!$F$3:$F$500,$A162)=0,"",SUMIF(ЗАКАЗЫ!$F$3:$F$500,$A162,ЗАКАЗЫ!$J$3:$J$500))</f>
        <v/>
      </c>
      <c r="BO162" s="7" t="str">
        <f aca="false">IF(BN162="","",SUMIF(ЗАКАЗЫ!$F$3:$F$500,$A162,ЗАКАЗЫ!$AL$3:$AL$500))</f>
        <v/>
      </c>
      <c r="BP162" s="7" t="str">
        <f aca="false">IF(BN162="","",BN162-BO162)</f>
        <v/>
      </c>
      <c r="BQ162" s="55" t="str">
        <f aca="false">IF(BN162="","",IF(BO162&gt;=BN162,"На складе",IF(BO162&gt;0,"Частично","Ждём")))</f>
        <v/>
      </c>
      <c r="BR162" s="43"/>
      <c r="BS162" s="47" t="str">
        <f aca="false">IF(BN162="","",IF(_xlfn.MAXIFS(ЗАКАЗЫ!$AK$3:$AK$500,ЗАКАЗЫ!$F$3:$F$500,$A162)=0,"",_xlfn.MAXIFS(ЗАКАЗЫ!$AK$3:$AK$500,ЗАКАЗЫ!$F$3:$F$500,$A162)))</f>
        <v/>
      </c>
    </row>
    <row r="163" customFormat="false" ht="15.75" hidden="false" customHeight="true" outlineLevel="0" collapsed="false">
      <c r="A163" s="80" t="s">
        <v>1364</v>
      </c>
      <c r="B163" s="81"/>
      <c r="C163" s="81"/>
      <c r="D163" s="81"/>
      <c r="E163" s="83"/>
      <c r="F163" s="81"/>
      <c r="G163" s="83"/>
      <c r="H163" s="83"/>
      <c r="I163" s="84" t="str">
        <f aca="false">IF(E163="","",A163&amp;"_1.jpg")</f>
        <v/>
      </c>
      <c r="J163" s="84" t="str">
        <f aca="false">IF(E163="","",A163&amp;"_2.jpg; "&amp;A163&amp;"_3.jpg")</f>
        <v/>
      </c>
      <c r="K163" s="84" t="str">
        <f aca="false">IF(E163="","",A163&amp;"_schema.jpg")</f>
        <v/>
      </c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 t="s">
        <v>96</v>
      </c>
      <c r="W163" s="81"/>
      <c r="X163" s="81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6" t="str">
        <f aca="false">IF(SUM(Y163:AJ163)=0,"",SUM(Y163:AJ163))</f>
        <v/>
      </c>
      <c r="AL163" s="84" t="str">
        <f aca="false">MID(IF(N(Y163)&gt;0,", "&amp;Y$2,"")&amp;IF(N(Z163)&gt;0,", "&amp;Z$2,"")&amp;IF(N(AA163)&gt;0,", "&amp;AA$2,"")&amp;IF(N(AB163)&gt;0,", "&amp;AB$2,"")&amp;IF(N(AC163)&gt;0,", "&amp;AC$2,"")&amp;IF(N(AD163)&gt;0,", "&amp;AD$2,"")&amp;IF(N(AE163)&gt;0,", "&amp;AE$2,"")&amp;IF(N(AF163)&gt;0,", "&amp;AF$2,"")&amp;IF(N(AG163)&gt;0,", "&amp;AG$2,"")&amp;IF(N(AH163)&gt;0,", "&amp;AH$2,"")&amp;IF(N(AI163)&gt;0,", "&amp;AI$2,"")&amp;IF(N(AJ163)&gt;0,", "&amp;AJ$2,""),3,999)</f>
        <v/>
      </c>
      <c r="AM163" s="87" t="str">
        <f aca="false">IF(E163="","",MID(IF(N(Y163)&gt;0,", "&amp;A163&amp;"-"&amp;Y$2,"")&amp;IF(N(Z163)&gt;0,", "&amp;A163&amp;"-"&amp;Z$2,"")&amp;IF(N(AA163)&gt;0,", "&amp;A163&amp;"-"&amp;AA$2,"")&amp;IF(N(AB163)&gt;0,", "&amp;A163&amp;"-"&amp;AB$2,"")&amp;IF(N(AC163)&gt;0,", "&amp;A163&amp;"-"&amp;AC$2,"")&amp;IF(N(AD163)&gt;0,", "&amp;A163&amp;"-"&amp;AD$2,"")&amp;IF(N(AE163)&gt;0,", "&amp;A163&amp;"-"&amp;AE$2,"")&amp;IF(N(AF163)&gt;0,", "&amp;A163&amp;"-"&amp;AF$2,"")&amp;IF(N(AG163)&gt;0,", "&amp;A163&amp;"-"&amp;AG$2,"")&amp;IF(N(AH163)&gt;0,", "&amp;A163&amp;"-"&amp;AH$2,"")&amp;IF(N(AI163)&gt;0,", "&amp;A163&amp;"-"&amp;AI$2,"")&amp;IF(N(AJ163)&gt;0,", "&amp;A163&amp;"-"&amp;AJ$2,""),3,999))</f>
        <v/>
      </c>
      <c r="AN163" s="81"/>
      <c r="AO163" s="88"/>
      <c r="AP163" s="89" t="str">
        <f aca="false">IF(AO163="","",ROUND(AO163/(1+Справочники!$B$13),2))</f>
        <v/>
      </c>
      <c r="AQ163" s="90" t="str">
        <f aca="false" t="array" ref="AQ163:AQ163">IF(AP163="","",AP163*INDEX(Справочники!$B$4:$B$7,MATCH("RUB",Справочники!$A$4:$A$7,0)))</f>
        <v/>
      </c>
      <c r="AR163" s="90" t="str">
        <f aca="false">IF(AQ163="","",ROUND(AQ163*(1+Справочники!$B$12),0))</f>
        <v/>
      </c>
      <c r="AS163" s="90" t="str">
        <f aca="false">IF(AR163="","",ROUND(AR163*(1-Справочники!$B$11),0))</f>
        <v/>
      </c>
      <c r="AT163" s="88"/>
      <c r="AU163" s="90" t="str">
        <f aca="false">IF(AT163="","",ROUND(AT163/(1+Справочники!$B$12),0))</f>
        <v/>
      </c>
      <c r="AV163" s="90" t="str">
        <f aca="false">IF(AT163="","",ROUND(AT163*(1-Справочники!$B$15),0))</f>
        <v/>
      </c>
      <c r="AW163" s="90" t="str">
        <f aca="false">IF(AT163="","",ROUND(AT163*(1-Справочники!$B$16),0))</f>
        <v/>
      </c>
      <c r="AX163" s="90" t="str">
        <f aca="false">IF(AT163="","",ROUND(AT163*(1-Справочники!$B$17),0))</f>
        <v/>
      </c>
      <c r="AY163" s="90" t="str">
        <f aca="false">IF(AT163="","",ROUND(AT163*(1-Справочники!$B$18),0))</f>
        <v/>
      </c>
      <c r="AZ163" s="90" t="str">
        <f aca="false">IF(AT163="","",ROUND(AT163*(1-Справочники!$B$19),0))</f>
        <v/>
      </c>
      <c r="BA163" s="81"/>
      <c r="BB163" s="81"/>
      <c r="BC163" s="81"/>
      <c r="BD163" s="81"/>
      <c r="BE163" s="91"/>
      <c r="BF163" s="81" t="s">
        <v>103</v>
      </c>
      <c r="BG163" s="89" t="n">
        <f aca="false" t="array" ref="BG163:BG163">IF(BF163="","",IFERROR(INDEX(Справочники!$B$4:$B$7,MATCH(BF163,Справочники!$A$4:$A$7,0)),""))</f>
        <v>68.5</v>
      </c>
      <c r="BH163" s="90" t="str">
        <f aca="false">IF(N(BN163)&gt;0,ROUND(SUMIF(ЗАКАЗЫ!$F$3:$F$500,$A163,ЗАКАЗЫ!$Y$3:$Y$500)/BN163,0),IF(OR(BE163="",BG163=""),"",ROUND(BE163*BG163*(1+Справочники!$B$10),0)))</f>
        <v/>
      </c>
      <c r="BI163" s="92" t="str">
        <f aca="false">IF(OR(AU163="",BH163="",AU163=0),"",(AU163-BH163)/AU163)</f>
        <v/>
      </c>
      <c r="BJ163" s="81"/>
      <c r="BK163" s="83"/>
      <c r="BL163" s="43" t="str">
        <f aca="false">IFERROR(INDEX(ЗАКАЗЫ!$N$3:$N$500,MATCH($A163,ЗАКАЗЫ!$F$3:$F$500,0)),"")</f>
        <v/>
      </c>
      <c r="BM163" s="8" t="str">
        <f aca="false">IF(BL163="","",IFERROR(VLOOKUP(BL163,'ТН ВЭД'!$A$4:$C$40,3,0),""))</f>
        <v/>
      </c>
      <c r="BN163" s="7" t="str">
        <f aca="false">IF(COUNTIF(ЗАКАЗЫ!$F$3:$F$500,$A163)=0,"",SUMIF(ЗАКАЗЫ!$F$3:$F$500,$A163,ЗАКАЗЫ!$J$3:$J$500))</f>
        <v/>
      </c>
      <c r="BO163" s="7" t="str">
        <f aca="false">IF(BN163="","",SUMIF(ЗАКАЗЫ!$F$3:$F$500,$A163,ЗАКАЗЫ!$AL$3:$AL$500))</f>
        <v/>
      </c>
      <c r="BP163" s="7" t="str">
        <f aca="false">IF(BN163="","",BN163-BO163)</f>
        <v/>
      </c>
      <c r="BQ163" s="55" t="str">
        <f aca="false">IF(BN163="","",IF(BO163&gt;=BN163,"На складе",IF(BO163&gt;0,"Частично","Ждём")))</f>
        <v/>
      </c>
      <c r="BR163" s="43"/>
      <c r="BS163" s="47" t="str">
        <f aca="false">IF(BN163="","",IF(_xlfn.MAXIFS(ЗАКАЗЫ!$AK$3:$AK$500,ЗАКАЗЫ!$F$3:$F$500,$A163)=0,"",_xlfn.MAXIFS(ЗАКАЗЫ!$AK$3:$AK$500,ЗАКАЗЫ!$F$3:$F$500,$A163)))</f>
        <v/>
      </c>
    </row>
    <row r="164" customFormat="false" ht="15.75" hidden="false" customHeight="true" outlineLevel="0" collapsed="false">
      <c r="A164" s="80" t="s">
        <v>1365</v>
      </c>
      <c r="B164" s="81"/>
      <c r="C164" s="81"/>
      <c r="D164" s="81"/>
      <c r="E164" s="83"/>
      <c r="F164" s="81"/>
      <c r="G164" s="83"/>
      <c r="H164" s="83"/>
      <c r="I164" s="84" t="str">
        <f aca="false">IF(E164="","",A164&amp;"_1.jpg")</f>
        <v/>
      </c>
      <c r="J164" s="84" t="str">
        <f aca="false">IF(E164="","",A164&amp;"_2.jpg; "&amp;A164&amp;"_3.jpg")</f>
        <v/>
      </c>
      <c r="K164" s="84" t="str">
        <f aca="false">IF(E164="","",A164&amp;"_schema.jpg")</f>
        <v/>
      </c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 t="s">
        <v>96</v>
      </c>
      <c r="W164" s="81"/>
      <c r="X164" s="81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6" t="str">
        <f aca="false">IF(SUM(Y164:AJ164)=0,"",SUM(Y164:AJ164))</f>
        <v/>
      </c>
      <c r="AL164" s="84" t="str">
        <f aca="false">MID(IF(N(Y164)&gt;0,", "&amp;Y$2,"")&amp;IF(N(Z164)&gt;0,", "&amp;Z$2,"")&amp;IF(N(AA164)&gt;0,", "&amp;AA$2,"")&amp;IF(N(AB164)&gt;0,", "&amp;AB$2,"")&amp;IF(N(AC164)&gt;0,", "&amp;AC$2,"")&amp;IF(N(AD164)&gt;0,", "&amp;AD$2,"")&amp;IF(N(AE164)&gt;0,", "&amp;AE$2,"")&amp;IF(N(AF164)&gt;0,", "&amp;AF$2,"")&amp;IF(N(AG164)&gt;0,", "&amp;AG$2,"")&amp;IF(N(AH164)&gt;0,", "&amp;AH$2,"")&amp;IF(N(AI164)&gt;0,", "&amp;AI$2,"")&amp;IF(N(AJ164)&gt;0,", "&amp;AJ$2,""),3,999)</f>
        <v/>
      </c>
      <c r="AM164" s="87" t="str">
        <f aca="false">IF(E164="","",MID(IF(N(Y164)&gt;0,", "&amp;A164&amp;"-"&amp;Y$2,"")&amp;IF(N(Z164)&gt;0,", "&amp;A164&amp;"-"&amp;Z$2,"")&amp;IF(N(AA164)&gt;0,", "&amp;A164&amp;"-"&amp;AA$2,"")&amp;IF(N(AB164)&gt;0,", "&amp;A164&amp;"-"&amp;AB$2,"")&amp;IF(N(AC164)&gt;0,", "&amp;A164&amp;"-"&amp;AC$2,"")&amp;IF(N(AD164)&gt;0,", "&amp;A164&amp;"-"&amp;AD$2,"")&amp;IF(N(AE164)&gt;0,", "&amp;A164&amp;"-"&amp;AE$2,"")&amp;IF(N(AF164)&gt;0,", "&amp;A164&amp;"-"&amp;AF$2,"")&amp;IF(N(AG164)&gt;0,", "&amp;A164&amp;"-"&amp;AG$2,"")&amp;IF(N(AH164)&gt;0,", "&amp;A164&amp;"-"&amp;AH$2,"")&amp;IF(N(AI164)&gt;0,", "&amp;A164&amp;"-"&amp;AI$2,"")&amp;IF(N(AJ164)&gt;0,", "&amp;A164&amp;"-"&amp;AJ$2,""),3,999))</f>
        <v/>
      </c>
      <c r="AN164" s="81"/>
      <c r="AO164" s="88"/>
      <c r="AP164" s="89" t="str">
        <f aca="false">IF(AO164="","",ROUND(AO164/(1+Справочники!$B$13),2))</f>
        <v/>
      </c>
      <c r="AQ164" s="90" t="str">
        <f aca="false" t="array" ref="AQ164:AQ164">IF(AP164="","",AP164*INDEX(Справочники!$B$4:$B$7,MATCH("RUB",Справочники!$A$4:$A$7,0)))</f>
        <v/>
      </c>
      <c r="AR164" s="90" t="str">
        <f aca="false">IF(AQ164="","",ROUND(AQ164*(1+Справочники!$B$12),0))</f>
        <v/>
      </c>
      <c r="AS164" s="90" t="str">
        <f aca="false">IF(AR164="","",ROUND(AR164*(1-Справочники!$B$11),0))</f>
        <v/>
      </c>
      <c r="AT164" s="88"/>
      <c r="AU164" s="90" t="str">
        <f aca="false">IF(AT164="","",ROUND(AT164/(1+Справочники!$B$12),0))</f>
        <v/>
      </c>
      <c r="AV164" s="90" t="str">
        <f aca="false">IF(AT164="","",ROUND(AT164*(1-Справочники!$B$15),0))</f>
        <v/>
      </c>
      <c r="AW164" s="90" t="str">
        <f aca="false">IF(AT164="","",ROUND(AT164*(1-Справочники!$B$16),0))</f>
        <v/>
      </c>
      <c r="AX164" s="90" t="str">
        <f aca="false">IF(AT164="","",ROUND(AT164*(1-Справочники!$B$17),0))</f>
        <v/>
      </c>
      <c r="AY164" s="90" t="str">
        <f aca="false">IF(AT164="","",ROUND(AT164*(1-Справочники!$B$18),0))</f>
        <v/>
      </c>
      <c r="AZ164" s="90" t="str">
        <f aca="false">IF(AT164="","",ROUND(AT164*(1-Справочники!$B$19),0))</f>
        <v/>
      </c>
      <c r="BA164" s="81"/>
      <c r="BB164" s="81"/>
      <c r="BC164" s="81"/>
      <c r="BD164" s="81"/>
      <c r="BE164" s="91"/>
      <c r="BF164" s="81" t="s">
        <v>103</v>
      </c>
      <c r="BG164" s="89" t="n">
        <f aca="false" t="array" ref="BG164:BG164">IF(BF164="","",IFERROR(INDEX(Справочники!$B$4:$B$7,MATCH(BF164,Справочники!$A$4:$A$7,0)),""))</f>
        <v>68.5</v>
      </c>
      <c r="BH164" s="90" t="str">
        <f aca="false">IF(N(BN164)&gt;0,ROUND(SUMIF(ЗАКАЗЫ!$F$3:$F$500,$A164,ЗАКАЗЫ!$Y$3:$Y$500)/BN164,0),IF(OR(BE164="",BG164=""),"",ROUND(BE164*BG164*(1+Справочники!$B$10),0)))</f>
        <v/>
      </c>
      <c r="BI164" s="92" t="str">
        <f aca="false">IF(OR(AU164="",BH164="",AU164=0),"",(AU164-BH164)/AU164)</f>
        <v/>
      </c>
      <c r="BJ164" s="81"/>
      <c r="BK164" s="83"/>
      <c r="BL164" s="43" t="str">
        <f aca="false">IFERROR(INDEX(ЗАКАЗЫ!$N$3:$N$500,MATCH($A164,ЗАКАЗЫ!$F$3:$F$500,0)),"")</f>
        <v/>
      </c>
      <c r="BM164" s="8" t="str">
        <f aca="false">IF(BL164="","",IFERROR(VLOOKUP(BL164,'ТН ВЭД'!$A$4:$C$40,3,0),""))</f>
        <v/>
      </c>
      <c r="BN164" s="7" t="str">
        <f aca="false">IF(COUNTIF(ЗАКАЗЫ!$F$3:$F$500,$A164)=0,"",SUMIF(ЗАКАЗЫ!$F$3:$F$500,$A164,ЗАКАЗЫ!$J$3:$J$500))</f>
        <v/>
      </c>
      <c r="BO164" s="7" t="str">
        <f aca="false">IF(BN164="","",SUMIF(ЗАКАЗЫ!$F$3:$F$500,$A164,ЗАКАЗЫ!$AL$3:$AL$500))</f>
        <v/>
      </c>
      <c r="BP164" s="7" t="str">
        <f aca="false">IF(BN164="","",BN164-BO164)</f>
        <v/>
      </c>
      <c r="BQ164" s="55" t="str">
        <f aca="false">IF(BN164="","",IF(BO164&gt;=BN164,"На складе",IF(BO164&gt;0,"Частично","Ждём")))</f>
        <v/>
      </c>
      <c r="BR164" s="43"/>
      <c r="BS164" s="47" t="str">
        <f aca="false">IF(BN164="","",IF(_xlfn.MAXIFS(ЗАКАЗЫ!$AK$3:$AK$500,ЗАКАЗЫ!$F$3:$F$500,$A164)=0,"",_xlfn.MAXIFS(ЗАКАЗЫ!$AK$3:$AK$500,ЗАКАЗЫ!$F$3:$F$500,$A164)))</f>
        <v/>
      </c>
    </row>
    <row r="165" customFormat="false" ht="15.75" hidden="false" customHeight="true" outlineLevel="0" collapsed="false">
      <c r="A165" s="80" t="s">
        <v>1366</v>
      </c>
      <c r="B165" s="81"/>
      <c r="C165" s="81"/>
      <c r="D165" s="81"/>
      <c r="E165" s="83"/>
      <c r="F165" s="81"/>
      <c r="G165" s="83"/>
      <c r="H165" s="83"/>
      <c r="I165" s="84" t="str">
        <f aca="false">IF(E165="","",A165&amp;"_1.jpg")</f>
        <v/>
      </c>
      <c r="J165" s="84" t="str">
        <f aca="false">IF(E165="","",A165&amp;"_2.jpg; "&amp;A165&amp;"_3.jpg")</f>
        <v/>
      </c>
      <c r="K165" s="84" t="str">
        <f aca="false">IF(E165="","",A165&amp;"_schema.jpg")</f>
        <v/>
      </c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 t="s">
        <v>96</v>
      </c>
      <c r="W165" s="81"/>
      <c r="X165" s="81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6" t="str">
        <f aca="false">IF(SUM(Y165:AJ165)=0,"",SUM(Y165:AJ165))</f>
        <v/>
      </c>
      <c r="AL165" s="84" t="str">
        <f aca="false">MID(IF(N(Y165)&gt;0,", "&amp;Y$2,"")&amp;IF(N(Z165)&gt;0,", "&amp;Z$2,"")&amp;IF(N(AA165)&gt;0,", "&amp;AA$2,"")&amp;IF(N(AB165)&gt;0,", "&amp;AB$2,"")&amp;IF(N(AC165)&gt;0,", "&amp;AC$2,"")&amp;IF(N(AD165)&gt;0,", "&amp;AD$2,"")&amp;IF(N(AE165)&gt;0,", "&amp;AE$2,"")&amp;IF(N(AF165)&gt;0,", "&amp;AF$2,"")&amp;IF(N(AG165)&gt;0,", "&amp;AG$2,"")&amp;IF(N(AH165)&gt;0,", "&amp;AH$2,"")&amp;IF(N(AI165)&gt;0,", "&amp;AI$2,"")&amp;IF(N(AJ165)&gt;0,", "&amp;AJ$2,""),3,999)</f>
        <v/>
      </c>
      <c r="AM165" s="87" t="str">
        <f aca="false">IF(E165="","",MID(IF(N(Y165)&gt;0,", "&amp;A165&amp;"-"&amp;Y$2,"")&amp;IF(N(Z165)&gt;0,", "&amp;A165&amp;"-"&amp;Z$2,"")&amp;IF(N(AA165)&gt;0,", "&amp;A165&amp;"-"&amp;AA$2,"")&amp;IF(N(AB165)&gt;0,", "&amp;A165&amp;"-"&amp;AB$2,"")&amp;IF(N(AC165)&gt;0,", "&amp;A165&amp;"-"&amp;AC$2,"")&amp;IF(N(AD165)&gt;0,", "&amp;A165&amp;"-"&amp;AD$2,"")&amp;IF(N(AE165)&gt;0,", "&amp;A165&amp;"-"&amp;AE$2,"")&amp;IF(N(AF165)&gt;0,", "&amp;A165&amp;"-"&amp;AF$2,"")&amp;IF(N(AG165)&gt;0,", "&amp;A165&amp;"-"&amp;AG$2,"")&amp;IF(N(AH165)&gt;0,", "&amp;A165&amp;"-"&amp;AH$2,"")&amp;IF(N(AI165)&gt;0,", "&amp;A165&amp;"-"&amp;AI$2,"")&amp;IF(N(AJ165)&gt;0,", "&amp;A165&amp;"-"&amp;AJ$2,""),3,999))</f>
        <v/>
      </c>
      <c r="AN165" s="81"/>
      <c r="AO165" s="88"/>
      <c r="AP165" s="89" t="str">
        <f aca="false">IF(AO165="","",ROUND(AO165/(1+Справочники!$B$13),2))</f>
        <v/>
      </c>
      <c r="AQ165" s="90" t="str">
        <f aca="false" t="array" ref="AQ165:AQ165">IF(AP165="","",AP165*INDEX(Справочники!$B$4:$B$7,MATCH("RUB",Справочники!$A$4:$A$7,0)))</f>
        <v/>
      </c>
      <c r="AR165" s="90" t="str">
        <f aca="false">IF(AQ165="","",ROUND(AQ165*(1+Справочники!$B$12),0))</f>
        <v/>
      </c>
      <c r="AS165" s="90" t="str">
        <f aca="false">IF(AR165="","",ROUND(AR165*(1-Справочники!$B$11),0))</f>
        <v/>
      </c>
      <c r="AT165" s="88"/>
      <c r="AU165" s="90" t="str">
        <f aca="false">IF(AT165="","",ROUND(AT165/(1+Справочники!$B$12),0))</f>
        <v/>
      </c>
      <c r="AV165" s="90" t="str">
        <f aca="false">IF(AT165="","",ROUND(AT165*(1-Справочники!$B$15),0))</f>
        <v/>
      </c>
      <c r="AW165" s="90" t="str">
        <f aca="false">IF(AT165="","",ROUND(AT165*(1-Справочники!$B$16),0))</f>
        <v/>
      </c>
      <c r="AX165" s="90" t="str">
        <f aca="false">IF(AT165="","",ROUND(AT165*(1-Справочники!$B$17),0))</f>
        <v/>
      </c>
      <c r="AY165" s="90" t="str">
        <f aca="false">IF(AT165="","",ROUND(AT165*(1-Справочники!$B$18),0))</f>
        <v/>
      </c>
      <c r="AZ165" s="90" t="str">
        <f aca="false">IF(AT165="","",ROUND(AT165*(1-Справочники!$B$19),0))</f>
        <v/>
      </c>
      <c r="BA165" s="81"/>
      <c r="BB165" s="81"/>
      <c r="BC165" s="81"/>
      <c r="BD165" s="81"/>
      <c r="BE165" s="91"/>
      <c r="BF165" s="81" t="s">
        <v>103</v>
      </c>
      <c r="BG165" s="89" t="n">
        <f aca="false" t="array" ref="BG165:BG165">IF(BF165="","",IFERROR(INDEX(Справочники!$B$4:$B$7,MATCH(BF165,Справочники!$A$4:$A$7,0)),""))</f>
        <v>68.5</v>
      </c>
      <c r="BH165" s="90" t="str">
        <f aca="false">IF(N(BN165)&gt;0,ROUND(SUMIF(ЗАКАЗЫ!$F$3:$F$500,$A165,ЗАКАЗЫ!$Y$3:$Y$500)/BN165,0),IF(OR(BE165="",BG165=""),"",ROUND(BE165*BG165*(1+Справочники!$B$10),0)))</f>
        <v/>
      </c>
      <c r="BI165" s="92" t="str">
        <f aca="false">IF(OR(AU165="",BH165="",AU165=0),"",(AU165-BH165)/AU165)</f>
        <v/>
      </c>
      <c r="BJ165" s="81"/>
      <c r="BK165" s="83"/>
      <c r="BL165" s="43" t="str">
        <f aca="false">IFERROR(INDEX(ЗАКАЗЫ!$N$3:$N$500,MATCH($A165,ЗАКАЗЫ!$F$3:$F$500,0)),"")</f>
        <v/>
      </c>
      <c r="BM165" s="8" t="str">
        <f aca="false">IF(BL165="","",IFERROR(VLOOKUP(BL165,'ТН ВЭД'!$A$4:$C$40,3,0),""))</f>
        <v/>
      </c>
      <c r="BN165" s="7" t="str">
        <f aca="false">IF(COUNTIF(ЗАКАЗЫ!$F$3:$F$500,$A165)=0,"",SUMIF(ЗАКАЗЫ!$F$3:$F$500,$A165,ЗАКАЗЫ!$J$3:$J$500))</f>
        <v/>
      </c>
      <c r="BO165" s="7" t="str">
        <f aca="false">IF(BN165="","",SUMIF(ЗАКАЗЫ!$F$3:$F$500,$A165,ЗАКАЗЫ!$AL$3:$AL$500))</f>
        <v/>
      </c>
      <c r="BP165" s="7" t="str">
        <f aca="false">IF(BN165="","",BN165-BO165)</f>
        <v/>
      </c>
      <c r="BQ165" s="55" t="str">
        <f aca="false">IF(BN165="","",IF(BO165&gt;=BN165,"На складе",IF(BO165&gt;0,"Частично","Ждём")))</f>
        <v/>
      </c>
      <c r="BR165" s="43"/>
      <c r="BS165" s="47" t="str">
        <f aca="false">IF(BN165="","",IF(_xlfn.MAXIFS(ЗАКАЗЫ!$AK$3:$AK$500,ЗАКАЗЫ!$F$3:$F$500,$A165)=0,"",_xlfn.MAXIFS(ЗАКАЗЫ!$AK$3:$AK$500,ЗАКАЗЫ!$F$3:$F$500,$A165)))</f>
        <v/>
      </c>
    </row>
    <row r="166" customFormat="false" ht="15.75" hidden="false" customHeight="true" outlineLevel="0" collapsed="false">
      <c r="A166" s="80" t="s">
        <v>1367</v>
      </c>
      <c r="B166" s="81"/>
      <c r="C166" s="81"/>
      <c r="D166" s="81"/>
      <c r="E166" s="83"/>
      <c r="F166" s="81"/>
      <c r="G166" s="83"/>
      <c r="H166" s="83"/>
      <c r="I166" s="84" t="str">
        <f aca="false">IF(E166="","",A166&amp;"_1.jpg")</f>
        <v/>
      </c>
      <c r="J166" s="84" t="str">
        <f aca="false">IF(E166="","",A166&amp;"_2.jpg; "&amp;A166&amp;"_3.jpg")</f>
        <v/>
      </c>
      <c r="K166" s="84" t="str">
        <f aca="false">IF(E166="","",A166&amp;"_schema.jpg")</f>
        <v/>
      </c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 t="s">
        <v>96</v>
      </c>
      <c r="W166" s="81"/>
      <c r="X166" s="81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6" t="str">
        <f aca="false">IF(SUM(Y166:AJ166)=0,"",SUM(Y166:AJ166))</f>
        <v/>
      </c>
      <c r="AL166" s="84" t="str">
        <f aca="false">MID(IF(N(Y166)&gt;0,", "&amp;Y$2,"")&amp;IF(N(Z166)&gt;0,", "&amp;Z$2,"")&amp;IF(N(AA166)&gt;0,", "&amp;AA$2,"")&amp;IF(N(AB166)&gt;0,", "&amp;AB$2,"")&amp;IF(N(AC166)&gt;0,", "&amp;AC$2,"")&amp;IF(N(AD166)&gt;0,", "&amp;AD$2,"")&amp;IF(N(AE166)&gt;0,", "&amp;AE$2,"")&amp;IF(N(AF166)&gt;0,", "&amp;AF$2,"")&amp;IF(N(AG166)&gt;0,", "&amp;AG$2,"")&amp;IF(N(AH166)&gt;0,", "&amp;AH$2,"")&amp;IF(N(AI166)&gt;0,", "&amp;AI$2,"")&amp;IF(N(AJ166)&gt;0,", "&amp;AJ$2,""),3,999)</f>
        <v/>
      </c>
      <c r="AM166" s="87" t="str">
        <f aca="false">IF(E166="","",MID(IF(N(Y166)&gt;0,", "&amp;A166&amp;"-"&amp;Y$2,"")&amp;IF(N(Z166)&gt;0,", "&amp;A166&amp;"-"&amp;Z$2,"")&amp;IF(N(AA166)&gt;0,", "&amp;A166&amp;"-"&amp;AA$2,"")&amp;IF(N(AB166)&gt;0,", "&amp;A166&amp;"-"&amp;AB$2,"")&amp;IF(N(AC166)&gt;0,", "&amp;A166&amp;"-"&amp;AC$2,"")&amp;IF(N(AD166)&gt;0,", "&amp;A166&amp;"-"&amp;AD$2,"")&amp;IF(N(AE166)&gt;0,", "&amp;A166&amp;"-"&amp;AE$2,"")&amp;IF(N(AF166)&gt;0,", "&amp;A166&amp;"-"&amp;AF$2,"")&amp;IF(N(AG166)&gt;0,", "&amp;A166&amp;"-"&amp;AG$2,"")&amp;IF(N(AH166)&gt;0,", "&amp;A166&amp;"-"&amp;AH$2,"")&amp;IF(N(AI166)&gt;0,", "&amp;A166&amp;"-"&amp;AI$2,"")&amp;IF(N(AJ166)&gt;0,", "&amp;A166&amp;"-"&amp;AJ$2,""),3,999))</f>
        <v/>
      </c>
      <c r="AN166" s="81"/>
      <c r="AO166" s="88"/>
      <c r="AP166" s="89" t="str">
        <f aca="false">IF(AO166="","",ROUND(AO166/(1+Справочники!$B$13),2))</f>
        <v/>
      </c>
      <c r="AQ166" s="90" t="str">
        <f aca="false" t="array" ref="AQ166:AQ166">IF(AP166="","",AP166*INDEX(Справочники!$B$4:$B$7,MATCH("RUB",Справочники!$A$4:$A$7,0)))</f>
        <v/>
      </c>
      <c r="AR166" s="90" t="str">
        <f aca="false">IF(AQ166="","",ROUND(AQ166*(1+Справочники!$B$12),0))</f>
        <v/>
      </c>
      <c r="AS166" s="90" t="str">
        <f aca="false">IF(AR166="","",ROUND(AR166*(1-Справочники!$B$11),0))</f>
        <v/>
      </c>
      <c r="AT166" s="88"/>
      <c r="AU166" s="90" t="str">
        <f aca="false">IF(AT166="","",ROUND(AT166/(1+Справочники!$B$12),0))</f>
        <v/>
      </c>
      <c r="AV166" s="90" t="str">
        <f aca="false">IF(AT166="","",ROUND(AT166*(1-Справочники!$B$15),0))</f>
        <v/>
      </c>
      <c r="AW166" s="90" t="str">
        <f aca="false">IF(AT166="","",ROUND(AT166*(1-Справочники!$B$16),0))</f>
        <v/>
      </c>
      <c r="AX166" s="90" t="str">
        <f aca="false">IF(AT166="","",ROUND(AT166*(1-Справочники!$B$17),0))</f>
        <v/>
      </c>
      <c r="AY166" s="90" t="str">
        <f aca="false">IF(AT166="","",ROUND(AT166*(1-Справочники!$B$18),0))</f>
        <v/>
      </c>
      <c r="AZ166" s="90" t="str">
        <f aca="false">IF(AT166="","",ROUND(AT166*(1-Справочники!$B$19),0))</f>
        <v/>
      </c>
      <c r="BA166" s="81"/>
      <c r="BB166" s="81"/>
      <c r="BC166" s="81"/>
      <c r="BD166" s="81"/>
      <c r="BE166" s="91"/>
      <c r="BF166" s="81" t="s">
        <v>103</v>
      </c>
      <c r="BG166" s="89" t="n">
        <f aca="false" t="array" ref="BG166:BG166">IF(BF166="","",IFERROR(INDEX(Справочники!$B$4:$B$7,MATCH(BF166,Справочники!$A$4:$A$7,0)),""))</f>
        <v>68.5</v>
      </c>
      <c r="BH166" s="90" t="str">
        <f aca="false">IF(N(BN166)&gt;0,ROUND(SUMIF(ЗАКАЗЫ!$F$3:$F$500,$A166,ЗАКАЗЫ!$Y$3:$Y$500)/BN166,0),IF(OR(BE166="",BG166=""),"",ROUND(BE166*BG166*(1+Справочники!$B$10),0)))</f>
        <v/>
      </c>
      <c r="BI166" s="92" t="str">
        <f aca="false">IF(OR(AU166="",BH166="",AU166=0),"",(AU166-BH166)/AU166)</f>
        <v/>
      </c>
      <c r="BJ166" s="81"/>
      <c r="BK166" s="83"/>
      <c r="BL166" s="43" t="str">
        <f aca="false">IFERROR(INDEX(ЗАКАЗЫ!$N$3:$N$500,MATCH($A166,ЗАКАЗЫ!$F$3:$F$500,0)),"")</f>
        <v/>
      </c>
      <c r="BM166" s="8" t="str">
        <f aca="false">IF(BL166="","",IFERROR(VLOOKUP(BL166,'ТН ВЭД'!$A$4:$C$40,3,0),""))</f>
        <v/>
      </c>
      <c r="BN166" s="7" t="str">
        <f aca="false">IF(COUNTIF(ЗАКАЗЫ!$F$3:$F$500,$A166)=0,"",SUMIF(ЗАКАЗЫ!$F$3:$F$500,$A166,ЗАКАЗЫ!$J$3:$J$500))</f>
        <v/>
      </c>
      <c r="BO166" s="7" t="str">
        <f aca="false">IF(BN166="","",SUMIF(ЗАКАЗЫ!$F$3:$F$500,$A166,ЗАКАЗЫ!$AL$3:$AL$500))</f>
        <v/>
      </c>
      <c r="BP166" s="7" t="str">
        <f aca="false">IF(BN166="","",BN166-BO166)</f>
        <v/>
      </c>
      <c r="BQ166" s="55" t="str">
        <f aca="false">IF(BN166="","",IF(BO166&gt;=BN166,"На складе",IF(BO166&gt;0,"Частично","Ждём")))</f>
        <v/>
      </c>
      <c r="BR166" s="43"/>
      <c r="BS166" s="47" t="str">
        <f aca="false">IF(BN166="","",IF(_xlfn.MAXIFS(ЗАКАЗЫ!$AK$3:$AK$500,ЗАКАЗЫ!$F$3:$F$500,$A166)=0,"",_xlfn.MAXIFS(ЗАКАЗЫ!$AK$3:$AK$500,ЗАКАЗЫ!$F$3:$F$500,$A166)))</f>
        <v/>
      </c>
    </row>
    <row r="167" customFormat="false" ht="15.75" hidden="false" customHeight="true" outlineLevel="0" collapsed="false">
      <c r="A167" s="80" t="s">
        <v>1368</v>
      </c>
      <c r="B167" s="81"/>
      <c r="C167" s="81"/>
      <c r="D167" s="81"/>
      <c r="E167" s="83"/>
      <c r="F167" s="81"/>
      <c r="G167" s="83"/>
      <c r="H167" s="83"/>
      <c r="I167" s="84" t="str">
        <f aca="false">IF(E167="","",A167&amp;"_1.jpg")</f>
        <v/>
      </c>
      <c r="J167" s="84" t="str">
        <f aca="false">IF(E167="","",A167&amp;"_2.jpg; "&amp;A167&amp;"_3.jpg")</f>
        <v/>
      </c>
      <c r="K167" s="84" t="str">
        <f aca="false">IF(E167="","",A167&amp;"_schema.jpg")</f>
        <v/>
      </c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 t="s">
        <v>96</v>
      </c>
      <c r="W167" s="81"/>
      <c r="X167" s="81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6" t="str">
        <f aca="false">IF(SUM(Y167:AJ167)=0,"",SUM(Y167:AJ167))</f>
        <v/>
      </c>
      <c r="AL167" s="84" t="str">
        <f aca="false">MID(IF(N(Y167)&gt;0,", "&amp;Y$2,"")&amp;IF(N(Z167)&gt;0,", "&amp;Z$2,"")&amp;IF(N(AA167)&gt;0,", "&amp;AA$2,"")&amp;IF(N(AB167)&gt;0,", "&amp;AB$2,"")&amp;IF(N(AC167)&gt;0,", "&amp;AC$2,"")&amp;IF(N(AD167)&gt;0,", "&amp;AD$2,"")&amp;IF(N(AE167)&gt;0,", "&amp;AE$2,"")&amp;IF(N(AF167)&gt;0,", "&amp;AF$2,"")&amp;IF(N(AG167)&gt;0,", "&amp;AG$2,"")&amp;IF(N(AH167)&gt;0,", "&amp;AH$2,"")&amp;IF(N(AI167)&gt;0,", "&amp;AI$2,"")&amp;IF(N(AJ167)&gt;0,", "&amp;AJ$2,""),3,999)</f>
        <v/>
      </c>
      <c r="AM167" s="87" t="str">
        <f aca="false">IF(E167="","",MID(IF(N(Y167)&gt;0,", "&amp;A167&amp;"-"&amp;Y$2,"")&amp;IF(N(Z167)&gt;0,", "&amp;A167&amp;"-"&amp;Z$2,"")&amp;IF(N(AA167)&gt;0,", "&amp;A167&amp;"-"&amp;AA$2,"")&amp;IF(N(AB167)&gt;0,", "&amp;A167&amp;"-"&amp;AB$2,"")&amp;IF(N(AC167)&gt;0,", "&amp;A167&amp;"-"&amp;AC$2,"")&amp;IF(N(AD167)&gt;0,", "&amp;A167&amp;"-"&amp;AD$2,"")&amp;IF(N(AE167)&gt;0,", "&amp;A167&amp;"-"&amp;AE$2,"")&amp;IF(N(AF167)&gt;0,", "&amp;A167&amp;"-"&amp;AF$2,"")&amp;IF(N(AG167)&gt;0,", "&amp;A167&amp;"-"&amp;AG$2,"")&amp;IF(N(AH167)&gt;0,", "&amp;A167&amp;"-"&amp;AH$2,"")&amp;IF(N(AI167)&gt;0,", "&amp;A167&amp;"-"&amp;AI$2,"")&amp;IF(N(AJ167)&gt;0,", "&amp;A167&amp;"-"&amp;AJ$2,""),3,999))</f>
        <v/>
      </c>
      <c r="AN167" s="81"/>
      <c r="AO167" s="88"/>
      <c r="AP167" s="89" t="str">
        <f aca="false">IF(AO167="","",ROUND(AO167/(1+Справочники!$B$13),2))</f>
        <v/>
      </c>
      <c r="AQ167" s="90" t="str">
        <f aca="false" t="array" ref="AQ167:AQ167">IF(AP167="","",AP167*INDEX(Справочники!$B$4:$B$7,MATCH("RUB",Справочники!$A$4:$A$7,0)))</f>
        <v/>
      </c>
      <c r="AR167" s="90" t="str">
        <f aca="false">IF(AQ167="","",ROUND(AQ167*(1+Справочники!$B$12),0))</f>
        <v/>
      </c>
      <c r="AS167" s="90" t="str">
        <f aca="false">IF(AR167="","",ROUND(AR167*(1-Справочники!$B$11),0))</f>
        <v/>
      </c>
      <c r="AT167" s="88"/>
      <c r="AU167" s="90" t="str">
        <f aca="false">IF(AT167="","",ROUND(AT167/(1+Справочники!$B$12),0))</f>
        <v/>
      </c>
      <c r="AV167" s="90" t="str">
        <f aca="false">IF(AT167="","",ROUND(AT167*(1-Справочники!$B$15),0))</f>
        <v/>
      </c>
      <c r="AW167" s="90" t="str">
        <f aca="false">IF(AT167="","",ROUND(AT167*(1-Справочники!$B$16),0))</f>
        <v/>
      </c>
      <c r="AX167" s="90" t="str">
        <f aca="false">IF(AT167="","",ROUND(AT167*(1-Справочники!$B$17),0))</f>
        <v/>
      </c>
      <c r="AY167" s="90" t="str">
        <f aca="false">IF(AT167="","",ROUND(AT167*(1-Справочники!$B$18),0))</f>
        <v/>
      </c>
      <c r="AZ167" s="90" t="str">
        <f aca="false">IF(AT167="","",ROUND(AT167*(1-Справочники!$B$19),0))</f>
        <v/>
      </c>
      <c r="BA167" s="81"/>
      <c r="BB167" s="81"/>
      <c r="BC167" s="81"/>
      <c r="BD167" s="81"/>
      <c r="BE167" s="91"/>
      <c r="BF167" s="81" t="s">
        <v>103</v>
      </c>
      <c r="BG167" s="89" t="n">
        <f aca="false" t="array" ref="BG167:BG167">IF(BF167="","",IFERROR(INDEX(Справочники!$B$4:$B$7,MATCH(BF167,Справочники!$A$4:$A$7,0)),""))</f>
        <v>68.5</v>
      </c>
      <c r="BH167" s="90" t="str">
        <f aca="false">IF(N(BN167)&gt;0,ROUND(SUMIF(ЗАКАЗЫ!$F$3:$F$500,$A167,ЗАКАЗЫ!$Y$3:$Y$500)/BN167,0),IF(OR(BE167="",BG167=""),"",ROUND(BE167*BG167*(1+Справочники!$B$10),0)))</f>
        <v/>
      </c>
      <c r="BI167" s="92" t="str">
        <f aca="false">IF(OR(AU167="",BH167="",AU167=0),"",(AU167-BH167)/AU167)</f>
        <v/>
      </c>
      <c r="BJ167" s="81"/>
      <c r="BK167" s="83"/>
      <c r="BL167" s="43" t="str">
        <f aca="false">IFERROR(INDEX(ЗАКАЗЫ!$N$3:$N$500,MATCH($A167,ЗАКАЗЫ!$F$3:$F$500,0)),"")</f>
        <v/>
      </c>
      <c r="BM167" s="8" t="str">
        <f aca="false">IF(BL167="","",IFERROR(VLOOKUP(BL167,'ТН ВЭД'!$A$4:$C$40,3,0),""))</f>
        <v/>
      </c>
      <c r="BN167" s="7" t="str">
        <f aca="false">IF(COUNTIF(ЗАКАЗЫ!$F$3:$F$500,$A167)=0,"",SUMIF(ЗАКАЗЫ!$F$3:$F$500,$A167,ЗАКАЗЫ!$J$3:$J$500))</f>
        <v/>
      </c>
      <c r="BO167" s="7" t="str">
        <f aca="false">IF(BN167="","",SUMIF(ЗАКАЗЫ!$F$3:$F$500,$A167,ЗАКАЗЫ!$AL$3:$AL$500))</f>
        <v/>
      </c>
      <c r="BP167" s="7" t="str">
        <f aca="false">IF(BN167="","",BN167-BO167)</f>
        <v/>
      </c>
      <c r="BQ167" s="55" t="str">
        <f aca="false">IF(BN167="","",IF(BO167&gt;=BN167,"На складе",IF(BO167&gt;0,"Частично","Ждём")))</f>
        <v/>
      </c>
      <c r="BR167" s="43"/>
      <c r="BS167" s="47" t="str">
        <f aca="false">IF(BN167="","",IF(_xlfn.MAXIFS(ЗАКАЗЫ!$AK$3:$AK$500,ЗАКАЗЫ!$F$3:$F$500,$A167)=0,"",_xlfn.MAXIFS(ЗАКАЗЫ!$AK$3:$AK$500,ЗАКАЗЫ!$F$3:$F$500,$A167)))</f>
        <v/>
      </c>
    </row>
    <row r="168" customFormat="false" ht="15.75" hidden="false" customHeight="true" outlineLevel="0" collapsed="false">
      <c r="A168" s="80" t="s">
        <v>1369</v>
      </c>
      <c r="B168" s="81"/>
      <c r="C168" s="81"/>
      <c r="D168" s="81"/>
      <c r="E168" s="83"/>
      <c r="F168" s="81"/>
      <c r="G168" s="83"/>
      <c r="H168" s="83"/>
      <c r="I168" s="84" t="str">
        <f aca="false">IF(E168="","",A168&amp;"_1.jpg")</f>
        <v/>
      </c>
      <c r="J168" s="84" t="str">
        <f aca="false">IF(E168="","",A168&amp;"_2.jpg; "&amp;A168&amp;"_3.jpg")</f>
        <v/>
      </c>
      <c r="K168" s="84" t="str">
        <f aca="false">IF(E168="","",A168&amp;"_schema.jpg")</f>
        <v/>
      </c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 t="s">
        <v>96</v>
      </c>
      <c r="W168" s="81"/>
      <c r="X168" s="81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6" t="str">
        <f aca="false">IF(SUM(Y168:AJ168)=0,"",SUM(Y168:AJ168))</f>
        <v/>
      </c>
      <c r="AL168" s="84" t="str">
        <f aca="false">MID(IF(N(Y168)&gt;0,", "&amp;Y$2,"")&amp;IF(N(Z168)&gt;0,", "&amp;Z$2,"")&amp;IF(N(AA168)&gt;0,", "&amp;AA$2,"")&amp;IF(N(AB168)&gt;0,", "&amp;AB$2,"")&amp;IF(N(AC168)&gt;0,", "&amp;AC$2,"")&amp;IF(N(AD168)&gt;0,", "&amp;AD$2,"")&amp;IF(N(AE168)&gt;0,", "&amp;AE$2,"")&amp;IF(N(AF168)&gt;0,", "&amp;AF$2,"")&amp;IF(N(AG168)&gt;0,", "&amp;AG$2,"")&amp;IF(N(AH168)&gt;0,", "&amp;AH$2,"")&amp;IF(N(AI168)&gt;0,", "&amp;AI$2,"")&amp;IF(N(AJ168)&gt;0,", "&amp;AJ$2,""),3,999)</f>
        <v/>
      </c>
      <c r="AM168" s="87" t="str">
        <f aca="false">IF(E168="","",MID(IF(N(Y168)&gt;0,", "&amp;A168&amp;"-"&amp;Y$2,"")&amp;IF(N(Z168)&gt;0,", "&amp;A168&amp;"-"&amp;Z$2,"")&amp;IF(N(AA168)&gt;0,", "&amp;A168&amp;"-"&amp;AA$2,"")&amp;IF(N(AB168)&gt;0,", "&amp;A168&amp;"-"&amp;AB$2,"")&amp;IF(N(AC168)&gt;0,", "&amp;A168&amp;"-"&amp;AC$2,"")&amp;IF(N(AD168)&gt;0,", "&amp;A168&amp;"-"&amp;AD$2,"")&amp;IF(N(AE168)&gt;0,", "&amp;A168&amp;"-"&amp;AE$2,"")&amp;IF(N(AF168)&gt;0,", "&amp;A168&amp;"-"&amp;AF$2,"")&amp;IF(N(AG168)&gt;0,", "&amp;A168&amp;"-"&amp;AG$2,"")&amp;IF(N(AH168)&gt;0,", "&amp;A168&amp;"-"&amp;AH$2,"")&amp;IF(N(AI168)&gt;0,", "&amp;A168&amp;"-"&amp;AI$2,"")&amp;IF(N(AJ168)&gt;0,", "&amp;A168&amp;"-"&amp;AJ$2,""),3,999))</f>
        <v/>
      </c>
      <c r="AN168" s="81"/>
      <c r="AO168" s="88"/>
      <c r="AP168" s="89" t="str">
        <f aca="false">IF(AO168="","",ROUND(AO168/(1+Справочники!$B$13),2))</f>
        <v/>
      </c>
      <c r="AQ168" s="90" t="str">
        <f aca="false" t="array" ref="AQ168:AQ168">IF(AP168="","",AP168*INDEX(Справочники!$B$4:$B$7,MATCH("RUB",Справочники!$A$4:$A$7,0)))</f>
        <v/>
      </c>
      <c r="AR168" s="90" t="str">
        <f aca="false">IF(AQ168="","",ROUND(AQ168*(1+Справочники!$B$12),0))</f>
        <v/>
      </c>
      <c r="AS168" s="90" t="str">
        <f aca="false">IF(AR168="","",ROUND(AR168*(1-Справочники!$B$11),0))</f>
        <v/>
      </c>
      <c r="AT168" s="88"/>
      <c r="AU168" s="90" t="str">
        <f aca="false">IF(AT168="","",ROUND(AT168/(1+Справочники!$B$12),0))</f>
        <v/>
      </c>
      <c r="AV168" s="90" t="str">
        <f aca="false">IF(AT168="","",ROUND(AT168*(1-Справочники!$B$15),0))</f>
        <v/>
      </c>
      <c r="AW168" s="90" t="str">
        <f aca="false">IF(AT168="","",ROUND(AT168*(1-Справочники!$B$16),0))</f>
        <v/>
      </c>
      <c r="AX168" s="90" t="str">
        <f aca="false">IF(AT168="","",ROUND(AT168*(1-Справочники!$B$17),0))</f>
        <v/>
      </c>
      <c r="AY168" s="90" t="str">
        <f aca="false">IF(AT168="","",ROUND(AT168*(1-Справочники!$B$18),0))</f>
        <v/>
      </c>
      <c r="AZ168" s="90" t="str">
        <f aca="false">IF(AT168="","",ROUND(AT168*(1-Справочники!$B$19),0))</f>
        <v/>
      </c>
      <c r="BA168" s="81"/>
      <c r="BB168" s="81"/>
      <c r="BC168" s="81"/>
      <c r="BD168" s="81"/>
      <c r="BE168" s="91"/>
      <c r="BF168" s="81" t="s">
        <v>103</v>
      </c>
      <c r="BG168" s="89" t="n">
        <f aca="false" t="array" ref="BG168:BG168">IF(BF168="","",IFERROR(INDEX(Справочники!$B$4:$B$7,MATCH(BF168,Справочники!$A$4:$A$7,0)),""))</f>
        <v>68.5</v>
      </c>
      <c r="BH168" s="90" t="str">
        <f aca="false">IF(N(BN168)&gt;0,ROUND(SUMIF(ЗАКАЗЫ!$F$3:$F$500,$A168,ЗАКАЗЫ!$Y$3:$Y$500)/BN168,0),IF(OR(BE168="",BG168=""),"",ROUND(BE168*BG168*(1+Справочники!$B$10),0)))</f>
        <v/>
      </c>
      <c r="BI168" s="92" t="str">
        <f aca="false">IF(OR(AU168="",BH168="",AU168=0),"",(AU168-BH168)/AU168)</f>
        <v/>
      </c>
      <c r="BJ168" s="81"/>
      <c r="BK168" s="83"/>
      <c r="BL168" s="43" t="str">
        <f aca="false">IFERROR(INDEX(ЗАКАЗЫ!$N$3:$N$500,MATCH($A168,ЗАКАЗЫ!$F$3:$F$500,0)),"")</f>
        <v/>
      </c>
      <c r="BM168" s="8" t="str">
        <f aca="false">IF(BL168="","",IFERROR(VLOOKUP(BL168,'ТН ВЭД'!$A$4:$C$40,3,0),""))</f>
        <v/>
      </c>
      <c r="BN168" s="7" t="str">
        <f aca="false">IF(COUNTIF(ЗАКАЗЫ!$F$3:$F$500,$A168)=0,"",SUMIF(ЗАКАЗЫ!$F$3:$F$500,$A168,ЗАКАЗЫ!$J$3:$J$500))</f>
        <v/>
      </c>
      <c r="BO168" s="7" t="str">
        <f aca="false">IF(BN168="","",SUMIF(ЗАКАЗЫ!$F$3:$F$500,$A168,ЗАКАЗЫ!$AL$3:$AL$500))</f>
        <v/>
      </c>
      <c r="BP168" s="7" t="str">
        <f aca="false">IF(BN168="","",BN168-BO168)</f>
        <v/>
      </c>
      <c r="BQ168" s="55" t="str">
        <f aca="false">IF(BN168="","",IF(BO168&gt;=BN168,"На складе",IF(BO168&gt;0,"Частично","Ждём")))</f>
        <v/>
      </c>
      <c r="BR168" s="43"/>
      <c r="BS168" s="47" t="str">
        <f aca="false">IF(BN168="","",IF(_xlfn.MAXIFS(ЗАКАЗЫ!$AK$3:$AK$500,ЗАКАЗЫ!$F$3:$F$500,$A168)=0,"",_xlfn.MAXIFS(ЗАКАЗЫ!$AK$3:$AK$500,ЗАКАЗЫ!$F$3:$F$500,$A168)))</f>
        <v/>
      </c>
    </row>
    <row r="169" customFormat="false" ht="15.75" hidden="false" customHeight="true" outlineLevel="0" collapsed="false">
      <c r="A169" s="80" t="s">
        <v>1370</v>
      </c>
      <c r="B169" s="81"/>
      <c r="C169" s="81"/>
      <c r="D169" s="81"/>
      <c r="E169" s="83"/>
      <c r="F169" s="81"/>
      <c r="G169" s="83"/>
      <c r="H169" s="83"/>
      <c r="I169" s="84" t="str">
        <f aca="false">IF(E169="","",A169&amp;"_1.jpg")</f>
        <v/>
      </c>
      <c r="J169" s="84" t="str">
        <f aca="false">IF(E169="","",A169&amp;"_2.jpg; "&amp;A169&amp;"_3.jpg")</f>
        <v/>
      </c>
      <c r="K169" s="84" t="str">
        <f aca="false">IF(E169="","",A169&amp;"_schema.jpg")</f>
        <v/>
      </c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 t="s">
        <v>96</v>
      </c>
      <c r="W169" s="81"/>
      <c r="X169" s="81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6" t="str">
        <f aca="false">IF(SUM(Y169:AJ169)=0,"",SUM(Y169:AJ169))</f>
        <v/>
      </c>
      <c r="AL169" s="84" t="str">
        <f aca="false">MID(IF(N(Y169)&gt;0,", "&amp;Y$2,"")&amp;IF(N(Z169)&gt;0,", "&amp;Z$2,"")&amp;IF(N(AA169)&gt;0,", "&amp;AA$2,"")&amp;IF(N(AB169)&gt;0,", "&amp;AB$2,"")&amp;IF(N(AC169)&gt;0,", "&amp;AC$2,"")&amp;IF(N(AD169)&gt;0,", "&amp;AD$2,"")&amp;IF(N(AE169)&gt;0,", "&amp;AE$2,"")&amp;IF(N(AF169)&gt;0,", "&amp;AF$2,"")&amp;IF(N(AG169)&gt;0,", "&amp;AG$2,"")&amp;IF(N(AH169)&gt;0,", "&amp;AH$2,"")&amp;IF(N(AI169)&gt;0,", "&amp;AI$2,"")&amp;IF(N(AJ169)&gt;0,", "&amp;AJ$2,""),3,999)</f>
        <v/>
      </c>
      <c r="AM169" s="87" t="str">
        <f aca="false">IF(E169="","",MID(IF(N(Y169)&gt;0,", "&amp;A169&amp;"-"&amp;Y$2,"")&amp;IF(N(Z169)&gt;0,", "&amp;A169&amp;"-"&amp;Z$2,"")&amp;IF(N(AA169)&gt;0,", "&amp;A169&amp;"-"&amp;AA$2,"")&amp;IF(N(AB169)&gt;0,", "&amp;A169&amp;"-"&amp;AB$2,"")&amp;IF(N(AC169)&gt;0,", "&amp;A169&amp;"-"&amp;AC$2,"")&amp;IF(N(AD169)&gt;0,", "&amp;A169&amp;"-"&amp;AD$2,"")&amp;IF(N(AE169)&gt;0,", "&amp;A169&amp;"-"&amp;AE$2,"")&amp;IF(N(AF169)&gt;0,", "&amp;A169&amp;"-"&amp;AF$2,"")&amp;IF(N(AG169)&gt;0,", "&amp;A169&amp;"-"&amp;AG$2,"")&amp;IF(N(AH169)&gt;0,", "&amp;A169&amp;"-"&amp;AH$2,"")&amp;IF(N(AI169)&gt;0,", "&amp;A169&amp;"-"&amp;AI$2,"")&amp;IF(N(AJ169)&gt;0,", "&amp;A169&amp;"-"&amp;AJ$2,""),3,999))</f>
        <v/>
      </c>
      <c r="AN169" s="81"/>
      <c r="AO169" s="88"/>
      <c r="AP169" s="89" t="str">
        <f aca="false">IF(AO169="","",ROUND(AO169/(1+Справочники!$B$13),2))</f>
        <v/>
      </c>
      <c r="AQ169" s="90" t="str">
        <f aca="false" t="array" ref="AQ169:AQ169">IF(AP169="","",AP169*INDEX(Справочники!$B$4:$B$7,MATCH("RUB",Справочники!$A$4:$A$7,0)))</f>
        <v/>
      </c>
      <c r="AR169" s="90" t="str">
        <f aca="false">IF(AQ169="","",ROUND(AQ169*(1+Справочники!$B$12),0))</f>
        <v/>
      </c>
      <c r="AS169" s="90" t="str">
        <f aca="false">IF(AR169="","",ROUND(AR169*(1-Справочники!$B$11),0))</f>
        <v/>
      </c>
      <c r="AT169" s="88"/>
      <c r="AU169" s="90" t="str">
        <f aca="false">IF(AT169="","",ROUND(AT169/(1+Справочники!$B$12),0))</f>
        <v/>
      </c>
      <c r="AV169" s="90" t="str">
        <f aca="false">IF(AT169="","",ROUND(AT169*(1-Справочники!$B$15),0))</f>
        <v/>
      </c>
      <c r="AW169" s="90" t="str">
        <f aca="false">IF(AT169="","",ROUND(AT169*(1-Справочники!$B$16),0))</f>
        <v/>
      </c>
      <c r="AX169" s="90" t="str">
        <f aca="false">IF(AT169="","",ROUND(AT169*(1-Справочники!$B$17),0))</f>
        <v/>
      </c>
      <c r="AY169" s="90" t="str">
        <f aca="false">IF(AT169="","",ROUND(AT169*(1-Справочники!$B$18),0))</f>
        <v/>
      </c>
      <c r="AZ169" s="90" t="str">
        <f aca="false">IF(AT169="","",ROUND(AT169*(1-Справочники!$B$19),0))</f>
        <v/>
      </c>
      <c r="BA169" s="81"/>
      <c r="BB169" s="81"/>
      <c r="BC169" s="81"/>
      <c r="BD169" s="81"/>
      <c r="BE169" s="91"/>
      <c r="BF169" s="81" t="s">
        <v>103</v>
      </c>
      <c r="BG169" s="89" t="n">
        <f aca="false" t="array" ref="BG169:BG169">IF(BF169="","",IFERROR(INDEX(Справочники!$B$4:$B$7,MATCH(BF169,Справочники!$A$4:$A$7,0)),""))</f>
        <v>68.5</v>
      </c>
      <c r="BH169" s="90" t="str">
        <f aca="false">IF(N(BN169)&gt;0,ROUND(SUMIF(ЗАКАЗЫ!$F$3:$F$500,$A169,ЗАКАЗЫ!$Y$3:$Y$500)/BN169,0),IF(OR(BE169="",BG169=""),"",ROUND(BE169*BG169*(1+Справочники!$B$10),0)))</f>
        <v/>
      </c>
      <c r="BI169" s="92" t="str">
        <f aca="false">IF(OR(AU169="",BH169="",AU169=0),"",(AU169-BH169)/AU169)</f>
        <v/>
      </c>
      <c r="BJ169" s="81"/>
      <c r="BK169" s="83"/>
      <c r="BL169" s="43" t="str">
        <f aca="false">IFERROR(INDEX(ЗАКАЗЫ!$N$3:$N$500,MATCH($A169,ЗАКАЗЫ!$F$3:$F$500,0)),"")</f>
        <v/>
      </c>
      <c r="BM169" s="8" t="str">
        <f aca="false">IF(BL169="","",IFERROR(VLOOKUP(BL169,'ТН ВЭД'!$A$4:$C$40,3,0),""))</f>
        <v/>
      </c>
      <c r="BN169" s="7" t="str">
        <f aca="false">IF(COUNTIF(ЗАКАЗЫ!$F$3:$F$500,$A169)=0,"",SUMIF(ЗАКАЗЫ!$F$3:$F$500,$A169,ЗАКАЗЫ!$J$3:$J$500))</f>
        <v/>
      </c>
      <c r="BO169" s="7" t="str">
        <f aca="false">IF(BN169="","",SUMIF(ЗАКАЗЫ!$F$3:$F$500,$A169,ЗАКАЗЫ!$AL$3:$AL$500))</f>
        <v/>
      </c>
      <c r="BP169" s="7" t="str">
        <f aca="false">IF(BN169="","",BN169-BO169)</f>
        <v/>
      </c>
      <c r="BQ169" s="55" t="str">
        <f aca="false">IF(BN169="","",IF(BO169&gt;=BN169,"На складе",IF(BO169&gt;0,"Частично","Ждём")))</f>
        <v/>
      </c>
      <c r="BR169" s="43"/>
      <c r="BS169" s="47" t="str">
        <f aca="false">IF(BN169="","",IF(_xlfn.MAXIFS(ЗАКАЗЫ!$AK$3:$AK$500,ЗАКАЗЫ!$F$3:$F$500,$A169)=0,"",_xlfn.MAXIFS(ЗАКАЗЫ!$AK$3:$AK$500,ЗАКАЗЫ!$F$3:$F$500,$A169)))</f>
        <v/>
      </c>
    </row>
    <row r="170" customFormat="false" ht="15.75" hidden="false" customHeight="true" outlineLevel="0" collapsed="false">
      <c r="A170" s="80" t="s">
        <v>1371</v>
      </c>
      <c r="B170" s="81"/>
      <c r="C170" s="81"/>
      <c r="D170" s="81"/>
      <c r="E170" s="83"/>
      <c r="F170" s="81"/>
      <c r="G170" s="83"/>
      <c r="H170" s="83"/>
      <c r="I170" s="84" t="str">
        <f aca="false">IF(E170="","",A170&amp;"_1.jpg")</f>
        <v/>
      </c>
      <c r="J170" s="84" t="str">
        <f aca="false">IF(E170="","",A170&amp;"_2.jpg; "&amp;A170&amp;"_3.jpg")</f>
        <v/>
      </c>
      <c r="K170" s="84" t="str">
        <f aca="false">IF(E170="","",A170&amp;"_schema.jpg")</f>
        <v/>
      </c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 t="s">
        <v>96</v>
      </c>
      <c r="W170" s="81"/>
      <c r="X170" s="81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6" t="str">
        <f aca="false">IF(SUM(Y170:AJ170)=0,"",SUM(Y170:AJ170))</f>
        <v/>
      </c>
      <c r="AL170" s="84" t="str">
        <f aca="false">MID(IF(N(Y170)&gt;0,", "&amp;Y$2,"")&amp;IF(N(Z170)&gt;0,", "&amp;Z$2,"")&amp;IF(N(AA170)&gt;0,", "&amp;AA$2,"")&amp;IF(N(AB170)&gt;0,", "&amp;AB$2,"")&amp;IF(N(AC170)&gt;0,", "&amp;AC$2,"")&amp;IF(N(AD170)&gt;0,", "&amp;AD$2,"")&amp;IF(N(AE170)&gt;0,", "&amp;AE$2,"")&amp;IF(N(AF170)&gt;0,", "&amp;AF$2,"")&amp;IF(N(AG170)&gt;0,", "&amp;AG$2,"")&amp;IF(N(AH170)&gt;0,", "&amp;AH$2,"")&amp;IF(N(AI170)&gt;0,", "&amp;AI$2,"")&amp;IF(N(AJ170)&gt;0,", "&amp;AJ$2,""),3,999)</f>
        <v/>
      </c>
      <c r="AM170" s="87" t="str">
        <f aca="false">IF(E170="","",MID(IF(N(Y170)&gt;0,", "&amp;A170&amp;"-"&amp;Y$2,"")&amp;IF(N(Z170)&gt;0,", "&amp;A170&amp;"-"&amp;Z$2,"")&amp;IF(N(AA170)&gt;0,", "&amp;A170&amp;"-"&amp;AA$2,"")&amp;IF(N(AB170)&gt;0,", "&amp;A170&amp;"-"&amp;AB$2,"")&amp;IF(N(AC170)&gt;0,", "&amp;A170&amp;"-"&amp;AC$2,"")&amp;IF(N(AD170)&gt;0,", "&amp;A170&amp;"-"&amp;AD$2,"")&amp;IF(N(AE170)&gt;0,", "&amp;A170&amp;"-"&amp;AE$2,"")&amp;IF(N(AF170)&gt;0,", "&amp;A170&amp;"-"&amp;AF$2,"")&amp;IF(N(AG170)&gt;0,", "&amp;A170&amp;"-"&amp;AG$2,"")&amp;IF(N(AH170)&gt;0,", "&amp;A170&amp;"-"&amp;AH$2,"")&amp;IF(N(AI170)&gt;0,", "&amp;A170&amp;"-"&amp;AI$2,"")&amp;IF(N(AJ170)&gt;0,", "&amp;A170&amp;"-"&amp;AJ$2,""),3,999))</f>
        <v/>
      </c>
      <c r="AN170" s="81"/>
      <c r="AO170" s="88"/>
      <c r="AP170" s="89" t="str">
        <f aca="false">IF(AO170="","",ROUND(AO170/(1+Справочники!$B$13),2))</f>
        <v/>
      </c>
      <c r="AQ170" s="90" t="str">
        <f aca="false" t="array" ref="AQ170:AQ170">IF(AP170="","",AP170*INDEX(Справочники!$B$4:$B$7,MATCH("RUB",Справочники!$A$4:$A$7,0)))</f>
        <v/>
      </c>
      <c r="AR170" s="90" t="str">
        <f aca="false">IF(AQ170="","",ROUND(AQ170*(1+Справочники!$B$12),0))</f>
        <v/>
      </c>
      <c r="AS170" s="90" t="str">
        <f aca="false">IF(AR170="","",ROUND(AR170*(1-Справочники!$B$11),0))</f>
        <v/>
      </c>
      <c r="AT170" s="88"/>
      <c r="AU170" s="90" t="str">
        <f aca="false">IF(AT170="","",ROUND(AT170/(1+Справочники!$B$12),0))</f>
        <v/>
      </c>
      <c r="AV170" s="90" t="str">
        <f aca="false">IF(AT170="","",ROUND(AT170*(1-Справочники!$B$15),0))</f>
        <v/>
      </c>
      <c r="AW170" s="90" t="str">
        <f aca="false">IF(AT170="","",ROUND(AT170*(1-Справочники!$B$16),0))</f>
        <v/>
      </c>
      <c r="AX170" s="90" t="str">
        <f aca="false">IF(AT170="","",ROUND(AT170*(1-Справочники!$B$17),0))</f>
        <v/>
      </c>
      <c r="AY170" s="90" t="str">
        <f aca="false">IF(AT170="","",ROUND(AT170*(1-Справочники!$B$18),0))</f>
        <v/>
      </c>
      <c r="AZ170" s="90" t="str">
        <f aca="false">IF(AT170="","",ROUND(AT170*(1-Справочники!$B$19),0))</f>
        <v/>
      </c>
      <c r="BA170" s="81"/>
      <c r="BB170" s="81"/>
      <c r="BC170" s="81"/>
      <c r="BD170" s="81"/>
      <c r="BE170" s="91"/>
      <c r="BF170" s="81" t="s">
        <v>103</v>
      </c>
      <c r="BG170" s="89" t="n">
        <f aca="false" t="array" ref="BG170:BG170">IF(BF170="","",IFERROR(INDEX(Справочники!$B$4:$B$7,MATCH(BF170,Справочники!$A$4:$A$7,0)),""))</f>
        <v>68.5</v>
      </c>
      <c r="BH170" s="90" t="str">
        <f aca="false">IF(N(BN170)&gt;0,ROUND(SUMIF(ЗАКАЗЫ!$F$3:$F$500,$A170,ЗАКАЗЫ!$Y$3:$Y$500)/BN170,0),IF(OR(BE170="",BG170=""),"",ROUND(BE170*BG170*(1+Справочники!$B$10),0)))</f>
        <v/>
      </c>
      <c r="BI170" s="92" t="str">
        <f aca="false">IF(OR(AU170="",BH170="",AU170=0),"",(AU170-BH170)/AU170)</f>
        <v/>
      </c>
      <c r="BJ170" s="81"/>
      <c r="BK170" s="83"/>
      <c r="BL170" s="43" t="str">
        <f aca="false">IFERROR(INDEX(ЗАКАЗЫ!$N$3:$N$500,MATCH($A170,ЗАКАЗЫ!$F$3:$F$500,0)),"")</f>
        <v/>
      </c>
      <c r="BM170" s="8" t="str">
        <f aca="false">IF(BL170="","",IFERROR(VLOOKUP(BL170,'ТН ВЭД'!$A$4:$C$40,3,0),""))</f>
        <v/>
      </c>
      <c r="BN170" s="7" t="str">
        <f aca="false">IF(COUNTIF(ЗАКАЗЫ!$F$3:$F$500,$A170)=0,"",SUMIF(ЗАКАЗЫ!$F$3:$F$500,$A170,ЗАКАЗЫ!$J$3:$J$500))</f>
        <v/>
      </c>
      <c r="BO170" s="7" t="str">
        <f aca="false">IF(BN170="","",SUMIF(ЗАКАЗЫ!$F$3:$F$500,$A170,ЗАКАЗЫ!$AL$3:$AL$500))</f>
        <v/>
      </c>
      <c r="BP170" s="7" t="str">
        <f aca="false">IF(BN170="","",BN170-BO170)</f>
        <v/>
      </c>
      <c r="BQ170" s="55" t="str">
        <f aca="false">IF(BN170="","",IF(BO170&gt;=BN170,"На складе",IF(BO170&gt;0,"Частично","Ждём")))</f>
        <v/>
      </c>
      <c r="BR170" s="43"/>
      <c r="BS170" s="47" t="str">
        <f aca="false">IF(BN170="","",IF(_xlfn.MAXIFS(ЗАКАЗЫ!$AK$3:$AK$500,ЗАКАЗЫ!$F$3:$F$500,$A170)=0,"",_xlfn.MAXIFS(ЗАКАЗЫ!$AK$3:$AK$500,ЗАКАЗЫ!$F$3:$F$500,$A170)))</f>
        <v/>
      </c>
    </row>
    <row r="171" customFormat="false" ht="15.75" hidden="false" customHeight="true" outlineLevel="0" collapsed="false">
      <c r="A171" s="80" t="s">
        <v>1372</v>
      </c>
      <c r="B171" s="81"/>
      <c r="C171" s="81"/>
      <c r="D171" s="81"/>
      <c r="E171" s="83"/>
      <c r="F171" s="81"/>
      <c r="G171" s="83"/>
      <c r="H171" s="83"/>
      <c r="I171" s="84" t="str">
        <f aca="false">IF(E171="","",A171&amp;"_1.jpg")</f>
        <v/>
      </c>
      <c r="J171" s="84" t="str">
        <f aca="false">IF(E171="","",A171&amp;"_2.jpg; "&amp;A171&amp;"_3.jpg")</f>
        <v/>
      </c>
      <c r="K171" s="84" t="str">
        <f aca="false">IF(E171="","",A171&amp;"_schema.jpg")</f>
        <v/>
      </c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 t="s">
        <v>96</v>
      </c>
      <c r="W171" s="81"/>
      <c r="X171" s="81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6" t="str">
        <f aca="false">IF(SUM(Y171:AJ171)=0,"",SUM(Y171:AJ171))</f>
        <v/>
      </c>
      <c r="AL171" s="84" t="str">
        <f aca="false">MID(IF(N(Y171)&gt;0,", "&amp;Y$2,"")&amp;IF(N(Z171)&gt;0,", "&amp;Z$2,"")&amp;IF(N(AA171)&gt;0,", "&amp;AA$2,"")&amp;IF(N(AB171)&gt;0,", "&amp;AB$2,"")&amp;IF(N(AC171)&gt;0,", "&amp;AC$2,"")&amp;IF(N(AD171)&gt;0,", "&amp;AD$2,"")&amp;IF(N(AE171)&gt;0,", "&amp;AE$2,"")&amp;IF(N(AF171)&gt;0,", "&amp;AF$2,"")&amp;IF(N(AG171)&gt;0,", "&amp;AG$2,"")&amp;IF(N(AH171)&gt;0,", "&amp;AH$2,"")&amp;IF(N(AI171)&gt;0,", "&amp;AI$2,"")&amp;IF(N(AJ171)&gt;0,", "&amp;AJ$2,""),3,999)</f>
        <v/>
      </c>
      <c r="AM171" s="87" t="str">
        <f aca="false">IF(E171="","",MID(IF(N(Y171)&gt;0,", "&amp;A171&amp;"-"&amp;Y$2,"")&amp;IF(N(Z171)&gt;0,", "&amp;A171&amp;"-"&amp;Z$2,"")&amp;IF(N(AA171)&gt;0,", "&amp;A171&amp;"-"&amp;AA$2,"")&amp;IF(N(AB171)&gt;0,", "&amp;A171&amp;"-"&amp;AB$2,"")&amp;IF(N(AC171)&gt;0,", "&amp;A171&amp;"-"&amp;AC$2,"")&amp;IF(N(AD171)&gt;0,", "&amp;A171&amp;"-"&amp;AD$2,"")&amp;IF(N(AE171)&gt;0,", "&amp;A171&amp;"-"&amp;AE$2,"")&amp;IF(N(AF171)&gt;0,", "&amp;A171&amp;"-"&amp;AF$2,"")&amp;IF(N(AG171)&gt;0,", "&amp;A171&amp;"-"&amp;AG$2,"")&amp;IF(N(AH171)&gt;0,", "&amp;A171&amp;"-"&amp;AH$2,"")&amp;IF(N(AI171)&gt;0,", "&amp;A171&amp;"-"&amp;AI$2,"")&amp;IF(N(AJ171)&gt;0,", "&amp;A171&amp;"-"&amp;AJ$2,""),3,999))</f>
        <v/>
      </c>
      <c r="AN171" s="81"/>
      <c r="AO171" s="88"/>
      <c r="AP171" s="89" t="str">
        <f aca="false">IF(AO171="","",ROUND(AO171/(1+Справочники!$B$13),2))</f>
        <v/>
      </c>
      <c r="AQ171" s="90" t="str">
        <f aca="false" t="array" ref="AQ171:AQ171">IF(AP171="","",AP171*INDEX(Справочники!$B$4:$B$7,MATCH("RUB",Справочники!$A$4:$A$7,0)))</f>
        <v/>
      </c>
      <c r="AR171" s="90" t="str">
        <f aca="false">IF(AQ171="","",ROUND(AQ171*(1+Справочники!$B$12),0))</f>
        <v/>
      </c>
      <c r="AS171" s="90" t="str">
        <f aca="false">IF(AR171="","",ROUND(AR171*(1-Справочники!$B$11),0))</f>
        <v/>
      </c>
      <c r="AT171" s="88"/>
      <c r="AU171" s="90" t="str">
        <f aca="false">IF(AT171="","",ROUND(AT171/(1+Справочники!$B$12),0))</f>
        <v/>
      </c>
      <c r="AV171" s="90" t="str">
        <f aca="false">IF(AT171="","",ROUND(AT171*(1-Справочники!$B$15),0))</f>
        <v/>
      </c>
      <c r="AW171" s="90" t="str">
        <f aca="false">IF(AT171="","",ROUND(AT171*(1-Справочники!$B$16),0))</f>
        <v/>
      </c>
      <c r="AX171" s="90" t="str">
        <f aca="false">IF(AT171="","",ROUND(AT171*(1-Справочники!$B$17),0))</f>
        <v/>
      </c>
      <c r="AY171" s="90" t="str">
        <f aca="false">IF(AT171="","",ROUND(AT171*(1-Справочники!$B$18),0))</f>
        <v/>
      </c>
      <c r="AZ171" s="90" t="str">
        <f aca="false">IF(AT171="","",ROUND(AT171*(1-Справочники!$B$19),0))</f>
        <v/>
      </c>
      <c r="BA171" s="81"/>
      <c r="BB171" s="81"/>
      <c r="BC171" s="81"/>
      <c r="BD171" s="81"/>
      <c r="BE171" s="91"/>
      <c r="BF171" s="81" t="s">
        <v>103</v>
      </c>
      <c r="BG171" s="89" t="n">
        <f aca="false" t="array" ref="BG171:BG171">IF(BF171="","",IFERROR(INDEX(Справочники!$B$4:$B$7,MATCH(BF171,Справочники!$A$4:$A$7,0)),""))</f>
        <v>68.5</v>
      </c>
      <c r="BH171" s="90" t="str">
        <f aca="false">IF(N(BN171)&gt;0,ROUND(SUMIF(ЗАКАЗЫ!$F$3:$F$500,$A171,ЗАКАЗЫ!$Y$3:$Y$500)/BN171,0),IF(OR(BE171="",BG171=""),"",ROUND(BE171*BG171*(1+Справочники!$B$10),0)))</f>
        <v/>
      </c>
      <c r="BI171" s="92" t="str">
        <f aca="false">IF(OR(AU171="",BH171="",AU171=0),"",(AU171-BH171)/AU171)</f>
        <v/>
      </c>
      <c r="BJ171" s="81"/>
      <c r="BK171" s="83"/>
      <c r="BL171" s="43" t="str">
        <f aca="false">IFERROR(INDEX(ЗАКАЗЫ!$N$3:$N$500,MATCH($A171,ЗАКАЗЫ!$F$3:$F$500,0)),"")</f>
        <v/>
      </c>
      <c r="BM171" s="8" t="str">
        <f aca="false">IF(BL171="","",IFERROR(VLOOKUP(BL171,'ТН ВЭД'!$A$4:$C$40,3,0),""))</f>
        <v/>
      </c>
      <c r="BN171" s="7" t="str">
        <f aca="false">IF(COUNTIF(ЗАКАЗЫ!$F$3:$F$500,$A171)=0,"",SUMIF(ЗАКАЗЫ!$F$3:$F$500,$A171,ЗАКАЗЫ!$J$3:$J$500))</f>
        <v/>
      </c>
      <c r="BO171" s="7" t="str">
        <f aca="false">IF(BN171="","",SUMIF(ЗАКАЗЫ!$F$3:$F$500,$A171,ЗАКАЗЫ!$AL$3:$AL$500))</f>
        <v/>
      </c>
      <c r="BP171" s="7" t="str">
        <f aca="false">IF(BN171="","",BN171-BO171)</f>
        <v/>
      </c>
      <c r="BQ171" s="55" t="str">
        <f aca="false">IF(BN171="","",IF(BO171&gt;=BN171,"На складе",IF(BO171&gt;0,"Частично","Ждём")))</f>
        <v/>
      </c>
      <c r="BR171" s="43"/>
      <c r="BS171" s="47" t="str">
        <f aca="false">IF(BN171="","",IF(_xlfn.MAXIFS(ЗАКАЗЫ!$AK$3:$AK$500,ЗАКАЗЫ!$F$3:$F$500,$A171)=0,"",_xlfn.MAXIFS(ЗАКАЗЫ!$AK$3:$AK$500,ЗАКАЗЫ!$F$3:$F$500,$A171)))</f>
        <v/>
      </c>
    </row>
    <row r="172" customFormat="false" ht="15.75" hidden="false" customHeight="true" outlineLevel="0" collapsed="false">
      <c r="A172" s="80" t="s">
        <v>1373</v>
      </c>
      <c r="B172" s="81"/>
      <c r="C172" s="81"/>
      <c r="D172" s="81"/>
      <c r="E172" s="83"/>
      <c r="F172" s="81"/>
      <c r="G172" s="83"/>
      <c r="H172" s="83"/>
      <c r="I172" s="84" t="str">
        <f aca="false">IF(E172="","",A172&amp;"_1.jpg")</f>
        <v/>
      </c>
      <c r="J172" s="84" t="str">
        <f aca="false">IF(E172="","",A172&amp;"_2.jpg; "&amp;A172&amp;"_3.jpg")</f>
        <v/>
      </c>
      <c r="K172" s="84" t="str">
        <f aca="false">IF(E172="","",A172&amp;"_schema.jpg")</f>
        <v/>
      </c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 t="s">
        <v>96</v>
      </c>
      <c r="W172" s="81"/>
      <c r="X172" s="81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6" t="str">
        <f aca="false">IF(SUM(Y172:AJ172)=0,"",SUM(Y172:AJ172))</f>
        <v/>
      </c>
      <c r="AL172" s="84" t="str">
        <f aca="false">MID(IF(N(Y172)&gt;0,", "&amp;Y$2,"")&amp;IF(N(Z172)&gt;0,", "&amp;Z$2,"")&amp;IF(N(AA172)&gt;0,", "&amp;AA$2,"")&amp;IF(N(AB172)&gt;0,", "&amp;AB$2,"")&amp;IF(N(AC172)&gt;0,", "&amp;AC$2,"")&amp;IF(N(AD172)&gt;0,", "&amp;AD$2,"")&amp;IF(N(AE172)&gt;0,", "&amp;AE$2,"")&amp;IF(N(AF172)&gt;0,", "&amp;AF$2,"")&amp;IF(N(AG172)&gt;0,", "&amp;AG$2,"")&amp;IF(N(AH172)&gt;0,", "&amp;AH$2,"")&amp;IF(N(AI172)&gt;0,", "&amp;AI$2,"")&amp;IF(N(AJ172)&gt;0,", "&amp;AJ$2,""),3,999)</f>
        <v/>
      </c>
      <c r="AM172" s="87" t="str">
        <f aca="false">IF(E172="","",MID(IF(N(Y172)&gt;0,", "&amp;A172&amp;"-"&amp;Y$2,"")&amp;IF(N(Z172)&gt;0,", "&amp;A172&amp;"-"&amp;Z$2,"")&amp;IF(N(AA172)&gt;0,", "&amp;A172&amp;"-"&amp;AA$2,"")&amp;IF(N(AB172)&gt;0,", "&amp;A172&amp;"-"&amp;AB$2,"")&amp;IF(N(AC172)&gt;0,", "&amp;A172&amp;"-"&amp;AC$2,"")&amp;IF(N(AD172)&gt;0,", "&amp;A172&amp;"-"&amp;AD$2,"")&amp;IF(N(AE172)&gt;0,", "&amp;A172&amp;"-"&amp;AE$2,"")&amp;IF(N(AF172)&gt;0,", "&amp;A172&amp;"-"&amp;AF$2,"")&amp;IF(N(AG172)&gt;0,", "&amp;A172&amp;"-"&amp;AG$2,"")&amp;IF(N(AH172)&gt;0,", "&amp;A172&amp;"-"&amp;AH$2,"")&amp;IF(N(AI172)&gt;0,", "&amp;A172&amp;"-"&amp;AI$2,"")&amp;IF(N(AJ172)&gt;0,", "&amp;A172&amp;"-"&amp;AJ$2,""),3,999))</f>
        <v/>
      </c>
      <c r="AN172" s="81"/>
      <c r="AO172" s="88"/>
      <c r="AP172" s="89" t="str">
        <f aca="false">IF(AO172="","",ROUND(AO172/(1+Справочники!$B$13),2))</f>
        <v/>
      </c>
      <c r="AQ172" s="90" t="str">
        <f aca="false" t="array" ref="AQ172:AQ172">IF(AP172="","",AP172*INDEX(Справочники!$B$4:$B$7,MATCH("RUB",Справочники!$A$4:$A$7,0)))</f>
        <v/>
      </c>
      <c r="AR172" s="90" t="str">
        <f aca="false">IF(AQ172="","",ROUND(AQ172*(1+Справочники!$B$12),0))</f>
        <v/>
      </c>
      <c r="AS172" s="90" t="str">
        <f aca="false">IF(AR172="","",ROUND(AR172*(1-Справочники!$B$11),0))</f>
        <v/>
      </c>
      <c r="AT172" s="88"/>
      <c r="AU172" s="90" t="str">
        <f aca="false">IF(AT172="","",ROUND(AT172/(1+Справочники!$B$12),0))</f>
        <v/>
      </c>
      <c r="AV172" s="90" t="str">
        <f aca="false">IF(AT172="","",ROUND(AT172*(1-Справочники!$B$15),0))</f>
        <v/>
      </c>
      <c r="AW172" s="90" t="str">
        <f aca="false">IF(AT172="","",ROUND(AT172*(1-Справочники!$B$16),0))</f>
        <v/>
      </c>
      <c r="AX172" s="90" t="str">
        <f aca="false">IF(AT172="","",ROUND(AT172*(1-Справочники!$B$17),0))</f>
        <v/>
      </c>
      <c r="AY172" s="90" t="str">
        <f aca="false">IF(AT172="","",ROUND(AT172*(1-Справочники!$B$18),0))</f>
        <v/>
      </c>
      <c r="AZ172" s="90" t="str">
        <f aca="false">IF(AT172="","",ROUND(AT172*(1-Справочники!$B$19),0))</f>
        <v/>
      </c>
      <c r="BA172" s="81"/>
      <c r="BB172" s="81"/>
      <c r="BC172" s="81"/>
      <c r="BD172" s="81"/>
      <c r="BE172" s="91"/>
      <c r="BF172" s="81" t="s">
        <v>103</v>
      </c>
      <c r="BG172" s="89" t="n">
        <f aca="false" t="array" ref="BG172:BG172">IF(BF172="","",IFERROR(INDEX(Справочники!$B$4:$B$7,MATCH(BF172,Справочники!$A$4:$A$7,0)),""))</f>
        <v>68.5</v>
      </c>
      <c r="BH172" s="90" t="str">
        <f aca="false">IF(N(BN172)&gt;0,ROUND(SUMIF(ЗАКАЗЫ!$F$3:$F$500,$A172,ЗАКАЗЫ!$Y$3:$Y$500)/BN172,0),IF(OR(BE172="",BG172=""),"",ROUND(BE172*BG172*(1+Справочники!$B$10),0)))</f>
        <v/>
      </c>
      <c r="BI172" s="92" t="str">
        <f aca="false">IF(OR(AU172="",BH172="",AU172=0),"",(AU172-BH172)/AU172)</f>
        <v/>
      </c>
      <c r="BJ172" s="81"/>
      <c r="BK172" s="83"/>
      <c r="BL172" s="43" t="str">
        <f aca="false">IFERROR(INDEX(ЗАКАЗЫ!$N$3:$N$500,MATCH($A172,ЗАКАЗЫ!$F$3:$F$500,0)),"")</f>
        <v/>
      </c>
      <c r="BM172" s="8" t="str">
        <f aca="false">IF(BL172="","",IFERROR(VLOOKUP(BL172,'ТН ВЭД'!$A$4:$C$40,3,0),""))</f>
        <v/>
      </c>
      <c r="BN172" s="7" t="str">
        <f aca="false">IF(COUNTIF(ЗАКАЗЫ!$F$3:$F$500,$A172)=0,"",SUMIF(ЗАКАЗЫ!$F$3:$F$500,$A172,ЗАКАЗЫ!$J$3:$J$500))</f>
        <v/>
      </c>
      <c r="BO172" s="7" t="str">
        <f aca="false">IF(BN172="","",SUMIF(ЗАКАЗЫ!$F$3:$F$500,$A172,ЗАКАЗЫ!$AL$3:$AL$500))</f>
        <v/>
      </c>
      <c r="BP172" s="7" t="str">
        <f aca="false">IF(BN172="","",BN172-BO172)</f>
        <v/>
      </c>
      <c r="BQ172" s="55" t="str">
        <f aca="false">IF(BN172="","",IF(BO172&gt;=BN172,"На складе",IF(BO172&gt;0,"Частично","Ждём")))</f>
        <v/>
      </c>
      <c r="BR172" s="43"/>
      <c r="BS172" s="47" t="str">
        <f aca="false">IF(BN172="","",IF(_xlfn.MAXIFS(ЗАКАЗЫ!$AK$3:$AK$500,ЗАКАЗЫ!$F$3:$F$500,$A172)=0,"",_xlfn.MAXIFS(ЗАКАЗЫ!$AK$3:$AK$500,ЗАКАЗЫ!$F$3:$F$500,$A172)))</f>
        <v/>
      </c>
    </row>
    <row r="173" customFormat="false" ht="15.75" hidden="false" customHeight="true" outlineLevel="0" collapsed="false">
      <c r="A173" s="80" t="s">
        <v>1374</v>
      </c>
      <c r="B173" s="81"/>
      <c r="C173" s="81"/>
      <c r="D173" s="81"/>
      <c r="E173" s="83"/>
      <c r="F173" s="81"/>
      <c r="G173" s="83"/>
      <c r="H173" s="83"/>
      <c r="I173" s="84" t="str">
        <f aca="false">IF(E173="","",A173&amp;"_1.jpg")</f>
        <v/>
      </c>
      <c r="J173" s="84" t="str">
        <f aca="false">IF(E173="","",A173&amp;"_2.jpg; "&amp;A173&amp;"_3.jpg")</f>
        <v/>
      </c>
      <c r="K173" s="84" t="str">
        <f aca="false">IF(E173="","",A173&amp;"_schema.jpg")</f>
        <v/>
      </c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 t="s">
        <v>96</v>
      </c>
      <c r="W173" s="81"/>
      <c r="X173" s="81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6" t="str">
        <f aca="false">IF(SUM(Y173:AJ173)=0,"",SUM(Y173:AJ173))</f>
        <v/>
      </c>
      <c r="AL173" s="84" t="str">
        <f aca="false">MID(IF(N(Y173)&gt;0,", "&amp;Y$2,"")&amp;IF(N(Z173)&gt;0,", "&amp;Z$2,"")&amp;IF(N(AA173)&gt;0,", "&amp;AA$2,"")&amp;IF(N(AB173)&gt;0,", "&amp;AB$2,"")&amp;IF(N(AC173)&gt;0,", "&amp;AC$2,"")&amp;IF(N(AD173)&gt;0,", "&amp;AD$2,"")&amp;IF(N(AE173)&gt;0,", "&amp;AE$2,"")&amp;IF(N(AF173)&gt;0,", "&amp;AF$2,"")&amp;IF(N(AG173)&gt;0,", "&amp;AG$2,"")&amp;IF(N(AH173)&gt;0,", "&amp;AH$2,"")&amp;IF(N(AI173)&gt;0,", "&amp;AI$2,"")&amp;IF(N(AJ173)&gt;0,", "&amp;AJ$2,""),3,999)</f>
        <v/>
      </c>
      <c r="AM173" s="87" t="str">
        <f aca="false">IF(E173="","",MID(IF(N(Y173)&gt;0,", "&amp;A173&amp;"-"&amp;Y$2,"")&amp;IF(N(Z173)&gt;0,", "&amp;A173&amp;"-"&amp;Z$2,"")&amp;IF(N(AA173)&gt;0,", "&amp;A173&amp;"-"&amp;AA$2,"")&amp;IF(N(AB173)&gt;0,", "&amp;A173&amp;"-"&amp;AB$2,"")&amp;IF(N(AC173)&gt;0,", "&amp;A173&amp;"-"&amp;AC$2,"")&amp;IF(N(AD173)&gt;0,", "&amp;A173&amp;"-"&amp;AD$2,"")&amp;IF(N(AE173)&gt;0,", "&amp;A173&amp;"-"&amp;AE$2,"")&amp;IF(N(AF173)&gt;0,", "&amp;A173&amp;"-"&amp;AF$2,"")&amp;IF(N(AG173)&gt;0,", "&amp;A173&amp;"-"&amp;AG$2,"")&amp;IF(N(AH173)&gt;0,", "&amp;A173&amp;"-"&amp;AH$2,"")&amp;IF(N(AI173)&gt;0,", "&amp;A173&amp;"-"&amp;AI$2,"")&amp;IF(N(AJ173)&gt;0,", "&amp;A173&amp;"-"&amp;AJ$2,""),3,999))</f>
        <v/>
      </c>
      <c r="AN173" s="81"/>
      <c r="AO173" s="88"/>
      <c r="AP173" s="89" t="str">
        <f aca="false">IF(AO173="","",ROUND(AO173/(1+Справочники!$B$13),2))</f>
        <v/>
      </c>
      <c r="AQ173" s="90" t="str">
        <f aca="false" t="array" ref="AQ173:AQ173">IF(AP173="","",AP173*INDEX(Справочники!$B$4:$B$7,MATCH("RUB",Справочники!$A$4:$A$7,0)))</f>
        <v/>
      </c>
      <c r="AR173" s="90" t="str">
        <f aca="false">IF(AQ173="","",ROUND(AQ173*(1+Справочники!$B$12),0))</f>
        <v/>
      </c>
      <c r="AS173" s="90" t="str">
        <f aca="false">IF(AR173="","",ROUND(AR173*(1-Справочники!$B$11),0))</f>
        <v/>
      </c>
      <c r="AT173" s="88"/>
      <c r="AU173" s="90" t="str">
        <f aca="false">IF(AT173="","",ROUND(AT173/(1+Справочники!$B$12),0))</f>
        <v/>
      </c>
      <c r="AV173" s="90" t="str">
        <f aca="false">IF(AT173="","",ROUND(AT173*(1-Справочники!$B$15),0))</f>
        <v/>
      </c>
      <c r="AW173" s="90" t="str">
        <f aca="false">IF(AT173="","",ROUND(AT173*(1-Справочники!$B$16),0))</f>
        <v/>
      </c>
      <c r="AX173" s="90" t="str">
        <f aca="false">IF(AT173="","",ROUND(AT173*(1-Справочники!$B$17),0))</f>
        <v/>
      </c>
      <c r="AY173" s="90" t="str">
        <f aca="false">IF(AT173="","",ROUND(AT173*(1-Справочники!$B$18),0))</f>
        <v/>
      </c>
      <c r="AZ173" s="90" t="str">
        <f aca="false">IF(AT173="","",ROUND(AT173*(1-Справочники!$B$19),0))</f>
        <v/>
      </c>
      <c r="BA173" s="81"/>
      <c r="BB173" s="81"/>
      <c r="BC173" s="81"/>
      <c r="BD173" s="81"/>
      <c r="BE173" s="91"/>
      <c r="BF173" s="81" t="s">
        <v>103</v>
      </c>
      <c r="BG173" s="89" t="n">
        <f aca="false" t="array" ref="BG173:BG173">IF(BF173="","",IFERROR(INDEX(Справочники!$B$4:$B$7,MATCH(BF173,Справочники!$A$4:$A$7,0)),""))</f>
        <v>68.5</v>
      </c>
      <c r="BH173" s="90" t="str">
        <f aca="false">IF(N(BN173)&gt;0,ROUND(SUMIF(ЗАКАЗЫ!$F$3:$F$500,$A173,ЗАКАЗЫ!$Y$3:$Y$500)/BN173,0),IF(OR(BE173="",BG173=""),"",ROUND(BE173*BG173*(1+Справочники!$B$10),0)))</f>
        <v/>
      </c>
      <c r="BI173" s="92" t="str">
        <f aca="false">IF(OR(AU173="",BH173="",AU173=0),"",(AU173-BH173)/AU173)</f>
        <v/>
      </c>
      <c r="BJ173" s="81"/>
      <c r="BK173" s="83"/>
      <c r="BL173" s="43" t="str">
        <f aca="false">IFERROR(INDEX(ЗАКАЗЫ!$N$3:$N$500,MATCH($A173,ЗАКАЗЫ!$F$3:$F$500,0)),"")</f>
        <v/>
      </c>
      <c r="BM173" s="8" t="str">
        <f aca="false">IF(BL173="","",IFERROR(VLOOKUP(BL173,'ТН ВЭД'!$A$4:$C$40,3,0),""))</f>
        <v/>
      </c>
      <c r="BN173" s="7" t="str">
        <f aca="false">IF(COUNTIF(ЗАКАЗЫ!$F$3:$F$500,$A173)=0,"",SUMIF(ЗАКАЗЫ!$F$3:$F$500,$A173,ЗАКАЗЫ!$J$3:$J$500))</f>
        <v/>
      </c>
      <c r="BO173" s="7" t="str">
        <f aca="false">IF(BN173="","",SUMIF(ЗАКАЗЫ!$F$3:$F$500,$A173,ЗАКАЗЫ!$AL$3:$AL$500))</f>
        <v/>
      </c>
      <c r="BP173" s="7" t="str">
        <f aca="false">IF(BN173="","",BN173-BO173)</f>
        <v/>
      </c>
      <c r="BQ173" s="55" t="str">
        <f aca="false">IF(BN173="","",IF(BO173&gt;=BN173,"На складе",IF(BO173&gt;0,"Частично","Ждём")))</f>
        <v/>
      </c>
      <c r="BR173" s="43"/>
      <c r="BS173" s="47" t="str">
        <f aca="false">IF(BN173="","",IF(_xlfn.MAXIFS(ЗАКАЗЫ!$AK$3:$AK$500,ЗАКАЗЫ!$F$3:$F$500,$A173)=0,"",_xlfn.MAXIFS(ЗАКАЗЫ!$AK$3:$AK$500,ЗАКАЗЫ!$F$3:$F$500,$A173)))</f>
        <v/>
      </c>
    </row>
    <row r="174" customFormat="false" ht="15.75" hidden="false" customHeight="true" outlineLevel="0" collapsed="false">
      <c r="A174" s="80" t="s">
        <v>1375</v>
      </c>
      <c r="B174" s="81"/>
      <c r="C174" s="81"/>
      <c r="D174" s="81"/>
      <c r="E174" s="83"/>
      <c r="F174" s="81"/>
      <c r="G174" s="83"/>
      <c r="H174" s="83"/>
      <c r="I174" s="84" t="str">
        <f aca="false">IF(E174="","",A174&amp;"_1.jpg")</f>
        <v/>
      </c>
      <c r="J174" s="84" t="str">
        <f aca="false">IF(E174="","",A174&amp;"_2.jpg; "&amp;A174&amp;"_3.jpg")</f>
        <v/>
      </c>
      <c r="K174" s="84" t="str">
        <f aca="false">IF(E174="","",A174&amp;"_schema.jpg")</f>
        <v/>
      </c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 t="s">
        <v>96</v>
      </c>
      <c r="W174" s="81"/>
      <c r="X174" s="81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6" t="str">
        <f aca="false">IF(SUM(Y174:AJ174)=0,"",SUM(Y174:AJ174))</f>
        <v/>
      </c>
      <c r="AL174" s="84" t="str">
        <f aca="false">MID(IF(N(Y174)&gt;0,", "&amp;Y$2,"")&amp;IF(N(Z174)&gt;0,", "&amp;Z$2,"")&amp;IF(N(AA174)&gt;0,", "&amp;AA$2,"")&amp;IF(N(AB174)&gt;0,", "&amp;AB$2,"")&amp;IF(N(AC174)&gt;0,", "&amp;AC$2,"")&amp;IF(N(AD174)&gt;0,", "&amp;AD$2,"")&amp;IF(N(AE174)&gt;0,", "&amp;AE$2,"")&amp;IF(N(AF174)&gt;0,", "&amp;AF$2,"")&amp;IF(N(AG174)&gt;0,", "&amp;AG$2,"")&amp;IF(N(AH174)&gt;0,", "&amp;AH$2,"")&amp;IF(N(AI174)&gt;0,", "&amp;AI$2,"")&amp;IF(N(AJ174)&gt;0,", "&amp;AJ$2,""),3,999)</f>
        <v/>
      </c>
      <c r="AM174" s="87" t="str">
        <f aca="false">IF(E174="","",MID(IF(N(Y174)&gt;0,", "&amp;A174&amp;"-"&amp;Y$2,"")&amp;IF(N(Z174)&gt;0,", "&amp;A174&amp;"-"&amp;Z$2,"")&amp;IF(N(AA174)&gt;0,", "&amp;A174&amp;"-"&amp;AA$2,"")&amp;IF(N(AB174)&gt;0,", "&amp;A174&amp;"-"&amp;AB$2,"")&amp;IF(N(AC174)&gt;0,", "&amp;A174&amp;"-"&amp;AC$2,"")&amp;IF(N(AD174)&gt;0,", "&amp;A174&amp;"-"&amp;AD$2,"")&amp;IF(N(AE174)&gt;0,", "&amp;A174&amp;"-"&amp;AE$2,"")&amp;IF(N(AF174)&gt;0,", "&amp;A174&amp;"-"&amp;AF$2,"")&amp;IF(N(AG174)&gt;0,", "&amp;A174&amp;"-"&amp;AG$2,"")&amp;IF(N(AH174)&gt;0,", "&amp;A174&amp;"-"&amp;AH$2,"")&amp;IF(N(AI174)&gt;0,", "&amp;A174&amp;"-"&amp;AI$2,"")&amp;IF(N(AJ174)&gt;0,", "&amp;A174&amp;"-"&amp;AJ$2,""),3,999))</f>
        <v/>
      </c>
      <c r="AN174" s="81"/>
      <c r="AO174" s="88"/>
      <c r="AP174" s="89" t="str">
        <f aca="false">IF(AO174="","",ROUND(AO174/(1+Справочники!$B$13),2))</f>
        <v/>
      </c>
      <c r="AQ174" s="90" t="str">
        <f aca="false" t="array" ref="AQ174:AQ174">IF(AP174="","",AP174*INDEX(Справочники!$B$4:$B$7,MATCH("RUB",Справочники!$A$4:$A$7,0)))</f>
        <v/>
      </c>
      <c r="AR174" s="90" t="str">
        <f aca="false">IF(AQ174="","",ROUND(AQ174*(1+Справочники!$B$12),0))</f>
        <v/>
      </c>
      <c r="AS174" s="90" t="str">
        <f aca="false">IF(AR174="","",ROUND(AR174*(1-Справочники!$B$11),0))</f>
        <v/>
      </c>
      <c r="AT174" s="88"/>
      <c r="AU174" s="90" t="str">
        <f aca="false">IF(AT174="","",ROUND(AT174/(1+Справочники!$B$12),0))</f>
        <v/>
      </c>
      <c r="AV174" s="90" t="str">
        <f aca="false">IF(AT174="","",ROUND(AT174*(1-Справочники!$B$15),0))</f>
        <v/>
      </c>
      <c r="AW174" s="90" t="str">
        <f aca="false">IF(AT174="","",ROUND(AT174*(1-Справочники!$B$16),0))</f>
        <v/>
      </c>
      <c r="AX174" s="90" t="str">
        <f aca="false">IF(AT174="","",ROUND(AT174*(1-Справочники!$B$17),0))</f>
        <v/>
      </c>
      <c r="AY174" s="90" t="str">
        <f aca="false">IF(AT174="","",ROUND(AT174*(1-Справочники!$B$18),0))</f>
        <v/>
      </c>
      <c r="AZ174" s="90" t="str">
        <f aca="false">IF(AT174="","",ROUND(AT174*(1-Справочники!$B$19),0))</f>
        <v/>
      </c>
      <c r="BA174" s="81"/>
      <c r="BB174" s="81"/>
      <c r="BC174" s="81"/>
      <c r="BD174" s="81"/>
      <c r="BE174" s="91"/>
      <c r="BF174" s="81" t="s">
        <v>103</v>
      </c>
      <c r="BG174" s="89" t="n">
        <f aca="false" t="array" ref="BG174:BG174">IF(BF174="","",IFERROR(INDEX(Справочники!$B$4:$B$7,MATCH(BF174,Справочники!$A$4:$A$7,0)),""))</f>
        <v>68.5</v>
      </c>
      <c r="BH174" s="90" t="str">
        <f aca="false">IF(N(BN174)&gt;0,ROUND(SUMIF(ЗАКАЗЫ!$F$3:$F$500,$A174,ЗАКАЗЫ!$Y$3:$Y$500)/BN174,0),IF(OR(BE174="",BG174=""),"",ROUND(BE174*BG174*(1+Справочники!$B$10),0)))</f>
        <v/>
      </c>
      <c r="BI174" s="92" t="str">
        <f aca="false">IF(OR(AU174="",BH174="",AU174=0),"",(AU174-BH174)/AU174)</f>
        <v/>
      </c>
      <c r="BJ174" s="81"/>
      <c r="BK174" s="83"/>
      <c r="BL174" s="43" t="str">
        <f aca="false">IFERROR(INDEX(ЗАКАЗЫ!$N$3:$N$500,MATCH($A174,ЗАКАЗЫ!$F$3:$F$500,0)),"")</f>
        <v/>
      </c>
      <c r="BM174" s="8" t="str">
        <f aca="false">IF(BL174="","",IFERROR(VLOOKUP(BL174,'ТН ВЭД'!$A$4:$C$40,3,0),""))</f>
        <v/>
      </c>
      <c r="BN174" s="7" t="str">
        <f aca="false">IF(COUNTIF(ЗАКАЗЫ!$F$3:$F$500,$A174)=0,"",SUMIF(ЗАКАЗЫ!$F$3:$F$500,$A174,ЗАКАЗЫ!$J$3:$J$500))</f>
        <v/>
      </c>
      <c r="BO174" s="7" t="str">
        <f aca="false">IF(BN174="","",SUMIF(ЗАКАЗЫ!$F$3:$F$500,$A174,ЗАКАЗЫ!$AL$3:$AL$500))</f>
        <v/>
      </c>
      <c r="BP174" s="7" t="str">
        <f aca="false">IF(BN174="","",BN174-BO174)</f>
        <v/>
      </c>
      <c r="BQ174" s="55" t="str">
        <f aca="false">IF(BN174="","",IF(BO174&gt;=BN174,"На складе",IF(BO174&gt;0,"Частично","Ждём")))</f>
        <v/>
      </c>
      <c r="BR174" s="43"/>
      <c r="BS174" s="47" t="str">
        <f aca="false">IF(BN174="","",IF(_xlfn.MAXIFS(ЗАКАЗЫ!$AK$3:$AK$500,ЗАКАЗЫ!$F$3:$F$500,$A174)=0,"",_xlfn.MAXIFS(ЗАКАЗЫ!$AK$3:$AK$500,ЗАКАЗЫ!$F$3:$F$500,$A174)))</f>
        <v/>
      </c>
    </row>
    <row r="175" customFormat="false" ht="15.75" hidden="false" customHeight="true" outlineLevel="0" collapsed="false">
      <c r="A175" s="80" t="s">
        <v>1376</v>
      </c>
      <c r="B175" s="81"/>
      <c r="C175" s="81"/>
      <c r="D175" s="81"/>
      <c r="E175" s="83"/>
      <c r="F175" s="81"/>
      <c r="G175" s="83"/>
      <c r="H175" s="83"/>
      <c r="I175" s="84" t="str">
        <f aca="false">IF(E175="","",A175&amp;"_1.jpg")</f>
        <v/>
      </c>
      <c r="J175" s="84" t="str">
        <f aca="false">IF(E175="","",A175&amp;"_2.jpg; "&amp;A175&amp;"_3.jpg")</f>
        <v/>
      </c>
      <c r="K175" s="84" t="str">
        <f aca="false">IF(E175="","",A175&amp;"_schema.jpg")</f>
        <v/>
      </c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 t="s">
        <v>96</v>
      </c>
      <c r="W175" s="81"/>
      <c r="X175" s="81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6" t="str">
        <f aca="false">IF(SUM(Y175:AJ175)=0,"",SUM(Y175:AJ175))</f>
        <v/>
      </c>
      <c r="AL175" s="84" t="str">
        <f aca="false">MID(IF(N(Y175)&gt;0,", "&amp;Y$2,"")&amp;IF(N(Z175)&gt;0,", "&amp;Z$2,"")&amp;IF(N(AA175)&gt;0,", "&amp;AA$2,"")&amp;IF(N(AB175)&gt;0,", "&amp;AB$2,"")&amp;IF(N(AC175)&gt;0,", "&amp;AC$2,"")&amp;IF(N(AD175)&gt;0,", "&amp;AD$2,"")&amp;IF(N(AE175)&gt;0,", "&amp;AE$2,"")&amp;IF(N(AF175)&gt;0,", "&amp;AF$2,"")&amp;IF(N(AG175)&gt;0,", "&amp;AG$2,"")&amp;IF(N(AH175)&gt;0,", "&amp;AH$2,"")&amp;IF(N(AI175)&gt;0,", "&amp;AI$2,"")&amp;IF(N(AJ175)&gt;0,", "&amp;AJ$2,""),3,999)</f>
        <v/>
      </c>
      <c r="AM175" s="87" t="str">
        <f aca="false">IF(E175="","",MID(IF(N(Y175)&gt;0,", "&amp;A175&amp;"-"&amp;Y$2,"")&amp;IF(N(Z175)&gt;0,", "&amp;A175&amp;"-"&amp;Z$2,"")&amp;IF(N(AA175)&gt;0,", "&amp;A175&amp;"-"&amp;AA$2,"")&amp;IF(N(AB175)&gt;0,", "&amp;A175&amp;"-"&amp;AB$2,"")&amp;IF(N(AC175)&gt;0,", "&amp;A175&amp;"-"&amp;AC$2,"")&amp;IF(N(AD175)&gt;0,", "&amp;A175&amp;"-"&amp;AD$2,"")&amp;IF(N(AE175)&gt;0,", "&amp;A175&amp;"-"&amp;AE$2,"")&amp;IF(N(AF175)&gt;0,", "&amp;A175&amp;"-"&amp;AF$2,"")&amp;IF(N(AG175)&gt;0,", "&amp;A175&amp;"-"&amp;AG$2,"")&amp;IF(N(AH175)&gt;0,", "&amp;A175&amp;"-"&amp;AH$2,"")&amp;IF(N(AI175)&gt;0,", "&amp;A175&amp;"-"&amp;AI$2,"")&amp;IF(N(AJ175)&gt;0,", "&amp;A175&amp;"-"&amp;AJ$2,""),3,999))</f>
        <v/>
      </c>
      <c r="AN175" s="81"/>
      <c r="AO175" s="88"/>
      <c r="AP175" s="89" t="str">
        <f aca="false">IF(AO175="","",ROUND(AO175/(1+Справочники!$B$13),2))</f>
        <v/>
      </c>
      <c r="AQ175" s="90" t="str">
        <f aca="false" t="array" ref="AQ175:AQ175">IF(AP175="","",AP175*INDEX(Справочники!$B$4:$B$7,MATCH("RUB",Справочники!$A$4:$A$7,0)))</f>
        <v/>
      </c>
      <c r="AR175" s="90" t="str">
        <f aca="false">IF(AQ175="","",ROUND(AQ175*(1+Справочники!$B$12),0))</f>
        <v/>
      </c>
      <c r="AS175" s="90" t="str">
        <f aca="false">IF(AR175="","",ROUND(AR175*(1-Справочники!$B$11),0))</f>
        <v/>
      </c>
      <c r="AT175" s="88"/>
      <c r="AU175" s="90" t="str">
        <f aca="false">IF(AT175="","",ROUND(AT175/(1+Справочники!$B$12),0))</f>
        <v/>
      </c>
      <c r="AV175" s="90" t="str">
        <f aca="false">IF(AT175="","",ROUND(AT175*(1-Справочники!$B$15),0))</f>
        <v/>
      </c>
      <c r="AW175" s="90" t="str">
        <f aca="false">IF(AT175="","",ROUND(AT175*(1-Справочники!$B$16),0))</f>
        <v/>
      </c>
      <c r="AX175" s="90" t="str">
        <f aca="false">IF(AT175="","",ROUND(AT175*(1-Справочники!$B$17),0))</f>
        <v/>
      </c>
      <c r="AY175" s="90" t="str">
        <f aca="false">IF(AT175="","",ROUND(AT175*(1-Справочники!$B$18),0))</f>
        <v/>
      </c>
      <c r="AZ175" s="90" t="str">
        <f aca="false">IF(AT175="","",ROUND(AT175*(1-Справочники!$B$19),0))</f>
        <v/>
      </c>
      <c r="BA175" s="81"/>
      <c r="BB175" s="81"/>
      <c r="BC175" s="81"/>
      <c r="BD175" s="81"/>
      <c r="BE175" s="91"/>
      <c r="BF175" s="81" t="s">
        <v>103</v>
      </c>
      <c r="BG175" s="89" t="n">
        <f aca="false" t="array" ref="BG175:BG175">IF(BF175="","",IFERROR(INDEX(Справочники!$B$4:$B$7,MATCH(BF175,Справочники!$A$4:$A$7,0)),""))</f>
        <v>68.5</v>
      </c>
      <c r="BH175" s="90" t="str">
        <f aca="false">IF(N(BN175)&gt;0,ROUND(SUMIF(ЗАКАЗЫ!$F$3:$F$500,$A175,ЗАКАЗЫ!$Y$3:$Y$500)/BN175,0),IF(OR(BE175="",BG175=""),"",ROUND(BE175*BG175*(1+Справочники!$B$10),0)))</f>
        <v/>
      </c>
      <c r="BI175" s="92" t="str">
        <f aca="false">IF(OR(AU175="",BH175="",AU175=0),"",(AU175-BH175)/AU175)</f>
        <v/>
      </c>
      <c r="BJ175" s="81"/>
      <c r="BK175" s="83"/>
      <c r="BL175" s="43" t="str">
        <f aca="false">IFERROR(INDEX(ЗАКАЗЫ!$N$3:$N$500,MATCH($A175,ЗАКАЗЫ!$F$3:$F$500,0)),"")</f>
        <v/>
      </c>
      <c r="BM175" s="8" t="str">
        <f aca="false">IF(BL175="","",IFERROR(VLOOKUP(BL175,'ТН ВЭД'!$A$4:$C$40,3,0),""))</f>
        <v/>
      </c>
      <c r="BN175" s="7" t="str">
        <f aca="false">IF(COUNTIF(ЗАКАЗЫ!$F$3:$F$500,$A175)=0,"",SUMIF(ЗАКАЗЫ!$F$3:$F$500,$A175,ЗАКАЗЫ!$J$3:$J$500))</f>
        <v/>
      </c>
      <c r="BO175" s="7" t="str">
        <f aca="false">IF(BN175="","",SUMIF(ЗАКАЗЫ!$F$3:$F$500,$A175,ЗАКАЗЫ!$AL$3:$AL$500))</f>
        <v/>
      </c>
      <c r="BP175" s="7" t="str">
        <f aca="false">IF(BN175="","",BN175-BO175)</f>
        <v/>
      </c>
      <c r="BQ175" s="55" t="str">
        <f aca="false">IF(BN175="","",IF(BO175&gt;=BN175,"На складе",IF(BO175&gt;0,"Частично","Ждём")))</f>
        <v/>
      </c>
      <c r="BR175" s="43"/>
      <c r="BS175" s="47" t="str">
        <f aca="false">IF(BN175="","",IF(_xlfn.MAXIFS(ЗАКАЗЫ!$AK$3:$AK$500,ЗАКАЗЫ!$F$3:$F$500,$A175)=0,"",_xlfn.MAXIFS(ЗАКАЗЫ!$AK$3:$AK$500,ЗАКАЗЫ!$F$3:$F$500,$A175)))</f>
        <v/>
      </c>
    </row>
    <row r="176" customFormat="false" ht="15.75" hidden="false" customHeight="true" outlineLevel="0" collapsed="false">
      <c r="A176" s="80" t="s">
        <v>1377</v>
      </c>
      <c r="B176" s="81"/>
      <c r="C176" s="81"/>
      <c r="D176" s="81"/>
      <c r="E176" s="83"/>
      <c r="F176" s="81"/>
      <c r="G176" s="83"/>
      <c r="H176" s="83"/>
      <c r="I176" s="84" t="str">
        <f aca="false">IF(E176="","",A176&amp;"_1.jpg")</f>
        <v/>
      </c>
      <c r="J176" s="84" t="str">
        <f aca="false">IF(E176="","",A176&amp;"_2.jpg; "&amp;A176&amp;"_3.jpg")</f>
        <v/>
      </c>
      <c r="K176" s="84" t="str">
        <f aca="false">IF(E176="","",A176&amp;"_schema.jpg")</f>
        <v/>
      </c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 t="s">
        <v>96</v>
      </c>
      <c r="W176" s="81"/>
      <c r="X176" s="81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6" t="str">
        <f aca="false">IF(SUM(Y176:AJ176)=0,"",SUM(Y176:AJ176))</f>
        <v/>
      </c>
      <c r="AL176" s="84" t="str">
        <f aca="false">MID(IF(N(Y176)&gt;0,", "&amp;Y$2,"")&amp;IF(N(Z176)&gt;0,", "&amp;Z$2,"")&amp;IF(N(AA176)&gt;0,", "&amp;AA$2,"")&amp;IF(N(AB176)&gt;0,", "&amp;AB$2,"")&amp;IF(N(AC176)&gt;0,", "&amp;AC$2,"")&amp;IF(N(AD176)&gt;0,", "&amp;AD$2,"")&amp;IF(N(AE176)&gt;0,", "&amp;AE$2,"")&amp;IF(N(AF176)&gt;0,", "&amp;AF$2,"")&amp;IF(N(AG176)&gt;0,", "&amp;AG$2,"")&amp;IF(N(AH176)&gt;0,", "&amp;AH$2,"")&amp;IF(N(AI176)&gt;0,", "&amp;AI$2,"")&amp;IF(N(AJ176)&gt;0,", "&amp;AJ$2,""),3,999)</f>
        <v/>
      </c>
      <c r="AM176" s="87" t="str">
        <f aca="false">IF(E176="","",MID(IF(N(Y176)&gt;0,", "&amp;A176&amp;"-"&amp;Y$2,"")&amp;IF(N(Z176)&gt;0,", "&amp;A176&amp;"-"&amp;Z$2,"")&amp;IF(N(AA176)&gt;0,", "&amp;A176&amp;"-"&amp;AA$2,"")&amp;IF(N(AB176)&gt;0,", "&amp;A176&amp;"-"&amp;AB$2,"")&amp;IF(N(AC176)&gt;0,", "&amp;A176&amp;"-"&amp;AC$2,"")&amp;IF(N(AD176)&gt;0,", "&amp;A176&amp;"-"&amp;AD$2,"")&amp;IF(N(AE176)&gt;0,", "&amp;A176&amp;"-"&amp;AE$2,"")&amp;IF(N(AF176)&gt;0,", "&amp;A176&amp;"-"&amp;AF$2,"")&amp;IF(N(AG176)&gt;0,", "&amp;A176&amp;"-"&amp;AG$2,"")&amp;IF(N(AH176)&gt;0,", "&amp;A176&amp;"-"&amp;AH$2,"")&amp;IF(N(AI176)&gt;0,", "&amp;A176&amp;"-"&amp;AI$2,"")&amp;IF(N(AJ176)&gt;0,", "&amp;A176&amp;"-"&amp;AJ$2,""),3,999))</f>
        <v/>
      </c>
      <c r="AN176" s="81"/>
      <c r="AO176" s="88"/>
      <c r="AP176" s="89" t="str">
        <f aca="false">IF(AO176="","",ROUND(AO176/(1+Справочники!$B$13),2))</f>
        <v/>
      </c>
      <c r="AQ176" s="90" t="str">
        <f aca="false" t="array" ref="AQ176:AQ176">IF(AP176="","",AP176*INDEX(Справочники!$B$4:$B$7,MATCH("RUB",Справочники!$A$4:$A$7,0)))</f>
        <v/>
      </c>
      <c r="AR176" s="90" t="str">
        <f aca="false">IF(AQ176="","",ROUND(AQ176*(1+Справочники!$B$12),0))</f>
        <v/>
      </c>
      <c r="AS176" s="90" t="str">
        <f aca="false">IF(AR176="","",ROUND(AR176*(1-Справочники!$B$11),0))</f>
        <v/>
      </c>
      <c r="AT176" s="88"/>
      <c r="AU176" s="90" t="str">
        <f aca="false">IF(AT176="","",ROUND(AT176/(1+Справочники!$B$12),0))</f>
        <v/>
      </c>
      <c r="AV176" s="90" t="str">
        <f aca="false">IF(AT176="","",ROUND(AT176*(1-Справочники!$B$15),0))</f>
        <v/>
      </c>
      <c r="AW176" s="90" t="str">
        <f aca="false">IF(AT176="","",ROUND(AT176*(1-Справочники!$B$16),0))</f>
        <v/>
      </c>
      <c r="AX176" s="90" t="str">
        <f aca="false">IF(AT176="","",ROUND(AT176*(1-Справочники!$B$17),0))</f>
        <v/>
      </c>
      <c r="AY176" s="90" t="str">
        <f aca="false">IF(AT176="","",ROUND(AT176*(1-Справочники!$B$18),0))</f>
        <v/>
      </c>
      <c r="AZ176" s="90" t="str">
        <f aca="false">IF(AT176="","",ROUND(AT176*(1-Справочники!$B$19),0))</f>
        <v/>
      </c>
      <c r="BA176" s="81"/>
      <c r="BB176" s="81"/>
      <c r="BC176" s="81"/>
      <c r="BD176" s="81"/>
      <c r="BE176" s="91"/>
      <c r="BF176" s="81" t="s">
        <v>103</v>
      </c>
      <c r="BG176" s="89" t="n">
        <f aca="false" t="array" ref="BG176:BG176">IF(BF176="","",IFERROR(INDEX(Справочники!$B$4:$B$7,MATCH(BF176,Справочники!$A$4:$A$7,0)),""))</f>
        <v>68.5</v>
      </c>
      <c r="BH176" s="90" t="str">
        <f aca="false">IF(N(BN176)&gt;0,ROUND(SUMIF(ЗАКАЗЫ!$F$3:$F$500,$A176,ЗАКАЗЫ!$Y$3:$Y$500)/BN176,0),IF(OR(BE176="",BG176=""),"",ROUND(BE176*BG176*(1+Справочники!$B$10),0)))</f>
        <v/>
      </c>
      <c r="BI176" s="92" t="str">
        <f aca="false">IF(OR(AU176="",BH176="",AU176=0),"",(AU176-BH176)/AU176)</f>
        <v/>
      </c>
      <c r="BJ176" s="81"/>
      <c r="BK176" s="83"/>
      <c r="BL176" s="43" t="str">
        <f aca="false">IFERROR(INDEX(ЗАКАЗЫ!$N$3:$N$500,MATCH($A176,ЗАКАЗЫ!$F$3:$F$500,0)),"")</f>
        <v/>
      </c>
      <c r="BM176" s="8" t="str">
        <f aca="false">IF(BL176="","",IFERROR(VLOOKUP(BL176,'ТН ВЭД'!$A$4:$C$40,3,0),""))</f>
        <v/>
      </c>
      <c r="BN176" s="7" t="str">
        <f aca="false">IF(COUNTIF(ЗАКАЗЫ!$F$3:$F$500,$A176)=0,"",SUMIF(ЗАКАЗЫ!$F$3:$F$500,$A176,ЗАКАЗЫ!$J$3:$J$500))</f>
        <v/>
      </c>
      <c r="BO176" s="7" t="str">
        <f aca="false">IF(BN176="","",SUMIF(ЗАКАЗЫ!$F$3:$F$500,$A176,ЗАКАЗЫ!$AL$3:$AL$500))</f>
        <v/>
      </c>
      <c r="BP176" s="7" t="str">
        <f aca="false">IF(BN176="","",BN176-BO176)</f>
        <v/>
      </c>
      <c r="BQ176" s="55" t="str">
        <f aca="false">IF(BN176="","",IF(BO176&gt;=BN176,"На складе",IF(BO176&gt;0,"Частично","Ждём")))</f>
        <v/>
      </c>
      <c r="BR176" s="43"/>
      <c r="BS176" s="47" t="str">
        <f aca="false">IF(BN176="","",IF(_xlfn.MAXIFS(ЗАКАЗЫ!$AK$3:$AK$500,ЗАКАЗЫ!$F$3:$F$500,$A176)=0,"",_xlfn.MAXIFS(ЗАКАЗЫ!$AK$3:$AK$500,ЗАКАЗЫ!$F$3:$F$500,$A176)))</f>
        <v/>
      </c>
    </row>
    <row r="177" customFormat="false" ht="15.75" hidden="false" customHeight="true" outlineLevel="0" collapsed="false">
      <c r="A177" s="80" t="s">
        <v>1378</v>
      </c>
      <c r="B177" s="81"/>
      <c r="C177" s="81"/>
      <c r="D177" s="81"/>
      <c r="E177" s="83"/>
      <c r="F177" s="81"/>
      <c r="G177" s="83"/>
      <c r="H177" s="83"/>
      <c r="I177" s="84" t="str">
        <f aca="false">IF(E177="","",A177&amp;"_1.jpg")</f>
        <v/>
      </c>
      <c r="J177" s="84" t="str">
        <f aca="false">IF(E177="","",A177&amp;"_2.jpg; "&amp;A177&amp;"_3.jpg")</f>
        <v/>
      </c>
      <c r="K177" s="84" t="str">
        <f aca="false">IF(E177="","",A177&amp;"_schema.jpg")</f>
        <v/>
      </c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 t="s">
        <v>96</v>
      </c>
      <c r="W177" s="81"/>
      <c r="X177" s="81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6" t="str">
        <f aca="false">IF(SUM(Y177:AJ177)=0,"",SUM(Y177:AJ177))</f>
        <v/>
      </c>
      <c r="AL177" s="84" t="str">
        <f aca="false">MID(IF(N(Y177)&gt;0,", "&amp;Y$2,"")&amp;IF(N(Z177)&gt;0,", "&amp;Z$2,"")&amp;IF(N(AA177)&gt;0,", "&amp;AA$2,"")&amp;IF(N(AB177)&gt;0,", "&amp;AB$2,"")&amp;IF(N(AC177)&gt;0,", "&amp;AC$2,"")&amp;IF(N(AD177)&gt;0,", "&amp;AD$2,"")&amp;IF(N(AE177)&gt;0,", "&amp;AE$2,"")&amp;IF(N(AF177)&gt;0,", "&amp;AF$2,"")&amp;IF(N(AG177)&gt;0,", "&amp;AG$2,"")&amp;IF(N(AH177)&gt;0,", "&amp;AH$2,"")&amp;IF(N(AI177)&gt;0,", "&amp;AI$2,"")&amp;IF(N(AJ177)&gt;0,", "&amp;AJ$2,""),3,999)</f>
        <v/>
      </c>
      <c r="AM177" s="87" t="str">
        <f aca="false">IF(E177="","",MID(IF(N(Y177)&gt;0,", "&amp;A177&amp;"-"&amp;Y$2,"")&amp;IF(N(Z177)&gt;0,", "&amp;A177&amp;"-"&amp;Z$2,"")&amp;IF(N(AA177)&gt;0,", "&amp;A177&amp;"-"&amp;AA$2,"")&amp;IF(N(AB177)&gt;0,", "&amp;A177&amp;"-"&amp;AB$2,"")&amp;IF(N(AC177)&gt;0,", "&amp;A177&amp;"-"&amp;AC$2,"")&amp;IF(N(AD177)&gt;0,", "&amp;A177&amp;"-"&amp;AD$2,"")&amp;IF(N(AE177)&gt;0,", "&amp;A177&amp;"-"&amp;AE$2,"")&amp;IF(N(AF177)&gt;0,", "&amp;A177&amp;"-"&amp;AF$2,"")&amp;IF(N(AG177)&gt;0,", "&amp;A177&amp;"-"&amp;AG$2,"")&amp;IF(N(AH177)&gt;0,", "&amp;A177&amp;"-"&amp;AH$2,"")&amp;IF(N(AI177)&gt;0,", "&amp;A177&amp;"-"&amp;AI$2,"")&amp;IF(N(AJ177)&gt;0,", "&amp;A177&amp;"-"&amp;AJ$2,""),3,999))</f>
        <v/>
      </c>
      <c r="AN177" s="81"/>
      <c r="AO177" s="88"/>
      <c r="AP177" s="89" t="str">
        <f aca="false">IF(AO177="","",ROUND(AO177/(1+Справочники!$B$13),2))</f>
        <v/>
      </c>
      <c r="AQ177" s="90" t="str">
        <f aca="false" t="array" ref="AQ177:AQ177">IF(AP177="","",AP177*INDEX(Справочники!$B$4:$B$7,MATCH("RUB",Справочники!$A$4:$A$7,0)))</f>
        <v/>
      </c>
      <c r="AR177" s="90" t="str">
        <f aca="false">IF(AQ177="","",ROUND(AQ177*(1+Справочники!$B$12),0))</f>
        <v/>
      </c>
      <c r="AS177" s="90" t="str">
        <f aca="false">IF(AR177="","",ROUND(AR177*(1-Справочники!$B$11),0))</f>
        <v/>
      </c>
      <c r="AT177" s="88"/>
      <c r="AU177" s="90" t="str">
        <f aca="false">IF(AT177="","",ROUND(AT177/(1+Справочники!$B$12),0))</f>
        <v/>
      </c>
      <c r="AV177" s="90" t="str">
        <f aca="false">IF(AT177="","",ROUND(AT177*(1-Справочники!$B$15),0))</f>
        <v/>
      </c>
      <c r="AW177" s="90" t="str">
        <f aca="false">IF(AT177="","",ROUND(AT177*(1-Справочники!$B$16),0))</f>
        <v/>
      </c>
      <c r="AX177" s="90" t="str">
        <f aca="false">IF(AT177="","",ROUND(AT177*(1-Справочники!$B$17),0))</f>
        <v/>
      </c>
      <c r="AY177" s="90" t="str">
        <f aca="false">IF(AT177="","",ROUND(AT177*(1-Справочники!$B$18),0))</f>
        <v/>
      </c>
      <c r="AZ177" s="90" t="str">
        <f aca="false">IF(AT177="","",ROUND(AT177*(1-Справочники!$B$19),0))</f>
        <v/>
      </c>
      <c r="BA177" s="81"/>
      <c r="BB177" s="81"/>
      <c r="BC177" s="81"/>
      <c r="BD177" s="81"/>
      <c r="BE177" s="91"/>
      <c r="BF177" s="81" t="s">
        <v>103</v>
      </c>
      <c r="BG177" s="89" t="n">
        <f aca="false" t="array" ref="BG177:BG177">IF(BF177="","",IFERROR(INDEX(Справочники!$B$4:$B$7,MATCH(BF177,Справочники!$A$4:$A$7,0)),""))</f>
        <v>68.5</v>
      </c>
      <c r="BH177" s="90" t="str">
        <f aca="false">IF(N(BN177)&gt;0,ROUND(SUMIF(ЗАКАЗЫ!$F$3:$F$500,$A177,ЗАКАЗЫ!$Y$3:$Y$500)/BN177,0),IF(OR(BE177="",BG177=""),"",ROUND(BE177*BG177*(1+Справочники!$B$10),0)))</f>
        <v/>
      </c>
      <c r="BI177" s="92" t="str">
        <f aca="false">IF(OR(AU177="",BH177="",AU177=0),"",(AU177-BH177)/AU177)</f>
        <v/>
      </c>
      <c r="BJ177" s="81"/>
      <c r="BK177" s="83"/>
      <c r="BL177" s="43" t="str">
        <f aca="false">IFERROR(INDEX(ЗАКАЗЫ!$N$3:$N$500,MATCH($A177,ЗАКАЗЫ!$F$3:$F$500,0)),"")</f>
        <v/>
      </c>
      <c r="BM177" s="8" t="str">
        <f aca="false">IF(BL177="","",IFERROR(VLOOKUP(BL177,'ТН ВЭД'!$A$4:$C$40,3,0),""))</f>
        <v/>
      </c>
      <c r="BN177" s="7" t="str">
        <f aca="false">IF(COUNTIF(ЗАКАЗЫ!$F$3:$F$500,$A177)=0,"",SUMIF(ЗАКАЗЫ!$F$3:$F$500,$A177,ЗАКАЗЫ!$J$3:$J$500))</f>
        <v/>
      </c>
      <c r="BO177" s="7" t="str">
        <f aca="false">IF(BN177="","",SUMIF(ЗАКАЗЫ!$F$3:$F$500,$A177,ЗАКАЗЫ!$AL$3:$AL$500))</f>
        <v/>
      </c>
      <c r="BP177" s="7" t="str">
        <f aca="false">IF(BN177="","",BN177-BO177)</f>
        <v/>
      </c>
      <c r="BQ177" s="55" t="str">
        <f aca="false">IF(BN177="","",IF(BO177&gt;=BN177,"На складе",IF(BO177&gt;0,"Частично","Ждём")))</f>
        <v/>
      </c>
      <c r="BR177" s="43"/>
      <c r="BS177" s="47" t="str">
        <f aca="false">IF(BN177="","",IF(_xlfn.MAXIFS(ЗАКАЗЫ!$AK$3:$AK$500,ЗАКАЗЫ!$F$3:$F$500,$A177)=0,"",_xlfn.MAXIFS(ЗАКАЗЫ!$AK$3:$AK$500,ЗАКАЗЫ!$F$3:$F$500,$A177)))</f>
        <v/>
      </c>
    </row>
    <row r="178" customFormat="false" ht="15.75" hidden="false" customHeight="true" outlineLevel="0" collapsed="false">
      <c r="A178" s="80" t="s">
        <v>1379</v>
      </c>
      <c r="B178" s="81"/>
      <c r="C178" s="81"/>
      <c r="D178" s="81"/>
      <c r="E178" s="83"/>
      <c r="F178" s="81"/>
      <c r="G178" s="83"/>
      <c r="H178" s="83"/>
      <c r="I178" s="84" t="str">
        <f aca="false">IF(E178="","",A178&amp;"_1.jpg")</f>
        <v/>
      </c>
      <c r="J178" s="84" t="str">
        <f aca="false">IF(E178="","",A178&amp;"_2.jpg; "&amp;A178&amp;"_3.jpg")</f>
        <v/>
      </c>
      <c r="K178" s="84" t="str">
        <f aca="false">IF(E178="","",A178&amp;"_schema.jpg")</f>
        <v/>
      </c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 t="s">
        <v>96</v>
      </c>
      <c r="W178" s="81"/>
      <c r="X178" s="81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6" t="str">
        <f aca="false">IF(SUM(Y178:AJ178)=0,"",SUM(Y178:AJ178))</f>
        <v/>
      </c>
      <c r="AL178" s="84" t="str">
        <f aca="false">MID(IF(N(Y178)&gt;0,", "&amp;Y$2,"")&amp;IF(N(Z178)&gt;0,", "&amp;Z$2,"")&amp;IF(N(AA178)&gt;0,", "&amp;AA$2,"")&amp;IF(N(AB178)&gt;0,", "&amp;AB$2,"")&amp;IF(N(AC178)&gt;0,", "&amp;AC$2,"")&amp;IF(N(AD178)&gt;0,", "&amp;AD$2,"")&amp;IF(N(AE178)&gt;0,", "&amp;AE$2,"")&amp;IF(N(AF178)&gt;0,", "&amp;AF$2,"")&amp;IF(N(AG178)&gt;0,", "&amp;AG$2,"")&amp;IF(N(AH178)&gt;0,", "&amp;AH$2,"")&amp;IF(N(AI178)&gt;0,", "&amp;AI$2,"")&amp;IF(N(AJ178)&gt;0,", "&amp;AJ$2,""),3,999)</f>
        <v/>
      </c>
      <c r="AM178" s="87" t="str">
        <f aca="false">IF(E178="","",MID(IF(N(Y178)&gt;0,", "&amp;A178&amp;"-"&amp;Y$2,"")&amp;IF(N(Z178)&gt;0,", "&amp;A178&amp;"-"&amp;Z$2,"")&amp;IF(N(AA178)&gt;0,", "&amp;A178&amp;"-"&amp;AA$2,"")&amp;IF(N(AB178)&gt;0,", "&amp;A178&amp;"-"&amp;AB$2,"")&amp;IF(N(AC178)&gt;0,", "&amp;A178&amp;"-"&amp;AC$2,"")&amp;IF(N(AD178)&gt;0,", "&amp;A178&amp;"-"&amp;AD$2,"")&amp;IF(N(AE178)&gt;0,", "&amp;A178&amp;"-"&amp;AE$2,"")&amp;IF(N(AF178)&gt;0,", "&amp;A178&amp;"-"&amp;AF$2,"")&amp;IF(N(AG178)&gt;0,", "&amp;A178&amp;"-"&amp;AG$2,"")&amp;IF(N(AH178)&gt;0,", "&amp;A178&amp;"-"&amp;AH$2,"")&amp;IF(N(AI178)&gt;0,", "&amp;A178&amp;"-"&amp;AI$2,"")&amp;IF(N(AJ178)&gt;0,", "&amp;A178&amp;"-"&amp;AJ$2,""),3,999))</f>
        <v/>
      </c>
      <c r="AN178" s="81"/>
      <c r="AO178" s="88"/>
      <c r="AP178" s="89" t="str">
        <f aca="false">IF(AO178="","",ROUND(AO178/(1+Справочники!$B$13),2))</f>
        <v/>
      </c>
      <c r="AQ178" s="90" t="str">
        <f aca="false" t="array" ref="AQ178:AQ178">IF(AP178="","",AP178*INDEX(Справочники!$B$4:$B$7,MATCH("RUB",Справочники!$A$4:$A$7,0)))</f>
        <v/>
      </c>
      <c r="AR178" s="90" t="str">
        <f aca="false">IF(AQ178="","",ROUND(AQ178*(1+Справочники!$B$12),0))</f>
        <v/>
      </c>
      <c r="AS178" s="90" t="str">
        <f aca="false">IF(AR178="","",ROUND(AR178*(1-Справочники!$B$11),0))</f>
        <v/>
      </c>
      <c r="AT178" s="88"/>
      <c r="AU178" s="90" t="str">
        <f aca="false">IF(AT178="","",ROUND(AT178/(1+Справочники!$B$12),0))</f>
        <v/>
      </c>
      <c r="AV178" s="90" t="str">
        <f aca="false">IF(AT178="","",ROUND(AT178*(1-Справочники!$B$15),0))</f>
        <v/>
      </c>
      <c r="AW178" s="90" t="str">
        <f aca="false">IF(AT178="","",ROUND(AT178*(1-Справочники!$B$16),0))</f>
        <v/>
      </c>
      <c r="AX178" s="90" t="str">
        <f aca="false">IF(AT178="","",ROUND(AT178*(1-Справочники!$B$17),0))</f>
        <v/>
      </c>
      <c r="AY178" s="90" t="str">
        <f aca="false">IF(AT178="","",ROUND(AT178*(1-Справочники!$B$18),0))</f>
        <v/>
      </c>
      <c r="AZ178" s="90" t="str">
        <f aca="false">IF(AT178="","",ROUND(AT178*(1-Справочники!$B$19),0))</f>
        <v/>
      </c>
      <c r="BA178" s="81"/>
      <c r="BB178" s="81"/>
      <c r="BC178" s="81"/>
      <c r="BD178" s="81"/>
      <c r="BE178" s="91"/>
      <c r="BF178" s="81" t="s">
        <v>103</v>
      </c>
      <c r="BG178" s="89" t="n">
        <f aca="false" t="array" ref="BG178:BG178">IF(BF178="","",IFERROR(INDEX(Справочники!$B$4:$B$7,MATCH(BF178,Справочники!$A$4:$A$7,0)),""))</f>
        <v>68.5</v>
      </c>
      <c r="BH178" s="90" t="str">
        <f aca="false">IF(N(BN178)&gt;0,ROUND(SUMIF(ЗАКАЗЫ!$F$3:$F$500,$A178,ЗАКАЗЫ!$Y$3:$Y$500)/BN178,0),IF(OR(BE178="",BG178=""),"",ROUND(BE178*BG178*(1+Справочники!$B$10),0)))</f>
        <v/>
      </c>
      <c r="BI178" s="92" t="str">
        <f aca="false">IF(OR(AU178="",BH178="",AU178=0),"",(AU178-BH178)/AU178)</f>
        <v/>
      </c>
      <c r="BJ178" s="81"/>
      <c r="BK178" s="83"/>
      <c r="BL178" s="43" t="str">
        <f aca="false">IFERROR(INDEX(ЗАКАЗЫ!$N$3:$N$500,MATCH($A178,ЗАКАЗЫ!$F$3:$F$500,0)),"")</f>
        <v/>
      </c>
      <c r="BM178" s="8" t="str">
        <f aca="false">IF(BL178="","",IFERROR(VLOOKUP(BL178,'ТН ВЭД'!$A$4:$C$40,3,0),""))</f>
        <v/>
      </c>
      <c r="BN178" s="7" t="str">
        <f aca="false">IF(COUNTIF(ЗАКАЗЫ!$F$3:$F$500,$A178)=0,"",SUMIF(ЗАКАЗЫ!$F$3:$F$500,$A178,ЗАКАЗЫ!$J$3:$J$500))</f>
        <v/>
      </c>
      <c r="BO178" s="7" t="str">
        <f aca="false">IF(BN178="","",SUMIF(ЗАКАЗЫ!$F$3:$F$500,$A178,ЗАКАЗЫ!$AL$3:$AL$500))</f>
        <v/>
      </c>
      <c r="BP178" s="7" t="str">
        <f aca="false">IF(BN178="","",BN178-BO178)</f>
        <v/>
      </c>
      <c r="BQ178" s="55" t="str">
        <f aca="false">IF(BN178="","",IF(BO178&gt;=BN178,"На складе",IF(BO178&gt;0,"Частично","Ждём")))</f>
        <v/>
      </c>
      <c r="BR178" s="43"/>
      <c r="BS178" s="47" t="str">
        <f aca="false">IF(BN178="","",IF(_xlfn.MAXIFS(ЗАКАЗЫ!$AK$3:$AK$500,ЗАКАЗЫ!$F$3:$F$500,$A178)=0,"",_xlfn.MAXIFS(ЗАКАЗЫ!$AK$3:$AK$500,ЗАКАЗЫ!$F$3:$F$500,$A178)))</f>
        <v/>
      </c>
    </row>
    <row r="179" customFormat="false" ht="15.75" hidden="false" customHeight="true" outlineLevel="0" collapsed="false">
      <c r="A179" s="80" t="s">
        <v>1380</v>
      </c>
      <c r="B179" s="81"/>
      <c r="C179" s="81"/>
      <c r="D179" s="81"/>
      <c r="E179" s="83"/>
      <c r="F179" s="81"/>
      <c r="G179" s="83"/>
      <c r="H179" s="83"/>
      <c r="I179" s="84" t="str">
        <f aca="false">IF(E179="","",A179&amp;"_1.jpg")</f>
        <v/>
      </c>
      <c r="J179" s="84" t="str">
        <f aca="false">IF(E179="","",A179&amp;"_2.jpg; "&amp;A179&amp;"_3.jpg")</f>
        <v/>
      </c>
      <c r="K179" s="84" t="str">
        <f aca="false">IF(E179="","",A179&amp;"_schema.jpg")</f>
        <v/>
      </c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 t="s">
        <v>96</v>
      </c>
      <c r="W179" s="81"/>
      <c r="X179" s="81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6" t="str">
        <f aca="false">IF(SUM(Y179:AJ179)=0,"",SUM(Y179:AJ179))</f>
        <v/>
      </c>
      <c r="AL179" s="84" t="str">
        <f aca="false">MID(IF(N(Y179)&gt;0,", "&amp;Y$2,"")&amp;IF(N(Z179)&gt;0,", "&amp;Z$2,"")&amp;IF(N(AA179)&gt;0,", "&amp;AA$2,"")&amp;IF(N(AB179)&gt;0,", "&amp;AB$2,"")&amp;IF(N(AC179)&gt;0,", "&amp;AC$2,"")&amp;IF(N(AD179)&gt;0,", "&amp;AD$2,"")&amp;IF(N(AE179)&gt;0,", "&amp;AE$2,"")&amp;IF(N(AF179)&gt;0,", "&amp;AF$2,"")&amp;IF(N(AG179)&gt;0,", "&amp;AG$2,"")&amp;IF(N(AH179)&gt;0,", "&amp;AH$2,"")&amp;IF(N(AI179)&gt;0,", "&amp;AI$2,"")&amp;IF(N(AJ179)&gt;0,", "&amp;AJ$2,""),3,999)</f>
        <v/>
      </c>
      <c r="AM179" s="87" t="str">
        <f aca="false">IF(E179="","",MID(IF(N(Y179)&gt;0,", "&amp;A179&amp;"-"&amp;Y$2,"")&amp;IF(N(Z179)&gt;0,", "&amp;A179&amp;"-"&amp;Z$2,"")&amp;IF(N(AA179)&gt;0,", "&amp;A179&amp;"-"&amp;AA$2,"")&amp;IF(N(AB179)&gt;0,", "&amp;A179&amp;"-"&amp;AB$2,"")&amp;IF(N(AC179)&gt;0,", "&amp;A179&amp;"-"&amp;AC$2,"")&amp;IF(N(AD179)&gt;0,", "&amp;A179&amp;"-"&amp;AD$2,"")&amp;IF(N(AE179)&gt;0,", "&amp;A179&amp;"-"&amp;AE$2,"")&amp;IF(N(AF179)&gt;0,", "&amp;A179&amp;"-"&amp;AF$2,"")&amp;IF(N(AG179)&gt;0,", "&amp;A179&amp;"-"&amp;AG$2,"")&amp;IF(N(AH179)&gt;0,", "&amp;A179&amp;"-"&amp;AH$2,"")&amp;IF(N(AI179)&gt;0,", "&amp;A179&amp;"-"&amp;AI$2,"")&amp;IF(N(AJ179)&gt;0,", "&amp;A179&amp;"-"&amp;AJ$2,""),3,999))</f>
        <v/>
      </c>
      <c r="AN179" s="81"/>
      <c r="AO179" s="88"/>
      <c r="AP179" s="89" t="str">
        <f aca="false">IF(AO179="","",ROUND(AO179/(1+Справочники!$B$13),2))</f>
        <v/>
      </c>
      <c r="AQ179" s="90" t="str">
        <f aca="false" t="array" ref="AQ179:AQ179">IF(AP179="","",AP179*INDEX(Справочники!$B$4:$B$7,MATCH("RUB",Справочники!$A$4:$A$7,0)))</f>
        <v/>
      </c>
      <c r="AR179" s="90" t="str">
        <f aca="false">IF(AQ179="","",ROUND(AQ179*(1+Справочники!$B$12),0))</f>
        <v/>
      </c>
      <c r="AS179" s="90" t="str">
        <f aca="false">IF(AR179="","",ROUND(AR179*(1-Справочники!$B$11),0))</f>
        <v/>
      </c>
      <c r="AT179" s="88"/>
      <c r="AU179" s="90" t="str">
        <f aca="false">IF(AT179="","",ROUND(AT179/(1+Справочники!$B$12),0))</f>
        <v/>
      </c>
      <c r="AV179" s="90" t="str">
        <f aca="false">IF(AT179="","",ROUND(AT179*(1-Справочники!$B$15),0))</f>
        <v/>
      </c>
      <c r="AW179" s="90" t="str">
        <f aca="false">IF(AT179="","",ROUND(AT179*(1-Справочники!$B$16),0))</f>
        <v/>
      </c>
      <c r="AX179" s="90" t="str">
        <f aca="false">IF(AT179="","",ROUND(AT179*(1-Справочники!$B$17),0))</f>
        <v/>
      </c>
      <c r="AY179" s="90" t="str">
        <f aca="false">IF(AT179="","",ROUND(AT179*(1-Справочники!$B$18),0))</f>
        <v/>
      </c>
      <c r="AZ179" s="90" t="str">
        <f aca="false">IF(AT179="","",ROUND(AT179*(1-Справочники!$B$19),0))</f>
        <v/>
      </c>
      <c r="BA179" s="81"/>
      <c r="BB179" s="81"/>
      <c r="BC179" s="81"/>
      <c r="BD179" s="81"/>
      <c r="BE179" s="91"/>
      <c r="BF179" s="81" t="s">
        <v>103</v>
      </c>
      <c r="BG179" s="89" t="n">
        <f aca="false" t="array" ref="BG179:BG179">IF(BF179="","",IFERROR(INDEX(Справочники!$B$4:$B$7,MATCH(BF179,Справочники!$A$4:$A$7,0)),""))</f>
        <v>68.5</v>
      </c>
      <c r="BH179" s="90" t="str">
        <f aca="false">IF(N(BN179)&gt;0,ROUND(SUMIF(ЗАКАЗЫ!$F$3:$F$500,$A179,ЗАКАЗЫ!$Y$3:$Y$500)/BN179,0),IF(OR(BE179="",BG179=""),"",ROUND(BE179*BG179*(1+Справочники!$B$10),0)))</f>
        <v/>
      </c>
      <c r="BI179" s="92" t="str">
        <f aca="false">IF(OR(AU179="",BH179="",AU179=0),"",(AU179-BH179)/AU179)</f>
        <v/>
      </c>
      <c r="BJ179" s="81"/>
      <c r="BK179" s="83"/>
      <c r="BL179" s="43" t="str">
        <f aca="false">IFERROR(INDEX(ЗАКАЗЫ!$N$3:$N$500,MATCH($A179,ЗАКАЗЫ!$F$3:$F$500,0)),"")</f>
        <v/>
      </c>
      <c r="BM179" s="8" t="str">
        <f aca="false">IF(BL179="","",IFERROR(VLOOKUP(BL179,'ТН ВЭД'!$A$4:$C$40,3,0),""))</f>
        <v/>
      </c>
      <c r="BN179" s="7" t="str">
        <f aca="false">IF(COUNTIF(ЗАКАЗЫ!$F$3:$F$500,$A179)=0,"",SUMIF(ЗАКАЗЫ!$F$3:$F$500,$A179,ЗАКАЗЫ!$J$3:$J$500))</f>
        <v/>
      </c>
      <c r="BO179" s="7" t="str">
        <f aca="false">IF(BN179="","",SUMIF(ЗАКАЗЫ!$F$3:$F$500,$A179,ЗАКАЗЫ!$AL$3:$AL$500))</f>
        <v/>
      </c>
      <c r="BP179" s="7" t="str">
        <f aca="false">IF(BN179="","",BN179-BO179)</f>
        <v/>
      </c>
      <c r="BQ179" s="55" t="str">
        <f aca="false">IF(BN179="","",IF(BO179&gt;=BN179,"На складе",IF(BO179&gt;0,"Частично","Ждём")))</f>
        <v/>
      </c>
      <c r="BR179" s="43"/>
      <c r="BS179" s="47" t="str">
        <f aca="false">IF(BN179="","",IF(_xlfn.MAXIFS(ЗАКАЗЫ!$AK$3:$AK$500,ЗАКАЗЫ!$F$3:$F$500,$A179)=0,"",_xlfn.MAXIFS(ЗАКАЗЫ!$AK$3:$AK$500,ЗАКАЗЫ!$F$3:$F$500,$A179)))</f>
        <v/>
      </c>
    </row>
    <row r="180" customFormat="false" ht="15.75" hidden="false" customHeight="true" outlineLevel="0" collapsed="false">
      <c r="A180" s="80" t="s">
        <v>1381</v>
      </c>
      <c r="B180" s="81"/>
      <c r="C180" s="81"/>
      <c r="D180" s="81"/>
      <c r="E180" s="83"/>
      <c r="F180" s="81"/>
      <c r="G180" s="83"/>
      <c r="H180" s="83"/>
      <c r="I180" s="84" t="str">
        <f aca="false">IF(E180="","",A180&amp;"_1.jpg")</f>
        <v/>
      </c>
      <c r="J180" s="84" t="str">
        <f aca="false">IF(E180="","",A180&amp;"_2.jpg; "&amp;A180&amp;"_3.jpg")</f>
        <v/>
      </c>
      <c r="K180" s="84" t="str">
        <f aca="false">IF(E180="","",A180&amp;"_schema.jpg")</f>
        <v/>
      </c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 t="s">
        <v>96</v>
      </c>
      <c r="W180" s="81"/>
      <c r="X180" s="81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6" t="str">
        <f aca="false">IF(SUM(Y180:AJ180)=0,"",SUM(Y180:AJ180))</f>
        <v/>
      </c>
      <c r="AL180" s="84" t="str">
        <f aca="false">MID(IF(N(Y180)&gt;0,", "&amp;Y$2,"")&amp;IF(N(Z180)&gt;0,", "&amp;Z$2,"")&amp;IF(N(AA180)&gt;0,", "&amp;AA$2,"")&amp;IF(N(AB180)&gt;0,", "&amp;AB$2,"")&amp;IF(N(AC180)&gt;0,", "&amp;AC$2,"")&amp;IF(N(AD180)&gt;0,", "&amp;AD$2,"")&amp;IF(N(AE180)&gt;0,", "&amp;AE$2,"")&amp;IF(N(AF180)&gt;0,", "&amp;AF$2,"")&amp;IF(N(AG180)&gt;0,", "&amp;AG$2,"")&amp;IF(N(AH180)&gt;0,", "&amp;AH$2,"")&amp;IF(N(AI180)&gt;0,", "&amp;AI$2,"")&amp;IF(N(AJ180)&gt;0,", "&amp;AJ$2,""),3,999)</f>
        <v/>
      </c>
      <c r="AM180" s="87" t="str">
        <f aca="false">IF(E180="","",MID(IF(N(Y180)&gt;0,", "&amp;A180&amp;"-"&amp;Y$2,"")&amp;IF(N(Z180)&gt;0,", "&amp;A180&amp;"-"&amp;Z$2,"")&amp;IF(N(AA180)&gt;0,", "&amp;A180&amp;"-"&amp;AA$2,"")&amp;IF(N(AB180)&gt;0,", "&amp;A180&amp;"-"&amp;AB$2,"")&amp;IF(N(AC180)&gt;0,", "&amp;A180&amp;"-"&amp;AC$2,"")&amp;IF(N(AD180)&gt;0,", "&amp;A180&amp;"-"&amp;AD$2,"")&amp;IF(N(AE180)&gt;0,", "&amp;A180&amp;"-"&amp;AE$2,"")&amp;IF(N(AF180)&gt;0,", "&amp;A180&amp;"-"&amp;AF$2,"")&amp;IF(N(AG180)&gt;0,", "&amp;A180&amp;"-"&amp;AG$2,"")&amp;IF(N(AH180)&gt;0,", "&amp;A180&amp;"-"&amp;AH$2,"")&amp;IF(N(AI180)&gt;0,", "&amp;A180&amp;"-"&amp;AI$2,"")&amp;IF(N(AJ180)&gt;0,", "&amp;A180&amp;"-"&amp;AJ$2,""),3,999))</f>
        <v/>
      </c>
      <c r="AN180" s="81"/>
      <c r="AO180" s="88"/>
      <c r="AP180" s="89" t="str">
        <f aca="false">IF(AO180="","",ROUND(AO180/(1+Справочники!$B$13),2))</f>
        <v/>
      </c>
      <c r="AQ180" s="90" t="str">
        <f aca="false" t="array" ref="AQ180:AQ180">IF(AP180="","",AP180*INDEX(Справочники!$B$4:$B$7,MATCH("RUB",Справочники!$A$4:$A$7,0)))</f>
        <v/>
      </c>
      <c r="AR180" s="90" t="str">
        <f aca="false">IF(AQ180="","",ROUND(AQ180*(1+Справочники!$B$12),0))</f>
        <v/>
      </c>
      <c r="AS180" s="90" t="str">
        <f aca="false">IF(AR180="","",ROUND(AR180*(1-Справочники!$B$11),0))</f>
        <v/>
      </c>
      <c r="AT180" s="88"/>
      <c r="AU180" s="90" t="str">
        <f aca="false">IF(AT180="","",ROUND(AT180/(1+Справочники!$B$12),0))</f>
        <v/>
      </c>
      <c r="AV180" s="90" t="str">
        <f aca="false">IF(AT180="","",ROUND(AT180*(1-Справочники!$B$15),0))</f>
        <v/>
      </c>
      <c r="AW180" s="90" t="str">
        <f aca="false">IF(AT180="","",ROUND(AT180*(1-Справочники!$B$16),0))</f>
        <v/>
      </c>
      <c r="AX180" s="90" t="str">
        <f aca="false">IF(AT180="","",ROUND(AT180*(1-Справочники!$B$17),0))</f>
        <v/>
      </c>
      <c r="AY180" s="90" t="str">
        <f aca="false">IF(AT180="","",ROUND(AT180*(1-Справочники!$B$18),0))</f>
        <v/>
      </c>
      <c r="AZ180" s="90" t="str">
        <f aca="false">IF(AT180="","",ROUND(AT180*(1-Справочники!$B$19),0))</f>
        <v/>
      </c>
      <c r="BA180" s="81"/>
      <c r="BB180" s="81"/>
      <c r="BC180" s="81"/>
      <c r="BD180" s="81"/>
      <c r="BE180" s="91"/>
      <c r="BF180" s="81" t="s">
        <v>103</v>
      </c>
      <c r="BG180" s="89" t="n">
        <f aca="false" t="array" ref="BG180:BG180">IF(BF180="","",IFERROR(INDEX(Справочники!$B$4:$B$7,MATCH(BF180,Справочники!$A$4:$A$7,0)),""))</f>
        <v>68.5</v>
      </c>
      <c r="BH180" s="90" t="str">
        <f aca="false">IF(N(BN180)&gt;0,ROUND(SUMIF(ЗАКАЗЫ!$F$3:$F$500,$A180,ЗАКАЗЫ!$Y$3:$Y$500)/BN180,0),IF(OR(BE180="",BG180=""),"",ROUND(BE180*BG180*(1+Справочники!$B$10),0)))</f>
        <v/>
      </c>
      <c r="BI180" s="92" t="str">
        <f aca="false">IF(OR(AU180="",BH180="",AU180=0),"",(AU180-BH180)/AU180)</f>
        <v/>
      </c>
      <c r="BJ180" s="81"/>
      <c r="BK180" s="83"/>
      <c r="BL180" s="43" t="str">
        <f aca="false">IFERROR(INDEX(ЗАКАЗЫ!$N$3:$N$500,MATCH($A180,ЗАКАЗЫ!$F$3:$F$500,0)),"")</f>
        <v/>
      </c>
      <c r="BM180" s="8" t="str">
        <f aca="false">IF(BL180="","",IFERROR(VLOOKUP(BL180,'ТН ВЭД'!$A$4:$C$40,3,0),""))</f>
        <v/>
      </c>
      <c r="BN180" s="7" t="str">
        <f aca="false">IF(COUNTIF(ЗАКАЗЫ!$F$3:$F$500,$A180)=0,"",SUMIF(ЗАКАЗЫ!$F$3:$F$500,$A180,ЗАКАЗЫ!$J$3:$J$500))</f>
        <v/>
      </c>
      <c r="BO180" s="7" t="str">
        <f aca="false">IF(BN180="","",SUMIF(ЗАКАЗЫ!$F$3:$F$500,$A180,ЗАКАЗЫ!$AL$3:$AL$500))</f>
        <v/>
      </c>
      <c r="BP180" s="7" t="str">
        <f aca="false">IF(BN180="","",BN180-BO180)</f>
        <v/>
      </c>
      <c r="BQ180" s="55" t="str">
        <f aca="false">IF(BN180="","",IF(BO180&gt;=BN180,"На складе",IF(BO180&gt;0,"Частично","Ждём")))</f>
        <v/>
      </c>
      <c r="BR180" s="43"/>
      <c r="BS180" s="47" t="str">
        <f aca="false">IF(BN180="","",IF(_xlfn.MAXIFS(ЗАКАЗЫ!$AK$3:$AK$500,ЗАКАЗЫ!$F$3:$F$500,$A180)=0,"",_xlfn.MAXIFS(ЗАКАЗЫ!$AK$3:$AK$500,ЗАКАЗЫ!$F$3:$F$500,$A180)))</f>
        <v/>
      </c>
    </row>
    <row r="181" customFormat="false" ht="15.75" hidden="false" customHeight="true" outlineLevel="0" collapsed="false">
      <c r="A181" s="80" t="s">
        <v>1382</v>
      </c>
      <c r="B181" s="81"/>
      <c r="C181" s="81"/>
      <c r="D181" s="81"/>
      <c r="E181" s="83"/>
      <c r="F181" s="81"/>
      <c r="G181" s="83"/>
      <c r="H181" s="83"/>
      <c r="I181" s="84" t="str">
        <f aca="false">IF(E181="","",A181&amp;"_1.jpg")</f>
        <v/>
      </c>
      <c r="J181" s="84" t="str">
        <f aca="false">IF(E181="","",A181&amp;"_2.jpg; "&amp;A181&amp;"_3.jpg")</f>
        <v/>
      </c>
      <c r="K181" s="84" t="str">
        <f aca="false">IF(E181="","",A181&amp;"_schema.jpg")</f>
        <v/>
      </c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 t="s">
        <v>96</v>
      </c>
      <c r="W181" s="81"/>
      <c r="X181" s="81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6" t="str">
        <f aca="false">IF(SUM(Y181:AJ181)=0,"",SUM(Y181:AJ181))</f>
        <v/>
      </c>
      <c r="AL181" s="84" t="str">
        <f aca="false">MID(IF(N(Y181)&gt;0,", "&amp;Y$2,"")&amp;IF(N(Z181)&gt;0,", "&amp;Z$2,"")&amp;IF(N(AA181)&gt;0,", "&amp;AA$2,"")&amp;IF(N(AB181)&gt;0,", "&amp;AB$2,"")&amp;IF(N(AC181)&gt;0,", "&amp;AC$2,"")&amp;IF(N(AD181)&gt;0,", "&amp;AD$2,"")&amp;IF(N(AE181)&gt;0,", "&amp;AE$2,"")&amp;IF(N(AF181)&gt;0,", "&amp;AF$2,"")&amp;IF(N(AG181)&gt;0,", "&amp;AG$2,"")&amp;IF(N(AH181)&gt;0,", "&amp;AH$2,"")&amp;IF(N(AI181)&gt;0,", "&amp;AI$2,"")&amp;IF(N(AJ181)&gt;0,", "&amp;AJ$2,""),3,999)</f>
        <v/>
      </c>
      <c r="AM181" s="87" t="str">
        <f aca="false">IF(E181="","",MID(IF(N(Y181)&gt;0,", "&amp;A181&amp;"-"&amp;Y$2,"")&amp;IF(N(Z181)&gt;0,", "&amp;A181&amp;"-"&amp;Z$2,"")&amp;IF(N(AA181)&gt;0,", "&amp;A181&amp;"-"&amp;AA$2,"")&amp;IF(N(AB181)&gt;0,", "&amp;A181&amp;"-"&amp;AB$2,"")&amp;IF(N(AC181)&gt;0,", "&amp;A181&amp;"-"&amp;AC$2,"")&amp;IF(N(AD181)&gt;0,", "&amp;A181&amp;"-"&amp;AD$2,"")&amp;IF(N(AE181)&gt;0,", "&amp;A181&amp;"-"&amp;AE$2,"")&amp;IF(N(AF181)&gt;0,", "&amp;A181&amp;"-"&amp;AF$2,"")&amp;IF(N(AG181)&gt;0,", "&amp;A181&amp;"-"&amp;AG$2,"")&amp;IF(N(AH181)&gt;0,", "&amp;A181&amp;"-"&amp;AH$2,"")&amp;IF(N(AI181)&gt;0,", "&amp;A181&amp;"-"&amp;AI$2,"")&amp;IF(N(AJ181)&gt;0,", "&amp;A181&amp;"-"&amp;AJ$2,""),3,999))</f>
        <v/>
      </c>
      <c r="AN181" s="81"/>
      <c r="AO181" s="88"/>
      <c r="AP181" s="89" t="str">
        <f aca="false">IF(AO181="","",ROUND(AO181/(1+Справочники!$B$13),2))</f>
        <v/>
      </c>
      <c r="AQ181" s="90" t="str">
        <f aca="false" t="array" ref="AQ181:AQ181">IF(AP181="","",AP181*INDEX(Справочники!$B$4:$B$7,MATCH("RUB",Справочники!$A$4:$A$7,0)))</f>
        <v/>
      </c>
      <c r="AR181" s="90" t="str">
        <f aca="false">IF(AQ181="","",ROUND(AQ181*(1+Справочники!$B$12),0))</f>
        <v/>
      </c>
      <c r="AS181" s="90" t="str">
        <f aca="false">IF(AR181="","",ROUND(AR181*(1-Справочники!$B$11),0))</f>
        <v/>
      </c>
      <c r="AT181" s="88"/>
      <c r="AU181" s="90" t="str">
        <f aca="false">IF(AT181="","",ROUND(AT181/(1+Справочники!$B$12),0))</f>
        <v/>
      </c>
      <c r="AV181" s="90" t="str">
        <f aca="false">IF(AT181="","",ROUND(AT181*(1-Справочники!$B$15),0))</f>
        <v/>
      </c>
      <c r="AW181" s="90" t="str">
        <f aca="false">IF(AT181="","",ROUND(AT181*(1-Справочники!$B$16),0))</f>
        <v/>
      </c>
      <c r="AX181" s="90" t="str">
        <f aca="false">IF(AT181="","",ROUND(AT181*(1-Справочники!$B$17),0))</f>
        <v/>
      </c>
      <c r="AY181" s="90" t="str">
        <f aca="false">IF(AT181="","",ROUND(AT181*(1-Справочники!$B$18),0))</f>
        <v/>
      </c>
      <c r="AZ181" s="90" t="str">
        <f aca="false">IF(AT181="","",ROUND(AT181*(1-Справочники!$B$19),0))</f>
        <v/>
      </c>
      <c r="BA181" s="81"/>
      <c r="BB181" s="81"/>
      <c r="BC181" s="81"/>
      <c r="BD181" s="81"/>
      <c r="BE181" s="91"/>
      <c r="BF181" s="81" t="s">
        <v>103</v>
      </c>
      <c r="BG181" s="89" t="n">
        <f aca="false" t="array" ref="BG181:BG181">IF(BF181="","",IFERROR(INDEX(Справочники!$B$4:$B$7,MATCH(BF181,Справочники!$A$4:$A$7,0)),""))</f>
        <v>68.5</v>
      </c>
      <c r="BH181" s="90" t="str">
        <f aca="false">IF(N(BN181)&gt;0,ROUND(SUMIF(ЗАКАЗЫ!$F$3:$F$500,$A181,ЗАКАЗЫ!$Y$3:$Y$500)/BN181,0),IF(OR(BE181="",BG181=""),"",ROUND(BE181*BG181*(1+Справочники!$B$10),0)))</f>
        <v/>
      </c>
      <c r="BI181" s="92" t="str">
        <f aca="false">IF(OR(AU181="",BH181="",AU181=0),"",(AU181-BH181)/AU181)</f>
        <v/>
      </c>
      <c r="BJ181" s="81"/>
      <c r="BK181" s="83"/>
      <c r="BL181" s="43" t="str">
        <f aca="false">IFERROR(INDEX(ЗАКАЗЫ!$N$3:$N$500,MATCH($A181,ЗАКАЗЫ!$F$3:$F$500,0)),"")</f>
        <v/>
      </c>
      <c r="BM181" s="8" t="str">
        <f aca="false">IF(BL181="","",IFERROR(VLOOKUP(BL181,'ТН ВЭД'!$A$4:$C$40,3,0),""))</f>
        <v/>
      </c>
      <c r="BN181" s="7" t="str">
        <f aca="false">IF(COUNTIF(ЗАКАЗЫ!$F$3:$F$500,$A181)=0,"",SUMIF(ЗАКАЗЫ!$F$3:$F$500,$A181,ЗАКАЗЫ!$J$3:$J$500))</f>
        <v/>
      </c>
      <c r="BO181" s="7" t="str">
        <f aca="false">IF(BN181="","",SUMIF(ЗАКАЗЫ!$F$3:$F$500,$A181,ЗАКАЗЫ!$AL$3:$AL$500))</f>
        <v/>
      </c>
      <c r="BP181" s="7" t="str">
        <f aca="false">IF(BN181="","",BN181-BO181)</f>
        <v/>
      </c>
      <c r="BQ181" s="55" t="str">
        <f aca="false">IF(BN181="","",IF(BO181&gt;=BN181,"На складе",IF(BO181&gt;0,"Частично","Ждём")))</f>
        <v/>
      </c>
      <c r="BR181" s="43"/>
      <c r="BS181" s="47" t="str">
        <f aca="false">IF(BN181="","",IF(_xlfn.MAXIFS(ЗАКАЗЫ!$AK$3:$AK$500,ЗАКАЗЫ!$F$3:$F$500,$A181)=0,"",_xlfn.MAXIFS(ЗАКАЗЫ!$AK$3:$AK$500,ЗАКАЗЫ!$F$3:$F$500,$A181)))</f>
        <v/>
      </c>
    </row>
    <row r="182" customFormat="false" ht="15.75" hidden="false" customHeight="true" outlineLevel="0" collapsed="false">
      <c r="A182" s="80" t="s">
        <v>1383</v>
      </c>
      <c r="B182" s="81"/>
      <c r="C182" s="81"/>
      <c r="D182" s="81"/>
      <c r="E182" s="83"/>
      <c r="F182" s="81"/>
      <c r="G182" s="83"/>
      <c r="H182" s="83"/>
      <c r="I182" s="84" t="str">
        <f aca="false">IF(E182="","",A182&amp;"_1.jpg")</f>
        <v/>
      </c>
      <c r="J182" s="84" t="str">
        <f aca="false">IF(E182="","",A182&amp;"_2.jpg; "&amp;A182&amp;"_3.jpg")</f>
        <v/>
      </c>
      <c r="K182" s="84" t="str">
        <f aca="false">IF(E182="","",A182&amp;"_schema.jpg")</f>
        <v/>
      </c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 t="s">
        <v>96</v>
      </c>
      <c r="W182" s="81"/>
      <c r="X182" s="81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6" t="str">
        <f aca="false">IF(SUM(Y182:AJ182)=0,"",SUM(Y182:AJ182))</f>
        <v/>
      </c>
      <c r="AL182" s="84" t="str">
        <f aca="false">MID(IF(N(Y182)&gt;0,", "&amp;Y$2,"")&amp;IF(N(Z182)&gt;0,", "&amp;Z$2,"")&amp;IF(N(AA182)&gt;0,", "&amp;AA$2,"")&amp;IF(N(AB182)&gt;0,", "&amp;AB$2,"")&amp;IF(N(AC182)&gt;0,", "&amp;AC$2,"")&amp;IF(N(AD182)&gt;0,", "&amp;AD$2,"")&amp;IF(N(AE182)&gt;0,", "&amp;AE$2,"")&amp;IF(N(AF182)&gt;0,", "&amp;AF$2,"")&amp;IF(N(AG182)&gt;0,", "&amp;AG$2,"")&amp;IF(N(AH182)&gt;0,", "&amp;AH$2,"")&amp;IF(N(AI182)&gt;0,", "&amp;AI$2,"")&amp;IF(N(AJ182)&gt;0,", "&amp;AJ$2,""),3,999)</f>
        <v/>
      </c>
      <c r="AM182" s="87" t="str">
        <f aca="false">IF(E182="","",MID(IF(N(Y182)&gt;0,", "&amp;A182&amp;"-"&amp;Y$2,"")&amp;IF(N(Z182)&gt;0,", "&amp;A182&amp;"-"&amp;Z$2,"")&amp;IF(N(AA182)&gt;0,", "&amp;A182&amp;"-"&amp;AA$2,"")&amp;IF(N(AB182)&gt;0,", "&amp;A182&amp;"-"&amp;AB$2,"")&amp;IF(N(AC182)&gt;0,", "&amp;A182&amp;"-"&amp;AC$2,"")&amp;IF(N(AD182)&gt;0,", "&amp;A182&amp;"-"&amp;AD$2,"")&amp;IF(N(AE182)&gt;0,", "&amp;A182&amp;"-"&amp;AE$2,"")&amp;IF(N(AF182)&gt;0,", "&amp;A182&amp;"-"&amp;AF$2,"")&amp;IF(N(AG182)&gt;0,", "&amp;A182&amp;"-"&amp;AG$2,"")&amp;IF(N(AH182)&gt;0,", "&amp;A182&amp;"-"&amp;AH$2,"")&amp;IF(N(AI182)&gt;0,", "&amp;A182&amp;"-"&amp;AI$2,"")&amp;IF(N(AJ182)&gt;0,", "&amp;A182&amp;"-"&amp;AJ$2,""),3,999))</f>
        <v/>
      </c>
      <c r="AN182" s="81"/>
      <c r="AO182" s="88"/>
      <c r="AP182" s="89" t="str">
        <f aca="false">IF(AO182="","",ROUND(AO182/(1+Справочники!$B$13),2))</f>
        <v/>
      </c>
      <c r="AQ182" s="90" t="str">
        <f aca="false" t="array" ref="AQ182:AQ182">IF(AP182="","",AP182*INDEX(Справочники!$B$4:$B$7,MATCH("RUB",Справочники!$A$4:$A$7,0)))</f>
        <v/>
      </c>
      <c r="AR182" s="90" t="str">
        <f aca="false">IF(AQ182="","",ROUND(AQ182*(1+Справочники!$B$12),0))</f>
        <v/>
      </c>
      <c r="AS182" s="90" t="str">
        <f aca="false">IF(AR182="","",ROUND(AR182*(1-Справочники!$B$11),0))</f>
        <v/>
      </c>
      <c r="AT182" s="88"/>
      <c r="AU182" s="90" t="str">
        <f aca="false">IF(AT182="","",ROUND(AT182/(1+Справочники!$B$12),0))</f>
        <v/>
      </c>
      <c r="AV182" s="90" t="str">
        <f aca="false">IF(AT182="","",ROUND(AT182*(1-Справочники!$B$15),0))</f>
        <v/>
      </c>
      <c r="AW182" s="90" t="str">
        <f aca="false">IF(AT182="","",ROUND(AT182*(1-Справочники!$B$16),0))</f>
        <v/>
      </c>
      <c r="AX182" s="90" t="str">
        <f aca="false">IF(AT182="","",ROUND(AT182*(1-Справочники!$B$17),0))</f>
        <v/>
      </c>
      <c r="AY182" s="90" t="str">
        <f aca="false">IF(AT182="","",ROUND(AT182*(1-Справочники!$B$18),0))</f>
        <v/>
      </c>
      <c r="AZ182" s="90" t="str">
        <f aca="false">IF(AT182="","",ROUND(AT182*(1-Справочники!$B$19),0))</f>
        <v/>
      </c>
      <c r="BA182" s="81"/>
      <c r="BB182" s="81"/>
      <c r="BC182" s="81"/>
      <c r="BD182" s="81"/>
      <c r="BE182" s="91"/>
      <c r="BF182" s="81" t="s">
        <v>103</v>
      </c>
      <c r="BG182" s="89" t="n">
        <f aca="false" t="array" ref="BG182:BG182">IF(BF182="","",IFERROR(INDEX(Справочники!$B$4:$B$7,MATCH(BF182,Справочники!$A$4:$A$7,0)),""))</f>
        <v>68.5</v>
      </c>
      <c r="BH182" s="90" t="str">
        <f aca="false">IF(N(BN182)&gt;0,ROUND(SUMIF(ЗАКАЗЫ!$F$3:$F$500,$A182,ЗАКАЗЫ!$Y$3:$Y$500)/BN182,0),IF(OR(BE182="",BG182=""),"",ROUND(BE182*BG182*(1+Справочники!$B$10),0)))</f>
        <v/>
      </c>
      <c r="BI182" s="92" t="str">
        <f aca="false">IF(OR(AU182="",BH182="",AU182=0),"",(AU182-BH182)/AU182)</f>
        <v/>
      </c>
      <c r="BJ182" s="81"/>
      <c r="BK182" s="83"/>
      <c r="BL182" s="43" t="str">
        <f aca="false">IFERROR(INDEX(ЗАКАЗЫ!$N$3:$N$500,MATCH($A182,ЗАКАЗЫ!$F$3:$F$500,0)),"")</f>
        <v/>
      </c>
      <c r="BM182" s="8" t="str">
        <f aca="false">IF(BL182="","",IFERROR(VLOOKUP(BL182,'ТН ВЭД'!$A$4:$C$40,3,0),""))</f>
        <v/>
      </c>
      <c r="BN182" s="7" t="str">
        <f aca="false">IF(COUNTIF(ЗАКАЗЫ!$F$3:$F$500,$A182)=0,"",SUMIF(ЗАКАЗЫ!$F$3:$F$500,$A182,ЗАКАЗЫ!$J$3:$J$500))</f>
        <v/>
      </c>
      <c r="BO182" s="7" t="str">
        <f aca="false">IF(BN182="","",SUMIF(ЗАКАЗЫ!$F$3:$F$500,$A182,ЗАКАЗЫ!$AL$3:$AL$500))</f>
        <v/>
      </c>
      <c r="BP182" s="7" t="str">
        <f aca="false">IF(BN182="","",BN182-BO182)</f>
        <v/>
      </c>
      <c r="BQ182" s="55" t="str">
        <f aca="false">IF(BN182="","",IF(BO182&gt;=BN182,"На складе",IF(BO182&gt;0,"Частично","Ждём")))</f>
        <v/>
      </c>
      <c r="BR182" s="43"/>
      <c r="BS182" s="47" t="str">
        <f aca="false">IF(BN182="","",IF(_xlfn.MAXIFS(ЗАКАЗЫ!$AK$3:$AK$500,ЗАКАЗЫ!$F$3:$F$500,$A182)=0,"",_xlfn.MAXIFS(ЗАКАЗЫ!$AK$3:$AK$500,ЗАКАЗЫ!$F$3:$F$500,$A182)))</f>
        <v/>
      </c>
    </row>
    <row r="183" customFormat="false" ht="15.75" hidden="false" customHeight="true" outlineLevel="0" collapsed="false">
      <c r="A183" s="80" t="s">
        <v>1384</v>
      </c>
      <c r="B183" s="81"/>
      <c r="C183" s="81"/>
      <c r="D183" s="81"/>
      <c r="E183" s="83"/>
      <c r="F183" s="81"/>
      <c r="G183" s="83"/>
      <c r="H183" s="83"/>
      <c r="I183" s="84" t="str">
        <f aca="false">IF(E183="","",A183&amp;"_1.jpg")</f>
        <v/>
      </c>
      <c r="J183" s="84" t="str">
        <f aca="false">IF(E183="","",A183&amp;"_2.jpg; "&amp;A183&amp;"_3.jpg")</f>
        <v/>
      </c>
      <c r="K183" s="84" t="str">
        <f aca="false">IF(E183="","",A183&amp;"_schema.jpg")</f>
        <v/>
      </c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 t="s">
        <v>96</v>
      </c>
      <c r="W183" s="81"/>
      <c r="X183" s="81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6" t="str">
        <f aca="false">IF(SUM(Y183:AJ183)=0,"",SUM(Y183:AJ183))</f>
        <v/>
      </c>
      <c r="AL183" s="84" t="str">
        <f aca="false">MID(IF(N(Y183)&gt;0,", "&amp;Y$2,"")&amp;IF(N(Z183)&gt;0,", "&amp;Z$2,"")&amp;IF(N(AA183)&gt;0,", "&amp;AA$2,"")&amp;IF(N(AB183)&gt;0,", "&amp;AB$2,"")&amp;IF(N(AC183)&gt;0,", "&amp;AC$2,"")&amp;IF(N(AD183)&gt;0,", "&amp;AD$2,"")&amp;IF(N(AE183)&gt;0,", "&amp;AE$2,"")&amp;IF(N(AF183)&gt;0,", "&amp;AF$2,"")&amp;IF(N(AG183)&gt;0,", "&amp;AG$2,"")&amp;IF(N(AH183)&gt;0,", "&amp;AH$2,"")&amp;IF(N(AI183)&gt;0,", "&amp;AI$2,"")&amp;IF(N(AJ183)&gt;0,", "&amp;AJ$2,""),3,999)</f>
        <v/>
      </c>
      <c r="AM183" s="87" t="str">
        <f aca="false">IF(E183="","",MID(IF(N(Y183)&gt;0,", "&amp;A183&amp;"-"&amp;Y$2,"")&amp;IF(N(Z183)&gt;0,", "&amp;A183&amp;"-"&amp;Z$2,"")&amp;IF(N(AA183)&gt;0,", "&amp;A183&amp;"-"&amp;AA$2,"")&amp;IF(N(AB183)&gt;0,", "&amp;A183&amp;"-"&amp;AB$2,"")&amp;IF(N(AC183)&gt;0,", "&amp;A183&amp;"-"&amp;AC$2,"")&amp;IF(N(AD183)&gt;0,", "&amp;A183&amp;"-"&amp;AD$2,"")&amp;IF(N(AE183)&gt;0,", "&amp;A183&amp;"-"&amp;AE$2,"")&amp;IF(N(AF183)&gt;0,", "&amp;A183&amp;"-"&amp;AF$2,"")&amp;IF(N(AG183)&gt;0,", "&amp;A183&amp;"-"&amp;AG$2,"")&amp;IF(N(AH183)&gt;0,", "&amp;A183&amp;"-"&amp;AH$2,"")&amp;IF(N(AI183)&gt;0,", "&amp;A183&amp;"-"&amp;AI$2,"")&amp;IF(N(AJ183)&gt;0,", "&amp;A183&amp;"-"&amp;AJ$2,""),3,999))</f>
        <v/>
      </c>
      <c r="AN183" s="81"/>
      <c r="AO183" s="88"/>
      <c r="AP183" s="89" t="str">
        <f aca="false">IF(AO183="","",ROUND(AO183/(1+Справочники!$B$13),2))</f>
        <v/>
      </c>
      <c r="AQ183" s="90" t="str">
        <f aca="false" t="array" ref="AQ183:AQ183">IF(AP183="","",AP183*INDEX(Справочники!$B$4:$B$7,MATCH("RUB",Справочники!$A$4:$A$7,0)))</f>
        <v/>
      </c>
      <c r="AR183" s="90" t="str">
        <f aca="false">IF(AQ183="","",ROUND(AQ183*(1+Справочники!$B$12),0))</f>
        <v/>
      </c>
      <c r="AS183" s="90" t="str">
        <f aca="false">IF(AR183="","",ROUND(AR183*(1-Справочники!$B$11),0))</f>
        <v/>
      </c>
      <c r="AT183" s="88"/>
      <c r="AU183" s="90" t="str">
        <f aca="false">IF(AT183="","",ROUND(AT183/(1+Справочники!$B$12),0))</f>
        <v/>
      </c>
      <c r="AV183" s="90" t="str">
        <f aca="false">IF(AT183="","",ROUND(AT183*(1-Справочники!$B$15),0))</f>
        <v/>
      </c>
      <c r="AW183" s="90" t="str">
        <f aca="false">IF(AT183="","",ROUND(AT183*(1-Справочники!$B$16),0))</f>
        <v/>
      </c>
      <c r="AX183" s="90" t="str">
        <f aca="false">IF(AT183="","",ROUND(AT183*(1-Справочники!$B$17),0))</f>
        <v/>
      </c>
      <c r="AY183" s="90" t="str">
        <f aca="false">IF(AT183="","",ROUND(AT183*(1-Справочники!$B$18),0))</f>
        <v/>
      </c>
      <c r="AZ183" s="90" t="str">
        <f aca="false">IF(AT183="","",ROUND(AT183*(1-Справочники!$B$19),0))</f>
        <v/>
      </c>
      <c r="BA183" s="81"/>
      <c r="BB183" s="81"/>
      <c r="BC183" s="81"/>
      <c r="BD183" s="81"/>
      <c r="BE183" s="91"/>
      <c r="BF183" s="81" t="s">
        <v>103</v>
      </c>
      <c r="BG183" s="89" t="n">
        <f aca="false" t="array" ref="BG183:BG183">IF(BF183="","",IFERROR(INDEX(Справочники!$B$4:$B$7,MATCH(BF183,Справочники!$A$4:$A$7,0)),""))</f>
        <v>68.5</v>
      </c>
      <c r="BH183" s="90" t="str">
        <f aca="false">IF(N(BN183)&gt;0,ROUND(SUMIF(ЗАКАЗЫ!$F$3:$F$500,$A183,ЗАКАЗЫ!$Y$3:$Y$500)/BN183,0),IF(OR(BE183="",BG183=""),"",ROUND(BE183*BG183*(1+Справочники!$B$10),0)))</f>
        <v/>
      </c>
      <c r="BI183" s="92" t="str">
        <f aca="false">IF(OR(AU183="",BH183="",AU183=0),"",(AU183-BH183)/AU183)</f>
        <v/>
      </c>
      <c r="BJ183" s="81"/>
      <c r="BK183" s="83"/>
      <c r="BL183" s="43" t="str">
        <f aca="false">IFERROR(INDEX(ЗАКАЗЫ!$N$3:$N$500,MATCH($A183,ЗАКАЗЫ!$F$3:$F$500,0)),"")</f>
        <v/>
      </c>
      <c r="BM183" s="8" t="str">
        <f aca="false">IF(BL183="","",IFERROR(VLOOKUP(BL183,'ТН ВЭД'!$A$4:$C$40,3,0),""))</f>
        <v/>
      </c>
      <c r="BN183" s="7" t="str">
        <f aca="false">IF(COUNTIF(ЗАКАЗЫ!$F$3:$F$500,$A183)=0,"",SUMIF(ЗАКАЗЫ!$F$3:$F$500,$A183,ЗАКАЗЫ!$J$3:$J$500))</f>
        <v/>
      </c>
      <c r="BO183" s="7" t="str">
        <f aca="false">IF(BN183="","",SUMIF(ЗАКАЗЫ!$F$3:$F$500,$A183,ЗАКАЗЫ!$AL$3:$AL$500))</f>
        <v/>
      </c>
      <c r="BP183" s="7" t="str">
        <f aca="false">IF(BN183="","",BN183-BO183)</f>
        <v/>
      </c>
      <c r="BQ183" s="55" t="str">
        <f aca="false">IF(BN183="","",IF(BO183&gt;=BN183,"На складе",IF(BO183&gt;0,"Частично","Ждём")))</f>
        <v/>
      </c>
      <c r="BR183" s="43"/>
      <c r="BS183" s="47" t="str">
        <f aca="false">IF(BN183="","",IF(_xlfn.MAXIFS(ЗАКАЗЫ!$AK$3:$AK$500,ЗАКАЗЫ!$F$3:$F$500,$A183)=0,"",_xlfn.MAXIFS(ЗАКАЗЫ!$AK$3:$AK$500,ЗАКАЗЫ!$F$3:$F$500,$A183)))</f>
        <v/>
      </c>
    </row>
    <row r="184" customFormat="false" ht="15.75" hidden="false" customHeight="true" outlineLevel="0" collapsed="false">
      <c r="A184" s="80" t="s">
        <v>1385</v>
      </c>
      <c r="B184" s="81"/>
      <c r="C184" s="81"/>
      <c r="D184" s="81"/>
      <c r="E184" s="83"/>
      <c r="F184" s="81"/>
      <c r="G184" s="83"/>
      <c r="H184" s="83"/>
      <c r="I184" s="84" t="str">
        <f aca="false">IF(E184="","",A184&amp;"_1.jpg")</f>
        <v/>
      </c>
      <c r="J184" s="84" t="str">
        <f aca="false">IF(E184="","",A184&amp;"_2.jpg; "&amp;A184&amp;"_3.jpg")</f>
        <v/>
      </c>
      <c r="K184" s="84" t="str">
        <f aca="false">IF(E184="","",A184&amp;"_schema.jpg")</f>
        <v/>
      </c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 t="s">
        <v>96</v>
      </c>
      <c r="W184" s="81"/>
      <c r="X184" s="81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6" t="str">
        <f aca="false">IF(SUM(Y184:AJ184)=0,"",SUM(Y184:AJ184))</f>
        <v/>
      </c>
      <c r="AL184" s="84" t="str">
        <f aca="false">MID(IF(N(Y184)&gt;0,", "&amp;Y$2,"")&amp;IF(N(Z184)&gt;0,", "&amp;Z$2,"")&amp;IF(N(AA184)&gt;0,", "&amp;AA$2,"")&amp;IF(N(AB184)&gt;0,", "&amp;AB$2,"")&amp;IF(N(AC184)&gt;0,", "&amp;AC$2,"")&amp;IF(N(AD184)&gt;0,", "&amp;AD$2,"")&amp;IF(N(AE184)&gt;0,", "&amp;AE$2,"")&amp;IF(N(AF184)&gt;0,", "&amp;AF$2,"")&amp;IF(N(AG184)&gt;0,", "&amp;AG$2,"")&amp;IF(N(AH184)&gt;0,", "&amp;AH$2,"")&amp;IF(N(AI184)&gt;0,", "&amp;AI$2,"")&amp;IF(N(AJ184)&gt;0,", "&amp;AJ$2,""),3,999)</f>
        <v/>
      </c>
      <c r="AM184" s="87" t="str">
        <f aca="false">IF(E184="","",MID(IF(N(Y184)&gt;0,", "&amp;A184&amp;"-"&amp;Y$2,"")&amp;IF(N(Z184)&gt;0,", "&amp;A184&amp;"-"&amp;Z$2,"")&amp;IF(N(AA184)&gt;0,", "&amp;A184&amp;"-"&amp;AA$2,"")&amp;IF(N(AB184)&gt;0,", "&amp;A184&amp;"-"&amp;AB$2,"")&amp;IF(N(AC184)&gt;0,", "&amp;A184&amp;"-"&amp;AC$2,"")&amp;IF(N(AD184)&gt;0,", "&amp;A184&amp;"-"&amp;AD$2,"")&amp;IF(N(AE184)&gt;0,", "&amp;A184&amp;"-"&amp;AE$2,"")&amp;IF(N(AF184)&gt;0,", "&amp;A184&amp;"-"&amp;AF$2,"")&amp;IF(N(AG184)&gt;0,", "&amp;A184&amp;"-"&amp;AG$2,"")&amp;IF(N(AH184)&gt;0,", "&amp;A184&amp;"-"&amp;AH$2,"")&amp;IF(N(AI184)&gt;0,", "&amp;A184&amp;"-"&amp;AI$2,"")&amp;IF(N(AJ184)&gt;0,", "&amp;A184&amp;"-"&amp;AJ$2,""),3,999))</f>
        <v/>
      </c>
      <c r="AN184" s="81"/>
      <c r="AO184" s="88"/>
      <c r="AP184" s="89" t="str">
        <f aca="false">IF(AO184="","",ROUND(AO184/(1+Справочники!$B$13),2))</f>
        <v/>
      </c>
      <c r="AQ184" s="90" t="str">
        <f aca="false" t="array" ref="AQ184:AQ184">IF(AP184="","",AP184*INDEX(Справочники!$B$4:$B$7,MATCH("RUB",Справочники!$A$4:$A$7,0)))</f>
        <v/>
      </c>
      <c r="AR184" s="90" t="str">
        <f aca="false">IF(AQ184="","",ROUND(AQ184*(1+Справочники!$B$12),0))</f>
        <v/>
      </c>
      <c r="AS184" s="90" t="str">
        <f aca="false">IF(AR184="","",ROUND(AR184*(1-Справочники!$B$11),0))</f>
        <v/>
      </c>
      <c r="AT184" s="88"/>
      <c r="AU184" s="90" t="str">
        <f aca="false">IF(AT184="","",ROUND(AT184/(1+Справочники!$B$12),0))</f>
        <v/>
      </c>
      <c r="AV184" s="90" t="str">
        <f aca="false">IF(AT184="","",ROUND(AT184*(1-Справочники!$B$15),0))</f>
        <v/>
      </c>
      <c r="AW184" s="90" t="str">
        <f aca="false">IF(AT184="","",ROUND(AT184*(1-Справочники!$B$16),0))</f>
        <v/>
      </c>
      <c r="AX184" s="90" t="str">
        <f aca="false">IF(AT184="","",ROUND(AT184*(1-Справочники!$B$17),0))</f>
        <v/>
      </c>
      <c r="AY184" s="90" t="str">
        <f aca="false">IF(AT184="","",ROUND(AT184*(1-Справочники!$B$18),0))</f>
        <v/>
      </c>
      <c r="AZ184" s="90" t="str">
        <f aca="false">IF(AT184="","",ROUND(AT184*(1-Справочники!$B$19),0))</f>
        <v/>
      </c>
      <c r="BA184" s="81"/>
      <c r="BB184" s="81"/>
      <c r="BC184" s="81"/>
      <c r="BD184" s="81"/>
      <c r="BE184" s="91"/>
      <c r="BF184" s="81" t="s">
        <v>103</v>
      </c>
      <c r="BG184" s="89" t="n">
        <f aca="false" t="array" ref="BG184:BG184">IF(BF184="","",IFERROR(INDEX(Справочники!$B$4:$B$7,MATCH(BF184,Справочники!$A$4:$A$7,0)),""))</f>
        <v>68.5</v>
      </c>
      <c r="BH184" s="90" t="str">
        <f aca="false">IF(N(BN184)&gt;0,ROUND(SUMIF(ЗАКАЗЫ!$F$3:$F$500,$A184,ЗАКАЗЫ!$Y$3:$Y$500)/BN184,0),IF(OR(BE184="",BG184=""),"",ROUND(BE184*BG184*(1+Справочники!$B$10),0)))</f>
        <v/>
      </c>
      <c r="BI184" s="92" t="str">
        <f aca="false">IF(OR(AU184="",BH184="",AU184=0),"",(AU184-BH184)/AU184)</f>
        <v/>
      </c>
      <c r="BJ184" s="81"/>
      <c r="BK184" s="83"/>
      <c r="BL184" s="43" t="str">
        <f aca="false">IFERROR(INDEX(ЗАКАЗЫ!$N$3:$N$500,MATCH($A184,ЗАКАЗЫ!$F$3:$F$500,0)),"")</f>
        <v/>
      </c>
      <c r="BM184" s="8" t="str">
        <f aca="false">IF(BL184="","",IFERROR(VLOOKUP(BL184,'ТН ВЭД'!$A$4:$C$40,3,0),""))</f>
        <v/>
      </c>
      <c r="BN184" s="7" t="str">
        <f aca="false">IF(COUNTIF(ЗАКАЗЫ!$F$3:$F$500,$A184)=0,"",SUMIF(ЗАКАЗЫ!$F$3:$F$500,$A184,ЗАКАЗЫ!$J$3:$J$500))</f>
        <v/>
      </c>
      <c r="BO184" s="7" t="str">
        <f aca="false">IF(BN184="","",SUMIF(ЗАКАЗЫ!$F$3:$F$500,$A184,ЗАКАЗЫ!$AL$3:$AL$500))</f>
        <v/>
      </c>
      <c r="BP184" s="7" t="str">
        <f aca="false">IF(BN184="","",BN184-BO184)</f>
        <v/>
      </c>
      <c r="BQ184" s="55" t="str">
        <f aca="false">IF(BN184="","",IF(BO184&gt;=BN184,"На складе",IF(BO184&gt;0,"Частично","Ждём")))</f>
        <v/>
      </c>
      <c r="BR184" s="43"/>
      <c r="BS184" s="47" t="str">
        <f aca="false">IF(BN184="","",IF(_xlfn.MAXIFS(ЗАКАЗЫ!$AK$3:$AK$500,ЗАКАЗЫ!$F$3:$F$500,$A184)=0,"",_xlfn.MAXIFS(ЗАКАЗЫ!$AK$3:$AK$500,ЗАКАЗЫ!$F$3:$F$500,$A184)))</f>
        <v/>
      </c>
    </row>
    <row r="185" customFormat="false" ht="15.75" hidden="false" customHeight="true" outlineLevel="0" collapsed="false">
      <c r="A185" s="80" t="s">
        <v>1386</v>
      </c>
      <c r="B185" s="81"/>
      <c r="C185" s="81"/>
      <c r="D185" s="81"/>
      <c r="E185" s="83"/>
      <c r="F185" s="81"/>
      <c r="G185" s="83"/>
      <c r="H185" s="83"/>
      <c r="I185" s="84" t="str">
        <f aca="false">IF(E185="","",A185&amp;"_1.jpg")</f>
        <v/>
      </c>
      <c r="J185" s="84" t="str">
        <f aca="false">IF(E185="","",A185&amp;"_2.jpg; "&amp;A185&amp;"_3.jpg")</f>
        <v/>
      </c>
      <c r="K185" s="84" t="str">
        <f aca="false">IF(E185="","",A185&amp;"_schema.jpg")</f>
        <v/>
      </c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 t="s">
        <v>96</v>
      </c>
      <c r="W185" s="81"/>
      <c r="X185" s="81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6" t="str">
        <f aca="false">IF(SUM(Y185:AJ185)=0,"",SUM(Y185:AJ185))</f>
        <v/>
      </c>
      <c r="AL185" s="84" t="str">
        <f aca="false">MID(IF(N(Y185)&gt;0,", "&amp;Y$2,"")&amp;IF(N(Z185)&gt;0,", "&amp;Z$2,"")&amp;IF(N(AA185)&gt;0,", "&amp;AA$2,"")&amp;IF(N(AB185)&gt;0,", "&amp;AB$2,"")&amp;IF(N(AC185)&gt;0,", "&amp;AC$2,"")&amp;IF(N(AD185)&gt;0,", "&amp;AD$2,"")&amp;IF(N(AE185)&gt;0,", "&amp;AE$2,"")&amp;IF(N(AF185)&gt;0,", "&amp;AF$2,"")&amp;IF(N(AG185)&gt;0,", "&amp;AG$2,"")&amp;IF(N(AH185)&gt;0,", "&amp;AH$2,"")&amp;IF(N(AI185)&gt;0,", "&amp;AI$2,"")&amp;IF(N(AJ185)&gt;0,", "&amp;AJ$2,""),3,999)</f>
        <v/>
      </c>
      <c r="AM185" s="87" t="str">
        <f aca="false">IF(E185="","",MID(IF(N(Y185)&gt;0,", "&amp;A185&amp;"-"&amp;Y$2,"")&amp;IF(N(Z185)&gt;0,", "&amp;A185&amp;"-"&amp;Z$2,"")&amp;IF(N(AA185)&gt;0,", "&amp;A185&amp;"-"&amp;AA$2,"")&amp;IF(N(AB185)&gt;0,", "&amp;A185&amp;"-"&amp;AB$2,"")&amp;IF(N(AC185)&gt;0,", "&amp;A185&amp;"-"&amp;AC$2,"")&amp;IF(N(AD185)&gt;0,", "&amp;A185&amp;"-"&amp;AD$2,"")&amp;IF(N(AE185)&gt;0,", "&amp;A185&amp;"-"&amp;AE$2,"")&amp;IF(N(AF185)&gt;0,", "&amp;A185&amp;"-"&amp;AF$2,"")&amp;IF(N(AG185)&gt;0,", "&amp;A185&amp;"-"&amp;AG$2,"")&amp;IF(N(AH185)&gt;0,", "&amp;A185&amp;"-"&amp;AH$2,"")&amp;IF(N(AI185)&gt;0,", "&amp;A185&amp;"-"&amp;AI$2,"")&amp;IF(N(AJ185)&gt;0,", "&amp;A185&amp;"-"&amp;AJ$2,""),3,999))</f>
        <v/>
      </c>
      <c r="AN185" s="81"/>
      <c r="AO185" s="88"/>
      <c r="AP185" s="89" t="str">
        <f aca="false">IF(AO185="","",ROUND(AO185/(1+Справочники!$B$13),2))</f>
        <v/>
      </c>
      <c r="AQ185" s="90" t="str">
        <f aca="false" t="array" ref="AQ185:AQ185">IF(AP185="","",AP185*INDEX(Справочники!$B$4:$B$7,MATCH("RUB",Справочники!$A$4:$A$7,0)))</f>
        <v/>
      </c>
      <c r="AR185" s="90" t="str">
        <f aca="false">IF(AQ185="","",ROUND(AQ185*(1+Справочники!$B$12),0))</f>
        <v/>
      </c>
      <c r="AS185" s="90" t="str">
        <f aca="false">IF(AR185="","",ROUND(AR185*(1-Справочники!$B$11),0))</f>
        <v/>
      </c>
      <c r="AT185" s="88"/>
      <c r="AU185" s="90" t="str">
        <f aca="false">IF(AT185="","",ROUND(AT185/(1+Справочники!$B$12),0))</f>
        <v/>
      </c>
      <c r="AV185" s="90" t="str">
        <f aca="false">IF(AT185="","",ROUND(AT185*(1-Справочники!$B$15),0))</f>
        <v/>
      </c>
      <c r="AW185" s="90" t="str">
        <f aca="false">IF(AT185="","",ROUND(AT185*(1-Справочники!$B$16),0))</f>
        <v/>
      </c>
      <c r="AX185" s="90" t="str">
        <f aca="false">IF(AT185="","",ROUND(AT185*(1-Справочники!$B$17),0))</f>
        <v/>
      </c>
      <c r="AY185" s="90" t="str">
        <f aca="false">IF(AT185="","",ROUND(AT185*(1-Справочники!$B$18),0))</f>
        <v/>
      </c>
      <c r="AZ185" s="90" t="str">
        <f aca="false">IF(AT185="","",ROUND(AT185*(1-Справочники!$B$19),0))</f>
        <v/>
      </c>
      <c r="BA185" s="81"/>
      <c r="BB185" s="81"/>
      <c r="BC185" s="81"/>
      <c r="BD185" s="81"/>
      <c r="BE185" s="91"/>
      <c r="BF185" s="81" t="s">
        <v>103</v>
      </c>
      <c r="BG185" s="89" t="n">
        <f aca="false" t="array" ref="BG185:BG185">IF(BF185="","",IFERROR(INDEX(Справочники!$B$4:$B$7,MATCH(BF185,Справочники!$A$4:$A$7,0)),""))</f>
        <v>68.5</v>
      </c>
      <c r="BH185" s="90" t="str">
        <f aca="false">IF(N(BN185)&gt;0,ROUND(SUMIF(ЗАКАЗЫ!$F$3:$F$500,$A185,ЗАКАЗЫ!$Y$3:$Y$500)/BN185,0),IF(OR(BE185="",BG185=""),"",ROUND(BE185*BG185*(1+Справочники!$B$10),0)))</f>
        <v/>
      </c>
      <c r="BI185" s="92" t="str">
        <f aca="false">IF(OR(AU185="",BH185="",AU185=0),"",(AU185-BH185)/AU185)</f>
        <v/>
      </c>
      <c r="BJ185" s="81"/>
      <c r="BK185" s="83"/>
      <c r="BL185" s="43" t="str">
        <f aca="false">IFERROR(INDEX(ЗАКАЗЫ!$N$3:$N$500,MATCH($A185,ЗАКАЗЫ!$F$3:$F$500,0)),"")</f>
        <v/>
      </c>
      <c r="BM185" s="8" t="str">
        <f aca="false">IF(BL185="","",IFERROR(VLOOKUP(BL185,'ТН ВЭД'!$A$4:$C$40,3,0),""))</f>
        <v/>
      </c>
      <c r="BN185" s="7" t="str">
        <f aca="false">IF(COUNTIF(ЗАКАЗЫ!$F$3:$F$500,$A185)=0,"",SUMIF(ЗАКАЗЫ!$F$3:$F$500,$A185,ЗАКАЗЫ!$J$3:$J$500))</f>
        <v/>
      </c>
      <c r="BO185" s="7" t="str">
        <f aca="false">IF(BN185="","",SUMIF(ЗАКАЗЫ!$F$3:$F$500,$A185,ЗАКАЗЫ!$AL$3:$AL$500))</f>
        <v/>
      </c>
      <c r="BP185" s="7" t="str">
        <f aca="false">IF(BN185="","",BN185-BO185)</f>
        <v/>
      </c>
      <c r="BQ185" s="55" t="str">
        <f aca="false">IF(BN185="","",IF(BO185&gt;=BN185,"На складе",IF(BO185&gt;0,"Частично","Ждём")))</f>
        <v/>
      </c>
      <c r="BR185" s="43"/>
      <c r="BS185" s="47" t="str">
        <f aca="false">IF(BN185="","",IF(_xlfn.MAXIFS(ЗАКАЗЫ!$AK$3:$AK$500,ЗАКАЗЫ!$F$3:$F$500,$A185)=0,"",_xlfn.MAXIFS(ЗАКАЗЫ!$AK$3:$AK$500,ЗАКАЗЫ!$F$3:$F$500,$A185)))</f>
        <v/>
      </c>
    </row>
    <row r="186" customFormat="false" ht="15.75" hidden="false" customHeight="true" outlineLevel="0" collapsed="false">
      <c r="A186" s="80" t="s">
        <v>1387</v>
      </c>
      <c r="B186" s="81"/>
      <c r="C186" s="81"/>
      <c r="D186" s="81"/>
      <c r="E186" s="83"/>
      <c r="F186" s="81"/>
      <c r="G186" s="83"/>
      <c r="H186" s="83"/>
      <c r="I186" s="84" t="str">
        <f aca="false">IF(E186="","",A186&amp;"_1.jpg")</f>
        <v/>
      </c>
      <c r="J186" s="84" t="str">
        <f aca="false">IF(E186="","",A186&amp;"_2.jpg; "&amp;A186&amp;"_3.jpg")</f>
        <v/>
      </c>
      <c r="K186" s="84" t="str">
        <f aca="false">IF(E186="","",A186&amp;"_schema.jpg")</f>
        <v/>
      </c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 t="s">
        <v>96</v>
      </c>
      <c r="W186" s="81"/>
      <c r="X186" s="81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6" t="str">
        <f aca="false">IF(SUM(Y186:AJ186)=0,"",SUM(Y186:AJ186))</f>
        <v/>
      </c>
      <c r="AL186" s="84" t="str">
        <f aca="false">MID(IF(N(Y186)&gt;0,", "&amp;Y$2,"")&amp;IF(N(Z186)&gt;0,", "&amp;Z$2,"")&amp;IF(N(AA186)&gt;0,", "&amp;AA$2,"")&amp;IF(N(AB186)&gt;0,", "&amp;AB$2,"")&amp;IF(N(AC186)&gt;0,", "&amp;AC$2,"")&amp;IF(N(AD186)&gt;0,", "&amp;AD$2,"")&amp;IF(N(AE186)&gt;0,", "&amp;AE$2,"")&amp;IF(N(AF186)&gt;0,", "&amp;AF$2,"")&amp;IF(N(AG186)&gt;0,", "&amp;AG$2,"")&amp;IF(N(AH186)&gt;0,", "&amp;AH$2,"")&amp;IF(N(AI186)&gt;0,", "&amp;AI$2,"")&amp;IF(N(AJ186)&gt;0,", "&amp;AJ$2,""),3,999)</f>
        <v/>
      </c>
      <c r="AM186" s="87" t="str">
        <f aca="false">IF(E186="","",MID(IF(N(Y186)&gt;0,", "&amp;A186&amp;"-"&amp;Y$2,"")&amp;IF(N(Z186)&gt;0,", "&amp;A186&amp;"-"&amp;Z$2,"")&amp;IF(N(AA186)&gt;0,", "&amp;A186&amp;"-"&amp;AA$2,"")&amp;IF(N(AB186)&gt;0,", "&amp;A186&amp;"-"&amp;AB$2,"")&amp;IF(N(AC186)&gt;0,", "&amp;A186&amp;"-"&amp;AC$2,"")&amp;IF(N(AD186)&gt;0,", "&amp;A186&amp;"-"&amp;AD$2,"")&amp;IF(N(AE186)&gt;0,", "&amp;A186&amp;"-"&amp;AE$2,"")&amp;IF(N(AF186)&gt;0,", "&amp;A186&amp;"-"&amp;AF$2,"")&amp;IF(N(AG186)&gt;0,", "&amp;A186&amp;"-"&amp;AG$2,"")&amp;IF(N(AH186)&gt;0,", "&amp;A186&amp;"-"&amp;AH$2,"")&amp;IF(N(AI186)&gt;0,", "&amp;A186&amp;"-"&amp;AI$2,"")&amp;IF(N(AJ186)&gt;0,", "&amp;A186&amp;"-"&amp;AJ$2,""),3,999))</f>
        <v/>
      </c>
      <c r="AN186" s="81"/>
      <c r="AO186" s="88"/>
      <c r="AP186" s="89" t="str">
        <f aca="false">IF(AO186="","",ROUND(AO186/(1+Справочники!$B$13),2))</f>
        <v/>
      </c>
      <c r="AQ186" s="90" t="str">
        <f aca="false" t="array" ref="AQ186:AQ186">IF(AP186="","",AP186*INDEX(Справочники!$B$4:$B$7,MATCH("RUB",Справочники!$A$4:$A$7,0)))</f>
        <v/>
      </c>
      <c r="AR186" s="90" t="str">
        <f aca="false">IF(AQ186="","",ROUND(AQ186*(1+Справочники!$B$12),0))</f>
        <v/>
      </c>
      <c r="AS186" s="90" t="str">
        <f aca="false">IF(AR186="","",ROUND(AR186*(1-Справочники!$B$11),0))</f>
        <v/>
      </c>
      <c r="AT186" s="88"/>
      <c r="AU186" s="90" t="str">
        <f aca="false">IF(AT186="","",ROUND(AT186/(1+Справочники!$B$12),0))</f>
        <v/>
      </c>
      <c r="AV186" s="90" t="str">
        <f aca="false">IF(AT186="","",ROUND(AT186*(1-Справочники!$B$15),0))</f>
        <v/>
      </c>
      <c r="AW186" s="90" t="str">
        <f aca="false">IF(AT186="","",ROUND(AT186*(1-Справочники!$B$16),0))</f>
        <v/>
      </c>
      <c r="AX186" s="90" t="str">
        <f aca="false">IF(AT186="","",ROUND(AT186*(1-Справочники!$B$17),0))</f>
        <v/>
      </c>
      <c r="AY186" s="90" t="str">
        <f aca="false">IF(AT186="","",ROUND(AT186*(1-Справочники!$B$18),0))</f>
        <v/>
      </c>
      <c r="AZ186" s="90" t="str">
        <f aca="false">IF(AT186="","",ROUND(AT186*(1-Справочники!$B$19),0))</f>
        <v/>
      </c>
      <c r="BA186" s="81"/>
      <c r="BB186" s="81"/>
      <c r="BC186" s="81"/>
      <c r="BD186" s="81"/>
      <c r="BE186" s="91"/>
      <c r="BF186" s="81" t="s">
        <v>103</v>
      </c>
      <c r="BG186" s="89" t="n">
        <f aca="false" t="array" ref="BG186:BG186">IF(BF186="","",IFERROR(INDEX(Справочники!$B$4:$B$7,MATCH(BF186,Справочники!$A$4:$A$7,0)),""))</f>
        <v>68.5</v>
      </c>
      <c r="BH186" s="90" t="str">
        <f aca="false">IF(N(BN186)&gt;0,ROUND(SUMIF(ЗАКАЗЫ!$F$3:$F$500,$A186,ЗАКАЗЫ!$Y$3:$Y$500)/BN186,0),IF(OR(BE186="",BG186=""),"",ROUND(BE186*BG186*(1+Справочники!$B$10),0)))</f>
        <v/>
      </c>
      <c r="BI186" s="92" t="str">
        <f aca="false">IF(OR(AU186="",BH186="",AU186=0),"",(AU186-BH186)/AU186)</f>
        <v/>
      </c>
      <c r="BJ186" s="81"/>
      <c r="BK186" s="83"/>
      <c r="BL186" s="43" t="str">
        <f aca="false">IFERROR(INDEX(ЗАКАЗЫ!$N$3:$N$500,MATCH($A186,ЗАКАЗЫ!$F$3:$F$500,0)),"")</f>
        <v/>
      </c>
      <c r="BM186" s="8" t="str">
        <f aca="false">IF(BL186="","",IFERROR(VLOOKUP(BL186,'ТН ВЭД'!$A$4:$C$40,3,0),""))</f>
        <v/>
      </c>
      <c r="BN186" s="7" t="str">
        <f aca="false">IF(COUNTIF(ЗАКАЗЫ!$F$3:$F$500,$A186)=0,"",SUMIF(ЗАКАЗЫ!$F$3:$F$500,$A186,ЗАКАЗЫ!$J$3:$J$500))</f>
        <v/>
      </c>
      <c r="BO186" s="7" t="str">
        <f aca="false">IF(BN186="","",SUMIF(ЗАКАЗЫ!$F$3:$F$500,$A186,ЗАКАЗЫ!$AL$3:$AL$500))</f>
        <v/>
      </c>
      <c r="BP186" s="7" t="str">
        <f aca="false">IF(BN186="","",BN186-BO186)</f>
        <v/>
      </c>
      <c r="BQ186" s="55" t="str">
        <f aca="false">IF(BN186="","",IF(BO186&gt;=BN186,"На складе",IF(BO186&gt;0,"Частично","Ждём")))</f>
        <v/>
      </c>
      <c r="BR186" s="43"/>
      <c r="BS186" s="47" t="str">
        <f aca="false">IF(BN186="","",IF(_xlfn.MAXIFS(ЗАКАЗЫ!$AK$3:$AK$500,ЗАКАЗЫ!$F$3:$F$500,$A186)=0,"",_xlfn.MAXIFS(ЗАКАЗЫ!$AK$3:$AK$500,ЗАКАЗЫ!$F$3:$F$500,$A186)))</f>
        <v/>
      </c>
    </row>
    <row r="187" customFormat="false" ht="15.75" hidden="false" customHeight="true" outlineLevel="0" collapsed="false">
      <c r="A187" s="80" t="s">
        <v>1388</v>
      </c>
      <c r="B187" s="81"/>
      <c r="C187" s="81"/>
      <c r="D187" s="81"/>
      <c r="E187" s="83"/>
      <c r="F187" s="81"/>
      <c r="G187" s="83"/>
      <c r="H187" s="83"/>
      <c r="I187" s="84" t="str">
        <f aca="false">IF(E187="","",A187&amp;"_1.jpg")</f>
        <v/>
      </c>
      <c r="J187" s="84" t="str">
        <f aca="false">IF(E187="","",A187&amp;"_2.jpg; "&amp;A187&amp;"_3.jpg")</f>
        <v/>
      </c>
      <c r="K187" s="84" t="str">
        <f aca="false">IF(E187="","",A187&amp;"_schema.jpg")</f>
        <v/>
      </c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 t="s">
        <v>96</v>
      </c>
      <c r="W187" s="81"/>
      <c r="X187" s="81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6" t="str">
        <f aca="false">IF(SUM(Y187:AJ187)=0,"",SUM(Y187:AJ187))</f>
        <v/>
      </c>
      <c r="AL187" s="84" t="str">
        <f aca="false">MID(IF(N(Y187)&gt;0,", "&amp;Y$2,"")&amp;IF(N(Z187)&gt;0,", "&amp;Z$2,"")&amp;IF(N(AA187)&gt;0,", "&amp;AA$2,"")&amp;IF(N(AB187)&gt;0,", "&amp;AB$2,"")&amp;IF(N(AC187)&gt;0,", "&amp;AC$2,"")&amp;IF(N(AD187)&gt;0,", "&amp;AD$2,"")&amp;IF(N(AE187)&gt;0,", "&amp;AE$2,"")&amp;IF(N(AF187)&gt;0,", "&amp;AF$2,"")&amp;IF(N(AG187)&gt;0,", "&amp;AG$2,"")&amp;IF(N(AH187)&gt;0,", "&amp;AH$2,"")&amp;IF(N(AI187)&gt;0,", "&amp;AI$2,"")&amp;IF(N(AJ187)&gt;0,", "&amp;AJ$2,""),3,999)</f>
        <v/>
      </c>
      <c r="AM187" s="87" t="str">
        <f aca="false">IF(E187="","",MID(IF(N(Y187)&gt;0,", "&amp;A187&amp;"-"&amp;Y$2,"")&amp;IF(N(Z187)&gt;0,", "&amp;A187&amp;"-"&amp;Z$2,"")&amp;IF(N(AA187)&gt;0,", "&amp;A187&amp;"-"&amp;AA$2,"")&amp;IF(N(AB187)&gt;0,", "&amp;A187&amp;"-"&amp;AB$2,"")&amp;IF(N(AC187)&gt;0,", "&amp;A187&amp;"-"&amp;AC$2,"")&amp;IF(N(AD187)&gt;0,", "&amp;A187&amp;"-"&amp;AD$2,"")&amp;IF(N(AE187)&gt;0,", "&amp;A187&amp;"-"&amp;AE$2,"")&amp;IF(N(AF187)&gt;0,", "&amp;A187&amp;"-"&amp;AF$2,"")&amp;IF(N(AG187)&gt;0,", "&amp;A187&amp;"-"&amp;AG$2,"")&amp;IF(N(AH187)&gt;0,", "&amp;A187&amp;"-"&amp;AH$2,"")&amp;IF(N(AI187)&gt;0,", "&amp;A187&amp;"-"&amp;AI$2,"")&amp;IF(N(AJ187)&gt;0,", "&amp;A187&amp;"-"&amp;AJ$2,""),3,999))</f>
        <v/>
      </c>
      <c r="AN187" s="81"/>
      <c r="AO187" s="88"/>
      <c r="AP187" s="89" t="str">
        <f aca="false">IF(AO187="","",ROUND(AO187/(1+Справочники!$B$13),2))</f>
        <v/>
      </c>
      <c r="AQ187" s="90" t="str">
        <f aca="false" t="array" ref="AQ187:AQ187">IF(AP187="","",AP187*INDEX(Справочники!$B$4:$B$7,MATCH("RUB",Справочники!$A$4:$A$7,0)))</f>
        <v/>
      </c>
      <c r="AR187" s="90" t="str">
        <f aca="false">IF(AQ187="","",ROUND(AQ187*(1+Справочники!$B$12),0))</f>
        <v/>
      </c>
      <c r="AS187" s="90" t="str">
        <f aca="false">IF(AR187="","",ROUND(AR187*(1-Справочники!$B$11),0))</f>
        <v/>
      </c>
      <c r="AT187" s="88"/>
      <c r="AU187" s="90" t="str">
        <f aca="false">IF(AT187="","",ROUND(AT187/(1+Справочники!$B$12),0))</f>
        <v/>
      </c>
      <c r="AV187" s="90" t="str">
        <f aca="false">IF(AT187="","",ROUND(AT187*(1-Справочники!$B$15),0))</f>
        <v/>
      </c>
      <c r="AW187" s="90" t="str">
        <f aca="false">IF(AT187="","",ROUND(AT187*(1-Справочники!$B$16),0))</f>
        <v/>
      </c>
      <c r="AX187" s="90" t="str">
        <f aca="false">IF(AT187="","",ROUND(AT187*(1-Справочники!$B$17),0))</f>
        <v/>
      </c>
      <c r="AY187" s="90" t="str">
        <f aca="false">IF(AT187="","",ROUND(AT187*(1-Справочники!$B$18),0))</f>
        <v/>
      </c>
      <c r="AZ187" s="90" t="str">
        <f aca="false">IF(AT187="","",ROUND(AT187*(1-Справочники!$B$19),0))</f>
        <v/>
      </c>
      <c r="BA187" s="81"/>
      <c r="BB187" s="81"/>
      <c r="BC187" s="81"/>
      <c r="BD187" s="81"/>
      <c r="BE187" s="91"/>
      <c r="BF187" s="81" t="s">
        <v>103</v>
      </c>
      <c r="BG187" s="89" t="n">
        <f aca="false" t="array" ref="BG187:BG187">IF(BF187="","",IFERROR(INDEX(Справочники!$B$4:$B$7,MATCH(BF187,Справочники!$A$4:$A$7,0)),""))</f>
        <v>68.5</v>
      </c>
      <c r="BH187" s="90" t="str">
        <f aca="false">IF(N(BN187)&gt;0,ROUND(SUMIF(ЗАКАЗЫ!$F$3:$F$500,$A187,ЗАКАЗЫ!$Y$3:$Y$500)/BN187,0),IF(OR(BE187="",BG187=""),"",ROUND(BE187*BG187*(1+Справочники!$B$10),0)))</f>
        <v/>
      </c>
      <c r="BI187" s="92" t="str">
        <f aca="false">IF(OR(AU187="",BH187="",AU187=0),"",(AU187-BH187)/AU187)</f>
        <v/>
      </c>
      <c r="BJ187" s="81"/>
      <c r="BK187" s="83"/>
      <c r="BL187" s="43" t="str">
        <f aca="false">IFERROR(INDEX(ЗАКАЗЫ!$N$3:$N$500,MATCH($A187,ЗАКАЗЫ!$F$3:$F$500,0)),"")</f>
        <v/>
      </c>
      <c r="BM187" s="8" t="str">
        <f aca="false">IF(BL187="","",IFERROR(VLOOKUP(BL187,'ТН ВЭД'!$A$4:$C$40,3,0),""))</f>
        <v/>
      </c>
      <c r="BN187" s="7" t="str">
        <f aca="false">IF(COUNTIF(ЗАКАЗЫ!$F$3:$F$500,$A187)=0,"",SUMIF(ЗАКАЗЫ!$F$3:$F$500,$A187,ЗАКАЗЫ!$J$3:$J$500))</f>
        <v/>
      </c>
      <c r="BO187" s="7" t="str">
        <f aca="false">IF(BN187="","",SUMIF(ЗАКАЗЫ!$F$3:$F$500,$A187,ЗАКАЗЫ!$AL$3:$AL$500))</f>
        <v/>
      </c>
      <c r="BP187" s="7" t="str">
        <f aca="false">IF(BN187="","",BN187-BO187)</f>
        <v/>
      </c>
      <c r="BQ187" s="55" t="str">
        <f aca="false">IF(BN187="","",IF(BO187&gt;=BN187,"На складе",IF(BO187&gt;0,"Частично","Ждём")))</f>
        <v/>
      </c>
      <c r="BR187" s="43"/>
      <c r="BS187" s="47" t="str">
        <f aca="false">IF(BN187="","",IF(_xlfn.MAXIFS(ЗАКАЗЫ!$AK$3:$AK$500,ЗАКАЗЫ!$F$3:$F$500,$A187)=0,"",_xlfn.MAXIFS(ЗАКАЗЫ!$AK$3:$AK$500,ЗАКАЗЫ!$F$3:$F$500,$A187)))</f>
        <v/>
      </c>
    </row>
    <row r="188" customFormat="false" ht="15.75" hidden="false" customHeight="true" outlineLevel="0" collapsed="false">
      <c r="A188" s="80" t="s">
        <v>1389</v>
      </c>
      <c r="B188" s="81"/>
      <c r="C188" s="81"/>
      <c r="D188" s="81"/>
      <c r="E188" s="83"/>
      <c r="F188" s="81"/>
      <c r="G188" s="83"/>
      <c r="H188" s="83"/>
      <c r="I188" s="84" t="str">
        <f aca="false">IF(E188="","",A188&amp;"_1.jpg")</f>
        <v/>
      </c>
      <c r="J188" s="84" t="str">
        <f aca="false">IF(E188="","",A188&amp;"_2.jpg; "&amp;A188&amp;"_3.jpg")</f>
        <v/>
      </c>
      <c r="K188" s="84" t="str">
        <f aca="false">IF(E188="","",A188&amp;"_schema.jpg")</f>
        <v/>
      </c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 t="s">
        <v>96</v>
      </c>
      <c r="W188" s="81"/>
      <c r="X188" s="81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6" t="str">
        <f aca="false">IF(SUM(Y188:AJ188)=0,"",SUM(Y188:AJ188))</f>
        <v/>
      </c>
      <c r="AL188" s="84" t="str">
        <f aca="false">MID(IF(N(Y188)&gt;0,", "&amp;Y$2,"")&amp;IF(N(Z188)&gt;0,", "&amp;Z$2,"")&amp;IF(N(AA188)&gt;0,", "&amp;AA$2,"")&amp;IF(N(AB188)&gt;0,", "&amp;AB$2,"")&amp;IF(N(AC188)&gt;0,", "&amp;AC$2,"")&amp;IF(N(AD188)&gt;0,", "&amp;AD$2,"")&amp;IF(N(AE188)&gt;0,", "&amp;AE$2,"")&amp;IF(N(AF188)&gt;0,", "&amp;AF$2,"")&amp;IF(N(AG188)&gt;0,", "&amp;AG$2,"")&amp;IF(N(AH188)&gt;0,", "&amp;AH$2,"")&amp;IF(N(AI188)&gt;0,", "&amp;AI$2,"")&amp;IF(N(AJ188)&gt;0,", "&amp;AJ$2,""),3,999)</f>
        <v/>
      </c>
      <c r="AM188" s="87" t="str">
        <f aca="false">IF(E188="","",MID(IF(N(Y188)&gt;0,", "&amp;A188&amp;"-"&amp;Y$2,"")&amp;IF(N(Z188)&gt;0,", "&amp;A188&amp;"-"&amp;Z$2,"")&amp;IF(N(AA188)&gt;0,", "&amp;A188&amp;"-"&amp;AA$2,"")&amp;IF(N(AB188)&gt;0,", "&amp;A188&amp;"-"&amp;AB$2,"")&amp;IF(N(AC188)&gt;0,", "&amp;A188&amp;"-"&amp;AC$2,"")&amp;IF(N(AD188)&gt;0,", "&amp;A188&amp;"-"&amp;AD$2,"")&amp;IF(N(AE188)&gt;0,", "&amp;A188&amp;"-"&amp;AE$2,"")&amp;IF(N(AF188)&gt;0,", "&amp;A188&amp;"-"&amp;AF$2,"")&amp;IF(N(AG188)&gt;0,", "&amp;A188&amp;"-"&amp;AG$2,"")&amp;IF(N(AH188)&gt;0,", "&amp;A188&amp;"-"&amp;AH$2,"")&amp;IF(N(AI188)&gt;0,", "&amp;A188&amp;"-"&amp;AI$2,"")&amp;IF(N(AJ188)&gt;0,", "&amp;A188&amp;"-"&amp;AJ$2,""),3,999))</f>
        <v/>
      </c>
      <c r="AN188" s="81"/>
      <c r="AO188" s="88"/>
      <c r="AP188" s="89" t="str">
        <f aca="false">IF(AO188="","",ROUND(AO188/(1+Справочники!$B$13),2))</f>
        <v/>
      </c>
      <c r="AQ188" s="90" t="str">
        <f aca="false" t="array" ref="AQ188:AQ188">IF(AP188="","",AP188*INDEX(Справочники!$B$4:$B$7,MATCH("RUB",Справочники!$A$4:$A$7,0)))</f>
        <v/>
      </c>
      <c r="AR188" s="90" t="str">
        <f aca="false">IF(AQ188="","",ROUND(AQ188*(1+Справочники!$B$12),0))</f>
        <v/>
      </c>
      <c r="AS188" s="90" t="str">
        <f aca="false">IF(AR188="","",ROUND(AR188*(1-Справочники!$B$11),0))</f>
        <v/>
      </c>
      <c r="AT188" s="88"/>
      <c r="AU188" s="90" t="str">
        <f aca="false">IF(AT188="","",ROUND(AT188/(1+Справочники!$B$12),0))</f>
        <v/>
      </c>
      <c r="AV188" s="90" t="str">
        <f aca="false">IF(AT188="","",ROUND(AT188*(1-Справочники!$B$15),0))</f>
        <v/>
      </c>
      <c r="AW188" s="90" t="str">
        <f aca="false">IF(AT188="","",ROUND(AT188*(1-Справочники!$B$16),0))</f>
        <v/>
      </c>
      <c r="AX188" s="90" t="str">
        <f aca="false">IF(AT188="","",ROUND(AT188*(1-Справочники!$B$17),0))</f>
        <v/>
      </c>
      <c r="AY188" s="90" t="str">
        <f aca="false">IF(AT188="","",ROUND(AT188*(1-Справочники!$B$18),0))</f>
        <v/>
      </c>
      <c r="AZ188" s="90" t="str">
        <f aca="false">IF(AT188="","",ROUND(AT188*(1-Справочники!$B$19),0))</f>
        <v/>
      </c>
      <c r="BA188" s="81"/>
      <c r="BB188" s="81"/>
      <c r="BC188" s="81"/>
      <c r="BD188" s="81"/>
      <c r="BE188" s="91"/>
      <c r="BF188" s="81" t="s">
        <v>103</v>
      </c>
      <c r="BG188" s="89" t="n">
        <f aca="false" t="array" ref="BG188:BG188">IF(BF188="","",IFERROR(INDEX(Справочники!$B$4:$B$7,MATCH(BF188,Справочники!$A$4:$A$7,0)),""))</f>
        <v>68.5</v>
      </c>
      <c r="BH188" s="90" t="str">
        <f aca="false">IF(N(BN188)&gt;0,ROUND(SUMIF(ЗАКАЗЫ!$F$3:$F$500,$A188,ЗАКАЗЫ!$Y$3:$Y$500)/BN188,0),IF(OR(BE188="",BG188=""),"",ROUND(BE188*BG188*(1+Справочники!$B$10),0)))</f>
        <v/>
      </c>
      <c r="BI188" s="92" t="str">
        <f aca="false">IF(OR(AU188="",BH188="",AU188=0),"",(AU188-BH188)/AU188)</f>
        <v/>
      </c>
      <c r="BJ188" s="81"/>
      <c r="BK188" s="83"/>
      <c r="BL188" s="43" t="str">
        <f aca="false">IFERROR(INDEX(ЗАКАЗЫ!$N$3:$N$500,MATCH($A188,ЗАКАЗЫ!$F$3:$F$500,0)),"")</f>
        <v/>
      </c>
      <c r="BM188" s="8" t="str">
        <f aca="false">IF(BL188="","",IFERROR(VLOOKUP(BL188,'ТН ВЭД'!$A$4:$C$40,3,0),""))</f>
        <v/>
      </c>
      <c r="BN188" s="7" t="str">
        <f aca="false">IF(COUNTIF(ЗАКАЗЫ!$F$3:$F$500,$A188)=0,"",SUMIF(ЗАКАЗЫ!$F$3:$F$500,$A188,ЗАКАЗЫ!$J$3:$J$500))</f>
        <v/>
      </c>
      <c r="BO188" s="7" t="str">
        <f aca="false">IF(BN188="","",SUMIF(ЗАКАЗЫ!$F$3:$F$500,$A188,ЗАКАЗЫ!$AL$3:$AL$500))</f>
        <v/>
      </c>
      <c r="BP188" s="7" t="str">
        <f aca="false">IF(BN188="","",BN188-BO188)</f>
        <v/>
      </c>
      <c r="BQ188" s="55" t="str">
        <f aca="false">IF(BN188="","",IF(BO188&gt;=BN188,"На складе",IF(BO188&gt;0,"Частично","Ждём")))</f>
        <v/>
      </c>
      <c r="BR188" s="43"/>
      <c r="BS188" s="47" t="str">
        <f aca="false">IF(BN188="","",IF(_xlfn.MAXIFS(ЗАКАЗЫ!$AK$3:$AK$500,ЗАКАЗЫ!$F$3:$F$500,$A188)=0,"",_xlfn.MAXIFS(ЗАКАЗЫ!$AK$3:$AK$500,ЗАКАЗЫ!$F$3:$F$500,$A188)))</f>
        <v/>
      </c>
    </row>
    <row r="189" customFormat="false" ht="15.75" hidden="false" customHeight="true" outlineLevel="0" collapsed="false">
      <c r="A189" s="80" t="s">
        <v>1390</v>
      </c>
      <c r="B189" s="81"/>
      <c r="C189" s="81"/>
      <c r="D189" s="81"/>
      <c r="E189" s="83"/>
      <c r="F189" s="81"/>
      <c r="G189" s="83"/>
      <c r="H189" s="83"/>
      <c r="I189" s="84" t="str">
        <f aca="false">IF(E189="","",A189&amp;"_1.jpg")</f>
        <v/>
      </c>
      <c r="J189" s="84" t="str">
        <f aca="false">IF(E189="","",A189&amp;"_2.jpg; "&amp;A189&amp;"_3.jpg")</f>
        <v/>
      </c>
      <c r="K189" s="84" t="str">
        <f aca="false">IF(E189="","",A189&amp;"_schema.jpg")</f>
        <v/>
      </c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 t="s">
        <v>96</v>
      </c>
      <c r="W189" s="81"/>
      <c r="X189" s="81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6" t="str">
        <f aca="false">IF(SUM(Y189:AJ189)=0,"",SUM(Y189:AJ189))</f>
        <v/>
      </c>
      <c r="AL189" s="84" t="str">
        <f aca="false">MID(IF(N(Y189)&gt;0,", "&amp;Y$2,"")&amp;IF(N(Z189)&gt;0,", "&amp;Z$2,"")&amp;IF(N(AA189)&gt;0,", "&amp;AA$2,"")&amp;IF(N(AB189)&gt;0,", "&amp;AB$2,"")&amp;IF(N(AC189)&gt;0,", "&amp;AC$2,"")&amp;IF(N(AD189)&gt;0,", "&amp;AD$2,"")&amp;IF(N(AE189)&gt;0,", "&amp;AE$2,"")&amp;IF(N(AF189)&gt;0,", "&amp;AF$2,"")&amp;IF(N(AG189)&gt;0,", "&amp;AG$2,"")&amp;IF(N(AH189)&gt;0,", "&amp;AH$2,"")&amp;IF(N(AI189)&gt;0,", "&amp;AI$2,"")&amp;IF(N(AJ189)&gt;0,", "&amp;AJ$2,""),3,999)</f>
        <v/>
      </c>
      <c r="AM189" s="87" t="str">
        <f aca="false">IF(E189="","",MID(IF(N(Y189)&gt;0,", "&amp;A189&amp;"-"&amp;Y$2,"")&amp;IF(N(Z189)&gt;0,", "&amp;A189&amp;"-"&amp;Z$2,"")&amp;IF(N(AA189)&gt;0,", "&amp;A189&amp;"-"&amp;AA$2,"")&amp;IF(N(AB189)&gt;0,", "&amp;A189&amp;"-"&amp;AB$2,"")&amp;IF(N(AC189)&gt;0,", "&amp;A189&amp;"-"&amp;AC$2,"")&amp;IF(N(AD189)&gt;0,", "&amp;A189&amp;"-"&amp;AD$2,"")&amp;IF(N(AE189)&gt;0,", "&amp;A189&amp;"-"&amp;AE$2,"")&amp;IF(N(AF189)&gt;0,", "&amp;A189&amp;"-"&amp;AF$2,"")&amp;IF(N(AG189)&gt;0,", "&amp;A189&amp;"-"&amp;AG$2,"")&amp;IF(N(AH189)&gt;0,", "&amp;A189&amp;"-"&amp;AH$2,"")&amp;IF(N(AI189)&gt;0,", "&amp;A189&amp;"-"&amp;AI$2,"")&amp;IF(N(AJ189)&gt;0,", "&amp;A189&amp;"-"&amp;AJ$2,""),3,999))</f>
        <v/>
      </c>
      <c r="AN189" s="81"/>
      <c r="AO189" s="88"/>
      <c r="AP189" s="89" t="str">
        <f aca="false">IF(AO189="","",ROUND(AO189/(1+Справочники!$B$13),2))</f>
        <v/>
      </c>
      <c r="AQ189" s="90" t="str">
        <f aca="false" t="array" ref="AQ189:AQ189">IF(AP189="","",AP189*INDEX(Справочники!$B$4:$B$7,MATCH("RUB",Справочники!$A$4:$A$7,0)))</f>
        <v/>
      </c>
      <c r="AR189" s="90" t="str">
        <f aca="false">IF(AQ189="","",ROUND(AQ189*(1+Справочники!$B$12),0))</f>
        <v/>
      </c>
      <c r="AS189" s="90" t="str">
        <f aca="false">IF(AR189="","",ROUND(AR189*(1-Справочники!$B$11),0))</f>
        <v/>
      </c>
      <c r="AT189" s="88"/>
      <c r="AU189" s="90" t="str">
        <f aca="false">IF(AT189="","",ROUND(AT189/(1+Справочники!$B$12),0))</f>
        <v/>
      </c>
      <c r="AV189" s="90" t="str">
        <f aca="false">IF(AT189="","",ROUND(AT189*(1-Справочники!$B$15),0))</f>
        <v/>
      </c>
      <c r="AW189" s="90" t="str">
        <f aca="false">IF(AT189="","",ROUND(AT189*(1-Справочники!$B$16),0))</f>
        <v/>
      </c>
      <c r="AX189" s="90" t="str">
        <f aca="false">IF(AT189="","",ROUND(AT189*(1-Справочники!$B$17),0))</f>
        <v/>
      </c>
      <c r="AY189" s="90" t="str">
        <f aca="false">IF(AT189="","",ROUND(AT189*(1-Справочники!$B$18),0))</f>
        <v/>
      </c>
      <c r="AZ189" s="90" t="str">
        <f aca="false">IF(AT189="","",ROUND(AT189*(1-Справочники!$B$19),0))</f>
        <v/>
      </c>
      <c r="BA189" s="81"/>
      <c r="BB189" s="81"/>
      <c r="BC189" s="81"/>
      <c r="BD189" s="81"/>
      <c r="BE189" s="91"/>
      <c r="BF189" s="81" t="s">
        <v>103</v>
      </c>
      <c r="BG189" s="89" t="n">
        <f aca="false" t="array" ref="BG189:BG189">IF(BF189="","",IFERROR(INDEX(Справочники!$B$4:$B$7,MATCH(BF189,Справочники!$A$4:$A$7,0)),""))</f>
        <v>68.5</v>
      </c>
      <c r="BH189" s="90" t="str">
        <f aca="false">IF(N(BN189)&gt;0,ROUND(SUMIF(ЗАКАЗЫ!$F$3:$F$500,$A189,ЗАКАЗЫ!$Y$3:$Y$500)/BN189,0),IF(OR(BE189="",BG189=""),"",ROUND(BE189*BG189*(1+Справочники!$B$10),0)))</f>
        <v/>
      </c>
      <c r="BI189" s="92" t="str">
        <f aca="false">IF(OR(AU189="",BH189="",AU189=0),"",(AU189-BH189)/AU189)</f>
        <v/>
      </c>
      <c r="BJ189" s="81"/>
      <c r="BK189" s="83"/>
      <c r="BL189" s="43" t="str">
        <f aca="false">IFERROR(INDEX(ЗАКАЗЫ!$N$3:$N$500,MATCH($A189,ЗАКАЗЫ!$F$3:$F$500,0)),"")</f>
        <v/>
      </c>
      <c r="BM189" s="8" t="str">
        <f aca="false">IF(BL189="","",IFERROR(VLOOKUP(BL189,'ТН ВЭД'!$A$4:$C$40,3,0),""))</f>
        <v/>
      </c>
      <c r="BN189" s="7" t="str">
        <f aca="false">IF(COUNTIF(ЗАКАЗЫ!$F$3:$F$500,$A189)=0,"",SUMIF(ЗАКАЗЫ!$F$3:$F$500,$A189,ЗАКАЗЫ!$J$3:$J$500))</f>
        <v/>
      </c>
      <c r="BO189" s="7" t="str">
        <f aca="false">IF(BN189="","",SUMIF(ЗАКАЗЫ!$F$3:$F$500,$A189,ЗАКАЗЫ!$AL$3:$AL$500))</f>
        <v/>
      </c>
      <c r="BP189" s="7" t="str">
        <f aca="false">IF(BN189="","",BN189-BO189)</f>
        <v/>
      </c>
      <c r="BQ189" s="55" t="str">
        <f aca="false">IF(BN189="","",IF(BO189&gt;=BN189,"На складе",IF(BO189&gt;0,"Частично","Ждём")))</f>
        <v/>
      </c>
      <c r="BR189" s="43"/>
      <c r="BS189" s="47" t="str">
        <f aca="false">IF(BN189="","",IF(_xlfn.MAXIFS(ЗАКАЗЫ!$AK$3:$AK$500,ЗАКАЗЫ!$F$3:$F$500,$A189)=0,"",_xlfn.MAXIFS(ЗАКАЗЫ!$AK$3:$AK$500,ЗАКАЗЫ!$F$3:$F$500,$A189)))</f>
        <v/>
      </c>
    </row>
    <row r="190" customFormat="false" ht="15.75" hidden="false" customHeight="true" outlineLevel="0" collapsed="false">
      <c r="A190" s="80" t="s">
        <v>1391</v>
      </c>
      <c r="B190" s="81"/>
      <c r="C190" s="81"/>
      <c r="D190" s="81"/>
      <c r="E190" s="83"/>
      <c r="F190" s="81"/>
      <c r="G190" s="83"/>
      <c r="H190" s="83"/>
      <c r="I190" s="84" t="str">
        <f aca="false">IF(E190="","",A190&amp;"_1.jpg")</f>
        <v/>
      </c>
      <c r="J190" s="84" t="str">
        <f aca="false">IF(E190="","",A190&amp;"_2.jpg; "&amp;A190&amp;"_3.jpg")</f>
        <v/>
      </c>
      <c r="K190" s="84" t="str">
        <f aca="false">IF(E190="","",A190&amp;"_schema.jpg")</f>
        <v/>
      </c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 t="s">
        <v>96</v>
      </c>
      <c r="W190" s="81"/>
      <c r="X190" s="81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6" t="str">
        <f aca="false">IF(SUM(Y190:AJ190)=0,"",SUM(Y190:AJ190))</f>
        <v/>
      </c>
      <c r="AL190" s="84" t="str">
        <f aca="false">MID(IF(N(Y190)&gt;0,", "&amp;Y$2,"")&amp;IF(N(Z190)&gt;0,", "&amp;Z$2,"")&amp;IF(N(AA190)&gt;0,", "&amp;AA$2,"")&amp;IF(N(AB190)&gt;0,", "&amp;AB$2,"")&amp;IF(N(AC190)&gt;0,", "&amp;AC$2,"")&amp;IF(N(AD190)&gt;0,", "&amp;AD$2,"")&amp;IF(N(AE190)&gt;0,", "&amp;AE$2,"")&amp;IF(N(AF190)&gt;0,", "&amp;AF$2,"")&amp;IF(N(AG190)&gt;0,", "&amp;AG$2,"")&amp;IF(N(AH190)&gt;0,", "&amp;AH$2,"")&amp;IF(N(AI190)&gt;0,", "&amp;AI$2,"")&amp;IF(N(AJ190)&gt;0,", "&amp;AJ$2,""),3,999)</f>
        <v/>
      </c>
      <c r="AM190" s="87" t="str">
        <f aca="false">IF(E190="","",MID(IF(N(Y190)&gt;0,", "&amp;A190&amp;"-"&amp;Y$2,"")&amp;IF(N(Z190)&gt;0,", "&amp;A190&amp;"-"&amp;Z$2,"")&amp;IF(N(AA190)&gt;0,", "&amp;A190&amp;"-"&amp;AA$2,"")&amp;IF(N(AB190)&gt;0,", "&amp;A190&amp;"-"&amp;AB$2,"")&amp;IF(N(AC190)&gt;0,", "&amp;A190&amp;"-"&amp;AC$2,"")&amp;IF(N(AD190)&gt;0,", "&amp;A190&amp;"-"&amp;AD$2,"")&amp;IF(N(AE190)&gt;0,", "&amp;A190&amp;"-"&amp;AE$2,"")&amp;IF(N(AF190)&gt;0,", "&amp;A190&amp;"-"&amp;AF$2,"")&amp;IF(N(AG190)&gt;0,", "&amp;A190&amp;"-"&amp;AG$2,"")&amp;IF(N(AH190)&gt;0,", "&amp;A190&amp;"-"&amp;AH$2,"")&amp;IF(N(AI190)&gt;0,", "&amp;A190&amp;"-"&amp;AI$2,"")&amp;IF(N(AJ190)&gt;0,", "&amp;A190&amp;"-"&amp;AJ$2,""),3,999))</f>
        <v/>
      </c>
      <c r="AN190" s="81"/>
      <c r="AO190" s="88"/>
      <c r="AP190" s="89" t="str">
        <f aca="false">IF(AO190="","",ROUND(AO190/(1+Справочники!$B$13),2))</f>
        <v/>
      </c>
      <c r="AQ190" s="90" t="str">
        <f aca="false" t="array" ref="AQ190:AQ190">IF(AP190="","",AP190*INDEX(Справочники!$B$4:$B$7,MATCH("RUB",Справочники!$A$4:$A$7,0)))</f>
        <v/>
      </c>
      <c r="AR190" s="90" t="str">
        <f aca="false">IF(AQ190="","",ROUND(AQ190*(1+Справочники!$B$12),0))</f>
        <v/>
      </c>
      <c r="AS190" s="90" t="str">
        <f aca="false">IF(AR190="","",ROUND(AR190*(1-Справочники!$B$11),0))</f>
        <v/>
      </c>
      <c r="AT190" s="88"/>
      <c r="AU190" s="90" t="str">
        <f aca="false">IF(AT190="","",ROUND(AT190/(1+Справочники!$B$12),0))</f>
        <v/>
      </c>
      <c r="AV190" s="90" t="str">
        <f aca="false">IF(AT190="","",ROUND(AT190*(1-Справочники!$B$15),0))</f>
        <v/>
      </c>
      <c r="AW190" s="90" t="str">
        <f aca="false">IF(AT190="","",ROUND(AT190*(1-Справочники!$B$16),0))</f>
        <v/>
      </c>
      <c r="AX190" s="90" t="str">
        <f aca="false">IF(AT190="","",ROUND(AT190*(1-Справочники!$B$17),0))</f>
        <v/>
      </c>
      <c r="AY190" s="90" t="str">
        <f aca="false">IF(AT190="","",ROUND(AT190*(1-Справочники!$B$18),0))</f>
        <v/>
      </c>
      <c r="AZ190" s="90" t="str">
        <f aca="false">IF(AT190="","",ROUND(AT190*(1-Справочники!$B$19),0))</f>
        <v/>
      </c>
      <c r="BA190" s="81"/>
      <c r="BB190" s="81"/>
      <c r="BC190" s="81"/>
      <c r="BD190" s="81"/>
      <c r="BE190" s="91"/>
      <c r="BF190" s="81" t="s">
        <v>103</v>
      </c>
      <c r="BG190" s="89" t="n">
        <f aca="false" t="array" ref="BG190:BG190">IF(BF190="","",IFERROR(INDEX(Справочники!$B$4:$B$7,MATCH(BF190,Справочники!$A$4:$A$7,0)),""))</f>
        <v>68.5</v>
      </c>
      <c r="BH190" s="90" t="str">
        <f aca="false">IF(N(BN190)&gt;0,ROUND(SUMIF(ЗАКАЗЫ!$F$3:$F$500,$A190,ЗАКАЗЫ!$Y$3:$Y$500)/BN190,0),IF(OR(BE190="",BG190=""),"",ROUND(BE190*BG190*(1+Справочники!$B$10),0)))</f>
        <v/>
      </c>
      <c r="BI190" s="92" t="str">
        <f aca="false">IF(OR(AU190="",BH190="",AU190=0),"",(AU190-BH190)/AU190)</f>
        <v/>
      </c>
      <c r="BJ190" s="81"/>
      <c r="BK190" s="83"/>
      <c r="BL190" s="43" t="str">
        <f aca="false">IFERROR(INDEX(ЗАКАЗЫ!$N$3:$N$500,MATCH($A190,ЗАКАЗЫ!$F$3:$F$500,0)),"")</f>
        <v/>
      </c>
      <c r="BM190" s="8" t="str">
        <f aca="false">IF(BL190="","",IFERROR(VLOOKUP(BL190,'ТН ВЭД'!$A$4:$C$40,3,0),""))</f>
        <v/>
      </c>
      <c r="BN190" s="7" t="str">
        <f aca="false">IF(COUNTIF(ЗАКАЗЫ!$F$3:$F$500,$A190)=0,"",SUMIF(ЗАКАЗЫ!$F$3:$F$500,$A190,ЗАКАЗЫ!$J$3:$J$500))</f>
        <v/>
      </c>
      <c r="BO190" s="7" t="str">
        <f aca="false">IF(BN190="","",SUMIF(ЗАКАЗЫ!$F$3:$F$500,$A190,ЗАКАЗЫ!$AL$3:$AL$500))</f>
        <v/>
      </c>
      <c r="BP190" s="7" t="str">
        <f aca="false">IF(BN190="","",BN190-BO190)</f>
        <v/>
      </c>
      <c r="BQ190" s="55" t="str">
        <f aca="false">IF(BN190="","",IF(BO190&gt;=BN190,"На складе",IF(BO190&gt;0,"Частично","Ждём")))</f>
        <v/>
      </c>
      <c r="BR190" s="43"/>
      <c r="BS190" s="47" t="str">
        <f aca="false">IF(BN190="","",IF(_xlfn.MAXIFS(ЗАКАЗЫ!$AK$3:$AK$500,ЗАКАЗЫ!$F$3:$F$500,$A190)=0,"",_xlfn.MAXIFS(ЗАКАЗЫ!$AK$3:$AK$500,ЗАКАЗЫ!$F$3:$F$500,$A190)))</f>
        <v/>
      </c>
    </row>
    <row r="191" customFormat="false" ht="15.75" hidden="false" customHeight="true" outlineLevel="0" collapsed="false">
      <c r="A191" s="80" t="s">
        <v>1392</v>
      </c>
      <c r="B191" s="81"/>
      <c r="C191" s="81"/>
      <c r="D191" s="81"/>
      <c r="E191" s="83"/>
      <c r="F191" s="81"/>
      <c r="G191" s="83"/>
      <c r="H191" s="83"/>
      <c r="I191" s="84" t="str">
        <f aca="false">IF(E191="","",A191&amp;"_1.jpg")</f>
        <v/>
      </c>
      <c r="J191" s="84" t="str">
        <f aca="false">IF(E191="","",A191&amp;"_2.jpg; "&amp;A191&amp;"_3.jpg")</f>
        <v/>
      </c>
      <c r="K191" s="84" t="str">
        <f aca="false">IF(E191="","",A191&amp;"_schema.jpg")</f>
        <v/>
      </c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 t="s">
        <v>96</v>
      </c>
      <c r="W191" s="81"/>
      <c r="X191" s="81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6" t="str">
        <f aca="false">IF(SUM(Y191:AJ191)=0,"",SUM(Y191:AJ191))</f>
        <v/>
      </c>
      <c r="AL191" s="84" t="str">
        <f aca="false">MID(IF(N(Y191)&gt;0,", "&amp;Y$2,"")&amp;IF(N(Z191)&gt;0,", "&amp;Z$2,"")&amp;IF(N(AA191)&gt;0,", "&amp;AA$2,"")&amp;IF(N(AB191)&gt;0,", "&amp;AB$2,"")&amp;IF(N(AC191)&gt;0,", "&amp;AC$2,"")&amp;IF(N(AD191)&gt;0,", "&amp;AD$2,"")&amp;IF(N(AE191)&gt;0,", "&amp;AE$2,"")&amp;IF(N(AF191)&gt;0,", "&amp;AF$2,"")&amp;IF(N(AG191)&gt;0,", "&amp;AG$2,"")&amp;IF(N(AH191)&gt;0,", "&amp;AH$2,"")&amp;IF(N(AI191)&gt;0,", "&amp;AI$2,"")&amp;IF(N(AJ191)&gt;0,", "&amp;AJ$2,""),3,999)</f>
        <v/>
      </c>
      <c r="AM191" s="87" t="str">
        <f aca="false">IF(E191="","",MID(IF(N(Y191)&gt;0,", "&amp;A191&amp;"-"&amp;Y$2,"")&amp;IF(N(Z191)&gt;0,", "&amp;A191&amp;"-"&amp;Z$2,"")&amp;IF(N(AA191)&gt;0,", "&amp;A191&amp;"-"&amp;AA$2,"")&amp;IF(N(AB191)&gt;0,", "&amp;A191&amp;"-"&amp;AB$2,"")&amp;IF(N(AC191)&gt;0,", "&amp;A191&amp;"-"&amp;AC$2,"")&amp;IF(N(AD191)&gt;0,", "&amp;A191&amp;"-"&amp;AD$2,"")&amp;IF(N(AE191)&gt;0,", "&amp;A191&amp;"-"&amp;AE$2,"")&amp;IF(N(AF191)&gt;0,", "&amp;A191&amp;"-"&amp;AF$2,"")&amp;IF(N(AG191)&gt;0,", "&amp;A191&amp;"-"&amp;AG$2,"")&amp;IF(N(AH191)&gt;0,", "&amp;A191&amp;"-"&amp;AH$2,"")&amp;IF(N(AI191)&gt;0,", "&amp;A191&amp;"-"&amp;AI$2,"")&amp;IF(N(AJ191)&gt;0,", "&amp;A191&amp;"-"&amp;AJ$2,""),3,999))</f>
        <v/>
      </c>
      <c r="AN191" s="81"/>
      <c r="AO191" s="88"/>
      <c r="AP191" s="89" t="str">
        <f aca="false">IF(AO191="","",ROUND(AO191/(1+Справочники!$B$13),2))</f>
        <v/>
      </c>
      <c r="AQ191" s="90" t="str">
        <f aca="false" t="array" ref="AQ191:AQ191">IF(AP191="","",AP191*INDEX(Справочники!$B$4:$B$7,MATCH("RUB",Справочники!$A$4:$A$7,0)))</f>
        <v/>
      </c>
      <c r="AR191" s="90" t="str">
        <f aca="false">IF(AQ191="","",ROUND(AQ191*(1+Справочники!$B$12),0))</f>
        <v/>
      </c>
      <c r="AS191" s="90" t="str">
        <f aca="false">IF(AR191="","",ROUND(AR191*(1-Справочники!$B$11),0))</f>
        <v/>
      </c>
      <c r="AT191" s="88"/>
      <c r="AU191" s="90" t="str">
        <f aca="false">IF(AT191="","",ROUND(AT191/(1+Справочники!$B$12),0))</f>
        <v/>
      </c>
      <c r="AV191" s="90" t="str">
        <f aca="false">IF(AT191="","",ROUND(AT191*(1-Справочники!$B$15),0))</f>
        <v/>
      </c>
      <c r="AW191" s="90" t="str">
        <f aca="false">IF(AT191="","",ROUND(AT191*(1-Справочники!$B$16),0))</f>
        <v/>
      </c>
      <c r="AX191" s="90" t="str">
        <f aca="false">IF(AT191="","",ROUND(AT191*(1-Справочники!$B$17),0))</f>
        <v/>
      </c>
      <c r="AY191" s="90" t="str">
        <f aca="false">IF(AT191="","",ROUND(AT191*(1-Справочники!$B$18),0))</f>
        <v/>
      </c>
      <c r="AZ191" s="90" t="str">
        <f aca="false">IF(AT191="","",ROUND(AT191*(1-Справочники!$B$19),0))</f>
        <v/>
      </c>
      <c r="BA191" s="81"/>
      <c r="BB191" s="81"/>
      <c r="BC191" s="81"/>
      <c r="BD191" s="81"/>
      <c r="BE191" s="91"/>
      <c r="BF191" s="81" t="s">
        <v>103</v>
      </c>
      <c r="BG191" s="89" t="n">
        <f aca="false" t="array" ref="BG191:BG191">IF(BF191="","",IFERROR(INDEX(Справочники!$B$4:$B$7,MATCH(BF191,Справочники!$A$4:$A$7,0)),""))</f>
        <v>68.5</v>
      </c>
      <c r="BH191" s="90" t="str">
        <f aca="false">IF(N(BN191)&gt;0,ROUND(SUMIF(ЗАКАЗЫ!$F$3:$F$500,$A191,ЗАКАЗЫ!$Y$3:$Y$500)/BN191,0),IF(OR(BE191="",BG191=""),"",ROUND(BE191*BG191*(1+Справочники!$B$10),0)))</f>
        <v/>
      </c>
      <c r="BI191" s="92" t="str">
        <f aca="false">IF(OR(AU191="",BH191="",AU191=0),"",(AU191-BH191)/AU191)</f>
        <v/>
      </c>
      <c r="BJ191" s="81"/>
      <c r="BK191" s="83"/>
      <c r="BL191" s="43" t="str">
        <f aca="false">IFERROR(INDEX(ЗАКАЗЫ!$N$3:$N$500,MATCH($A191,ЗАКАЗЫ!$F$3:$F$500,0)),"")</f>
        <v/>
      </c>
      <c r="BM191" s="8" t="str">
        <f aca="false">IF(BL191="","",IFERROR(VLOOKUP(BL191,'ТН ВЭД'!$A$4:$C$40,3,0),""))</f>
        <v/>
      </c>
      <c r="BN191" s="7" t="str">
        <f aca="false">IF(COUNTIF(ЗАКАЗЫ!$F$3:$F$500,$A191)=0,"",SUMIF(ЗАКАЗЫ!$F$3:$F$500,$A191,ЗАКАЗЫ!$J$3:$J$500))</f>
        <v/>
      </c>
      <c r="BO191" s="7" t="str">
        <f aca="false">IF(BN191="","",SUMIF(ЗАКАЗЫ!$F$3:$F$500,$A191,ЗАКАЗЫ!$AL$3:$AL$500))</f>
        <v/>
      </c>
      <c r="BP191" s="7" t="str">
        <f aca="false">IF(BN191="","",BN191-BO191)</f>
        <v/>
      </c>
      <c r="BQ191" s="55" t="str">
        <f aca="false">IF(BN191="","",IF(BO191&gt;=BN191,"На складе",IF(BO191&gt;0,"Частично","Ждём")))</f>
        <v/>
      </c>
      <c r="BR191" s="43"/>
      <c r="BS191" s="47" t="str">
        <f aca="false">IF(BN191="","",IF(_xlfn.MAXIFS(ЗАКАЗЫ!$AK$3:$AK$500,ЗАКАЗЫ!$F$3:$F$500,$A191)=0,"",_xlfn.MAXIFS(ЗАКАЗЫ!$AK$3:$AK$500,ЗАКАЗЫ!$F$3:$F$500,$A191)))</f>
        <v/>
      </c>
    </row>
    <row r="192" customFormat="false" ht="15.75" hidden="false" customHeight="true" outlineLevel="0" collapsed="false">
      <c r="A192" s="80" t="s">
        <v>1393</v>
      </c>
      <c r="B192" s="81"/>
      <c r="C192" s="81"/>
      <c r="D192" s="81"/>
      <c r="E192" s="83"/>
      <c r="F192" s="81"/>
      <c r="G192" s="83"/>
      <c r="H192" s="83"/>
      <c r="I192" s="84" t="str">
        <f aca="false">IF(E192="","",A192&amp;"_1.jpg")</f>
        <v/>
      </c>
      <c r="J192" s="84" t="str">
        <f aca="false">IF(E192="","",A192&amp;"_2.jpg; "&amp;A192&amp;"_3.jpg")</f>
        <v/>
      </c>
      <c r="K192" s="84" t="str">
        <f aca="false">IF(E192="","",A192&amp;"_schema.jpg")</f>
        <v/>
      </c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 t="s">
        <v>96</v>
      </c>
      <c r="W192" s="81"/>
      <c r="X192" s="81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6" t="str">
        <f aca="false">IF(SUM(Y192:AJ192)=0,"",SUM(Y192:AJ192))</f>
        <v/>
      </c>
      <c r="AL192" s="84" t="str">
        <f aca="false">MID(IF(N(Y192)&gt;0,", "&amp;Y$2,"")&amp;IF(N(Z192)&gt;0,", "&amp;Z$2,"")&amp;IF(N(AA192)&gt;0,", "&amp;AA$2,"")&amp;IF(N(AB192)&gt;0,", "&amp;AB$2,"")&amp;IF(N(AC192)&gt;0,", "&amp;AC$2,"")&amp;IF(N(AD192)&gt;0,", "&amp;AD$2,"")&amp;IF(N(AE192)&gt;0,", "&amp;AE$2,"")&amp;IF(N(AF192)&gt;0,", "&amp;AF$2,"")&amp;IF(N(AG192)&gt;0,", "&amp;AG$2,"")&amp;IF(N(AH192)&gt;0,", "&amp;AH$2,"")&amp;IF(N(AI192)&gt;0,", "&amp;AI$2,"")&amp;IF(N(AJ192)&gt;0,", "&amp;AJ$2,""),3,999)</f>
        <v/>
      </c>
      <c r="AM192" s="87" t="str">
        <f aca="false">IF(E192="","",MID(IF(N(Y192)&gt;0,", "&amp;A192&amp;"-"&amp;Y$2,"")&amp;IF(N(Z192)&gt;0,", "&amp;A192&amp;"-"&amp;Z$2,"")&amp;IF(N(AA192)&gt;0,", "&amp;A192&amp;"-"&amp;AA$2,"")&amp;IF(N(AB192)&gt;0,", "&amp;A192&amp;"-"&amp;AB$2,"")&amp;IF(N(AC192)&gt;0,", "&amp;A192&amp;"-"&amp;AC$2,"")&amp;IF(N(AD192)&gt;0,", "&amp;A192&amp;"-"&amp;AD$2,"")&amp;IF(N(AE192)&gt;0,", "&amp;A192&amp;"-"&amp;AE$2,"")&amp;IF(N(AF192)&gt;0,", "&amp;A192&amp;"-"&amp;AF$2,"")&amp;IF(N(AG192)&gt;0,", "&amp;A192&amp;"-"&amp;AG$2,"")&amp;IF(N(AH192)&gt;0,", "&amp;A192&amp;"-"&amp;AH$2,"")&amp;IF(N(AI192)&gt;0,", "&amp;A192&amp;"-"&amp;AI$2,"")&amp;IF(N(AJ192)&gt;0,", "&amp;A192&amp;"-"&amp;AJ$2,""),3,999))</f>
        <v/>
      </c>
      <c r="AN192" s="81"/>
      <c r="AO192" s="88"/>
      <c r="AP192" s="89" t="str">
        <f aca="false">IF(AO192="","",ROUND(AO192/(1+Справочники!$B$13),2))</f>
        <v/>
      </c>
      <c r="AQ192" s="90" t="str">
        <f aca="false" t="array" ref="AQ192:AQ192">IF(AP192="","",AP192*INDEX(Справочники!$B$4:$B$7,MATCH("RUB",Справочники!$A$4:$A$7,0)))</f>
        <v/>
      </c>
      <c r="AR192" s="90" t="str">
        <f aca="false">IF(AQ192="","",ROUND(AQ192*(1+Справочники!$B$12),0))</f>
        <v/>
      </c>
      <c r="AS192" s="90" t="str">
        <f aca="false">IF(AR192="","",ROUND(AR192*(1-Справочники!$B$11),0))</f>
        <v/>
      </c>
      <c r="AT192" s="88"/>
      <c r="AU192" s="90" t="str">
        <f aca="false">IF(AT192="","",ROUND(AT192/(1+Справочники!$B$12),0))</f>
        <v/>
      </c>
      <c r="AV192" s="90" t="str">
        <f aca="false">IF(AT192="","",ROUND(AT192*(1-Справочники!$B$15),0))</f>
        <v/>
      </c>
      <c r="AW192" s="90" t="str">
        <f aca="false">IF(AT192="","",ROUND(AT192*(1-Справочники!$B$16),0))</f>
        <v/>
      </c>
      <c r="AX192" s="90" t="str">
        <f aca="false">IF(AT192="","",ROUND(AT192*(1-Справочники!$B$17),0))</f>
        <v/>
      </c>
      <c r="AY192" s="90" t="str">
        <f aca="false">IF(AT192="","",ROUND(AT192*(1-Справочники!$B$18),0))</f>
        <v/>
      </c>
      <c r="AZ192" s="90" t="str">
        <f aca="false">IF(AT192="","",ROUND(AT192*(1-Справочники!$B$19),0))</f>
        <v/>
      </c>
      <c r="BA192" s="81"/>
      <c r="BB192" s="81"/>
      <c r="BC192" s="81"/>
      <c r="BD192" s="81"/>
      <c r="BE192" s="91"/>
      <c r="BF192" s="81" t="s">
        <v>103</v>
      </c>
      <c r="BG192" s="89" t="n">
        <f aca="false" t="array" ref="BG192:BG192">IF(BF192="","",IFERROR(INDEX(Справочники!$B$4:$B$7,MATCH(BF192,Справочники!$A$4:$A$7,0)),""))</f>
        <v>68.5</v>
      </c>
      <c r="BH192" s="90" t="str">
        <f aca="false">IF(N(BN192)&gt;0,ROUND(SUMIF(ЗАКАЗЫ!$F$3:$F$500,$A192,ЗАКАЗЫ!$Y$3:$Y$500)/BN192,0),IF(OR(BE192="",BG192=""),"",ROUND(BE192*BG192*(1+Справочники!$B$10),0)))</f>
        <v/>
      </c>
      <c r="BI192" s="92" t="str">
        <f aca="false">IF(OR(AU192="",BH192="",AU192=0),"",(AU192-BH192)/AU192)</f>
        <v/>
      </c>
      <c r="BJ192" s="81"/>
      <c r="BK192" s="83"/>
      <c r="BL192" s="43" t="str">
        <f aca="false">IFERROR(INDEX(ЗАКАЗЫ!$N$3:$N$500,MATCH($A192,ЗАКАЗЫ!$F$3:$F$500,0)),"")</f>
        <v/>
      </c>
      <c r="BM192" s="8" t="str">
        <f aca="false">IF(BL192="","",IFERROR(VLOOKUP(BL192,'ТН ВЭД'!$A$4:$C$40,3,0),""))</f>
        <v/>
      </c>
      <c r="BN192" s="7" t="str">
        <f aca="false">IF(COUNTIF(ЗАКАЗЫ!$F$3:$F$500,$A192)=0,"",SUMIF(ЗАКАЗЫ!$F$3:$F$500,$A192,ЗАКАЗЫ!$J$3:$J$500))</f>
        <v/>
      </c>
      <c r="BO192" s="7" t="str">
        <f aca="false">IF(BN192="","",SUMIF(ЗАКАЗЫ!$F$3:$F$500,$A192,ЗАКАЗЫ!$AL$3:$AL$500))</f>
        <v/>
      </c>
      <c r="BP192" s="7" t="str">
        <f aca="false">IF(BN192="","",BN192-BO192)</f>
        <v/>
      </c>
      <c r="BQ192" s="55" t="str">
        <f aca="false">IF(BN192="","",IF(BO192&gt;=BN192,"На складе",IF(BO192&gt;0,"Частично","Ждём")))</f>
        <v/>
      </c>
      <c r="BR192" s="43"/>
      <c r="BS192" s="47" t="str">
        <f aca="false">IF(BN192="","",IF(_xlfn.MAXIFS(ЗАКАЗЫ!$AK$3:$AK$500,ЗАКАЗЫ!$F$3:$F$500,$A192)=0,"",_xlfn.MAXIFS(ЗАКАЗЫ!$AK$3:$AK$500,ЗАКАЗЫ!$F$3:$F$500,$A192)))</f>
        <v/>
      </c>
    </row>
    <row r="193" customFormat="false" ht="15.75" hidden="false" customHeight="true" outlineLevel="0" collapsed="false">
      <c r="A193" s="80" t="s">
        <v>1394</v>
      </c>
      <c r="B193" s="81"/>
      <c r="C193" s="81"/>
      <c r="D193" s="81"/>
      <c r="E193" s="83"/>
      <c r="F193" s="81"/>
      <c r="G193" s="83"/>
      <c r="H193" s="83"/>
      <c r="I193" s="84" t="str">
        <f aca="false">IF(E193="","",A193&amp;"_1.jpg")</f>
        <v/>
      </c>
      <c r="J193" s="84" t="str">
        <f aca="false">IF(E193="","",A193&amp;"_2.jpg; "&amp;A193&amp;"_3.jpg")</f>
        <v/>
      </c>
      <c r="K193" s="84" t="str">
        <f aca="false">IF(E193="","",A193&amp;"_schema.jpg")</f>
        <v/>
      </c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 t="s">
        <v>96</v>
      </c>
      <c r="W193" s="81"/>
      <c r="X193" s="81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6" t="str">
        <f aca="false">IF(SUM(Y193:AJ193)=0,"",SUM(Y193:AJ193))</f>
        <v/>
      </c>
      <c r="AL193" s="84" t="str">
        <f aca="false">MID(IF(N(Y193)&gt;0,", "&amp;Y$2,"")&amp;IF(N(Z193)&gt;0,", "&amp;Z$2,"")&amp;IF(N(AA193)&gt;0,", "&amp;AA$2,"")&amp;IF(N(AB193)&gt;0,", "&amp;AB$2,"")&amp;IF(N(AC193)&gt;0,", "&amp;AC$2,"")&amp;IF(N(AD193)&gt;0,", "&amp;AD$2,"")&amp;IF(N(AE193)&gt;0,", "&amp;AE$2,"")&amp;IF(N(AF193)&gt;0,", "&amp;AF$2,"")&amp;IF(N(AG193)&gt;0,", "&amp;AG$2,"")&amp;IF(N(AH193)&gt;0,", "&amp;AH$2,"")&amp;IF(N(AI193)&gt;0,", "&amp;AI$2,"")&amp;IF(N(AJ193)&gt;0,", "&amp;AJ$2,""),3,999)</f>
        <v/>
      </c>
      <c r="AM193" s="87" t="str">
        <f aca="false">IF(E193="","",MID(IF(N(Y193)&gt;0,", "&amp;A193&amp;"-"&amp;Y$2,"")&amp;IF(N(Z193)&gt;0,", "&amp;A193&amp;"-"&amp;Z$2,"")&amp;IF(N(AA193)&gt;0,", "&amp;A193&amp;"-"&amp;AA$2,"")&amp;IF(N(AB193)&gt;0,", "&amp;A193&amp;"-"&amp;AB$2,"")&amp;IF(N(AC193)&gt;0,", "&amp;A193&amp;"-"&amp;AC$2,"")&amp;IF(N(AD193)&gt;0,", "&amp;A193&amp;"-"&amp;AD$2,"")&amp;IF(N(AE193)&gt;0,", "&amp;A193&amp;"-"&amp;AE$2,"")&amp;IF(N(AF193)&gt;0,", "&amp;A193&amp;"-"&amp;AF$2,"")&amp;IF(N(AG193)&gt;0,", "&amp;A193&amp;"-"&amp;AG$2,"")&amp;IF(N(AH193)&gt;0,", "&amp;A193&amp;"-"&amp;AH$2,"")&amp;IF(N(AI193)&gt;0,", "&amp;A193&amp;"-"&amp;AI$2,"")&amp;IF(N(AJ193)&gt;0,", "&amp;A193&amp;"-"&amp;AJ$2,""),3,999))</f>
        <v/>
      </c>
      <c r="AN193" s="81"/>
      <c r="AO193" s="88"/>
      <c r="AP193" s="89" t="str">
        <f aca="false">IF(AO193="","",ROUND(AO193/(1+Справочники!$B$13),2))</f>
        <v/>
      </c>
      <c r="AQ193" s="90" t="str">
        <f aca="false" t="array" ref="AQ193:AQ193">IF(AP193="","",AP193*INDEX(Справочники!$B$4:$B$7,MATCH("RUB",Справочники!$A$4:$A$7,0)))</f>
        <v/>
      </c>
      <c r="AR193" s="90" t="str">
        <f aca="false">IF(AQ193="","",ROUND(AQ193*(1+Справочники!$B$12),0))</f>
        <v/>
      </c>
      <c r="AS193" s="90" t="str">
        <f aca="false">IF(AR193="","",ROUND(AR193*(1-Справочники!$B$11),0))</f>
        <v/>
      </c>
      <c r="AT193" s="88"/>
      <c r="AU193" s="90" t="str">
        <f aca="false">IF(AT193="","",ROUND(AT193/(1+Справочники!$B$12),0))</f>
        <v/>
      </c>
      <c r="AV193" s="90" t="str">
        <f aca="false">IF(AT193="","",ROUND(AT193*(1-Справочники!$B$15),0))</f>
        <v/>
      </c>
      <c r="AW193" s="90" t="str">
        <f aca="false">IF(AT193="","",ROUND(AT193*(1-Справочники!$B$16),0))</f>
        <v/>
      </c>
      <c r="AX193" s="90" t="str">
        <f aca="false">IF(AT193="","",ROUND(AT193*(1-Справочники!$B$17),0))</f>
        <v/>
      </c>
      <c r="AY193" s="90" t="str">
        <f aca="false">IF(AT193="","",ROUND(AT193*(1-Справочники!$B$18),0))</f>
        <v/>
      </c>
      <c r="AZ193" s="90" t="str">
        <f aca="false">IF(AT193="","",ROUND(AT193*(1-Справочники!$B$19),0))</f>
        <v/>
      </c>
      <c r="BA193" s="81"/>
      <c r="BB193" s="81"/>
      <c r="BC193" s="81"/>
      <c r="BD193" s="81"/>
      <c r="BE193" s="91"/>
      <c r="BF193" s="81" t="s">
        <v>103</v>
      </c>
      <c r="BG193" s="89" t="n">
        <f aca="false" t="array" ref="BG193:BG193">IF(BF193="","",IFERROR(INDEX(Справочники!$B$4:$B$7,MATCH(BF193,Справочники!$A$4:$A$7,0)),""))</f>
        <v>68.5</v>
      </c>
      <c r="BH193" s="90" t="str">
        <f aca="false">IF(N(BN193)&gt;0,ROUND(SUMIF(ЗАКАЗЫ!$F$3:$F$500,$A193,ЗАКАЗЫ!$Y$3:$Y$500)/BN193,0),IF(OR(BE193="",BG193=""),"",ROUND(BE193*BG193*(1+Справочники!$B$10),0)))</f>
        <v/>
      </c>
      <c r="BI193" s="92" t="str">
        <f aca="false">IF(OR(AU193="",BH193="",AU193=0),"",(AU193-BH193)/AU193)</f>
        <v/>
      </c>
      <c r="BJ193" s="81"/>
      <c r="BK193" s="83"/>
      <c r="BL193" s="43" t="str">
        <f aca="false">IFERROR(INDEX(ЗАКАЗЫ!$N$3:$N$500,MATCH($A193,ЗАКАЗЫ!$F$3:$F$500,0)),"")</f>
        <v/>
      </c>
      <c r="BM193" s="8" t="str">
        <f aca="false">IF(BL193="","",IFERROR(VLOOKUP(BL193,'ТН ВЭД'!$A$4:$C$40,3,0),""))</f>
        <v/>
      </c>
      <c r="BN193" s="7" t="str">
        <f aca="false">IF(COUNTIF(ЗАКАЗЫ!$F$3:$F$500,$A193)=0,"",SUMIF(ЗАКАЗЫ!$F$3:$F$500,$A193,ЗАКАЗЫ!$J$3:$J$500))</f>
        <v/>
      </c>
      <c r="BO193" s="7" t="str">
        <f aca="false">IF(BN193="","",SUMIF(ЗАКАЗЫ!$F$3:$F$500,$A193,ЗАКАЗЫ!$AL$3:$AL$500))</f>
        <v/>
      </c>
      <c r="BP193" s="7" t="str">
        <f aca="false">IF(BN193="","",BN193-BO193)</f>
        <v/>
      </c>
      <c r="BQ193" s="55" t="str">
        <f aca="false">IF(BN193="","",IF(BO193&gt;=BN193,"На складе",IF(BO193&gt;0,"Частично","Ждём")))</f>
        <v/>
      </c>
      <c r="BR193" s="43"/>
      <c r="BS193" s="47" t="str">
        <f aca="false">IF(BN193="","",IF(_xlfn.MAXIFS(ЗАКАЗЫ!$AK$3:$AK$500,ЗАКАЗЫ!$F$3:$F$500,$A193)=0,"",_xlfn.MAXIFS(ЗАКАЗЫ!$AK$3:$AK$500,ЗАКАЗЫ!$F$3:$F$500,$A193)))</f>
        <v/>
      </c>
    </row>
    <row r="194" customFormat="false" ht="15.75" hidden="false" customHeight="true" outlineLevel="0" collapsed="false">
      <c r="A194" s="80" t="s">
        <v>1395</v>
      </c>
      <c r="B194" s="81"/>
      <c r="C194" s="81"/>
      <c r="D194" s="81"/>
      <c r="E194" s="83"/>
      <c r="F194" s="81"/>
      <c r="G194" s="83"/>
      <c r="H194" s="83"/>
      <c r="I194" s="84" t="str">
        <f aca="false">IF(E194="","",A194&amp;"_1.jpg")</f>
        <v/>
      </c>
      <c r="J194" s="84" t="str">
        <f aca="false">IF(E194="","",A194&amp;"_2.jpg; "&amp;A194&amp;"_3.jpg")</f>
        <v/>
      </c>
      <c r="K194" s="84" t="str">
        <f aca="false">IF(E194="","",A194&amp;"_schema.jpg")</f>
        <v/>
      </c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 t="s">
        <v>96</v>
      </c>
      <c r="W194" s="81"/>
      <c r="X194" s="81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6" t="str">
        <f aca="false">IF(SUM(Y194:AJ194)=0,"",SUM(Y194:AJ194))</f>
        <v/>
      </c>
      <c r="AL194" s="84" t="str">
        <f aca="false">MID(IF(N(Y194)&gt;0,", "&amp;Y$2,"")&amp;IF(N(Z194)&gt;0,", "&amp;Z$2,"")&amp;IF(N(AA194)&gt;0,", "&amp;AA$2,"")&amp;IF(N(AB194)&gt;0,", "&amp;AB$2,"")&amp;IF(N(AC194)&gt;0,", "&amp;AC$2,"")&amp;IF(N(AD194)&gt;0,", "&amp;AD$2,"")&amp;IF(N(AE194)&gt;0,", "&amp;AE$2,"")&amp;IF(N(AF194)&gt;0,", "&amp;AF$2,"")&amp;IF(N(AG194)&gt;0,", "&amp;AG$2,"")&amp;IF(N(AH194)&gt;0,", "&amp;AH$2,"")&amp;IF(N(AI194)&gt;0,", "&amp;AI$2,"")&amp;IF(N(AJ194)&gt;0,", "&amp;AJ$2,""),3,999)</f>
        <v/>
      </c>
      <c r="AM194" s="87" t="str">
        <f aca="false">IF(E194="","",MID(IF(N(Y194)&gt;0,", "&amp;A194&amp;"-"&amp;Y$2,"")&amp;IF(N(Z194)&gt;0,", "&amp;A194&amp;"-"&amp;Z$2,"")&amp;IF(N(AA194)&gt;0,", "&amp;A194&amp;"-"&amp;AA$2,"")&amp;IF(N(AB194)&gt;0,", "&amp;A194&amp;"-"&amp;AB$2,"")&amp;IF(N(AC194)&gt;0,", "&amp;A194&amp;"-"&amp;AC$2,"")&amp;IF(N(AD194)&gt;0,", "&amp;A194&amp;"-"&amp;AD$2,"")&amp;IF(N(AE194)&gt;0,", "&amp;A194&amp;"-"&amp;AE$2,"")&amp;IF(N(AF194)&gt;0,", "&amp;A194&amp;"-"&amp;AF$2,"")&amp;IF(N(AG194)&gt;0,", "&amp;A194&amp;"-"&amp;AG$2,"")&amp;IF(N(AH194)&gt;0,", "&amp;A194&amp;"-"&amp;AH$2,"")&amp;IF(N(AI194)&gt;0,", "&amp;A194&amp;"-"&amp;AI$2,"")&amp;IF(N(AJ194)&gt;0,", "&amp;A194&amp;"-"&amp;AJ$2,""),3,999))</f>
        <v/>
      </c>
      <c r="AN194" s="81"/>
      <c r="AO194" s="88"/>
      <c r="AP194" s="89" t="str">
        <f aca="false">IF(AO194="","",ROUND(AO194/(1+Справочники!$B$13),2))</f>
        <v/>
      </c>
      <c r="AQ194" s="90" t="str">
        <f aca="false" t="array" ref="AQ194:AQ194">IF(AP194="","",AP194*INDEX(Справочники!$B$4:$B$7,MATCH("RUB",Справочники!$A$4:$A$7,0)))</f>
        <v/>
      </c>
      <c r="AR194" s="90" t="str">
        <f aca="false">IF(AQ194="","",ROUND(AQ194*(1+Справочники!$B$12),0))</f>
        <v/>
      </c>
      <c r="AS194" s="90" t="str">
        <f aca="false">IF(AR194="","",ROUND(AR194*(1-Справочники!$B$11),0))</f>
        <v/>
      </c>
      <c r="AT194" s="88"/>
      <c r="AU194" s="90" t="str">
        <f aca="false">IF(AT194="","",ROUND(AT194/(1+Справочники!$B$12),0))</f>
        <v/>
      </c>
      <c r="AV194" s="90" t="str">
        <f aca="false">IF(AT194="","",ROUND(AT194*(1-Справочники!$B$15),0))</f>
        <v/>
      </c>
      <c r="AW194" s="90" t="str">
        <f aca="false">IF(AT194="","",ROUND(AT194*(1-Справочники!$B$16),0))</f>
        <v/>
      </c>
      <c r="AX194" s="90" t="str">
        <f aca="false">IF(AT194="","",ROUND(AT194*(1-Справочники!$B$17),0))</f>
        <v/>
      </c>
      <c r="AY194" s="90" t="str">
        <f aca="false">IF(AT194="","",ROUND(AT194*(1-Справочники!$B$18),0))</f>
        <v/>
      </c>
      <c r="AZ194" s="90" t="str">
        <f aca="false">IF(AT194="","",ROUND(AT194*(1-Справочники!$B$19),0))</f>
        <v/>
      </c>
      <c r="BA194" s="81"/>
      <c r="BB194" s="81"/>
      <c r="BC194" s="81"/>
      <c r="BD194" s="81"/>
      <c r="BE194" s="91"/>
      <c r="BF194" s="81" t="s">
        <v>103</v>
      </c>
      <c r="BG194" s="89" t="n">
        <f aca="false" t="array" ref="BG194:BG194">IF(BF194="","",IFERROR(INDEX(Справочники!$B$4:$B$7,MATCH(BF194,Справочники!$A$4:$A$7,0)),""))</f>
        <v>68.5</v>
      </c>
      <c r="BH194" s="90" t="str">
        <f aca="false">IF(N(BN194)&gt;0,ROUND(SUMIF(ЗАКАЗЫ!$F$3:$F$500,$A194,ЗАКАЗЫ!$Y$3:$Y$500)/BN194,0),IF(OR(BE194="",BG194=""),"",ROUND(BE194*BG194*(1+Справочники!$B$10),0)))</f>
        <v/>
      </c>
      <c r="BI194" s="92" t="str">
        <f aca="false">IF(OR(AU194="",BH194="",AU194=0),"",(AU194-BH194)/AU194)</f>
        <v/>
      </c>
      <c r="BJ194" s="81"/>
      <c r="BK194" s="83"/>
      <c r="BL194" s="43" t="str">
        <f aca="false">IFERROR(INDEX(ЗАКАЗЫ!$N$3:$N$500,MATCH($A194,ЗАКАЗЫ!$F$3:$F$500,0)),"")</f>
        <v/>
      </c>
      <c r="BM194" s="8" t="str">
        <f aca="false">IF(BL194="","",IFERROR(VLOOKUP(BL194,'ТН ВЭД'!$A$4:$C$40,3,0),""))</f>
        <v/>
      </c>
      <c r="BN194" s="7" t="str">
        <f aca="false">IF(COUNTIF(ЗАКАЗЫ!$F$3:$F$500,$A194)=0,"",SUMIF(ЗАКАЗЫ!$F$3:$F$500,$A194,ЗАКАЗЫ!$J$3:$J$500))</f>
        <v/>
      </c>
      <c r="BO194" s="7" t="str">
        <f aca="false">IF(BN194="","",SUMIF(ЗАКАЗЫ!$F$3:$F$500,$A194,ЗАКАЗЫ!$AL$3:$AL$500))</f>
        <v/>
      </c>
      <c r="BP194" s="7" t="str">
        <f aca="false">IF(BN194="","",BN194-BO194)</f>
        <v/>
      </c>
      <c r="BQ194" s="55" t="str">
        <f aca="false">IF(BN194="","",IF(BO194&gt;=BN194,"На складе",IF(BO194&gt;0,"Частично","Ждём")))</f>
        <v/>
      </c>
      <c r="BR194" s="43"/>
      <c r="BS194" s="47" t="str">
        <f aca="false">IF(BN194="","",IF(_xlfn.MAXIFS(ЗАКАЗЫ!$AK$3:$AK$500,ЗАКАЗЫ!$F$3:$F$500,$A194)=0,"",_xlfn.MAXIFS(ЗАКАЗЫ!$AK$3:$AK$500,ЗАКАЗЫ!$F$3:$F$500,$A194)))</f>
        <v/>
      </c>
    </row>
    <row r="195" customFormat="false" ht="15.75" hidden="false" customHeight="true" outlineLevel="0" collapsed="false">
      <c r="A195" s="80" t="s">
        <v>1396</v>
      </c>
      <c r="B195" s="81"/>
      <c r="C195" s="81"/>
      <c r="D195" s="81"/>
      <c r="E195" s="83"/>
      <c r="F195" s="81"/>
      <c r="G195" s="83"/>
      <c r="H195" s="83"/>
      <c r="I195" s="84" t="str">
        <f aca="false">IF(E195="","",A195&amp;"_1.jpg")</f>
        <v/>
      </c>
      <c r="J195" s="84" t="str">
        <f aca="false">IF(E195="","",A195&amp;"_2.jpg; "&amp;A195&amp;"_3.jpg")</f>
        <v/>
      </c>
      <c r="K195" s="84" t="str">
        <f aca="false">IF(E195="","",A195&amp;"_schema.jpg")</f>
        <v/>
      </c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 t="s">
        <v>96</v>
      </c>
      <c r="W195" s="81"/>
      <c r="X195" s="81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6" t="str">
        <f aca="false">IF(SUM(Y195:AJ195)=0,"",SUM(Y195:AJ195))</f>
        <v/>
      </c>
      <c r="AL195" s="84" t="str">
        <f aca="false">MID(IF(N(Y195)&gt;0,", "&amp;Y$2,"")&amp;IF(N(Z195)&gt;0,", "&amp;Z$2,"")&amp;IF(N(AA195)&gt;0,", "&amp;AA$2,"")&amp;IF(N(AB195)&gt;0,", "&amp;AB$2,"")&amp;IF(N(AC195)&gt;0,", "&amp;AC$2,"")&amp;IF(N(AD195)&gt;0,", "&amp;AD$2,"")&amp;IF(N(AE195)&gt;0,", "&amp;AE$2,"")&amp;IF(N(AF195)&gt;0,", "&amp;AF$2,"")&amp;IF(N(AG195)&gt;0,", "&amp;AG$2,"")&amp;IF(N(AH195)&gt;0,", "&amp;AH$2,"")&amp;IF(N(AI195)&gt;0,", "&amp;AI$2,"")&amp;IF(N(AJ195)&gt;0,", "&amp;AJ$2,""),3,999)</f>
        <v/>
      </c>
      <c r="AM195" s="87" t="str">
        <f aca="false">IF(E195="","",MID(IF(N(Y195)&gt;0,", "&amp;A195&amp;"-"&amp;Y$2,"")&amp;IF(N(Z195)&gt;0,", "&amp;A195&amp;"-"&amp;Z$2,"")&amp;IF(N(AA195)&gt;0,", "&amp;A195&amp;"-"&amp;AA$2,"")&amp;IF(N(AB195)&gt;0,", "&amp;A195&amp;"-"&amp;AB$2,"")&amp;IF(N(AC195)&gt;0,", "&amp;A195&amp;"-"&amp;AC$2,"")&amp;IF(N(AD195)&gt;0,", "&amp;A195&amp;"-"&amp;AD$2,"")&amp;IF(N(AE195)&gt;0,", "&amp;A195&amp;"-"&amp;AE$2,"")&amp;IF(N(AF195)&gt;0,", "&amp;A195&amp;"-"&amp;AF$2,"")&amp;IF(N(AG195)&gt;0,", "&amp;A195&amp;"-"&amp;AG$2,"")&amp;IF(N(AH195)&gt;0,", "&amp;A195&amp;"-"&amp;AH$2,"")&amp;IF(N(AI195)&gt;0,", "&amp;A195&amp;"-"&amp;AI$2,"")&amp;IF(N(AJ195)&gt;0,", "&amp;A195&amp;"-"&amp;AJ$2,""),3,999))</f>
        <v/>
      </c>
      <c r="AN195" s="81"/>
      <c r="AO195" s="88"/>
      <c r="AP195" s="89" t="str">
        <f aca="false">IF(AO195="","",ROUND(AO195/(1+Справочники!$B$13),2))</f>
        <v/>
      </c>
      <c r="AQ195" s="90" t="str">
        <f aca="false" t="array" ref="AQ195:AQ195">IF(AP195="","",AP195*INDEX(Справочники!$B$4:$B$7,MATCH("RUB",Справочники!$A$4:$A$7,0)))</f>
        <v/>
      </c>
      <c r="AR195" s="90" t="str">
        <f aca="false">IF(AQ195="","",ROUND(AQ195*(1+Справочники!$B$12),0))</f>
        <v/>
      </c>
      <c r="AS195" s="90" t="str">
        <f aca="false">IF(AR195="","",ROUND(AR195*(1-Справочники!$B$11),0))</f>
        <v/>
      </c>
      <c r="AT195" s="88"/>
      <c r="AU195" s="90" t="str">
        <f aca="false">IF(AT195="","",ROUND(AT195/(1+Справочники!$B$12),0))</f>
        <v/>
      </c>
      <c r="AV195" s="90" t="str">
        <f aca="false">IF(AT195="","",ROUND(AT195*(1-Справочники!$B$15),0))</f>
        <v/>
      </c>
      <c r="AW195" s="90" t="str">
        <f aca="false">IF(AT195="","",ROUND(AT195*(1-Справочники!$B$16),0))</f>
        <v/>
      </c>
      <c r="AX195" s="90" t="str">
        <f aca="false">IF(AT195="","",ROUND(AT195*(1-Справочники!$B$17),0))</f>
        <v/>
      </c>
      <c r="AY195" s="90" t="str">
        <f aca="false">IF(AT195="","",ROUND(AT195*(1-Справочники!$B$18),0))</f>
        <v/>
      </c>
      <c r="AZ195" s="90" t="str">
        <f aca="false">IF(AT195="","",ROUND(AT195*(1-Справочники!$B$19),0))</f>
        <v/>
      </c>
      <c r="BA195" s="81"/>
      <c r="BB195" s="81"/>
      <c r="BC195" s="81"/>
      <c r="BD195" s="81"/>
      <c r="BE195" s="91"/>
      <c r="BF195" s="81" t="s">
        <v>103</v>
      </c>
      <c r="BG195" s="89" t="n">
        <f aca="false" t="array" ref="BG195:BG195">IF(BF195="","",IFERROR(INDEX(Справочники!$B$4:$B$7,MATCH(BF195,Справочники!$A$4:$A$7,0)),""))</f>
        <v>68.5</v>
      </c>
      <c r="BH195" s="90" t="str">
        <f aca="false">IF(N(BN195)&gt;0,ROUND(SUMIF(ЗАКАЗЫ!$F$3:$F$500,$A195,ЗАКАЗЫ!$Y$3:$Y$500)/BN195,0),IF(OR(BE195="",BG195=""),"",ROUND(BE195*BG195*(1+Справочники!$B$10),0)))</f>
        <v/>
      </c>
      <c r="BI195" s="92" t="str">
        <f aca="false">IF(OR(AU195="",BH195="",AU195=0),"",(AU195-BH195)/AU195)</f>
        <v/>
      </c>
      <c r="BJ195" s="81"/>
      <c r="BK195" s="83"/>
      <c r="BL195" s="43" t="str">
        <f aca="false">IFERROR(INDEX(ЗАКАЗЫ!$N$3:$N$500,MATCH($A195,ЗАКАЗЫ!$F$3:$F$500,0)),"")</f>
        <v/>
      </c>
      <c r="BM195" s="8" t="str">
        <f aca="false">IF(BL195="","",IFERROR(VLOOKUP(BL195,'ТН ВЭД'!$A$4:$C$40,3,0),""))</f>
        <v/>
      </c>
      <c r="BN195" s="7" t="str">
        <f aca="false">IF(COUNTIF(ЗАКАЗЫ!$F$3:$F$500,$A195)=0,"",SUMIF(ЗАКАЗЫ!$F$3:$F$500,$A195,ЗАКАЗЫ!$J$3:$J$500))</f>
        <v/>
      </c>
      <c r="BO195" s="7" t="str">
        <f aca="false">IF(BN195="","",SUMIF(ЗАКАЗЫ!$F$3:$F$500,$A195,ЗАКАЗЫ!$AL$3:$AL$500))</f>
        <v/>
      </c>
      <c r="BP195" s="7" t="str">
        <f aca="false">IF(BN195="","",BN195-BO195)</f>
        <v/>
      </c>
      <c r="BQ195" s="55" t="str">
        <f aca="false">IF(BN195="","",IF(BO195&gt;=BN195,"На складе",IF(BO195&gt;0,"Частично","Ждём")))</f>
        <v/>
      </c>
      <c r="BR195" s="43"/>
      <c r="BS195" s="47" t="str">
        <f aca="false">IF(BN195="","",IF(_xlfn.MAXIFS(ЗАКАЗЫ!$AK$3:$AK$500,ЗАКАЗЫ!$F$3:$F$500,$A195)=0,"",_xlfn.MAXIFS(ЗАКАЗЫ!$AK$3:$AK$500,ЗАКАЗЫ!$F$3:$F$500,$A195)))</f>
        <v/>
      </c>
    </row>
    <row r="196" customFormat="false" ht="15.75" hidden="false" customHeight="true" outlineLevel="0" collapsed="false">
      <c r="A196" s="80" t="s">
        <v>1397</v>
      </c>
      <c r="B196" s="81"/>
      <c r="C196" s="81"/>
      <c r="D196" s="81"/>
      <c r="E196" s="83"/>
      <c r="F196" s="81"/>
      <c r="G196" s="83"/>
      <c r="H196" s="83"/>
      <c r="I196" s="84" t="str">
        <f aca="false">IF(E196="","",A196&amp;"_1.jpg")</f>
        <v/>
      </c>
      <c r="J196" s="84" t="str">
        <f aca="false">IF(E196="","",A196&amp;"_2.jpg; "&amp;A196&amp;"_3.jpg")</f>
        <v/>
      </c>
      <c r="K196" s="84" t="str">
        <f aca="false">IF(E196="","",A196&amp;"_schema.jpg")</f>
        <v/>
      </c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 t="s">
        <v>96</v>
      </c>
      <c r="W196" s="81"/>
      <c r="X196" s="81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6" t="str">
        <f aca="false">IF(SUM(Y196:AJ196)=0,"",SUM(Y196:AJ196))</f>
        <v/>
      </c>
      <c r="AL196" s="84" t="str">
        <f aca="false">MID(IF(N(Y196)&gt;0,", "&amp;Y$2,"")&amp;IF(N(Z196)&gt;0,", "&amp;Z$2,"")&amp;IF(N(AA196)&gt;0,", "&amp;AA$2,"")&amp;IF(N(AB196)&gt;0,", "&amp;AB$2,"")&amp;IF(N(AC196)&gt;0,", "&amp;AC$2,"")&amp;IF(N(AD196)&gt;0,", "&amp;AD$2,"")&amp;IF(N(AE196)&gt;0,", "&amp;AE$2,"")&amp;IF(N(AF196)&gt;0,", "&amp;AF$2,"")&amp;IF(N(AG196)&gt;0,", "&amp;AG$2,"")&amp;IF(N(AH196)&gt;0,", "&amp;AH$2,"")&amp;IF(N(AI196)&gt;0,", "&amp;AI$2,"")&amp;IF(N(AJ196)&gt;0,", "&amp;AJ$2,""),3,999)</f>
        <v/>
      </c>
      <c r="AM196" s="87" t="str">
        <f aca="false">IF(E196="","",MID(IF(N(Y196)&gt;0,", "&amp;A196&amp;"-"&amp;Y$2,"")&amp;IF(N(Z196)&gt;0,", "&amp;A196&amp;"-"&amp;Z$2,"")&amp;IF(N(AA196)&gt;0,", "&amp;A196&amp;"-"&amp;AA$2,"")&amp;IF(N(AB196)&gt;0,", "&amp;A196&amp;"-"&amp;AB$2,"")&amp;IF(N(AC196)&gt;0,", "&amp;A196&amp;"-"&amp;AC$2,"")&amp;IF(N(AD196)&gt;0,", "&amp;A196&amp;"-"&amp;AD$2,"")&amp;IF(N(AE196)&gt;0,", "&amp;A196&amp;"-"&amp;AE$2,"")&amp;IF(N(AF196)&gt;0,", "&amp;A196&amp;"-"&amp;AF$2,"")&amp;IF(N(AG196)&gt;0,", "&amp;A196&amp;"-"&amp;AG$2,"")&amp;IF(N(AH196)&gt;0,", "&amp;A196&amp;"-"&amp;AH$2,"")&amp;IF(N(AI196)&gt;0,", "&amp;A196&amp;"-"&amp;AI$2,"")&amp;IF(N(AJ196)&gt;0,", "&amp;A196&amp;"-"&amp;AJ$2,""),3,999))</f>
        <v/>
      </c>
      <c r="AN196" s="81"/>
      <c r="AO196" s="88"/>
      <c r="AP196" s="89" t="str">
        <f aca="false">IF(AO196="","",ROUND(AO196/(1+Справочники!$B$13),2))</f>
        <v/>
      </c>
      <c r="AQ196" s="90" t="str">
        <f aca="false" t="array" ref="AQ196:AQ196">IF(AP196="","",AP196*INDEX(Справочники!$B$4:$B$7,MATCH("RUB",Справочники!$A$4:$A$7,0)))</f>
        <v/>
      </c>
      <c r="AR196" s="90" t="str">
        <f aca="false">IF(AQ196="","",ROUND(AQ196*(1+Справочники!$B$12),0))</f>
        <v/>
      </c>
      <c r="AS196" s="90" t="str">
        <f aca="false">IF(AR196="","",ROUND(AR196*(1-Справочники!$B$11),0))</f>
        <v/>
      </c>
      <c r="AT196" s="88"/>
      <c r="AU196" s="90" t="str">
        <f aca="false">IF(AT196="","",ROUND(AT196/(1+Справочники!$B$12),0))</f>
        <v/>
      </c>
      <c r="AV196" s="90" t="str">
        <f aca="false">IF(AT196="","",ROUND(AT196*(1-Справочники!$B$15),0))</f>
        <v/>
      </c>
      <c r="AW196" s="90" t="str">
        <f aca="false">IF(AT196="","",ROUND(AT196*(1-Справочники!$B$16),0))</f>
        <v/>
      </c>
      <c r="AX196" s="90" t="str">
        <f aca="false">IF(AT196="","",ROUND(AT196*(1-Справочники!$B$17),0))</f>
        <v/>
      </c>
      <c r="AY196" s="90" t="str">
        <f aca="false">IF(AT196="","",ROUND(AT196*(1-Справочники!$B$18),0))</f>
        <v/>
      </c>
      <c r="AZ196" s="90" t="str">
        <f aca="false">IF(AT196="","",ROUND(AT196*(1-Справочники!$B$19),0))</f>
        <v/>
      </c>
      <c r="BA196" s="81"/>
      <c r="BB196" s="81"/>
      <c r="BC196" s="81"/>
      <c r="BD196" s="81"/>
      <c r="BE196" s="91"/>
      <c r="BF196" s="81" t="s">
        <v>103</v>
      </c>
      <c r="BG196" s="89" t="n">
        <f aca="false" t="array" ref="BG196:BG196">IF(BF196="","",IFERROR(INDEX(Справочники!$B$4:$B$7,MATCH(BF196,Справочники!$A$4:$A$7,0)),""))</f>
        <v>68.5</v>
      </c>
      <c r="BH196" s="90" t="str">
        <f aca="false">IF(N(BN196)&gt;0,ROUND(SUMIF(ЗАКАЗЫ!$F$3:$F$500,$A196,ЗАКАЗЫ!$Y$3:$Y$500)/BN196,0),IF(OR(BE196="",BG196=""),"",ROUND(BE196*BG196*(1+Справочники!$B$10),0)))</f>
        <v/>
      </c>
      <c r="BI196" s="92" t="str">
        <f aca="false">IF(OR(AU196="",BH196="",AU196=0),"",(AU196-BH196)/AU196)</f>
        <v/>
      </c>
      <c r="BJ196" s="81"/>
      <c r="BK196" s="83"/>
      <c r="BL196" s="43" t="str">
        <f aca="false">IFERROR(INDEX(ЗАКАЗЫ!$N$3:$N$500,MATCH($A196,ЗАКАЗЫ!$F$3:$F$500,0)),"")</f>
        <v/>
      </c>
      <c r="BM196" s="8" t="str">
        <f aca="false">IF(BL196="","",IFERROR(VLOOKUP(BL196,'ТН ВЭД'!$A$4:$C$40,3,0),""))</f>
        <v/>
      </c>
      <c r="BN196" s="7" t="str">
        <f aca="false">IF(COUNTIF(ЗАКАЗЫ!$F$3:$F$500,$A196)=0,"",SUMIF(ЗАКАЗЫ!$F$3:$F$500,$A196,ЗАКАЗЫ!$J$3:$J$500))</f>
        <v/>
      </c>
      <c r="BO196" s="7" t="str">
        <f aca="false">IF(BN196="","",SUMIF(ЗАКАЗЫ!$F$3:$F$500,$A196,ЗАКАЗЫ!$AL$3:$AL$500))</f>
        <v/>
      </c>
      <c r="BP196" s="7" t="str">
        <f aca="false">IF(BN196="","",BN196-BO196)</f>
        <v/>
      </c>
      <c r="BQ196" s="55" t="str">
        <f aca="false">IF(BN196="","",IF(BO196&gt;=BN196,"На складе",IF(BO196&gt;0,"Частично","Ждём")))</f>
        <v/>
      </c>
      <c r="BR196" s="43"/>
      <c r="BS196" s="47" t="str">
        <f aca="false">IF(BN196="","",IF(_xlfn.MAXIFS(ЗАКАЗЫ!$AK$3:$AK$500,ЗАКАЗЫ!$F$3:$F$500,$A196)=0,"",_xlfn.MAXIFS(ЗАКАЗЫ!$AK$3:$AK$500,ЗАКАЗЫ!$F$3:$F$500,$A196)))</f>
        <v/>
      </c>
    </row>
    <row r="197" customFormat="false" ht="15.75" hidden="false" customHeight="true" outlineLevel="0" collapsed="false">
      <c r="A197" s="80" t="s">
        <v>1398</v>
      </c>
      <c r="B197" s="81"/>
      <c r="C197" s="81"/>
      <c r="D197" s="81"/>
      <c r="E197" s="83"/>
      <c r="F197" s="81"/>
      <c r="G197" s="83"/>
      <c r="H197" s="83"/>
      <c r="I197" s="84" t="str">
        <f aca="false">IF(E197="","",A197&amp;"_1.jpg")</f>
        <v/>
      </c>
      <c r="J197" s="84" t="str">
        <f aca="false">IF(E197="","",A197&amp;"_2.jpg; "&amp;A197&amp;"_3.jpg")</f>
        <v/>
      </c>
      <c r="K197" s="84" t="str">
        <f aca="false">IF(E197="","",A197&amp;"_schema.jpg")</f>
        <v/>
      </c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 t="s">
        <v>96</v>
      </c>
      <c r="W197" s="81"/>
      <c r="X197" s="81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6" t="str">
        <f aca="false">IF(SUM(Y197:AJ197)=0,"",SUM(Y197:AJ197))</f>
        <v/>
      </c>
      <c r="AL197" s="84" t="str">
        <f aca="false">MID(IF(N(Y197)&gt;0,", "&amp;Y$2,"")&amp;IF(N(Z197)&gt;0,", "&amp;Z$2,"")&amp;IF(N(AA197)&gt;0,", "&amp;AA$2,"")&amp;IF(N(AB197)&gt;0,", "&amp;AB$2,"")&amp;IF(N(AC197)&gt;0,", "&amp;AC$2,"")&amp;IF(N(AD197)&gt;0,", "&amp;AD$2,"")&amp;IF(N(AE197)&gt;0,", "&amp;AE$2,"")&amp;IF(N(AF197)&gt;0,", "&amp;AF$2,"")&amp;IF(N(AG197)&gt;0,", "&amp;AG$2,"")&amp;IF(N(AH197)&gt;0,", "&amp;AH$2,"")&amp;IF(N(AI197)&gt;0,", "&amp;AI$2,"")&amp;IF(N(AJ197)&gt;0,", "&amp;AJ$2,""),3,999)</f>
        <v/>
      </c>
      <c r="AM197" s="87" t="str">
        <f aca="false">IF(E197="","",MID(IF(N(Y197)&gt;0,", "&amp;A197&amp;"-"&amp;Y$2,"")&amp;IF(N(Z197)&gt;0,", "&amp;A197&amp;"-"&amp;Z$2,"")&amp;IF(N(AA197)&gt;0,", "&amp;A197&amp;"-"&amp;AA$2,"")&amp;IF(N(AB197)&gt;0,", "&amp;A197&amp;"-"&amp;AB$2,"")&amp;IF(N(AC197)&gt;0,", "&amp;A197&amp;"-"&amp;AC$2,"")&amp;IF(N(AD197)&gt;0,", "&amp;A197&amp;"-"&amp;AD$2,"")&amp;IF(N(AE197)&gt;0,", "&amp;A197&amp;"-"&amp;AE$2,"")&amp;IF(N(AF197)&gt;0,", "&amp;A197&amp;"-"&amp;AF$2,"")&amp;IF(N(AG197)&gt;0,", "&amp;A197&amp;"-"&amp;AG$2,"")&amp;IF(N(AH197)&gt;0,", "&amp;A197&amp;"-"&amp;AH$2,"")&amp;IF(N(AI197)&gt;0,", "&amp;A197&amp;"-"&amp;AI$2,"")&amp;IF(N(AJ197)&gt;0,", "&amp;A197&amp;"-"&amp;AJ$2,""),3,999))</f>
        <v/>
      </c>
      <c r="AN197" s="81"/>
      <c r="AO197" s="88"/>
      <c r="AP197" s="89" t="str">
        <f aca="false">IF(AO197="","",ROUND(AO197/(1+Справочники!$B$13),2))</f>
        <v/>
      </c>
      <c r="AQ197" s="90" t="str">
        <f aca="false" t="array" ref="AQ197:AQ197">IF(AP197="","",AP197*INDEX(Справочники!$B$4:$B$7,MATCH("RUB",Справочники!$A$4:$A$7,0)))</f>
        <v/>
      </c>
      <c r="AR197" s="90" t="str">
        <f aca="false">IF(AQ197="","",ROUND(AQ197*(1+Справочники!$B$12),0))</f>
        <v/>
      </c>
      <c r="AS197" s="90" t="str">
        <f aca="false">IF(AR197="","",ROUND(AR197*(1-Справочники!$B$11),0))</f>
        <v/>
      </c>
      <c r="AT197" s="88"/>
      <c r="AU197" s="90" t="str">
        <f aca="false">IF(AT197="","",ROUND(AT197/(1+Справочники!$B$12),0))</f>
        <v/>
      </c>
      <c r="AV197" s="90" t="str">
        <f aca="false">IF(AT197="","",ROUND(AT197*(1-Справочники!$B$15),0))</f>
        <v/>
      </c>
      <c r="AW197" s="90" t="str">
        <f aca="false">IF(AT197="","",ROUND(AT197*(1-Справочники!$B$16),0))</f>
        <v/>
      </c>
      <c r="AX197" s="90" t="str">
        <f aca="false">IF(AT197="","",ROUND(AT197*(1-Справочники!$B$17),0))</f>
        <v/>
      </c>
      <c r="AY197" s="90" t="str">
        <f aca="false">IF(AT197="","",ROUND(AT197*(1-Справочники!$B$18),0))</f>
        <v/>
      </c>
      <c r="AZ197" s="90" t="str">
        <f aca="false">IF(AT197="","",ROUND(AT197*(1-Справочники!$B$19),0))</f>
        <v/>
      </c>
      <c r="BA197" s="81"/>
      <c r="BB197" s="81"/>
      <c r="BC197" s="81"/>
      <c r="BD197" s="81"/>
      <c r="BE197" s="91"/>
      <c r="BF197" s="81" t="s">
        <v>103</v>
      </c>
      <c r="BG197" s="89" t="n">
        <f aca="false" t="array" ref="BG197:BG197">IF(BF197="","",IFERROR(INDEX(Справочники!$B$4:$B$7,MATCH(BF197,Справочники!$A$4:$A$7,0)),""))</f>
        <v>68.5</v>
      </c>
      <c r="BH197" s="90" t="str">
        <f aca="false">IF(N(BN197)&gt;0,ROUND(SUMIF(ЗАКАЗЫ!$F$3:$F$500,$A197,ЗАКАЗЫ!$Y$3:$Y$500)/BN197,0),IF(OR(BE197="",BG197=""),"",ROUND(BE197*BG197*(1+Справочники!$B$10),0)))</f>
        <v/>
      </c>
      <c r="BI197" s="92" t="str">
        <f aca="false">IF(OR(AU197="",BH197="",AU197=0),"",(AU197-BH197)/AU197)</f>
        <v/>
      </c>
      <c r="BJ197" s="81"/>
      <c r="BK197" s="83"/>
      <c r="BL197" s="43" t="str">
        <f aca="false">IFERROR(INDEX(ЗАКАЗЫ!$N$3:$N$500,MATCH($A197,ЗАКАЗЫ!$F$3:$F$500,0)),"")</f>
        <v/>
      </c>
      <c r="BM197" s="8" t="str">
        <f aca="false">IF(BL197="","",IFERROR(VLOOKUP(BL197,'ТН ВЭД'!$A$4:$C$40,3,0),""))</f>
        <v/>
      </c>
      <c r="BN197" s="7" t="str">
        <f aca="false">IF(COUNTIF(ЗАКАЗЫ!$F$3:$F$500,$A197)=0,"",SUMIF(ЗАКАЗЫ!$F$3:$F$500,$A197,ЗАКАЗЫ!$J$3:$J$500))</f>
        <v/>
      </c>
      <c r="BO197" s="7" t="str">
        <f aca="false">IF(BN197="","",SUMIF(ЗАКАЗЫ!$F$3:$F$500,$A197,ЗАКАЗЫ!$AL$3:$AL$500))</f>
        <v/>
      </c>
      <c r="BP197" s="7" t="str">
        <f aca="false">IF(BN197="","",BN197-BO197)</f>
        <v/>
      </c>
      <c r="BQ197" s="55" t="str">
        <f aca="false">IF(BN197="","",IF(BO197&gt;=BN197,"На складе",IF(BO197&gt;0,"Частично","Ждём")))</f>
        <v/>
      </c>
      <c r="BR197" s="43"/>
      <c r="BS197" s="47" t="str">
        <f aca="false">IF(BN197="","",IF(_xlfn.MAXIFS(ЗАКАЗЫ!$AK$3:$AK$500,ЗАКАЗЫ!$F$3:$F$500,$A197)=0,"",_xlfn.MAXIFS(ЗАКАЗЫ!$AK$3:$AK$500,ЗАКАЗЫ!$F$3:$F$500,$A197)))</f>
        <v/>
      </c>
    </row>
    <row r="198" customFormat="false" ht="15.75" hidden="false" customHeight="true" outlineLevel="0" collapsed="false">
      <c r="A198" s="80" t="s">
        <v>1399</v>
      </c>
      <c r="B198" s="81"/>
      <c r="C198" s="81"/>
      <c r="D198" s="81"/>
      <c r="E198" s="83"/>
      <c r="F198" s="81"/>
      <c r="G198" s="83"/>
      <c r="H198" s="83"/>
      <c r="I198" s="84" t="str">
        <f aca="false">IF(E198="","",A198&amp;"_1.jpg")</f>
        <v/>
      </c>
      <c r="J198" s="84" t="str">
        <f aca="false">IF(E198="","",A198&amp;"_2.jpg; "&amp;A198&amp;"_3.jpg")</f>
        <v/>
      </c>
      <c r="K198" s="84" t="str">
        <f aca="false">IF(E198="","",A198&amp;"_schema.jpg")</f>
        <v/>
      </c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 t="s">
        <v>96</v>
      </c>
      <c r="W198" s="81"/>
      <c r="X198" s="81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6" t="str">
        <f aca="false">IF(SUM(Y198:AJ198)=0,"",SUM(Y198:AJ198))</f>
        <v/>
      </c>
      <c r="AL198" s="84" t="str">
        <f aca="false">MID(IF(N(Y198)&gt;0,", "&amp;Y$2,"")&amp;IF(N(Z198)&gt;0,", "&amp;Z$2,"")&amp;IF(N(AA198)&gt;0,", "&amp;AA$2,"")&amp;IF(N(AB198)&gt;0,", "&amp;AB$2,"")&amp;IF(N(AC198)&gt;0,", "&amp;AC$2,"")&amp;IF(N(AD198)&gt;0,", "&amp;AD$2,"")&amp;IF(N(AE198)&gt;0,", "&amp;AE$2,"")&amp;IF(N(AF198)&gt;0,", "&amp;AF$2,"")&amp;IF(N(AG198)&gt;0,", "&amp;AG$2,"")&amp;IF(N(AH198)&gt;0,", "&amp;AH$2,"")&amp;IF(N(AI198)&gt;0,", "&amp;AI$2,"")&amp;IF(N(AJ198)&gt;0,", "&amp;AJ$2,""),3,999)</f>
        <v/>
      </c>
      <c r="AM198" s="87" t="str">
        <f aca="false">IF(E198="","",MID(IF(N(Y198)&gt;0,", "&amp;A198&amp;"-"&amp;Y$2,"")&amp;IF(N(Z198)&gt;0,", "&amp;A198&amp;"-"&amp;Z$2,"")&amp;IF(N(AA198)&gt;0,", "&amp;A198&amp;"-"&amp;AA$2,"")&amp;IF(N(AB198)&gt;0,", "&amp;A198&amp;"-"&amp;AB$2,"")&amp;IF(N(AC198)&gt;0,", "&amp;A198&amp;"-"&amp;AC$2,"")&amp;IF(N(AD198)&gt;0,", "&amp;A198&amp;"-"&amp;AD$2,"")&amp;IF(N(AE198)&gt;0,", "&amp;A198&amp;"-"&amp;AE$2,"")&amp;IF(N(AF198)&gt;0,", "&amp;A198&amp;"-"&amp;AF$2,"")&amp;IF(N(AG198)&gt;0,", "&amp;A198&amp;"-"&amp;AG$2,"")&amp;IF(N(AH198)&gt;0,", "&amp;A198&amp;"-"&amp;AH$2,"")&amp;IF(N(AI198)&gt;0,", "&amp;A198&amp;"-"&amp;AI$2,"")&amp;IF(N(AJ198)&gt;0,", "&amp;A198&amp;"-"&amp;AJ$2,""),3,999))</f>
        <v/>
      </c>
      <c r="AN198" s="81"/>
      <c r="AO198" s="88"/>
      <c r="AP198" s="89" t="str">
        <f aca="false">IF(AO198="","",ROUND(AO198/(1+Справочники!$B$13),2))</f>
        <v/>
      </c>
      <c r="AQ198" s="90" t="str">
        <f aca="false" t="array" ref="AQ198:AQ198">IF(AP198="","",AP198*INDEX(Справочники!$B$4:$B$7,MATCH("RUB",Справочники!$A$4:$A$7,0)))</f>
        <v/>
      </c>
      <c r="AR198" s="90" t="str">
        <f aca="false">IF(AQ198="","",ROUND(AQ198*(1+Справочники!$B$12),0))</f>
        <v/>
      </c>
      <c r="AS198" s="90" t="str">
        <f aca="false">IF(AR198="","",ROUND(AR198*(1-Справочники!$B$11),0))</f>
        <v/>
      </c>
      <c r="AT198" s="88"/>
      <c r="AU198" s="90" t="str">
        <f aca="false">IF(AT198="","",ROUND(AT198/(1+Справочники!$B$12),0))</f>
        <v/>
      </c>
      <c r="AV198" s="90" t="str">
        <f aca="false">IF(AT198="","",ROUND(AT198*(1-Справочники!$B$15),0))</f>
        <v/>
      </c>
      <c r="AW198" s="90" t="str">
        <f aca="false">IF(AT198="","",ROUND(AT198*(1-Справочники!$B$16),0))</f>
        <v/>
      </c>
      <c r="AX198" s="90" t="str">
        <f aca="false">IF(AT198="","",ROUND(AT198*(1-Справочники!$B$17),0))</f>
        <v/>
      </c>
      <c r="AY198" s="90" t="str">
        <f aca="false">IF(AT198="","",ROUND(AT198*(1-Справочники!$B$18),0))</f>
        <v/>
      </c>
      <c r="AZ198" s="90" t="str">
        <f aca="false">IF(AT198="","",ROUND(AT198*(1-Справочники!$B$19),0))</f>
        <v/>
      </c>
      <c r="BA198" s="81"/>
      <c r="BB198" s="81"/>
      <c r="BC198" s="81"/>
      <c r="BD198" s="81"/>
      <c r="BE198" s="91"/>
      <c r="BF198" s="81" t="s">
        <v>103</v>
      </c>
      <c r="BG198" s="89" t="n">
        <f aca="false" t="array" ref="BG198:BG198">IF(BF198="","",IFERROR(INDEX(Справочники!$B$4:$B$7,MATCH(BF198,Справочники!$A$4:$A$7,0)),""))</f>
        <v>68.5</v>
      </c>
      <c r="BH198" s="90" t="str">
        <f aca="false">IF(N(BN198)&gt;0,ROUND(SUMIF(ЗАКАЗЫ!$F$3:$F$500,$A198,ЗАКАЗЫ!$Y$3:$Y$500)/BN198,0),IF(OR(BE198="",BG198=""),"",ROUND(BE198*BG198*(1+Справочники!$B$10),0)))</f>
        <v/>
      </c>
      <c r="BI198" s="92" t="str">
        <f aca="false">IF(OR(AU198="",BH198="",AU198=0),"",(AU198-BH198)/AU198)</f>
        <v/>
      </c>
      <c r="BJ198" s="81"/>
      <c r="BK198" s="83"/>
      <c r="BL198" s="43" t="str">
        <f aca="false">IFERROR(INDEX(ЗАКАЗЫ!$N$3:$N$500,MATCH($A198,ЗАКАЗЫ!$F$3:$F$500,0)),"")</f>
        <v/>
      </c>
      <c r="BM198" s="8" t="str">
        <f aca="false">IF(BL198="","",IFERROR(VLOOKUP(BL198,'ТН ВЭД'!$A$4:$C$40,3,0),""))</f>
        <v/>
      </c>
      <c r="BN198" s="7" t="str">
        <f aca="false">IF(COUNTIF(ЗАКАЗЫ!$F$3:$F$500,$A198)=0,"",SUMIF(ЗАКАЗЫ!$F$3:$F$500,$A198,ЗАКАЗЫ!$J$3:$J$500))</f>
        <v/>
      </c>
      <c r="BO198" s="7" t="str">
        <f aca="false">IF(BN198="","",SUMIF(ЗАКАЗЫ!$F$3:$F$500,$A198,ЗАКАЗЫ!$AL$3:$AL$500))</f>
        <v/>
      </c>
      <c r="BP198" s="7" t="str">
        <f aca="false">IF(BN198="","",BN198-BO198)</f>
        <v/>
      </c>
      <c r="BQ198" s="55" t="str">
        <f aca="false">IF(BN198="","",IF(BO198&gt;=BN198,"На складе",IF(BO198&gt;0,"Частично","Ждём")))</f>
        <v/>
      </c>
      <c r="BR198" s="43"/>
      <c r="BS198" s="47" t="str">
        <f aca="false">IF(BN198="","",IF(_xlfn.MAXIFS(ЗАКАЗЫ!$AK$3:$AK$500,ЗАКАЗЫ!$F$3:$F$500,$A198)=0,"",_xlfn.MAXIFS(ЗАКАЗЫ!$AK$3:$AK$500,ЗАКАЗЫ!$F$3:$F$500,$A198)))</f>
        <v/>
      </c>
    </row>
    <row r="199" customFormat="false" ht="15.75" hidden="false" customHeight="true" outlineLevel="0" collapsed="false">
      <c r="A199" s="80" t="s">
        <v>1400</v>
      </c>
      <c r="B199" s="81"/>
      <c r="C199" s="81"/>
      <c r="D199" s="81"/>
      <c r="E199" s="83"/>
      <c r="F199" s="81"/>
      <c r="G199" s="83"/>
      <c r="H199" s="83"/>
      <c r="I199" s="84" t="str">
        <f aca="false">IF(E199="","",A199&amp;"_1.jpg")</f>
        <v/>
      </c>
      <c r="J199" s="84" t="str">
        <f aca="false">IF(E199="","",A199&amp;"_2.jpg; "&amp;A199&amp;"_3.jpg")</f>
        <v/>
      </c>
      <c r="K199" s="84" t="str">
        <f aca="false">IF(E199="","",A199&amp;"_schema.jpg")</f>
        <v/>
      </c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 t="s">
        <v>96</v>
      </c>
      <c r="W199" s="81"/>
      <c r="X199" s="81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6" t="str">
        <f aca="false">IF(SUM(Y199:AJ199)=0,"",SUM(Y199:AJ199))</f>
        <v/>
      </c>
      <c r="AL199" s="84" t="str">
        <f aca="false">MID(IF(N(Y199)&gt;0,", "&amp;Y$2,"")&amp;IF(N(Z199)&gt;0,", "&amp;Z$2,"")&amp;IF(N(AA199)&gt;0,", "&amp;AA$2,"")&amp;IF(N(AB199)&gt;0,", "&amp;AB$2,"")&amp;IF(N(AC199)&gt;0,", "&amp;AC$2,"")&amp;IF(N(AD199)&gt;0,", "&amp;AD$2,"")&amp;IF(N(AE199)&gt;0,", "&amp;AE$2,"")&amp;IF(N(AF199)&gt;0,", "&amp;AF$2,"")&amp;IF(N(AG199)&gt;0,", "&amp;AG$2,"")&amp;IF(N(AH199)&gt;0,", "&amp;AH$2,"")&amp;IF(N(AI199)&gt;0,", "&amp;AI$2,"")&amp;IF(N(AJ199)&gt;0,", "&amp;AJ$2,""),3,999)</f>
        <v/>
      </c>
      <c r="AM199" s="87" t="str">
        <f aca="false">IF(E199="","",MID(IF(N(Y199)&gt;0,", "&amp;A199&amp;"-"&amp;Y$2,"")&amp;IF(N(Z199)&gt;0,", "&amp;A199&amp;"-"&amp;Z$2,"")&amp;IF(N(AA199)&gt;0,", "&amp;A199&amp;"-"&amp;AA$2,"")&amp;IF(N(AB199)&gt;0,", "&amp;A199&amp;"-"&amp;AB$2,"")&amp;IF(N(AC199)&gt;0,", "&amp;A199&amp;"-"&amp;AC$2,"")&amp;IF(N(AD199)&gt;0,", "&amp;A199&amp;"-"&amp;AD$2,"")&amp;IF(N(AE199)&gt;0,", "&amp;A199&amp;"-"&amp;AE$2,"")&amp;IF(N(AF199)&gt;0,", "&amp;A199&amp;"-"&amp;AF$2,"")&amp;IF(N(AG199)&gt;0,", "&amp;A199&amp;"-"&amp;AG$2,"")&amp;IF(N(AH199)&gt;0,", "&amp;A199&amp;"-"&amp;AH$2,"")&amp;IF(N(AI199)&gt;0,", "&amp;A199&amp;"-"&amp;AI$2,"")&amp;IF(N(AJ199)&gt;0,", "&amp;A199&amp;"-"&amp;AJ$2,""),3,999))</f>
        <v/>
      </c>
      <c r="AN199" s="81"/>
      <c r="AO199" s="88"/>
      <c r="AP199" s="89" t="str">
        <f aca="false">IF(AO199="","",ROUND(AO199/(1+Справочники!$B$13),2))</f>
        <v/>
      </c>
      <c r="AQ199" s="90" t="str">
        <f aca="false" t="array" ref="AQ199:AQ199">IF(AP199="","",AP199*INDEX(Справочники!$B$4:$B$7,MATCH("RUB",Справочники!$A$4:$A$7,0)))</f>
        <v/>
      </c>
      <c r="AR199" s="90" t="str">
        <f aca="false">IF(AQ199="","",ROUND(AQ199*(1+Справочники!$B$12),0))</f>
        <v/>
      </c>
      <c r="AS199" s="90" t="str">
        <f aca="false">IF(AR199="","",ROUND(AR199*(1-Справочники!$B$11),0))</f>
        <v/>
      </c>
      <c r="AT199" s="88"/>
      <c r="AU199" s="90" t="str">
        <f aca="false">IF(AT199="","",ROUND(AT199/(1+Справочники!$B$12),0))</f>
        <v/>
      </c>
      <c r="AV199" s="90" t="str">
        <f aca="false">IF(AT199="","",ROUND(AT199*(1-Справочники!$B$15),0))</f>
        <v/>
      </c>
      <c r="AW199" s="90" t="str">
        <f aca="false">IF(AT199="","",ROUND(AT199*(1-Справочники!$B$16),0))</f>
        <v/>
      </c>
      <c r="AX199" s="90" t="str">
        <f aca="false">IF(AT199="","",ROUND(AT199*(1-Справочники!$B$17),0))</f>
        <v/>
      </c>
      <c r="AY199" s="90" t="str">
        <f aca="false">IF(AT199="","",ROUND(AT199*(1-Справочники!$B$18),0))</f>
        <v/>
      </c>
      <c r="AZ199" s="90" t="str">
        <f aca="false">IF(AT199="","",ROUND(AT199*(1-Справочники!$B$19),0))</f>
        <v/>
      </c>
      <c r="BA199" s="81"/>
      <c r="BB199" s="81"/>
      <c r="BC199" s="81"/>
      <c r="BD199" s="81"/>
      <c r="BE199" s="91"/>
      <c r="BF199" s="81" t="s">
        <v>103</v>
      </c>
      <c r="BG199" s="89" t="n">
        <f aca="false" t="array" ref="BG199:BG199">IF(BF199="","",IFERROR(INDEX(Справочники!$B$4:$B$7,MATCH(BF199,Справочники!$A$4:$A$7,0)),""))</f>
        <v>68.5</v>
      </c>
      <c r="BH199" s="90" t="str">
        <f aca="false">IF(N(BN199)&gt;0,ROUND(SUMIF(ЗАКАЗЫ!$F$3:$F$500,$A199,ЗАКАЗЫ!$Y$3:$Y$500)/BN199,0),IF(OR(BE199="",BG199=""),"",ROUND(BE199*BG199*(1+Справочники!$B$10),0)))</f>
        <v/>
      </c>
      <c r="BI199" s="92" t="str">
        <f aca="false">IF(OR(AU199="",BH199="",AU199=0),"",(AU199-BH199)/AU199)</f>
        <v/>
      </c>
      <c r="BJ199" s="81"/>
      <c r="BK199" s="83"/>
      <c r="BL199" s="43" t="str">
        <f aca="false">IFERROR(INDEX(ЗАКАЗЫ!$N$3:$N$500,MATCH($A199,ЗАКАЗЫ!$F$3:$F$500,0)),"")</f>
        <v/>
      </c>
      <c r="BM199" s="8" t="str">
        <f aca="false">IF(BL199="","",IFERROR(VLOOKUP(BL199,'ТН ВЭД'!$A$4:$C$40,3,0),""))</f>
        <v/>
      </c>
      <c r="BN199" s="7" t="str">
        <f aca="false">IF(COUNTIF(ЗАКАЗЫ!$F$3:$F$500,$A199)=0,"",SUMIF(ЗАКАЗЫ!$F$3:$F$500,$A199,ЗАКАЗЫ!$J$3:$J$500))</f>
        <v/>
      </c>
      <c r="BO199" s="7" t="str">
        <f aca="false">IF(BN199="","",SUMIF(ЗАКАЗЫ!$F$3:$F$500,$A199,ЗАКАЗЫ!$AL$3:$AL$500))</f>
        <v/>
      </c>
      <c r="BP199" s="7" t="str">
        <f aca="false">IF(BN199="","",BN199-BO199)</f>
        <v/>
      </c>
      <c r="BQ199" s="55" t="str">
        <f aca="false">IF(BN199="","",IF(BO199&gt;=BN199,"На складе",IF(BO199&gt;0,"Частично","Ждём")))</f>
        <v/>
      </c>
      <c r="BR199" s="43"/>
      <c r="BS199" s="47" t="str">
        <f aca="false">IF(BN199="","",IF(_xlfn.MAXIFS(ЗАКАЗЫ!$AK$3:$AK$500,ЗАКАЗЫ!$F$3:$F$500,$A199)=0,"",_xlfn.MAXIFS(ЗАКАЗЫ!$AK$3:$AK$500,ЗАКАЗЫ!$F$3:$F$500,$A199)))</f>
        <v/>
      </c>
    </row>
    <row r="200" customFormat="false" ht="15.75" hidden="false" customHeight="true" outlineLevel="0" collapsed="false">
      <c r="A200" s="80" t="s">
        <v>1401</v>
      </c>
      <c r="B200" s="81"/>
      <c r="C200" s="81"/>
      <c r="D200" s="81"/>
      <c r="E200" s="83"/>
      <c r="F200" s="81"/>
      <c r="G200" s="83"/>
      <c r="H200" s="83"/>
      <c r="I200" s="84" t="str">
        <f aca="false">IF(E200="","",A200&amp;"_1.jpg")</f>
        <v/>
      </c>
      <c r="J200" s="84" t="str">
        <f aca="false">IF(E200="","",A200&amp;"_2.jpg; "&amp;A200&amp;"_3.jpg")</f>
        <v/>
      </c>
      <c r="K200" s="84" t="str">
        <f aca="false">IF(E200="","",A200&amp;"_schema.jpg")</f>
        <v/>
      </c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 t="s">
        <v>96</v>
      </c>
      <c r="W200" s="81"/>
      <c r="X200" s="81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6" t="str">
        <f aca="false">IF(SUM(Y200:AJ200)=0,"",SUM(Y200:AJ200))</f>
        <v/>
      </c>
      <c r="AL200" s="84" t="str">
        <f aca="false">MID(IF(N(Y200)&gt;0,", "&amp;Y$2,"")&amp;IF(N(Z200)&gt;0,", "&amp;Z$2,"")&amp;IF(N(AA200)&gt;0,", "&amp;AA$2,"")&amp;IF(N(AB200)&gt;0,", "&amp;AB$2,"")&amp;IF(N(AC200)&gt;0,", "&amp;AC$2,"")&amp;IF(N(AD200)&gt;0,", "&amp;AD$2,"")&amp;IF(N(AE200)&gt;0,", "&amp;AE$2,"")&amp;IF(N(AF200)&gt;0,", "&amp;AF$2,"")&amp;IF(N(AG200)&gt;0,", "&amp;AG$2,"")&amp;IF(N(AH200)&gt;0,", "&amp;AH$2,"")&amp;IF(N(AI200)&gt;0,", "&amp;AI$2,"")&amp;IF(N(AJ200)&gt;0,", "&amp;AJ$2,""),3,999)</f>
        <v/>
      </c>
      <c r="AM200" s="87" t="str">
        <f aca="false">IF(E200="","",MID(IF(N(Y200)&gt;0,", "&amp;A200&amp;"-"&amp;Y$2,"")&amp;IF(N(Z200)&gt;0,", "&amp;A200&amp;"-"&amp;Z$2,"")&amp;IF(N(AA200)&gt;0,", "&amp;A200&amp;"-"&amp;AA$2,"")&amp;IF(N(AB200)&gt;0,", "&amp;A200&amp;"-"&amp;AB$2,"")&amp;IF(N(AC200)&gt;0,", "&amp;A200&amp;"-"&amp;AC$2,"")&amp;IF(N(AD200)&gt;0,", "&amp;A200&amp;"-"&amp;AD$2,"")&amp;IF(N(AE200)&gt;0,", "&amp;A200&amp;"-"&amp;AE$2,"")&amp;IF(N(AF200)&gt;0,", "&amp;A200&amp;"-"&amp;AF$2,"")&amp;IF(N(AG200)&gt;0,", "&amp;A200&amp;"-"&amp;AG$2,"")&amp;IF(N(AH200)&gt;0,", "&amp;A200&amp;"-"&amp;AH$2,"")&amp;IF(N(AI200)&gt;0,", "&amp;A200&amp;"-"&amp;AI$2,"")&amp;IF(N(AJ200)&gt;0,", "&amp;A200&amp;"-"&amp;AJ$2,""),3,999))</f>
        <v/>
      </c>
      <c r="AN200" s="81"/>
      <c r="AO200" s="88"/>
      <c r="AP200" s="89" t="str">
        <f aca="false">IF(AO200="","",ROUND(AO200/(1+Справочники!$B$13),2))</f>
        <v/>
      </c>
      <c r="AQ200" s="90" t="str">
        <f aca="false" t="array" ref="AQ200:AQ200">IF(AP200="","",AP200*INDEX(Справочники!$B$4:$B$7,MATCH("RUB",Справочники!$A$4:$A$7,0)))</f>
        <v/>
      </c>
      <c r="AR200" s="90" t="str">
        <f aca="false">IF(AQ200="","",ROUND(AQ200*(1+Справочники!$B$12),0))</f>
        <v/>
      </c>
      <c r="AS200" s="90" t="str">
        <f aca="false">IF(AR200="","",ROUND(AR200*(1-Справочники!$B$11),0))</f>
        <v/>
      </c>
      <c r="AT200" s="88"/>
      <c r="AU200" s="90" t="str">
        <f aca="false">IF(AT200="","",ROUND(AT200/(1+Справочники!$B$12),0))</f>
        <v/>
      </c>
      <c r="AV200" s="90" t="str">
        <f aca="false">IF(AT200="","",ROUND(AT200*(1-Справочники!$B$15),0))</f>
        <v/>
      </c>
      <c r="AW200" s="90" t="str">
        <f aca="false">IF(AT200="","",ROUND(AT200*(1-Справочники!$B$16),0))</f>
        <v/>
      </c>
      <c r="AX200" s="90" t="str">
        <f aca="false">IF(AT200="","",ROUND(AT200*(1-Справочники!$B$17),0))</f>
        <v/>
      </c>
      <c r="AY200" s="90" t="str">
        <f aca="false">IF(AT200="","",ROUND(AT200*(1-Справочники!$B$18),0))</f>
        <v/>
      </c>
      <c r="AZ200" s="90" t="str">
        <f aca="false">IF(AT200="","",ROUND(AT200*(1-Справочники!$B$19),0))</f>
        <v/>
      </c>
      <c r="BA200" s="81"/>
      <c r="BB200" s="81"/>
      <c r="BC200" s="81"/>
      <c r="BD200" s="81"/>
      <c r="BE200" s="91"/>
      <c r="BF200" s="81" t="s">
        <v>103</v>
      </c>
      <c r="BG200" s="89" t="n">
        <f aca="false" t="array" ref="BG200:BG200">IF(BF200="","",IFERROR(INDEX(Справочники!$B$4:$B$7,MATCH(BF200,Справочники!$A$4:$A$7,0)),""))</f>
        <v>68.5</v>
      </c>
      <c r="BH200" s="90" t="str">
        <f aca="false">IF(N(BN200)&gt;0,ROUND(SUMIF(ЗАКАЗЫ!$F$3:$F$500,$A200,ЗАКАЗЫ!$Y$3:$Y$500)/BN200,0),IF(OR(BE200="",BG200=""),"",ROUND(BE200*BG200*(1+Справочники!$B$10),0)))</f>
        <v/>
      </c>
      <c r="BI200" s="92" t="str">
        <f aca="false">IF(OR(AU200="",BH200="",AU200=0),"",(AU200-BH200)/AU200)</f>
        <v/>
      </c>
      <c r="BJ200" s="81"/>
      <c r="BK200" s="83"/>
      <c r="BL200" s="43" t="str">
        <f aca="false">IFERROR(INDEX(ЗАКАЗЫ!$N$3:$N$500,MATCH($A200,ЗАКАЗЫ!$F$3:$F$500,0)),"")</f>
        <v/>
      </c>
      <c r="BM200" s="8" t="str">
        <f aca="false">IF(BL200="","",IFERROR(VLOOKUP(BL200,'ТН ВЭД'!$A$4:$C$40,3,0),""))</f>
        <v/>
      </c>
      <c r="BN200" s="7" t="str">
        <f aca="false">IF(COUNTIF(ЗАКАЗЫ!$F$3:$F$500,$A200)=0,"",SUMIF(ЗАКАЗЫ!$F$3:$F$500,$A200,ЗАКАЗЫ!$J$3:$J$500))</f>
        <v/>
      </c>
      <c r="BO200" s="7" t="str">
        <f aca="false">IF(BN200="","",SUMIF(ЗАКАЗЫ!$F$3:$F$500,$A200,ЗАКАЗЫ!$AL$3:$AL$500))</f>
        <v/>
      </c>
      <c r="BP200" s="7" t="str">
        <f aca="false">IF(BN200="","",BN200-BO200)</f>
        <v/>
      </c>
      <c r="BQ200" s="55" t="str">
        <f aca="false">IF(BN200="","",IF(BO200&gt;=BN200,"На складе",IF(BO200&gt;0,"Частично","Ждём")))</f>
        <v/>
      </c>
      <c r="BR200" s="43"/>
      <c r="BS200" s="47" t="str">
        <f aca="false">IF(BN200="","",IF(_xlfn.MAXIFS(ЗАКАЗЫ!$AK$3:$AK$500,ЗАКАЗЫ!$F$3:$F$500,$A200)=0,"",_xlfn.MAXIFS(ЗАКАЗЫ!$AK$3:$AK$500,ЗАКАЗЫ!$F$3:$F$500,$A200)))</f>
        <v/>
      </c>
    </row>
    <row r="201" customFormat="false" ht="15.75" hidden="false" customHeight="true" outlineLevel="0" collapsed="false">
      <c r="A201" s="80" t="s">
        <v>1402</v>
      </c>
      <c r="B201" s="81"/>
      <c r="C201" s="81"/>
      <c r="D201" s="81"/>
      <c r="E201" s="83"/>
      <c r="F201" s="81"/>
      <c r="G201" s="83"/>
      <c r="H201" s="83"/>
      <c r="I201" s="84" t="str">
        <f aca="false">IF(E201="","",A201&amp;"_1.jpg")</f>
        <v/>
      </c>
      <c r="J201" s="84" t="str">
        <f aca="false">IF(E201="","",A201&amp;"_2.jpg; "&amp;A201&amp;"_3.jpg")</f>
        <v/>
      </c>
      <c r="K201" s="84" t="str">
        <f aca="false">IF(E201="","",A201&amp;"_schema.jpg")</f>
        <v/>
      </c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 t="s">
        <v>96</v>
      </c>
      <c r="W201" s="81"/>
      <c r="X201" s="81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6" t="str">
        <f aca="false">IF(SUM(Y201:AJ201)=0,"",SUM(Y201:AJ201))</f>
        <v/>
      </c>
      <c r="AL201" s="84" t="str">
        <f aca="false">MID(IF(N(Y201)&gt;0,", "&amp;Y$2,"")&amp;IF(N(Z201)&gt;0,", "&amp;Z$2,"")&amp;IF(N(AA201)&gt;0,", "&amp;AA$2,"")&amp;IF(N(AB201)&gt;0,", "&amp;AB$2,"")&amp;IF(N(AC201)&gt;0,", "&amp;AC$2,"")&amp;IF(N(AD201)&gt;0,", "&amp;AD$2,"")&amp;IF(N(AE201)&gt;0,", "&amp;AE$2,"")&amp;IF(N(AF201)&gt;0,", "&amp;AF$2,"")&amp;IF(N(AG201)&gt;0,", "&amp;AG$2,"")&amp;IF(N(AH201)&gt;0,", "&amp;AH$2,"")&amp;IF(N(AI201)&gt;0,", "&amp;AI$2,"")&amp;IF(N(AJ201)&gt;0,", "&amp;AJ$2,""),3,999)</f>
        <v/>
      </c>
      <c r="AM201" s="87" t="str">
        <f aca="false">IF(E201="","",MID(IF(N(Y201)&gt;0,", "&amp;A201&amp;"-"&amp;Y$2,"")&amp;IF(N(Z201)&gt;0,", "&amp;A201&amp;"-"&amp;Z$2,"")&amp;IF(N(AA201)&gt;0,", "&amp;A201&amp;"-"&amp;AA$2,"")&amp;IF(N(AB201)&gt;0,", "&amp;A201&amp;"-"&amp;AB$2,"")&amp;IF(N(AC201)&gt;0,", "&amp;A201&amp;"-"&amp;AC$2,"")&amp;IF(N(AD201)&gt;0,", "&amp;A201&amp;"-"&amp;AD$2,"")&amp;IF(N(AE201)&gt;0,", "&amp;A201&amp;"-"&amp;AE$2,"")&amp;IF(N(AF201)&gt;0,", "&amp;A201&amp;"-"&amp;AF$2,"")&amp;IF(N(AG201)&gt;0,", "&amp;A201&amp;"-"&amp;AG$2,"")&amp;IF(N(AH201)&gt;0,", "&amp;A201&amp;"-"&amp;AH$2,"")&amp;IF(N(AI201)&gt;0,", "&amp;A201&amp;"-"&amp;AI$2,"")&amp;IF(N(AJ201)&gt;0,", "&amp;A201&amp;"-"&amp;AJ$2,""),3,999))</f>
        <v/>
      </c>
      <c r="AN201" s="81"/>
      <c r="AO201" s="88"/>
      <c r="AP201" s="89" t="str">
        <f aca="false">IF(AO201="","",ROUND(AO201/(1+Справочники!$B$13),2))</f>
        <v/>
      </c>
      <c r="AQ201" s="90" t="str">
        <f aca="false" t="array" ref="AQ201:AQ201">IF(AP201="","",AP201*INDEX(Справочники!$B$4:$B$7,MATCH("RUB",Справочники!$A$4:$A$7,0)))</f>
        <v/>
      </c>
      <c r="AR201" s="90" t="str">
        <f aca="false">IF(AQ201="","",ROUND(AQ201*(1+Справочники!$B$12),0))</f>
        <v/>
      </c>
      <c r="AS201" s="90" t="str">
        <f aca="false">IF(AR201="","",ROUND(AR201*(1-Справочники!$B$11),0))</f>
        <v/>
      </c>
      <c r="AT201" s="88"/>
      <c r="AU201" s="90" t="str">
        <f aca="false">IF(AT201="","",ROUND(AT201/(1+Справочники!$B$12),0))</f>
        <v/>
      </c>
      <c r="AV201" s="90" t="str">
        <f aca="false">IF(AT201="","",ROUND(AT201*(1-Справочники!$B$15),0))</f>
        <v/>
      </c>
      <c r="AW201" s="90" t="str">
        <f aca="false">IF(AT201="","",ROUND(AT201*(1-Справочники!$B$16),0))</f>
        <v/>
      </c>
      <c r="AX201" s="90" t="str">
        <f aca="false">IF(AT201="","",ROUND(AT201*(1-Справочники!$B$17),0))</f>
        <v/>
      </c>
      <c r="AY201" s="90" t="str">
        <f aca="false">IF(AT201="","",ROUND(AT201*(1-Справочники!$B$18),0))</f>
        <v/>
      </c>
      <c r="AZ201" s="90" t="str">
        <f aca="false">IF(AT201="","",ROUND(AT201*(1-Справочники!$B$19),0))</f>
        <v/>
      </c>
      <c r="BA201" s="81"/>
      <c r="BB201" s="81"/>
      <c r="BC201" s="81"/>
      <c r="BD201" s="81"/>
      <c r="BE201" s="91"/>
      <c r="BF201" s="81" t="s">
        <v>103</v>
      </c>
      <c r="BG201" s="89" t="n">
        <f aca="false" t="array" ref="BG201:BG201">IF(BF201="","",IFERROR(INDEX(Справочники!$B$4:$B$7,MATCH(BF201,Справочники!$A$4:$A$7,0)),""))</f>
        <v>68.5</v>
      </c>
      <c r="BH201" s="90" t="str">
        <f aca="false">IF(N(BN201)&gt;0,ROUND(SUMIF(ЗАКАЗЫ!$F$3:$F$500,$A201,ЗАКАЗЫ!$Y$3:$Y$500)/BN201,0),IF(OR(BE201="",BG201=""),"",ROUND(BE201*BG201*(1+Справочники!$B$10),0)))</f>
        <v/>
      </c>
      <c r="BI201" s="92" t="str">
        <f aca="false">IF(OR(AU201="",BH201="",AU201=0),"",(AU201-BH201)/AU201)</f>
        <v/>
      </c>
      <c r="BJ201" s="81"/>
      <c r="BK201" s="83"/>
      <c r="BL201" s="43" t="str">
        <f aca="false">IFERROR(INDEX(ЗАКАЗЫ!$N$3:$N$500,MATCH($A201,ЗАКАЗЫ!$F$3:$F$500,0)),"")</f>
        <v/>
      </c>
      <c r="BM201" s="8" t="str">
        <f aca="false">IF(BL201="","",IFERROR(VLOOKUP(BL201,'ТН ВЭД'!$A$4:$C$40,3,0),""))</f>
        <v/>
      </c>
      <c r="BN201" s="7" t="str">
        <f aca="false">IF(COUNTIF(ЗАКАЗЫ!$F$3:$F$500,$A201)=0,"",SUMIF(ЗАКАЗЫ!$F$3:$F$500,$A201,ЗАКАЗЫ!$J$3:$J$500))</f>
        <v/>
      </c>
      <c r="BO201" s="7" t="str">
        <f aca="false">IF(BN201="","",SUMIF(ЗАКАЗЫ!$F$3:$F$500,$A201,ЗАКАЗЫ!$AL$3:$AL$500))</f>
        <v/>
      </c>
      <c r="BP201" s="7" t="str">
        <f aca="false">IF(BN201="","",BN201-BO201)</f>
        <v/>
      </c>
      <c r="BQ201" s="55" t="str">
        <f aca="false">IF(BN201="","",IF(BO201&gt;=BN201,"На складе",IF(BO201&gt;0,"Частично","Ждём")))</f>
        <v/>
      </c>
      <c r="BR201" s="43"/>
      <c r="BS201" s="47" t="str">
        <f aca="false">IF(BN201="","",IF(_xlfn.MAXIFS(ЗАКАЗЫ!$AK$3:$AK$500,ЗАКАЗЫ!$F$3:$F$500,$A201)=0,"",_xlfn.MAXIFS(ЗАКАЗЫ!$AK$3:$AK$500,ЗАКАЗЫ!$F$3:$F$500,$A201)))</f>
        <v/>
      </c>
    </row>
    <row r="202" customFormat="false" ht="15.75" hidden="false" customHeight="true" outlineLevel="0" collapsed="false">
      <c r="A202" s="80" t="s">
        <v>1403</v>
      </c>
      <c r="B202" s="81"/>
      <c r="C202" s="81"/>
      <c r="D202" s="81"/>
      <c r="E202" s="83"/>
      <c r="F202" s="81"/>
      <c r="G202" s="83"/>
      <c r="H202" s="83"/>
      <c r="I202" s="84" t="str">
        <f aca="false">IF(E202="","",A202&amp;"_1.jpg")</f>
        <v/>
      </c>
      <c r="J202" s="84" t="str">
        <f aca="false">IF(E202="","",A202&amp;"_2.jpg; "&amp;A202&amp;"_3.jpg")</f>
        <v/>
      </c>
      <c r="K202" s="84" t="str">
        <f aca="false">IF(E202="","",A202&amp;"_schema.jpg")</f>
        <v/>
      </c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 t="s">
        <v>96</v>
      </c>
      <c r="W202" s="81"/>
      <c r="X202" s="81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6" t="str">
        <f aca="false">IF(SUM(Y202:AJ202)=0,"",SUM(Y202:AJ202))</f>
        <v/>
      </c>
      <c r="AL202" s="84" t="str">
        <f aca="false">MID(IF(N(Y202)&gt;0,", "&amp;Y$2,"")&amp;IF(N(Z202)&gt;0,", "&amp;Z$2,"")&amp;IF(N(AA202)&gt;0,", "&amp;AA$2,"")&amp;IF(N(AB202)&gt;0,", "&amp;AB$2,"")&amp;IF(N(AC202)&gt;0,", "&amp;AC$2,"")&amp;IF(N(AD202)&gt;0,", "&amp;AD$2,"")&amp;IF(N(AE202)&gt;0,", "&amp;AE$2,"")&amp;IF(N(AF202)&gt;0,", "&amp;AF$2,"")&amp;IF(N(AG202)&gt;0,", "&amp;AG$2,"")&amp;IF(N(AH202)&gt;0,", "&amp;AH$2,"")&amp;IF(N(AI202)&gt;0,", "&amp;AI$2,"")&amp;IF(N(AJ202)&gt;0,", "&amp;AJ$2,""),3,999)</f>
        <v/>
      </c>
      <c r="AM202" s="87" t="str">
        <f aca="false">IF(E202="","",MID(IF(N(Y202)&gt;0,", "&amp;A202&amp;"-"&amp;Y$2,"")&amp;IF(N(Z202)&gt;0,", "&amp;A202&amp;"-"&amp;Z$2,"")&amp;IF(N(AA202)&gt;0,", "&amp;A202&amp;"-"&amp;AA$2,"")&amp;IF(N(AB202)&gt;0,", "&amp;A202&amp;"-"&amp;AB$2,"")&amp;IF(N(AC202)&gt;0,", "&amp;A202&amp;"-"&amp;AC$2,"")&amp;IF(N(AD202)&gt;0,", "&amp;A202&amp;"-"&amp;AD$2,"")&amp;IF(N(AE202)&gt;0,", "&amp;A202&amp;"-"&amp;AE$2,"")&amp;IF(N(AF202)&gt;0,", "&amp;A202&amp;"-"&amp;AF$2,"")&amp;IF(N(AG202)&gt;0,", "&amp;A202&amp;"-"&amp;AG$2,"")&amp;IF(N(AH202)&gt;0,", "&amp;A202&amp;"-"&amp;AH$2,"")&amp;IF(N(AI202)&gt;0,", "&amp;A202&amp;"-"&amp;AI$2,"")&amp;IF(N(AJ202)&gt;0,", "&amp;A202&amp;"-"&amp;AJ$2,""),3,999))</f>
        <v/>
      </c>
      <c r="AN202" s="81"/>
      <c r="AO202" s="88"/>
      <c r="AP202" s="89" t="str">
        <f aca="false">IF(AO202="","",ROUND(AO202/(1+Справочники!$B$13),2))</f>
        <v/>
      </c>
      <c r="AQ202" s="90" t="str">
        <f aca="false" t="array" ref="AQ202:AQ202">IF(AP202="","",AP202*INDEX(Справочники!$B$4:$B$7,MATCH("RUB",Справочники!$A$4:$A$7,0)))</f>
        <v/>
      </c>
      <c r="AR202" s="90" t="str">
        <f aca="false">IF(AQ202="","",ROUND(AQ202*(1+Справочники!$B$12),0))</f>
        <v/>
      </c>
      <c r="AS202" s="90" t="str">
        <f aca="false">IF(AR202="","",ROUND(AR202*(1-Справочники!$B$11),0))</f>
        <v/>
      </c>
      <c r="AT202" s="88"/>
      <c r="AU202" s="90" t="str">
        <f aca="false">IF(AT202="","",ROUND(AT202/(1+Справочники!$B$12),0))</f>
        <v/>
      </c>
      <c r="AV202" s="90" t="str">
        <f aca="false">IF(AT202="","",ROUND(AT202*(1-Справочники!$B$15),0))</f>
        <v/>
      </c>
      <c r="AW202" s="90" t="str">
        <f aca="false">IF(AT202="","",ROUND(AT202*(1-Справочники!$B$16),0))</f>
        <v/>
      </c>
      <c r="AX202" s="90" t="str">
        <f aca="false">IF(AT202="","",ROUND(AT202*(1-Справочники!$B$17),0))</f>
        <v/>
      </c>
      <c r="AY202" s="90" t="str">
        <f aca="false">IF(AT202="","",ROUND(AT202*(1-Справочники!$B$18),0))</f>
        <v/>
      </c>
      <c r="AZ202" s="90" t="str">
        <f aca="false">IF(AT202="","",ROUND(AT202*(1-Справочники!$B$19),0))</f>
        <v/>
      </c>
      <c r="BA202" s="81"/>
      <c r="BB202" s="81"/>
      <c r="BC202" s="81"/>
      <c r="BD202" s="81"/>
      <c r="BE202" s="91"/>
      <c r="BF202" s="81" t="s">
        <v>103</v>
      </c>
      <c r="BG202" s="89" t="n">
        <f aca="false" t="array" ref="BG202:BG202">IF(BF202="","",IFERROR(INDEX(Справочники!$B$4:$B$7,MATCH(BF202,Справочники!$A$4:$A$7,0)),""))</f>
        <v>68.5</v>
      </c>
      <c r="BH202" s="90" t="str">
        <f aca="false">IF(N(BN202)&gt;0,ROUND(SUMIF(ЗАКАЗЫ!$F$3:$F$500,$A202,ЗАКАЗЫ!$Y$3:$Y$500)/BN202,0),IF(OR(BE202="",BG202=""),"",ROUND(BE202*BG202*(1+Справочники!$B$10),0)))</f>
        <v/>
      </c>
      <c r="BI202" s="92" t="str">
        <f aca="false">IF(OR(AU202="",BH202="",AU202=0),"",(AU202-BH202)/AU202)</f>
        <v/>
      </c>
      <c r="BJ202" s="81"/>
      <c r="BK202" s="83"/>
      <c r="BL202" s="43" t="str">
        <f aca="false">IFERROR(INDEX(ЗАКАЗЫ!$N$3:$N$500,MATCH($A202,ЗАКАЗЫ!$F$3:$F$500,0)),"")</f>
        <v/>
      </c>
      <c r="BM202" s="8" t="str">
        <f aca="false">IF(BL202="","",IFERROR(VLOOKUP(BL202,'ТН ВЭД'!$A$4:$C$40,3,0),""))</f>
        <v/>
      </c>
      <c r="BN202" s="7" t="str">
        <f aca="false">IF(COUNTIF(ЗАКАЗЫ!$F$3:$F$500,$A202)=0,"",SUMIF(ЗАКАЗЫ!$F$3:$F$500,$A202,ЗАКАЗЫ!$J$3:$J$500))</f>
        <v/>
      </c>
      <c r="BO202" s="7" t="str">
        <f aca="false">IF(BN202="","",SUMIF(ЗАКАЗЫ!$F$3:$F$500,$A202,ЗАКАЗЫ!$AL$3:$AL$500))</f>
        <v/>
      </c>
      <c r="BP202" s="7" t="str">
        <f aca="false">IF(BN202="","",BN202-BO202)</f>
        <v/>
      </c>
      <c r="BQ202" s="55" t="str">
        <f aca="false">IF(BN202="","",IF(BO202&gt;=BN202,"На складе",IF(BO202&gt;0,"Частично","Ждём")))</f>
        <v/>
      </c>
      <c r="BR202" s="43"/>
      <c r="BS202" s="47" t="str">
        <f aca="false">IF(BN202="","",IF(_xlfn.MAXIFS(ЗАКАЗЫ!$AK$3:$AK$500,ЗАКАЗЫ!$F$3:$F$500,$A202)=0,"",_xlfn.MAXIFS(ЗАКАЗЫ!$AK$3:$AK$500,ЗАКАЗЫ!$F$3:$F$500,$A202)))</f>
        <v/>
      </c>
    </row>
    <row r="203" customFormat="false" ht="15.75" hidden="false" customHeight="true" outlineLevel="0" collapsed="false">
      <c r="A203" s="80" t="s">
        <v>1404</v>
      </c>
      <c r="B203" s="81"/>
      <c r="C203" s="81"/>
      <c r="D203" s="81"/>
      <c r="E203" s="83"/>
      <c r="F203" s="81"/>
      <c r="G203" s="83"/>
      <c r="H203" s="83"/>
      <c r="I203" s="84" t="str">
        <f aca="false">IF(E203="","",A203&amp;"_1.jpg")</f>
        <v/>
      </c>
      <c r="J203" s="84" t="str">
        <f aca="false">IF(E203="","",A203&amp;"_2.jpg; "&amp;A203&amp;"_3.jpg")</f>
        <v/>
      </c>
      <c r="K203" s="84" t="str">
        <f aca="false">IF(E203="","",A203&amp;"_schema.jpg")</f>
        <v/>
      </c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 t="s">
        <v>96</v>
      </c>
      <c r="W203" s="81"/>
      <c r="X203" s="81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6" t="str">
        <f aca="false">IF(SUM(Y203:AJ203)=0,"",SUM(Y203:AJ203))</f>
        <v/>
      </c>
      <c r="AL203" s="84" t="str">
        <f aca="false">MID(IF(N(Y203)&gt;0,", "&amp;Y$2,"")&amp;IF(N(Z203)&gt;0,", "&amp;Z$2,"")&amp;IF(N(AA203)&gt;0,", "&amp;AA$2,"")&amp;IF(N(AB203)&gt;0,", "&amp;AB$2,"")&amp;IF(N(AC203)&gt;0,", "&amp;AC$2,"")&amp;IF(N(AD203)&gt;0,", "&amp;AD$2,"")&amp;IF(N(AE203)&gt;0,", "&amp;AE$2,"")&amp;IF(N(AF203)&gt;0,", "&amp;AF$2,"")&amp;IF(N(AG203)&gt;0,", "&amp;AG$2,"")&amp;IF(N(AH203)&gt;0,", "&amp;AH$2,"")&amp;IF(N(AI203)&gt;0,", "&amp;AI$2,"")&amp;IF(N(AJ203)&gt;0,", "&amp;AJ$2,""),3,999)</f>
        <v/>
      </c>
      <c r="AM203" s="87" t="str">
        <f aca="false">IF(E203="","",MID(IF(N(Y203)&gt;0,", "&amp;A203&amp;"-"&amp;Y$2,"")&amp;IF(N(Z203)&gt;0,", "&amp;A203&amp;"-"&amp;Z$2,"")&amp;IF(N(AA203)&gt;0,", "&amp;A203&amp;"-"&amp;AA$2,"")&amp;IF(N(AB203)&gt;0,", "&amp;A203&amp;"-"&amp;AB$2,"")&amp;IF(N(AC203)&gt;0,", "&amp;A203&amp;"-"&amp;AC$2,"")&amp;IF(N(AD203)&gt;0,", "&amp;A203&amp;"-"&amp;AD$2,"")&amp;IF(N(AE203)&gt;0,", "&amp;A203&amp;"-"&amp;AE$2,"")&amp;IF(N(AF203)&gt;0,", "&amp;A203&amp;"-"&amp;AF$2,"")&amp;IF(N(AG203)&gt;0,", "&amp;A203&amp;"-"&amp;AG$2,"")&amp;IF(N(AH203)&gt;0,", "&amp;A203&amp;"-"&amp;AH$2,"")&amp;IF(N(AI203)&gt;0,", "&amp;A203&amp;"-"&amp;AI$2,"")&amp;IF(N(AJ203)&gt;0,", "&amp;A203&amp;"-"&amp;AJ$2,""),3,999))</f>
        <v/>
      </c>
      <c r="AN203" s="81"/>
      <c r="AO203" s="88"/>
      <c r="AP203" s="89" t="str">
        <f aca="false">IF(AO203="","",ROUND(AO203/(1+Справочники!$B$13),2))</f>
        <v/>
      </c>
      <c r="AQ203" s="90" t="str">
        <f aca="false" t="array" ref="AQ203:AQ203">IF(AP203="","",AP203*INDEX(Справочники!$B$4:$B$7,MATCH("RUB",Справочники!$A$4:$A$7,0)))</f>
        <v/>
      </c>
      <c r="AR203" s="90" t="str">
        <f aca="false">IF(AQ203="","",ROUND(AQ203*(1+Справочники!$B$12),0))</f>
        <v/>
      </c>
      <c r="AS203" s="90" t="str">
        <f aca="false">IF(AR203="","",ROUND(AR203*(1-Справочники!$B$11),0))</f>
        <v/>
      </c>
      <c r="AT203" s="88"/>
      <c r="AU203" s="90" t="str">
        <f aca="false">IF(AT203="","",ROUND(AT203/(1+Справочники!$B$12),0))</f>
        <v/>
      </c>
      <c r="AV203" s="90" t="str">
        <f aca="false">IF(AT203="","",ROUND(AT203*(1-Справочники!$B$15),0))</f>
        <v/>
      </c>
      <c r="AW203" s="90" t="str">
        <f aca="false">IF(AT203="","",ROUND(AT203*(1-Справочники!$B$16),0))</f>
        <v/>
      </c>
      <c r="AX203" s="90" t="str">
        <f aca="false">IF(AT203="","",ROUND(AT203*(1-Справочники!$B$17),0))</f>
        <v/>
      </c>
      <c r="AY203" s="90" t="str">
        <f aca="false">IF(AT203="","",ROUND(AT203*(1-Справочники!$B$18),0))</f>
        <v/>
      </c>
      <c r="AZ203" s="90" t="str">
        <f aca="false">IF(AT203="","",ROUND(AT203*(1-Справочники!$B$19),0))</f>
        <v/>
      </c>
      <c r="BA203" s="81"/>
      <c r="BB203" s="81"/>
      <c r="BC203" s="81"/>
      <c r="BD203" s="81"/>
      <c r="BE203" s="91"/>
      <c r="BF203" s="81" t="s">
        <v>103</v>
      </c>
      <c r="BG203" s="89" t="n">
        <f aca="false" t="array" ref="BG203:BG203">IF(BF203="","",IFERROR(INDEX(Справочники!$B$4:$B$7,MATCH(BF203,Справочники!$A$4:$A$7,0)),""))</f>
        <v>68.5</v>
      </c>
      <c r="BH203" s="90" t="str">
        <f aca="false">IF(N(BN203)&gt;0,ROUND(SUMIF(ЗАКАЗЫ!$F$3:$F$500,$A203,ЗАКАЗЫ!$Y$3:$Y$500)/BN203,0),IF(OR(BE203="",BG203=""),"",ROUND(BE203*BG203*(1+Справочники!$B$10),0)))</f>
        <v/>
      </c>
      <c r="BI203" s="92" t="str">
        <f aca="false">IF(OR(AU203="",BH203="",AU203=0),"",(AU203-BH203)/AU203)</f>
        <v/>
      </c>
      <c r="BJ203" s="81"/>
      <c r="BK203" s="83"/>
      <c r="BL203" s="43" t="str">
        <f aca="false">IFERROR(INDEX(ЗАКАЗЫ!$N$3:$N$500,MATCH($A203,ЗАКАЗЫ!$F$3:$F$500,0)),"")</f>
        <v/>
      </c>
      <c r="BM203" s="8" t="str">
        <f aca="false">IF(BL203="","",IFERROR(VLOOKUP(BL203,'ТН ВЭД'!$A$4:$C$40,3,0),""))</f>
        <v/>
      </c>
      <c r="BN203" s="7" t="str">
        <f aca="false">IF(COUNTIF(ЗАКАЗЫ!$F$3:$F$500,$A203)=0,"",SUMIF(ЗАКАЗЫ!$F$3:$F$500,$A203,ЗАКАЗЫ!$J$3:$J$500))</f>
        <v/>
      </c>
      <c r="BO203" s="7" t="str">
        <f aca="false">IF(BN203="","",SUMIF(ЗАКАЗЫ!$F$3:$F$500,$A203,ЗАКАЗЫ!$AL$3:$AL$500))</f>
        <v/>
      </c>
      <c r="BP203" s="7" t="str">
        <f aca="false">IF(BN203="","",BN203-BO203)</f>
        <v/>
      </c>
      <c r="BQ203" s="55" t="str">
        <f aca="false">IF(BN203="","",IF(BO203&gt;=BN203,"На складе",IF(BO203&gt;0,"Частично","Ждём")))</f>
        <v/>
      </c>
      <c r="BR203" s="43"/>
      <c r="BS203" s="47" t="str">
        <f aca="false">IF(BN203="","",IF(_xlfn.MAXIFS(ЗАКАЗЫ!$AK$3:$AK$500,ЗАКАЗЫ!$F$3:$F$500,$A203)=0,"",_xlfn.MAXIFS(ЗАКАЗЫ!$AK$3:$AK$500,ЗАКАЗЫ!$F$3:$F$500,$A203)))</f>
        <v/>
      </c>
    </row>
    <row r="204" customFormat="false" ht="15.75" hidden="false" customHeight="true" outlineLevel="0" collapsed="false">
      <c r="A204" s="80" t="s">
        <v>1405</v>
      </c>
      <c r="B204" s="81"/>
      <c r="C204" s="81"/>
      <c r="D204" s="81"/>
      <c r="E204" s="83"/>
      <c r="F204" s="81"/>
      <c r="G204" s="83"/>
      <c r="H204" s="83"/>
      <c r="I204" s="84" t="str">
        <f aca="false">IF(E204="","",A204&amp;"_1.jpg")</f>
        <v/>
      </c>
      <c r="J204" s="84" t="str">
        <f aca="false">IF(E204="","",A204&amp;"_2.jpg; "&amp;A204&amp;"_3.jpg")</f>
        <v/>
      </c>
      <c r="K204" s="84" t="str">
        <f aca="false">IF(E204="","",A204&amp;"_schema.jpg")</f>
        <v/>
      </c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 t="s">
        <v>96</v>
      </c>
      <c r="W204" s="81"/>
      <c r="X204" s="81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6" t="str">
        <f aca="false">IF(SUM(Y204:AJ204)=0,"",SUM(Y204:AJ204))</f>
        <v/>
      </c>
      <c r="AL204" s="84" t="str">
        <f aca="false">MID(IF(N(Y204)&gt;0,", "&amp;Y$2,"")&amp;IF(N(Z204)&gt;0,", "&amp;Z$2,"")&amp;IF(N(AA204)&gt;0,", "&amp;AA$2,"")&amp;IF(N(AB204)&gt;0,", "&amp;AB$2,"")&amp;IF(N(AC204)&gt;0,", "&amp;AC$2,"")&amp;IF(N(AD204)&gt;0,", "&amp;AD$2,"")&amp;IF(N(AE204)&gt;0,", "&amp;AE$2,"")&amp;IF(N(AF204)&gt;0,", "&amp;AF$2,"")&amp;IF(N(AG204)&gt;0,", "&amp;AG$2,"")&amp;IF(N(AH204)&gt;0,", "&amp;AH$2,"")&amp;IF(N(AI204)&gt;0,", "&amp;AI$2,"")&amp;IF(N(AJ204)&gt;0,", "&amp;AJ$2,""),3,999)</f>
        <v/>
      </c>
      <c r="AM204" s="87" t="str">
        <f aca="false">IF(E204="","",MID(IF(N(Y204)&gt;0,", "&amp;A204&amp;"-"&amp;Y$2,"")&amp;IF(N(Z204)&gt;0,", "&amp;A204&amp;"-"&amp;Z$2,"")&amp;IF(N(AA204)&gt;0,", "&amp;A204&amp;"-"&amp;AA$2,"")&amp;IF(N(AB204)&gt;0,", "&amp;A204&amp;"-"&amp;AB$2,"")&amp;IF(N(AC204)&gt;0,", "&amp;A204&amp;"-"&amp;AC$2,"")&amp;IF(N(AD204)&gt;0,", "&amp;A204&amp;"-"&amp;AD$2,"")&amp;IF(N(AE204)&gt;0,", "&amp;A204&amp;"-"&amp;AE$2,"")&amp;IF(N(AF204)&gt;0,", "&amp;A204&amp;"-"&amp;AF$2,"")&amp;IF(N(AG204)&gt;0,", "&amp;A204&amp;"-"&amp;AG$2,"")&amp;IF(N(AH204)&gt;0,", "&amp;A204&amp;"-"&amp;AH$2,"")&amp;IF(N(AI204)&gt;0,", "&amp;A204&amp;"-"&amp;AI$2,"")&amp;IF(N(AJ204)&gt;0,", "&amp;A204&amp;"-"&amp;AJ$2,""),3,999))</f>
        <v/>
      </c>
      <c r="AN204" s="81"/>
      <c r="AO204" s="88"/>
      <c r="AP204" s="89" t="str">
        <f aca="false">IF(AO204="","",ROUND(AO204/(1+Справочники!$B$13),2))</f>
        <v/>
      </c>
      <c r="AQ204" s="90" t="str">
        <f aca="false" t="array" ref="AQ204:AQ204">IF(AP204="","",AP204*INDEX(Справочники!$B$4:$B$7,MATCH("RUB",Справочники!$A$4:$A$7,0)))</f>
        <v/>
      </c>
      <c r="AR204" s="90" t="str">
        <f aca="false">IF(AQ204="","",ROUND(AQ204*(1+Справочники!$B$12),0))</f>
        <v/>
      </c>
      <c r="AS204" s="90" t="str">
        <f aca="false">IF(AR204="","",ROUND(AR204*(1-Справочники!$B$11),0))</f>
        <v/>
      </c>
      <c r="AT204" s="88"/>
      <c r="AU204" s="90" t="str">
        <f aca="false">IF(AT204="","",ROUND(AT204/(1+Справочники!$B$12),0))</f>
        <v/>
      </c>
      <c r="AV204" s="90" t="str">
        <f aca="false">IF(AT204="","",ROUND(AT204*(1-Справочники!$B$15),0))</f>
        <v/>
      </c>
      <c r="AW204" s="90" t="str">
        <f aca="false">IF(AT204="","",ROUND(AT204*(1-Справочники!$B$16),0))</f>
        <v/>
      </c>
      <c r="AX204" s="90" t="str">
        <f aca="false">IF(AT204="","",ROUND(AT204*(1-Справочники!$B$17),0))</f>
        <v/>
      </c>
      <c r="AY204" s="90" t="str">
        <f aca="false">IF(AT204="","",ROUND(AT204*(1-Справочники!$B$18),0))</f>
        <v/>
      </c>
      <c r="AZ204" s="90" t="str">
        <f aca="false">IF(AT204="","",ROUND(AT204*(1-Справочники!$B$19),0))</f>
        <v/>
      </c>
      <c r="BA204" s="81"/>
      <c r="BB204" s="81"/>
      <c r="BC204" s="81"/>
      <c r="BD204" s="81"/>
      <c r="BE204" s="91"/>
      <c r="BF204" s="81" t="s">
        <v>103</v>
      </c>
      <c r="BG204" s="89" t="n">
        <f aca="false" t="array" ref="BG204:BG204">IF(BF204="","",IFERROR(INDEX(Справочники!$B$4:$B$7,MATCH(BF204,Справочники!$A$4:$A$7,0)),""))</f>
        <v>68.5</v>
      </c>
      <c r="BH204" s="90" t="str">
        <f aca="false">IF(N(BN204)&gt;0,ROUND(SUMIF(ЗАКАЗЫ!$F$3:$F$500,$A204,ЗАКАЗЫ!$Y$3:$Y$500)/BN204,0),IF(OR(BE204="",BG204=""),"",ROUND(BE204*BG204*(1+Справочники!$B$10),0)))</f>
        <v/>
      </c>
      <c r="BI204" s="92" t="str">
        <f aca="false">IF(OR(AU204="",BH204="",AU204=0),"",(AU204-BH204)/AU204)</f>
        <v/>
      </c>
      <c r="BJ204" s="81"/>
      <c r="BK204" s="83"/>
      <c r="BL204" s="43" t="str">
        <f aca="false">IFERROR(INDEX(ЗАКАЗЫ!$N$3:$N$500,MATCH($A204,ЗАКАЗЫ!$F$3:$F$500,0)),"")</f>
        <v/>
      </c>
      <c r="BM204" s="8" t="str">
        <f aca="false">IF(BL204="","",IFERROR(VLOOKUP(BL204,'ТН ВЭД'!$A$4:$C$40,3,0),""))</f>
        <v/>
      </c>
      <c r="BN204" s="7" t="str">
        <f aca="false">IF(COUNTIF(ЗАКАЗЫ!$F$3:$F$500,$A204)=0,"",SUMIF(ЗАКАЗЫ!$F$3:$F$500,$A204,ЗАКАЗЫ!$J$3:$J$500))</f>
        <v/>
      </c>
      <c r="BO204" s="7" t="str">
        <f aca="false">IF(BN204="","",SUMIF(ЗАКАЗЫ!$F$3:$F$500,$A204,ЗАКАЗЫ!$AL$3:$AL$500))</f>
        <v/>
      </c>
      <c r="BP204" s="7" t="str">
        <f aca="false">IF(BN204="","",BN204-BO204)</f>
        <v/>
      </c>
      <c r="BQ204" s="55" t="str">
        <f aca="false">IF(BN204="","",IF(BO204&gt;=BN204,"На складе",IF(BO204&gt;0,"Частично","Ждём")))</f>
        <v/>
      </c>
      <c r="BR204" s="43"/>
      <c r="BS204" s="47" t="str">
        <f aca="false">IF(BN204="","",IF(_xlfn.MAXIFS(ЗАКАЗЫ!$AK$3:$AK$500,ЗАКАЗЫ!$F$3:$F$500,$A204)=0,"",_xlfn.MAXIFS(ЗАКАЗЫ!$AK$3:$AK$500,ЗАКАЗЫ!$F$3:$F$500,$A204)))</f>
        <v/>
      </c>
    </row>
    <row r="205" customFormat="false" ht="15.75" hidden="false" customHeight="true" outlineLevel="0" collapsed="false">
      <c r="A205" s="80" t="s">
        <v>1406</v>
      </c>
      <c r="B205" s="81"/>
      <c r="C205" s="81"/>
      <c r="D205" s="81"/>
      <c r="E205" s="83"/>
      <c r="F205" s="81"/>
      <c r="G205" s="83"/>
      <c r="H205" s="83"/>
      <c r="I205" s="84" t="str">
        <f aca="false">IF(E205="","",A205&amp;"_1.jpg")</f>
        <v/>
      </c>
      <c r="J205" s="84" t="str">
        <f aca="false">IF(E205="","",A205&amp;"_2.jpg; "&amp;A205&amp;"_3.jpg")</f>
        <v/>
      </c>
      <c r="K205" s="84" t="str">
        <f aca="false">IF(E205="","",A205&amp;"_schema.jpg")</f>
        <v/>
      </c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 t="s">
        <v>96</v>
      </c>
      <c r="W205" s="81"/>
      <c r="X205" s="81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6" t="str">
        <f aca="false">IF(SUM(Y205:AJ205)=0,"",SUM(Y205:AJ205))</f>
        <v/>
      </c>
      <c r="AL205" s="84" t="str">
        <f aca="false">MID(IF(N(Y205)&gt;0,", "&amp;Y$2,"")&amp;IF(N(Z205)&gt;0,", "&amp;Z$2,"")&amp;IF(N(AA205)&gt;0,", "&amp;AA$2,"")&amp;IF(N(AB205)&gt;0,", "&amp;AB$2,"")&amp;IF(N(AC205)&gt;0,", "&amp;AC$2,"")&amp;IF(N(AD205)&gt;0,", "&amp;AD$2,"")&amp;IF(N(AE205)&gt;0,", "&amp;AE$2,"")&amp;IF(N(AF205)&gt;0,", "&amp;AF$2,"")&amp;IF(N(AG205)&gt;0,", "&amp;AG$2,"")&amp;IF(N(AH205)&gt;0,", "&amp;AH$2,"")&amp;IF(N(AI205)&gt;0,", "&amp;AI$2,"")&amp;IF(N(AJ205)&gt;0,", "&amp;AJ$2,""),3,999)</f>
        <v/>
      </c>
      <c r="AM205" s="87" t="str">
        <f aca="false">IF(E205="","",MID(IF(N(Y205)&gt;0,", "&amp;A205&amp;"-"&amp;Y$2,"")&amp;IF(N(Z205)&gt;0,", "&amp;A205&amp;"-"&amp;Z$2,"")&amp;IF(N(AA205)&gt;0,", "&amp;A205&amp;"-"&amp;AA$2,"")&amp;IF(N(AB205)&gt;0,", "&amp;A205&amp;"-"&amp;AB$2,"")&amp;IF(N(AC205)&gt;0,", "&amp;A205&amp;"-"&amp;AC$2,"")&amp;IF(N(AD205)&gt;0,", "&amp;A205&amp;"-"&amp;AD$2,"")&amp;IF(N(AE205)&gt;0,", "&amp;A205&amp;"-"&amp;AE$2,"")&amp;IF(N(AF205)&gt;0,", "&amp;A205&amp;"-"&amp;AF$2,"")&amp;IF(N(AG205)&gt;0,", "&amp;A205&amp;"-"&amp;AG$2,"")&amp;IF(N(AH205)&gt;0,", "&amp;A205&amp;"-"&amp;AH$2,"")&amp;IF(N(AI205)&gt;0,", "&amp;A205&amp;"-"&amp;AI$2,"")&amp;IF(N(AJ205)&gt;0,", "&amp;A205&amp;"-"&amp;AJ$2,""),3,999))</f>
        <v/>
      </c>
      <c r="AN205" s="81"/>
      <c r="AO205" s="88"/>
      <c r="AP205" s="89" t="str">
        <f aca="false">IF(AO205="","",ROUND(AO205/(1+Справочники!$B$13),2))</f>
        <v/>
      </c>
      <c r="AQ205" s="90" t="str">
        <f aca="false" t="array" ref="AQ205:AQ205">IF(AP205="","",AP205*INDEX(Справочники!$B$4:$B$7,MATCH("RUB",Справочники!$A$4:$A$7,0)))</f>
        <v/>
      </c>
      <c r="AR205" s="90" t="str">
        <f aca="false">IF(AQ205="","",ROUND(AQ205*(1+Справочники!$B$12),0))</f>
        <v/>
      </c>
      <c r="AS205" s="90" t="str">
        <f aca="false">IF(AR205="","",ROUND(AR205*(1-Справочники!$B$11),0))</f>
        <v/>
      </c>
      <c r="AT205" s="88"/>
      <c r="AU205" s="90" t="str">
        <f aca="false">IF(AT205="","",ROUND(AT205/(1+Справочники!$B$12),0))</f>
        <v/>
      </c>
      <c r="AV205" s="90" t="str">
        <f aca="false">IF(AT205="","",ROUND(AT205*(1-Справочники!$B$15),0))</f>
        <v/>
      </c>
      <c r="AW205" s="90" t="str">
        <f aca="false">IF(AT205="","",ROUND(AT205*(1-Справочники!$B$16),0))</f>
        <v/>
      </c>
      <c r="AX205" s="90" t="str">
        <f aca="false">IF(AT205="","",ROUND(AT205*(1-Справочники!$B$17),0))</f>
        <v/>
      </c>
      <c r="AY205" s="90" t="str">
        <f aca="false">IF(AT205="","",ROUND(AT205*(1-Справочники!$B$18),0))</f>
        <v/>
      </c>
      <c r="AZ205" s="90" t="str">
        <f aca="false">IF(AT205="","",ROUND(AT205*(1-Справочники!$B$19),0))</f>
        <v/>
      </c>
      <c r="BA205" s="81"/>
      <c r="BB205" s="81"/>
      <c r="BC205" s="81"/>
      <c r="BD205" s="81"/>
      <c r="BE205" s="91"/>
      <c r="BF205" s="81" t="s">
        <v>103</v>
      </c>
      <c r="BG205" s="89" t="n">
        <f aca="false" t="array" ref="BG205:BG205">IF(BF205="","",IFERROR(INDEX(Справочники!$B$4:$B$7,MATCH(BF205,Справочники!$A$4:$A$7,0)),""))</f>
        <v>68.5</v>
      </c>
      <c r="BH205" s="90" t="str">
        <f aca="false">IF(N(BN205)&gt;0,ROUND(SUMIF(ЗАКАЗЫ!$F$3:$F$500,$A205,ЗАКАЗЫ!$Y$3:$Y$500)/BN205,0),IF(OR(BE205="",BG205=""),"",ROUND(BE205*BG205*(1+Справочники!$B$10),0)))</f>
        <v/>
      </c>
      <c r="BI205" s="92" t="str">
        <f aca="false">IF(OR(AU205="",BH205="",AU205=0),"",(AU205-BH205)/AU205)</f>
        <v/>
      </c>
      <c r="BJ205" s="81"/>
      <c r="BK205" s="83"/>
      <c r="BL205" s="43" t="str">
        <f aca="false">IFERROR(INDEX(ЗАКАЗЫ!$N$3:$N$500,MATCH($A205,ЗАКАЗЫ!$F$3:$F$500,0)),"")</f>
        <v/>
      </c>
      <c r="BM205" s="8" t="str">
        <f aca="false">IF(BL205="","",IFERROR(VLOOKUP(BL205,'ТН ВЭД'!$A$4:$C$40,3,0),""))</f>
        <v/>
      </c>
      <c r="BN205" s="7" t="str">
        <f aca="false">IF(COUNTIF(ЗАКАЗЫ!$F$3:$F$500,$A205)=0,"",SUMIF(ЗАКАЗЫ!$F$3:$F$500,$A205,ЗАКАЗЫ!$J$3:$J$500))</f>
        <v/>
      </c>
      <c r="BO205" s="7" t="str">
        <f aca="false">IF(BN205="","",SUMIF(ЗАКАЗЫ!$F$3:$F$500,$A205,ЗАКАЗЫ!$AL$3:$AL$500))</f>
        <v/>
      </c>
      <c r="BP205" s="7" t="str">
        <f aca="false">IF(BN205="","",BN205-BO205)</f>
        <v/>
      </c>
      <c r="BQ205" s="55" t="str">
        <f aca="false">IF(BN205="","",IF(BO205&gt;=BN205,"На складе",IF(BO205&gt;0,"Частично","Ждём")))</f>
        <v/>
      </c>
      <c r="BR205" s="43"/>
      <c r="BS205" s="47" t="str">
        <f aca="false">IF(BN205="","",IF(_xlfn.MAXIFS(ЗАКАЗЫ!$AK$3:$AK$500,ЗАКАЗЫ!$F$3:$F$500,$A205)=0,"",_xlfn.MAXIFS(ЗАКАЗЫ!$AK$3:$AK$500,ЗАКАЗЫ!$F$3:$F$500,$A205)))</f>
        <v/>
      </c>
    </row>
    <row r="206" customFormat="false" ht="15.75" hidden="false" customHeight="true" outlineLevel="0" collapsed="false">
      <c r="A206" s="80" t="s">
        <v>1407</v>
      </c>
      <c r="B206" s="81"/>
      <c r="C206" s="81"/>
      <c r="D206" s="81"/>
      <c r="E206" s="83"/>
      <c r="F206" s="81"/>
      <c r="G206" s="83"/>
      <c r="H206" s="83"/>
      <c r="I206" s="84" t="str">
        <f aca="false">IF(E206="","",A206&amp;"_1.jpg")</f>
        <v/>
      </c>
      <c r="J206" s="84" t="str">
        <f aca="false">IF(E206="","",A206&amp;"_2.jpg; "&amp;A206&amp;"_3.jpg")</f>
        <v/>
      </c>
      <c r="K206" s="84" t="str">
        <f aca="false">IF(E206="","",A206&amp;"_schema.jpg")</f>
        <v/>
      </c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 t="s">
        <v>96</v>
      </c>
      <c r="W206" s="81"/>
      <c r="X206" s="81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6" t="str">
        <f aca="false">IF(SUM(Y206:AJ206)=0,"",SUM(Y206:AJ206))</f>
        <v/>
      </c>
      <c r="AL206" s="84" t="str">
        <f aca="false">MID(IF(N(Y206)&gt;0,", "&amp;Y$2,"")&amp;IF(N(Z206)&gt;0,", "&amp;Z$2,"")&amp;IF(N(AA206)&gt;0,", "&amp;AA$2,"")&amp;IF(N(AB206)&gt;0,", "&amp;AB$2,"")&amp;IF(N(AC206)&gt;0,", "&amp;AC$2,"")&amp;IF(N(AD206)&gt;0,", "&amp;AD$2,"")&amp;IF(N(AE206)&gt;0,", "&amp;AE$2,"")&amp;IF(N(AF206)&gt;0,", "&amp;AF$2,"")&amp;IF(N(AG206)&gt;0,", "&amp;AG$2,"")&amp;IF(N(AH206)&gt;0,", "&amp;AH$2,"")&amp;IF(N(AI206)&gt;0,", "&amp;AI$2,"")&amp;IF(N(AJ206)&gt;0,", "&amp;AJ$2,""),3,999)</f>
        <v/>
      </c>
      <c r="AM206" s="87" t="str">
        <f aca="false">IF(E206="","",MID(IF(N(Y206)&gt;0,", "&amp;A206&amp;"-"&amp;Y$2,"")&amp;IF(N(Z206)&gt;0,", "&amp;A206&amp;"-"&amp;Z$2,"")&amp;IF(N(AA206)&gt;0,", "&amp;A206&amp;"-"&amp;AA$2,"")&amp;IF(N(AB206)&gt;0,", "&amp;A206&amp;"-"&amp;AB$2,"")&amp;IF(N(AC206)&gt;0,", "&amp;A206&amp;"-"&amp;AC$2,"")&amp;IF(N(AD206)&gt;0,", "&amp;A206&amp;"-"&amp;AD$2,"")&amp;IF(N(AE206)&gt;0,", "&amp;A206&amp;"-"&amp;AE$2,"")&amp;IF(N(AF206)&gt;0,", "&amp;A206&amp;"-"&amp;AF$2,"")&amp;IF(N(AG206)&gt;0,", "&amp;A206&amp;"-"&amp;AG$2,"")&amp;IF(N(AH206)&gt;0,", "&amp;A206&amp;"-"&amp;AH$2,"")&amp;IF(N(AI206)&gt;0,", "&amp;A206&amp;"-"&amp;AI$2,"")&amp;IF(N(AJ206)&gt;0,", "&amp;A206&amp;"-"&amp;AJ$2,""),3,999))</f>
        <v/>
      </c>
      <c r="AN206" s="81"/>
      <c r="AO206" s="88"/>
      <c r="AP206" s="89" t="str">
        <f aca="false">IF(AO206="","",ROUND(AO206/(1+Справочники!$B$13),2))</f>
        <v/>
      </c>
      <c r="AQ206" s="90" t="str">
        <f aca="false" t="array" ref="AQ206:AQ206">IF(AP206="","",AP206*INDEX(Справочники!$B$4:$B$7,MATCH("RUB",Справочники!$A$4:$A$7,0)))</f>
        <v/>
      </c>
      <c r="AR206" s="90" t="str">
        <f aca="false">IF(AQ206="","",ROUND(AQ206*(1+Справочники!$B$12),0))</f>
        <v/>
      </c>
      <c r="AS206" s="90" t="str">
        <f aca="false">IF(AR206="","",ROUND(AR206*(1-Справочники!$B$11),0))</f>
        <v/>
      </c>
      <c r="AT206" s="88"/>
      <c r="AU206" s="90" t="str">
        <f aca="false">IF(AT206="","",ROUND(AT206/(1+Справочники!$B$12),0))</f>
        <v/>
      </c>
      <c r="AV206" s="90" t="str">
        <f aca="false">IF(AT206="","",ROUND(AT206*(1-Справочники!$B$15),0))</f>
        <v/>
      </c>
      <c r="AW206" s="90" t="str">
        <f aca="false">IF(AT206="","",ROUND(AT206*(1-Справочники!$B$16),0))</f>
        <v/>
      </c>
      <c r="AX206" s="90" t="str">
        <f aca="false">IF(AT206="","",ROUND(AT206*(1-Справочники!$B$17),0))</f>
        <v/>
      </c>
      <c r="AY206" s="90" t="str">
        <f aca="false">IF(AT206="","",ROUND(AT206*(1-Справочники!$B$18),0))</f>
        <v/>
      </c>
      <c r="AZ206" s="90" t="str">
        <f aca="false">IF(AT206="","",ROUND(AT206*(1-Справочники!$B$19),0))</f>
        <v/>
      </c>
      <c r="BA206" s="81"/>
      <c r="BB206" s="81"/>
      <c r="BC206" s="81"/>
      <c r="BD206" s="81"/>
      <c r="BE206" s="91"/>
      <c r="BF206" s="81" t="s">
        <v>103</v>
      </c>
      <c r="BG206" s="89" t="n">
        <f aca="false" t="array" ref="BG206:BG206">IF(BF206="","",IFERROR(INDEX(Справочники!$B$4:$B$7,MATCH(BF206,Справочники!$A$4:$A$7,0)),""))</f>
        <v>68.5</v>
      </c>
      <c r="BH206" s="90" t="str">
        <f aca="false">IF(N(BN206)&gt;0,ROUND(SUMIF(ЗАКАЗЫ!$F$3:$F$500,$A206,ЗАКАЗЫ!$Y$3:$Y$500)/BN206,0),IF(OR(BE206="",BG206=""),"",ROUND(BE206*BG206*(1+Справочники!$B$10),0)))</f>
        <v/>
      </c>
      <c r="BI206" s="92" t="str">
        <f aca="false">IF(OR(AU206="",BH206="",AU206=0),"",(AU206-BH206)/AU206)</f>
        <v/>
      </c>
      <c r="BJ206" s="81"/>
      <c r="BK206" s="83"/>
      <c r="BL206" s="43" t="str">
        <f aca="false">IFERROR(INDEX(ЗАКАЗЫ!$N$3:$N$500,MATCH($A206,ЗАКАЗЫ!$F$3:$F$500,0)),"")</f>
        <v/>
      </c>
      <c r="BM206" s="8" t="str">
        <f aca="false">IF(BL206="","",IFERROR(VLOOKUP(BL206,'ТН ВЭД'!$A$4:$C$40,3,0),""))</f>
        <v/>
      </c>
      <c r="BN206" s="7" t="str">
        <f aca="false">IF(COUNTIF(ЗАКАЗЫ!$F$3:$F$500,$A206)=0,"",SUMIF(ЗАКАЗЫ!$F$3:$F$500,$A206,ЗАКАЗЫ!$J$3:$J$500))</f>
        <v/>
      </c>
      <c r="BO206" s="7" t="str">
        <f aca="false">IF(BN206="","",SUMIF(ЗАКАЗЫ!$F$3:$F$500,$A206,ЗАКАЗЫ!$AL$3:$AL$500))</f>
        <v/>
      </c>
      <c r="BP206" s="7" t="str">
        <f aca="false">IF(BN206="","",BN206-BO206)</f>
        <v/>
      </c>
      <c r="BQ206" s="55" t="str">
        <f aca="false">IF(BN206="","",IF(BO206&gt;=BN206,"На складе",IF(BO206&gt;0,"Частично","Ждём")))</f>
        <v/>
      </c>
      <c r="BR206" s="43"/>
      <c r="BS206" s="47" t="str">
        <f aca="false">IF(BN206="","",IF(_xlfn.MAXIFS(ЗАКАЗЫ!$AK$3:$AK$500,ЗАКАЗЫ!$F$3:$F$500,$A206)=0,"",_xlfn.MAXIFS(ЗАКАЗЫ!$AK$3:$AK$500,ЗАКАЗЫ!$F$3:$F$500,$A206)))</f>
        <v/>
      </c>
    </row>
    <row r="207" customFormat="false" ht="15.75" hidden="false" customHeight="true" outlineLevel="0" collapsed="false">
      <c r="A207" s="80" t="s">
        <v>1408</v>
      </c>
      <c r="B207" s="81"/>
      <c r="C207" s="81"/>
      <c r="D207" s="81"/>
      <c r="E207" s="83"/>
      <c r="F207" s="81"/>
      <c r="G207" s="83"/>
      <c r="H207" s="83"/>
      <c r="I207" s="84" t="str">
        <f aca="false">IF(E207="","",A207&amp;"_1.jpg")</f>
        <v/>
      </c>
      <c r="J207" s="84" t="str">
        <f aca="false">IF(E207="","",A207&amp;"_2.jpg; "&amp;A207&amp;"_3.jpg")</f>
        <v/>
      </c>
      <c r="K207" s="84" t="str">
        <f aca="false">IF(E207="","",A207&amp;"_schema.jpg")</f>
        <v/>
      </c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 t="s">
        <v>96</v>
      </c>
      <c r="W207" s="81"/>
      <c r="X207" s="81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6" t="str">
        <f aca="false">IF(SUM(Y207:AJ207)=0,"",SUM(Y207:AJ207))</f>
        <v/>
      </c>
      <c r="AL207" s="84" t="str">
        <f aca="false">MID(IF(N(Y207)&gt;0,", "&amp;Y$2,"")&amp;IF(N(Z207)&gt;0,", "&amp;Z$2,"")&amp;IF(N(AA207)&gt;0,", "&amp;AA$2,"")&amp;IF(N(AB207)&gt;0,", "&amp;AB$2,"")&amp;IF(N(AC207)&gt;0,", "&amp;AC$2,"")&amp;IF(N(AD207)&gt;0,", "&amp;AD$2,"")&amp;IF(N(AE207)&gt;0,", "&amp;AE$2,"")&amp;IF(N(AF207)&gt;0,", "&amp;AF$2,"")&amp;IF(N(AG207)&gt;0,", "&amp;AG$2,"")&amp;IF(N(AH207)&gt;0,", "&amp;AH$2,"")&amp;IF(N(AI207)&gt;0,", "&amp;AI$2,"")&amp;IF(N(AJ207)&gt;0,", "&amp;AJ$2,""),3,999)</f>
        <v/>
      </c>
      <c r="AM207" s="87" t="str">
        <f aca="false">IF(E207="","",MID(IF(N(Y207)&gt;0,", "&amp;A207&amp;"-"&amp;Y$2,"")&amp;IF(N(Z207)&gt;0,", "&amp;A207&amp;"-"&amp;Z$2,"")&amp;IF(N(AA207)&gt;0,", "&amp;A207&amp;"-"&amp;AA$2,"")&amp;IF(N(AB207)&gt;0,", "&amp;A207&amp;"-"&amp;AB$2,"")&amp;IF(N(AC207)&gt;0,", "&amp;A207&amp;"-"&amp;AC$2,"")&amp;IF(N(AD207)&gt;0,", "&amp;A207&amp;"-"&amp;AD$2,"")&amp;IF(N(AE207)&gt;0,", "&amp;A207&amp;"-"&amp;AE$2,"")&amp;IF(N(AF207)&gt;0,", "&amp;A207&amp;"-"&amp;AF$2,"")&amp;IF(N(AG207)&gt;0,", "&amp;A207&amp;"-"&amp;AG$2,"")&amp;IF(N(AH207)&gt;0,", "&amp;A207&amp;"-"&amp;AH$2,"")&amp;IF(N(AI207)&gt;0,", "&amp;A207&amp;"-"&amp;AI$2,"")&amp;IF(N(AJ207)&gt;0,", "&amp;A207&amp;"-"&amp;AJ$2,""),3,999))</f>
        <v/>
      </c>
      <c r="AN207" s="81"/>
      <c r="AO207" s="88"/>
      <c r="AP207" s="89" t="str">
        <f aca="false">IF(AO207="","",ROUND(AO207/(1+Справочники!$B$13),2))</f>
        <v/>
      </c>
      <c r="AQ207" s="90" t="str">
        <f aca="false" t="array" ref="AQ207:AQ207">IF(AP207="","",AP207*INDEX(Справочники!$B$4:$B$7,MATCH("RUB",Справочники!$A$4:$A$7,0)))</f>
        <v/>
      </c>
      <c r="AR207" s="90" t="str">
        <f aca="false">IF(AQ207="","",ROUND(AQ207*(1+Справочники!$B$12),0))</f>
        <v/>
      </c>
      <c r="AS207" s="90" t="str">
        <f aca="false">IF(AR207="","",ROUND(AR207*(1-Справочники!$B$11),0))</f>
        <v/>
      </c>
      <c r="AT207" s="88"/>
      <c r="AU207" s="90" t="str">
        <f aca="false">IF(AT207="","",ROUND(AT207/(1+Справочники!$B$12),0))</f>
        <v/>
      </c>
      <c r="AV207" s="90" t="str">
        <f aca="false">IF(AT207="","",ROUND(AT207*(1-Справочники!$B$15),0))</f>
        <v/>
      </c>
      <c r="AW207" s="90" t="str">
        <f aca="false">IF(AT207="","",ROUND(AT207*(1-Справочники!$B$16),0))</f>
        <v/>
      </c>
      <c r="AX207" s="90" t="str">
        <f aca="false">IF(AT207="","",ROUND(AT207*(1-Справочники!$B$17),0))</f>
        <v/>
      </c>
      <c r="AY207" s="90" t="str">
        <f aca="false">IF(AT207="","",ROUND(AT207*(1-Справочники!$B$18),0))</f>
        <v/>
      </c>
      <c r="AZ207" s="90" t="str">
        <f aca="false">IF(AT207="","",ROUND(AT207*(1-Справочники!$B$19),0))</f>
        <v/>
      </c>
      <c r="BA207" s="81"/>
      <c r="BB207" s="81"/>
      <c r="BC207" s="81"/>
      <c r="BD207" s="81"/>
      <c r="BE207" s="91"/>
      <c r="BF207" s="81" t="s">
        <v>103</v>
      </c>
      <c r="BG207" s="89" t="n">
        <f aca="false" t="array" ref="BG207:BG207">IF(BF207="","",IFERROR(INDEX(Справочники!$B$4:$B$7,MATCH(BF207,Справочники!$A$4:$A$7,0)),""))</f>
        <v>68.5</v>
      </c>
      <c r="BH207" s="90" t="str">
        <f aca="false">IF(N(BN207)&gt;0,ROUND(SUMIF(ЗАКАЗЫ!$F$3:$F$500,$A207,ЗАКАЗЫ!$Y$3:$Y$500)/BN207,0),IF(OR(BE207="",BG207=""),"",ROUND(BE207*BG207*(1+Справочники!$B$10),0)))</f>
        <v/>
      </c>
      <c r="BI207" s="92" t="str">
        <f aca="false">IF(OR(AU207="",BH207="",AU207=0),"",(AU207-BH207)/AU207)</f>
        <v/>
      </c>
      <c r="BJ207" s="81"/>
      <c r="BK207" s="83"/>
      <c r="BL207" s="43" t="str">
        <f aca="false">IFERROR(INDEX(ЗАКАЗЫ!$N$3:$N$500,MATCH($A207,ЗАКАЗЫ!$F$3:$F$500,0)),"")</f>
        <v/>
      </c>
      <c r="BM207" s="8" t="str">
        <f aca="false">IF(BL207="","",IFERROR(VLOOKUP(BL207,'ТН ВЭД'!$A$4:$C$40,3,0),""))</f>
        <v/>
      </c>
      <c r="BN207" s="7" t="str">
        <f aca="false">IF(COUNTIF(ЗАКАЗЫ!$F$3:$F$500,$A207)=0,"",SUMIF(ЗАКАЗЫ!$F$3:$F$500,$A207,ЗАКАЗЫ!$J$3:$J$500))</f>
        <v/>
      </c>
      <c r="BO207" s="7" t="str">
        <f aca="false">IF(BN207="","",SUMIF(ЗАКАЗЫ!$F$3:$F$500,$A207,ЗАКАЗЫ!$AL$3:$AL$500))</f>
        <v/>
      </c>
      <c r="BP207" s="7" t="str">
        <f aca="false">IF(BN207="","",BN207-BO207)</f>
        <v/>
      </c>
      <c r="BQ207" s="55" t="str">
        <f aca="false">IF(BN207="","",IF(BO207&gt;=BN207,"На складе",IF(BO207&gt;0,"Частично","Ждём")))</f>
        <v/>
      </c>
      <c r="BR207" s="43"/>
      <c r="BS207" s="47" t="str">
        <f aca="false">IF(BN207="","",IF(_xlfn.MAXIFS(ЗАКАЗЫ!$AK$3:$AK$500,ЗАКАЗЫ!$F$3:$F$500,$A207)=0,"",_xlfn.MAXIFS(ЗАКАЗЫ!$AK$3:$AK$500,ЗАКАЗЫ!$F$3:$F$500,$A207)))</f>
        <v/>
      </c>
    </row>
    <row r="208" customFormat="false" ht="15.75" hidden="false" customHeight="true" outlineLevel="0" collapsed="false">
      <c r="A208" s="80" t="s">
        <v>1409</v>
      </c>
      <c r="B208" s="81"/>
      <c r="C208" s="81"/>
      <c r="D208" s="81"/>
      <c r="E208" s="83"/>
      <c r="F208" s="81"/>
      <c r="G208" s="83"/>
      <c r="H208" s="83"/>
      <c r="I208" s="84" t="str">
        <f aca="false">IF(E208="","",A208&amp;"_1.jpg")</f>
        <v/>
      </c>
      <c r="J208" s="84" t="str">
        <f aca="false">IF(E208="","",A208&amp;"_2.jpg; "&amp;A208&amp;"_3.jpg")</f>
        <v/>
      </c>
      <c r="K208" s="84" t="str">
        <f aca="false">IF(E208="","",A208&amp;"_schema.jpg")</f>
        <v/>
      </c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 t="s">
        <v>96</v>
      </c>
      <c r="W208" s="81"/>
      <c r="X208" s="81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6" t="str">
        <f aca="false">IF(SUM(Y208:AJ208)=0,"",SUM(Y208:AJ208))</f>
        <v/>
      </c>
      <c r="AL208" s="84" t="str">
        <f aca="false">MID(IF(N(Y208)&gt;0,", "&amp;Y$2,"")&amp;IF(N(Z208)&gt;0,", "&amp;Z$2,"")&amp;IF(N(AA208)&gt;0,", "&amp;AA$2,"")&amp;IF(N(AB208)&gt;0,", "&amp;AB$2,"")&amp;IF(N(AC208)&gt;0,", "&amp;AC$2,"")&amp;IF(N(AD208)&gt;0,", "&amp;AD$2,"")&amp;IF(N(AE208)&gt;0,", "&amp;AE$2,"")&amp;IF(N(AF208)&gt;0,", "&amp;AF$2,"")&amp;IF(N(AG208)&gt;0,", "&amp;AG$2,"")&amp;IF(N(AH208)&gt;0,", "&amp;AH$2,"")&amp;IF(N(AI208)&gt;0,", "&amp;AI$2,"")&amp;IF(N(AJ208)&gt;0,", "&amp;AJ$2,""),3,999)</f>
        <v/>
      </c>
      <c r="AM208" s="87" t="str">
        <f aca="false">IF(E208="","",MID(IF(N(Y208)&gt;0,", "&amp;A208&amp;"-"&amp;Y$2,"")&amp;IF(N(Z208)&gt;0,", "&amp;A208&amp;"-"&amp;Z$2,"")&amp;IF(N(AA208)&gt;0,", "&amp;A208&amp;"-"&amp;AA$2,"")&amp;IF(N(AB208)&gt;0,", "&amp;A208&amp;"-"&amp;AB$2,"")&amp;IF(N(AC208)&gt;0,", "&amp;A208&amp;"-"&amp;AC$2,"")&amp;IF(N(AD208)&gt;0,", "&amp;A208&amp;"-"&amp;AD$2,"")&amp;IF(N(AE208)&gt;0,", "&amp;A208&amp;"-"&amp;AE$2,"")&amp;IF(N(AF208)&gt;0,", "&amp;A208&amp;"-"&amp;AF$2,"")&amp;IF(N(AG208)&gt;0,", "&amp;A208&amp;"-"&amp;AG$2,"")&amp;IF(N(AH208)&gt;0,", "&amp;A208&amp;"-"&amp;AH$2,"")&amp;IF(N(AI208)&gt;0,", "&amp;A208&amp;"-"&amp;AI$2,"")&amp;IF(N(AJ208)&gt;0,", "&amp;A208&amp;"-"&amp;AJ$2,""),3,999))</f>
        <v/>
      </c>
      <c r="AN208" s="81"/>
      <c r="AO208" s="88"/>
      <c r="AP208" s="89" t="str">
        <f aca="false">IF(AO208="","",ROUND(AO208/(1+Справочники!$B$13),2))</f>
        <v/>
      </c>
      <c r="AQ208" s="90" t="str">
        <f aca="false" t="array" ref="AQ208:AQ208">IF(AP208="","",AP208*INDEX(Справочники!$B$4:$B$7,MATCH("RUB",Справочники!$A$4:$A$7,0)))</f>
        <v/>
      </c>
      <c r="AR208" s="90" t="str">
        <f aca="false">IF(AQ208="","",ROUND(AQ208*(1+Справочники!$B$12),0))</f>
        <v/>
      </c>
      <c r="AS208" s="90" t="str">
        <f aca="false">IF(AR208="","",ROUND(AR208*(1-Справочники!$B$11),0))</f>
        <v/>
      </c>
      <c r="AT208" s="88"/>
      <c r="AU208" s="90" t="str">
        <f aca="false">IF(AT208="","",ROUND(AT208/(1+Справочники!$B$12),0))</f>
        <v/>
      </c>
      <c r="AV208" s="90" t="str">
        <f aca="false">IF(AT208="","",ROUND(AT208*(1-Справочники!$B$15),0))</f>
        <v/>
      </c>
      <c r="AW208" s="90" t="str">
        <f aca="false">IF(AT208="","",ROUND(AT208*(1-Справочники!$B$16),0))</f>
        <v/>
      </c>
      <c r="AX208" s="90" t="str">
        <f aca="false">IF(AT208="","",ROUND(AT208*(1-Справочники!$B$17),0))</f>
        <v/>
      </c>
      <c r="AY208" s="90" t="str">
        <f aca="false">IF(AT208="","",ROUND(AT208*(1-Справочники!$B$18),0))</f>
        <v/>
      </c>
      <c r="AZ208" s="90" t="str">
        <f aca="false">IF(AT208="","",ROUND(AT208*(1-Справочники!$B$19),0))</f>
        <v/>
      </c>
      <c r="BA208" s="81"/>
      <c r="BB208" s="81"/>
      <c r="BC208" s="81"/>
      <c r="BD208" s="81"/>
      <c r="BE208" s="91"/>
      <c r="BF208" s="81" t="s">
        <v>103</v>
      </c>
      <c r="BG208" s="89" t="n">
        <f aca="false" t="array" ref="BG208:BG208">IF(BF208="","",IFERROR(INDEX(Справочники!$B$4:$B$7,MATCH(BF208,Справочники!$A$4:$A$7,0)),""))</f>
        <v>68.5</v>
      </c>
      <c r="BH208" s="90" t="str">
        <f aca="false">IF(N(BN208)&gt;0,ROUND(SUMIF(ЗАКАЗЫ!$F$3:$F$500,$A208,ЗАКАЗЫ!$Y$3:$Y$500)/BN208,0),IF(OR(BE208="",BG208=""),"",ROUND(BE208*BG208*(1+Справочники!$B$10),0)))</f>
        <v/>
      </c>
      <c r="BI208" s="92" t="str">
        <f aca="false">IF(OR(AU208="",BH208="",AU208=0),"",(AU208-BH208)/AU208)</f>
        <v/>
      </c>
      <c r="BJ208" s="81"/>
      <c r="BK208" s="83"/>
      <c r="BL208" s="43" t="str">
        <f aca="false">IFERROR(INDEX(ЗАКАЗЫ!$N$3:$N$500,MATCH($A208,ЗАКАЗЫ!$F$3:$F$500,0)),"")</f>
        <v/>
      </c>
      <c r="BM208" s="8" t="str">
        <f aca="false">IF(BL208="","",IFERROR(VLOOKUP(BL208,'ТН ВЭД'!$A$4:$C$40,3,0),""))</f>
        <v/>
      </c>
      <c r="BN208" s="7" t="str">
        <f aca="false">IF(COUNTIF(ЗАКАЗЫ!$F$3:$F$500,$A208)=0,"",SUMIF(ЗАКАЗЫ!$F$3:$F$500,$A208,ЗАКАЗЫ!$J$3:$J$500))</f>
        <v/>
      </c>
      <c r="BO208" s="7" t="str">
        <f aca="false">IF(BN208="","",SUMIF(ЗАКАЗЫ!$F$3:$F$500,$A208,ЗАКАЗЫ!$AL$3:$AL$500))</f>
        <v/>
      </c>
      <c r="BP208" s="7" t="str">
        <f aca="false">IF(BN208="","",BN208-BO208)</f>
        <v/>
      </c>
      <c r="BQ208" s="55" t="str">
        <f aca="false">IF(BN208="","",IF(BO208&gt;=BN208,"На складе",IF(BO208&gt;0,"Частично","Ждём")))</f>
        <v/>
      </c>
      <c r="BR208" s="43"/>
      <c r="BS208" s="47" t="str">
        <f aca="false">IF(BN208="","",IF(_xlfn.MAXIFS(ЗАКАЗЫ!$AK$3:$AK$500,ЗАКАЗЫ!$F$3:$F$500,$A208)=0,"",_xlfn.MAXIFS(ЗАКАЗЫ!$AK$3:$AK$500,ЗАКАЗЫ!$F$3:$F$500,$A208)))</f>
        <v/>
      </c>
    </row>
    <row r="209" customFormat="false" ht="15.75" hidden="false" customHeight="true" outlineLevel="0" collapsed="false">
      <c r="A209" s="80" t="s">
        <v>1410</v>
      </c>
      <c r="B209" s="81"/>
      <c r="C209" s="81"/>
      <c r="D209" s="81"/>
      <c r="E209" s="83"/>
      <c r="F209" s="81"/>
      <c r="G209" s="83"/>
      <c r="H209" s="83"/>
      <c r="I209" s="84" t="str">
        <f aca="false">IF(E209="","",A209&amp;"_1.jpg")</f>
        <v/>
      </c>
      <c r="J209" s="84" t="str">
        <f aca="false">IF(E209="","",A209&amp;"_2.jpg; "&amp;A209&amp;"_3.jpg")</f>
        <v/>
      </c>
      <c r="K209" s="84" t="str">
        <f aca="false">IF(E209="","",A209&amp;"_schema.jpg")</f>
        <v/>
      </c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 t="s">
        <v>96</v>
      </c>
      <c r="W209" s="81"/>
      <c r="X209" s="81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6" t="str">
        <f aca="false">IF(SUM(Y209:AJ209)=0,"",SUM(Y209:AJ209))</f>
        <v/>
      </c>
      <c r="AL209" s="84" t="str">
        <f aca="false">MID(IF(N(Y209)&gt;0,", "&amp;Y$2,"")&amp;IF(N(Z209)&gt;0,", "&amp;Z$2,"")&amp;IF(N(AA209)&gt;0,", "&amp;AA$2,"")&amp;IF(N(AB209)&gt;0,", "&amp;AB$2,"")&amp;IF(N(AC209)&gt;0,", "&amp;AC$2,"")&amp;IF(N(AD209)&gt;0,", "&amp;AD$2,"")&amp;IF(N(AE209)&gt;0,", "&amp;AE$2,"")&amp;IF(N(AF209)&gt;0,", "&amp;AF$2,"")&amp;IF(N(AG209)&gt;0,", "&amp;AG$2,"")&amp;IF(N(AH209)&gt;0,", "&amp;AH$2,"")&amp;IF(N(AI209)&gt;0,", "&amp;AI$2,"")&amp;IF(N(AJ209)&gt;0,", "&amp;AJ$2,""),3,999)</f>
        <v/>
      </c>
      <c r="AM209" s="87" t="str">
        <f aca="false">IF(E209="","",MID(IF(N(Y209)&gt;0,", "&amp;A209&amp;"-"&amp;Y$2,"")&amp;IF(N(Z209)&gt;0,", "&amp;A209&amp;"-"&amp;Z$2,"")&amp;IF(N(AA209)&gt;0,", "&amp;A209&amp;"-"&amp;AA$2,"")&amp;IF(N(AB209)&gt;0,", "&amp;A209&amp;"-"&amp;AB$2,"")&amp;IF(N(AC209)&gt;0,", "&amp;A209&amp;"-"&amp;AC$2,"")&amp;IF(N(AD209)&gt;0,", "&amp;A209&amp;"-"&amp;AD$2,"")&amp;IF(N(AE209)&gt;0,", "&amp;A209&amp;"-"&amp;AE$2,"")&amp;IF(N(AF209)&gt;0,", "&amp;A209&amp;"-"&amp;AF$2,"")&amp;IF(N(AG209)&gt;0,", "&amp;A209&amp;"-"&amp;AG$2,"")&amp;IF(N(AH209)&gt;0,", "&amp;A209&amp;"-"&amp;AH$2,"")&amp;IF(N(AI209)&gt;0,", "&amp;A209&amp;"-"&amp;AI$2,"")&amp;IF(N(AJ209)&gt;0,", "&amp;A209&amp;"-"&amp;AJ$2,""),3,999))</f>
        <v/>
      </c>
      <c r="AN209" s="81"/>
      <c r="AO209" s="88"/>
      <c r="AP209" s="89" t="str">
        <f aca="false">IF(AO209="","",ROUND(AO209/(1+Справочники!$B$13),2))</f>
        <v/>
      </c>
      <c r="AQ209" s="90" t="str">
        <f aca="false" t="array" ref="AQ209:AQ209">IF(AP209="","",AP209*INDEX(Справочники!$B$4:$B$7,MATCH("RUB",Справочники!$A$4:$A$7,0)))</f>
        <v/>
      </c>
      <c r="AR209" s="90" t="str">
        <f aca="false">IF(AQ209="","",ROUND(AQ209*(1+Справочники!$B$12),0))</f>
        <v/>
      </c>
      <c r="AS209" s="90" t="str">
        <f aca="false">IF(AR209="","",ROUND(AR209*(1-Справочники!$B$11),0))</f>
        <v/>
      </c>
      <c r="AT209" s="88"/>
      <c r="AU209" s="90" t="str">
        <f aca="false">IF(AT209="","",ROUND(AT209/(1+Справочники!$B$12),0))</f>
        <v/>
      </c>
      <c r="AV209" s="90" t="str">
        <f aca="false">IF(AT209="","",ROUND(AT209*(1-Справочники!$B$15),0))</f>
        <v/>
      </c>
      <c r="AW209" s="90" t="str">
        <f aca="false">IF(AT209="","",ROUND(AT209*(1-Справочники!$B$16),0))</f>
        <v/>
      </c>
      <c r="AX209" s="90" t="str">
        <f aca="false">IF(AT209="","",ROUND(AT209*(1-Справочники!$B$17),0))</f>
        <v/>
      </c>
      <c r="AY209" s="90" t="str">
        <f aca="false">IF(AT209="","",ROUND(AT209*(1-Справочники!$B$18),0))</f>
        <v/>
      </c>
      <c r="AZ209" s="90" t="str">
        <f aca="false">IF(AT209="","",ROUND(AT209*(1-Справочники!$B$19),0))</f>
        <v/>
      </c>
      <c r="BA209" s="81"/>
      <c r="BB209" s="81"/>
      <c r="BC209" s="81"/>
      <c r="BD209" s="81"/>
      <c r="BE209" s="91"/>
      <c r="BF209" s="81" t="s">
        <v>103</v>
      </c>
      <c r="BG209" s="89" t="n">
        <f aca="false" t="array" ref="BG209:BG209">IF(BF209="","",IFERROR(INDEX(Справочники!$B$4:$B$7,MATCH(BF209,Справочники!$A$4:$A$7,0)),""))</f>
        <v>68.5</v>
      </c>
      <c r="BH209" s="90" t="str">
        <f aca="false">IF(N(BN209)&gt;0,ROUND(SUMIF(ЗАКАЗЫ!$F$3:$F$500,$A209,ЗАКАЗЫ!$Y$3:$Y$500)/BN209,0),IF(OR(BE209="",BG209=""),"",ROUND(BE209*BG209*(1+Справочники!$B$10),0)))</f>
        <v/>
      </c>
      <c r="BI209" s="92" t="str">
        <f aca="false">IF(OR(AU209="",BH209="",AU209=0),"",(AU209-BH209)/AU209)</f>
        <v/>
      </c>
      <c r="BJ209" s="81"/>
      <c r="BK209" s="83"/>
      <c r="BL209" s="43" t="str">
        <f aca="false">IFERROR(INDEX(ЗАКАЗЫ!$N$3:$N$500,MATCH($A209,ЗАКАЗЫ!$F$3:$F$500,0)),"")</f>
        <v/>
      </c>
      <c r="BM209" s="8" t="str">
        <f aca="false">IF(BL209="","",IFERROR(VLOOKUP(BL209,'ТН ВЭД'!$A$4:$C$40,3,0),""))</f>
        <v/>
      </c>
      <c r="BN209" s="7" t="str">
        <f aca="false">IF(COUNTIF(ЗАКАЗЫ!$F$3:$F$500,$A209)=0,"",SUMIF(ЗАКАЗЫ!$F$3:$F$500,$A209,ЗАКАЗЫ!$J$3:$J$500))</f>
        <v/>
      </c>
      <c r="BO209" s="7" t="str">
        <f aca="false">IF(BN209="","",SUMIF(ЗАКАЗЫ!$F$3:$F$500,$A209,ЗАКАЗЫ!$AL$3:$AL$500))</f>
        <v/>
      </c>
      <c r="BP209" s="7" t="str">
        <f aca="false">IF(BN209="","",BN209-BO209)</f>
        <v/>
      </c>
      <c r="BQ209" s="55" t="str">
        <f aca="false">IF(BN209="","",IF(BO209&gt;=BN209,"На складе",IF(BO209&gt;0,"Частично","Ждём")))</f>
        <v/>
      </c>
      <c r="BR209" s="43"/>
      <c r="BS209" s="47" t="str">
        <f aca="false">IF(BN209="","",IF(_xlfn.MAXIFS(ЗАКАЗЫ!$AK$3:$AK$500,ЗАКАЗЫ!$F$3:$F$500,$A209)=0,"",_xlfn.MAXIFS(ЗАКАЗЫ!$AK$3:$AK$500,ЗАКАЗЫ!$F$3:$F$500,$A209)))</f>
        <v/>
      </c>
    </row>
    <row r="210" customFormat="false" ht="15.75" hidden="false" customHeight="true" outlineLevel="0" collapsed="false">
      <c r="A210" s="80" t="s">
        <v>1411</v>
      </c>
      <c r="B210" s="81"/>
      <c r="C210" s="81"/>
      <c r="D210" s="81"/>
      <c r="E210" s="83"/>
      <c r="F210" s="81"/>
      <c r="G210" s="83"/>
      <c r="H210" s="83"/>
      <c r="I210" s="84" t="str">
        <f aca="false">IF(E210="","",A210&amp;"_1.jpg")</f>
        <v/>
      </c>
      <c r="J210" s="84" t="str">
        <f aca="false">IF(E210="","",A210&amp;"_2.jpg; "&amp;A210&amp;"_3.jpg")</f>
        <v/>
      </c>
      <c r="K210" s="84" t="str">
        <f aca="false">IF(E210="","",A210&amp;"_schema.jpg")</f>
        <v/>
      </c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 t="s">
        <v>96</v>
      </c>
      <c r="W210" s="81"/>
      <c r="X210" s="81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6" t="str">
        <f aca="false">IF(SUM(Y210:AJ210)=0,"",SUM(Y210:AJ210))</f>
        <v/>
      </c>
      <c r="AL210" s="84" t="str">
        <f aca="false">MID(IF(N(Y210)&gt;0,", "&amp;Y$2,"")&amp;IF(N(Z210)&gt;0,", "&amp;Z$2,"")&amp;IF(N(AA210)&gt;0,", "&amp;AA$2,"")&amp;IF(N(AB210)&gt;0,", "&amp;AB$2,"")&amp;IF(N(AC210)&gt;0,", "&amp;AC$2,"")&amp;IF(N(AD210)&gt;0,", "&amp;AD$2,"")&amp;IF(N(AE210)&gt;0,", "&amp;AE$2,"")&amp;IF(N(AF210)&gt;0,", "&amp;AF$2,"")&amp;IF(N(AG210)&gt;0,", "&amp;AG$2,"")&amp;IF(N(AH210)&gt;0,", "&amp;AH$2,"")&amp;IF(N(AI210)&gt;0,", "&amp;AI$2,"")&amp;IF(N(AJ210)&gt;0,", "&amp;AJ$2,""),3,999)</f>
        <v/>
      </c>
      <c r="AM210" s="87" t="str">
        <f aca="false">IF(E210="","",MID(IF(N(Y210)&gt;0,", "&amp;A210&amp;"-"&amp;Y$2,"")&amp;IF(N(Z210)&gt;0,", "&amp;A210&amp;"-"&amp;Z$2,"")&amp;IF(N(AA210)&gt;0,", "&amp;A210&amp;"-"&amp;AA$2,"")&amp;IF(N(AB210)&gt;0,", "&amp;A210&amp;"-"&amp;AB$2,"")&amp;IF(N(AC210)&gt;0,", "&amp;A210&amp;"-"&amp;AC$2,"")&amp;IF(N(AD210)&gt;0,", "&amp;A210&amp;"-"&amp;AD$2,"")&amp;IF(N(AE210)&gt;0,", "&amp;A210&amp;"-"&amp;AE$2,"")&amp;IF(N(AF210)&gt;0,", "&amp;A210&amp;"-"&amp;AF$2,"")&amp;IF(N(AG210)&gt;0,", "&amp;A210&amp;"-"&amp;AG$2,"")&amp;IF(N(AH210)&gt;0,", "&amp;A210&amp;"-"&amp;AH$2,"")&amp;IF(N(AI210)&gt;0,", "&amp;A210&amp;"-"&amp;AI$2,"")&amp;IF(N(AJ210)&gt;0,", "&amp;A210&amp;"-"&amp;AJ$2,""),3,999))</f>
        <v/>
      </c>
      <c r="AN210" s="81"/>
      <c r="AO210" s="88"/>
      <c r="AP210" s="89" t="str">
        <f aca="false">IF(AO210="","",ROUND(AO210/(1+Справочники!$B$13),2))</f>
        <v/>
      </c>
      <c r="AQ210" s="90" t="str">
        <f aca="false" t="array" ref="AQ210:AQ210">IF(AP210="","",AP210*INDEX(Справочники!$B$4:$B$7,MATCH("RUB",Справочники!$A$4:$A$7,0)))</f>
        <v/>
      </c>
      <c r="AR210" s="90" t="str">
        <f aca="false">IF(AQ210="","",ROUND(AQ210*(1+Справочники!$B$12),0))</f>
        <v/>
      </c>
      <c r="AS210" s="90" t="str">
        <f aca="false">IF(AR210="","",ROUND(AR210*(1-Справочники!$B$11),0))</f>
        <v/>
      </c>
      <c r="AT210" s="88"/>
      <c r="AU210" s="90" t="str">
        <f aca="false">IF(AT210="","",ROUND(AT210/(1+Справочники!$B$12),0))</f>
        <v/>
      </c>
      <c r="AV210" s="90" t="str">
        <f aca="false">IF(AT210="","",ROUND(AT210*(1-Справочники!$B$15),0))</f>
        <v/>
      </c>
      <c r="AW210" s="90" t="str">
        <f aca="false">IF(AT210="","",ROUND(AT210*(1-Справочники!$B$16),0))</f>
        <v/>
      </c>
      <c r="AX210" s="90" t="str">
        <f aca="false">IF(AT210="","",ROUND(AT210*(1-Справочники!$B$17),0))</f>
        <v/>
      </c>
      <c r="AY210" s="90" t="str">
        <f aca="false">IF(AT210="","",ROUND(AT210*(1-Справочники!$B$18),0))</f>
        <v/>
      </c>
      <c r="AZ210" s="90" t="str">
        <f aca="false">IF(AT210="","",ROUND(AT210*(1-Справочники!$B$19),0))</f>
        <v/>
      </c>
      <c r="BA210" s="81"/>
      <c r="BB210" s="81"/>
      <c r="BC210" s="81"/>
      <c r="BD210" s="81"/>
      <c r="BE210" s="91"/>
      <c r="BF210" s="81" t="s">
        <v>103</v>
      </c>
      <c r="BG210" s="89" t="n">
        <f aca="false" t="array" ref="BG210:BG210">IF(BF210="","",IFERROR(INDEX(Справочники!$B$4:$B$7,MATCH(BF210,Справочники!$A$4:$A$7,0)),""))</f>
        <v>68.5</v>
      </c>
      <c r="BH210" s="90" t="str">
        <f aca="false">IF(N(BN210)&gt;0,ROUND(SUMIF(ЗАКАЗЫ!$F$3:$F$500,$A210,ЗАКАЗЫ!$Y$3:$Y$500)/BN210,0),IF(OR(BE210="",BG210=""),"",ROUND(BE210*BG210*(1+Справочники!$B$10),0)))</f>
        <v/>
      </c>
      <c r="BI210" s="92" t="str">
        <f aca="false">IF(OR(AU210="",BH210="",AU210=0),"",(AU210-BH210)/AU210)</f>
        <v/>
      </c>
      <c r="BJ210" s="81"/>
      <c r="BK210" s="83"/>
      <c r="BL210" s="43" t="str">
        <f aca="false">IFERROR(INDEX(ЗАКАЗЫ!$N$3:$N$500,MATCH($A210,ЗАКАЗЫ!$F$3:$F$500,0)),"")</f>
        <v/>
      </c>
      <c r="BM210" s="8" t="str">
        <f aca="false">IF(BL210="","",IFERROR(VLOOKUP(BL210,'ТН ВЭД'!$A$4:$C$40,3,0),""))</f>
        <v/>
      </c>
      <c r="BN210" s="7" t="str">
        <f aca="false">IF(COUNTIF(ЗАКАЗЫ!$F$3:$F$500,$A210)=0,"",SUMIF(ЗАКАЗЫ!$F$3:$F$500,$A210,ЗАКАЗЫ!$J$3:$J$500))</f>
        <v/>
      </c>
      <c r="BO210" s="7" t="str">
        <f aca="false">IF(BN210="","",SUMIF(ЗАКАЗЫ!$F$3:$F$500,$A210,ЗАКАЗЫ!$AL$3:$AL$500))</f>
        <v/>
      </c>
      <c r="BP210" s="7" t="str">
        <f aca="false">IF(BN210="","",BN210-BO210)</f>
        <v/>
      </c>
      <c r="BQ210" s="55" t="str">
        <f aca="false">IF(BN210="","",IF(BO210&gt;=BN210,"На складе",IF(BO210&gt;0,"Частично","Ждём")))</f>
        <v/>
      </c>
      <c r="BR210" s="43"/>
      <c r="BS210" s="47" t="str">
        <f aca="false">IF(BN210="","",IF(_xlfn.MAXIFS(ЗАКАЗЫ!$AK$3:$AK$500,ЗАКАЗЫ!$F$3:$F$500,$A210)=0,"",_xlfn.MAXIFS(ЗАКАЗЫ!$AK$3:$AK$500,ЗАКАЗЫ!$F$3:$F$500,$A210)))</f>
        <v/>
      </c>
    </row>
    <row r="211" customFormat="false" ht="15.75" hidden="false" customHeight="true" outlineLevel="0" collapsed="false">
      <c r="A211" s="80" t="s">
        <v>1412</v>
      </c>
      <c r="B211" s="81"/>
      <c r="C211" s="81"/>
      <c r="D211" s="81"/>
      <c r="E211" s="83"/>
      <c r="F211" s="81"/>
      <c r="G211" s="83"/>
      <c r="H211" s="83"/>
      <c r="I211" s="84" t="str">
        <f aca="false">IF(E211="","",A211&amp;"_1.jpg")</f>
        <v/>
      </c>
      <c r="J211" s="84" t="str">
        <f aca="false">IF(E211="","",A211&amp;"_2.jpg; "&amp;A211&amp;"_3.jpg")</f>
        <v/>
      </c>
      <c r="K211" s="84" t="str">
        <f aca="false">IF(E211="","",A211&amp;"_schema.jpg")</f>
        <v/>
      </c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 t="s">
        <v>96</v>
      </c>
      <c r="W211" s="81"/>
      <c r="X211" s="81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6" t="str">
        <f aca="false">IF(SUM(Y211:AJ211)=0,"",SUM(Y211:AJ211))</f>
        <v/>
      </c>
      <c r="AL211" s="84" t="str">
        <f aca="false">MID(IF(N(Y211)&gt;0,", "&amp;Y$2,"")&amp;IF(N(Z211)&gt;0,", "&amp;Z$2,"")&amp;IF(N(AA211)&gt;0,", "&amp;AA$2,"")&amp;IF(N(AB211)&gt;0,", "&amp;AB$2,"")&amp;IF(N(AC211)&gt;0,", "&amp;AC$2,"")&amp;IF(N(AD211)&gt;0,", "&amp;AD$2,"")&amp;IF(N(AE211)&gt;0,", "&amp;AE$2,"")&amp;IF(N(AF211)&gt;0,", "&amp;AF$2,"")&amp;IF(N(AG211)&gt;0,", "&amp;AG$2,"")&amp;IF(N(AH211)&gt;0,", "&amp;AH$2,"")&amp;IF(N(AI211)&gt;0,", "&amp;AI$2,"")&amp;IF(N(AJ211)&gt;0,", "&amp;AJ$2,""),3,999)</f>
        <v/>
      </c>
      <c r="AM211" s="87" t="str">
        <f aca="false">IF(E211="","",MID(IF(N(Y211)&gt;0,", "&amp;A211&amp;"-"&amp;Y$2,"")&amp;IF(N(Z211)&gt;0,", "&amp;A211&amp;"-"&amp;Z$2,"")&amp;IF(N(AA211)&gt;0,", "&amp;A211&amp;"-"&amp;AA$2,"")&amp;IF(N(AB211)&gt;0,", "&amp;A211&amp;"-"&amp;AB$2,"")&amp;IF(N(AC211)&gt;0,", "&amp;A211&amp;"-"&amp;AC$2,"")&amp;IF(N(AD211)&gt;0,", "&amp;A211&amp;"-"&amp;AD$2,"")&amp;IF(N(AE211)&gt;0,", "&amp;A211&amp;"-"&amp;AE$2,"")&amp;IF(N(AF211)&gt;0,", "&amp;A211&amp;"-"&amp;AF$2,"")&amp;IF(N(AG211)&gt;0,", "&amp;A211&amp;"-"&amp;AG$2,"")&amp;IF(N(AH211)&gt;0,", "&amp;A211&amp;"-"&amp;AH$2,"")&amp;IF(N(AI211)&gt;0,", "&amp;A211&amp;"-"&amp;AI$2,"")&amp;IF(N(AJ211)&gt;0,", "&amp;A211&amp;"-"&amp;AJ$2,""),3,999))</f>
        <v/>
      </c>
      <c r="AN211" s="81"/>
      <c r="AO211" s="88"/>
      <c r="AP211" s="89" t="str">
        <f aca="false">IF(AO211="","",ROUND(AO211/(1+Справочники!$B$13),2))</f>
        <v/>
      </c>
      <c r="AQ211" s="90" t="str">
        <f aca="false" t="array" ref="AQ211:AQ211">IF(AP211="","",AP211*INDEX(Справочники!$B$4:$B$7,MATCH("RUB",Справочники!$A$4:$A$7,0)))</f>
        <v/>
      </c>
      <c r="AR211" s="90" t="str">
        <f aca="false">IF(AQ211="","",ROUND(AQ211*(1+Справочники!$B$12),0))</f>
        <v/>
      </c>
      <c r="AS211" s="90" t="str">
        <f aca="false">IF(AR211="","",ROUND(AR211*(1-Справочники!$B$11),0))</f>
        <v/>
      </c>
      <c r="AT211" s="88"/>
      <c r="AU211" s="90" t="str">
        <f aca="false">IF(AT211="","",ROUND(AT211/(1+Справочники!$B$12),0))</f>
        <v/>
      </c>
      <c r="AV211" s="90" t="str">
        <f aca="false">IF(AT211="","",ROUND(AT211*(1-Справочники!$B$15),0))</f>
        <v/>
      </c>
      <c r="AW211" s="90" t="str">
        <f aca="false">IF(AT211="","",ROUND(AT211*(1-Справочники!$B$16),0))</f>
        <v/>
      </c>
      <c r="AX211" s="90" t="str">
        <f aca="false">IF(AT211="","",ROUND(AT211*(1-Справочники!$B$17),0))</f>
        <v/>
      </c>
      <c r="AY211" s="90" t="str">
        <f aca="false">IF(AT211="","",ROUND(AT211*(1-Справочники!$B$18),0))</f>
        <v/>
      </c>
      <c r="AZ211" s="90" t="str">
        <f aca="false">IF(AT211="","",ROUND(AT211*(1-Справочники!$B$19),0))</f>
        <v/>
      </c>
      <c r="BA211" s="81"/>
      <c r="BB211" s="81"/>
      <c r="BC211" s="81"/>
      <c r="BD211" s="81"/>
      <c r="BE211" s="91"/>
      <c r="BF211" s="81" t="s">
        <v>103</v>
      </c>
      <c r="BG211" s="89" t="n">
        <f aca="false" t="array" ref="BG211:BG211">IF(BF211="","",IFERROR(INDEX(Справочники!$B$4:$B$7,MATCH(BF211,Справочники!$A$4:$A$7,0)),""))</f>
        <v>68.5</v>
      </c>
      <c r="BH211" s="90" t="str">
        <f aca="false">IF(N(BN211)&gt;0,ROUND(SUMIF(ЗАКАЗЫ!$F$3:$F$500,$A211,ЗАКАЗЫ!$Y$3:$Y$500)/BN211,0),IF(OR(BE211="",BG211=""),"",ROUND(BE211*BG211*(1+Справочники!$B$10),0)))</f>
        <v/>
      </c>
      <c r="BI211" s="92" t="str">
        <f aca="false">IF(OR(AU211="",BH211="",AU211=0),"",(AU211-BH211)/AU211)</f>
        <v/>
      </c>
      <c r="BJ211" s="81"/>
      <c r="BK211" s="83"/>
      <c r="BL211" s="43" t="str">
        <f aca="false">IFERROR(INDEX(ЗАКАЗЫ!$N$3:$N$500,MATCH($A211,ЗАКАЗЫ!$F$3:$F$500,0)),"")</f>
        <v/>
      </c>
      <c r="BM211" s="8" t="str">
        <f aca="false">IF(BL211="","",IFERROR(VLOOKUP(BL211,'ТН ВЭД'!$A$4:$C$40,3,0),""))</f>
        <v/>
      </c>
      <c r="BN211" s="7" t="str">
        <f aca="false">IF(COUNTIF(ЗАКАЗЫ!$F$3:$F$500,$A211)=0,"",SUMIF(ЗАКАЗЫ!$F$3:$F$500,$A211,ЗАКАЗЫ!$J$3:$J$500))</f>
        <v/>
      </c>
      <c r="BO211" s="7" t="str">
        <f aca="false">IF(BN211="","",SUMIF(ЗАКАЗЫ!$F$3:$F$500,$A211,ЗАКАЗЫ!$AL$3:$AL$500))</f>
        <v/>
      </c>
      <c r="BP211" s="7" t="str">
        <f aca="false">IF(BN211="","",BN211-BO211)</f>
        <v/>
      </c>
      <c r="BQ211" s="55" t="str">
        <f aca="false">IF(BN211="","",IF(BO211&gt;=BN211,"На складе",IF(BO211&gt;0,"Частично","Ждём")))</f>
        <v/>
      </c>
      <c r="BR211" s="43"/>
      <c r="BS211" s="47" t="str">
        <f aca="false">IF(BN211="","",IF(_xlfn.MAXIFS(ЗАКАЗЫ!$AK$3:$AK$500,ЗАКАЗЫ!$F$3:$F$500,$A211)=0,"",_xlfn.MAXIFS(ЗАКАЗЫ!$AK$3:$AK$500,ЗАКАЗЫ!$F$3:$F$500,$A211)))</f>
        <v/>
      </c>
    </row>
    <row r="212" customFormat="false" ht="15.75" hidden="false" customHeight="true" outlineLevel="0" collapsed="false">
      <c r="A212" s="80" t="s">
        <v>1413</v>
      </c>
      <c r="B212" s="81"/>
      <c r="C212" s="81"/>
      <c r="D212" s="81"/>
      <c r="E212" s="83"/>
      <c r="F212" s="81"/>
      <c r="G212" s="83"/>
      <c r="H212" s="83"/>
      <c r="I212" s="84" t="str">
        <f aca="false">IF(E212="","",A212&amp;"_1.jpg")</f>
        <v/>
      </c>
      <c r="J212" s="84" t="str">
        <f aca="false">IF(E212="","",A212&amp;"_2.jpg; "&amp;A212&amp;"_3.jpg")</f>
        <v/>
      </c>
      <c r="K212" s="84" t="str">
        <f aca="false">IF(E212="","",A212&amp;"_schema.jpg")</f>
        <v/>
      </c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 t="s">
        <v>96</v>
      </c>
      <c r="W212" s="81"/>
      <c r="X212" s="81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6" t="str">
        <f aca="false">IF(SUM(Y212:AJ212)=0,"",SUM(Y212:AJ212))</f>
        <v/>
      </c>
      <c r="AL212" s="84" t="str">
        <f aca="false">MID(IF(N(Y212)&gt;0,", "&amp;Y$2,"")&amp;IF(N(Z212)&gt;0,", "&amp;Z$2,"")&amp;IF(N(AA212)&gt;0,", "&amp;AA$2,"")&amp;IF(N(AB212)&gt;0,", "&amp;AB$2,"")&amp;IF(N(AC212)&gt;0,", "&amp;AC$2,"")&amp;IF(N(AD212)&gt;0,", "&amp;AD$2,"")&amp;IF(N(AE212)&gt;0,", "&amp;AE$2,"")&amp;IF(N(AF212)&gt;0,", "&amp;AF$2,"")&amp;IF(N(AG212)&gt;0,", "&amp;AG$2,"")&amp;IF(N(AH212)&gt;0,", "&amp;AH$2,"")&amp;IF(N(AI212)&gt;0,", "&amp;AI$2,"")&amp;IF(N(AJ212)&gt;0,", "&amp;AJ$2,""),3,999)</f>
        <v/>
      </c>
      <c r="AM212" s="87" t="str">
        <f aca="false">IF(E212="","",MID(IF(N(Y212)&gt;0,", "&amp;A212&amp;"-"&amp;Y$2,"")&amp;IF(N(Z212)&gt;0,", "&amp;A212&amp;"-"&amp;Z$2,"")&amp;IF(N(AA212)&gt;0,", "&amp;A212&amp;"-"&amp;AA$2,"")&amp;IF(N(AB212)&gt;0,", "&amp;A212&amp;"-"&amp;AB$2,"")&amp;IF(N(AC212)&gt;0,", "&amp;A212&amp;"-"&amp;AC$2,"")&amp;IF(N(AD212)&gt;0,", "&amp;A212&amp;"-"&amp;AD$2,"")&amp;IF(N(AE212)&gt;0,", "&amp;A212&amp;"-"&amp;AE$2,"")&amp;IF(N(AF212)&gt;0,", "&amp;A212&amp;"-"&amp;AF$2,"")&amp;IF(N(AG212)&gt;0,", "&amp;A212&amp;"-"&amp;AG$2,"")&amp;IF(N(AH212)&gt;0,", "&amp;A212&amp;"-"&amp;AH$2,"")&amp;IF(N(AI212)&gt;0,", "&amp;A212&amp;"-"&amp;AI$2,"")&amp;IF(N(AJ212)&gt;0,", "&amp;A212&amp;"-"&amp;AJ$2,""),3,999))</f>
        <v/>
      </c>
      <c r="AN212" s="81"/>
      <c r="AO212" s="88"/>
      <c r="AP212" s="89" t="str">
        <f aca="false">IF(AO212="","",ROUND(AO212/(1+Справочники!$B$13),2))</f>
        <v/>
      </c>
      <c r="AQ212" s="90" t="str">
        <f aca="false" t="array" ref="AQ212:AQ212">IF(AP212="","",AP212*INDEX(Справочники!$B$4:$B$7,MATCH("RUB",Справочники!$A$4:$A$7,0)))</f>
        <v/>
      </c>
      <c r="AR212" s="90" t="str">
        <f aca="false">IF(AQ212="","",ROUND(AQ212*(1+Справочники!$B$12),0))</f>
        <v/>
      </c>
      <c r="AS212" s="90" t="str">
        <f aca="false">IF(AR212="","",ROUND(AR212*(1-Справочники!$B$11),0))</f>
        <v/>
      </c>
      <c r="AT212" s="88"/>
      <c r="AU212" s="90" t="str">
        <f aca="false">IF(AT212="","",ROUND(AT212/(1+Справочники!$B$12),0))</f>
        <v/>
      </c>
      <c r="AV212" s="90" t="str">
        <f aca="false">IF(AT212="","",ROUND(AT212*(1-Справочники!$B$15),0))</f>
        <v/>
      </c>
      <c r="AW212" s="90" t="str">
        <f aca="false">IF(AT212="","",ROUND(AT212*(1-Справочники!$B$16),0))</f>
        <v/>
      </c>
      <c r="AX212" s="90" t="str">
        <f aca="false">IF(AT212="","",ROUND(AT212*(1-Справочники!$B$17),0))</f>
        <v/>
      </c>
      <c r="AY212" s="90" t="str">
        <f aca="false">IF(AT212="","",ROUND(AT212*(1-Справочники!$B$18),0))</f>
        <v/>
      </c>
      <c r="AZ212" s="90" t="str">
        <f aca="false">IF(AT212="","",ROUND(AT212*(1-Справочники!$B$19),0))</f>
        <v/>
      </c>
      <c r="BA212" s="81"/>
      <c r="BB212" s="81"/>
      <c r="BC212" s="81"/>
      <c r="BD212" s="81"/>
      <c r="BE212" s="91"/>
      <c r="BF212" s="81" t="s">
        <v>103</v>
      </c>
      <c r="BG212" s="89" t="n">
        <f aca="false" t="array" ref="BG212:BG212">IF(BF212="","",IFERROR(INDEX(Справочники!$B$4:$B$7,MATCH(BF212,Справочники!$A$4:$A$7,0)),""))</f>
        <v>68.5</v>
      </c>
      <c r="BH212" s="90" t="str">
        <f aca="false">IF(N(BN212)&gt;0,ROUND(SUMIF(ЗАКАЗЫ!$F$3:$F$500,$A212,ЗАКАЗЫ!$Y$3:$Y$500)/BN212,0),IF(OR(BE212="",BG212=""),"",ROUND(BE212*BG212*(1+Справочники!$B$10),0)))</f>
        <v/>
      </c>
      <c r="BI212" s="92" t="str">
        <f aca="false">IF(OR(AU212="",BH212="",AU212=0),"",(AU212-BH212)/AU212)</f>
        <v/>
      </c>
      <c r="BJ212" s="81"/>
      <c r="BK212" s="83"/>
      <c r="BL212" s="43" t="str">
        <f aca="false">IFERROR(INDEX(ЗАКАЗЫ!$N$3:$N$500,MATCH($A212,ЗАКАЗЫ!$F$3:$F$500,0)),"")</f>
        <v/>
      </c>
      <c r="BM212" s="8" t="str">
        <f aca="false">IF(BL212="","",IFERROR(VLOOKUP(BL212,'ТН ВЭД'!$A$4:$C$40,3,0),""))</f>
        <v/>
      </c>
      <c r="BN212" s="7" t="str">
        <f aca="false">IF(COUNTIF(ЗАКАЗЫ!$F$3:$F$500,$A212)=0,"",SUMIF(ЗАКАЗЫ!$F$3:$F$500,$A212,ЗАКАЗЫ!$J$3:$J$500))</f>
        <v/>
      </c>
      <c r="BO212" s="7" t="str">
        <f aca="false">IF(BN212="","",SUMIF(ЗАКАЗЫ!$F$3:$F$500,$A212,ЗАКАЗЫ!$AL$3:$AL$500))</f>
        <v/>
      </c>
      <c r="BP212" s="7" t="str">
        <f aca="false">IF(BN212="","",BN212-BO212)</f>
        <v/>
      </c>
      <c r="BQ212" s="55" t="str">
        <f aca="false">IF(BN212="","",IF(BO212&gt;=BN212,"На складе",IF(BO212&gt;0,"Частично","Ждём")))</f>
        <v/>
      </c>
      <c r="BR212" s="43"/>
      <c r="BS212" s="47" t="str">
        <f aca="false">IF(BN212="","",IF(_xlfn.MAXIFS(ЗАКАЗЫ!$AK$3:$AK$500,ЗАКАЗЫ!$F$3:$F$500,$A212)=0,"",_xlfn.MAXIFS(ЗАКАЗЫ!$AK$3:$AK$500,ЗАКАЗЫ!$F$3:$F$500,$A212)))</f>
        <v/>
      </c>
    </row>
    <row r="213" customFormat="false" ht="15.75" hidden="false" customHeight="true" outlineLevel="0" collapsed="false">
      <c r="A213" s="80" t="s">
        <v>1414</v>
      </c>
      <c r="B213" s="81"/>
      <c r="C213" s="81"/>
      <c r="D213" s="81"/>
      <c r="E213" s="83"/>
      <c r="F213" s="81"/>
      <c r="G213" s="83"/>
      <c r="H213" s="83"/>
      <c r="I213" s="84" t="str">
        <f aca="false">IF(E213="","",A213&amp;"_1.jpg")</f>
        <v/>
      </c>
      <c r="J213" s="84" t="str">
        <f aca="false">IF(E213="","",A213&amp;"_2.jpg; "&amp;A213&amp;"_3.jpg")</f>
        <v/>
      </c>
      <c r="K213" s="84" t="str">
        <f aca="false">IF(E213="","",A213&amp;"_schema.jpg")</f>
        <v/>
      </c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 t="s">
        <v>96</v>
      </c>
      <c r="W213" s="81"/>
      <c r="X213" s="81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6" t="str">
        <f aca="false">IF(SUM(Y213:AJ213)=0,"",SUM(Y213:AJ213))</f>
        <v/>
      </c>
      <c r="AL213" s="84" t="str">
        <f aca="false">MID(IF(N(Y213)&gt;0,", "&amp;Y$2,"")&amp;IF(N(Z213)&gt;0,", "&amp;Z$2,"")&amp;IF(N(AA213)&gt;0,", "&amp;AA$2,"")&amp;IF(N(AB213)&gt;0,", "&amp;AB$2,"")&amp;IF(N(AC213)&gt;0,", "&amp;AC$2,"")&amp;IF(N(AD213)&gt;0,", "&amp;AD$2,"")&amp;IF(N(AE213)&gt;0,", "&amp;AE$2,"")&amp;IF(N(AF213)&gt;0,", "&amp;AF$2,"")&amp;IF(N(AG213)&gt;0,", "&amp;AG$2,"")&amp;IF(N(AH213)&gt;0,", "&amp;AH$2,"")&amp;IF(N(AI213)&gt;0,", "&amp;AI$2,"")&amp;IF(N(AJ213)&gt;0,", "&amp;AJ$2,""),3,999)</f>
        <v/>
      </c>
      <c r="AM213" s="87" t="str">
        <f aca="false">IF(E213="","",MID(IF(N(Y213)&gt;0,", "&amp;A213&amp;"-"&amp;Y$2,"")&amp;IF(N(Z213)&gt;0,", "&amp;A213&amp;"-"&amp;Z$2,"")&amp;IF(N(AA213)&gt;0,", "&amp;A213&amp;"-"&amp;AA$2,"")&amp;IF(N(AB213)&gt;0,", "&amp;A213&amp;"-"&amp;AB$2,"")&amp;IF(N(AC213)&gt;0,", "&amp;A213&amp;"-"&amp;AC$2,"")&amp;IF(N(AD213)&gt;0,", "&amp;A213&amp;"-"&amp;AD$2,"")&amp;IF(N(AE213)&gt;0,", "&amp;A213&amp;"-"&amp;AE$2,"")&amp;IF(N(AF213)&gt;0,", "&amp;A213&amp;"-"&amp;AF$2,"")&amp;IF(N(AG213)&gt;0,", "&amp;A213&amp;"-"&amp;AG$2,"")&amp;IF(N(AH213)&gt;0,", "&amp;A213&amp;"-"&amp;AH$2,"")&amp;IF(N(AI213)&gt;0,", "&amp;A213&amp;"-"&amp;AI$2,"")&amp;IF(N(AJ213)&gt;0,", "&amp;A213&amp;"-"&amp;AJ$2,""),3,999))</f>
        <v/>
      </c>
      <c r="AN213" s="81"/>
      <c r="AO213" s="88"/>
      <c r="AP213" s="89" t="str">
        <f aca="false">IF(AO213="","",ROUND(AO213/(1+Справочники!$B$13),2))</f>
        <v/>
      </c>
      <c r="AQ213" s="90" t="str">
        <f aca="false" t="array" ref="AQ213:AQ213">IF(AP213="","",AP213*INDEX(Справочники!$B$4:$B$7,MATCH("RUB",Справочники!$A$4:$A$7,0)))</f>
        <v/>
      </c>
      <c r="AR213" s="90" t="str">
        <f aca="false">IF(AQ213="","",ROUND(AQ213*(1+Справочники!$B$12),0))</f>
        <v/>
      </c>
      <c r="AS213" s="90" t="str">
        <f aca="false">IF(AR213="","",ROUND(AR213*(1-Справочники!$B$11),0))</f>
        <v/>
      </c>
      <c r="AT213" s="88"/>
      <c r="AU213" s="90" t="str">
        <f aca="false">IF(AT213="","",ROUND(AT213/(1+Справочники!$B$12),0))</f>
        <v/>
      </c>
      <c r="AV213" s="90" t="str">
        <f aca="false">IF(AT213="","",ROUND(AT213*(1-Справочники!$B$15),0))</f>
        <v/>
      </c>
      <c r="AW213" s="90" t="str">
        <f aca="false">IF(AT213="","",ROUND(AT213*(1-Справочники!$B$16),0))</f>
        <v/>
      </c>
      <c r="AX213" s="90" t="str">
        <f aca="false">IF(AT213="","",ROUND(AT213*(1-Справочники!$B$17),0))</f>
        <v/>
      </c>
      <c r="AY213" s="90" t="str">
        <f aca="false">IF(AT213="","",ROUND(AT213*(1-Справочники!$B$18),0))</f>
        <v/>
      </c>
      <c r="AZ213" s="90" t="str">
        <f aca="false">IF(AT213="","",ROUND(AT213*(1-Справочники!$B$19),0))</f>
        <v/>
      </c>
      <c r="BA213" s="81"/>
      <c r="BB213" s="81"/>
      <c r="BC213" s="81"/>
      <c r="BD213" s="81"/>
      <c r="BE213" s="91"/>
      <c r="BF213" s="81" t="s">
        <v>103</v>
      </c>
      <c r="BG213" s="89" t="n">
        <f aca="false" t="array" ref="BG213:BG213">IF(BF213="","",IFERROR(INDEX(Справочники!$B$4:$B$7,MATCH(BF213,Справочники!$A$4:$A$7,0)),""))</f>
        <v>68.5</v>
      </c>
      <c r="BH213" s="90" t="str">
        <f aca="false">IF(N(BN213)&gt;0,ROUND(SUMIF(ЗАКАЗЫ!$F$3:$F$500,$A213,ЗАКАЗЫ!$Y$3:$Y$500)/BN213,0),IF(OR(BE213="",BG213=""),"",ROUND(BE213*BG213*(1+Справочники!$B$10),0)))</f>
        <v/>
      </c>
      <c r="BI213" s="92" t="str">
        <f aca="false">IF(OR(AU213="",BH213="",AU213=0),"",(AU213-BH213)/AU213)</f>
        <v/>
      </c>
      <c r="BJ213" s="81"/>
      <c r="BK213" s="83"/>
      <c r="BL213" s="43" t="str">
        <f aca="false">IFERROR(INDEX(ЗАКАЗЫ!$N$3:$N$500,MATCH($A213,ЗАКАЗЫ!$F$3:$F$500,0)),"")</f>
        <v/>
      </c>
      <c r="BM213" s="8" t="str">
        <f aca="false">IF(BL213="","",IFERROR(VLOOKUP(BL213,'ТН ВЭД'!$A$4:$C$40,3,0),""))</f>
        <v/>
      </c>
      <c r="BN213" s="7" t="str">
        <f aca="false">IF(COUNTIF(ЗАКАЗЫ!$F$3:$F$500,$A213)=0,"",SUMIF(ЗАКАЗЫ!$F$3:$F$500,$A213,ЗАКАЗЫ!$J$3:$J$500))</f>
        <v/>
      </c>
      <c r="BO213" s="7" t="str">
        <f aca="false">IF(BN213="","",SUMIF(ЗАКАЗЫ!$F$3:$F$500,$A213,ЗАКАЗЫ!$AL$3:$AL$500))</f>
        <v/>
      </c>
      <c r="BP213" s="7" t="str">
        <f aca="false">IF(BN213="","",BN213-BO213)</f>
        <v/>
      </c>
      <c r="BQ213" s="55" t="str">
        <f aca="false">IF(BN213="","",IF(BO213&gt;=BN213,"На складе",IF(BO213&gt;0,"Частично","Ждём")))</f>
        <v/>
      </c>
      <c r="BR213" s="43"/>
      <c r="BS213" s="47" t="str">
        <f aca="false">IF(BN213="","",IF(_xlfn.MAXIFS(ЗАКАЗЫ!$AK$3:$AK$500,ЗАКАЗЫ!$F$3:$F$500,$A213)=0,"",_xlfn.MAXIFS(ЗАКАЗЫ!$AK$3:$AK$500,ЗАКАЗЫ!$F$3:$F$500,$A213)))</f>
        <v/>
      </c>
    </row>
    <row r="214" customFormat="false" ht="15.75" hidden="false" customHeight="true" outlineLevel="0" collapsed="false">
      <c r="A214" s="80" t="s">
        <v>1415</v>
      </c>
      <c r="B214" s="81"/>
      <c r="C214" s="81"/>
      <c r="D214" s="81"/>
      <c r="E214" s="83"/>
      <c r="F214" s="81"/>
      <c r="G214" s="83"/>
      <c r="H214" s="83"/>
      <c r="I214" s="84" t="str">
        <f aca="false">IF(E214="","",A214&amp;"_1.jpg")</f>
        <v/>
      </c>
      <c r="J214" s="84" t="str">
        <f aca="false">IF(E214="","",A214&amp;"_2.jpg; "&amp;A214&amp;"_3.jpg")</f>
        <v/>
      </c>
      <c r="K214" s="84" t="str">
        <f aca="false">IF(E214="","",A214&amp;"_schema.jpg")</f>
        <v/>
      </c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 t="s">
        <v>96</v>
      </c>
      <c r="W214" s="81"/>
      <c r="X214" s="81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6" t="str">
        <f aca="false">IF(SUM(Y214:AJ214)=0,"",SUM(Y214:AJ214))</f>
        <v/>
      </c>
      <c r="AL214" s="84" t="str">
        <f aca="false">MID(IF(N(Y214)&gt;0,", "&amp;Y$2,"")&amp;IF(N(Z214)&gt;0,", "&amp;Z$2,"")&amp;IF(N(AA214)&gt;0,", "&amp;AA$2,"")&amp;IF(N(AB214)&gt;0,", "&amp;AB$2,"")&amp;IF(N(AC214)&gt;0,", "&amp;AC$2,"")&amp;IF(N(AD214)&gt;0,", "&amp;AD$2,"")&amp;IF(N(AE214)&gt;0,", "&amp;AE$2,"")&amp;IF(N(AF214)&gt;0,", "&amp;AF$2,"")&amp;IF(N(AG214)&gt;0,", "&amp;AG$2,"")&amp;IF(N(AH214)&gt;0,", "&amp;AH$2,"")&amp;IF(N(AI214)&gt;0,", "&amp;AI$2,"")&amp;IF(N(AJ214)&gt;0,", "&amp;AJ$2,""),3,999)</f>
        <v/>
      </c>
      <c r="AM214" s="87" t="str">
        <f aca="false">IF(E214="","",MID(IF(N(Y214)&gt;0,", "&amp;A214&amp;"-"&amp;Y$2,"")&amp;IF(N(Z214)&gt;0,", "&amp;A214&amp;"-"&amp;Z$2,"")&amp;IF(N(AA214)&gt;0,", "&amp;A214&amp;"-"&amp;AA$2,"")&amp;IF(N(AB214)&gt;0,", "&amp;A214&amp;"-"&amp;AB$2,"")&amp;IF(N(AC214)&gt;0,", "&amp;A214&amp;"-"&amp;AC$2,"")&amp;IF(N(AD214)&gt;0,", "&amp;A214&amp;"-"&amp;AD$2,"")&amp;IF(N(AE214)&gt;0,", "&amp;A214&amp;"-"&amp;AE$2,"")&amp;IF(N(AF214)&gt;0,", "&amp;A214&amp;"-"&amp;AF$2,"")&amp;IF(N(AG214)&gt;0,", "&amp;A214&amp;"-"&amp;AG$2,"")&amp;IF(N(AH214)&gt;0,", "&amp;A214&amp;"-"&amp;AH$2,"")&amp;IF(N(AI214)&gt;0,", "&amp;A214&amp;"-"&amp;AI$2,"")&amp;IF(N(AJ214)&gt;0,", "&amp;A214&amp;"-"&amp;AJ$2,""),3,999))</f>
        <v/>
      </c>
      <c r="AN214" s="81"/>
      <c r="AO214" s="88"/>
      <c r="AP214" s="89" t="str">
        <f aca="false">IF(AO214="","",ROUND(AO214/(1+Справочники!$B$13),2))</f>
        <v/>
      </c>
      <c r="AQ214" s="90" t="str">
        <f aca="false" t="array" ref="AQ214:AQ214">IF(AP214="","",AP214*INDEX(Справочники!$B$4:$B$7,MATCH("RUB",Справочники!$A$4:$A$7,0)))</f>
        <v/>
      </c>
      <c r="AR214" s="90" t="str">
        <f aca="false">IF(AQ214="","",ROUND(AQ214*(1+Справочники!$B$12),0))</f>
        <v/>
      </c>
      <c r="AS214" s="90" t="str">
        <f aca="false">IF(AR214="","",ROUND(AR214*(1-Справочники!$B$11),0))</f>
        <v/>
      </c>
      <c r="AT214" s="88"/>
      <c r="AU214" s="90" t="str">
        <f aca="false">IF(AT214="","",ROUND(AT214/(1+Справочники!$B$12),0))</f>
        <v/>
      </c>
      <c r="AV214" s="90" t="str">
        <f aca="false">IF(AT214="","",ROUND(AT214*(1-Справочники!$B$15),0))</f>
        <v/>
      </c>
      <c r="AW214" s="90" t="str">
        <f aca="false">IF(AT214="","",ROUND(AT214*(1-Справочники!$B$16),0))</f>
        <v/>
      </c>
      <c r="AX214" s="90" t="str">
        <f aca="false">IF(AT214="","",ROUND(AT214*(1-Справочники!$B$17),0))</f>
        <v/>
      </c>
      <c r="AY214" s="90" t="str">
        <f aca="false">IF(AT214="","",ROUND(AT214*(1-Справочники!$B$18),0))</f>
        <v/>
      </c>
      <c r="AZ214" s="90" t="str">
        <f aca="false">IF(AT214="","",ROUND(AT214*(1-Справочники!$B$19),0))</f>
        <v/>
      </c>
      <c r="BA214" s="81"/>
      <c r="BB214" s="81"/>
      <c r="BC214" s="81"/>
      <c r="BD214" s="81"/>
      <c r="BE214" s="91"/>
      <c r="BF214" s="81" t="s">
        <v>103</v>
      </c>
      <c r="BG214" s="89" t="n">
        <f aca="false" t="array" ref="BG214:BG214">IF(BF214="","",IFERROR(INDEX(Справочники!$B$4:$B$7,MATCH(BF214,Справочники!$A$4:$A$7,0)),""))</f>
        <v>68.5</v>
      </c>
      <c r="BH214" s="90" t="str">
        <f aca="false">IF(N(BN214)&gt;0,ROUND(SUMIF(ЗАКАЗЫ!$F$3:$F$500,$A214,ЗАКАЗЫ!$Y$3:$Y$500)/BN214,0),IF(OR(BE214="",BG214=""),"",ROUND(BE214*BG214*(1+Справочники!$B$10),0)))</f>
        <v/>
      </c>
      <c r="BI214" s="92" t="str">
        <f aca="false">IF(OR(AU214="",BH214="",AU214=0),"",(AU214-BH214)/AU214)</f>
        <v/>
      </c>
      <c r="BJ214" s="81"/>
      <c r="BK214" s="83"/>
      <c r="BL214" s="43" t="str">
        <f aca="false">IFERROR(INDEX(ЗАКАЗЫ!$N$3:$N$500,MATCH($A214,ЗАКАЗЫ!$F$3:$F$500,0)),"")</f>
        <v/>
      </c>
      <c r="BM214" s="8" t="str">
        <f aca="false">IF(BL214="","",IFERROR(VLOOKUP(BL214,'ТН ВЭД'!$A$4:$C$40,3,0),""))</f>
        <v/>
      </c>
      <c r="BN214" s="7" t="str">
        <f aca="false">IF(COUNTIF(ЗАКАЗЫ!$F$3:$F$500,$A214)=0,"",SUMIF(ЗАКАЗЫ!$F$3:$F$500,$A214,ЗАКАЗЫ!$J$3:$J$500))</f>
        <v/>
      </c>
      <c r="BO214" s="7" t="str">
        <f aca="false">IF(BN214="","",SUMIF(ЗАКАЗЫ!$F$3:$F$500,$A214,ЗАКАЗЫ!$AL$3:$AL$500))</f>
        <v/>
      </c>
      <c r="BP214" s="7" t="str">
        <f aca="false">IF(BN214="","",BN214-BO214)</f>
        <v/>
      </c>
      <c r="BQ214" s="55" t="str">
        <f aca="false">IF(BN214="","",IF(BO214&gt;=BN214,"На складе",IF(BO214&gt;0,"Частично","Ждём")))</f>
        <v/>
      </c>
      <c r="BR214" s="43"/>
      <c r="BS214" s="47" t="str">
        <f aca="false">IF(BN214="","",IF(_xlfn.MAXIFS(ЗАКАЗЫ!$AK$3:$AK$500,ЗАКАЗЫ!$F$3:$F$500,$A214)=0,"",_xlfn.MAXIFS(ЗАКАЗЫ!$AK$3:$AK$500,ЗАКАЗЫ!$F$3:$F$500,$A214)))</f>
        <v/>
      </c>
    </row>
    <row r="215" customFormat="false" ht="15.75" hidden="false" customHeight="true" outlineLevel="0" collapsed="false">
      <c r="A215" s="80" t="s">
        <v>1416</v>
      </c>
      <c r="B215" s="81"/>
      <c r="C215" s="81"/>
      <c r="D215" s="81"/>
      <c r="E215" s="83"/>
      <c r="F215" s="81"/>
      <c r="G215" s="83"/>
      <c r="H215" s="83"/>
      <c r="I215" s="84" t="str">
        <f aca="false">IF(E215="","",A215&amp;"_1.jpg")</f>
        <v/>
      </c>
      <c r="J215" s="84" t="str">
        <f aca="false">IF(E215="","",A215&amp;"_2.jpg; "&amp;A215&amp;"_3.jpg")</f>
        <v/>
      </c>
      <c r="K215" s="84" t="str">
        <f aca="false">IF(E215="","",A215&amp;"_schema.jpg")</f>
        <v/>
      </c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 t="s">
        <v>96</v>
      </c>
      <c r="W215" s="81"/>
      <c r="X215" s="81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6" t="str">
        <f aca="false">IF(SUM(Y215:AJ215)=0,"",SUM(Y215:AJ215))</f>
        <v/>
      </c>
      <c r="AL215" s="84" t="str">
        <f aca="false">MID(IF(N(Y215)&gt;0,", "&amp;Y$2,"")&amp;IF(N(Z215)&gt;0,", "&amp;Z$2,"")&amp;IF(N(AA215)&gt;0,", "&amp;AA$2,"")&amp;IF(N(AB215)&gt;0,", "&amp;AB$2,"")&amp;IF(N(AC215)&gt;0,", "&amp;AC$2,"")&amp;IF(N(AD215)&gt;0,", "&amp;AD$2,"")&amp;IF(N(AE215)&gt;0,", "&amp;AE$2,"")&amp;IF(N(AF215)&gt;0,", "&amp;AF$2,"")&amp;IF(N(AG215)&gt;0,", "&amp;AG$2,"")&amp;IF(N(AH215)&gt;0,", "&amp;AH$2,"")&amp;IF(N(AI215)&gt;0,", "&amp;AI$2,"")&amp;IF(N(AJ215)&gt;0,", "&amp;AJ$2,""),3,999)</f>
        <v/>
      </c>
      <c r="AM215" s="87" t="str">
        <f aca="false">IF(E215="","",MID(IF(N(Y215)&gt;0,", "&amp;A215&amp;"-"&amp;Y$2,"")&amp;IF(N(Z215)&gt;0,", "&amp;A215&amp;"-"&amp;Z$2,"")&amp;IF(N(AA215)&gt;0,", "&amp;A215&amp;"-"&amp;AA$2,"")&amp;IF(N(AB215)&gt;0,", "&amp;A215&amp;"-"&amp;AB$2,"")&amp;IF(N(AC215)&gt;0,", "&amp;A215&amp;"-"&amp;AC$2,"")&amp;IF(N(AD215)&gt;0,", "&amp;A215&amp;"-"&amp;AD$2,"")&amp;IF(N(AE215)&gt;0,", "&amp;A215&amp;"-"&amp;AE$2,"")&amp;IF(N(AF215)&gt;0,", "&amp;A215&amp;"-"&amp;AF$2,"")&amp;IF(N(AG215)&gt;0,", "&amp;A215&amp;"-"&amp;AG$2,"")&amp;IF(N(AH215)&gt;0,", "&amp;A215&amp;"-"&amp;AH$2,"")&amp;IF(N(AI215)&gt;0,", "&amp;A215&amp;"-"&amp;AI$2,"")&amp;IF(N(AJ215)&gt;0,", "&amp;A215&amp;"-"&amp;AJ$2,""),3,999))</f>
        <v/>
      </c>
      <c r="AN215" s="81"/>
      <c r="AO215" s="88"/>
      <c r="AP215" s="89" t="str">
        <f aca="false">IF(AO215="","",ROUND(AO215/(1+Справочники!$B$13),2))</f>
        <v/>
      </c>
      <c r="AQ215" s="90" t="str">
        <f aca="false" t="array" ref="AQ215:AQ215">IF(AP215="","",AP215*INDEX(Справочники!$B$4:$B$7,MATCH("RUB",Справочники!$A$4:$A$7,0)))</f>
        <v/>
      </c>
      <c r="AR215" s="90" t="str">
        <f aca="false">IF(AQ215="","",ROUND(AQ215*(1+Справочники!$B$12),0))</f>
        <v/>
      </c>
      <c r="AS215" s="90" t="str">
        <f aca="false">IF(AR215="","",ROUND(AR215*(1-Справочники!$B$11),0))</f>
        <v/>
      </c>
      <c r="AT215" s="88"/>
      <c r="AU215" s="90" t="str">
        <f aca="false">IF(AT215="","",ROUND(AT215/(1+Справочники!$B$12),0))</f>
        <v/>
      </c>
      <c r="AV215" s="90" t="str">
        <f aca="false">IF(AT215="","",ROUND(AT215*(1-Справочники!$B$15),0))</f>
        <v/>
      </c>
      <c r="AW215" s="90" t="str">
        <f aca="false">IF(AT215="","",ROUND(AT215*(1-Справочники!$B$16),0))</f>
        <v/>
      </c>
      <c r="AX215" s="90" t="str">
        <f aca="false">IF(AT215="","",ROUND(AT215*(1-Справочники!$B$17),0))</f>
        <v/>
      </c>
      <c r="AY215" s="90" t="str">
        <f aca="false">IF(AT215="","",ROUND(AT215*(1-Справочники!$B$18),0))</f>
        <v/>
      </c>
      <c r="AZ215" s="90" t="str">
        <f aca="false">IF(AT215="","",ROUND(AT215*(1-Справочники!$B$19),0))</f>
        <v/>
      </c>
      <c r="BA215" s="81"/>
      <c r="BB215" s="81"/>
      <c r="BC215" s="81"/>
      <c r="BD215" s="81"/>
      <c r="BE215" s="91"/>
      <c r="BF215" s="81" t="s">
        <v>103</v>
      </c>
      <c r="BG215" s="89" t="n">
        <f aca="false" t="array" ref="BG215:BG215">IF(BF215="","",IFERROR(INDEX(Справочники!$B$4:$B$7,MATCH(BF215,Справочники!$A$4:$A$7,0)),""))</f>
        <v>68.5</v>
      </c>
      <c r="BH215" s="90" t="str">
        <f aca="false">IF(N(BN215)&gt;0,ROUND(SUMIF(ЗАКАЗЫ!$F$3:$F$500,$A215,ЗАКАЗЫ!$Y$3:$Y$500)/BN215,0),IF(OR(BE215="",BG215=""),"",ROUND(BE215*BG215*(1+Справочники!$B$10),0)))</f>
        <v/>
      </c>
      <c r="BI215" s="92" t="str">
        <f aca="false">IF(OR(AU215="",BH215="",AU215=0),"",(AU215-BH215)/AU215)</f>
        <v/>
      </c>
      <c r="BJ215" s="81"/>
      <c r="BK215" s="83"/>
      <c r="BL215" s="43" t="str">
        <f aca="false">IFERROR(INDEX(ЗАКАЗЫ!$N$3:$N$500,MATCH($A215,ЗАКАЗЫ!$F$3:$F$500,0)),"")</f>
        <v/>
      </c>
      <c r="BM215" s="8" t="str">
        <f aca="false">IF(BL215="","",IFERROR(VLOOKUP(BL215,'ТН ВЭД'!$A$4:$C$40,3,0),""))</f>
        <v/>
      </c>
      <c r="BN215" s="7" t="str">
        <f aca="false">IF(COUNTIF(ЗАКАЗЫ!$F$3:$F$500,$A215)=0,"",SUMIF(ЗАКАЗЫ!$F$3:$F$500,$A215,ЗАКАЗЫ!$J$3:$J$500))</f>
        <v/>
      </c>
      <c r="BO215" s="7" t="str">
        <f aca="false">IF(BN215="","",SUMIF(ЗАКАЗЫ!$F$3:$F$500,$A215,ЗАКАЗЫ!$AL$3:$AL$500))</f>
        <v/>
      </c>
      <c r="BP215" s="7" t="str">
        <f aca="false">IF(BN215="","",BN215-BO215)</f>
        <v/>
      </c>
      <c r="BQ215" s="55" t="str">
        <f aca="false">IF(BN215="","",IF(BO215&gt;=BN215,"На складе",IF(BO215&gt;0,"Частично","Ждём")))</f>
        <v/>
      </c>
      <c r="BR215" s="43"/>
      <c r="BS215" s="47" t="str">
        <f aca="false">IF(BN215="","",IF(_xlfn.MAXIFS(ЗАКАЗЫ!$AK$3:$AK$500,ЗАКАЗЫ!$F$3:$F$500,$A215)=0,"",_xlfn.MAXIFS(ЗАКАЗЫ!$AK$3:$AK$500,ЗАКАЗЫ!$F$3:$F$500,$A215)))</f>
        <v/>
      </c>
    </row>
    <row r="216" customFormat="false" ht="15.75" hidden="false" customHeight="true" outlineLevel="0" collapsed="false">
      <c r="A216" s="80" t="s">
        <v>1417</v>
      </c>
      <c r="B216" s="81"/>
      <c r="C216" s="81"/>
      <c r="D216" s="81"/>
      <c r="E216" s="83"/>
      <c r="F216" s="81"/>
      <c r="G216" s="83"/>
      <c r="H216" s="83"/>
      <c r="I216" s="84" t="str">
        <f aca="false">IF(E216="","",A216&amp;"_1.jpg")</f>
        <v/>
      </c>
      <c r="J216" s="84" t="str">
        <f aca="false">IF(E216="","",A216&amp;"_2.jpg; "&amp;A216&amp;"_3.jpg")</f>
        <v/>
      </c>
      <c r="K216" s="84" t="str">
        <f aca="false">IF(E216="","",A216&amp;"_schema.jpg")</f>
        <v/>
      </c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 t="s">
        <v>96</v>
      </c>
      <c r="W216" s="81"/>
      <c r="X216" s="81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6" t="str">
        <f aca="false">IF(SUM(Y216:AJ216)=0,"",SUM(Y216:AJ216))</f>
        <v/>
      </c>
      <c r="AL216" s="84" t="str">
        <f aca="false">MID(IF(N(Y216)&gt;0,", "&amp;Y$2,"")&amp;IF(N(Z216)&gt;0,", "&amp;Z$2,"")&amp;IF(N(AA216)&gt;0,", "&amp;AA$2,"")&amp;IF(N(AB216)&gt;0,", "&amp;AB$2,"")&amp;IF(N(AC216)&gt;0,", "&amp;AC$2,"")&amp;IF(N(AD216)&gt;0,", "&amp;AD$2,"")&amp;IF(N(AE216)&gt;0,", "&amp;AE$2,"")&amp;IF(N(AF216)&gt;0,", "&amp;AF$2,"")&amp;IF(N(AG216)&gt;0,", "&amp;AG$2,"")&amp;IF(N(AH216)&gt;0,", "&amp;AH$2,"")&amp;IF(N(AI216)&gt;0,", "&amp;AI$2,"")&amp;IF(N(AJ216)&gt;0,", "&amp;AJ$2,""),3,999)</f>
        <v/>
      </c>
      <c r="AM216" s="87" t="str">
        <f aca="false">IF(E216="","",MID(IF(N(Y216)&gt;0,", "&amp;A216&amp;"-"&amp;Y$2,"")&amp;IF(N(Z216)&gt;0,", "&amp;A216&amp;"-"&amp;Z$2,"")&amp;IF(N(AA216)&gt;0,", "&amp;A216&amp;"-"&amp;AA$2,"")&amp;IF(N(AB216)&gt;0,", "&amp;A216&amp;"-"&amp;AB$2,"")&amp;IF(N(AC216)&gt;0,", "&amp;A216&amp;"-"&amp;AC$2,"")&amp;IF(N(AD216)&gt;0,", "&amp;A216&amp;"-"&amp;AD$2,"")&amp;IF(N(AE216)&gt;0,", "&amp;A216&amp;"-"&amp;AE$2,"")&amp;IF(N(AF216)&gt;0,", "&amp;A216&amp;"-"&amp;AF$2,"")&amp;IF(N(AG216)&gt;0,", "&amp;A216&amp;"-"&amp;AG$2,"")&amp;IF(N(AH216)&gt;0,", "&amp;A216&amp;"-"&amp;AH$2,"")&amp;IF(N(AI216)&gt;0,", "&amp;A216&amp;"-"&amp;AI$2,"")&amp;IF(N(AJ216)&gt;0,", "&amp;A216&amp;"-"&amp;AJ$2,""),3,999))</f>
        <v/>
      </c>
      <c r="AN216" s="81"/>
      <c r="AO216" s="88"/>
      <c r="AP216" s="89" t="str">
        <f aca="false">IF(AO216="","",ROUND(AO216/(1+Справочники!$B$13),2))</f>
        <v/>
      </c>
      <c r="AQ216" s="90" t="str">
        <f aca="false" t="array" ref="AQ216:AQ216">IF(AP216="","",AP216*INDEX(Справочники!$B$4:$B$7,MATCH("RUB",Справочники!$A$4:$A$7,0)))</f>
        <v/>
      </c>
      <c r="AR216" s="90" t="str">
        <f aca="false">IF(AQ216="","",ROUND(AQ216*(1+Справочники!$B$12),0))</f>
        <v/>
      </c>
      <c r="AS216" s="90" t="str">
        <f aca="false">IF(AR216="","",ROUND(AR216*(1-Справочники!$B$11),0))</f>
        <v/>
      </c>
      <c r="AT216" s="88"/>
      <c r="AU216" s="90" t="str">
        <f aca="false">IF(AT216="","",ROUND(AT216/(1+Справочники!$B$12),0))</f>
        <v/>
      </c>
      <c r="AV216" s="90" t="str">
        <f aca="false">IF(AT216="","",ROUND(AT216*(1-Справочники!$B$15),0))</f>
        <v/>
      </c>
      <c r="AW216" s="90" t="str">
        <f aca="false">IF(AT216="","",ROUND(AT216*(1-Справочники!$B$16),0))</f>
        <v/>
      </c>
      <c r="AX216" s="90" t="str">
        <f aca="false">IF(AT216="","",ROUND(AT216*(1-Справочники!$B$17),0))</f>
        <v/>
      </c>
      <c r="AY216" s="90" t="str">
        <f aca="false">IF(AT216="","",ROUND(AT216*(1-Справочники!$B$18),0))</f>
        <v/>
      </c>
      <c r="AZ216" s="90" t="str">
        <f aca="false">IF(AT216="","",ROUND(AT216*(1-Справочники!$B$19),0))</f>
        <v/>
      </c>
      <c r="BA216" s="81"/>
      <c r="BB216" s="81"/>
      <c r="BC216" s="81"/>
      <c r="BD216" s="81"/>
      <c r="BE216" s="91"/>
      <c r="BF216" s="81" t="s">
        <v>103</v>
      </c>
      <c r="BG216" s="89" t="n">
        <f aca="false" t="array" ref="BG216:BG216">IF(BF216="","",IFERROR(INDEX(Справочники!$B$4:$B$7,MATCH(BF216,Справочники!$A$4:$A$7,0)),""))</f>
        <v>68.5</v>
      </c>
      <c r="BH216" s="90" t="str">
        <f aca="false">IF(N(BN216)&gt;0,ROUND(SUMIF(ЗАКАЗЫ!$F$3:$F$500,$A216,ЗАКАЗЫ!$Y$3:$Y$500)/BN216,0),IF(OR(BE216="",BG216=""),"",ROUND(BE216*BG216*(1+Справочники!$B$10),0)))</f>
        <v/>
      </c>
      <c r="BI216" s="92" t="str">
        <f aca="false">IF(OR(AU216="",BH216="",AU216=0),"",(AU216-BH216)/AU216)</f>
        <v/>
      </c>
      <c r="BJ216" s="81"/>
      <c r="BK216" s="83"/>
      <c r="BL216" s="43" t="str">
        <f aca="false">IFERROR(INDEX(ЗАКАЗЫ!$N$3:$N$500,MATCH($A216,ЗАКАЗЫ!$F$3:$F$500,0)),"")</f>
        <v/>
      </c>
      <c r="BM216" s="8" t="str">
        <f aca="false">IF(BL216="","",IFERROR(VLOOKUP(BL216,'ТН ВЭД'!$A$4:$C$40,3,0),""))</f>
        <v/>
      </c>
      <c r="BN216" s="7" t="str">
        <f aca="false">IF(COUNTIF(ЗАКАЗЫ!$F$3:$F$500,$A216)=0,"",SUMIF(ЗАКАЗЫ!$F$3:$F$500,$A216,ЗАКАЗЫ!$J$3:$J$500))</f>
        <v/>
      </c>
      <c r="BO216" s="7" t="str">
        <f aca="false">IF(BN216="","",SUMIF(ЗАКАЗЫ!$F$3:$F$500,$A216,ЗАКАЗЫ!$AL$3:$AL$500))</f>
        <v/>
      </c>
      <c r="BP216" s="7" t="str">
        <f aca="false">IF(BN216="","",BN216-BO216)</f>
        <v/>
      </c>
      <c r="BQ216" s="55" t="str">
        <f aca="false">IF(BN216="","",IF(BO216&gt;=BN216,"На складе",IF(BO216&gt;0,"Частично","Ждём")))</f>
        <v/>
      </c>
      <c r="BR216" s="43"/>
      <c r="BS216" s="47" t="str">
        <f aca="false">IF(BN216="","",IF(_xlfn.MAXIFS(ЗАКАЗЫ!$AK$3:$AK$500,ЗАКАЗЫ!$F$3:$F$500,$A216)=0,"",_xlfn.MAXIFS(ЗАКАЗЫ!$AK$3:$AK$500,ЗАКАЗЫ!$F$3:$F$500,$A216)))</f>
        <v/>
      </c>
    </row>
    <row r="217" customFormat="false" ht="15.75" hidden="false" customHeight="true" outlineLevel="0" collapsed="false">
      <c r="A217" s="80" t="s">
        <v>1418</v>
      </c>
      <c r="B217" s="81"/>
      <c r="C217" s="81"/>
      <c r="D217" s="81"/>
      <c r="E217" s="83"/>
      <c r="F217" s="81"/>
      <c r="G217" s="83"/>
      <c r="H217" s="83"/>
      <c r="I217" s="84" t="str">
        <f aca="false">IF(E217="","",A217&amp;"_1.jpg")</f>
        <v/>
      </c>
      <c r="J217" s="84" t="str">
        <f aca="false">IF(E217="","",A217&amp;"_2.jpg; "&amp;A217&amp;"_3.jpg")</f>
        <v/>
      </c>
      <c r="K217" s="84" t="str">
        <f aca="false">IF(E217="","",A217&amp;"_schema.jpg")</f>
        <v/>
      </c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 t="s">
        <v>96</v>
      </c>
      <c r="W217" s="81"/>
      <c r="X217" s="81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6" t="str">
        <f aca="false">IF(SUM(Y217:AJ217)=0,"",SUM(Y217:AJ217))</f>
        <v/>
      </c>
      <c r="AL217" s="84" t="str">
        <f aca="false">MID(IF(N(Y217)&gt;0,", "&amp;Y$2,"")&amp;IF(N(Z217)&gt;0,", "&amp;Z$2,"")&amp;IF(N(AA217)&gt;0,", "&amp;AA$2,"")&amp;IF(N(AB217)&gt;0,", "&amp;AB$2,"")&amp;IF(N(AC217)&gt;0,", "&amp;AC$2,"")&amp;IF(N(AD217)&gt;0,", "&amp;AD$2,"")&amp;IF(N(AE217)&gt;0,", "&amp;AE$2,"")&amp;IF(N(AF217)&gt;0,", "&amp;AF$2,"")&amp;IF(N(AG217)&gt;0,", "&amp;AG$2,"")&amp;IF(N(AH217)&gt;0,", "&amp;AH$2,"")&amp;IF(N(AI217)&gt;0,", "&amp;AI$2,"")&amp;IF(N(AJ217)&gt;0,", "&amp;AJ$2,""),3,999)</f>
        <v/>
      </c>
      <c r="AM217" s="87" t="str">
        <f aca="false">IF(E217="","",MID(IF(N(Y217)&gt;0,", "&amp;A217&amp;"-"&amp;Y$2,"")&amp;IF(N(Z217)&gt;0,", "&amp;A217&amp;"-"&amp;Z$2,"")&amp;IF(N(AA217)&gt;0,", "&amp;A217&amp;"-"&amp;AA$2,"")&amp;IF(N(AB217)&gt;0,", "&amp;A217&amp;"-"&amp;AB$2,"")&amp;IF(N(AC217)&gt;0,", "&amp;A217&amp;"-"&amp;AC$2,"")&amp;IF(N(AD217)&gt;0,", "&amp;A217&amp;"-"&amp;AD$2,"")&amp;IF(N(AE217)&gt;0,", "&amp;A217&amp;"-"&amp;AE$2,"")&amp;IF(N(AF217)&gt;0,", "&amp;A217&amp;"-"&amp;AF$2,"")&amp;IF(N(AG217)&gt;0,", "&amp;A217&amp;"-"&amp;AG$2,"")&amp;IF(N(AH217)&gt;0,", "&amp;A217&amp;"-"&amp;AH$2,"")&amp;IF(N(AI217)&gt;0,", "&amp;A217&amp;"-"&amp;AI$2,"")&amp;IF(N(AJ217)&gt;0,", "&amp;A217&amp;"-"&amp;AJ$2,""),3,999))</f>
        <v/>
      </c>
      <c r="AN217" s="81"/>
      <c r="AO217" s="88"/>
      <c r="AP217" s="89" t="str">
        <f aca="false">IF(AO217="","",ROUND(AO217/(1+Справочники!$B$13),2))</f>
        <v/>
      </c>
      <c r="AQ217" s="90" t="str">
        <f aca="false" t="array" ref="AQ217:AQ217">IF(AP217="","",AP217*INDEX(Справочники!$B$4:$B$7,MATCH("RUB",Справочники!$A$4:$A$7,0)))</f>
        <v/>
      </c>
      <c r="AR217" s="90" t="str">
        <f aca="false">IF(AQ217="","",ROUND(AQ217*(1+Справочники!$B$12),0))</f>
        <v/>
      </c>
      <c r="AS217" s="90" t="str">
        <f aca="false">IF(AR217="","",ROUND(AR217*(1-Справочники!$B$11),0))</f>
        <v/>
      </c>
      <c r="AT217" s="88"/>
      <c r="AU217" s="90" t="str">
        <f aca="false">IF(AT217="","",ROUND(AT217/(1+Справочники!$B$12),0))</f>
        <v/>
      </c>
      <c r="AV217" s="90" t="str">
        <f aca="false">IF(AT217="","",ROUND(AT217*(1-Справочники!$B$15),0))</f>
        <v/>
      </c>
      <c r="AW217" s="90" t="str">
        <f aca="false">IF(AT217="","",ROUND(AT217*(1-Справочники!$B$16),0))</f>
        <v/>
      </c>
      <c r="AX217" s="90" t="str">
        <f aca="false">IF(AT217="","",ROUND(AT217*(1-Справочники!$B$17),0))</f>
        <v/>
      </c>
      <c r="AY217" s="90" t="str">
        <f aca="false">IF(AT217="","",ROUND(AT217*(1-Справочники!$B$18),0))</f>
        <v/>
      </c>
      <c r="AZ217" s="90" t="str">
        <f aca="false">IF(AT217="","",ROUND(AT217*(1-Справочники!$B$19),0))</f>
        <v/>
      </c>
      <c r="BA217" s="81"/>
      <c r="BB217" s="81"/>
      <c r="BC217" s="81"/>
      <c r="BD217" s="81"/>
      <c r="BE217" s="91"/>
      <c r="BF217" s="81" t="s">
        <v>103</v>
      </c>
      <c r="BG217" s="89" t="n">
        <f aca="false" t="array" ref="BG217:BG217">IF(BF217="","",IFERROR(INDEX(Справочники!$B$4:$B$7,MATCH(BF217,Справочники!$A$4:$A$7,0)),""))</f>
        <v>68.5</v>
      </c>
      <c r="BH217" s="90" t="str">
        <f aca="false">IF(N(BN217)&gt;0,ROUND(SUMIF(ЗАКАЗЫ!$F$3:$F$500,$A217,ЗАКАЗЫ!$Y$3:$Y$500)/BN217,0),IF(OR(BE217="",BG217=""),"",ROUND(BE217*BG217*(1+Справочники!$B$10),0)))</f>
        <v/>
      </c>
      <c r="BI217" s="92" t="str">
        <f aca="false">IF(OR(AU217="",BH217="",AU217=0),"",(AU217-BH217)/AU217)</f>
        <v/>
      </c>
      <c r="BJ217" s="81"/>
      <c r="BK217" s="83"/>
      <c r="BL217" s="43" t="str">
        <f aca="false">IFERROR(INDEX(ЗАКАЗЫ!$N$3:$N$500,MATCH($A217,ЗАКАЗЫ!$F$3:$F$500,0)),"")</f>
        <v/>
      </c>
      <c r="BM217" s="8" t="str">
        <f aca="false">IF(BL217="","",IFERROR(VLOOKUP(BL217,'ТН ВЭД'!$A$4:$C$40,3,0),""))</f>
        <v/>
      </c>
      <c r="BN217" s="7" t="str">
        <f aca="false">IF(COUNTIF(ЗАКАЗЫ!$F$3:$F$500,$A217)=0,"",SUMIF(ЗАКАЗЫ!$F$3:$F$500,$A217,ЗАКАЗЫ!$J$3:$J$500))</f>
        <v/>
      </c>
      <c r="BO217" s="7" t="str">
        <f aca="false">IF(BN217="","",SUMIF(ЗАКАЗЫ!$F$3:$F$500,$A217,ЗАКАЗЫ!$AL$3:$AL$500))</f>
        <v/>
      </c>
      <c r="BP217" s="7" t="str">
        <f aca="false">IF(BN217="","",BN217-BO217)</f>
        <v/>
      </c>
      <c r="BQ217" s="55" t="str">
        <f aca="false">IF(BN217="","",IF(BO217&gt;=BN217,"На складе",IF(BO217&gt;0,"Частично","Ждём")))</f>
        <v/>
      </c>
      <c r="BR217" s="43"/>
      <c r="BS217" s="47" t="str">
        <f aca="false">IF(BN217="","",IF(_xlfn.MAXIFS(ЗАКАЗЫ!$AK$3:$AK$500,ЗАКАЗЫ!$F$3:$F$500,$A217)=0,"",_xlfn.MAXIFS(ЗАКАЗЫ!$AK$3:$AK$500,ЗАКАЗЫ!$F$3:$F$500,$A217)))</f>
        <v/>
      </c>
    </row>
    <row r="218" customFormat="false" ht="15.75" hidden="false" customHeight="true" outlineLevel="0" collapsed="false">
      <c r="A218" s="80" t="s">
        <v>1419</v>
      </c>
      <c r="B218" s="81"/>
      <c r="C218" s="81"/>
      <c r="D218" s="81"/>
      <c r="E218" s="83"/>
      <c r="F218" s="81"/>
      <c r="G218" s="83"/>
      <c r="H218" s="83"/>
      <c r="I218" s="84" t="str">
        <f aca="false">IF(E218="","",A218&amp;"_1.jpg")</f>
        <v/>
      </c>
      <c r="J218" s="84" t="str">
        <f aca="false">IF(E218="","",A218&amp;"_2.jpg; "&amp;A218&amp;"_3.jpg")</f>
        <v/>
      </c>
      <c r="K218" s="84" t="str">
        <f aca="false">IF(E218="","",A218&amp;"_schema.jpg")</f>
        <v/>
      </c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 t="s">
        <v>96</v>
      </c>
      <c r="W218" s="81"/>
      <c r="X218" s="81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6" t="str">
        <f aca="false">IF(SUM(Y218:AJ218)=0,"",SUM(Y218:AJ218))</f>
        <v/>
      </c>
      <c r="AL218" s="84" t="str">
        <f aca="false">MID(IF(N(Y218)&gt;0,", "&amp;Y$2,"")&amp;IF(N(Z218)&gt;0,", "&amp;Z$2,"")&amp;IF(N(AA218)&gt;0,", "&amp;AA$2,"")&amp;IF(N(AB218)&gt;0,", "&amp;AB$2,"")&amp;IF(N(AC218)&gt;0,", "&amp;AC$2,"")&amp;IF(N(AD218)&gt;0,", "&amp;AD$2,"")&amp;IF(N(AE218)&gt;0,", "&amp;AE$2,"")&amp;IF(N(AF218)&gt;0,", "&amp;AF$2,"")&amp;IF(N(AG218)&gt;0,", "&amp;AG$2,"")&amp;IF(N(AH218)&gt;0,", "&amp;AH$2,"")&amp;IF(N(AI218)&gt;0,", "&amp;AI$2,"")&amp;IF(N(AJ218)&gt;0,", "&amp;AJ$2,""),3,999)</f>
        <v/>
      </c>
      <c r="AM218" s="87" t="str">
        <f aca="false">IF(E218="","",MID(IF(N(Y218)&gt;0,", "&amp;A218&amp;"-"&amp;Y$2,"")&amp;IF(N(Z218)&gt;0,", "&amp;A218&amp;"-"&amp;Z$2,"")&amp;IF(N(AA218)&gt;0,", "&amp;A218&amp;"-"&amp;AA$2,"")&amp;IF(N(AB218)&gt;0,", "&amp;A218&amp;"-"&amp;AB$2,"")&amp;IF(N(AC218)&gt;0,", "&amp;A218&amp;"-"&amp;AC$2,"")&amp;IF(N(AD218)&gt;0,", "&amp;A218&amp;"-"&amp;AD$2,"")&amp;IF(N(AE218)&gt;0,", "&amp;A218&amp;"-"&amp;AE$2,"")&amp;IF(N(AF218)&gt;0,", "&amp;A218&amp;"-"&amp;AF$2,"")&amp;IF(N(AG218)&gt;0,", "&amp;A218&amp;"-"&amp;AG$2,"")&amp;IF(N(AH218)&gt;0,", "&amp;A218&amp;"-"&amp;AH$2,"")&amp;IF(N(AI218)&gt;0,", "&amp;A218&amp;"-"&amp;AI$2,"")&amp;IF(N(AJ218)&gt;0,", "&amp;A218&amp;"-"&amp;AJ$2,""),3,999))</f>
        <v/>
      </c>
      <c r="AN218" s="81"/>
      <c r="AO218" s="88"/>
      <c r="AP218" s="89" t="str">
        <f aca="false">IF(AO218="","",ROUND(AO218/(1+Справочники!$B$13),2))</f>
        <v/>
      </c>
      <c r="AQ218" s="90" t="str">
        <f aca="false" t="array" ref="AQ218:AQ218">IF(AP218="","",AP218*INDEX(Справочники!$B$4:$B$7,MATCH("RUB",Справочники!$A$4:$A$7,0)))</f>
        <v/>
      </c>
      <c r="AR218" s="90" t="str">
        <f aca="false">IF(AQ218="","",ROUND(AQ218*(1+Справочники!$B$12),0))</f>
        <v/>
      </c>
      <c r="AS218" s="90" t="str">
        <f aca="false">IF(AR218="","",ROUND(AR218*(1-Справочники!$B$11),0))</f>
        <v/>
      </c>
      <c r="AT218" s="88"/>
      <c r="AU218" s="90" t="str">
        <f aca="false">IF(AT218="","",ROUND(AT218/(1+Справочники!$B$12),0))</f>
        <v/>
      </c>
      <c r="AV218" s="90" t="str">
        <f aca="false">IF(AT218="","",ROUND(AT218*(1-Справочники!$B$15),0))</f>
        <v/>
      </c>
      <c r="AW218" s="90" t="str">
        <f aca="false">IF(AT218="","",ROUND(AT218*(1-Справочники!$B$16),0))</f>
        <v/>
      </c>
      <c r="AX218" s="90" t="str">
        <f aca="false">IF(AT218="","",ROUND(AT218*(1-Справочники!$B$17),0))</f>
        <v/>
      </c>
      <c r="AY218" s="90" t="str">
        <f aca="false">IF(AT218="","",ROUND(AT218*(1-Справочники!$B$18),0))</f>
        <v/>
      </c>
      <c r="AZ218" s="90" t="str">
        <f aca="false">IF(AT218="","",ROUND(AT218*(1-Справочники!$B$19),0))</f>
        <v/>
      </c>
      <c r="BA218" s="81"/>
      <c r="BB218" s="81"/>
      <c r="BC218" s="81"/>
      <c r="BD218" s="81"/>
      <c r="BE218" s="91"/>
      <c r="BF218" s="81" t="s">
        <v>103</v>
      </c>
      <c r="BG218" s="89" t="n">
        <f aca="false" t="array" ref="BG218:BG218">IF(BF218="","",IFERROR(INDEX(Справочники!$B$4:$B$7,MATCH(BF218,Справочники!$A$4:$A$7,0)),""))</f>
        <v>68.5</v>
      </c>
      <c r="BH218" s="90" t="str">
        <f aca="false">IF(N(BN218)&gt;0,ROUND(SUMIF(ЗАКАЗЫ!$F$3:$F$500,$A218,ЗАКАЗЫ!$Y$3:$Y$500)/BN218,0),IF(OR(BE218="",BG218=""),"",ROUND(BE218*BG218*(1+Справочники!$B$10),0)))</f>
        <v/>
      </c>
      <c r="BI218" s="92" t="str">
        <f aca="false">IF(OR(AU218="",BH218="",AU218=0),"",(AU218-BH218)/AU218)</f>
        <v/>
      </c>
      <c r="BJ218" s="81"/>
      <c r="BK218" s="83"/>
      <c r="BL218" s="43" t="str">
        <f aca="false">IFERROR(INDEX(ЗАКАЗЫ!$N$3:$N$500,MATCH($A218,ЗАКАЗЫ!$F$3:$F$500,0)),"")</f>
        <v/>
      </c>
      <c r="BM218" s="8" t="str">
        <f aca="false">IF(BL218="","",IFERROR(VLOOKUP(BL218,'ТН ВЭД'!$A$4:$C$40,3,0),""))</f>
        <v/>
      </c>
      <c r="BN218" s="7" t="str">
        <f aca="false">IF(COUNTIF(ЗАКАЗЫ!$F$3:$F$500,$A218)=0,"",SUMIF(ЗАКАЗЫ!$F$3:$F$500,$A218,ЗАКАЗЫ!$J$3:$J$500))</f>
        <v/>
      </c>
      <c r="BO218" s="7" t="str">
        <f aca="false">IF(BN218="","",SUMIF(ЗАКАЗЫ!$F$3:$F$500,$A218,ЗАКАЗЫ!$AL$3:$AL$500))</f>
        <v/>
      </c>
      <c r="BP218" s="7" t="str">
        <f aca="false">IF(BN218="","",BN218-BO218)</f>
        <v/>
      </c>
      <c r="BQ218" s="55" t="str">
        <f aca="false">IF(BN218="","",IF(BO218&gt;=BN218,"На складе",IF(BO218&gt;0,"Частично","Ждём")))</f>
        <v/>
      </c>
      <c r="BR218" s="43"/>
      <c r="BS218" s="47" t="str">
        <f aca="false">IF(BN218="","",IF(_xlfn.MAXIFS(ЗАКАЗЫ!$AK$3:$AK$500,ЗАКАЗЫ!$F$3:$F$500,$A218)=0,"",_xlfn.MAXIFS(ЗАКАЗЫ!$AK$3:$AK$500,ЗАКАЗЫ!$F$3:$F$500,$A218)))</f>
        <v/>
      </c>
    </row>
    <row r="219" customFormat="false" ht="15.75" hidden="false" customHeight="true" outlineLevel="0" collapsed="false">
      <c r="A219" s="80" t="s">
        <v>1420</v>
      </c>
      <c r="B219" s="81"/>
      <c r="C219" s="81"/>
      <c r="D219" s="81"/>
      <c r="E219" s="83"/>
      <c r="F219" s="81"/>
      <c r="G219" s="83"/>
      <c r="H219" s="83"/>
      <c r="I219" s="84" t="str">
        <f aca="false">IF(E219="","",A219&amp;"_1.jpg")</f>
        <v/>
      </c>
      <c r="J219" s="84" t="str">
        <f aca="false">IF(E219="","",A219&amp;"_2.jpg; "&amp;A219&amp;"_3.jpg")</f>
        <v/>
      </c>
      <c r="K219" s="84" t="str">
        <f aca="false">IF(E219="","",A219&amp;"_schema.jpg")</f>
        <v/>
      </c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 t="s">
        <v>96</v>
      </c>
      <c r="W219" s="81"/>
      <c r="X219" s="81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6" t="str">
        <f aca="false">IF(SUM(Y219:AJ219)=0,"",SUM(Y219:AJ219))</f>
        <v/>
      </c>
      <c r="AL219" s="84" t="str">
        <f aca="false">MID(IF(N(Y219)&gt;0,", "&amp;Y$2,"")&amp;IF(N(Z219)&gt;0,", "&amp;Z$2,"")&amp;IF(N(AA219)&gt;0,", "&amp;AA$2,"")&amp;IF(N(AB219)&gt;0,", "&amp;AB$2,"")&amp;IF(N(AC219)&gt;0,", "&amp;AC$2,"")&amp;IF(N(AD219)&gt;0,", "&amp;AD$2,"")&amp;IF(N(AE219)&gt;0,", "&amp;AE$2,"")&amp;IF(N(AF219)&gt;0,", "&amp;AF$2,"")&amp;IF(N(AG219)&gt;0,", "&amp;AG$2,"")&amp;IF(N(AH219)&gt;0,", "&amp;AH$2,"")&amp;IF(N(AI219)&gt;0,", "&amp;AI$2,"")&amp;IF(N(AJ219)&gt;0,", "&amp;AJ$2,""),3,999)</f>
        <v/>
      </c>
      <c r="AM219" s="87" t="str">
        <f aca="false">IF(E219="","",MID(IF(N(Y219)&gt;0,", "&amp;A219&amp;"-"&amp;Y$2,"")&amp;IF(N(Z219)&gt;0,", "&amp;A219&amp;"-"&amp;Z$2,"")&amp;IF(N(AA219)&gt;0,", "&amp;A219&amp;"-"&amp;AA$2,"")&amp;IF(N(AB219)&gt;0,", "&amp;A219&amp;"-"&amp;AB$2,"")&amp;IF(N(AC219)&gt;0,", "&amp;A219&amp;"-"&amp;AC$2,"")&amp;IF(N(AD219)&gt;0,", "&amp;A219&amp;"-"&amp;AD$2,"")&amp;IF(N(AE219)&gt;0,", "&amp;A219&amp;"-"&amp;AE$2,"")&amp;IF(N(AF219)&gt;0,", "&amp;A219&amp;"-"&amp;AF$2,"")&amp;IF(N(AG219)&gt;0,", "&amp;A219&amp;"-"&amp;AG$2,"")&amp;IF(N(AH219)&gt;0,", "&amp;A219&amp;"-"&amp;AH$2,"")&amp;IF(N(AI219)&gt;0,", "&amp;A219&amp;"-"&amp;AI$2,"")&amp;IF(N(AJ219)&gt;0,", "&amp;A219&amp;"-"&amp;AJ$2,""),3,999))</f>
        <v/>
      </c>
      <c r="AN219" s="81"/>
      <c r="AO219" s="88"/>
      <c r="AP219" s="89" t="str">
        <f aca="false">IF(AO219="","",ROUND(AO219/(1+Справочники!$B$13),2))</f>
        <v/>
      </c>
      <c r="AQ219" s="90" t="str">
        <f aca="false" t="array" ref="AQ219:AQ219">IF(AP219="","",AP219*INDEX(Справочники!$B$4:$B$7,MATCH("RUB",Справочники!$A$4:$A$7,0)))</f>
        <v/>
      </c>
      <c r="AR219" s="90" t="str">
        <f aca="false">IF(AQ219="","",ROUND(AQ219*(1+Справочники!$B$12),0))</f>
        <v/>
      </c>
      <c r="AS219" s="90" t="str">
        <f aca="false">IF(AR219="","",ROUND(AR219*(1-Справочники!$B$11),0))</f>
        <v/>
      </c>
      <c r="AT219" s="88"/>
      <c r="AU219" s="90" t="str">
        <f aca="false">IF(AT219="","",ROUND(AT219/(1+Справочники!$B$12),0))</f>
        <v/>
      </c>
      <c r="AV219" s="90" t="str">
        <f aca="false">IF(AT219="","",ROUND(AT219*(1-Справочники!$B$15),0))</f>
        <v/>
      </c>
      <c r="AW219" s="90" t="str">
        <f aca="false">IF(AT219="","",ROUND(AT219*(1-Справочники!$B$16),0))</f>
        <v/>
      </c>
      <c r="AX219" s="90" t="str">
        <f aca="false">IF(AT219="","",ROUND(AT219*(1-Справочники!$B$17),0))</f>
        <v/>
      </c>
      <c r="AY219" s="90" t="str">
        <f aca="false">IF(AT219="","",ROUND(AT219*(1-Справочники!$B$18),0))</f>
        <v/>
      </c>
      <c r="AZ219" s="90" t="str">
        <f aca="false">IF(AT219="","",ROUND(AT219*(1-Справочники!$B$19),0))</f>
        <v/>
      </c>
      <c r="BA219" s="81"/>
      <c r="BB219" s="81"/>
      <c r="BC219" s="81"/>
      <c r="BD219" s="81"/>
      <c r="BE219" s="91"/>
      <c r="BF219" s="81" t="s">
        <v>103</v>
      </c>
      <c r="BG219" s="89" t="n">
        <f aca="false" t="array" ref="BG219:BG219">IF(BF219="","",IFERROR(INDEX(Справочники!$B$4:$B$7,MATCH(BF219,Справочники!$A$4:$A$7,0)),""))</f>
        <v>68.5</v>
      </c>
      <c r="BH219" s="90" t="str">
        <f aca="false">IF(N(BN219)&gt;0,ROUND(SUMIF(ЗАКАЗЫ!$F$3:$F$500,$A219,ЗАКАЗЫ!$Y$3:$Y$500)/BN219,0),IF(OR(BE219="",BG219=""),"",ROUND(BE219*BG219*(1+Справочники!$B$10),0)))</f>
        <v/>
      </c>
      <c r="BI219" s="92" t="str">
        <f aca="false">IF(OR(AU219="",BH219="",AU219=0),"",(AU219-BH219)/AU219)</f>
        <v/>
      </c>
      <c r="BJ219" s="81"/>
      <c r="BK219" s="83"/>
      <c r="BL219" s="43" t="str">
        <f aca="false">IFERROR(INDEX(ЗАКАЗЫ!$N$3:$N$500,MATCH($A219,ЗАКАЗЫ!$F$3:$F$500,0)),"")</f>
        <v/>
      </c>
      <c r="BM219" s="8" t="str">
        <f aca="false">IF(BL219="","",IFERROR(VLOOKUP(BL219,'ТН ВЭД'!$A$4:$C$40,3,0),""))</f>
        <v/>
      </c>
      <c r="BN219" s="7" t="str">
        <f aca="false">IF(COUNTIF(ЗАКАЗЫ!$F$3:$F$500,$A219)=0,"",SUMIF(ЗАКАЗЫ!$F$3:$F$500,$A219,ЗАКАЗЫ!$J$3:$J$500))</f>
        <v/>
      </c>
      <c r="BO219" s="7" t="str">
        <f aca="false">IF(BN219="","",SUMIF(ЗАКАЗЫ!$F$3:$F$500,$A219,ЗАКАЗЫ!$AL$3:$AL$500))</f>
        <v/>
      </c>
      <c r="BP219" s="7" t="str">
        <f aca="false">IF(BN219="","",BN219-BO219)</f>
        <v/>
      </c>
      <c r="BQ219" s="55" t="str">
        <f aca="false">IF(BN219="","",IF(BO219&gt;=BN219,"На складе",IF(BO219&gt;0,"Частично","Ждём")))</f>
        <v/>
      </c>
      <c r="BR219" s="43"/>
      <c r="BS219" s="47" t="str">
        <f aca="false">IF(BN219="","",IF(_xlfn.MAXIFS(ЗАКАЗЫ!$AK$3:$AK$500,ЗАКАЗЫ!$F$3:$F$500,$A219)=0,"",_xlfn.MAXIFS(ЗАКАЗЫ!$AK$3:$AK$500,ЗАКАЗЫ!$F$3:$F$500,$A219)))</f>
        <v/>
      </c>
    </row>
    <row r="220" customFormat="false" ht="15.75" hidden="false" customHeight="true" outlineLevel="0" collapsed="false">
      <c r="A220" s="80" t="s">
        <v>1421</v>
      </c>
      <c r="B220" s="81"/>
      <c r="C220" s="81"/>
      <c r="D220" s="81"/>
      <c r="E220" s="83"/>
      <c r="F220" s="81"/>
      <c r="G220" s="83"/>
      <c r="H220" s="83"/>
      <c r="I220" s="84" t="str">
        <f aca="false">IF(E220="","",A220&amp;"_1.jpg")</f>
        <v/>
      </c>
      <c r="J220" s="84" t="str">
        <f aca="false">IF(E220="","",A220&amp;"_2.jpg; "&amp;A220&amp;"_3.jpg")</f>
        <v/>
      </c>
      <c r="K220" s="84" t="str">
        <f aca="false">IF(E220="","",A220&amp;"_schema.jpg")</f>
        <v/>
      </c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 t="s">
        <v>96</v>
      </c>
      <c r="W220" s="81"/>
      <c r="X220" s="81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6" t="str">
        <f aca="false">IF(SUM(Y220:AJ220)=0,"",SUM(Y220:AJ220))</f>
        <v/>
      </c>
      <c r="AL220" s="84" t="str">
        <f aca="false">MID(IF(N(Y220)&gt;0,", "&amp;Y$2,"")&amp;IF(N(Z220)&gt;0,", "&amp;Z$2,"")&amp;IF(N(AA220)&gt;0,", "&amp;AA$2,"")&amp;IF(N(AB220)&gt;0,", "&amp;AB$2,"")&amp;IF(N(AC220)&gt;0,", "&amp;AC$2,"")&amp;IF(N(AD220)&gt;0,", "&amp;AD$2,"")&amp;IF(N(AE220)&gt;0,", "&amp;AE$2,"")&amp;IF(N(AF220)&gt;0,", "&amp;AF$2,"")&amp;IF(N(AG220)&gt;0,", "&amp;AG$2,"")&amp;IF(N(AH220)&gt;0,", "&amp;AH$2,"")&amp;IF(N(AI220)&gt;0,", "&amp;AI$2,"")&amp;IF(N(AJ220)&gt;0,", "&amp;AJ$2,""),3,999)</f>
        <v/>
      </c>
      <c r="AM220" s="87" t="str">
        <f aca="false">IF(E220="","",MID(IF(N(Y220)&gt;0,", "&amp;A220&amp;"-"&amp;Y$2,"")&amp;IF(N(Z220)&gt;0,", "&amp;A220&amp;"-"&amp;Z$2,"")&amp;IF(N(AA220)&gt;0,", "&amp;A220&amp;"-"&amp;AA$2,"")&amp;IF(N(AB220)&gt;0,", "&amp;A220&amp;"-"&amp;AB$2,"")&amp;IF(N(AC220)&gt;0,", "&amp;A220&amp;"-"&amp;AC$2,"")&amp;IF(N(AD220)&gt;0,", "&amp;A220&amp;"-"&amp;AD$2,"")&amp;IF(N(AE220)&gt;0,", "&amp;A220&amp;"-"&amp;AE$2,"")&amp;IF(N(AF220)&gt;0,", "&amp;A220&amp;"-"&amp;AF$2,"")&amp;IF(N(AG220)&gt;0,", "&amp;A220&amp;"-"&amp;AG$2,"")&amp;IF(N(AH220)&gt;0,", "&amp;A220&amp;"-"&amp;AH$2,"")&amp;IF(N(AI220)&gt;0,", "&amp;A220&amp;"-"&amp;AI$2,"")&amp;IF(N(AJ220)&gt;0,", "&amp;A220&amp;"-"&amp;AJ$2,""),3,999))</f>
        <v/>
      </c>
      <c r="AN220" s="81"/>
      <c r="AO220" s="88"/>
      <c r="AP220" s="89" t="str">
        <f aca="false">IF(AO220="","",ROUND(AO220/(1+Справочники!$B$13),2))</f>
        <v/>
      </c>
      <c r="AQ220" s="90" t="str">
        <f aca="false" t="array" ref="AQ220:AQ220">IF(AP220="","",AP220*INDEX(Справочники!$B$4:$B$7,MATCH("RUB",Справочники!$A$4:$A$7,0)))</f>
        <v/>
      </c>
      <c r="AR220" s="90" t="str">
        <f aca="false">IF(AQ220="","",ROUND(AQ220*(1+Справочники!$B$12),0))</f>
        <v/>
      </c>
      <c r="AS220" s="90" t="str">
        <f aca="false">IF(AR220="","",ROUND(AR220*(1-Справочники!$B$11),0))</f>
        <v/>
      </c>
      <c r="AT220" s="88"/>
      <c r="AU220" s="90" t="str">
        <f aca="false">IF(AT220="","",ROUND(AT220/(1+Справочники!$B$12),0))</f>
        <v/>
      </c>
      <c r="AV220" s="90" t="str">
        <f aca="false">IF(AT220="","",ROUND(AT220*(1-Справочники!$B$15),0))</f>
        <v/>
      </c>
      <c r="AW220" s="90" t="str">
        <f aca="false">IF(AT220="","",ROUND(AT220*(1-Справочники!$B$16),0))</f>
        <v/>
      </c>
      <c r="AX220" s="90" t="str">
        <f aca="false">IF(AT220="","",ROUND(AT220*(1-Справочники!$B$17),0))</f>
        <v/>
      </c>
      <c r="AY220" s="90" t="str">
        <f aca="false">IF(AT220="","",ROUND(AT220*(1-Справочники!$B$18),0))</f>
        <v/>
      </c>
      <c r="AZ220" s="90" t="str">
        <f aca="false">IF(AT220="","",ROUND(AT220*(1-Справочники!$B$19),0))</f>
        <v/>
      </c>
      <c r="BA220" s="81"/>
      <c r="BB220" s="81"/>
      <c r="BC220" s="81"/>
      <c r="BD220" s="81"/>
      <c r="BE220" s="91"/>
      <c r="BF220" s="81" t="s">
        <v>103</v>
      </c>
      <c r="BG220" s="89" t="n">
        <f aca="false" t="array" ref="BG220:BG220">IF(BF220="","",IFERROR(INDEX(Справочники!$B$4:$B$7,MATCH(BF220,Справочники!$A$4:$A$7,0)),""))</f>
        <v>68.5</v>
      </c>
      <c r="BH220" s="90" t="str">
        <f aca="false">IF(N(BN220)&gt;0,ROUND(SUMIF(ЗАКАЗЫ!$F$3:$F$500,$A220,ЗАКАЗЫ!$Y$3:$Y$500)/BN220,0),IF(OR(BE220="",BG220=""),"",ROUND(BE220*BG220*(1+Справочники!$B$10),0)))</f>
        <v/>
      </c>
      <c r="BI220" s="92" t="str">
        <f aca="false">IF(OR(AU220="",BH220="",AU220=0),"",(AU220-BH220)/AU220)</f>
        <v/>
      </c>
      <c r="BJ220" s="81"/>
      <c r="BK220" s="83"/>
      <c r="BL220" s="43" t="str">
        <f aca="false">IFERROR(INDEX(ЗАКАЗЫ!$N$3:$N$500,MATCH($A220,ЗАКАЗЫ!$F$3:$F$500,0)),"")</f>
        <v/>
      </c>
      <c r="BM220" s="8" t="str">
        <f aca="false">IF(BL220="","",IFERROR(VLOOKUP(BL220,'ТН ВЭД'!$A$4:$C$40,3,0),""))</f>
        <v/>
      </c>
      <c r="BN220" s="7" t="str">
        <f aca="false">IF(COUNTIF(ЗАКАЗЫ!$F$3:$F$500,$A220)=0,"",SUMIF(ЗАКАЗЫ!$F$3:$F$500,$A220,ЗАКАЗЫ!$J$3:$J$500))</f>
        <v/>
      </c>
      <c r="BO220" s="7" t="str">
        <f aca="false">IF(BN220="","",SUMIF(ЗАКАЗЫ!$F$3:$F$500,$A220,ЗАКАЗЫ!$AL$3:$AL$500))</f>
        <v/>
      </c>
      <c r="BP220" s="7" t="str">
        <f aca="false">IF(BN220="","",BN220-BO220)</f>
        <v/>
      </c>
      <c r="BQ220" s="55" t="str">
        <f aca="false">IF(BN220="","",IF(BO220&gt;=BN220,"На складе",IF(BO220&gt;0,"Частично","Ждём")))</f>
        <v/>
      </c>
      <c r="BR220" s="43"/>
      <c r="BS220" s="47" t="str">
        <f aca="false">IF(BN220="","",IF(_xlfn.MAXIFS(ЗАКАЗЫ!$AK$3:$AK$500,ЗАКАЗЫ!$F$3:$F$500,$A220)=0,"",_xlfn.MAXIFS(ЗАКАЗЫ!$AK$3:$AK$500,ЗАКАЗЫ!$F$3:$F$500,$A220)))</f>
        <v/>
      </c>
    </row>
    <row r="221" customFormat="false" ht="15.75" hidden="false" customHeight="true" outlineLevel="0" collapsed="false">
      <c r="A221" s="80" t="s">
        <v>1422</v>
      </c>
      <c r="B221" s="81"/>
      <c r="C221" s="81"/>
      <c r="D221" s="81"/>
      <c r="E221" s="83"/>
      <c r="F221" s="81"/>
      <c r="G221" s="83"/>
      <c r="H221" s="83"/>
      <c r="I221" s="84" t="str">
        <f aca="false">IF(E221="","",A221&amp;"_1.jpg")</f>
        <v/>
      </c>
      <c r="J221" s="84" t="str">
        <f aca="false">IF(E221="","",A221&amp;"_2.jpg; "&amp;A221&amp;"_3.jpg")</f>
        <v/>
      </c>
      <c r="K221" s="84" t="str">
        <f aca="false">IF(E221="","",A221&amp;"_schema.jpg")</f>
        <v/>
      </c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 t="s">
        <v>96</v>
      </c>
      <c r="W221" s="81"/>
      <c r="X221" s="81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6" t="str">
        <f aca="false">IF(SUM(Y221:AJ221)=0,"",SUM(Y221:AJ221))</f>
        <v/>
      </c>
      <c r="AL221" s="84" t="str">
        <f aca="false">MID(IF(N(Y221)&gt;0,", "&amp;Y$2,"")&amp;IF(N(Z221)&gt;0,", "&amp;Z$2,"")&amp;IF(N(AA221)&gt;0,", "&amp;AA$2,"")&amp;IF(N(AB221)&gt;0,", "&amp;AB$2,"")&amp;IF(N(AC221)&gt;0,", "&amp;AC$2,"")&amp;IF(N(AD221)&gt;0,", "&amp;AD$2,"")&amp;IF(N(AE221)&gt;0,", "&amp;AE$2,"")&amp;IF(N(AF221)&gt;0,", "&amp;AF$2,"")&amp;IF(N(AG221)&gt;0,", "&amp;AG$2,"")&amp;IF(N(AH221)&gt;0,", "&amp;AH$2,"")&amp;IF(N(AI221)&gt;0,", "&amp;AI$2,"")&amp;IF(N(AJ221)&gt;0,", "&amp;AJ$2,""),3,999)</f>
        <v/>
      </c>
      <c r="AM221" s="87" t="str">
        <f aca="false">IF(E221="","",MID(IF(N(Y221)&gt;0,", "&amp;A221&amp;"-"&amp;Y$2,"")&amp;IF(N(Z221)&gt;0,", "&amp;A221&amp;"-"&amp;Z$2,"")&amp;IF(N(AA221)&gt;0,", "&amp;A221&amp;"-"&amp;AA$2,"")&amp;IF(N(AB221)&gt;0,", "&amp;A221&amp;"-"&amp;AB$2,"")&amp;IF(N(AC221)&gt;0,", "&amp;A221&amp;"-"&amp;AC$2,"")&amp;IF(N(AD221)&gt;0,", "&amp;A221&amp;"-"&amp;AD$2,"")&amp;IF(N(AE221)&gt;0,", "&amp;A221&amp;"-"&amp;AE$2,"")&amp;IF(N(AF221)&gt;0,", "&amp;A221&amp;"-"&amp;AF$2,"")&amp;IF(N(AG221)&gt;0,", "&amp;A221&amp;"-"&amp;AG$2,"")&amp;IF(N(AH221)&gt;0,", "&amp;A221&amp;"-"&amp;AH$2,"")&amp;IF(N(AI221)&gt;0,", "&amp;A221&amp;"-"&amp;AI$2,"")&amp;IF(N(AJ221)&gt;0,", "&amp;A221&amp;"-"&amp;AJ$2,""),3,999))</f>
        <v/>
      </c>
      <c r="AN221" s="81"/>
      <c r="AO221" s="88"/>
      <c r="AP221" s="89" t="str">
        <f aca="false">IF(AO221="","",ROUND(AO221/(1+Справочники!$B$13),2))</f>
        <v/>
      </c>
      <c r="AQ221" s="90" t="str">
        <f aca="false" t="array" ref="AQ221:AQ221">IF(AP221="","",AP221*INDEX(Справочники!$B$4:$B$7,MATCH("RUB",Справочники!$A$4:$A$7,0)))</f>
        <v/>
      </c>
      <c r="AR221" s="90" t="str">
        <f aca="false">IF(AQ221="","",ROUND(AQ221*(1+Справочники!$B$12),0))</f>
        <v/>
      </c>
      <c r="AS221" s="90" t="str">
        <f aca="false">IF(AR221="","",ROUND(AR221*(1-Справочники!$B$11),0))</f>
        <v/>
      </c>
      <c r="AT221" s="88"/>
      <c r="AU221" s="90" t="str">
        <f aca="false">IF(AT221="","",ROUND(AT221/(1+Справочники!$B$12),0))</f>
        <v/>
      </c>
      <c r="AV221" s="90" t="str">
        <f aca="false">IF(AT221="","",ROUND(AT221*(1-Справочники!$B$15),0))</f>
        <v/>
      </c>
      <c r="AW221" s="90" t="str">
        <f aca="false">IF(AT221="","",ROUND(AT221*(1-Справочники!$B$16),0))</f>
        <v/>
      </c>
      <c r="AX221" s="90" t="str">
        <f aca="false">IF(AT221="","",ROUND(AT221*(1-Справочники!$B$17),0))</f>
        <v/>
      </c>
      <c r="AY221" s="90" t="str">
        <f aca="false">IF(AT221="","",ROUND(AT221*(1-Справочники!$B$18),0))</f>
        <v/>
      </c>
      <c r="AZ221" s="90" t="str">
        <f aca="false">IF(AT221="","",ROUND(AT221*(1-Справочники!$B$19),0))</f>
        <v/>
      </c>
      <c r="BA221" s="81"/>
      <c r="BB221" s="81"/>
      <c r="BC221" s="81"/>
      <c r="BD221" s="81"/>
      <c r="BE221" s="91"/>
      <c r="BF221" s="81" t="s">
        <v>103</v>
      </c>
      <c r="BG221" s="89" t="n">
        <f aca="false" t="array" ref="BG221:BG221">IF(BF221="","",IFERROR(INDEX(Справочники!$B$4:$B$7,MATCH(BF221,Справочники!$A$4:$A$7,0)),""))</f>
        <v>68.5</v>
      </c>
      <c r="BH221" s="90" t="str">
        <f aca="false">IF(N(BN221)&gt;0,ROUND(SUMIF(ЗАКАЗЫ!$F$3:$F$500,$A221,ЗАКАЗЫ!$Y$3:$Y$500)/BN221,0),IF(OR(BE221="",BG221=""),"",ROUND(BE221*BG221*(1+Справочники!$B$10),0)))</f>
        <v/>
      </c>
      <c r="BI221" s="92" t="str">
        <f aca="false">IF(OR(AU221="",BH221="",AU221=0),"",(AU221-BH221)/AU221)</f>
        <v/>
      </c>
      <c r="BJ221" s="81"/>
      <c r="BK221" s="83"/>
      <c r="BL221" s="43" t="str">
        <f aca="false">IFERROR(INDEX(ЗАКАЗЫ!$N$3:$N$500,MATCH($A221,ЗАКАЗЫ!$F$3:$F$500,0)),"")</f>
        <v/>
      </c>
      <c r="BM221" s="8" t="str">
        <f aca="false">IF(BL221="","",IFERROR(VLOOKUP(BL221,'ТН ВЭД'!$A$4:$C$40,3,0),""))</f>
        <v/>
      </c>
      <c r="BN221" s="7" t="str">
        <f aca="false">IF(COUNTIF(ЗАКАЗЫ!$F$3:$F$500,$A221)=0,"",SUMIF(ЗАКАЗЫ!$F$3:$F$500,$A221,ЗАКАЗЫ!$J$3:$J$500))</f>
        <v/>
      </c>
      <c r="BO221" s="7" t="str">
        <f aca="false">IF(BN221="","",SUMIF(ЗАКАЗЫ!$F$3:$F$500,$A221,ЗАКАЗЫ!$AL$3:$AL$500))</f>
        <v/>
      </c>
      <c r="BP221" s="7" t="str">
        <f aca="false">IF(BN221="","",BN221-BO221)</f>
        <v/>
      </c>
      <c r="BQ221" s="55" t="str">
        <f aca="false">IF(BN221="","",IF(BO221&gt;=BN221,"На складе",IF(BO221&gt;0,"Частично","Ждём")))</f>
        <v/>
      </c>
      <c r="BR221" s="43"/>
      <c r="BS221" s="47" t="str">
        <f aca="false">IF(BN221="","",IF(_xlfn.MAXIFS(ЗАКАЗЫ!$AK$3:$AK$500,ЗАКАЗЫ!$F$3:$F$500,$A221)=0,"",_xlfn.MAXIFS(ЗАКАЗЫ!$AK$3:$AK$500,ЗАКАЗЫ!$F$3:$F$500,$A221)))</f>
        <v/>
      </c>
    </row>
    <row r="222" customFormat="false" ht="15.75" hidden="false" customHeight="true" outlineLevel="0" collapsed="false">
      <c r="A222" s="80" t="s">
        <v>1423</v>
      </c>
      <c r="B222" s="81"/>
      <c r="C222" s="81"/>
      <c r="D222" s="81"/>
      <c r="E222" s="83"/>
      <c r="F222" s="81"/>
      <c r="G222" s="83"/>
      <c r="H222" s="83"/>
      <c r="I222" s="84" t="str">
        <f aca="false">IF(E222="","",A222&amp;"_1.jpg")</f>
        <v/>
      </c>
      <c r="J222" s="84" t="str">
        <f aca="false">IF(E222="","",A222&amp;"_2.jpg; "&amp;A222&amp;"_3.jpg")</f>
        <v/>
      </c>
      <c r="K222" s="84" t="str">
        <f aca="false">IF(E222="","",A222&amp;"_schema.jpg")</f>
        <v/>
      </c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 t="s">
        <v>96</v>
      </c>
      <c r="W222" s="81"/>
      <c r="X222" s="81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6" t="str">
        <f aca="false">IF(SUM(Y222:AJ222)=0,"",SUM(Y222:AJ222))</f>
        <v/>
      </c>
      <c r="AL222" s="84" t="str">
        <f aca="false">MID(IF(N(Y222)&gt;0,", "&amp;Y$2,"")&amp;IF(N(Z222)&gt;0,", "&amp;Z$2,"")&amp;IF(N(AA222)&gt;0,", "&amp;AA$2,"")&amp;IF(N(AB222)&gt;0,", "&amp;AB$2,"")&amp;IF(N(AC222)&gt;0,", "&amp;AC$2,"")&amp;IF(N(AD222)&gt;0,", "&amp;AD$2,"")&amp;IF(N(AE222)&gt;0,", "&amp;AE$2,"")&amp;IF(N(AF222)&gt;0,", "&amp;AF$2,"")&amp;IF(N(AG222)&gt;0,", "&amp;AG$2,"")&amp;IF(N(AH222)&gt;0,", "&amp;AH$2,"")&amp;IF(N(AI222)&gt;0,", "&amp;AI$2,"")&amp;IF(N(AJ222)&gt;0,", "&amp;AJ$2,""),3,999)</f>
        <v/>
      </c>
      <c r="AM222" s="87" t="str">
        <f aca="false">IF(E222="","",MID(IF(N(Y222)&gt;0,", "&amp;A222&amp;"-"&amp;Y$2,"")&amp;IF(N(Z222)&gt;0,", "&amp;A222&amp;"-"&amp;Z$2,"")&amp;IF(N(AA222)&gt;0,", "&amp;A222&amp;"-"&amp;AA$2,"")&amp;IF(N(AB222)&gt;0,", "&amp;A222&amp;"-"&amp;AB$2,"")&amp;IF(N(AC222)&gt;0,", "&amp;A222&amp;"-"&amp;AC$2,"")&amp;IF(N(AD222)&gt;0,", "&amp;A222&amp;"-"&amp;AD$2,"")&amp;IF(N(AE222)&gt;0,", "&amp;A222&amp;"-"&amp;AE$2,"")&amp;IF(N(AF222)&gt;0,", "&amp;A222&amp;"-"&amp;AF$2,"")&amp;IF(N(AG222)&gt;0,", "&amp;A222&amp;"-"&amp;AG$2,"")&amp;IF(N(AH222)&gt;0,", "&amp;A222&amp;"-"&amp;AH$2,"")&amp;IF(N(AI222)&gt;0,", "&amp;A222&amp;"-"&amp;AI$2,"")&amp;IF(N(AJ222)&gt;0,", "&amp;A222&amp;"-"&amp;AJ$2,""),3,999))</f>
        <v/>
      </c>
      <c r="AN222" s="81"/>
      <c r="AO222" s="88"/>
      <c r="AP222" s="89" t="str">
        <f aca="false">IF(AO222="","",ROUND(AO222/(1+Справочники!$B$13),2))</f>
        <v/>
      </c>
      <c r="AQ222" s="90" t="str">
        <f aca="false" t="array" ref="AQ222:AQ222">IF(AP222="","",AP222*INDEX(Справочники!$B$4:$B$7,MATCH("RUB",Справочники!$A$4:$A$7,0)))</f>
        <v/>
      </c>
      <c r="AR222" s="90" t="str">
        <f aca="false">IF(AQ222="","",ROUND(AQ222*(1+Справочники!$B$12),0))</f>
        <v/>
      </c>
      <c r="AS222" s="90" t="str">
        <f aca="false">IF(AR222="","",ROUND(AR222*(1-Справочники!$B$11),0))</f>
        <v/>
      </c>
      <c r="AT222" s="88"/>
      <c r="AU222" s="90" t="str">
        <f aca="false">IF(AT222="","",ROUND(AT222/(1+Справочники!$B$12),0))</f>
        <v/>
      </c>
      <c r="AV222" s="90" t="str">
        <f aca="false">IF(AT222="","",ROUND(AT222*(1-Справочники!$B$15),0))</f>
        <v/>
      </c>
      <c r="AW222" s="90" t="str">
        <f aca="false">IF(AT222="","",ROUND(AT222*(1-Справочники!$B$16),0))</f>
        <v/>
      </c>
      <c r="AX222" s="90" t="str">
        <f aca="false">IF(AT222="","",ROUND(AT222*(1-Справочники!$B$17),0))</f>
        <v/>
      </c>
      <c r="AY222" s="90" t="str">
        <f aca="false">IF(AT222="","",ROUND(AT222*(1-Справочники!$B$18),0))</f>
        <v/>
      </c>
      <c r="AZ222" s="90" t="str">
        <f aca="false">IF(AT222="","",ROUND(AT222*(1-Справочники!$B$19),0))</f>
        <v/>
      </c>
      <c r="BA222" s="81"/>
      <c r="BB222" s="81"/>
      <c r="BC222" s="81"/>
      <c r="BD222" s="81"/>
      <c r="BE222" s="91"/>
      <c r="BF222" s="81" t="s">
        <v>103</v>
      </c>
      <c r="BG222" s="89" t="n">
        <f aca="false" t="array" ref="BG222:BG222">IF(BF222="","",IFERROR(INDEX(Справочники!$B$4:$B$7,MATCH(BF222,Справочники!$A$4:$A$7,0)),""))</f>
        <v>68.5</v>
      </c>
      <c r="BH222" s="90" t="str">
        <f aca="false">IF(N(BN222)&gt;0,ROUND(SUMIF(ЗАКАЗЫ!$F$3:$F$500,$A222,ЗАКАЗЫ!$Y$3:$Y$500)/BN222,0),IF(OR(BE222="",BG222=""),"",ROUND(BE222*BG222*(1+Справочники!$B$10),0)))</f>
        <v/>
      </c>
      <c r="BI222" s="92" t="str">
        <f aca="false">IF(OR(AU222="",BH222="",AU222=0),"",(AU222-BH222)/AU222)</f>
        <v/>
      </c>
      <c r="BJ222" s="81"/>
      <c r="BK222" s="83"/>
      <c r="BL222" s="43" t="str">
        <f aca="false">IFERROR(INDEX(ЗАКАЗЫ!$N$3:$N$500,MATCH($A222,ЗАКАЗЫ!$F$3:$F$500,0)),"")</f>
        <v/>
      </c>
      <c r="BM222" s="8" t="str">
        <f aca="false">IF(BL222="","",IFERROR(VLOOKUP(BL222,'ТН ВЭД'!$A$4:$C$40,3,0),""))</f>
        <v/>
      </c>
      <c r="BN222" s="7" t="str">
        <f aca="false">IF(COUNTIF(ЗАКАЗЫ!$F$3:$F$500,$A222)=0,"",SUMIF(ЗАКАЗЫ!$F$3:$F$500,$A222,ЗАКАЗЫ!$J$3:$J$500))</f>
        <v/>
      </c>
      <c r="BO222" s="7" t="str">
        <f aca="false">IF(BN222="","",SUMIF(ЗАКАЗЫ!$F$3:$F$500,$A222,ЗАКАЗЫ!$AL$3:$AL$500))</f>
        <v/>
      </c>
      <c r="BP222" s="7" t="str">
        <f aca="false">IF(BN222="","",BN222-BO222)</f>
        <v/>
      </c>
      <c r="BQ222" s="55" t="str">
        <f aca="false">IF(BN222="","",IF(BO222&gt;=BN222,"На складе",IF(BO222&gt;0,"Частично","Ждём")))</f>
        <v/>
      </c>
      <c r="BR222" s="43"/>
      <c r="BS222" s="47" t="str">
        <f aca="false">IF(BN222="","",IF(_xlfn.MAXIFS(ЗАКАЗЫ!$AK$3:$AK$500,ЗАКАЗЫ!$F$3:$F$500,$A222)=0,"",_xlfn.MAXIFS(ЗАКАЗЫ!$AK$3:$AK$500,ЗАКАЗЫ!$F$3:$F$500,$A222)))</f>
        <v/>
      </c>
    </row>
    <row r="223" customFormat="false" ht="15.75" hidden="false" customHeight="true" outlineLevel="0" collapsed="false">
      <c r="A223" s="80" t="s">
        <v>1424</v>
      </c>
      <c r="B223" s="81"/>
      <c r="C223" s="81"/>
      <c r="D223" s="81"/>
      <c r="E223" s="83"/>
      <c r="F223" s="81"/>
      <c r="G223" s="83"/>
      <c r="H223" s="83"/>
      <c r="I223" s="84" t="str">
        <f aca="false">IF(E223="","",A223&amp;"_1.jpg")</f>
        <v/>
      </c>
      <c r="J223" s="84" t="str">
        <f aca="false">IF(E223="","",A223&amp;"_2.jpg; "&amp;A223&amp;"_3.jpg")</f>
        <v/>
      </c>
      <c r="K223" s="84" t="str">
        <f aca="false">IF(E223="","",A223&amp;"_schema.jpg")</f>
        <v/>
      </c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 t="s">
        <v>96</v>
      </c>
      <c r="W223" s="81"/>
      <c r="X223" s="81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6" t="str">
        <f aca="false">IF(SUM(Y223:AJ223)=0,"",SUM(Y223:AJ223))</f>
        <v/>
      </c>
      <c r="AL223" s="84" t="str">
        <f aca="false">MID(IF(N(Y223)&gt;0,", "&amp;Y$2,"")&amp;IF(N(Z223)&gt;0,", "&amp;Z$2,"")&amp;IF(N(AA223)&gt;0,", "&amp;AA$2,"")&amp;IF(N(AB223)&gt;0,", "&amp;AB$2,"")&amp;IF(N(AC223)&gt;0,", "&amp;AC$2,"")&amp;IF(N(AD223)&gt;0,", "&amp;AD$2,"")&amp;IF(N(AE223)&gt;0,", "&amp;AE$2,"")&amp;IF(N(AF223)&gt;0,", "&amp;AF$2,"")&amp;IF(N(AG223)&gt;0,", "&amp;AG$2,"")&amp;IF(N(AH223)&gt;0,", "&amp;AH$2,"")&amp;IF(N(AI223)&gt;0,", "&amp;AI$2,"")&amp;IF(N(AJ223)&gt;0,", "&amp;AJ$2,""),3,999)</f>
        <v/>
      </c>
      <c r="AM223" s="87" t="str">
        <f aca="false">IF(E223="","",MID(IF(N(Y223)&gt;0,", "&amp;A223&amp;"-"&amp;Y$2,"")&amp;IF(N(Z223)&gt;0,", "&amp;A223&amp;"-"&amp;Z$2,"")&amp;IF(N(AA223)&gt;0,", "&amp;A223&amp;"-"&amp;AA$2,"")&amp;IF(N(AB223)&gt;0,", "&amp;A223&amp;"-"&amp;AB$2,"")&amp;IF(N(AC223)&gt;0,", "&amp;A223&amp;"-"&amp;AC$2,"")&amp;IF(N(AD223)&gt;0,", "&amp;A223&amp;"-"&amp;AD$2,"")&amp;IF(N(AE223)&gt;0,", "&amp;A223&amp;"-"&amp;AE$2,"")&amp;IF(N(AF223)&gt;0,", "&amp;A223&amp;"-"&amp;AF$2,"")&amp;IF(N(AG223)&gt;0,", "&amp;A223&amp;"-"&amp;AG$2,"")&amp;IF(N(AH223)&gt;0,", "&amp;A223&amp;"-"&amp;AH$2,"")&amp;IF(N(AI223)&gt;0,", "&amp;A223&amp;"-"&amp;AI$2,"")&amp;IF(N(AJ223)&gt;0,", "&amp;A223&amp;"-"&amp;AJ$2,""),3,999))</f>
        <v/>
      </c>
      <c r="AN223" s="81"/>
      <c r="AO223" s="88"/>
      <c r="AP223" s="89" t="str">
        <f aca="false">IF(AO223="","",ROUND(AO223/(1+Справочники!$B$13),2))</f>
        <v/>
      </c>
      <c r="AQ223" s="90" t="str">
        <f aca="false" t="array" ref="AQ223:AQ223">IF(AP223="","",AP223*INDEX(Справочники!$B$4:$B$7,MATCH("RUB",Справочники!$A$4:$A$7,0)))</f>
        <v/>
      </c>
      <c r="AR223" s="90" t="str">
        <f aca="false">IF(AQ223="","",ROUND(AQ223*(1+Справочники!$B$12),0))</f>
        <v/>
      </c>
      <c r="AS223" s="90" t="str">
        <f aca="false">IF(AR223="","",ROUND(AR223*(1-Справочники!$B$11),0))</f>
        <v/>
      </c>
      <c r="AT223" s="88"/>
      <c r="AU223" s="90" t="str">
        <f aca="false">IF(AT223="","",ROUND(AT223/(1+Справочники!$B$12),0))</f>
        <v/>
      </c>
      <c r="AV223" s="90" t="str">
        <f aca="false">IF(AT223="","",ROUND(AT223*(1-Справочники!$B$15),0))</f>
        <v/>
      </c>
      <c r="AW223" s="90" t="str">
        <f aca="false">IF(AT223="","",ROUND(AT223*(1-Справочники!$B$16),0))</f>
        <v/>
      </c>
      <c r="AX223" s="90" t="str">
        <f aca="false">IF(AT223="","",ROUND(AT223*(1-Справочники!$B$17),0))</f>
        <v/>
      </c>
      <c r="AY223" s="90" t="str">
        <f aca="false">IF(AT223="","",ROUND(AT223*(1-Справочники!$B$18),0))</f>
        <v/>
      </c>
      <c r="AZ223" s="90" t="str">
        <f aca="false">IF(AT223="","",ROUND(AT223*(1-Справочники!$B$19),0))</f>
        <v/>
      </c>
      <c r="BA223" s="81"/>
      <c r="BB223" s="81"/>
      <c r="BC223" s="81"/>
      <c r="BD223" s="81"/>
      <c r="BE223" s="91"/>
      <c r="BF223" s="81" t="s">
        <v>103</v>
      </c>
      <c r="BG223" s="89" t="n">
        <f aca="false" t="array" ref="BG223:BG223">IF(BF223="","",IFERROR(INDEX(Справочники!$B$4:$B$7,MATCH(BF223,Справочники!$A$4:$A$7,0)),""))</f>
        <v>68.5</v>
      </c>
      <c r="BH223" s="90" t="str">
        <f aca="false">IF(N(BN223)&gt;0,ROUND(SUMIF(ЗАКАЗЫ!$F$3:$F$500,$A223,ЗАКАЗЫ!$Y$3:$Y$500)/BN223,0),IF(OR(BE223="",BG223=""),"",ROUND(BE223*BG223*(1+Справочники!$B$10),0)))</f>
        <v/>
      </c>
      <c r="BI223" s="92" t="str">
        <f aca="false">IF(OR(AU223="",BH223="",AU223=0),"",(AU223-BH223)/AU223)</f>
        <v/>
      </c>
      <c r="BJ223" s="81"/>
      <c r="BK223" s="83"/>
      <c r="BL223" s="43" t="str">
        <f aca="false">IFERROR(INDEX(ЗАКАЗЫ!$N$3:$N$500,MATCH($A223,ЗАКАЗЫ!$F$3:$F$500,0)),"")</f>
        <v/>
      </c>
      <c r="BM223" s="8" t="str">
        <f aca="false">IF(BL223="","",IFERROR(VLOOKUP(BL223,'ТН ВЭД'!$A$4:$C$40,3,0),""))</f>
        <v/>
      </c>
      <c r="BN223" s="7" t="str">
        <f aca="false">IF(COUNTIF(ЗАКАЗЫ!$F$3:$F$500,$A223)=0,"",SUMIF(ЗАКАЗЫ!$F$3:$F$500,$A223,ЗАКАЗЫ!$J$3:$J$500))</f>
        <v/>
      </c>
      <c r="BO223" s="7" t="str">
        <f aca="false">IF(BN223="","",SUMIF(ЗАКАЗЫ!$F$3:$F$500,$A223,ЗАКАЗЫ!$AL$3:$AL$500))</f>
        <v/>
      </c>
      <c r="BP223" s="7" t="str">
        <f aca="false">IF(BN223="","",BN223-BO223)</f>
        <v/>
      </c>
      <c r="BQ223" s="55" t="str">
        <f aca="false">IF(BN223="","",IF(BO223&gt;=BN223,"На складе",IF(BO223&gt;0,"Частично","Ждём")))</f>
        <v/>
      </c>
      <c r="BR223" s="43"/>
      <c r="BS223" s="47" t="str">
        <f aca="false">IF(BN223="","",IF(_xlfn.MAXIFS(ЗАКАЗЫ!$AK$3:$AK$500,ЗАКАЗЫ!$F$3:$F$500,$A223)=0,"",_xlfn.MAXIFS(ЗАКАЗЫ!$AK$3:$AK$500,ЗАКАЗЫ!$F$3:$F$500,$A223)))</f>
        <v/>
      </c>
    </row>
    <row r="224" customFormat="false" ht="15.75" hidden="false" customHeight="true" outlineLevel="0" collapsed="false">
      <c r="A224" s="80" t="s">
        <v>1425</v>
      </c>
      <c r="B224" s="81"/>
      <c r="C224" s="81"/>
      <c r="D224" s="81"/>
      <c r="E224" s="83"/>
      <c r="F224" s="81"/>
      <c r="G224" s="83"/>
      <c r="H224" s="83"/>
      <c r="I224" s="84" t="str">
        <f aca="false">IF(E224="","",A224&amp;"_1.jpg")</f>
        <v/>
      </c>
      <c r="J224" s="84" t="str">
        <f aca="false">IF(E224="","",A224&amp;"_2.jpg; "&amp;A224&amp;"_3.jpg")</f>
        <v/>
      </c>
      <c r="K224" s="84" t="str">
        <f aca="false">IF(E224="","",A224&amp;"_schema.jpg")</f>
        <v/>
      </c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 t="s">
        <v>96</v>
      </c>
      <c r="W224" s="81"/>
      <c r="X224" s="81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6" t="str">
        <f aca="false">IF(SUM(Y224:AJ224)=0,"",SUM(Y224:AJ224))</f>
        <v/>
      </c>
      <c r="AL224" s="84" t="str">
        <f aca="false">MID(IF(N(Y224)&gt;0,", "&amp;Y$2,"")&amp;IF(N(Z224)&gt;0,", "&amp;Z$2,"")&amp;IF(N(AA224)&gt;0,", "&amp;AA$2,"")&amp;IF(N(AB224)&gt;0,", "&amp;AB$2,"")&amp;IF(N(AC224)&gt;0,", "&amp;AC$2,"")&amp;IF(N(AD224)&gt;0,", "&amp;AD$2,"")&amp;IF(N(AE224)&gt;0,", "&amp;AE$2,"")&amp;IF(N(AF224)&gt;0,", "&amp;AF$2,"")&amp;IF(N(AG224)&gt;0,", "&amp;AG$2,"")&amp;IF(N(AH224)&gt;0,", "&amp;AH$2,"")&amp;IF(N(AI224)&gt;0,", "&amp;AI$2,"")&amp;IF(N(AJ224)&gt;0,", "&amp;AJ$2,""),3,999)</f>
        <v/>
      </c>
      <c r="AM224" s="87" t="str">
        <f aca="false">IF(E224="","",MID(IF(N(Y224)&gt;0,", "&amp;A224&amp;"-"&amp;Y$2,"")&amp;IF(N(Z224)&gt;0,", "&amp;A224&amp;"-"&amp;Z$2,"")&amp;IF(N(AA224)&gt;0,", "&amp;A224&amp;"-"&amp;AA$2,"")&amp;IF(N(AB224)&gt;0,", "&amp;A224&amp;"-"&amp;AB$2,"")&amp;IF(N(AC224)&gt;0,", "&amp;A224&amp;"-"&amp;AC$2,"")&amp;IF(N(AD224)&gt;0,", "&amp;A224&amp;"-"&amp;AD$2,"")&amp;IF(N(AE224)&gt;0,", "&amp;A224&amp;"-"&amp;AE$2,"")&amp;IF(N(AF224)&gt;0,", "&amp;A224&amp;"-"&amp;AF$2,"")&amp;IF(N(AG224)&gt;0,", "&amp;A224&amp;"-"&amp;AG$2,"")&amp;IF(N(AH224)&gt;0,", "&amp;A224&amp;"-"&amp;AH$2,"")&amp;IF(N(AI224)&gt;0,", "&amp;A224&amp;"-"&amp;AI$2,"")&amp;IF(N(AJ224)&gt;0,", "&amp;A224&amp;"-"&amp;AJ$2,""),3,999))</f>
        <v/>
      </c>
      <c r="AN224" s="81"/>
      <c r="AO224" s="88"/>
      <c r="AP224" s="89" t="str">
        <f aca="false">IF(AO224="","",ROUND(AO224/(1+Справочники!$B$13),2))</f>
        <v/>
      </c>
      <c r="AQ224" s="90" t="str">
        <f aca="false" t="array" ref="AQ224:AQ224">IF(AP224="","",AP224*INDEX(Справочники!$B$4:$B$7,MATCH("RUB",Справочники!$A$4:$A$7,0)))</f>
        <v/>
      </c>
      <c r="AR224" s="90" t="str">
        <f aca="false">IF(AQ224="","",ROUND(AQ224*(1+Справочники!$B$12),0))</f>
        <v/>
      </c>
      <c r="AS224" s="90" t="str">
        <f aca="false">IF(AR224="","",ROUND(AR224*(1-Справочники!$B$11),0))</f>
        <v/>
      </c>
      <c r="AT224" s="88"/>
      <c r="AU224" s="90" t="str">
        <f aca="false">IF(AT224="","",ROUND(AT224/(1+Справочники!$B$12),0))</f>
        <v/>
      </c>
      <c r="AV224" s="90" t="str">
        <f aca="false">IF(AT224="","",ROUND(AT224*(1-Справочники!$B$15),0))</f>
        <v/>
      </c>
      <c r="AW224" s="90" t="str">
        <f aca="false">IF(AT224="","",ROUND(AT224*(1-Справочники!$B$16),0))</f>
        <v/>
      </c>
      <c r="AX224" s="90" t="str">
        <f aca="false">IF(AT224="","",ROUND(AT224*(1-Справочники!$B$17),0))</f>
        <v/>
      </c>
      <c r="AY224" s="90" t="str">
        <f aca="false">IF(AT224="","",ROUND(AT224*(1-Справочники!$B$18),0))</f>
        <v/>
      </c>
      <c r="AZ224" s="90" t="str">
        <f aca="false">IF(AT224="","",ROUND(AT224*(1-Справочники!$B$19),0))</f>
        <v/>
      </c>
      <c r="BA224" s="81"/>
      <c r="BB224" s="81"/>
      <c r="BC224" s="81"/>
      <c r="BD224" s="81"/>
      <c r="BE224" s="91"/>
      <c r="BF224" s="81" t="s">
        <v>103</v>
      </c>
      <c r="BG224" s="89" t="n">
        <f aca="false" t="array" ref="BG224:BG224">IF(BF224="","",IFERROR(INDEX(Справочники!$B$4:$B$7,MATCH(BF224,Справочники!$A$4:$A$7,0)),""))</f>
        <v>68.5</v>
      </c>
      <c r="BH224" s="90" t="str">
        <f aca="false">IF(N(BN224)&gt;0,ROUND(SUMIF(ЗАКАЗЫ!$F$3:$F$500,$A224,ЗАКАЗЫ!$Y$3:$Y$500)/BN224,0),IF(OR(BE224="",BG224=""),"",ROUND(BE224*BG224*(1+Справочники!$B$10),0)))</f>
        <v/>
      </c>
      <c r="BI224" s="92" t="str">
        <f aca="false">IF(OR(AU224="",BH224="",AU224=0),"",(AU224-BH224)/AU224)</f>
        <v/>
      </c>
      <c r="BJ224" s="81"/>
      <c r="BK224" s="83"/>
      <c r="BL224" s="43" t="str">
        <f aca="false">IFERROR(INDEX(ЗАКАЗЫ!$N$3:$N$500,MATCH($A224,ЗАКАЗЫ!$F$3:$F$500,0)),"")</f>
        <v/>
      </c>
      <c r="BM224" s="8" t="str">
        <f aca="false">IF(BL224="","",IFERROR(VLOOKUP(BL224,'ТН ВЭД'!$A$4:$C$40,3,0),""))</f>
        <v/>
      </c>
      <c r="BN224" s="7" t="str">
        <f aca="false">IF(COUNTIF(ЗАКАЗЫ!$F$3:$F$500,$A224)=0,"",SUMIF(ЗАКАЗЫ!$F$3:$F$500,$A224,ЗАКАЗЫ!$J$3:$J$500))</f>
        <v/>
      </c>
      <c r="BO224" s="7" t="str">
        <f aca="false">IF(BN224="","",SUMIF(ЗАКАЗЫ!$F$3:$F$500,$A224,ЗАКАЗЫ!$AL$3:$AL$500))</f>
        <v/>
      </c>
      <c r="BP224" s="7" t="str">
        <f aca="false">IF(BN224="","",BN224-BO224)</f>
        <v/>
      </c>
      <c r="BQ224" s="55" t="str">
        <f aca="false">IF(BN224="","",IF(BO224&gt;=BN224,"На складе",IF(BO224&gt;0,"Частично","Ждём")))</f>
        <v/>
      </c>
      <c r="BR224" s="43"/>
      <c r="BS224" s="47" t="str">
        <f aca="false">IF(BN224="","",IF(_xlfn.MAXIFS(ЗАКАЗЫ!$AK$3:$AK$500,ЗАКАЗЫ!$F$3:$F$500,$A224)=0,"",_xlfn.MAXIFS(ЗАКАЗЫ!$AK$3:$AK$500,ЗАКАЗЫ!$F$3:$F$500,$A224)))</f>
        <v/>
      </c>
    </row>
    <row r="225" customFormat="false" ht="15.75" hidden="false" customHeight="true" outlineLevel="0" collapsed="false">
      <c r="A225" s="80" t="s">
        <v>1426</v>
      </c>
      <c r="B225" s="81"/>
      <c r="C225" s="81"/>
      <c r="D225" s="81"/>
      <c r="E225" s="83"/>
      <c r="F225" s="81"/>
      <c r="G225" s="83"/>
      <c r="H225" s="83"/>
      <c r="I225" s="84" t="str">
        <f aca="false">IF(E225="","",A225&amp;"_1.jpg")</f>
        <v/>
      </c>
      <c r="J225" s="84" t="str">
        <f aca="false">IF(E225="","",A225&amp;"_2.jpg; "&amp;A225&amp;"_3.jpg")</f>
        <v/>
      </c>
      <c r="K225" s="84" t="str">
        <f aca="false">IF(E225="","",A225&amp;"_schema.jpg")</f>
        <v/>
      </c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 t="s">
        <v>96</v>
      </c>
      <c r="W225" s="81"/>
      <c r="X225" s="81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6" t="str">
        <f aca="false">IF(SUM(Y225:AJ225)=0,"",SUM(Y225:AJ225))</f>
        <v/>
      </c>
      <c r="AL225" s="84" t="str">
        <f aca="false">MID(IF(N(Y225)&gt;0,", "&amp;Y$2,"")&amp;IF(N(Z225)&gt;0,", "&amp;Z$2,"")&amp;IF(N(AA225)&gt;0,", "&amp;AA$2,"")&amp;IF(N(AB225)&gt;0,", "&amp;AB$2,"")&amp;IF(N(AC225)&gt;0,", "&amp;AC$2,"")&amp;IF(N(AD225)&gt;0,", "&amp;AD$2,"")&amp;IF(N(AE225)&gt;0,", "&amp;AE$2,"")&amp;IF(N(AF225)&gt;0,", "&amp;AF$2,"")&amp;IF(N(AG225)&gt;0,", "&amp;AG$2,"")&amp;IF(N(AH225)&gt;0,", "&amp;AH$2,"")&amp;IF(N(AI225)&gt;0,", "&amp;AI$2,"")&amp;IF(N(AJ225)&gt;0,", "&amp;AJ$2,""),3,999)</f>
        <v/>
      </c>
      <c r="AM225" s="87" t="str">
        <f aca="false">IF(E225="","",MID(IF(N(Y225)&gt;0,", "&amp;A225&amp;"-"&amp;Y$2,"")&amp;IF(N(Z225)&gt;0,", "&amp;A225&amp;"-"&amp;Z$2,"")&amp;IF(N(AA225)&gt;0,", "&amp;A225&amp;"-"&amp;AA$2,"")&amp;IF(N(AB225)&gt;0,", "&amp;A225&amp;"-"&amp;AB$2,"")&amp;IF(N(AC225)&gt;0,", "&amp;A225&amp;"-"&amp;AC$2,"")&amp;IF(N(AD225)&gt;0,", "&amp;A225&amp;"-"&amp;AD$2,"")&amp;IF(N(AE225)&gt;0,", "&amp;A225&amp;"-"&amp;AE$2,"")&amp;IF(N(AF225)&gt;0,", "&amp;A225&amp;"-"&amp;AF$2,"")&amp;IF(N(AG225)&gt;0,", "&amp;A225&amp;"-"&amp;AG$2,"")&amp;IF(N(AH225)&gt;0,", "&amp;A225&amp;"-"&amp;AH$2,"")&amp;IF(N(AI225)&gt;0,", "&amp;A225&amp;"-"&amp;AI$2,"")&amp;IF(N(AJ225)&gt;0,", "&amp;A225&amp;"-"&amp;AJ$2,""),3,999))</f>
        <v/>
      </c>
      <c r="AN225" s="81"/>
      <c r="AO225" s="88"/>
      <c r="AP225" s="89" t="str">
        <f aca="false">IF(AO225="","",ROUND(AO225/(1+Справочники!$B$13),2))</f>
        <v/>
      </c>
      <c r="AQ225" s="90" t="str">
        <f aca="false" t="array" ref="AQ225:AQ225">IF(AP225="","",AP225*INDEX(Справочники!$B$4:$B$7,MATCH("RUB",Справочники!$A$4:$A$7,0)))</f>
        <v/>
      </c>
      <c r="AR225" s="90" t="str">
        <f aca="false">IF(AQ225="","",ROUND(AQ225*(1+Справочники!$B$12),0))</f>
        <v/>
      </c>
      <c r="AS225" s="90" t="str">
        <f aca="false">IF(AR225="","",ROUND(AR225*(1-Справочники!$B$11),0))</f>
        <v/>
      </c>
      <c r="AT225" s="88"/>
      <c r="AU225" s="90" t="str">
        <f aca="false">IF(AT225="","",ROUND(AT225/(1+Справочники!$B$12),0))</f>
        <v/>
      </c>
      <c r="AV225" s="90" t="str">
        <f aca="false">IF(AT225="","",ROUND(AT225*(1-Справочники!$B$15),0))</f>
        <v/>
      </c>
      <c r="AW225" s="90" t="str">
        <f aca="false">IF(AT225="","",ROUND(AT225*(1-Справочники!$B$16),0))</f>
        <v/>
      </c>
      <c r="AX225" s="90" t="str">
        <f aca="false">IF(AT225="","",ROUND(AT225*(1-Справочники!$B$17),0))</f>
        <v/>
      </c>
      <c r="AY225" s="90" t="str">
        <f aca="false">IF(AT225="","",ROUND(AT225*(1-Справочники!$B$18),0))</f>
        <v/>
      </c>
      <c r="AZ225" s="90" t="str">
        <f aca="false">IF(AT225="","",ROUND(AT225*(1-Справочники!$B$19),0))</f>
        <v/>
      </c>
      <c r="BA225" s="81"/>
      <c r="BB225" s="81"/>
      <c r="BC225" s="81"/>
      <c r="BD225" s="81"/>
      <c r="BE225" s="91"/>
      <c r="BF225" s="81" t="s">
        <v>103</v>
      </c>
      <c r="BG225" s="89" t="n">
        <f aca="false" t="array" ref="BG225:BG225">IF(BF225="","",IFERROR(INDEX(Справочники!$B$4:$B$7,MATCH(BF225,Справочники!$A$4:$A$7,0)),""))</f>
        <v>68.5</v>
      </c>
      <c r="BH225" s="90" t="str">
        <f aca="false">IF(N(BN225)&gt;0,ROUND(SUMIF(ЗАКАЗЫ!$F$3:$F$500,$A225,ЗАКАЗЫ!$Y$3:$Y$500)/BN225,0),IF(OR(BE225="",BG225=""),"",ROUND(BE225*BG225*(1+Справочники!$B$10),0)))</f>
        <v/>
      </c>
      <c r="BI225" s="92" t="str">
        <f aca="false">IF(OR(AU225="",BH225="",AU225=0),"",(AU225-BH225)/AU225)</f>
        <v/>
      </c>
      <c r="BJ225" s="81"/>
      <c r="BK225" s="83"/>
      <c r="BL225" s="43" t="str">
        <f aca="false">IFERROR(INDEX(ЗАКАЗЫ!$N$3:$N$500,MATCH($A225,ЗАКАЗЫ!$F$3:$F$500,0)),"")</f>
        <v/>
      </c>
      <c r="BM225" s="8" t="str">
        <f aca="false">IF(BL225="","",IFERROR(VLOOKUP(BL225,'ТН ВЭД'!$A$4:$C$40,3,0),""))</f>
        <v/>
      </c>
      <c r="BN225" s="7" t="str">
        <f aca="false">IF(COUNTIF(ЗАКАЗЫ!$F$3:$F$500,$A225)=0,"",SUMIF(ЗАКАЗЫ!$F$3:$F$500,$A225,ЗАКАЗЫ!$J$3:$J$500))</f>
        <v/>
      </c>
      <c r="BO225" s="7" t="str">
        <f aca="false">IF(BN225="","",SUMIF(ЗАКАЗЫ!$F$3:$F$500,$A225,ЗАКАЗЫ!$AL$3:$AL$500))</f>
        <v/>
      </c>
      <c r="BP225" s="7" t="str">
        <f aca="false">IF(BN225="","",BN225-BO225)</f>
        <v/>
      </c>
      <c r="BQ225" s="55" t="str">
        <f aca="false">IF(BN225="","",IF(BO225&gt;=BN225,"На складе",IF(BO225&gt;0,"Частично","Ждём")))</f>
        <v/>
      </c>
      <c r="BR225" s="43"/>
      <c r="BS225" s="47" t="str">
        <f aca="false">IF(BN225="","",IF(_xlfn.MAXIFS(ЗАКАЗЫ!$AK$3:$AK$500,ЗАКАЗЫ!$F$3:$F$500,$A225)=0,"",_xlfn.MAXIFS(ЗАКАЗЫ!$AK$3:$AK$500,ЗАКАЗЫ!$F$3:$F$500,$A225)))</f>
        <v/>
      </c>
    </row>
    <row r="226" customFormat="false" ht="15.75" hidden="false" customHeight="true" outlineLevel="0" collapsed="false">
      <c r="A226" s="80" t="s">
        <v>1427</v>
      </c>
      <c r="B226" s="81"/>
      <c r="C226" s="81"/>
      <c r="D226" s="81"/>
      <c r="E226" s="83"/>
      <c r="F226" s="81"/>
      <c r="G226" s="83"/>
      <c r="H226" s="83"/>
      <c r="I226" s="84" t="str">
        <f aca="false">IF(E226="","",A226&amp;"_1.jpg")</f>
        <v/>
      </c>
      <c r="J226" s="84" t="str">
        <f aca="false">IF(E226="","",A226&amp;"_2.jpg; "&amp;A226&amp;"_3.jpg")</f>
        <v/>
      </c>
      <c r="K226" s="84" t="str">
        <f aca="false">IF(E226="","",A226&amp;"_schema.jpg")</f>
        <v/>
      </c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 t="s">
        <v>96</v>
      </c>
      <c r="W226" s="81"/>
      <c r="X226" s="81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6" t="str">
        <f aca="false">IF(SUM(Y226:AJ226)=0,"",SUM(Y226:AJ226))</f>
        <v/>
      </c>
      <c r="AL226" s="84" t="str">
        <f aca="false">MID(IF(N(Y226)&gt;0,", "&amp;Y$2,"")&amp;IF(N(Z226)&gt;0,", "&amp;Z$2,"")&amp;IF(N(AA226)&gt;0,", "&amp;AA$2,"")&amp;IF(N(AB226)&gt;0,", "&amp;AB$2,"")&amp;IF(N(AC226)&gt;0,", "&amp;AC$2,"")&amp;IF(N(AD226)&gt;0,", "&amp;AD$2,"")&amp;IF(N(AE226)&gt;0,", "&amp;AE$2,"")&amp;IF(N(AF226)&gt;0,", "&amp;AF$2,"")&amp;IF(N(AG226)&gt;0,", "&amp;AG$2,"")&amp;IF(N(AH226)&gt;0,", "&amp;AH$2,"")&amp;IF(N(AI226)&gt;0,", "&amp;AI$2,"")&amp;IF(N(AJ226)&gt;0,", "&amp;AJ$2,""),3,999)</f>
        <v/>
      </c>
      <c r="AM226" s="87" t="str">
        <f aca="false">IF(E226="","",MID(IF(N(Y226)&gt;0,", "&amp;A226&amp;"-"&amp;Y$2,"")&amp;IF(N(Z226)&gt;0,", "&amp;A226&amp;"-"&amp;Z$2,"")&amp;IF(N(AA226)&gt;0,", "&amp;A226&amp;"-"&amp;AA$2,"")&amp;IF(N(AB226)&gt;0,", "&amp;A226&amp;"-"&amp;AB$2,"")&amp;IF(N(AC226)&gt;0,", "&amp;A226&amp;"-"&amp;AC$2,"")&amp;IF(N(AD226)&gt;0,", "&amp;A226&amp;"-"&amp;AD$2,"")&amp;IF(N(AE226)&gt;0,", "&amp;A226&amp;"-"&amp;AE$2,"")&amp;IF(N(AF226)&gt;0,", "&amp;A226&amp;"-"&amp;AF$2,"")&amp;IF(N(AG226)&gt;0,", "&amp;A226&amp;"-"&amp;AG$2,"")&amp;IF(N(AH226)&gt;0,", "&amp;A226&amp;"-"&amp;AH$2,"")&amp;IF(N(AI226)&gt;0,", "&amp;A226&amp;"-"&amp;AI$2,"")&amp;IF(N(AJ226)&gt;0,", "&amp;A226&amp;"-"&amp;AJ$2,""),3,999))</f>
        <v/>
      </c>
      <c r="AN226" s="81"/>
      <c r="AO226" s="88"/>
      <c r="AP226" s="89" t="str">
        <f aca="false">IF(AO226="","",ROUND(AO226/(1+Справочники!$B$13),2))</f>
        <v/>
      </c>
      <c r="AQ226" s="90" t="str">
        <f aca="false" t="array" ref="AQ226:AQ226">IF(AP226="","",AP226*INDEX(Справочники!$B$4:$B$7,MATCH("RUB",Справочники!$A$4:$A$7,0)))</f>
        <v/>
      </c>
      <c r="AR226" s="90" t="str">
        <f aca="false">IF(AQ226="","",ROUND(AQ226*(1+Справочники!$B$12),0))</f>
        <v/>
      </c>
      <c r="AS226" s="90" t="str">
        <f aca="false">IF(AR226="","",ROUND(AR226*(1-Справочники!$B$11),0))</f>
        <v/>
      </c>
      <c r="AT226" s="88"/>
      <c r="AU226" s="90" t="str">
        <f aca="false">IF(AT226="","",ROUND(AT226/(1+Справочники!$B$12),0))</f>
        <v/>
      </c>
      <c r="AV226" s="90" t="str">
        <f aca="false">IF(AT226="","",ROUND(AT226*(1-Справочники!$B$15),0))</f>
        <v/>
      </c>
      <c r="AW226" s="90" t="str">
        <f aca="false">IF(AT226="","",ROUND(AT226*(1-Справочники!$B$16),0))</f>
        <v/>
      </c>
      <c r="AX226" s="90" t="str">
        <f aca="false">IF(AT226="","",ROUND(AT226*(1-Справочники!$B$17),0))</f>
        <v/>
      </c>
      <c r="AY226" s="90" t="str">
        <f aca="false">IF(AT226="","",ROUND(AT226*(1-Справочники!$B$18),0))</f>
        <v/>
      </c>
      <c r="AZ226" s="90" t="str">
        <f aca="false">IF(AT226="","",ROUND(AT226*(1-Справочники!$B$19),0))</f>
        <v/>
      </c>
      <c r="BA226" s="81"/>
      <c r="BB226" s="81"/>
      <c r="BC226" s="81"/>
      <c r="BD226" s="81"/>
      <c r="BE226" s="91"/>
      <c r="BF226" s="81" t="s">
        <v>103</v>
      </c>
      <c r="BG226" s="89" t="n">
        <f aca="false" t="array" ref="BG226:BG226">IF(BF226="","",IFERROR(INDEX(Справочники!$B$4:$B$7,MATCH(BF226,Справочники!$A$4:$A$7,0)),""))</f>
        <v>68.5</v>
      </c>
      <c r="BH226" s="90" t="str">
        <f aca="false">IF(N(BN226)&gt;0,ROUND(SUMIF(ЗАКАЗЫ!$F$3:$F$500,$A226,ЗАКАЗЫ!$Y$3:$Y$500)/BN226,0),IF(OR(BE226="",BG226=""),"",ROUND(BE226*BG226*(1+Справочники!$B$10),0)))</f>
        <v/>
      </c>
      <c r="BI226" s="92" t="str">
        <f aca="false">IF(OR(AU226="",BH226="",AU226=0),"",(AU226-BH226)/AU226)</f>
        <v/>
      </c>
      <c r="BJ226" s="81"/>
      <c r="BK226" s="83"/>
      <c r="BL226" s="43" t="str">
        <f aca="false">IFERROR(INDEX(ЗАКАЗЫ!$N$3:$N$500,MATCH($A226,ЗАКАЗЫ!$F$3:$F$500,0)),"")</f>
        <v/>
      </c>
      <c r="BM226" s="8" t="str">
        <f aca="false">IF(BL226="","",IFERROR(VLOOKUP(BL226,'ТН ВЭД'!$A$4:$C$40,3,0),""))</f>
        <v/>
      </c>
      <c r="BN226" s="7" t="str">
        <f aca="false">IF(COUNTIF(ЗАКАЗЫ!$F$3:$F$500,$A226)=0,"",SUMIF(ЗАКАЗЫ!$F$3:$F$500,$A226,ЗАКАЗЫ!$J$3:$J$500))</f>
        <v/>
      </c>
      <c r="BO226" s="7" t="str">
        <f aca="false">IF(BN226="","",SUMIF(ЗАКАЗЫ!$F$3:$F$500,$A226,ЗАКАЗЫ!$AL$3:$AL$500))</f>
        <v/>
      </c>
      <c r="BP226" s="7" t="str">
        <f aca="false">IF(BN226="","",BN226-BO226)</f>
        <v/>
      </c>
      <c r="BQ226" s="55" t="str">
        <f aca="false">IF(BN226="","",IF(BO226&gt;=BN226,"На складе",IF(BO226&gt;0,"Частично","Ждём")))</f>
        <v/>
      </c>
      <c r="BR226" s="43"/>
      <c r="BS226" s="47" t="str">
        <f aca="false">IF(BN226="","",IF(_xlfn.MAXIFS(ЗАКАЗЫ!$AK$3:$AK$500,ЗАКАЗЫ!$F$3:$F$500,$A226)=0,"",_xlfn.MAXIFS(ЗАКАЗЫ!$AK$3:$AK$500,ЗАКАЗЫ!$F$3:$F$500,$A226)))</f>
        <v/>
      </c>
    </row>
    <row r="227" customFormat="false" ht="15.75" hidden="false" customHeight="true" outlineLevel="0" collapsed="false">
      <c r="A227" s="80" t="s">
        <v>1428</v>
      </c>
      <c r="B227" s="81"/>
      <c r="C227" s="81"/>
      <c r="D227" s="81"/>
      <c r="E227" s="83"/>
      <c r="F227" s="81"/>
      <c r="G227" s="83"/>
      <c r="H227" s="83"/>
      <c r="I227" s="84" t="str">
        <f aca="false">IF(E227="","",A227&amp;"_1.jpg")</f>
        <v/>
      </c>
      <c r="J227" s="84" t="str">
        <f aca="false">IF(E227="","",A227&amp;"_2.jpg; "&amp;A227&amp;"_3.jpg")</f>
        <v/>
      </c>
      <c r="K227" s="84" t="str">
        <f aca="false">IF(E227="","",A227&amp;"_schema.jpg")</f>
        <v/>
      </c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 t="s">
        <v>96</v>
      </c>
      <c r="W227" s="81"/>
      <c r="X227" s="81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6" t="str">
        <f aca="false">IF(SUM(Y227:AJ227)=0,"",SUM(Y227:AJ227))</f>
        <v/>
      </c>
      <c r="AL227" s="84" t="str">
        <f aca="false">MID(IF(N(Y227)&gt;0,", "&amp;Y$2,"")&amp;IF(N(Z227)&gt;0,", "&amp;Z$2,"")&amp;IF(N(AA227)&gt;0,", "&amp;AA$2,"")&amp;IF(N(AB227)&gt;0,", "&amp;AB$2,"")&amp;IF(N(AC227)&gt;0,", "&amp;AC$2,"")&amp;IF(N(AD227)&gt;0,", "&amp;AD$2,"")&amp;IF(N(AE227)&gt;0,", "&amp;AE$2,"")&amp;IF(N(AF227)&gt;0,", "&amp;AF$2,"")&amp;IF(N(AG227)&gt;0,", "&amp;AG$2,"")&amp;IF(N(AH227)&gt;0,", "&amp;AH$2,"")&amp;IF(N(AI227)&gt;0,", "&amp;AI$2,"")&amp;IF(N(AJ227)&gt;0,", "&amp;AJ$2,""),3,999)</f>
        <v/>
      </c>
      <c r="AM227" s="87" t="str">
        <f aca="false">IF(E227="","",MID(IF(N(Y227)&gt;0,", "&amp;A227&amp;"-"&amp;Y$2,"")&amp;IF(N(Z227)&gt;0,", "&amp;A227&amp;"-"&amp;Z$2,"")&amp;IF(N(AA227)&gt;0,", "&amp;A227&amp;"-"&amp;AA$2,"")&amp;IF(N(AB227)&gt;0,", "&amp;A227&amp;"-"&amp;AB$2,"")&amp;IF(N(AC227)&gt;0,", "&amp;A227&amp;"-"&amp;AC$2,"")&amp;IF(N(AD227)&gt;0,", "&amp;A227&amp;"-"&amp;AD$2,"")&amp;IF(N(AE227)&gt;0,", "&amp;A227&amp;"-"&amp;AE$2,"")&amp;IF(N(AF227)&gt;0,", "&amp;A227&amp;"-"&amp;AF$2,"")&amp;IF(N(AG227)&gt;0,", "&amp;A227&amp;"-"&amp;AG$2,"")&amp;IF(N(AH227)&gt;0,", "&amp;A227&amp;"-"&amp;AH$2,"")&amp;IF(N(AI227)&gt;0,", "&amp;A227&amp;"-"&amp;AI$2,"")&amp;IF(N(AJ227)&gt;0,", "&amp;A227&amp;"-"&amp;AJ$2,""),3,999))</f>
        <v/>
      </c>
      <c r="AN227" s="81"/>
      <c r="AO227" s="88"/>
      <c r="AP227" s="89" t="str">
        <f aca="false">IF(AO227="","",ROUND(AO227/(1+Справочники!$B$13),2))</f>
        <v/>
      </c>
      <c r="AQ227" s="90" t="str">
        <f aca="false" t="array" ref="AQ227:AQ227">IF(AP227="","",AP227*INDEX(Справочники!$B$4:$B$7,MATCH("RUB",Справочники!$A$4:$A$7,0)))</f>
        <v/>
      </c>
      <c r="AR227" s="90" t="str">
        <f aca="false">IF(AQ227="","",ROUND(AQ227*(1+Справочники!$B$12),0))</f>
        <v/>
      </c>
      <c r="AS227" s="90" t="str">
        <f aca="false">IF(AR227="","",ROUND(AR227*(1-Справочники!$B$11),0))</f>
        <v/>
      </c>
      <c r="AT227" s="88"/>
      <c r="AU227" s="90" t="str">
        <f aca="false">IF(AT227="","",ROUND(AT227/(1+Справочники!$B$12),0))</f>
        <v/>
      </c>
      <c r="AV227" s="90" t="str">
        <f aca="false">IF(AT227="","",ROUND(AT227*(1-Справочники!$B$15),0))</f>
        <v/>
      </c>
      <c r="AW227" s="90" t="str">
        <f aca="false">IF(AT227="","",ROUND(AT227*(1-Справочники!$B$16),0))</f>
        <v/>
      </c>
      <c r="AX227" s="90" t="str">
        <f aca="false">IF(AT227="","",ROUND(AT227*(1-Справочники!$B$17),0))</f>
        <v/>
      </c>
      <c r="AY227" s="90" t="str">
        <f aca="false">IF(AT227="","",ROUND(AT227*(1-Справочники!$B$18),0))</f>
        <v/>
      </c>
      <c r="AZ227" s="90" t="str">
        <f aca="false">IF(AT227="","",ROUND(AT227*(1-Справочники!$B$19),0))</f>
        <v/>
      </c>
      <c r="BA227" s="81"/>
      <c r="BB227" s="81"/>
      <c r="BC227" s="81"/>
      <c r="BD227" s="81"/>
      <c r="BE227" s="91"/>
      <c r="BF227" s="81" t="s">
        <v>103</v>
      </c>
      <c r="BG227" s="89" t="n">
        <f aca="false" t="array" ref="BG227:BG227">IF(BF227="","",IFERROR(INDEX(Справочники!$B$4:$B$7,MATCH(BF227,Справочники!$A$4:$A$7,0)),""))</f>
        <v>68.5</v>
      </c>
      <c r="BH227" s="90" t="str">
        <f aca="false">IF(N(BN227)&gt;0,ROUND(SUMIF(ЗАКАЗЫ!$F$3:$F$500,$A227,ЗАКАЗЫ!$Y$3:$Y$500)/BN227,0),IF(OR(BE227="",BG227=""),"",ROUND(BE227*BG227*(1+Справочники!$B$10),0)))</f>
        <v/>
      </c>
      <c r="BI227" s="92" t="str">
        <f aca="false">IF(OR(AU227="",BH227="",AU227=0),"",(AU227-BH227)/AU227)</f>
        <v/>
      </c>
      <c r="BJ227" s="81"/>
      <c r="BK227" s="83"/>
      <c r="BL227" s="43" t="str">
        <f aca="false">IFERROR(INDEX(ЗАКАЗЫ!$N$3:$N$500,MATCH($A227,ЗАКАЗЫ!$F$3:$F$500,0)),"")</f>
        <v/>
      </c>
      <c r="BM227" s="8" t="str">
        <f aca="false">IF(BL227="","",IFERROR(VLOOKUP(BL227,'ТН ВЭД'!$A$4:$C$40,3,0),""))</f>
        <v/>
      </c>
      <c r="BN227" s="7" t="str">
        <f aca="false">IF(COUNTIF(ЗАКАЗЫ!$F$3:$F$500,$A227)=0,"",SUMIF(ЗАКАЗЫ!$F$3:$F$500,$A227,ЗАКАЗЫ!$J$3:$J$500))</f>
        <v/>
      </c>
      <c r="BO227" s="7" t="str">
        <f aca="false">IF(BN227="","",SUMIF(ЗАКАЗЫ!$F$3:$F$500,$A227,ЗАКАЗЫ!$AL$3:$AL$500))</f>
        <v/>
      </c>
      <c r="BP227" s="7" t="str">
        <f aca="false">IF(BN227="","",BN227-BO227)</f>
        <v/>
      </c>
      <c r="BQ227" s="55" t="str">
        <f aca="false">IF(BN227="","",IF(BO227&gt;=BN227,"На складе",IF(BO227&gt;0,"Частично","Ждём")))</f>
        <v/>
      </c>
      <c r="BR227" s="43"/>
      <c r="BS227" s="47" t="str">
        <f aca="false">IF(BN227="","",IF(_xlfn.MAXIFS(ЗАКАЗЫ!$AK$3:$AK$500,ЗАКАЗЫ!$F$3:$F$500,$A227)=0,"",_xlfn.MAXIFS(ЗАКАЗЫ!$AK$3:$AK$500,ЗАКАЗЫ!$F$3:$F$500,$A227)))</f>
        <v/>
      </c>
    </row>
    <row r="228" customFormat="false" ht="15.75" hidden="false" customHeight="true" outlineLevel="0" collapsed="false">
      <c r="A228" s="80" t="s">
        <v>1429</v>
      </c>
      <c r="B228" s="81"/>
      <c r="C228" s="81"/>
      <c r="D228" s="81"/>
      <c r="E228" s="83"/>
      <c r="F228" s="81"/>
      <c r="G228" s="83"/>
      <c r="H228" s="83"/>
      <c r="I228" s="84" t="str">
        <f aca="false">IF(E228="","",A228&amp;"_1.jpg")</f>
        <v/>
      </c>
      <c r="J228" s="84" t="str">
        <f aca="false">IF(E228="","",A228&amp;"_2.jpg; "&amp;A228&amp;"_3.jpg")</f>
        <v/>
      </c>
      <c r="K228" s="84" t="str">
        <f aca="false">IF(E228="","",A228&amp;"_schema.jpg")</f>
        <v/>
      </c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 t="s">
        <v>96</v>
      </c>
      <c r="W228" s="81"/>
      <c r="X228" s="81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6" t="str">
        <f aca="false">IF(SUM(Y228:AJ228)=0,"",SUM(Y228:AJ228))</f>
        <v/>
      </c>
      <c r="AL228" s="84" t="str">
        <f aca="false">MID(IF(N(Y228)&gt;0,", "&amp;Y$2,"")&amp;IF(N(Z228)&gt;0,", "&amp;Z$2,"")&amp;IF(N(AA228)&gt;0,", "&amp;AA$2,"")&amp;IF(N(AB228)&gt;0,", "&amp;AB$2,"")&amp;IF(N(AC228)&gt;0,", "&amp;AC$2,"")&amp;IF(N(AD228)&gt;0,", "&amp;AD$2,"")&amp;IF(N(AE228)&gt;0,", "&amp;AE$2,"")&amp;IF(N(AF228)&gt;0,", "&amp;AF$2,"")&amp;IF(N(AG228)&gt;0,", "&amp;AG$2,"")&amp;IF(N(AH228)&gt;0,", "&amp;AH$2,"")&amp;IF(N(AI228)&gt;0,", "&amp;AI$2,"")&amp;IF(N(AJ228)&gt;0,", "&amp;AJ$2,""),3,999)</f>
        <v/>
      </c>
      <c r="AM228" s="87" t="str">
        <f aca="false">IF(E228="","",MID(IF(N(Y228)&gt;0,", "&amp;A228&amp;"-"&amp;Y$2,"")&amp;IF(N(Z228)&gt;0,", "&amp;A228&amp;"-"&amp;Z$2,"")&amp;IF(N(AA228)&gt;0,", "&amp;A228&amp;"-"&amp;AA$2,"")&amp;IF(N(AB228)&gt;0,", "&amp;A228&amp;"-"&amp;AB$2,"")&amp;IF(N(AC228)&gt;0,", "&amp;A228&amp;"-"&amp;AC$2,"")&amp;IF(N(AD228)&gt;0,", "&amp;A228&amp;"-"&amp;AD$2,"")&amp;IF(N(AE228)&gt;0,", "&amp;A228&amp;"-"&amp;AE$2,"")&amp;IF(N(AF228)&gt;0,", "&amp;A228&amp;"-"&amp;AF$2,"")&amp;IF(N(AG228)&gt;0,", "&amp;A228&amp;"-"&amp;AG$2,"")&amp;IF(N(AH228)&gt;0,", "&amp;A228&amp;"-"&amp;AH$2,"")&amp;IF(N(AI228)&gt;0,", "&amp;A228&amp;"-"&amp;AI$2,"")&amp;IF(N(AJ228)&gt;0,", "&amp;A228&amp;"-"&amp;AJ$2,""),3,999))</f>
        <v/>
      </c>
      <c r="AN228" s="81"/>
      <c r="AO228" s="88"/>
      <c r="AP228" s="89" t="str">
        <f aca="false">IF(AO228="","",ROUND(AO228/(1+Справочники!$B$13),2))</f>
        <v/>
      </c>
      <c r="AQ228" s="90" t="str">
        <f aca="false" t="array" ref="AQ228:AQ228">IF(AP228="","",AP228*INDEX(Справочники!$B$4:$B$7,MATCH("RUB",Справочники!$A$4:$A$7,0)))</f>
        <v/>
      </c>
      <c r="AR228" s="90" t="str">
        <f aca="false">IF(AQ228="","",ROUND(AQ228*(1+Справочники!$B$12),0))</f>
        <v/>
      </c>
      <c r="AS228" s="90" t="str">
        <f aca="false">IF(AR228="","",ROUND(AR228*(1-Справочники!$B$11),0))</f>
        <v/>
      </c>
      <c r="AT228" s="88"/>
      <c r="AU228" s="90" t="str">
        <f aca="false">IF(AT228="","",ROUND(AT228/(1+Справочники!$B$12),0))</f>
        <v/>
      </c>
      <c r="AV228" s="90" t="str">
        <f aca="false">IF(AT228="","",ROUND(AT228*(1-Справочники!$B$15),0))</f>
        <v/>
      </c>
      <c r="AW228" s="90" t="str">
        <f aca="false">IF(AT228="","",ROUND(AT228*(1-Справочники!$B$16),0))</f>
        <v/>
      </c>
      <c r="AX228" s="90" t="str">
        <f aca="false">IF(AT228="","",ROUND(AT228*(1-Справочники!$B$17),0))</f>
        <v/>
      </c>
      <c r="AY228" s="90" t="str">
        <f aca="false">IF(AT228="","",ROUND(AT228*(1-Справочники!$B$18),0))</f>
        <v/>
      </c>
      <c r="AZ228" s="90" t="str">
        <f aca="false">IF(AT228="","",ROUND(AT228*(1-Справочники!$B$19),0))</f>
        <v/>
      </c>
      <c r="BA228" s="81"/>
      <c r="BB228" s="81"/>
      <c r="BC228" s="81"/>
      <c r="BD228" s="81"/>
      <c r="BE228" s="91"/>
      <c r="BF228" s="81" t="s">
        <v>103</v>
      </c>
      <c r="BG228" s="89" t="n">
        <f aca="false" t="array" ref="BG228:BG228">IF(BF228="","",IFERROR(INDEX(Справочники!$B$4:$B$7,MATCH(BF228,Справочники!$A$4:$A$7,0)),""))</f>
        <v>68.5</v>
      </c>
      <c r="BH228" s="90" t="str">
        <f aca="false">IF(N(BN228)&gt;0,ROUND(SUMIF(ЗАКАЗЫ!$F$3:$F$500,$A228,ЗАКАЗЫ!$Y$3:$Y$500)/BN228,0),IF(OR(BE228="",BG228=""),"",ROUND(BE228*BG228*(1+Справочники!$B$10),0)))</f>
        <v/>
      </c>
      <c r="BI228" s="92" t="str">
        <f aca="false">IF(OR(AU228="",BH228="",AU228=0),"",(AU228-BH228)/AU228)</f>
        <v/>
      </c>
      <c r="BJ228" s="81"/>
      <c r="BK228" s="83"/>
      <c r="BL228" s="43" t="str">
        <f aca="false">IFERROR(INDEX(ЗАКАЗЫ!$N$3:$N$500,MATCH($A228,ЗАКАЗЫ!$F$3:$F$500,0)),"")</f>
        <v/>
      </c>
      <c r="BM228" s="8" t="str">
        <f aca="false">IF(BL228="","",IFERROR(VLOOKUP(BL228,'ТН ВЭД'!$A$4:$C$40,3,0),""))</f>
        <v/>
      </c>
      <c r="BN228" s="7" t="str">
        <f aca="false">IF(COUNTIF(ЗАКАЗЫ!$F$3:$F$500,$A228)=0,"",SUMIF(ЗАКАЗЫ!$F$3:$F$500,$A228,ЗАКАЗЫ!$J$3:$J$500))</f>
        <v/>
      </c>
      <c r="BO228" s="7" t="str">
        <f aca="false">IF(BN228="","",SUMIF(ЗАКАЗЫ!$F$3:$F$500,$A228,ЗАКАЗЫ!$AL$3:$AL$500))</f>
        <v/>
      </c>
      <c r="BP228" s="7" t="str">
        <f aca="false">IF(BN228="","",BN228-BO228)</f>
        <v/>
      </c>
      <c r="BQ228" s="55" t="str">
        <f aca="false">IF(BN228="","",IF(BO228&gt;=BN228,"На складе",IF(BO228&gt;0,"Частично","Ждём")))</f>
        <v/>
      </c>
      <c r="BR228" s="43"/>
      <c r="BS228" s="47" t="str">
        <f aca="false">IF(BN228="","",IF(_xlfn.MAXIFS(ЗАКАЗЫ!$AK$3:$AK$500,ЗАКАЗЫ!$F$3:$F$500,$A228)=0,"",_xlfn.MAXIFS(ЗАКАЗЫ!$AK$3:$AK$500,ЗАКАЗЫ!$F$3:$F$500,$A228)))</f>
        <v/>
      </c>
    </row>
    <row r="229" customFormat="false" ht="15.75" hidden="false" customHeight="true" outlineLevel="0" collapsed="false">
      <c r="A229" s="80" t="s">
        <v>1430</v>
      </c>
      <c r="B229" s="81"/>
      <c r="C229" s="81"/>
      <c r="D229" s="81"/>
      <c r="E229" s="83"/>
      <c r="F229" s="81"/>
      <c r="G229" s="83"/>
      <c r="H229" s="83"/>
      <c r="I229" s="84" t="str">
        <f aca="false">IF(E229="","",A229&amp;"_1.jpg")</f>
        <v/>
      </c>
      <c r="J229" s="84" t="str">
        <f aca="false">IF(E229="","",A229&amp;"_2.jpg; "&amp;A229&amp;"_3.jpg")</f>
        <v/>
      </c>
      <c r="K229" s="84" t="str">
        <f aca="false">IF(E229="","",A229&amp;"_schema.jpg")</f>
        <v/>
      </c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 t="s">
        <v>96</v>
      </c>
      <c r="W229" s="81"/>
      <c r="X229" s="81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6" t="str">
        <f aca="false">IF(SUM(Y229:AJ229)=0,"",SUM(Y229:AJ229))</f>
        <v/>
      </c>
      <c r="AL229" s="84" t="str">
        <f aca="false">MID(IF(N(Y229)&gt;0,", "&amp;Y$2,"")&amp;IF(N(Z229)&gt;0,", "&amp;Z$2,"")&amp;IF(N(AA229)&gt;0,", "&amp;AA$2,"")&amp;IF(N(AB229)&gt;0,", "&amp;AB$2,"")&amp;IF(N(AC229)&gt;0,", "&amp;AC$2,"")&amp;IF(N(AD229)&gt;0,", "&amp;AD$2,"")&amp;IF(N(AE229)&gt;0,", "&amp;AE$2,"")&amp;IF(N(AF229)&gt;0,", "&amp;AF$2,"")&amp;IF(N(AG229)&gt;0,", "&amp;AG$2,"")&amp;IF(N(AH229)&gt;0,", "&amp;AH$2,"")&amp;IF(N(AI229)&gt;0,", "&amp;AI$2,"")&amp;IF(N(AJ229)&gt;0,", "&amp;AJ$2,""),3,999)</f>
        <v/>
      </c>
      <c r="AM229" s="87" t="str">
        <f aca="false">IF(E229="","",MID(IF(N(Y229)&gt;0,", "&amp;A229&amp;"-"&amp;Y$2,"")&amp;IF(N(Z229)&gt;0,", "&amp;A229&amp;"-"&amp;Z$2,"")&amp;IF(N(AA229)&gt;0,", "&amp;A229&amp;"-"&amp;AA$2,"")&amp;IF(N(AB229)&gt;0,", "&amp;A229&amp;"-"&amp;AB$2,"")&amp;IF(N(AC229)&gt;0,", "&amp;A229&amp;"-"&amp;AC$2,"")&amp;IF(N(AD229)&gt;0,", "&amp;A229&amp;"-"&amp;AD$2,"")&amp;IF(N(AE229)&gt;0,", "&amp;A229&amp;"-"&amp;AE$2,"")&amp;IF(N(AF229)&gt;0,", "&amp;A229&amp;"-"&amp;AF$2,"")&amp;IF(N(AG229)&gt;0,", "&amp;A229&amp;"-"&amp;AG$2,"")&amp;IF(N(AH229)&gt;0,", "&amp;A229&amp;"-"&amp;AH$2,"")&amp;IF(N(AI229)&gt;0,", "&amp;A229&amp;"-"&amp;AI$2,"")&amp;IF(N(AJ229)&gt;0,", "&amp;A229&amp;"-"&amp;AJ$2,""),3,999))</f>
        <v/>
      </c>
      <c r="AN229" s="81"/>
      <c r="AO229" s="88"/>
      <c r="AP229" s="89" t="str">
        <f aca="false">IF(AO229="","",ROUND(AO229/(1+Справочники!$B$13),2))</f>
        <v/>
      </c>
      <c r="AQ229" s="90" t="str">
        <f aca="false" t="array" ref="AQ229:AQ229">IF(AP229="","",AP229*INDEX(Справочники!$B$4:$B$7,MATCH("RUB",Справочники!$A$4:$A$7,0)))</f>
        <v/>
      </c>
      <c r="AR229" s="90" t="str">
        <f aca="false">IF(AQ229="","",ROUND(AQ229*(1+Справочники!$B$12),0))</f>
        <v/>
      </c>
      <c r="AS229" s="90" t="str">
        <f aca="false">IF(AR229="","",ROUND(AR229*(1-Справочники!$B$11),0))</f>
        <v/>
      </c>
      <c r="AT229" s="88"/>
      <c r="AU229" s="90" t="str">
        <f aca="false">IF(AT229="","",ROUND(AT229/(1+Справочники!$B$12),0))</f>
        <v/>
      </c>
      <c r="AV229" s="90" t="str">
        <f aca="false">IF(AT229="","",ROUND(AT229*(1-Справочники!$B$15),0))</f>
        <v/>
      </c>
      <c r="AW229" s="90" t="str">
        <f aca="false">IF(AT229="","",ROUND(AT229*(1-Справочники!$B$16),0))</f>
        <v/>
      </c>
      <c r="AX229" s="90" t="str">
        <f aca="false">IF(AT229="","",ROUND(AT229*(1-Справочники!$B$17),0))</f>
        <v/>
      </c>
      <c r="AY229" s="90" t="str">
        <f aca="false">IF(AT229="","",ROUND(AT229*(1-Справочники!$B$18),0))</f>
        <v/>
      </c>
      <c r="AZ229" s="90" t="str">
        <f aca="false">IF(AT229="","",ROUND(AT229*(1-Справочники!$B$19),0))</f>
        <v/>
      </c>
      <c r="BA229" s="81"/>
      <c r="BB229" s="81"/>
      <c r="BC229" s="81"/>
      <c r="BD229" s="81"/>
      <c r="BE229" s="91"/>
      <c r="BF229" s="81" t="s">
        <v>103</v>
      </c>
      <c r="BG229" s="89" t="n">
        <f aca="false" t="array" ref="BG229:BG229">IF(BF229="","",IFERROR(INDEX(Справочники!$B$4:$B$7,MATCH(BF229,Справочники!$A$4:$A$7,0)),""))</f>
        <v>68.5</v>
      </c>
      <c r="BH229" s="90" t="str">
        <f aca="false">IF(N(BN229)&gt;0,ROUND(SUMIF(ЗАКАЗЫ!$F$3:$F$500,$A229,ЗАКАЗЫ!$Y$3:$Y$500)/BN229,0),IF(OR(BE229="",BG229=""),"",ROUND(BE229*BG229*(1+Справочники!$B$10),0)))</f>
        <v/>
      </c>
      <c r="BI229" s="92" t="str">
        <f aca="false">IF(OR(AU229="",BH229="",AU229=0),"",(AU229-BH229)/AU229)</f>
        <v/>
      </c>
      <c r="BJ229" s="81"/>
      <c r="BK229" s="83"/>
      <c r="BL229" s="43" t="str">
        <f aca="false">IFERROR(INDEX(ЗАКАЗЫ!$N$3:$N$500,MATCH($A229,ЗАКАЗЫ!$F$3:$F$500,0)),"")</f>
        <v/>
      </c>
      <c r="BM229" s="8" t="str">
        <f aca="false">IF(BL229="","",IFERROR(VLOOKUP(BL229,'ТН ВЭД'!$A$4:$C$40,3,0),""))</f>
        <v/>
      </c>
      <c r="BN229" s="7" t="str">
        <f aca="false">IF(COUNTIF(ЗАКАЗЫ!$F$3:$F$500,$A229)=0,"",SUMIF(ЗАКАЗЫ!$F$3:$F$500,$A229,ЗАКАЗЫ!$J$3:$J$500))</f>
        <v/>
      </c>
      <c r="BO229" s="7" t="str">
        <f aca="false">IF(BN229="","",SUMIF(ЗАКАЗЫ!$F$3:$F$500,$A229,ЗАКАЗЫ!$AL$3:$AL$500))</f>
        <v/>
      </c>
      <c r="BP229" s="7" t="str">
        <f aca="false">IF(BN229="","",BN229-BO229)</f>
        <v/>
      </c>
      <c r="BQ229" s="55" t="str">
        <f aca="false">IF(BN229="","",IF(BO229&gt;=BN229,"На складе",IF(BO229&gt;0,"Частично","Ждём")))</f>
        <v/>
      </c>
      <c r="BR229" s="43"/>
      <c r="BS229" s="47" t="str">
        <f aca="false">IF(BN229="","",IF(_xlfn.MAXIFS(ЗАКАЗЫ!$AK$3:$AK$500,ЗАКАЗЫ!$F$3:$F$500,$A229)=0,"",_xlfn.MAXIFS(ЗАКАЗЫ!$AK$3:$AK$500,ЗАКАЗЫ!$F$3:$F$500,$A229)))</f>
        <v/>
      </c>
    </row>
    <row r="230" customFormat="false" ht="15.75" hidden="false" customHeight="true" outlineLevel="0" collapsed="false">
      <c r="A230" s="80" t="s">
        <v>1431</v>
      </c>
      <c r="B230" s="81"/>
      <c r="C230" s="81"/>
      <c r="D230" s="81"/>
      <c r="E230" s="83"/>
      <c r="F230" s="81"/>
      <c r="G230" s="83"/>
      <c r="H230" s="83"/>
      <c r="I230" s="84" t="str">
        <f aca="false">IF(E230="","",A230&amp;"_1.jpg")</f>
        <v/>
      </c>
      <c r="J230" s="84" t="str">
        <f aca="false">IF(E230="","",A230&amp;"_2.jpg; "&amp;A230&amp;"_3.jpg")</f>
        <v/>
      </c>
      <c r="K230" s="84" t="str">
        <f aca="false">IF(E230="","",A230&amp;"_schema.jpg")</f>
        <v/>
      </c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 t="s">
        <v>96</v>
      </c>
      <c r="W230" s="81"/>
      <c r="X230" s="81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6" t="str">
        <f aca="false">IF(SUM(Y230:AJ230)=0,"",SUM(Y230:AJ230))</f>
        <v/>
      </c>
      <c r="AL230" s="84" t="str">
        <f aca="false">MID(IF(N(Y230)&gt;0,", "&amp;Y$2,"")&amp;IF(N(Z230)&gt;0,", "&amp;Z$2,"")&amp;IF(N(AA230)&gt;0,", "&amp;AA$2,"")&amp;IF(N(AB230)&gt;0,", "&amp;AB$2,"")&amp;IF(N(AC230)&gt;0,", "&amp;AC$2,"")&amp;IF(N(AD230)&gt;0,", "&amp;AD$2,"")&amp;IF(N(AE230)&gt;0,", "&amp;AE$2,"")&amp;IF(N(AF230)&gt;0,", "&amp;AF$2,"")&amp;IF(N(AG230)&gt;0,", "&amp;AG$2,"")&amp;IF(N(AH230)&gt;0,", "&amp;AH$2,"")&amp;IF(N(AI230)&gt;0,", "&amp;AI$2,"")&amp;IF(N(AJ230)&gt;0,", "&amp;AJ$2,""),3,999)</f>
        <v/>
      </c>
      <c r="AM230" s="87" t="str">
        <f aca="false">IF(E230="","",MID(IF(N(Y230)&gt;0,", "&amp;A230&amp;"-"&amp;Y$2,"")&amp;IF(N(Z230)&gt;0,", "&amp;A230&amp;"-"&amp;Z$2,"")&amp;IF(N(AA230)&gt;0,", "&amp;A230&amp;"-"&amp;AA$2,"")&amp;IF(N(AB230)&gt;0,", "&amp;A230&amp;"-"&amp;AB$2,"")&amp;IF(N(AC230)&gt;0,", "&amp;A230&amp;"-"&amp;AC$2,"")&amp;IF(N(AD230)&gt;0,", "&amp;A230&amp;"-"&amp;AD$2,"")&amp;IF(N(AE230)&gt;0,", "&amp;A230&amp;"-"&amp;AE$2,"")&amp;IF(N(AF230)&gt;0,", "&amp;A230&amp;"-"&amp;AF$2,"")&amp;IF(N(AG230)&gt;0,", "&amp;A230&amp;"-"&amp;AG$2,"")&amp;IF(N(AH230)&gt;0,", "&amp;A230&amp;"-"&amp;AH$2,"")&amp;IF(N(AI230)&gt;0,", "&amp;A230&amp;"-"&amp;AI$2,"")&amp;IF(N(AJ230)&gt;0,", "&amp;A230&amp;"-"&amp;AJ$2,""),3,999))</f>
        <v/>
      </c>
      <c r="AN230" s="81"/>
      <c r="AO230" s="88"/>
      <c r="AP230" s="89" t="str">
        <f aca="false">IF(AO230="","",ROUND(AO230/(1+Справочники!$B$13),2))</f>
        <v/>
      </c>
      <c r="AQ230" s="90" t="str">
        <f aca="false" t="array" ref="AQ230:AQ230">IF(AP230="","",AP230*INDEX(Справочники!$B$4:$B$7,MATCH("RUB",Справочники!$A$4:$A$7,0)))</f>
        <v/>
      </c>
      <c r="AR230" s="90" t="str">
        <f aca="false">IF(AQ230="","",ROUND(AQ230*(1+Справочники!$B$12),0))</f>
        <v/>
      </c>
      <c r="AS230" s="90" t="str">
        <f aca="false">IF(AR230="","",ROUND(AR230*(1-Справочники!$B$11),0))</f>
        <v/>
      </c>
      <c r="AT230" s="88"/>
      <c r="AU230" s="90" t="str">
        <f aca="false">IF(AT230="","",ROUND(AT230/(1+Справочники!$B$12),0))</f>
        <v/>
      </c>
      <c r="AV230" s="90" t="str">
        <f aca="false">IF(AT230="","",ROUND(AT230*(1-Справочники!$B$15),0))</f>
        <v/>
      </c>
      <c r="AW230" s="90" t="str">
        <f aca="false">IF(AT230="","",ROUND(AT230*(1-Справочники!$B$16),0))</f>
        <v/>
      </c>
      <c r="AX230" s="90" t="str">
        <f aca="false">IF(AT230="","",ROUND(AT230*(1-Справочники!$B$17),0))</f>
        <v/>
      </c>
      <c r="AY230" s="90" t="str">
        <f aca="false">IF(AT230="","",ROUND(AT230*(1-Справочники!$B$18),0))</f>
        <v/>
      </c>
      <c r="AZ230" s="90" t="str">
        <f aca="false">IF(AT230="","",ROUND(AT230*(1-Справочники!$B$19),0))</f>
        <v/>
      </c>
      <c r="BA230" s="81"/>
      <c r="BB230" s="81"/>
      <c r="BC230" s="81"/>
      <c r="BD230" s="81"/>
      <c r="BE230" s="91"/>
      <c r="BF230" s="81" t="s">
        <v>103</v>
      </c>
      <c r="BG230" s="89" t="n">
        <f aca="false" t="array" ref="BG230:BG230">IF(BF230="","",IFERROR(INDEX(Справочники!$B$4:$B$7,MATCH(BF230,Справочники!$A$4:$A$7,0)),""))</f>
        <v>68.5</v>
      </c>
      <c r="BH230" s="90" t="str">
        <f aca="false">IF(N(BN230)&gt;0,ROUND(SUMIF(ЗАКАЗЫ!$F$3:$F$500,$A230,ЗАКАЗЫ!$Y$3:$Y$500)/BN230,0),IF(OR(BE230="",BG230=""),"",ROUND(BE230*BG230*(1+Справочники!$B$10),0)))</f>
        <v/>
      </c>
      <c r="BI230" s="92" t="str">
        <f aca="false">IF(OR(AU230="",BH230="",AU230=0),"",(AU230-BH230)/AU230)</f>
        <v/>
      </c>
      <c r="BJ230" s="81"/>
      <c r="BK230" s="83"/>
      <c r="BL230" s="43" t="str">
        <f aca="false">IFERROR(INDEX(ЗАКАЗЫ!$N$3:$N$500,MATCH($A230,ЗАКАЗЫ!$F$3:$F$500,0)),"")</f>
        <v/>
      </c>
      <c r="BM230" s="8" t="str">
        <f aca="false">IF(BL230="","",IFERROR(VLOOKUP(BL230,'ТН ВЭД'!$A$4:$C$40,3,0),""))</f>
        <v/>
      </c>
      <c r="BN230" s="7" t="str">
        <f aca="false">IF(COUNTIF(ЗАКАЗЫ!$F$3:$F$500,$A230)=0,"",SUMIF(ЗАКАЗЫ!$F$3:$F$500,$A230,ЗАКАЗЫ!$J$3:$J$500))</f>
        <v/>
      </c>
      <c r="BO230" s="7" t="str">
        <f aca="false">IF(BN230="","",SUMIF(ЗАКАЗЫ!$F$3:$F$500,$A230,ЗАКАЗЫ!$AL$3:$AL$500))</f>
        <v/>
      </c>
      <c r="BP230" s="7" t="str">
        <f aca="false">IF(BN230="","",BN230-BO230)</f>
        <v/>
      </c>
      <c r="BQ230" s="55" t="str">
        <f aca="false">IF(BN230="","",IF(BO230&gt;=BN230,"На складе",IF(BO230&gt;0,"Частично","Ждём")))</f>
        <v/>
      </c>
      <c r="BR230" s="43"/>
      <c r="BS230" s="47" t="str">
        <f aca="false">IF(BN230="","",IF(_xlfn.MAXIFS(ЗАКАЗЫ!$AK$3:$AK$500,ЗАКАЗЫ!$F$3:$F$500,$A230)=0,"",_xlfn.MAXIFS(ЗАКАЗЫ!$AK$3:$AK$500,ЗАКАЗЫ!$F$3:$F$500,$A230)))</f>
        <v/>
      </c>
    </row>
    <row r="231" customFormat="false" ht="15.75" hidden="false" customHeight="true" outlineLevel="0" collapsed="false">
      <c r="A231" s="80" t="s">
        <v>1432</v>
      </c>
      <c r="B231" s="81"/>
      <c r="C231" s="81"/>
      <c r="D231" s="81"/>
      <c r="E231" s="83"/>
      <c r="F231" s="81"/>
      <c r="G231" s="83"/>
      <c r="H231" s="83"/>
      <c r="I231" s="84" t="str">
        <f aca="false">IF(E231="","",A231&amp;"_1.jpg")</f>
        <v/>
      </c>
      <c r="J231" s="84" t="str">
        <f aca="false">IF(E231="","",A231&amp;"_2.jpg; "&amp;A231&amp;"_3.jpg")</f>
        <v/>
      </c>
      <c r="K231" s="84" t="str">
        <f aca="false">IF(E231="","",A231&amp;"_schema.jpg")</f>
        <v/>
      </c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 t="s">
        <v>96</v>
      </c>
      <c r="W231" s="81"/>
      <c r="X231" s="81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6" t="str">
        <f aca="false">IF(SUM(Y231:AJ231)=0,"",SUM(Y231:AJ231))</f>
        <v/>
      </c>
      <c r="AL231" s="84" t="str">
        <f aca="false">MID(IF(N(Y231)&gt;0,", "&amp;Y$2,"")&amp;IF(N(Z231)&gt;0,", "&amp;Z$2,"")&amp;IF(N(AA231)&gt;0,", "&amp;AA$2,"")&amp;IF(N(AB231)&gt;0,", "&amp;AB$2,"")&amp;IF(N(AC231)&gt;0,", "&amp;AC$2,"")&amp;IF(N(AD231)&gt;0,", "&amp;AD$2,"")&amp;IF(N(AE231)&gt;0,", "&amp;AE$2,"")&amp;IF(N(AF231)&gt;0,", "&amp;AF$2,"")&amp;IF(N(AG231)&gt;0,", "&amp;AG$2,"")&amp;IF(N(AH231)&gt;0,", "&amp;AH$2,"")&amp;IF(N(AI231)&gt;0,", "&amp;AI$2,"")&amp;IF(N(AJ231)&gt;0,", "&amp;AJ$2,""),3,999)</f>
        <v/>
      </c>
      <c r="AM231" s="87" t="str">
        <f aca="false">IF(E231="","",MID(IF(N(Y231)&gt;0,", "&amp;A231&amp;"-"&amp;Y$2,"")&amp;IF(N(Z231)&gt;0,", "&amp;A231&amp;"-"&amp;Z$2,"")&amp;IF(N(AA231)&gt;0,", "&amp;A231&amp;"-"&amp;AA$2,"")&amp;IF(N(AB231)&gt;0,", "&amp;A231&amp;"-"&amp;AB$2,"")&amp;IF(N(AC231)&gt;0,", "&amp;A231&amp;"-"&amp;AC$2,"")&amp;IF(N(AD231)&gt;0,", "&amp;A231&amp;"-"&amp;AD$2,"")&amp;IF(N(AE231)&gt;0,", "&amp;A231&amp;"-"&amp;AE$2,"")&amp;IF(N(AF231)&gt;0,", "&amp;A231&amp;"-"&amp;AF$2,"")&amp;IF(N(AG231)&gt;0,", "&amp;A231&amp;"-"&amp;AG$2,"")&amp;IF(N(AH231)&gt;0,", "&amp;A231&amp;"-"&amp;AH$2,"")&amp;IF(N(AI231)&gt;0,", "&amp;A231&amp;"-"&amp;AI$2,"")&amp;IF(N(AJ231)&gt;0,", "&amp;A231&amp;"-"&amp;AJ$2,""),3,999))</f>
        <v/>
      </c>
      <c r="AN231" s="81"/>
      <c r="AO231" s="88"/>
      <c r="AP231" s="89" t="str">
        <f aca="false">IF(AO231="","",ROUND(AO231/(1+Справочники!$B$13),2))</f>
        <v/>
      </c>
      <c r="AQ231" s="90" t="str">
        <f aca="false" t="array" ref="AQ231:AQ231">IF(AP231="","",AP231*INDEX(Справочники!$B$4:$B$7,MATCH("RUB",Справочники!$A$4:$A$7,0)))</f>
        <v/>
      </c>
      <c r="AR231" s="90" t="str">
        <f aca="false">IF(AQ231="","",ROUND(AQ231*(1+Справочники!$B$12),0))</f>
        <v/>
      </c>
      <c r="AS231" s="90" t="str">
        <f aca="false">IF(AR231="","",ROUND(AR231*(1-Справочники!$B$11),0))</f>
        <v/>
      </c>
      <c r="AT231" s="88"/>
      <c r="AU231" s="90" t="str">
        <f aca="false">IF(AT231="","",ROUND(AT231/(1+Справочники!$B$12),0))</f>
        <v/>
      </c>
      <c r="AV231" s="90" t="str">
        <f aca="false">IF(AT231="","",ROUND(AT231*(1-Справочники!$B$15),0))</f>
        <v/>
      </c>
      <c r="AW231" s="90" t="str">
        <f aca="false">IF(AT231="","",ROUND(AT231*(1-Справочники!$B$16),0))</f>
        <v/>
      </c>
      <c r="AX231" s="90" t="str">
        <f aca="false">IF(AT231="","",ROUND(AT231*(1-Справочники!$B$17),0))</f>
        <v/>
      </c>
      <c r="AY231" s="90" t="str">
        <f aca="false">IF(AT231="","",ROUND(AT231*(1-Справочники!$B$18),0))</f>
        <v/>
      </c>
      <c r="AZ231" s="90" t="str">
        <f aca="false">IF(AT231="","",ROUND(AT231*(1-Справочники!$B$19),0))</f>
        <v/>
      </c>
      <c r="BA231" s="81"/>
      <c r="BB231" s="81"/>
      <c r="BC231" s="81"/>
      <c r="BD231" s="81"/>
      <c r="BE231" s="91"/>
      <c r="BF231" s="81" t="s">
        <v>103</v>
      </c>
      <c r="BG231" s="89" t="n">
        <f aca="false" t="array" ref="BG231:BG231">IF(BF231="","",IFERROR(INDEX(Справочники!$B$4:$B$7,MATCH(BF231,Справочники!$A$4:$A$7,0)),""))</f>
        <v>68.5</v>
      </c>
      <c r="BH231" s="90" t="str">
        <f aca="false">IF(N(BN231)&gt;0,ROUND(SUMIF(ЗАКАЗЫ!$F$3:$F$500,$A231,ЗАКАЗЫ!$Y$3:$Y$500)/BN231,0),IF(OR(BE231="",BG231=""),"",ROUND(BE231*BG231*(1+Справочники!$B$10),0)))</f>
        <v/>
      </c>
      <c r="BI231" s="92" t="str">
        <f aca="false">IF(OR(AU231="",BH231="",AU231=0),"",(AU231-BH231)/AU231)</f>
        <v/>
      </c>
      <c r="BJ231" s="81"/>
      <c r="BK231" s="83"/>
      <c r="BL231" s="43" t="str">
        <f aca="false">IFERROR(INDEX(ЗАКАЗЫ!$N$3:$N$500,MATCH($A231,ЗАКАЗЫ!$F$3:$F$500,0)),"")</f>
        <v/>
      </c>
      <c r="BM231" s="8" t="str">
        <f aca="false">IF(BL231="","",IFERROR(VLOOKUP(BL231,'ТН ВЭД'!$A$4:$C$40,3,0),""))</f>
        <v/>
      </c>
      <c r="BN231" s="7" t="str">
        <f aca="false">IF(COUNTIF(ЗАКАЗЫ!$F$3:$F$500,$A231)=0,"",SUMIF(ЗАКАЗЫ!$F$3:$F$500,$A231,ЗАКАЗЫ!$J$3:$J$500))</f>
        <v/>
      </c>
      <c r="BO231" s="7" t="str">
        <f aca="false">IF(BN231="","",SUMIF(ЗАКАЗЫ!$F$3:$F$500,$A231,ЗАКАЗЫ!$AL$3:$AL$500))</f>
        <v/>
      </c>
      <c r="BP231" s="7" t="str">
        <f aca="false">IF(BN231="","",BN231-BO231)</f>
        <v/>
      </c>
      <c r="BQ231" s="55" t="str">
        <f aca="false">IF(BN231="","",IF(BO231&gt;=BN231,"На складе",IF(BO231&gt;0,"Частично","Ждём")))</f>
        <v/>
      </c>
      <c r="BR231" s="43"/>
      <c r="BS231" s="47" t="str">
        <f aca="false">IF(BN231="","",IF(_xlfn.MAXIFS(ЗАКАЗЫ!$AK$3:$AK$500,ЗАКАЗЫ!$F$3:$F$500,$A231)=0,"",_xlfn.MAXIFS(ЗАКАЗЫ!$AK$3:$AK$500,ЗАКАЗЫ!$F$3:$F$500,$A231)))</f>
        <v/>
      </c>
    </row>
    <row r="232" customFormat="false" ht="15.75" hidden="false" customHeight="true" outlineLevel="0" collapsed="false">
      <c r="A232" s="80" t="s">
        <v>1433</v>
      </c>
      <c r="B232" s="81"/>
      <c r="C232" s="81"/>
      <c r="D232" s="81"/>
      <c r="E232" s="83"/>
      <c r="F232" s="81"/>
      <c r="G232" s="83"/>
      <c r="H232" s="83"/>
      <c r="I232" s="84" t="str">
        <f aca="false">IF(E232="","",A232&amp;"_1.jpg")</f>
        <v/>
      </c>
      <c r="J232" s="84" t="str">
        <f aca="false">IF(E232="","",A232&amp;"_2.jpg; "&amp;A232&amp;"_3.jpg")</f>
        <v/>
      </c>
      <c r="K232" s="84" t="str">
        <f aca="false">IF(E232="","",A232&amp;"_schema.jpg")</f>
        <v/>
      </c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 t="s">
        <v>96</v>
      </c>
      <c r="W232" s="81"/>
      <c r="X232" s="81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6" t="str">
        <f aca="false">IF(SUM(Y232:AJ232)=0,"",SUM(Y232:AJ232))</f>
        <v/>
      </c>
      <c r="AL232" s="84" t="str">
        <f aca="false">MID(IF(N(Y232)&gt;0,", "&amp;Y$2,"")&amp;IF(N(Z232)&gt;0,", "&amp;Z$2,"")&amp;IF(N(AA232)&gt;0,", "&amp;AA$2,"")&amp;IF(N(AB232)&gt;0,", "&amp;AB$2,"")&amp;IF(N(AC232)&gt;0,", "&amp;AC$2,"")&amp;IF(N(AD232)&gt;0,", "&amp;AD$2,"")&amp;IF(N(AE232)&gt;0,", "&amp;AE$2,"")&amp;IF(N(AF232)&gt;0,", "&amp;AF$2,"")&amp;IF(N(AG232)&gt;0,", "&amp;AG$2,"")&amp;IF(N(AH232)&gt;0,", "&amp;AH$2,"")&amp;IF(N(AI232)&gt;0,", "&amp;AI$2,"")&amp;IF(N(AJ232)&gt;0,", "&amp;AJ$2,""),3,999)</f>
        <v/>
      </c>
      <c r="AM232" s="87" t="str">
        <f aca="false">IF(E232="","",MID(IF(N(Y232)&gt;0,", "&amp;A232&amp;"-"&amp;Y$2,"")&amp;IF(N(Z232)&gt;0,", "&amp;A232&amp;"-"&amp;Z$2,"")&amp;IF(N(AA232)&gt;0,", "&amp;A232&amp;"-"&amp;AA$2,"")&amp;IF(N(AB232)&gt;0,", "&amp;A232&amp;"-"&amp;AB$2,"")&amp;IF(N(AC232)&gt;0,", "&amp;A232&amp;"-"&amp;AC$2,"")&amp;IF(N(AD232)&gt;0,", "&amp;A232&amp;"-"&amp;AD$2,"")&amp;IF(N(AE232)&gt;0,", "&amp;A232&amp;"-"&amp;AE$2,"")&amp;IF(N(AF232)&gt;0,", "&amp;A232&amp;"-"&amp;AF$2,"")&amp;IF(N(AG232)&gt;0,", "&amp;A232&amp;"-"&amp;AG$2,"")&amp;IF(N(AH232)&gt;0,", "&amp;A232&amp;"-"&amp;AH$2,"")&amp;IF(N(AI232)&gt;0,", "&amp;A232&amp;"-"&amp;AI$2,"")&amp;IF(N(AJ232)&gt;0,", "&amp;A232&amp;"-"&amp;AJ$2,""),3,999))</f>
        <v/>
      </c>
      <c r="AN232" s="81"/>
      <c r="AO232" s="88"/>
      <c r="AP232" s="89" t="str">
        <f aca="false">IF(AO232="","",ROUND(AO232/(1+Справочники!$B$13),2))</f>
        <v/>
      </c>
      <c r="AQ232" s="90" t="str">
        <f aca="false" t="array" ref="AQ232:AQ232">IF(AP232="","",AP232*INDEX(Справочники!$B$4:$B$7,MATCH("RUB",Справочники!$A$4:$A$7,0)))</f>
        <v/>
      </c>
      <c r="AR232" s="90" t="str">
        <f aca="false">IF(AQ232="","",ROUND(AQ232*(1+Справочники!$B$12),0))</f>
        <v/>
      </c>
      <c r="AS232" s="90" t="str">
        <f aca="false">IF(AR232="","",ROUND(AR232*(1-Справочники!$B$11),0))</f>
        <v/>
      </c>
      <c r="AT232" s="88"/>
      <c r="AU232" s="90" t="str">
        <f aca="false">IF(AT232="","",ROUND(AT232/(1+Справочники!$B$12),0))</f>
        <v/>
      </c>
      <c r="AV232" s="90" t="str">
        <f aca="false">IF(AT232="","",ROUND(AT232*(1-Справочники!$B$15),0))</f>
        <v/>
      </c>
      <c r="AW232" s="90" t="str">
        <f aca="false">IF(AT232="","",ROUND(AT232*(1-Справочники!$B$16),0))</f>
        <v/>
      </c>
      <c r="AX232" s="90" t="str">
        <f aca="false">IF(AT232="","",ROUND(AT232*(1-Справочники!$B$17),0))</f>
        <v/>
      </c>
      <c r="AY232" s="90" t="str">
        <f aca="false">IF(AT232="","",ROUND(AT232*(1-Справочники!$B$18),0))</f>
        <v/>
      </c>
      <c r="AZ232" s="90" t="str">
        <f aca="false">IF(AT232="","",ROUND(AT232*(1-Справочники!$B$19),0))</f>
        <v/>
      </c>
      <c r="BA232" s="81"/>
      <c r="BB232" s="81"/>
      <c r="BC232" s="81"/>
      <c r="BD232" s="81"/>
      <c r="BE232" s="91"/>
      <c r="BF232" s="81" t="s">
        <v>103</v>
      </c>
      <c r="BG232" s="89" t="n">
        <f aca="false" t="array" ref="BG232:BG232">IF(BF232="","",IFERROR(INDEX(Справочники!$B$4:$B$7,MATCH(BF232,Справочники!$A$4:$A$7,0)),""))</f>
        <v>68.5</v>
      </c>
      <c r="BH232" s="90" t="str">
        <f aca="false">IF(N(BN232)&gt;0,ROUND(SUMIF(ЗАКАЗЫ!$F$3:$F$500,$A232,ЗАКАЗЫ!$Y$3:$Y$500)/BN232,0),IF(OR(BE232="",BG232=""),"",ROUND(BE232*BG232*(1+Справочники!$B$10),0)))</f>
        <v/>
      </c>
      <c r="BI232" s="92" t="str">
        <f aca="false">IF(OR(AU232="",BH232="",AU232=0),"",(AU232-BH232)/AU232)</f>
        <v/>
      </c>
      <c r="BJ232" s="81"/>
      <c r="BK232" s="83"/>
      <c r="BL232" s="43" t="str">
        <f aca="false">IFERROR(INDEX(ЗАКАЗЫ!$N$3:$N$500,MATCH($A232,ЗАКАЗЫ!$F$3:$F$500,0)),"")</f>
        <v/>
      </c>
      <c r="BM232" s="8" t="str">
        <f aca="false">IF(BL232="","",IFERROR(VLOOKUP(BL232,'ТН ВЭД'!$A$4:$C$40,3,0),""))</f>
        <v/>
      </c>
      <c r="BN232" s="7" t="str">
        <f aca="false">IF(COUNTIF(ЗАКАЗЫ!$F$3:$F$500,$A232)=0,"",SUMIF(ЗАКАЗЫ!$F$3:$F$500,$A232,ЗАКАЗЫ!$J$3:$J$500))</f>
        <v/>
      </c>
      <c r="BO232" s="7" t="str">
        <f aca="false">IF(BN232="","",SUMIF(ЗАКАЗЫ!$F$3:$F$500,$A232,ЗАКАЗЫ!$AL$3:$AL$500))</f>
        <v/>
      </c>
      <c r="BP232" s="7" t="str">
        <f aca="false">IF(BN232="","",BN232-BO232)</f>
        <v/>
      </c>
      <c r="BQ232" s="55" t="str">
        <f aca="false">IF(BN232="","",IF(BO232&gt;=BN232,"На складе",IF(BO232&gt;0,"Частично","Ждём")))</f>
        <v/>
      </c>
      <c r="BR232" s="43"/>
      <c r="BS232" s="47" t="str">
        <f aca="false">IF(BN232="","",IF(_xlfn.MAXIFS(ЗАКАЗЫ!$AK$3:$AK$500,ЗАКАЗЫ!$F$3:$F$500,$A232)=0,"",_xlfn.MAXIFS(ЗАКАЗЫ!$AK$3:$AK$500,ЗАКАЗЫ!$F$3:$F$500,$A232)))</f>
        <v/>
      </c>
    </row>
    <row r="233" customFormat="false" ht="15.75" hidden="false" customHeight="true" outlineLevel="0" collapsed="false">
      <c r="A233" s="80" t="s">
        <v>1434</v>
      </c>
      <c r="B233" s="81"/>
      <c r="C233" s="81"/>
      <c r="D233" s="81"/>
      <c r="E233" s="83"/>
      <c r="F233" s="81"/>
      <c r="G233" s="83"/>
      <c r="H233" s="83"/>
      <c r="I233" s="84" t="str">
        <f aca="false">IF(E233="","",A233&amp;"_1.jpg")</f>
        <v/>
      </c>
      <c r="J233" s="84" t="str">
        <f aca="false">IF(E233="","",A233&amp;"_2.jpg; "&amp;A233&amp;"_3.jpg")</f>
        <v/>
      </c>
      <c r="K233" s="84" t="str">
        <f aca="false">IF(E233="","",A233&amp;"_schema.jpg")</f>
        <v/>
      </c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 t="s">
        <v>96</v>
      </c>
      <c r="W233" s="81"/>
      <c r="X233" s="81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6" t="str">
        <f aca="false">IF(SUM(Y233:AJ233)=0,"",SUM(Y233:AJ233))</f>
        <v/>
      </c>
      <c r="AL233" s="84" t="str">
        <f aca="false">MID(IF(N(Y233)&gt;0,", "&amp;Y$2,"")&amp;IF(N(Z233)&gt;0,", "&amp;Z$2,"")&amp;IF(N(AA233)&gt;0,", "&amp;AA$2,"")&amp;IF(N(AB233)&gt;0,", "&amp;AB$2,"")&amp;IF(N(AC233)&gt;0,", "&amp;AC$2,"")&amp;IF(N(AD233)&gt;0,", "&amp;AD$2,"")&amp;IF(N(AE233)&gt;0,", "&amp;AE$2,"")&amp;IF(N(AF233)&gt;0,", "&amp;AF$2,"")&amp;IF(N(AG233)&gt;0,", "&amp;AG$2,"")&amp;IF(N(AH233)&gt;0,", "&amp;AH$2,"")&amp;IF(N(AI233)&gt;0,", "&amp;AI$2,"")&amp;IF(N(AJ233)&gt;0,", "&amp;AJ$2,""),3,999)</f>
        <v/>
      </c>
      <c r="AM233" s="87" t="str">
        <f aca="false">IF(E233="","",MID(IF(N(Y233)&gt;0,", "&amp;A233&amp;"-"&amp;Y$2,"")&amp;IF(N(Z233)&gt;0,", "&amp;A233&amp;"-"&amp;Z$2,"")&amp;IF(N(AA233)&gt;0,", "&amp;A233&amp;"-"&amp;AA$2,"")&amp;IF(N(AB233)&gt;0,", "&amp;A233&amp;"-"&amp;AB$2,"")&amp;IF(N(AC233)&gt;0,", "&amp;A233&amp;"-"&amp;AC$2,"")&amp;IF(N(AD233)&gt;0,", "&amp;A233&amp;"-"&amp;AD$2,"")&amp;IF(N(AE233)&gt;0,", "&amp;A233&amp;"-"&amp;AE$2,"")&amp;IF(N(AF233)&gt;0,", "&amp;A233&amp;"-"&amp;AF$2,"")&amp;IF(N(AG233)&gt;0,", "&amp;A233&amp;"-"&amp;AG$2,"")&amp;IF(N(AH233)&gt;0,", "&amp;A233&amp;"-"&amp;AH$2,"")&amp;IF(N(AI233)&gt;0,", "&amp;A233&amp;"-"&amp;AI$2,"")&amp;IF(N(AJ233)&gt;0,", "&amp;A233&amp;"-"&amp;AJ$2,""),3,999))</f>
        <v/>
      </c>
      <c r="AN233" s="81"/>
      <c r="AO233" s="88"/>
      <c r="AP233" s="89" t="str">
        <f aca="false">IF(AO233="","",ROUND(AO233/(1+Справочники!$B$13),2))</f>
        <v/>
      </c>
      <c r="AQ233" s="90" t="str">
        <f aca="false" t="array" ref="AQ233:AQ233">IF(AP233="","",AP233*INDEX(Справочники!$B$4:$B$7,MATCH("RUB",Справочники!$A$4:$A$7,0)))</f>
        <v/>
      </c>
      <c r="AR233" s="90" t="str">
        <f aca="false">IF(AQ233="","",ROUND(AQ233*(1+Справочники!$B$12),0))</f>
        <v/>
      </c>
      <c r="AS233" s="90" t="str">
        <f aca="false">IF(AR233="","",ROUND(AR233*(1-Справочники!$B$11),0))</f>
        <v/>
      </c>
      <c r="AT233" s="88"/>
      <c r="AU233" s="90" t="str">
        <f aca="false">IF(AT233="","",ROUND(AT233/(1+Справочники!$B$12),0))</f>
        <v/>
      </c>
      <c r="AV233" s="90" t="str">
        <f aca="false">IF(AT233="","",ROUND(AT233*(1-Справочники!$B$15),0))</f>
        <v/>
      </c>
      <c r="AW233" s="90" t="str">
        <f aca="false">IF(AT233="","",ROUND(AT233*(1-Справочники!$B$16),0))</f>
        <v/>
      </c>
      <c r="AX233" s="90" t="str">
        <f aca="false">IF(AT233="","",ROUND(AT233*(1-Справочники!$B$17),0))</f>
        <v/>
      </c>
      <c r="AY233" s="90" t="str">
        <f aca="false">IF(AT233="","",ROUND(AT233*(1-Справочники!$B$18),0))</f>
        <v/>
      </c>
      <c r="AZ233" s="90" t="str">
        <f aca="false">IF(AT233="","",ROUND(AT233*(1-Справочники!$B$19),0))</f>
        <v/>
      </c>
      <c r="BA233" s="81"/>
      <c r="BB233" s="81"/>
      <c r="BC233" s="81"/>
      <c r="BD233" s="81"/>
      <c r="BE233" s="91"/>
      <c r="BF233" s="81" t="s">
        <v>103</v>
      </c>
      <c r="BG233" s="89" t="n">
        <f aca="false" t="array" ref="BG233:BG233">IF(BF233="","",IFERROR(INDEX(Справочники!$B$4:$B$7,MATCH(BF233,Справочники!$A$4:$A$7,0)),""))</f>
        <v>68.5</v>
      </c>
      <c r="BH233" s="90" t="str">
        <f aca="false">IF(N(BN233)&gt;0,ROUND(SUMIF(ЗАКАЗЫ!$F$3:$F$500,$A233,ЗАКАЗЫ!$Y$3:$Y$500)/BN233,0),IF(OR(BE233="",BG233=""),"",ROUND(BE233*BG233*(1+Справочники!$B$10),0)))</f>
        <v/>
      </c>
      <c r="BI233" s="92" t="str">
        <f aca="false">IF(OR(AU233="",BH233="",AU233=0),"",(AU233-BH233)/AU233)</f>
        <v/>
      </c>
      <c r="BJ233" s="81"/>
      <c r="BK233" s="83"/>
      <c r="BL233" s="43" t="str">
        <f aca="false">IFERROR(INDEX(ЗАКАЗЫ!$N$3:$N$500,MATCH($A233,ЗАКАЗЫ!$F$3:$F$500,0)),"")</f>
        <v/>
      </c>
      <c r="BM233" s="8" t="str">
        <f aca="false">IF(BL233="","",IFERROR(VLOOKUP(BL233,'ТН ВЭД'!$A$4:$C$40,3,0),""))</f>
        <v/>
      </c>
      <c r="BN233" s="7" t="str">
        <f aca="false">IF(COUNTIF(ЗАКАЗЫ!$F$3:$F$500,$A233)=0,"",SUMIF(ЗАКАЗЫ!$F$3:$F$500,$A233,ЗАКАЗЫ!$J$3:$J$500))</f>
        <v/>
      </c>
      <c r="BO233" s="7" t="str">
        <f aca="false">IF(BN233="","",SUMIF(ЗАКАЗЫ!$F$3:$F$500,$A233,ЗАКАЗЫ!$AL$3:$AL$500))</f>
        <v/>
      </c>
      <c r="BP233" s="7" t="str">
        <f aca="false">IF(BN233="","",BN233-BO233)</f>
        <v/>
      </c>
      <c r="BQ233" s="55" t="str">
        <f aca="false">IF(BN233="","",IF(BO233&gt;=BN233,"На складе",IF(BO233&gt;0,"Частично","Ждём")))</f>
        <v/>
      </c>
      <c r="BR233" s="43"/>
      <c r="BS233" s="47" t="str">
        <f aca="false">IF(BN233="","",IF(_xlfn.MAXIFS(ЗАКАЗЫ!$AK$3:$AK$500,ЗАКАЗЫ!$F$3:$F$500,$A233)=0,"",_xlfn.MAXIFS(ЗАКАЗЫ!$AK$3:$AK$500,ЗАКАЗЫ!$F$3:$F$500,$A233)))</f>
        <v/>
      </c>
    </row>
    <row r="234" customFormat="false" ht="15.75" hidden="false" customHeight="true" outlineLevel="0" collapsed="false">
      <c r="A234" s="80" t="s">
        <v>1435</v>
      </c>
      <c r="B234" s="81"/>
      <c r="C234" s="81"/>
      <c r="D234" s="81"/>
      <c r="E234" s="83"/>
      <c r="F234" s="81"/>
      <c r="G234" s="83"/>
      <c r="H234" s="83"/>
      <c r="I234" s="84" t="str">
        <f aca="false">IF(E234="","",A234&amp;"_1.jpg")</f>
        <v/>
      </c>
      <c r="J234" s="84" t="str">
        <f aca="false">IF(E234="","",A234&amp;"_2.jpg; "&amp;A234&amp;"_3.jpg")</f>
        <v/>
      </c>
      <c r="K234" s="84" t="str">
        <f aca="false">IF(E234="","",A234&amp;"_schema.jpg")</f>
        <v/>
      </c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 t="s">
        <v>96</v>
      </c>
      <c r="W234" s="81"/>
      <c r="X234" s="81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6" t="str">
        <f aca="false">IF(SUM(Y234:AJ234)=0,"",SUM(Y234:AJ234))</f>
        <v/>
      </c>
      <c r="AL234" s="84" t="str">
        <f aca="false">MID(IF(N(Y234)&gt;0,", "&amp;Y$2,"")&amp;IF(N(Z234)&gt;0,", "&amp;Z$2,"")&amp;IF(N(AA234)&gt;0,", "&amp;AA$2,"")&amp;IF(N(AB234)&gt;0,", "&amp;AB$2,"")&amp;IF(N(AC234)&gt;0,", "&amp;AC$2,"")&amp;IF(N(AD234)&gt;0,", "&amp;AD$2,"")&amp;IF(N(AE234)&gt;0,", "&amp;AE$2,"")&amp;IF(N(AF234)&gt;0,", "&amp;AF$2,"")&amp;IF(N(AG234)&gt;0,", "&amp;AG$2,"")&amp;IF(N(AH234)&gt;0,", "&amp;AH$2,"")&amp;IF(N(AI234)&gt;0,", "&amp;AI$2,"")&amp;IF(N(AJ234)&gt;0,", "&amp;AJ$2,""),3,999)</f>
        <v/>
      </c>
      <c r="AM234" s="87" t="str">
        <f aca="false">IF(E234="","",MID(IF(N(Y234)&gt;0,", "&amp;A234&amp;"-"&amp;Y$2,"")&amp;IF(N(Z234)&gt;0,", "&amp;A234&amp;"-"&amp;Z$2,"")&amp;IF(N(AA234)&gt;0,", "&amp;A234&amp;"-"&amp;AA$2,"")&amp;IF(N(AB234)&gt;0,", "&amp;A234&amp;"-"&amp;AB$2,"")&amp;IF(N(AC234)&gt;0,", "&amp;A234&amp;"-"&amp;AC$2,"")&amp;IF(N(AD234)&gt;0,", "&amp;A234&amp;"-"&amp;AD$2,"")&amp;IF(N(AE234)&gt;0,", "&amp;A234&amp;"-"&amp;AE$2,"")&amp;IF(N(AF234)&gt;0,", "&amp;A234&amp;"-"&amp;AF$2,"")&amp;IF(N(AG234)&gt;0,", "&amp;A234&amp;"-"&amp;AG$2,"")&amp;IF(N(AH234)&gt;0,", "&amp;A234&amp;"-"&amp;AH$2,"")&amp;IF(N(AI234)&gt;0,", "&amp;A234&amp;"-"&amp;AI$2,"")&amp;IF(N(AJ234)&gt;0,", "&amp;A234&amp;"-"&amp;AJ$2,""),3,999))</f>
        <v/>
      </c>
      <c r="AN234" s="81"/>
      <c r="AO234" s="88"/>
      <c r="AP234" s="89" t="str">
        <f aca="false">IF(AO234="","",ROUND(AO234/(1+Справочники!$B$13),2))</f>
        <v/>
      </c>
      <c r="AQ234" s="90" t="str">
        <f aca="false" t="array" ref="AQ234:AQ234">IF(AP234="","",AP234*INDEX(Справочники!$B$4:$B$7,MATCH("RUB",Справочники!$A$4:$A$7,0)))</f>
        <v/>
      </c>
      <c r="AR234" s="90" t="str">
        <f aca="false">IF(AQ234="","",ROUND(AQ234*(1+Справочники!$B$12),0))</f>
        <v/>
      </c>
      <c r="AS234" s="90" t="str">
        <f aca="false">IF(AR234="","",ROUND(AR234*(1-Справочники!$B$11),0))</f>
        <v/>
      </c>
      <c r="AT234" s="88"/>
      <c r="AU234" s="90" t="str">
        <f aca="false">IF(AT234="","",ROUND(AT234/(1+Справочники!$B$12),0))</f>
        <v/>
      </c>
      <c r="AV234" s="90" t="str">
        <f aca="false">IF(AT234="","",ROUND(AT234*(1-Справочники!$B$15),0))</f>
        <v/>
      </c>
      <c r="AW234" s="90" t="str">
        <f aca="false">IF(AT234="","",ROUND(AT234*(1-Справочники!$B$16),0))</f>
        <v/>
      </c>
      <c r="AX234" s="90" t="str">
        <f aca="false">IF(AT234="","",ROUND(AT234*(1-Справочники!$B$17),0))</f>
        <v/>
      </c>
      <c r="AY234" s="90" t="str">
        <f aca="false">IF(AT234="","",ROUND(AT234*(1-Справочники!$B$18),0))</f>
        <v/>
      </c>
      <c r="AZ234" s="90" t="str">
        <f aca="false">IF(AT234="","",ROUND(AT234*(1-Справочники!$B$19),0))</f>
        <v/>
      </c>
      <c r="BA234" s="81"/>
      <c r="BB234" s="81"/>
      <c r="BC234" s="81"/>
      <c r="BD234" s="81"/>
      <c r="BE234" s="91"/>
      <c r="BF234" s="81" t="s">
        <v>103</v>
      </c>
      <c r="BG234" s="89" t="n">
        <f aca="false" t="array" ref="BG234:BG234">IF(BF234="","",IFERROR(INDEX(Справочники!$B$4:$B$7,MATCH(BF234,Справочники!$A$4:$A$7,0)),""))</f>
        <v>68.5</v>
      </c>
      <c r="BH234" s="90" t="str">
        <f aca="false">IF(N(BN234)&gt;0,ROUND(SUMIF(ЗАКАЗЫ!$F$3:$F$500,$A234,ЗАКАЗЫ!$Y$3:$Y$500)/BN234,0),IF(OR(BE234="",BG234=""),"",ROUND(BE234*BG234*(1+Справочники!$B$10),0)))</f>
        <v/>
      </c>
      <c r="BI234" s="92" t="str">
        <f aca="false">IF(OR(AU234="",BH234="",AU234=0),"",(AU234-BH234)/AU234)</f>
        <v/>
      </c>
      <c r="BJ234" s="81"/>
      <c r="BK234" s="83"/>
      <c r="BL234" s="43" t="str">
        <f aca="false">IFERROR(INDEX(ЗАКАЗЫ!$N$3:$N$500,MATCH($A234,ЗАКАЗЫ!$F$3:$F$500,0)),"")</f>
        <v/>
      </c>
      <c r="BM234" s="8" t="str">
        <f aca="false">IF(BL234="","",IFERROR(VLOOKUP(BL234,'ТН ВЭД'!$A$4:$C$40,3,0),""))</f>
        <v/>
      </c>
      <c r="BN234" s="7" t="str">
        <f aca="false">IF(COUNTIF(ЗАКАЗЫ!$F$3:$F$500,$A234)=0,"",SUMIF(ЗАКАЗЫ!$F$3:$F$500,$A234,ЗАКАЗЫ!$J$3:$J$500))</f>
        <v/>
      </c>
      <c r="BO234" s="7" t="str">
        <f aca="false">IF(BN234="","",SUMIF(ЗАКАЗЫ!$F$3:$F$500,$A234,ЗАКАЗЫ!$AL$3:$AL$500))</f>
        <v/>
      </c>
      <c r="BP234" s="7" t="str">
        <f aca="false">IF(BN234="","",BN234-BO234)</f>
        <v/>
      </c>
      <c r="BQ234" s="55" t="str">
        <f aca="false">IF(BN234="","",IF(BO234&gt;=BN234,"На складе",IF(BO234&gt;0,"Частично","Ждём")))</f>
        <v/>
      </c>
      <c r="BR234" s="43"/>
      <c r="BS234" s="47" t="str">
        <f aca="false">IF(BN234="","",IF(_xlfn.MAXIFS(ЗАКАЗЫ!$AK$3:$AK$500,ЗАКАЗЫ!$F$3:$F$500,$A234)=0,"",_xlfn.MAXIFS(ЗАКАЗЫ!$AK$3:$AK$500,ЗАКАЗЫ!$F$3:$F$500,$A234)))</f>
        <v/>
      </c>
    </row>
    <row r="235" customFormat="false" ht="15.75" hidden="false" customHeight="true" outlineLevel="0" collapsed="false">
      <c r="A235" s="80" t="s">
        <v>1436</v>
      </c>
      <c r="B235" s="81"/>
      <c r="C235" s="81"/>
      <c r="D235" s="81"/>
      <c r="E235" s="83"/>
      <c r="F235" s="81"/>
      <c r="G235" s="83"/>
      <c r="H235" s="83"/>
      <c r="I235" s="84" t="str">
        <f aca="false">IF(E235="","",A235&amp;"_1.jpg")</f>
        <v/>
      </c>
      <c r="J235" s="84" t="str">
        <f aca="false">IF(E235="","",A235&amp;"_2.jpg; "&amp;A235&amp;"_3.jpg")</f>
        <v/>
      </c>
      <c r="K235" s="84" t="str">
        <f aca="false">IF(E235="","",A235&amp;"_schema.jpg")</f>
        <v/>
      </c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 t="s">
        <v>96</v>
      </c>
      <c r="W235" s="81"/>
      <c r="X235" s="81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6" t="str">
        <f aca="false">IF(SUM(Y235:AJ235)=0,"",SUM(Y235:AJ235))</f>
        <v/>
      </c>
      <c r="AL235" s="84" t="str">
        <f aca="false">MID(IF(N(Y235)&gt;0,", "&amp;Y$2,"")&amp;IF(N(Z235)&gt;0,", "&amp;Z$2,"")&amp;IF(N(AA235)&gt;0,", "&amp;AA$2,"")&amp;IF(N(AB235)&gt;0,", "&amp;AB$2,"")&amp;IF(N(AC235)&gt;0,", "&amp;AC$2,"")&amp;IF(N(AD235)&gt;0,", "&amp;AD$2,"")&amp;IF(N(AE235)&gt;0,", "&amp;AE$2,"")&amp;IF(N(AF235)&gt;0,", "&amp;AF$2,"")&amp;IF(N(AG235)&gt;0,", "&amp;AG$2,"")&amp;IF(N(AH235)&gt;0,", "&amp;AH$2,"")&amp;IF(N(AI235)&gt;0,", "&amp;AI$2,"")&amp;IF(N(AJ235)&gt;0,", "&amp;AJ$2,""),3,999)</f>
        <v/>
      </c>
      <c r="AM235" s="87" t="str">
        <f aca="false">IF(E235="","",MID(IF(N(Y235)&gt;0,", "&amp;A235&amp;"-"&amp;Y$2,"")&amp;IF(N(Z235)&gt;0,", "&amp;A235&amp;"-"&amp;Z$2,"")&amp;IF(N(AA235)&gt;0,", "&amp;A235&amp;"-"&amp;AA$2,"")&amp;IF(N(AB235)&gt;0,", "&amp;A235&amp;"-"&amp;AB$2,"")&amp;IF(N(AC235)&gt;0,", "&amp;A235&amp;"-"&amp;AC$2,"")&amp;IF(N(AD235)&gt;0,", "&amp;A235&amp;"-"&amp;AD$2,"")&amp;IF(N(AE235)&gt;0,", "&amp;A235&amp;"-"&amp;AE$2,"")&amp;IF(N(AF235)&gt;0,", "&amp;A235&amp;"-"&amp;AF$2,"")&amp;IF(N(AG235)&gt;0,", "&amp;A235&amp;"-"&amp;AG$2,"")&amp;IF(N(AH235)&gt;0,", "&amp;A235&amp;"-"&amp;AH$2,"")&amp;IF(N(AI235)&gt;0,", "&amp;A235&amp;"-"&amp;AI$2,"")&amp;IF(N(AJ235)&gt;0,", "&amp;A235&amp;"-"&amp;AJ$2,""),3,999))</f>
        <v/>
      </c>
      <c r="AN235" s="81"/>
      <c r="AO235" s="88"/>
      <c r="AP235" s="89" t="str">
        <f aca="false">IF(AO235="","",ROUND(AO235/(1+Справочники!$B$13),2))</f>
        <v/>
      </c>
      <c r="AQ235" s="90" t="str">
        <f aca="false" t="array" ref="AQ235:AQ235">IF(AP235="","",AP235*INDEX(Справочники!$B$4:$B$7,MATCH("RUB",Справочники!$A$4:$A$7,0)))</f>
        <v/>
      </c>
      <c r="AR235" s="90" t="str">
        <f aca="false">IF(AQ235="","",ROUND(AQ235*(1+Справочники!$B$12),0))</f>
        <v/>
      </c>
      <c r="AS235" s="90" t="str">
        <f aca="false">IF(AR235="","",ROUND(AR235*(1-Справочники!$B$11),0))</f>
        <v/>
      </c>
      <c r="AT235" s="88"/>
      <c r="AU235" s="90" t="str">
        <f aca="false">IF(AT235="","",ROUND(AT235/(1+Справочники!$B$12),0))</f>
        <v/>
      </c>
      <c r="AV235" s="90" t="str">
        <f aca="false">IF(AT235="","",ROUND(AT235*(1-Справочники!$B$15),0))</f>
        <v/>
      </c>
      <c r="AW235" s="90" t="str">
        <f aca="false">IF(AT235="","",ROUND(AT235*(1-Справочники!$B$16),0))</f>
        <v/>
      </c>
      <c r="AX235" s="90" t="str">
        <f aca="false">IF(AT235="","",ROUND(AT235*(1-Справочники!$B$17),0))</f>
        <v/>
      </c>
      <c r="AY235" s="90" t="str">
        <f aca="false">IF(AT235="","",ROUND(AT235*(1-Справочники!$B$18),0))</f>
        <v/>
      </c>
      <c r="AZ235" s="90" t="str">
        <f aca="false">IF(AT235="","",ROUND(AT235*(1-Справочники!$B$19),0))</f>
        <v/>
      </c>
      <c r="BA235" s="81"/>
      <c r="BB235" s="81"/>
      <c r="BC235" s="81"/>
      <c r="BD235" s="81"/>
      <c r="BE235" s="91"/>
      <c r="BF235" s="81" t="s">
        <v>103</v>
      </c>
      <c r="BG235" s="89" t="n">
        <f aca="false" t="array" ref="BG235:BG235">IF(BF235="","",IFERROR(INDEX(Справочники!$B$4:$B$7,MATCH(BF235,Справочники!$A$4:$A$7,0)),""))</f>
        <v>68.5</v>
      </c>
      <c r="BH235" s="90" t="str">
        <f aca="false">IF(N(BN235)&gt;0,ROUND(SUMIF(ЗАКАЗЫ!$F$3:$F$500,$A235,ЗАКАЗЫ!$Y$3:$Y$500)/BN235,0),IF(OR(BE235="",BG235=""),"",ROUND(BE235*BG235*(1+Справочники!$B$10),0)))</f>
        <v/>
      </c>
      <c r="BI235" s="92" t="str">
        <f aca="false">IF(OR(AU235="",BH235="",AU235=0),"",(AU235-BH235)/AU235)</f>
        <v/>
      </c>
      <c r="BJ235" s="81"/>
      <c r="BK235" s="83"/>
      <c r="BL235" s="43" t="str">
        <f aca="false">IFERROR(INDEX(ЗАКАЗЫ!$N$3:$N$500,MATCH($A235,ЗАКАЗЫ!$F$3:$F$500,0)),"")</f>
        <v/>
      </c>
      <c r="BM235" s="8" t="str">
        <f aca="false">IF(BL235="","",IFERROR(VLOOKUP(BL235,'ТН ВЭД'!$A$4:$C$40,3,0),""))</f>
        <v/>
      </c>
      <c r="BN235" s="7" t="str">
        <f aca="false">IF(COUNTIF(ЗАКАЗЫ!$F$3:$F$500,$A235)=0,"",SUMIF(ЗАКАЗЫ!$F$3:$F$500,$A235,ЗАКАЗЫ!$J$3:$J$500))</f>
        <v/>
      </c>
      <c r="BO235" s="7" t="str">
        <f aca="false">IF(BN235="","",SUMIF(ЗАКАЗЫ!$F$3:$F$500,$A235,ЗАКАЗЫ!$AL$3:$AL$500))</f>
        <v/>
      </c>
      <c r="BP235" s="7" t="str">
        <f aca="false">IF(BN235="","",BN235-BO235)</f>
        <v/>
      </c>
      <c r="BQ235" s="55" t="str">
        <f aca="false">IF(BN235="","",IF(BO235&gt;=BN235,"На складе",IF(BO235&gt;0,"Частично","Ждём")))</f>
        <v/>
      </c>
      <c r="BR235" s="43"/>
      <c r="BS235" s="47" t="str">
        <f aca="false">IF(BN235="","",IF(_xlfn.MAXIFS(ЗАКАЗЫ!$AK$3:$AK$500,ЗАКАЗЫ!$F$3:$F$500,$A235)=0,"",_xlfn.MAXIFS(ЗАКАЗЫ!$AK$3:$AK$500,ЗАКАЗЫ!$F$3:$F$500,$A235)))</f>
        <v/>
      </c>
    </row>
    <row r="236" customFormat="false" ht="15.75" hidden="false" customHeight="true" outlineLevel="0" collapsed="false">
      <c r="A236" s="80" t="s">
        <v>1437</v>
      </c>
      <c r="B236" s="81"/>
      <c r="C236" s="81"/>
      <c r="D236" s="81"/>
      <c r="E236" s="83"/>
      <c r="F236" s="81"/>
      <c r="G236" s="83"/>
      <c r="H236" s="83"/>
      <c r="I236" s="84" t="str">
        <f aca="false">IF(E236="","",A236&amp;"_1.jpg")</f>
        <v/>
      </c>
      <c r="J236" s="84" t="str">
        <f aca="false">IF(E236="","",A236&amp;"_2.jpg; "&amp;A236&amp;"_3.jpg")</f>
        <v/>
      </c>
      <c r="K236" s="84" t="str">
        <f aca="false">IF(E236="","",A236&amp;"_schema.jpg")</f>
        <v/>
      </c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 t="s">
        <v>96</v>
      </c>
      <c r="W236" s="81"/>
      <c r="X236" s="81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6" t="str">
        <f aca="false">IF(SUM(Y236:AJ236)=0,"",SUM(Y236:AJ236))</f>
        <v/>
      </c>
      <c r="AL236" s="84" t="str">
        <f aca="false">MID(IF(N(Y236)&gt;0,", "&amp;Y$2,"")&amp;IF(N(Z236)&gt;0,", "&amp;Z$2,"")&amp;IF(N(AA236)&gt;0,", "&amp;AA$2,"")&amp;IF(N(AB236)&gt;0,", "&amp;AB$2,"")&amp;IF(N(AC236)&gt;0,", "&amp;AC$2,"")&amp;IF(N(AD236)&gt;0,", "&amp;AD$2,"")&amp;IF(N(AE236)&gt;0,", "&amp;AE$2,"")&amp;IF(N(AF236)&gt;0,", "&amp;AF$2,"")&amp;IF(N(AG236)&gt;0,", "&amp;AG$2,"")&amp;IF(N(AH236)&gt;0,", "&amp;AH$2,"")&amp;IF(N(AI236)&gt;0,", "&amp;AI$2,"")&amp;IF(N(AJ236)&gt;0,", "&amp;AJ$2,""),3,999)</f>
        <v/>
      </c>
      <c r="AM236" s="87" t="str">
        <f aca="false">IF(E236="","",MID(IF(N(Y236)&gt;0,", "&amp;A236&amp;"-"&amp;Y$2,"")&amp;IF(N(Z236)&gt;0,", "&amp;A236&amp;"-"&amp;Z$2,"")&amp;IF(N(AA236)&gt;0,", "&amp;A236&amp;"-"&amp;AA$2,"")&amp;IF(N(AB236)&gt;0,", "&amp;A236&amp;"-"&amp;AB$2,"")&amp;IF(N(AC236)&gt;0,", "&amp;A236&amp;"-"&amp;AC$2,"")&amp;IF(N(AD236)&gt;0,", "&amp;A236&amp;"-"&amp;AD$2,"")&amp;IF(N(AE236)&gt;0,", "&amp;A236&amp;"-"&amp;AE$2,"")&amp;IF(N(AF236)&gt;0,", "&amp;A236&amp;"-"&amp;AF$2,"")&amp;IF(N(AG236)&gt;0,", "&amp;A236&amp;"-"&amp;AG$2,"")&amp;IF(N(AH236)&gt;0,", "&amp;A236&amp;"-"&amp;AH$2,"")&amp;IF(N(AI236)&gt;0,", "&amp;A236&amp;"-"&amp;AI$2,"")&amp;IF(N(AJ236)&gt;0,", "&amp;A236&amp;"-"&amp;AJ$2,""),3,999))</f>
        <v/>
      </c>
      <c r="AN236" s="81"/>
      <c r="AO236" s="88"/>
      <c r="AP236" s="89" t="str">
        <f aca="false">IF(AO236="","",ROUND(AO236/(1+Справочники!$B$13),2))</f>
        <v/>
      </c>
      <c r="AQ236" s="90" t="str">
        <f aca="false" t="array" ref="AQ236:AQ236">IF(AP236="","",AP236*INDEX(Справочники!$B$4:$B$7,MATCH("RUB",Справочники!$A$4:$A$7,0)))</f>
        <v/>
      </c>
      <c r="AR236" s="90" t="str">
        <f aca="false">IF(AQ236="","",ROUND(AQ236*(1+Справочники!$B$12),0))</f>
        <v/>
      </c>
      <c r="AS236" s="90" t="str">
        <f aca="false">IF(AR236="","",ROUND(AR236*(1-Справочники!$B$11),0))</f>
        <v/>
      </c>
      <c r="AT236" s="88"/>
      <c r="AU236" s="90" t="str">
        <f aca="false">IF(AT236="","",ROUND(AT236/(1+Справочники!$B$12),0))</f>
        <v/>
      </c>
      <c r="AV236" s="90" t="str">
        <f aca="false">IF(AT236="","",ROUND(AT236*(1-Справочники!$B$15),0))</f>
        <v/>
      </c>
      <c r="AW236" s="90" t="str">
        <f aca="false">IF(AT236="","",ROUND(AT236*(1-Справочники!$B$16),0))</f>
        <v/>
      </c>
      <c r="AX236" s="90" t="str">
        <f aca="false">IF(AT236="","",ROUND(AT236*(1-Справочники!$B$17),0))</f>
        <v/>
      </c>
      <c r="AY236" s="90" t="str">
        <f aca="false">IF(AT236="","",ROUND(AT236*(1-Справочники!$B$18),0))</f>
        <v/>
      </c>
      <c r="AZ236" s="90" t="str">
        <f aca="false">IF(AT236="","",ROUND(AT236*(1-Справочники!$B$19),0))</f>
        <v/>
      </c>
      <c r="BA236" s="81"/>
      <c r="BB236" s="81"/>
      <c r="BC236" s="81"/>
      <c r="BD236" s="81"/>
      <c r="BE236" s="91"/>
      <c r="BF236" s="81" t="s">
        <v>103</v>
      </c>
      <c r="BG236" s="89" t="n">
        <f aca="false" t="array" ref="BG236:BG236">IF(BF236="","",IFERROR(INDEX(Справочники!$B$4:$B$7,MATCH(BF236,Справочники!$A$4:$A$7,0)),""))</f>
        <v>68.5</v>
      </c>
      <c r="BH236" s="90" t="str">
        <f aca="false">IF(N(BN236)&gt;0,ROUND(SUMIF(ЗАКАЗЫ!$F$3:$F$500,$A236,ЗАКАЗЫ!$Y$3:$Y$500)/BN236,0),IF(OR(BE236="",BG236=""),"",ROUND(BE236*BG236*(1+Справочники!$B$10),0)))</f>
        <v/>
      </c>
      <c r="BI236" s="92" t="str">
        <f aca="false">IF(OR(AU236="",BH236="",AU236=0),"",(AU236-BH236)/AU236)</f>
        <v/>
      </c>
      <c r="BJ236" s="81"/>
      <c r="BK236" s="83"/>
      <c r="BL236" s="43" t="str">
        <f aca="false">IFERROR(INDEX(ЗАКАЗЫ!$N$3:$N$500,MATCH($A236,ЗАКАЗЫ!$F$3:$F$500,0)),"")</f>
        <v/>
      </c>
      <c r="BM236" s="8" t="str">
        <f aca="false">IF(BL236="","",IFERROR(VLOOKUP(BL236,'ТН ВЭД'!$A$4:$C$40,3,0),""))</f>
        <v/>
      </c>
      <c r="BN236" s="7" t="str">
        <f aca="false">IF(COUNTIF(ЗАКАЗЫ!$F$3:$F$500,$A236)=0,"",SUMIF(ЗАКАЗЫ!$F$3:$F$500,$A236,ЗАКАЗЫ!$J$3:$J$500))</f>
        <v/>
      </c>
      <c r="BO236" s="7" t="str">
        <f aca="false">IF(BN236="","",SUMIF(ЗАКАЗЫ!$F$3:$F$500,$A236,ЗАКАЗЫ!$AL$3:$AL$500))</f>
        <v/>
      </c>
      <c r="BP236" s="7" t="str">
        <f aca="false">IF(BN236="","",BN236-BO236)</f>
        <v/>
      </c>
      <c r="BQ236" s="55" t="str">
        <f aca="false">IF(BN236="","",IF(BO236&gt;=BN236,"На складе",IF(BO236&gt;0,"Частично","Ждём")))</f>
        <v/>
      </c>
      <c r="BR236" s="43"/>
      <c r="BS236" s="47" t="str">
        <f aca="false">IF(BN236="","",IF(_xlfn.MAXIFS(ЗАКАЗЫ!$AK$3:$AK$500,ЗАКАЗЫ!$F$3:$F$500,$A236)=0,"",_xlfn.MAXIFS(ЗАКАЗЫ!$AK$3:$AK$500,ЗАКАЗЫ!$F$3:$F$500,$A236)))</f>
        <v/>
      </c>
    </row>
    <row r="237" customFormat="false" ht="15.75" hidden="false" customHeight="true" outlineLevel="0" collapsed="false">
      <c r="A237" s="80" t="s">
        <v>1438</v>
      </c>
      <c r="B237" s="81"/>
      <c r="C237" s="81"/>
      <c r="D237" s="81"/>
      <c r="E237" s="83"/>
      <c r="F237" s="81"/>
      <c r="G237" s="83"/>
      <c r="H237" s="83"/>
      <c r="I237" s="84" t="str">
        <f aca="false">IF(E237="","",A237&amp;"_1.jpg")</f>
        <v/>
      </c>
      <c r="J237" s="84" t="str">
        <f aca="false">IF(E237="","",A237&amp;"_2.jpg; "&amp;A237&amp;"_3.jpg")</f>
        <v/>
      </c>
      <c r="K237" s="84" t="str">
        <f aca="false">IF(E237="","",A237&amp;"_schema.jpg")</f>
        <v/>
      </c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 t="s">
        <v>96</v>
      </c>
      <c r="W237" s="81"/>
      <c r="X237" s="81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6" t="str">
        <f aca="false">IF(SUM(Y237:AJ237)=0,"",SUM(Y237:AJ237))</f>
        <v/>
      </c>
      <c r="AL237" s="84" t="str">
        <f aca="false">MID(IF(N(Y237)&gt;0,", "&amp;Y$2,"")&amp;IF(N(Z237)&gt;0,", "&amp;Z$2,"")&amp;IF(N(AA237)&gt;0,", "&amp;AA$2,"")&amp;IF(N(AB237)&gt;0,", "&amp;AB$2,"")&amp;IF(N(AC237)&gt;0,", "&amp;AC$2,"")&amp;IF(N(AD237)&gt;0,", "&amp;AD$2,"")&amp;IF(N(AE237)&gt;0,", "&amp;AE$2,"")&amp;IF(N(AF237)&gt;0,", "&amp;AF$2,"")&amp;IF(N(AG237)&gt;0,", "&amp;AG$2,"")&amp;IF(N(AH237)&gt;0,", "&amp;AH$2,"")&amp;IF(N(AI237)&gt;0,", "&amp;AI$2,"")&amp;IF(N(AJ237)&gt;0,", "&amp;AJ$2,""),3,999)</f>
        <v/>
      </c>
      <c r="AM237" s="87" t="str">
        <f aca="false">IF(E237="","",MID(IF(N(Y237)&gt;0,", "&amp;A237&amp;"-"&amp;Y$2,"")&amp;IF(N(Z237)&gt;0,", "&amp;A237&amp;"-"&amp;Z$2,"")&amp;IF(N(AA237)&gt;0,", "&amp;A237&amp;"-"&amp;AA$2,"")&amp;IF(N(AB237)&gt;0,", "&amp;A237&amp;"-"&amp;AB$2,"")&amp;IF(N(AC237)&gt;0,", "&amp;A237&amp;"-"&amp;AC$2,"")&amp;IF(N(AD237)&gt;0,", "&amp;A237&amp;"-"&amp;AD$2,"")&amp;IF(N(AE237)&gt;0,", "&amp;A237&amp;"-"&amp;AE$2,"")&amp;IF(N(AF237)&gt;0,", "&amp;A237&amp;"-"&amp;AF$2,"")&amp;IF(N(AG237)&gt;0,", "&amp;A237&amp;"-"&amp;AG$2,"")&amp;IF(N(AH237)&gt;0,", "&amp;A237&amp;"-"&amp;AH$2,"")&amp;IF(N(AI237)&gt;0,", "&amp;A237&amp;"-"&amp;AI$2,"")&amp;IF(N(AJ237)&gt;0,", "&amp;A237&amp;"-"&amp;AJ$2,""),3,999))</f>
        <v/>
      </c>
      <c r="AN237" s="81"/>
      <c r="AO237" s="88"/>
      <c r="AP237" s="89" t="str">
        <f aca="false">IF(AO237="","",ROUND(AO237/(1+Справочники!$B$13),2))</f>
        <v/>
      </c>
      <c r="AQ237" s="90" t="str">
        <f aca="false" t="array" ref="AQ237:AQ237">IF(AP237="","",AP237*INDEX(Справочники!$B$4:$B$7,MATCH("RUB",Справочники!$A$4:$A$7,0)))</f>
        <v/>
      </c>
      <c r="AR237" s="90" t="str">
        <f aca="false">IF(AQ237="","",ROUND(AQ237*(1+Справочники!$B$12),0))</f>
        <v/>
      </c>
      <c r="AS237" s="90" t="str">
        <f aca="false">IF(AR237="","",ROUND(AR237*(1-Справочники!$B$11),0))</f>
        <v/>
      </c>
      <c r="AT237" s="88"/>
      <c r="AU237" s="90" t="str">
        <f aca="false">IF(AT237="","",ROUND(AT237/(1+Справочники!$B$12),0))</f>
        <v/>
      </c>
      <c r="AV237" s="90" t="str">
        <f aca="false">IF(AT237="","",ROUND(AT237*(1-Справочники!$B$15),0))</f>
        <v/>
      </c>
      <c r="AW237" s="90" t="str">
        <f aca="false">IF(AT237="","",ROUND(AT237*(1-Справочники!$B$16),0))</f>
        <v/>
      </c>
      <c r="AX237" s="90" t="str">
        <f aca="false">IF(AT237="","",ROUND(AT237*(1-Справочники!$B$17),0))</f>
        <v/>
      </c>
      <c r="AY237" s="90" t="str">
        <f aca="false">IF(AT237="","",ROUND(AT237*(1-Справочники!$B$18),0))</f>
        <v/>
      </c>
      <c r="AZ237" s="90" t="str">
        <f aca="false">IF(AT237="","",ROUND(AT237*(1-Справочники!$B$19),0))</f>
        <v/>
      </c>
      <c r="BA237" s="81"/>
      <c r="BB237" s="81"/>
      <c r="BC237" s="81"/>
      <c r="BD237" s="81"/>
      <c r="BE237" s="91"/>
      <c r="BF237" s="81" t="s">
        <v>103</v>
      </c>
      <c r="BG237" s="89" t="n">
        <f aca="false" t="array" ref="BG237:BG237">IF(BF237="","",IFERROR(INDEX(Справочники!$B$4:$B$7,MATCH(BF237,Справочники!$A$4:$A$7,0)),""))</f>
        <v>68.5</v>
      </c>
      <c r="BH237" s="90" t="str">
        <f aca="false">IF(N(BN237)&gt;0,ROUND(SUMIF(ЗАКАЗЫ!$F$3:$F$500,$A237,ЗАКАЗЫ!$Y$3:$Y$500)/BN237,0),IF(OR(BE237="",BG237=""),"",ROUND(BE237*BG237*(1+Справочники!$B$10),0)))</f>
        <v/>
      </c>
      <c r="BI237" s="92" t="str">
        <f aca="false">IF(OR(AU237="",BH237="",AU237=0),"",(AU237-BH237)/AU237)</f>
        <v/>
      </c>
      <c r="BJ237" s="81"/>
      <c r="BK237" s="83"/>
      <c r="BL237" s="43" t="str">
        <f aca="false">IFERROR(INDEX(ЗАКАЗЫ!$N$3:$N$500,MATCH($A237,ЗАКАЗЫ!$F$3:$F$500,0)),"")</f>
        <v/>
      </c>
      <c r="BM237" s="8" t="str">
        <f aca="false">IF(BL237="","",IFERROR(VLOOKUP(BL237,'ТН ВЭД'!$A$4:$C$40,3,0),""))</f>
        <v/>
      </c>
      <c r="BN237" s="7" t="str">
        <f aca="false">IF(COUNTIF(ЗАКАЗЫ!$F$3:$F$500,$A237)=0,"",SUMIF(ЗАКАЗЫ!$F$3:$F$500,$A237,ЗАКАЗЫ!$J$3:$J$500))</f>
        <v/>
      </c>
      <c r="BO237" s="7" t="str">
        <f aca="false">IF(BN237="","",SUMIF(ЗАКАЗЫ!$F$3:$F$500,$A237,ЗАКАЗЫ!$AL$3:$AL$500))</f>
        <v/>
      </c>
      <c r="BP237" s="7" t="str">
        <f aca="false">IF(BN237="","",BN237-BO237)</f>
        <v/>
      </c>
      <c r="BQ237" s="55" t="str">
        <f aca="false">IF(BN237="","",IF(BO237&gt;=BN237,"На складе",IF(BO237&gt;0,"Частично","Ждём")))</f>
        <v/>
      </c>
      <c r="BR237" s="43"/>
      <c r="BS237" s="47" t="str">
        <f aca="false">IF(BN237="","",IF(_xlfn.MAXIFS(ЗАКАЗЫ!$AK$3:$AK$500,ЗАКАЗЫ!$F$3:$F$500,$A237)=0,"",_xlfn.MAXIFS(ЗАКАЗЫ!$AK$3:$AK$500,ЗАКАЗЫ!$F$3:$F$500,$A237)))</f>
        <v/>
      </c>
    </row>
    <row r="238" customFormat="false" ht="15.75" hidden="false" customHeight="true" outlineLevel="0" collapsed="false">
      <c r="A238" s="80" t="s">
        <v>1439</v>
      </c>
      <c r="B238" s="81"/>
      <c r="C238" s="81"/>
      <c r="D238" s="81"/>
      <c r="E238" s="83"/>
      <c r="F238" s="81"/>
      <c r="G238" s="83"/>
      <c r="H238" s="83"/>
      <c r="I238" s="84" t="str">
        <f aca="false">IF(E238="","",A238&amp;"_1.jpg")</f>
        <v/>
      </c>
      <c r="J238" s="84" t="str">
        <f aca="false">IF(E238="","",A238&amp;"_2.jpg; "&amp;A238&amp;"_3.jpg")</f>
        <v/>
      </c>
      <c r="K238" s="84" t="str">
        <f aca="false">IF(E238="","",A238&amp;"_schema.jpg")</f>
        <v/>
      </c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 t="s">
        <v>96</v>
      </c>
      <c r="W238" s="81"/>
      <c r="X238" s="81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6" t="str">
        <f aca="false">IF(SUM(Y238:AJ238)=0,"",SUM(Y238:AJ238))</f>
        <v/>
      </c>
      <c r="AL238" s="84" t="str">
        <f aca="false">MID(IF(N(Y238)&gt;0,", "&amp;Y$2,"")&amp;IF(N(Z238)&gt;0,", "&amp;Z$2,"")&amp;IF(N(AA238)&gt;0,", "&amp;AA$2,"")&amp;IF(N(AB238)&gt;0,", "&amp;AB$2,"")&amp;IF(N(AC238)&gt;0,", "&amp;AC$2,"")&amp;IF(N(AD238)&gt;0,", "&amp;AD$2,"")&amp;IF(N(AE238)&gt;0,", "&amp;AE$2,"")&amp;IF(N(AF238)&gt;0,", "&amp;AF$2,"")&amp;IF(N(AG238)&gt;0,", "&amp;AG$2,"")&amp;IF(N(AH238)&gt;0,", "&amp;AH$2,"")&amp;IF(N(AI238)&gt;0,", "&amp;AI$2,"")&amp;IF(N(AJ238)&gt;0,", "&amp;AJ$2,""),3,999)</f>
        <v/>
      </c>
      <c r="AM238" s="87" t="str">
        <f aca="false">IF(E238="","",MID(IF(N(Y238)&gt;0,", "&amp;A238&amp;"-"&amp;Y$2,"")&amp;IF(N(Z238)&gt;0,", "&amp;A238&amp;"-"&amp;Z$2,"")&amp;IF(N(AA238)&gt;0,", "&amp;A238&amp;"-"&amp;AA$2,"")&amp;IF(N(AB238)&gt;0,", "&amp;A238&amp;"-"&amp;AB$2,"")&amp;IF(N(AC238)&gt;0,", "&amp;A238&amp;"-"&amp;AC$2,"")&amp;IF(N(AD238)&gt;0,", "&amp;A238&amp;"-"&amp;AD$2,"")&amp;IF(N(AE238)&gt;0,", "&amp;A238&amp;"-"&amp;AE$2,"")&amp;IF(N(AF238)&gt;0,", "&amp;A238&amp;"-"&amp;AF$2,"")&amp;IF(N(AG238)&gt;0,", "&amp;A238&amp;"-"&amp;AG$2,"")&amp;IF(N(AH238)&gt;0,", "&amp;A238&amp;"-"&amp;AH$2,"")&amp;IF(N(AI238)&gt;0,", "&amp;A238&amp;"-"&amp;AI$2,"")&amp;IF(N(AJ238)&gt;0,", "&amp;A238&amp;"-"&amp;AJ$2,""),3,999))</f>
        <v/>
      </c>
      <c r="AN238" s="81"/>
      <c r="AO238" s="88"/>
      <c r="AP238" s="89" t="str">
        <f aca="false">IF(AO238="","",ROUND(AO238/(1+Справочники!$B$13),2))</f>
        <v/>
      </c>
      <c r="AQ238" s="90" t="str">
        <f aca="false" t="array" ref="AQ238:AQ238">IF(AP238="","",AP238*INDEX(Справочники!$B$4:$B$7,MATCH("RUB",Справочники!$A$4:$A$7,0)))</f>
        <v/>
      </c>
      <c r="AR238" s="90" t="str">
        <f aca="false">IF(AQ238="","",ROUND(AQ238*(1+Справочники!$B$12),0))</f>
        <v/>
      </c>
      <c r="AS238" s="90" t="str">
        <f aca="false">IF(AR238="","",ROUND(AR238*(1-Справочники!$B$11),0))</f>
        <v/>
      </c>
      <c r="AT238" s="88"/>
      <c r="AU238" s="90" t="str">
        <f aca="false">IF(AT238="","",ROUND(AT238/(1+Справочники!$B$12),0))</f>
        <v/>
      </c>
      <c r="AV238" s="90" t="str">
        <f aca="false">IF(AT238="","",ROUND(AT238*(1-Справочники!$B$15),0))</f>
        <v/>
      </c>
      <c r="AW238" s="90" t="str">
        <f aca="false">IF(AT238="","",ROUND(AT238*(1-Справочники!$B$16),0))</f>
        <v/>
      </c>
      <c r="AX238" s="90" t="str">
        <f aca="false">IF(AT238="","",ROUND(AT238*(1-Справочники!$B$17),0))</f>
        <v/>
      </c>
      <c r="AY238" s="90" t="str">
        <f aca="false">IF(AT238="","",ROUND(AT238*(1-Справочники!$B$18),0))</f>
        <v/>
      </c>
      <c r="AZ238" s="90" t="str">
        <f aca="false">IF(AT238="","",ROUND(AT238*(1-Справочники!$B$19),0))</f>
        <v/>
      </c>
      <c r="BA238" s="81"/>
      <c r="BB238" s="81"/>
      <c r="BC238" s="81"/>
      <c r="BD238" s="81"/>
      <c r="BE238" s="91"/>
      <c r="BF238" s="81" t="s">
        <v>103</v>
      </c>
      <c r="BG238" s="89" t="n">
        <f aca="false" t="array" ref="BG238:BG238">IF(BF238="","",IFERROR(INDEX(Справочники!$B$4:$B$7,MATCH(BF238,Справочники!$A$4:$A$7,0)),""))</f>
        <v>68.5</v>
      </c>
      <c r="BH238" s="90" t="str">
        <f aca="false">IF(N(BN238)&gt;0,ROUND(SUMIF(ЗАКАЗЫ!$F$3:$F$500,$A238,ЗАКАЗЫ!$Y$3:$Y$500)/BN238,0),IF(OR(BE238="",BG238=""),"",ROUND(BE238*BG238*(1+Справочники!$B$10),0)))</f>
        <v/>
      </c>
      <c r="BI238" s="92" t="str">
        <f aca="false">IF(OR(AU238="",BH238="",AU238=0),"",(AU238-BH238)/AU238)</f>
        <v/>
      </c>
      <c r="BJ238" s="81"/>
      <c r="BK238" s="83"/>
      <c r="BL238" s="43" t="str">
        <f aca="false">IFERROR(INDEX(ЗАКАЗЫ!$N$3:$N$500,MATCH($A238,ЗАКАЗЫ!$F$3:$F$500,0)),"")</f>
        <v/>
      </c>
      <c r="BM238" s="8" t="str">
        <f aca="false">IF(BL238="","",IFERROR(VLOOKUP(BL238,'ТН ВЭД'!$A$4:$C$40,3,0),""))</f>
        <v/>
      </c>
      <c r="BN238" s="7" t="str">
        <f aca="false">IF(COUNTIF(ЗАКАЗЫ!$F$3:$F$500,$A238)=0,"",SUMIF(ЗАКАЗЫ!$F$3:$F$500,$A238,ЗАКАЗЫ!$J$3:$J$500))</f>
        <v/>
      </c>
      <c r="BO238" s="7" t="str">
        <f aca="false">IF(BN238="","",SUMIF(ЗАКАЗЫ!$F$3:$F$500,$A238,ЗАКАЗЫ!$AL$3:$AL$500))</f>
        <v/>
      </c>
      <c r="BP238" s="7" t="str">
        <f aca="false">IF(BN238="","",BN238-BO238)</f>
        <v/>
      </c>
      <c r="BQ238" s="55" t="str">
        <f aca="false">IF(BN238="","",IF(BO238&gt;=BN238,"На складе",IF(BO238&gt;0,"Частично","Ждём")))</f>
        <v/>
      </c>
      <c r="BR238" s="43"/>
      <c r="BS238" s="47" t="str">
        <f aca="false">IF(BN238="","",IF(_xlfn.MAXIFS(ЗАКАЗЫ!$AK$3:$AK$500,ЗАКАЗЫ!$F$3:$F$500,$A238)=0,"",_xlfn.MAXIFS(ЗАКАЗЫ!$AK$3:$AK$500,ЗАКАЗЫ!$F$3:$F$500,$A238)))</f>
        <v/>
      </c>
    </row>
    <row r="239" customFormat="false" ht="15.75" hidden="false" customHeight="true" outlineLevel="0" collapsed="false">
      <c r="A239" s="80" t="s">
        <v>1440</v>
      </c>
      <c r="B239" s="81"/>
      <c r="C239" s="81"/>
      <c r="D239" s="81"/>
      <c r="E239" s="83"/>
      <c r="F239" s="81"/>
      <c r="G239" s="83"/>
      <c r="H239" s="83"/>
      <c r="I239" s="84" t="str">
        <f aca="false">IF(E239="","",A239&amp;"_1.jpg")</f>
        <v/>
      </c>
      <c r="J239" s="84" t="str">
        <f aca="false">IF(E239="","",A239&amp;"_2.jpg; "&amp;A239&amp;"_3.jpg")</f>
        <v/>
      </c>
      <c r="K239" s="84" t="str">
        <f aca="false">IF(E239="","",A239&amp;"_schema.jpg")</f>
        <v/>
      </c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 t="s">
        <v>96</v>
      </c>
      <c r="W239" s="81"/>
      <c r="X239" s="81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6" t="str">
        <f aca="false">IF(SUM(Y239:AJ239)=0,"",SUM(Y239:AJ239))</f>
        <v/>
      </c>
      <c r="AL239" s="84" t="str">
        <f aca="false">MID(IF(N(Y239)&gt;0,", "&amp;Y$2,"")&amp;IF(N(Z239)&gt;0,", "&amp;Z$2,"")&amp;IF(N(AA239)&gt;0,", "&amp;AA$2,"")&amp;IF(N(AB239)&gt;0,", "&amp;AB$2,"")&amp;IF(N(AC239)&gt;0,", "&amp;AC$2,"")&amp;IF(N(AD239)&gt;0,", "&amp;AD$2,"")&amp;IF(N(AE239)&gt;0,", "&amp;AE$2,"")&amp;IF(N(AF239)&gt;0,", "&amp;AF$2,"")&amp;IF(N(AG239)&gt;0,", "&amp;AG$2,"")&amp;IF(N(AH239)&gt;0,", "&amp;AH$2,"")&amp;IF(N(AI239)&gt;0,", "&amp;AI$2,"")&amp;IF(N(AJ239)&gt;0,", "&amp;AJ$2,""),3,999)</f>
        <v/>
      </c>
      <c r="AM239" s="87" t="str">
        <f aca="false">IF(E239="","",MID(IF(N(Y239)&gt;0,", "&amp;A239&amp;"-"&amp;Y$2,"")&amp;IF(N(Z239)&gt;0,", "&amp;A239&amp;"-"&amp;Z$2,"")&amp;IF(N(AA239)&gt;0,", "&amp;A239&amp;"-"&amp;AA$2,"")&amp;IF(N(AB239)&gt;0,", "&amp;A239&amp;"-"&amp;AB$2,"")&amp;IF(N(AC239)&gt;0,", "&amp;A239&amp;"-"&amp;AC$2,"")&amp;IF(N(AD239)&gt;0,", "&amp;A239&amp;"-"&amp;AD$2,"")&amp;IF(N(AE239)&gt;0,", "&amp;A239&amp;"-"&amp;AE$2,"")&amp;IF(N(AF239)&gt;0,", "&amp;A239&amp;"-"&amp;AF$2,"")&amp;IF(N(AG239)&gt;0,", "&amp;A239&amp;"-"&amp;AG$2,"")&amp;IF(N(AH239)&gt;0,", "&amp;A239&amp;"-"&amp;AH$2,"")&amp;IF(N(AI239)&gt;0,", "&amp;A239&amp;"-"&amp;AI$2,"")&amp;IF(N(AJ239)&gt;0,", "&amp;A239&amp;"-"&amp;AJ$2,""),3,999))</f>
        <v/>
      </c>
      <c r="AN239" s="81"/>
      <c r="AO239" s="88"/>
      <c r="AP239" s="89" t="str">
        <f aca="false">IF(AO239="","",ROUND(AO239/(1+Справочники!$B$13),2))</f>
        <v/>
      </c>
      <c r="AQ239" s="90" t="str">
        <f aca="false" t="array" ref="AQ239:AQ239">IF(AP239="","",AP239*INDEX(Справочники!$B$4:$B$7,MATCH("RUB",Справочники!$A$4:$A$7,0)))</f>
        <v/>
      </c>
      <c r="AR239" s="90" t="str">
        <f aca="false">IF(AQ239="","",ROUND(AQ239*(1+Справочники!$B$12),0))</f>
        <v/>
      </c>
      <c r="AS239" s="90" t="str">
        <f aca="false">IF(AR239="","",ROUND(AR239*(1-Справочники!$B$11),0))</f>
        <v/>
      </c>
      <c r="AT239" s="88"/>
      <c r="AU239" s="90" t="str">
        <f aca="false">IF(AT239="","",ROUND(AT239/(1+Справочники!$B$12),0))</f>
        <v/>
      </c>
      <c r="AV239" s="90" t="str">
        <f aca="false">IF(AT239="","",ROUND(AT239*(1-Справочники!$B$15),0))</f>
        <v/>
      </c>
      <c r="AW239" s="90" t="str">
        <f aca="false">IF(AT239="","",ROUND(AT239*(1-Справочники!$B$16),0))</f>
        <v/>
      </c>
      <c r="AX239" s="90" t="str">
        <f aca="false">IF(AT239="","",ROUND(AT239*(1-Справочники!$B$17),0))</f>
        <v/>
      </c>
      <c r="AY239" s="90" t="str">
        <f aca="false">IF(AT239="","",ROUND(AT239*(1-Справочники!$B$18),0))</f>
        <v/>
      </c>
      <c r="AZ239" s="90" t="str">
        <f aca="false">IF(AT239="","",ROUND(AT239*(1-Справочники!$B$19),0))</f>
        <v/>
      </c>
      <c r="BA239" s="81"/>
      <c r="BB239" s="81"/>
      <c r="BC239" s="81"/>
      <c r="BD239" s="81"/>
      <c r="BE239" s="91"/>
      <c r="BF239" s="81" t="s">
        <v>103</v>
      </c>
      <c r="BG239" s="89" t="n">
        <f aca="false" t="array" ref="BG239:BG239">IF(BF239="","",IFERROR(INDEX(Справочники!$B$4:$B$7,MATCH(BF239,Справочники!$A$4:$A$7,0)),""))</f>
        <v>68.5</v>
      </c>
      <c r="BH239" s="90" t="str">
        <f aca="false">IF(N(BN239)&gt;0,ROUND(SUMIF(ЗАКАЗЫ!$F$3:$F$500,$A239,ЗАКАЗЫ!$Y$3:$Y$500)/BN239,0),IF(OR(BE239="",BG239=""),"",ROUND(BE239*BG239*(1+Справочники!$B$10),0)))</f>
        <v/>
      </c>
      <c r="BI239" s="92" t="str">
        <f aca="false">IF(OR(AU239="",BH239="",AU239=0),"",(AU239-BH239)/AU239)</f>
        <v/>
      </c>
      <c r="BJ239" s="81"/>
      <c r="BK239" s="83"/>
      <c r="BL239" s="43" t="str">
        <f aca="false">IFERROR(INDEX(ЗАКАЗЫ!$N$3:$N$500,MATCH($A239,ЗАКАЗЫ!$F$3:$F$500,0)),"")</f>
        <v/>
      </c>
      <c r="BM239" s="8" t="str">
        <f aca="false">IF(BL239="","",IFERROR(VLOOKUP(BL239,'ТН ВЭД'!$A$4:$C$40,3,0),""))</f>
        <v/>
      </c>
      <c r="BN239" s="7" t="str">
        <f aca="false">IF(COUNTIF(ЗАКАЗЫ!$F$3:$F$500,$A239)=0,"",SUMIF(ЗАКАЗЫ!$F$3:$F$500,$A239,ЗАКАЗЫ!$J$3:$J$500))</f>
        <v/>
      </c>
      <c r="BO239" s="7" t="str">
        <f aca="false">IF(BN239="","",SUMIF(ЗАКАЗЫ!$F$3:$F$500,$A239,ЗАКАЗЫ!$AL$3:$AL$500))</f>
        <v/>
      </c>
      <c r="BP239" s="7" t="str">
        <f aca="false">IF(BN239="","",BN239-BO239)</f>
        <v/>
      </c>
      <c r="BQ239" s="55" t="str">
        <f aca="false">IF(BN239="","",IF(BO239&gt;=BN239,"На складе",IF(BO239&gt;0,"Частично","Ждём")))</f>
        <v/>
      </c>
      <c r="BR239" s="43"/>
      <c r="BS239" s="47" t="str">
        <f aca="false">IF(BN239="","",IF(_xlfn.MAXIFS(ЗАКАЗЫ!$AK$3:$AK$500,ЗАКАЗЫ!$F$3:$F$500,$A239)=0,"",_xlfn.MAXIFS(ЗАКАЗЫ!$AK$3:$AK$500,ЗАКАЗЫ!$F$3:$F$500,$A239)))</f>
        <v/>
      </c>
    </row>
    <row r="240" customFormat="false" ht="15.75" hidden="false" customHeight="true" outlineLevel="0" collapsed="false">
      <c r="A240" s="80" t="s">
        <v>1441</v>
      </c>
      <c r="B240" s="81"/>
      <c r="C240" s="81"/>
      <c r="D240" s="81"/>
      <c r="E240" s="83"/>
      <c r="F240" s="81"/>
      <c r="G240" s="83"/>
      <c r="H240" s="83"/>
      <c r="I240" s="84" t="str">
        <f aca="false">IF(E240="","",A240&amp;"_1.jpg")</f>
        <v/>
      </c>
      <c r="J240" s="84" t="str">
        <f aca="false">IF(E240="","",A240&amp;"_2.jpg; "&amp;A240&amp;"_3.jpg")</f>
        <v/>
      </c>
      <c r="K240" s="84" t="str">
        <f aca="false">IF(E240="","",A240&amp;"_schema.jpg")</f>
        <v/>
      </c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 t="s">
        <v>96</v>
      </c>
      <c r="W240" s="81"/>
      <c r="X240" s="81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6" t="str">
        <f aca="false">IF(SUM(Y240:AJ240)=0,"",SUM(Y240:AJ240))</f>
        <v/>
      </c>
      <c r="AL240" s="84" t="str">
        <f aca="false">MID(IF(N(Y240)&gt;0,", "&amp;Y$2,"")&amp;IF(N(Z240)&gt;0,", "&amp;Z$2,"")&amp;IF(N(AA240)&gt;0,", "&amp;AA$2,"")&amp;IF(N(AB240)&gt;0,", "&amp;AB$2,"")&amp;IF(N(AC240)&gt;0,", "&amp;AC$2,"")&amp;IF(N(AD240)&gt;0,", "&amp;AD$2,"")&amp;IF(N(AE240)&gt;0,", "&amp;AE$2,"")&amp;IF(N(AF240)&gt;0,", "&amp;AF$2,"")&amp;IF(N(AG240)&gt;0,", "&amp;AG$2,"")&amp;IF(N(AH240)&gt;0,", "&amp;AH$2,"")&amp;IF(N(AI240)&gt;0,", "&amp;AI$2,"")&amp;IF(N(AJ240)&gt;0,", "&amp;AJ$2,""),3,999)</f>
        <v/>
      </c>
      <c r="AM240" s="87" t="str">
        <f aca="false">IF(E240="","",MID(IF(N(Y240)&gt;0,", "&amp;A240&amp;"-"&amp;Y$2,"")&amp;IF(N(Z240)&gt;0,", "&amp;A240&amp;"-"&amp;Z$2,"")&amp;IF(N(AA240)&gt;0,", "&amp;A240&amp;"-"&amp;AA$2,"")&amp;IF(N(AB240)&gt;0,", "&amp;A240&amp;"-"&amp;AB$2,"")&amp;IF(N(AC240)&gt;0,", "&amp;A240&amp;"-"&amp;AC$2,"")&amp;IF(N(AD240)&gt;0,", "&amp;A240&amp;"-"&amp;AD$2,"")&amp;IF(N(AE240)&gt;0,", "&amp;A240&amp;"-"&amp;AE$2,"")&amp;IF(N(AF240)&gt;0,", "&amp;A240&amp;"-"&amp;AF$2,"")&amp;IF(N(AG240)&gt;0,", "&amp;A240&amp;"-"&amp;AG$2,"")&amp;IF(N(AH240)&gt;0,", "&amp;A240&amp;"-"&amp;AH$2,"")&amp;IF(N(AI240)&gt;0,", "&amp;A240&amp;"-"&amp;AI$2,"")&amp;IF(N(AJ240)&gt;0,", "&amp;A240&amp;"-"&amp;AJ$2,""),3,999))</f>
        <v/>
      </c>
      <c r="AN240" s="81"/>
      <c r="AO240" s="88"/>
      <c r="AP240" s="89" t="str">
        <f aca="false">IF(AO240="","",ROUND(AO240/(1+Справочники!$B$13),2))</f>
        <v/>
      </c>
      <c r="AQ240" s="90" t="str">
        <f aca="false" t="array" ref="AQ240:AQ240">IF(AP240="","",AP240*INDEX(Справочники!$B$4:$B$7,MATCH("RUB",Справочники!$A$4:$A$7,0)))</f>
        <v/>
      </c>
      <c r="AR240" s="90" t="str">
        <f aca="false">IF(AQ240="","",ROUND(AQ240*(1+Справочники!$B$12),0))</f>
        <v/>
      </c>
      <c r="AS240" s="90" t="str">
        <f aca="false">IF(AR240="","",ROUND(AR240*(1-Справочники!$B$11),0))</f>
        <v/>
      </c>
      <c r="AT240" s="88"/>
      <c r="AU240" s="90" t="str">
        <f aca="false">IF(AT240="","",ROUND(AT240/(1+Справочники!$B$12),0))</f>
        <v/>
      </c>
      <c r="AV240" s="90" t="str">
        <f aca="false">IF(AT240="","",ROUND(AT240*(1-Справочники!$B$15),0))</f>
        <v/>
      </c>
      <c r="AW240" s="90" t="str">
        <f aca="false">IF(AT240="","",ROUND(AT240*(1-Справочники!$B$16),0))</f>
        <v/>
      </c>
      <c r="AX240" s="90" t="str">
        <f aca="false">IF(AT240="","",ROUND(AT240*(1-Справочники!$B$17),0))</f>
        <v/>
      </c>
      <c r="AY240" s="90" t="str">
        <f aca="false">IF(AT240="","",ROUND(AT240*(1-Справочники!$B$18),0))</f>
        <v/>
      </c>
      <c r="AZ240" s="90" t="str">
        <f aca="false">IF(AT240="","",ROUND(AT240*(1-Справочники!$B$19),0))</f>
        <v/>
      </c>
      <c r="BA240" s="81"/>
      <c r="BB240" s="81"/>
      <c r="BC240" s="81"/>
      <c r="BD240" s="81"/>
      <c r="BE240" s="91"/>
      <c r="BF240" s="81" t="s">
        <v>103</v>
      </c>
      <c r="BG240" s="89" t="n">
        <f aca="false" t="array" ref="BG240:BG240">IF(BF240="","",IFERROR(INDEX(Справочники!$B$4:$B$7,MATCH(BF240,Справочники!$A$4:$A$7,0)),""))</f>
        <v>68.5</v>
      </c>
      <c r="BH240" s="90" t="str">
        <f aca="false">IF(N(BN240)&gt;0,ROUND(SUMIF(ЗАКАЗЫ!$F$3:$F$500,$A240,ЗАКАЗЫ!$Y$3:$Y$500)/BN240,0),IF(OR(BE240="",BG240=""),"",ROUND(BE240*BG240*(1+Справочники!$B$10),0)))</f>
        <v/>
      </c>
      <c r="BI240" s="92" t="str">
        <f aca="false">IF(OR(AU240="",BH240="",AU240=0),"",(AU240-BH240)/AU240)</f>
        <v/>
      </c>
      <c r="BJ240" s="81"/>
      <c r="BK240" s="83"/>
      <c r="BL240" s="43" t="str">
        <f aca="false">IFERROR(INDEX(ЗАКАЗЫ!$N$3:$N$500,MATCH($A240,ЗАКАЗЫ!$F$3:$F$500,0)),"")</f>
        <v/>
      </c>
      <c r="BM240" s="8" t="str">
        <f aca="false">IF(BL240="","",IFERROR(VLOOKUP(BL240,'ТН ВЭД'!$A$4:$C$40,3,0),""))</f>
        <v/>
      </c>
      <c r="BN240" s="7" t="str">
        <f aca="false">IF(COUNTIF(ЗАКАЗЫ!$F$3:$F$500,$A240)=0,"",SUMIF(ЗАКАЗЫ!$F$3:$F$500,$A240,ЗАКАЗЫ!$J$3:$J$500))</f>
        <v/>
      </c>
      <c r="BO240" s="7" t="str">
        <f aca="false">IF(BN240="","",SUMIF(ЗАКАЗЫ!$F$3:$F$500,$A240,ЗАКАЗЫ!$AL$3:$AL$500))</f>
        <v/>
      </c>
      <c r="BP240" s="7" t="str">
        <f aca="false">IF(BN240="","",BN240-BO240)</f>
        <v/>
      </c>
      <c r="BQ240" s="55" t="str">
        <f aca="false">IF(BN240="","",IF(BO240&gt;=BN240,"На складе",IF(BO240&gt;0,"Частично","Ждём")))</f>
        <v/>
      </c>
      <c r="BR240" s="43"/>
      <c r="BS240" s="47" t="str">
        <f aca="false">IF(BN240="","",IF(_xlfn.MAXIFS(ЗАКАЗЫ!$AK$3:$AK$500,ЗАКАЗЫ!$F$3:$F$500,$A240)=0,"",_xlfn.MAXIFS(ЗАКАЗЫ!$AK$3:$AK$500,ЗАКАЗЫ!$F$3:$F$500,$A240)))</f>
        <v/>
      </c>
    </row>
    <row r="241" customFormat="false" ht="15.75" hidden="false" customHeight="true" outlineLevel="0" collapsed="false">
      <c r="A241" s="80" t="s">
        <v>1442</v>
      </c>
      <c r="B241" s="81"/>
      <c r="C241" s="81"/>
      <c r="D241" s="81"/>
      <c r="E241" s="83"/>
      <c r="F241" s="81"/>
      <c r="G241" s="83"/>
      <c r="H241" s="83"/>
      <c r="I241" s="84" t="str">
        <f aca="false">IF(E241="","",A241&amp;"_1.jpg")</f>
        <v/>
      </c>
      <c r="J241" s="84" t="str">
        <f aca="false">IF(E241="","",A241&amp;"_2.jpg; "&amp;A241&amp;"_3.jpg")</f>
        <v/>
      </c>
      <c r="K241" s="84" t="str">
        <f aca="false">IF(E241="","",A241&amp;"_schema.jpg")</f>
        <v/>
      </c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 t="s">
        <v>96</v>
      </c>
      <c r="W241" s="81"/>
      <c r="X241" s="81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6" t="str">
        <f aca="false">IF(SUM(Y241:AJ241)=0,"",SUM(Y241:AJ241))</f>
        <v/>
      </c>
      <c r="AL241" s="84" t="str">
        <f aca="false">MID(IF(N(Y241)&gt;0,", "&amp;Y$2,"")&amp;IF(N(Z241)&gt;0,", "&amp;Z$2,"")&amp;IF(N(AA241)&gt;0,", "&amp;AA$2,"")&amp;IF(N(AB241)&gt;0,", "&amp;AB$2,"")&amp;IF(N(AC241)&gt;0,", "&amp;AC$2,"")&amp;IF(N(AD241)&gt;0,", "&amp;AD$2,"")&amp;IF(N(AE241)&gt;0,", "&amp;AE$2,"")&amp;IF(N(AF241)&gt;0,", "&amp;AF$2,"")&amp;IF(N(AG241)&gt;0,", "&amp;AG$2,"")&amp;IF(N(AH241)&gt;0,", "&amp;AH$2,"")&amp;IF(N(AI241)&gt;0,", "&amp;AI$2,"")&amp;IF(N(AJ241)&gt;0,", "&amp;AJ$2,""),3,999)</f>
        <v/>
      </c>
      <c r="AM241" s="87" t="str">
        <f aca="false">IF(E241="","",MID(IF(N(Y241)&gt;0,", "&amp;A241&amp;"-"&amp;Y$2,"")&amp;IF(N(Z241)&gt;0,", "&amp;A241&amp;"-"&amp;Z$2,"")&amp;IF(N(AA241)&gt;0,", "&amp;A241&amp;"-"&amp;AA$2,"")&amp;IF(N(AB241)&gt;0,", "&amp;A241&amp;"-"&amp;AB$2,"")&amp;IF(N(AC241)&gt;0,", "&amp;A241&amp;"-"&amp;AC$2,"")&amp;IF(N(AD241)&gt;0,", "&amp;A241&amp;"-"&amp;AD$2,"")&amp;IF(N(AE241)&gt;0,", "&amp;A241&amp;"-"&amp;AE$2,"")&amp;IF(N(AF241)&gt;0,", "&amp;A241&amp;"-"&amp;AF$2,"")&amp;IF(N(AG241)&gt;0,", "&amp;A241&amp;"-"&amp;AG$2,"")&amp;IF(N(AH241)&gt;0,", "&amp;A241&amp;"-"&amp;AH$2,"")&amp;IF(N(AI241)&gt;0,", "&amp;A241&amp;"-"&amp;AI$2,"")&amp;IF(N(AJ241)&gt;0,", "&amp;A241&amp;"-"&amp;AJ$2,""),3,999))</f>
        <v/>
      </c>
      <c r="AN241" s="81"/>
      <c r="AO241" s="88"/>
      <c r="AP241" s="89" t="str">
        <f aca="false">IF(AO241="","",ROUND(AO241/(1+Справочники!$B$13),2))</f>
        <v/>
      </c>
      <c r="AQ241" s="90" t="str">
        <f aca="false" t="array" ref="AQ241:AQ241">IF(AP241="","",AP241*INDEX(Справочники!$B$4:$B$7,MATCH("RUB",Справочники!$A$4:$A$7,0)))</f>
        <v/>
      </c>
      <c r="AR241" s="90" t="str">
        <f aca="false">IF(AQ241="","",ROUND(AQ241*(1+Справочники!$B$12),0))</f>
        <v/>
      </c>
      <c r="AS241" s="90" t="str">
        <f aca="false">IF(AR241="","",ROUND(AR241*(1-Справочники!$B$11),0))</f>
        <v/>
      </c>
      <c r="AT241" s="88"/>
      <c r="AU241" s="90" t="str">
        <f aca="false">IF(AT241="","",ROUND(AT241/(1+Справочники!$B$12),0))</f>
        <v/>
      </c>
      <c r="AV241" s="90" t="str">
        <f aca="false">IF(AT241="","",ROUND(AT241*(1-Справочники!$B$15),0))</f>
        <v/>
      </c>
      <c r="AW241" s="90" t="str">
        <f aca="false">IF(AT241="","",ROUND(AT241*(1-Справочники!$B$16),0))</f>
        <v/>
      </c>
      <c r="AX241" s="90" t="str">
        <f aca="false">IF(AT241="","",ROUND(AT241*(1-Справочники!$B$17),0))</f>
        <v/>
      </c>
      <c r="AY241" s="90" t="str">
        <f aca="false">IF(AT241="","",ROUND(AT241*(1-Справочники!$B$18),0))</f>
        <v/>
      </c>
      <c r="AZ241" s="90" t="str">
        <f aca="false">IF(AT241="","",ROUND(AT241*(1-Справочники!$B$19),0))</f>
        <v/>
      </c>
      <c r="BA241" s="81"/>
      <c r="BB241" s="81"/>
      <c r="BC241" s="81"/>
      <c r="BD241" s="81"/>
      <c r="BE241" s="91"/>
      <c r="BF241" s="81" t="s">
        <v>103</v>
      </c>
      <c r="BG241" s="89" t="n">
        <f aca="false" t="array" ref="BG241:BG241">IF(BF241="","",IFERROR(INDEX(Справочники!$B$4:$B$7,MATCH(BF241,Справочники!$A$4:$A$7,0)),""))</f>
        <v>68.5</v>
      </c>
      <c r="BH241" s="90" t="str">
        <f aca="false">IF(N(BN241)&gt;0,ROUND(SUMIF(ЗАКАЗЫ!$F$3:$F$500,$A241,ЗАКАЗЫ!$Y$3:$Y$500)/BN241,0),IF(OR(BE241="",BG241=""),"",ROUND(BE241*BG241*(1+Справочники!$B$10),0)))</f>
        <v/>
      </c>
      <c r="BI241" s="92" t="str">
        <f aca="false">IF(OR(AU241="",BH241="",AU241=0),"",(AU241-BH241)/AU241)</f>
        <v/>
      </c>
      <c r="BJ241" s="81"/>
      <c r="BK241" s="83"/>
      <c r="BL241" s="43" t="str">
        <f aca="false">IFERROR(INDEX(ЗАКАЗЫ!$N$3:$N$500,MATCH($A241,ЗАКАЗЫ!$F$3:$F$500,0)),"")</f>
        <v/>
      </c>
      <c r="BM241" s="8" t="str">
        <f aca="false">IF(BL241="","",IFERROR(VLOOKUP(BL241,'ТН ВЭД'!$A$4:$C$40,3,0),""))</f>
        <v/>
      </c>
      <c r="BN241" s="7" t="str">
        <f aca="false">IF(COUNTIF(ЗАКАЗЫ!$F$3:$F$500,$A241)=0,"",SUMIF(ЗАКАЗЫ!$F$3:$F$500,$A241,ЗАКАЗЫ!$J$3:$J$500))</f>
        <v/>
      </c>
      <c r="BO241" s="7" t="str">
        <f aca="false">IF(BN241="","",SUMIF(ЗАКАЗЫ!$F$3:$F$500,$A241,ЗАКАЗЫ!$AL$3:$AL$500))</f>
        <v/>
      </c>
      <c r="BP241" s="7" t="str">
        <f aca="false">IF(BN241="","",BN241-BO241)</f>
        <v/>
      </c>
      <c r="BQ241" s="55" t="str">
        <f aca="false">IF(BN241="","",IF(BO241&gt;=BN241,"На складе",IF(BO241&gt;0,"Частично","Ждём")))</f>
        <v/>
      </c>
      <c r="BR241" s="43"/>
      <c r="BS241" s="47" t="str">
        <f aca="false">IF(BN241="","",IF(_xlfn.MAXIFS(ЗАКАЗЫ!$AK$3:$AK$500,ЗАКАЗЫ!$F$3:$F$500,$A241)=0,"",_xlfn.MAXIFS(ЗАКАЗЫ!$AK$3:$AK$500,ЗАКАЗЫ!$F$3:$F$500,$A241)))</f>
        <v/>
      </c>
    </row>
    <row r="242" customFormat="false" ht="15.75" hidden="false" customHeight="true" outlineLevel="0" collapsed="false">
      <c r="A242" s="80" t="s">
        <v>1443</v>
      </c>
      <c r="B242" s="81"/>
      <c r="C242" s="81"/>
      <c r="D242" s="81"/>
      <c r="E242" s="83"/>
      <c r="F242" s="81"/>
      <c r="G242" s="83"/>
      <c r="H242" s="83"/>
      <c r="I242" s="84" t="str">
        <f aca="false">IF(E242="","",A242&amp;"_1.jpg")</f>
        <v/>
      </c>
      <c r="J242" s="84" t="str">
        <f aca="false">IF(E242="","",A242&amp;"_2.jpg; "&amp;A242&amp;"_3.jpg")</f>
        <v/>
      </c>
      <c r="K242" s="84" t="str">
        <f aca="false">IF(E242="","",A242&amp;"_schema.jpg")</f>
        <v/>
      </c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 t="s">
        <v>96</v>
      </c>
      <c r="W242" s="81"/>
      <c r="X242" s="81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6" t="str">
        <f aca="false">IF(SUM(Y242:AJ242)=0,"",SUM(Y242:AJ242))</f>
        <v/>
      </c>
      <c r="AL242" s="84" t="str">
        <f aca="false">MID(IF(N(Y242)&gt;0,", "&amp;Y$2,"")&amp;IF(N(Z242)&gt;0,", "&amp;Z$2,"")&amp;IF(N(AA242)&gt;0,", "&amp;AA$2,"")&amp;IF(N(AB242)&gt;0,", "&amp;AB$2,"")&amp;IF(N(AC242)&gt;0,", "&amp;AC$2,"")&amp;IF(N(AD242)&gt;0,", "&amp;AD$2,"")&amp;IF(N(AE242)&gt;0,", "&amp;AE$2,"")&amp;IF(N(AF242)&gt;0,", "&amp;AF$2,"")&amp;IF(N(AG242)&gt;0,", "&amp;AG$2,"")&amp;IF(N(AH242)&gt;0,", "&amp;AH$2,"")&amp;IF(N(AI242)&gt;0,", "&amp;AI$2,"")&amp;IF(N(AJ242)&gt;0,", "&amp;AJ$2,""),3,999)</f>
        <v/>
      </c>
      <c r="AM242" s="87" t="str">
        <f aca="false">IF(E242="","",MID(IF(N(Y242)&gt;0,", "&amp;A242&amp;"-"&amp;Y$2,"")&amp;IF(N(Z242)&gt;0,", "&amp;A242&amp;"-"&amp;Z$2,"")&amp;IF(N(AA242)&gt;0,", "&amp;A242&amp;"-"&amp;AA$2,"")&amp;IF(N(AB242)&gt;0,", "&amp;A242&amp;"-"&amp;AB$2,"")&amp;IF(N(AC242)&gt;0,", "&amp;A242&amp;"-"&amp;AC$2,"")&amp;IF(N(AD242)&gt;0,", "&amp;A242&amp;"-"&amp;AD$2,"")&amp;IF(N(AE242)&gt;0,", "&amp;A242&amp;"-"&amp;AE$2,"")&amp;IF(N(AF242)&gt;0,", "&amp;A242&amp;"-"&amp;AF$2,"")&amp;IF(N(AG242)&gt;0,", "&amp;A242&amp;"-"&amp;AG$2,"")&amp;IF(N(AH242)&gt;0,", "&amp;A242&amp;"-"&amp;AH$2,"")&amp;IF(N(AI242)&gt;0,", "&amp;A242&amp;"-"&amp;AI$2,"")&amp;IF(N(AJ242)&gt;0,", "&amp;A242&amp;"-"&amp;AJ$2,""),3,999))</f>
        <v/>
      </c>
      <c r="AN242" s="81"/>
      <c r="AO242" s="88"/>
      <c r="AP242" s="89" t="str">
        <f aca="false">IF(AO242="","",ROUND(AO242/(1+Справочники!$B$13),2))</f>
        <v/>
      </c>
      <c r="AQ242" s="90" t="str">
        <f aca="false" t="array" ref="AQ242:AQ242">IF(AP242="","",AP242*INDEX(Справочники!$B$4:$B$7,MATCH("RUB",Справочники!$A$4:$A$7,0)))</f>
        <v/>
      </c>
      <c r="AR242" s="90" t="str">
        <f aca="false">IF(AQ242="","",ROUND(AQ242*(1+Справочники!$B$12),0))</f>
        <v/>
      </c>
      <c r="AS242" s="90" t="str">
        <f aca="false">IF(AR242="","",ROUND(AR242*(1-Справочники!$B$11),0))</f>
        <v/>
      </c>
      <c r="AT242" s="88"/>
      <c r="AU242" s="90" t="str">
        <f aca="false">IF(AT242="","",ROUND(AT242/(1+Справочники!$B$12),0))</f>
        <v/>
      </c>
      <c r="AV242" s="90" t="str">
        <f aca="false">IF(AT242="","",ROUND(AT242*(1-Справочники!$B$15),0))</f>
        <v/>
      </c>
      <c r="AW242" s="90" t="str">
        <f aca="false">IF(AT242="","",ROUND(AT242*(1-Справочники!$B$16),0))</f>
        <v/>
      </c>
      <c r="AX242" s="90" t="str">
        <f aca="false">IF(AT242="","",ROUND(AT242*(1-Справочники!$B$17),0))</f>
        <v/>
      </c>
      <c r="AY242" s="90" t="str">
        <f aca="false">IF(AT242="","",ROUND(AT242*(1-Справочники!$B$18),0))</f>
        <v/>
      </c>
      <c r="AZ242" s="90" t="str">
        <f aca="false">IF(AT242="","",ROUND(AT242*(1-Справочники!$B$19),0))</f>
        <v/>
      </c>
      <c r="BA242" s="81"/>
      <c r="BB242" s="81"/>
      <c r="BC242" s="81"/>
      <c r="BD242" s="81"/>
      <c r="BE242" s="91"/>
      <c r="BF242" s="81" t="s">
        <v>103</v>
      </c>
      <c r="BG242" s="89" t="n">
        <f aca="false" t="array" ref="BG242:BG242">IF(BF242="","",IFERROR(INDEX(Справочники!$B$4:$B$7,MATCH(BF242,Справочники!$A$4:$A$7,0)),""))</f>
        <v>68.5</v>
      </c>
      <c r="BH242" s="90" t="str">
        <f aca="false">IF(N(BN242)&gt;0,ROUND(SUMIF(ЗАКАЗЫ!$F$3:$F$500,$A242,ЗАКАЗЫ!$Y$3:$Y$500)/BN242,0),IF(OR(BE242="",BG242=""),"",ROUND(BE242*BG242*(1+Справочники!$B$10),0)))</f>
        <v/>
      </c>
      <c r="BI242" s="92" t="str">
        <f aca="false">IF(OR(AU242="",BH242="",AU242=0),"",(AU242-BH242)/AU242)</f>
        <v/>
      </c>
      <c r="BJ242" s="81"/>
      <c r="BK242" s="83"/>
      <c r="BL242" s="43" t="str">
        <f aca="false">IFERROR(INDEX(ЗАКАЗЫ!$N$3:$N$500,MATCH($A242,ЗАКАЗЫ!$F$3:$F$500,0)),"")</f>
        <v/>
      </c>
      <c r="BM242" s="8" t="str">
        <f aca="false">IF(BL242="","",IFERROR(VLOOKUP(BL242,'ТН ВЭД'!$A$4:$C$40,3,0),""))</f>
        <v/>
      </c>
      <c r="BN242" s="7" t="str">
        <f aca="false">IF(COUNTIF(ЗАКАЗЫ!$F$3:$F$500,$A242)=0,"",SUMIF(ЗАКАЗЫ!$F$3:$F$500,$A242,ЗАКАЗЫ!$J$3:$J$500))</f>
        <v/>
      </c>
      <c r="BO242" s="7" t="str">
        <f aca="false">IF(BN242="","",SUMIF(ЗАКАЗЫ!$F$3:$F$500,$A242,ЗАКАЗЫ!$AL$3:$AL$500))</f>
        <v/>
      </c>
      <c r="BP242" s="7" t="str">
        <f aca="false">IF(BN242="","",BN242-BO242)</f>
        <v/>
      </c>
      <c r="BQ242" s="55" t="str">
        <f aca="false">IF(BN242="","",IF(BO242&gt;=BN242,"На складе",IF(BO242&gt;0,"Частично","Ждём")))</f>
        <v/>
      </c>
      <c r="BR242" s="43"/>
      <c r="BS242" s="47" t="str">
        <f aca="false">IF(BN242="","",IF(_xlfn.MAXIFS(ЗАКАЗЫ!$AK$3:$AK$500,ЗАКАЗЫ!$F$3:$F$500,$A242)=0,"",_xlfn.MAXIFS(ЗАКАЗЫ!$AK$3:$AK$500,ЗАКАЗЫ!$F$3:$F$500,$A242)))</f>
        <v/>
      </c>
    </row>
    <row r="243" customFormat="false" ht="15.75" hidden="false" customHeight="true" outlineLevel="0" collapsed="false">
      <c r="A243" s="80" t="s">
        <v>1444</v>
      </c>
      <c r="B243" s="81"/>
      <c r="C243" s="81"/>
      <c r="D243" s="81"/>
      <c r="E243" s="83"/>
      <c r="F243" s="81"/>
      <c r="G243" s="83"/>
      <c r="H243" s="83"/>
      <c r="I243" s="84" t="str">
        <f aca="false">IF(E243="","",A243&amp;"_1.jpg")</f>
        <v/>
      </c>
      <c r="J243" s="84" t="str">
        <f aca="false">IF(E243="","",A243&amp;"_2.jpg; "&amp;A243&amp;"_3.jpg")</f>
        <v/>
      </c>
      <c r="K243" s="84" t="str">
        <f aca="false">IF(E243="","",A243&amp;"_schema.jpg")</f>
        <v/>
      </c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 t="s">
        <v>96</v>
      </c>
      <c r="W243" s="81"/>
      <c r="X243" s="81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6" t="str">
        <f aca="false">IF(SUM(Y243:AJ243)=0,"",SUM(Y243:AJ243))</f>
        <v/>
      </c>
      <c r="AL243" s="84" t="str">
        <f aca="false">MID(IF(N(Y243)&gt;0,", "&amp;Y$2,"")&amp;IF(N(Z243)&gt;0,", "&amp;Z$2,"")&amp;IF(N(AA243)&gt;0,", "&amp;AA$2,"")&amp;IF(N(AB243)&gt;0,", "&amp;AB$2,"")&amp;IF(N(AC243)&gt;0,", "&amp;AC$2,"")&amp;IF(N(AD243)&gt;0,", "&amp;AD$2,"")&amp;IF(N(AE243)&gt;0,", "&amp;AE$2,"")&amp;IF(N(AF243)&gt;0,", "&amp;AF$2,"")&amp;IF(N(AG243)&gt;0,", "&amp;AG$2,"")&amp;IF(N(AH243)&gt;0,", "&amp;AH$2,"")&amp;IF(N(AI243)&gt;0,", "&amp;AI$2,"")&amp;IF(N(AJ243)&gt;0,", "&amp;AJ$2,""),3,999)</f>
        <v/>
      </c>
      <c r="AM243" s="87" t="str">
        <f aca="false">IF(E243="","",MID(IF(N(Y243)&gt;0,", "&amp;A243&amp;"-"&amp;Y$2,"")&amp;IF(N(Z243)&gt;0,", "&amp;A243&amp;"-"&amp;Z$2,"")&amp;IF(N(AA243)&gt;0,", "&amp;A243&amp;"-"&amp;AA$2,"")&amp;IF(N(AB243)&gt;0,", "&amp;A243&amp;"-"&amp;AB$2,"")&amp;IF(N(AC243)&gt;0,", "&amp;A243&amp;"-"&amp;AC$2,"")&amp;IF(N(AD243)&gt;0,", "&amp;A243&amp;"-"&amp;AD$2,"")&amp;IF(N(AE243)&gt;0,", "&amp;A243&amp;"-"&amp;AE$2,"")&amp;IF(N(AF243)&gt;0,", "&amp;A243&amp;"-"&amp;AF$2,"")&amp;IF(N(AG243)&gt;0,", "&amp;A243&amp;"-"&amp;AG$2,"")&amp;IF(N(AH243)&gt;0,", "&amp;A243&amp;"-"&amp;AH$2,"")&amp;IF(N(AI243)&gt;0,", "&amp;A243&amp;"-"&amp;AI$2,"")&amp;IF(N(AJ243)&gt;0,", "&amp;A243&amp;"-"&amp;AJ$2,""),3,999))</f>
        <v/>
      </c>
      <c r="AN243" s="81"/>
      <c r="AO243" s="88"/>
      <c r="AP243" s="89" t="str">
        <f aca="false">IF(AO243="","",ROUND(AO243/(1+Справочники!$B$13),2))</f>
        <v/>
      </c>
      <c r="AQ243" s="90" t="str">
        <f aca="false" t="array" ref="AQ243:AQ243">IF(AP243="","",AP243*INDEX(Справочники!$B$4:$B$7,MATCH("RUB",Справочники!$A$4:$A$7,0)))</f>
        <v/>
      </c>
      <c r="AR243" s="90" t="str">
        <f aca="false">IF(AQ243="","",ROUND(AQ243*(1+Справочники!$B$12),0))</f>
        <v/>
      </c>
      <c r="AS243" s="90" t="str">
        <f aca="false">IF(AR243="","",ROUND(AR243*(1-Справочники!$B$11),0))</f>
        <v/>
      </c>
      <c r="AT243" s="88"/>
      <c r="AU243" s="90" t="str">
        <f aca="false">IF(AT243="","",ROUND(AT243/(1+Справочники!$B$12),0))</f>
        <v/>
      </c>
      <c r="AV243" s="90" t="str">
        <f aca="false">IF(AT243="","",ROUND(AT243*(1-Справочники!$B$15),0))</f>
        <v/>
      </c>
      <c r="AW243" s="90" t="str">
        <f aca="false">IF(AT243="","",ROUND(AT243*(1-Справочники!$B$16),0))</f>
        <v/>
      </c>
      <c r="AX243" s="90" t="str">
        <f aca="false">IF(AT243="","",ROUND(AT243*(1-Справочники!$B$17),0))</f>
        <v/>
      </c>
      <c r="AY243" s="90" t="str">
        <f aca="false">IF(AT243="","",ROUND(AT243*(1-Справочники!$B$18),0))</f>
        <v/>
      </c>
      <c r="AZ243" s="90" t="str">
        <f aca="false">IF(AT243="","",ROUND(AT243*(1-Справочники!$B$19),0))</f>
        <v/>
      </c>
      <c r="BA243" s="81"/>
      <c r="BB243" s="81"/>
      <c r="BC243" s="81"/>
      <c r="BD243" s="81"/>
      <c r="BE243" s="91"/>
      <c r="BF243" s="81" t="s">
        <v>103</v>
      </c>
      <c r="BG243" s="89" t="n">
        <f aca="false" t="array" ref="BG243:BG243">IF(BF243="","",IFERROR(INDEX(Справочники!$B$4:$B$7,MATCH(BF243,Справочники!$A$4:$A$7,0)),""))</f>
        <v>68.5</v>
      </c>
      <c r="BH243" s="90" t="str">
        <f aca="false">IF(N(BN243)&gt;0,ROUND(SUMIF(ЗАКАЗЫ!$F$3:$F$500,$A243,ЗАКАЗЫ!$Y$3:$Y$500)/BN243,0),IF(OR(BE243="",BG243=""),"",ROUND(BE243*BG243*(1+Справочники!$B$10),0)))</f>
        <v/>
      </c>
      <c r="BI243" s="92" t="str">
        <f aca="false">IF(OR(AU243="",BH243="",AU243=0),"",(AU243-BH243)/AU243)</f>
        <v/>
      </c>
      <c r="BJ243" s="81"/>
      <c r="BK243" s="83"/>
      <c r="BL243" s="43" t="str">
        <f aca="false">IFERROR(INDEX(ЗАКАЗЫ!$N$3:$N$500,MATCH($A243,ЗАКАЗЫ!$F$3:$F$500,0)),"")</f>
        <v/>
      </c>
      <c r="BM243" s="8" t="str">
        <f aca="false">IF(BL243="","",IFERROR(VLOOKUP(BL243,'ТН ВЭД'!$A$4:$C$40,3,0),""))</f>
        <v/>
      </c>
      <c r="BN243" s="7" t="str">
        <f aca="false">IF(COUNTIF(ЗАКАЗЫ!$F$3:$F$500,$A243)=0,"",SUMIF(ЗАКАЗЫ!$F$3:$F$500,$A243,ЗАКАЗЫ!$J$3:$J$500))</f>
        <v/>
      </c>
      <c r="BO243" s="7" t="str">
        <f aca="false">IF(BN243="","",SUMIF(ЗАКАЗЫ!$F$3:$F$500,$A243,ЗАКАЗЫ!$AL$3:$AL$500))</f>
        <v/>
      </c>
      <c r="BP243" s="7" t="str">
        <f aca="false">IF(BN243="","",BN243-BO243)</f>
        <v/>
      </c>
      <c r="BQ243" s="55" t="str">
        <f aca="false">IF(BN243="","",IF(BO243&gt;=BN243,"На складе",IF(BO243&gt;0,"Частично","Ждём")))</f>
        <v/>
      </c>
      <c r="BR243" s="43"/>
      <c r="BS243" s="47" t="str">
        <f aca="false">IF(BN243="","",IF(_xlfn.MAXIFS(ЗАКАЗЫ!$AK$3:$AK$500,ЗАКАЗЫ!$F$3:$F$500,$A243)=0,"",_xlfn.MAXIFS(ЗАКАЗЫ!$AK$3:$AK$500,ЗАКАЗЫ!$F$3:$F$500,$A243)))</f>
        <v/>
      </c>
    </row>
    <row r="244" customFormat="false" ht="15.75" hidden="false" customHeight="true" outlineLevel="0" collapsed="false">
      <c r="A244" s="80" t="s">
        <v>1445</v>
      </c>
      <c r="B244" s="81"/>
      <c r="C244" s="81"/>
      <c r="D244" s="81"/>
      <c r="E244" s="83"/>
      <c r="F244" s="81"/>
      <c r="G244" s="83"/>
      <c r="H244" s="83"/>
      <c r="I244" s="84" t="str">
        <f aca="false">IF(E244="","",A244&amp;"_1.jpg")</f>
        <v/>
      </c>
      <c r="J244" s="84" t="str">
        <f aca="false">IF(E244="","",A244&amp;"_2.jpg; "&amp;A244&amp;"_3.jpg")</f>
        <v/>
      </c>
      <c r="K244" s="84" t="str">
        <f aca="false">IF(E244="","",A244&amp;"_schema.jpg")</f>
        <v/>
      </c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 t="s">
        <v>96</v>
      </c>
      <c r="W244" s="81"/>
      <c r="X244" s="81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6" t="str">
        <f aca="false">IF(SUM(Y244:AJ244)=0,"",SUM(Y244:AJ244))</f>
        <v/>
      </c>
      <c r="AL244" s="84" t="str">
        <f aca="false">MID(IF(N(Y244)&gt;0,", "&amp;Y$2,"")&amp;IF(N(Z244)&gt;0,", "&amp;Z$2,"")&amp;IF(N(AA244)&gt;0,", "&amp;AA$2,"")&amp;IF(N(AB244)&gt;0,", "&amp;AB$2,"")&amp;IF(N(AC244)&gt;0,", "&amp;AC$2,"")&amp;IF(N(AD244)&gt;0,", "&amp;AD$2,"")&amp;IF(N(AE244)&gt;0,", "&amp;AE$2,"")&amp;IF(N(AF244)&gt;0,", "&amp;AF$2,"")&amp;IF(N(AG244)&gt;0,", "&amp;AG$2,"")&amp;IF(N(AH244)&gt;0,", "&amp;AH$2,"")&amp;IF(N(AI244)&gt;0,", "&amp;AI$2,"")&amp;IF(N(AJ244)&gt;0,", "&amp;AJ$2,""),3,999)</f>
        <v/>
      </c>
      <c r="AM244" s="87" t="str">
        <f aca="false">IF(E244="","",MID(IF(N(Y244)&gt;0,", "&amp;A244&amp;"-"&amp;Y$2,"")&amp;IF(N(Z244)&gt;0,", "&amp;A244&amp;"-"&amp;Z$2,"")&amp;IF(N(AA244)&gt;0,", "&amp;A244&amp;"-"&amp;AA$2,"")&amp;IF(N(AB244)&gt;0,", "&amp;A244&amp;"-"&amp;AB$2,"")&amp;IF(N(AC244)&gt;0,", "&amp;A244&amp;"-"&amp;AC$2,"")&amp;IF(N(AD244)&gt;0,", "&amp;A244&amp;"-"&amp;AD$2,"")&amp;IF(N(AE244)&gt;0,", "&amp;A244&amp;"-"&amp;AE$2,"")&amp;IF(N(AF244)&gt;0,", "&amp;A244&amp;"-"&amp;AF$2,"")&amp;IF(N(AG244)&gt;0,", "&amp;A244&amp;"-"&amp;AG$2,"")&amp;IF(N(AH244)&gt;0,", "&amp;A244&amp;"-"&amp;AH$2,"")&amp;IF(N(AI244)&gt;0,", "&amp;A244&amp;"-"&amp;AI$2,"")&amp;IF(N(AJ244)&gt;0,", "&amp;A244&amp;"-"&amp;AJ$2,""),3,999))</f>
        <v/>
      </c>
      <c r="AN244" s="81"/>
      <c r="AO244" s="88"/>
      <c r="AP244" s="89" t="str">
        <f aca="false">IF(AO244="","",ROUND(AO244/(1+Справочники!$B$13),2))</f>
        <v/>
      </c>
      <c r="AQ244" s="90" t="str">
        <f aca="false" t="array" ref="AQ244:AQ244">IF(AP244="","",AP244*INDEX(Справочники!$B$4:$B$7,MATCH("RUB",Справочники!$A$4:$A$7,0)))</f>
        <v/>
      </c>
      <c r="AR244" s="90" t="str">
        <f aca="false">IF(AQ244="","",ROUND(AQ244*(1+Справочники!$B$12),0))</f>
        <v/>
      </c>
      <c r="AS244" s="90" t="str">
        <f aca="false">IF(AR244="","",ROUND(AR244*(1-Справочники!$B$11),0))</f>
        <v/>
      </c>
      <c r="AT244" s="88"/>
      <c r="AU244" s="90" t="str">
        <f aca="false">IF(AT244="","",ROUND(AT244/(1+Справочники!$B$12),0))</f>
        <v/>
      </c>
      <c r="AV244" s="90" t="str">
        <f aca="false">IF(AT244="","",ROUND(AT244*(1-Справочники!$B$15),0))</f>
        <v/>
      </c>
      <c r="AW244" s="90" t="str">
        <f aca="false">IF(AT244="","",ROUND(AT244*(1-Справочники!$B$16),0))</f>
        <v/>
      </c>
      <c r="AX244" s="90" t="str">
        <f aca="false">IF(AT244="","",ROUND(AT244*(1-Справочники!$B$17),0))</f>
        <v/>
      </c>
      <c r="AY244" s="90" t="str">
        <f aca="false">IF(AT244="","",ROUND(AT244*(1-Справочники!$B$18),0))</f>
        <v/>
      </c>
      <c r="AZ244" s="90" t="str">
        <f aca="false">IF(AT244="","",ROUND(AT244*(1-Справочники!$B$19),0))</f>
        <v/>
      </c>
      <c r="BA244" s="81"/>
      <c r="BB244" s="81"/>
      <c r="BC244" s="81"/>
      <c r="BD244" s="81"/>
      <c r="BE244" s="91"/>
      <c r="BF244" s="81" t="s">
        <v>103</v>
      </c>
      <c r="BG244" s="89" t="n">
        <f aca="false" t="array" ref="BG244:BG244">IF(BF244="","",IFERROR(INDEX(Справочники!$B$4:$B$7,MATCH(BF244,Справочники!$A$4:$A$7,0)),""))</f>
        <v>68.5</v>
      </c>
      <c r="BH244" s="90" t="str">
        <f aca="false">IF(N(BN244)&gt;0,ROUND(SUMIF(ЗАКАЗЫ!$F$3:$F$500,$A244,ЗАКАЗЫ!$Y$3:$Y$500)/BN244,0),IF(OR(BE244="",BG244=""),"",ROUND(BE244*BG244*(1+Справочники!$B$10),0)))</f>
        <v/>
      </c>
      <c r="BI244" s="92" t="str">
        <f aca="false">IF(OR(AU244="",BH244="",AU244=0),"",(AU244-BH244)/AU244)</f>
        <v/>
      </c>
      <c r="BJ244" s="81"/>
      <c r="BK244" s="83"/>
      <c r="BL244" s="43" t="str">
        <f aca="false">IFERROR(INDEX(ЗАКАЗЫ!$N$3:$N$500,MATCH($A244,ЗАКАЗЫ!$F$3:$F$500,0)),"")</f>
        <v/>
      </c>
      <c r="BM244" s="8" t="str">
        <f aca="false">IF(BL244="","",IFERROR(VLOOKUP(BL244,'ТН ВЭД'!$A$4:$C$40,3,0),""))</f>
        <v/>
      </c>
      <c r="BN244" s="7" t="str">
        <f aca="false">IF(COUNTIF(ЗАКАЗЫ!$F$3:$F$500,$A244)=0,"",SUMIF(ЗАКАЗЫ!$F$3:$F$500,$A244,ЗАКАЗЫ!$J$3:$J$500))</f>
        <v/>
      </c>
      <c r="BO244" s="7" t="str">
        <f aca="false">IF(BN244="","",SUMIF(ЗАКАЗЫ!$F$3:$F$500,$A244,ЗАКАЗЫ!$AL$3:$AL$500))</f>
        <v/>
      </c>
      <c r="BP244" s="7" t="str">
        <f aca="false">IF(BN244="","",BN244-BO244)</f>
        <v/>
      </c>
      <c r="BQ244" s="55" t="str">
        <f aca="false">IF(BN244="","",IF(BO244&gt;=BN244,"На складе",IF(BO244&gt;0,"Частично","Ждём")))</f>
        <v/>
      </c>
      <c r="BR244" s="43"/>
      <c r="BS244" s="47" t="str">
        <f aca="false">IF(BN244="","",IF(_xlfn.MAXIFS(ЗАКАЗЫ!$AK$3:$AK$500,ЗАКАЗЫ!$F$3:$F$500,$A244)=0,"",_xlfn.MAXIFS(ЗАКАЗЫ!$AK$3:$AK$500,ЗАКАЗЫ!$F$3:$F$500,$A244)))</f>
        <v/>
      </c>
    </row>
    <row r="245" customFormat="false" ht="15.75" hidden="false" customHeight="true" outlineLevel="0" collapsed="false">
      <c r="A245" s="80" t="s">
        <v>1446</v>
      </c>
      <c r="B245" s="81"/>
      <c r="C245" s="81"/>
      <c r="D245" s="81"/>
      <c r="E245" s="83"/>
      <c r="F245" s="81"/>
      <c r="G245" s="83"/>
      <c r="H245" s="83"/>
      <c r="I245" s="84" t="str">
        <f aca="false">IF(E245="","",A245&amp;"_1.jpg")</f>
        <v/>
      </c>
      <c r="J245" s="84" t="str">
        <f aca="false">IF(E245="","",A245&amp;"_2.jpg; "&amp;A245&amp;"_3.jpg")</f>
        <v/>
      </c>
      <c r="K245" s="84" t="str">
        <f aca="false">IF(E245="","",A245&amp;"_schema.jpg")</f>
        <v/>
      </c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 t="s">
        <v>96</v>
      </c>
      <c r="W245" s="81"/>
      <c r="X245" s="81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6" t="str">
        <f aca="false">IF(SUM(Y245:AJ245)=0,"",SUM(Y245:AJ245))</f>
        <v/>
      </c>
      <c r="AL245" s="84" t="str">
        <f aca="false">MID(IF(N(Y245)&gt;0,", "&amp;Y$2,"")&amp;IF(N(Z245)&gt;0,", "&amp;Z$2,"")&amp;IF(N(AA245)&gt;0,", "&amp;AA$2,"")&amp;IF(N(AB245)&gt;0,", "&amp;AB$2,"")&amp;IF(N(AC245)&gt;0,", "&amp;AC$2,"")&amp;IF(N(AD245)&gt;0,", "&amp;AD$2,"")&amp;IF(N(AE245)&gt;0,", "&amp;AE$2,"")&amp;IF(N(AF245)&gt;0,", "&amp;AF$2,"")&amp;IF(N(AG245)&gt;0,", "&amp;AG$2,"")&amp;IF(N(AH245)&gt;0,", "&amp;AH$2,"")&amp;IF(N(AI245)&gt;0,", "&amp;AI$2,"")&amp;IF(N(AJ245)&gt;0,", "&amp;AJ$2,""),3,999)</f>
        <v/>
      </c>
      <c r="AM245" s="87" t="str">
        <f aca="false">IF(E245="","",MID(IF(N(Y245)&gt;0,", "&amp;A245&amp;"-"&amp;Y$2,"")&amp;IF(N(Z245)&gt;0,", "&amp;A245&amp;"-"&amp;Z$2,"")&amp;IF(N(AA245)&gt;0,", "&amp;A245&amp;"-"&amp;AA$2,"")&amp;IF(N(AB245)&gt;0,", "&amp;A245&amp;"-"&amp;AB$2,"")&amp;IF(N(AC245)&gt;0,", "&amp;A245&amp;"-"&amp;AC$2,"")&amp;IF(N(AD245)&gt;0,", "&amp;A245&amp;"-"&amp;AD$2,"")&amp;IF(N(AE245)&gt;0,", "&amp;A245&amp;"-"&amp;AE$2,"")&amp;IF(N(AF245)&gt;0,", "&amp;A245&amp;"-"&amp;AF$2,"")&amp;IF(N(AG245)&gt;0,", "&amp;A245&amp;"-"&amp;AG$2,"")&amp;IF(N(AH245)&gt;0,", "&amp;A245&amp;"-"&amp;AH$2,"")&amp;IF(N(AI245)&gt;0,", "&amp;A245&amp;"-"&amp;AI$2,"")&amp;IF(N(AJ245)&gt;0,", "&amp;A245&amp;"-"&amp;AJ$2,""),3,999))</f>
        <v/>
      </c>
      <c r="AN245" s="81"/>
      <c r="AO245" s="88"/>
      <c r="AP245" s="89" t="str">
        <f aca="false">IF(AO245="","",ROUND(AO245/(1+Справочники!$B$13),2))</f>
        <v/>
      </c>
      <c r="AQ245" s="90" t="str">
        <f aca="false" t="array" ref="AQ245:AQ245">IF(AP245="","",AP245*INDEX(Справочники!$B$4:$B$7,MATCH("RUB",Справочники!$A$4:$A$7,0)))</f>
        <v/>
      </c>
      <c r="AR245" s="90" t="str">
        <f aca="false">IF(AQ245="","",ROUND(AQ245*(1+Справочники!$B$12),0))</f>
        <v/>
      </c>
      <c r="AS245" s="90" t="str">
        <f aca="false">IF(AR245="","",ROUND(AR245*(1-Справочники!$B$11),0))</f>
        <v/>
      </c>
      <c r="AT245" s="88"/>
      <c r="AU245" s="90" t="str">
        <f aca="false">IF(AT245="","",ROUND(AT245/(1+Справочники!$B$12),0))</f>
        <v/>
      </c>
      <c r="AV245" s="90" t="str">
        <f aca="false">IF(AT245="","",ROUND(AT245*(1-Справочники!$B$15),0))</f>
        <v/>
      </c>
      <c r="AW245" s="90" t="str">
        <f aca="false">IF(AT245="","",ROUND(AT245*(1-Справочники!$B$16),0))</f>
        <v/>
      </c>
      <c r="AX245" s="90" t="str">
        <f aca="false">IF(AT245="","",ROUND(AT245*(1-Справочники!$B$17),0))</f>
        <v/>
      </c>
      <c r="AY245" s="90" t="str">
        <f aca="false">IF(AT245="","",ROUND(AT245*(1-Справочники!$B$18),0))</f>
        <v/>
      </c>
      <c r="AZ245" s="90" t="str">
        <f aca="false">IF(AT245="","",ROUND(AT245*(1-Справочники!$B$19),0))</f>
        <v/>
      </c>
      <c r="BA245" s="81"/>
      <c r="BB245" s="81"/>
      <c r="BC245" s="81"/>
      <c r="BD245" s="81"/>
      <c r="BE245" s="91"/>
      <c r="BF245" s="81" t="s">
        <v>103</v>
      </c>
      <c r="BG245" s="89" t="n">
        <f aca="false" t="array" ref="BG245:BG245">IF(BF245="","",IFERROR(INDEX(Справочники!$B$4:$B$7,MATCH(BF245,Справочники!$A$4:$A$7,0)),""))</f>
        <v>68.5</v>
      </c>
      <c r="BH245" s="90" t="str">
        <f aca="false">IF(N(BN245)&gt;0,ROUND(SUMIF(ЗАКАЗЫ!$F$3:$F$500,$A245,ЗАКАЗЫ!$Y$3:$Y$500)/BN245,0),IF(OR(BE245="",BG245=""),"",ROUND(BE245*BG245*(1+Справочники!$B$10),0)))</f>
        <v/>
      </c>
      <c r="BI245" s="92" t="str">
        <f aca="false">IF(OR(AU245="",BH245="",AU245=0),"",(AU245-BH245)/AU245)</f>
        <v/>
      </c>
      <c r="BJ245" s="81"/>
      <c r="BK245" s="83"/>
      <c r="BL245" s="43" t="str">
        <f aca="false">IFERROR(INDEX(ЗАКАЗЫ!$N$3:$N$500,MATCH($A245,ЗАКАЗЫ!$F$3:$F$500,0)),"")</f>
        <v/>
      </c>
      <c r="BM245" s="8" t="str">
        <f aca="false">IF(BL245="","",IFERROR(VLOOKUP(BL245,'ТН ВЭД'!$A$4:$C$40,3,0),""))</f>
        <v/>
      </c>
      <c r="BN245" s="7" t="str">
        <f aca="false">IF(COUNTIF(ЗАКАЗЫ!$F$3:$F$500,$A245)=0,"",SUMIF(ЗАКАЗЫ!$F$3:$F$500,$A245,ЗАКАЗЫ!$J$3:$J$500))</f>
        <v/>
      </c>
      <c r="BO245" s="7" t="str">
        <f aca="false">IF(BN245="","",SUMIF(ЗАКАЗЫ!$F$3:$F$500,$A245,ЗАКАЗЫ!$AL$3:$AL$500))</f>
        <v/>
      </c>
      <c r="BP245" s="7" t="str">
        <f aca="false">IF(BN245="","",BN245-BO245)</f>
        <v/>
      </c>
      <c r="BQ245" s="55" t="str">
        <f aca="false">IF(BN245="","",IF(BO245&gt;=BN245,"На складе",IF(BO245&gt;0,"Частично","Ждём")))</f>
        <v/>
      </c>
      <c r="BR245" s="43"/>
      <c r="BS245" s="47" t="str">
        <f aca="false">IF(BN245="","",IF(_xlfn.MAXIFS(ЗАКАЗЫ!$AK$3:$AK$500,ЗАКАЗЫ!$F$3:$F$500,$A245)=0,"",_xlfn.MAXIFS(ЗАКАЗЫ!$AK$3:$AK$500,ЗАКАЗЫ!$F$3:$F$500,$A245)))</f>
        <v/>
      </c>
    </row>
    <row r="246" customFormat="false" ht="15.75" hidden="false" customHeight="true" outlineLevel="0" collapsed="false">
      <c r="A246" s="80" t="s">
        <v>1447</v>
      </c>
      <c r="B246" s="81"/>
      <c r="C246" s="81"/>
      <c r="D246" s="81"/>
      <c r="E246" s="83"/>
      <c r="F246" s="81"/>
      <c r="G246" s="83"/>
      <c r="H246" s="83"/>
      <c r="I246" s="84" t="str">
        <f aca="false">IF(E246="","",A246&amp;"_1.jpg")</f>
        <v/>
      </c>
      <c r="J246" s="84" t="str">
        <f aca="false">IF(E246="","",A246&amp;"_2.jpg; "&amp;A246&amp;"_3.jpg")</f>
        <v/>
      </c>
      <c r="K246" s="84" t="str">
        <f aca="false">IF(E246="","",A246&amp;"_schema.jpg")</f>
        <v/>
      </c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 t="s">
        <v>96</v>
      </c>
      <c r="W246" s="81"/>
      <c r="X246" s="81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6" t="str">
        <f aca="false">IF(SUM(Y246:AJ246)=0,"",SUM(Y246:AJ246))</f>
        <v/>
      </c>
      <c r="AL246" s="84" t="str">
        <f aca="false">MID(IF(N(Y246)&gt;0,", "&amp;Y$2,"")&amp;IF(N(Z246)&gt;0,", "&amp;Z$2,"")&amp;IF(N(AA246)&gt;0,", "&amp;AA$2,"")&amp;IF(N(AB246)&gt;0,", "&amp;AB$2,"")&amp;IF(N(AC246)&gt;0,", "&amp;AC$2,"")&amp;IF(N(AD246)&gt;0,", "&amp;AD$2,"")&amp;IF(N(AE246)&gt;0,", "&amp;AE$2,"")&amp;IF(N(AF246)&gt;0,", "&amp;AF$2,"")&amp;IF(N(AG246)&gt;0,", "&amp;AG$2,"")&amp;IF(N(AH246)&gt;0,", "&amp;AH$2,"")&amp;IF(N(AI246)&gt;0,", "&amp;AI$2,"")&amp;IF(N(AJ246)&gt;0,", "&amp;AJ$2,""),3,999)</f>
        <v/>
      </c>
      <c r="AM246" s="87" t="str">
        <f aca="false">IF(E246="","",MID(IF(N(Y246)&gt;0,", "&amp;A246&amp;"-"&amp;Y$2,"")&amp;IF(N(Z246)&gt;0,", "&amp;A246&amp;"-"&amp;Z$2,"")&amp;IF(N(AA246)&gt;0,", "&amp;A246&amp;"-"&amp;AA$2,"")&amp;IF(N(AB246)&gt;0,", "&amp;A246&amp;"-"&amp;AB$2,"")&amp;IF(N(AC246)&gt;0,", "&amp;A246&amp;"-"&amp;AC$2,"")&amp;IF(N(AD246)&gt;0,", "&amp;A246&amp;"-"&amp;AD$2,"")&amp;IF(N(AE246)&gt;0,", "&amp;A246&amp;"-"&amp;AE$2,"")&amp;IF(N(AF246)&gt;0,", "&amp;A246&amp;"-"&amp;AF$2,"")&amp;IF(N(AG246)&gt;0,", "&amp;A246&amp;"-"&amp;AG$2,"")&amp;IF(N(AH246)&gt;0,", "&amp;A246&amp;"-"&amp;AH$2,"")&amp;IF(N(AI246)&gt;0,", "&amp;A246&amp;"-"&amp;AI$2,"")&amp;IF(N(AJ246)&gt;0,", "&amp;A246&amp;"-"&amp;AJ$2,""),3,999))</f>
        <v/>
      </c>
      <c r="AN246" s="81"/>
      <c r="AO246" s="88"/>
      <c r="AP246" s="89" t="str">
        <f aca="false">IF(AO246="","",ROUND(AO246/(1+Справочники!$B$13),2))</f>
        <v/>
      </c>
      <c r="AQ246" s="90" t="str">
        <f aca="false" t="array" ref="AQ246:AQ246">IF(AP246="","",AP246*INDEX(Справочники!$B$4:$B$7,MATCH("RUB",Справочники!$A$4:$A$7,0)))</f>
        <v/>
      </c>
      <c r="AR246" s="90" t="str">
        <f aca="false">IF(AQ246="","",ROUND(AQ246*(1+Справочники!$B$12),0))</f>
        <v/>
      </c>
      <c r="AS246" s="90" t="str">
        <f aca="false">IF(AR246="","",ROUND(AR246*(1-Справочники!$B$11),0))</f>
        <v/>
      </c>
      <c r="AT246" s="88"/>
      <c r="AU246" s="90" t="str">
        <f aca="false">IF(AT246="","",ROUND(AT246/(1+Справочники!$B$12),0))</f>
        <v/>
      </c>
      <c r="AV246" s="90" t="str">
        <f aca="false">IF(AT246="","",ROUND(AT246*(1-Справочники!$B$15),0))</f>
        <v/>
      </c>
      <c r="AW246" s="90" t="str">
        <f aca="false">IF(AT246="","",ROUND(AT246*(1-Справочники!$B$16),0))</f>
        <v/>
      </c>
      <c r="AX246" s="90" t="str">
        <f aca="false">IF(AT246="","",ROUND(AT246*(1-Справочники!$B$17),0))</f>
        <v/>
      </c>
      <c r="AY246" s="90" t="str">
        <f aca="false">IF(AT246="","",ROUND(AT246*(1-Справочники!$B$18),0))</f>
        <v/>
      </c>
      <c r="AZ246" s="90" t="str">
        <f aca="false">IF(AT246="","",ROUND(AT246*(1-Справочники!$B$19),0))</f>
        <v/>
      </c>
      <c r="BA246" s="81"/>
      <c r="BB246" s="81"/>
      <c r="BC246" s="81"/>
      <c r="BD246" s="81"/>
      <c r="BE246" s="91"/>
      <c r="BF246" s="81" t="s">
        <v>103</v>
      </c>
      <c r="BG246" s="89" t="n">
        <f aca="false" t="array" ref="BG246:BG246">IF(BF246="","",IFERROR(INDEX(Справочники!$B$4:$B$7,MATCH(BF246,Справочники!$A$4:$A$7,0)),""))</f>
        <v>68.5</v>
      </c>
      <c r="BH246" s="90" t="str">
        <f aca="false">IF(N(BN246)&gt;0,ROUND(SUMIF(ЗАКАЗЫ!$F$3:$F$500,$A246,ЗАКАЗЫ!$Y$3:$Y$500)/BN246,0),IF(OR(BE246="",BG246=""),"",ROUND(BE246*BG246*(1+Справочники!$B$10),0)))</f>
        <v/>
      </c>
      <c r="BI246" s="92" t="str">
        <f aca="false">IF(OR(AU246="",BH246="",AU246=0),"",(AU246-BH246)/AU246)</f>
        <v/>
      </c>
      <c r="BJ246" s="81"/>
      <c r="BK246" s="83"/>
      <c r="BL246" s="43" t="str">
        <f aca="false">IFERROR(INDEX(ЗАКАЗЫ!$N$3:$N$500,MATCH($A246,ЗАКАЗЫ!$F$3:$F$500,0)),"")</f>
        <v/>
      </c>
      <c r="BM246" s="8" t="str">
        <f aca="false">IF(BL246="","",IFERROR(VLOOKUP(BL246,'ТН ВЭД'!$A$4:$C$40,3,0),""))</f>
        <v/>
      </c>
      <c r="BN246" s="7" t="str">
        <f aca="false">IF(COUNTIF(ЗАКАЗЫ!$F$3:$F$500,$A246)=0,"",SUMIF(ЗАКАЗЫ!$F$3:$F$500,$A246,ЗАКАЗЫ!$J$3:$J$500))</f>
        <v/>
      </c>
      <c r="BO246" s="7" t="str">
        <f aca="false">IF(BN246="","",SUMIF(ЗАКАЗЫ!$F$3:$F$500,$A246,ЗАКАЗЫ!$AL$3:$AL$500))</f>
        <v/>
      </c>
      <c r="BP246" s="7" t="str">
        <f aca="false">IF(BN246="","",BN246-BO246)</f>
        <v/>
      </c>
      <c r="BQ246" s="55" t="str">
        <f aca="false">IF(BN246="","",IF(BO246&gt;=BN246,"На складе",IF(BO246&gt;0,"Частично","Ждём")))</f>
        <v/>
      </c>
      <c r="BR246" s="43"/>
      <c r="BS246" s="47" t="str">
        <f aca="false">IF(BN246="","",IF(_xlfn.MAXIFS(ЗАКАЗЫ!$AK$3:$AK$500,ЗАКАЗЫ!$F$3:$F$500,$A246)=0,"",_xlfn.MAXIFS(ЗАКАЗЫ!$AK$3:$AK$500,ЗАКАЗЫ!$F$3:$F$500,$A246)))</f>
        <v/>
      </c>
    </row>
    <row r="247" customFormat="false" ht="15.75" hidden="false" customHeight="true" outlineLevel="0" collapsed="false">
      <c r="A247" s="80" t="s">
        <v>1448</v>
      </c>
      <c r="B247" s="81"/>
      <c r="C247" s="81"/>
      <c r="D247" s="81"/>
      <c r="E247" s="83"/>
      <c r="F247" s="81"/>
      <c r="G247" s="83"/>
      <c r="H247" s="83"/>
      <c r="I247" s="84" t="str">
        <f aca="false">IF(E247="","",A247&amp;"_1.jpg")</f>
        <v/>
      </c>
      <c r="J247" s="84" t="str">
        <f aca="false">IF(E247="","",A247&amp;"_2.jpg; "&amp;A247&amp;"_3.jpg")</f>
        <v/>
      </c>
      <c r="K247" s="84" t="str">
        <f aca="false">IF(E247="","",A247&amp;"_schema.jpg")</f>
        <v/>
      </c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 t="s">
        <v>96</v>
      </c>
      <c r="W247" s="81"/>
      <c r="X247" s="81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6" t="str">
        <f aca="false">IF(SUM(Y247:AJ247)=0,"",SUM(Y247:AJ247))</f>
        <v/>
      </c>
      <c r="AL247" s="84" t="str">
        <f aca="false">MID(IF(N(Y247)&gt;0,", "&amp;Y$2,"")&amp;IF(N(Z247)&gt;0,", "&amp;Z$2,"")&amp;IF(N(AA247)&gt;0,", "&amp;AA$2,"")&amp;IF(N(AB247)&gt;0,", "&amp;AB$2,"")&amp;IF(N(AC247)&gt;0,", "&amp;AC$2,"")&amp;IF(N(AD247)&gt;0,", "&amp;AD$2,"")&amp;IF(N(AE247)&gt;0,", "&amp;AE$2,"")&amp;IF(N(AF247)&gt;0,", "&amp;AF$2,"")&amp;IF(N(AG247)&gt;0,", "&amp;AG$2,"")&amp;IF(N(AH247)&gt;0,", "&amp;AH$2,"")&amp;IF(N(AI247)&gt;0,", "&amp;AI$2,"")&amp;IF(N(AJ247)&gt;0,", "&amp;AJ$2,""),3,999)</f>
        <v/>
      </c>
      <c r="AM247" s="87" t="str">
        <f aca="false">IF(E247="","",MID(IF(N(Y247)&gt;0,", "&amp;A247&amp;"-"&amp;Y$2,"")&amp;IF(N(Z247)&gt;0,", "&amp;A247&amp;"-"&amp;Z$2,"")&amp;IF(N(AA247)&gt;0,", "&amp;A247&amp;"-"&amp;AA$2,"")&amp;IF(N(AB247)&gt;0,", "&amp;A247&amp;"-"&amp;AB$2,"")&amp;IF(N(AC247)&gt;0,", "&amp;A247&amp;"-"&amp;AC$2,"")&amp;IF(N(AD247)&gt;0,", "&amp;A247&amp;"-"&amp;AD$2,"")&amp;IF(N(AE247)&gt;0,", "&amp;A247&amp;"-"&amp;AE$2,"")&amp;IF(N(AF247)&gt;0,", "&amp;A247&amp;"-"&amp;AF$2,"")&amp;IF(N(AG247)&gt;0,", "&amp;A247&amp;"-"&amp;AG$2,"")&amp;IF(N(AH247)&gt;0,", "&amp;A247&amp;"-"&amp;AH$2,"")&amp;IF(N(AI247)&gt;0,", "&amp;A247&amp;"-"&amp;AI$2,"")&amp;IF(N(AJ247)&gt;0,", "&amp;A247&amp;"-"&amp;AJ$2,""),3,999))</f>
        <v/>
      </c>
      <c r="AN247" s="81"/>
      <c r="AO247" s="88"/>
      <c r="AP247" s="89" t="str">
        <f aca="false">IF(AO247="","",ROUND(AO247/(1+Справочники!$B$13),2))</f>
        <v/>
      </c>
      <c r="AQ247" s="90" t="str">
        <f aca="false" t="array" ref="AQ247:AQ247">IF(AP247="","",AP247*INDEX(Справочники!$B$4:$B$7,MATCH("RUB",Справочники!$A$4:$A$7,0)))</f>
        <v/>
      </c>
      <c r="AR247" s="90" t="str">
        <f aca="false">IF(AQ247="","",ROUND(AQ247*(1+Справочники!$B$12),0))</f>
        <v/>
      </c>
      <c r="AS247" s="90" t="str">
        <f aca="false">IF(AR247="","",ROUND(AR247*(1-Справочники!$B$11),0))</f>
        <v/>
      </c>
      <c r="AT247" s="88"/>
      <c r="AU247" s="90" t="str">
        <f aca="false">IF(AT247="","",ROUND(AT247/(1+Справочники!$B$12),0))</f>
        <v/>
      </c>
      <c r="AV247" s="90" t="str">
        <f aca="false">IF(AT247="","",ROUND(AT247*(1-Справочники!$B$15),0))</f>
        <v/>
      </c>
      <c r="AW247" s="90" t="str">
        <f aca="false">IF(AT247="","",ROUND(AT247*(1-Справочники!$B$16),0))</f>
        <v/>
      </c>
      <c r="AX247" s="90" t="str">
        <f aca="false">IF(AT247="","",ROUND(AT247*(1-Справочники!$B$17),0))</f>
        <v/>
      </c>
      <c r="AY247" s="90" t="str">
        <f aca="false">IF(AT247="","",ROUND(AT247*(1-Справочники!$B$18),0))</f>
        <v/>
      </c>
      <c r="AZ247" s="90" t="str">
        <f aca="false">IF(AT247="","",ROUND(AT247*(1-Справочники!$B$19),0))</f>
        <v/>
      </c>
      <c r="BA247" s="81"/>
      <c r="BB247" s="81"/>
      <c r="BC247" s="81"/>
      <c r="BD247" s="81"/>
      <c r="BE247" s="91"/>
      <c r="BF247" s="81" t="s">
        <v>103</v>
      </c>
      <c r="BG247" s="89" t="n">
        <f aca="false" t="array" ref="BG247:BG247">IF(BF247="","",IFERROR(INDEX(Справочники!$B$4:$B$7,MATCH(BF247,Справочники!$A$4:$A$7,0)),""))</f>
        <v>68.5</v>
      </c>
      <c r="BH247" s="90" t="str">
        <f aca="false">IF(N(BN247)&gt;0,ROUND(SUMIF(ЗАКАЗЫ!$F$3:$F$500,$A247,ЗАКАЗЫ!$Y$3:$Y$500)/BN247,0),IF(OR(BE247="",BG247=""),"",ROUND(BE247*BG247*(1+Справочники!$B$10),0)))</f>
        <v/>
      </c>
      <c r="BI247" s="92" t="str">
        <f aca="false">IF(OR(AU247="",BH247="",AU247=0),"",(AU247-BH247)/AU247)</f>
        <v/>
      </c>
      <c r="BJ247" s="81"/>
      <c r="BK247" s="83"/>
      <c r="BL247" s="43" t="str">
        <f aca="false">IFERROR(INDEX(ЗАКАЗЫ!$N$3:$N$500,MATCH($A247,ЗАКАЗЫ!$F$3:$F$500,0)),"")</f>
        <v/>
      </c>
      <c r="BM247" s="8" t="str">
        <f aca="false">IF(BL247="","",IFERROR(VLOOKUP(BL247,'ТН ВЭД'!$A$4:$C$40,3,0),""))</f>
        <v/>
      </c>
      <c r="BN247" s="7" t="str">
        <f aca="false">IF(COUNTIF(ЗАКАЗЫ!$F$3:$F$500,$A247)=0,"",SUMIF(ЗАКАЗЫ!$F$3:$F$500,$A247,ЗАКАЗЫ!$J$3:$J$500))</f>
        <v/>
      </c>
      <c r="BO247" s="7" t="str">
        <f aca="false">IF(BN247="","",SUMIF(ЗАКАЗЫ!$F$3:$F$500,$A247,ЗАКАЗЫ!$AL$3:$AL$500))</f>
        <v/>
      </c>
      <c r="BP247" s="7" t="str">
        <f aca="false">IF(BN247="","",BN247-BO247)</f>
        <v/>
      </c>
      <c r="BQ247" s="55" t="str">
        <f aca="false">IF(BN247="","",IF(BO247&gt;=BN247,"На складе",IF(BO247&gt;0,"Частично","Ждём")))</f>
        <v/>
      </c>
      <c r="BR247" s="43"/>
      <c r="BS247" s="47" t="str">
        <f aca="false">IF(BN247="","",IF(_xlfn.MAXIFS(ЗАКАЗЫ!$AK$3:$AK$500,ЗАКАЗЫ!$F$3:$F$500,$A247)=0,"",_xlfn.MAXIFS(ЗАКАЗЫ!$AK$3:$AK$500,ЗАКАЗЫ!$F$3:$F$500,$A247)))</f>
        <v/>
      </c>
    </row>
    <row r="248" customFormat="false" ht="15.75" hidden="false" customHeight="true" outlineLevel="0" collapsed="false">
      <c r="A248" s="80" t="s">
        <v>1449</v>
      </c>
      <c r="B248" s="81"/>
      <c r="C248" s="81"/>
      <c r="D248" s="81"/>
      <c r="E248" s="83"/>
      <c r="F248" s="81"/>
      <c r="G248" s="83"/>
      <c r="H248" s="83"/>
      <c r="I248" s="84" t="str">
        <f aca="false">IF(E248="","",A248&amp;"_1.jpg")</f>
        <v/>
      </c>
      <c r="J248" s="84" t="str">
        <f aca="false">IF(E248="","",A248&amp;"_2.jpg; "&amp;A248&amp;"_3.jpg")</f>
        <v/>
      </c>
      <c r="K248" s="84" t="str">
        <f aca="false">IF(E248="","",A248&amp;"_schema.jpg")</f>
        <v/>
      </c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 t="s">
        <v>96</v>
      </c>
      <c r="W248" s="81"/>
      <c r="X248" s="81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6" t="str">
        <f aca="false">IF(SUM(Y248:AJ248)=0,"",SUM(Y248:AJ248))</f>
        <v/>
      </c>
      <c r="AL248" s="84" t="str">
        <f aca="false">MID(IF(N(Y248)&gt;0,", "&amp;Y$2,"")&amp;IF(N(Z248)&gt;0,", "&amp;Z$2,"")&amp;IF(N(AA248)&gt;0,", "&amp;AA$2,"")&amp;IF(N(AB248)&gt;0,", "&amp;AB$2,"")&amp;IF(N(AC248)&gt;0,", "&amp;AC$2,"")&amp;IF(N(AD248)&gt;0,", "&amp;AD$2,"")&amp;IF(N(AE248)&gt;0,", "&amp;AE$2,"")&amp;IF(N(AF248)&gt;0,", "&amp;AF$2,"")&amp;IF(N(AG248)&gt;0,", "&amp;AG$2,"")&amp;IF(N(AH248)&gt;0,", "&amp;AH$2,"")&amp;IF(N(AI248)&gt;0,", "&amp;AI$2,"")&amp;IF(N(AJ248)&gt;0,", "&amp;AJ$2,""),3,999)</f>
        <v/>
      </c>
      <c r="AM248" s="87" t="str">
        <f aca="false">IF(E248="","",MID(IF(N(Y248)&gt;0,", "&amp;A248&amp;"-"&amp;Y$2,"")&amp;IF(N(Z248)&gt;0,", "&amp;A248&amp;"-"&amp;Z$2,"")&amp;IF(N(AA248)&gt;0,", "&amp;A248&amp;"-"&amp;AA$2,"")&amp;IF(N(AB248)&gt;0,", "&amp;A248&amp;"-"&amp;AB$2,"")&amp;IF(N(AC248)&gt;0,", "&amp;A248&amp;"-"&amp;AC$2,"")&amp;IF(N(AD248)&gt;0,", "&amp;A248&amp;"-"&amp;AD$2,"")&amp;IF(N(AE248)&gt;0,", "&amp;A248&amp;"-"&amp;AE$2,"")&amp;IF(N(AF248)&gt;0,", "&amp;A248&amp;"-"&amp;AF$2,"")&amp;IF(N(AG248)&gt;0,", "&amp;A248&amp;"-"&amp;AG$2,"")&amp;IF(N(AH248)&gt;0,", "&amp;A248&amp;"-"&amp;AH$2,"")&amp;IF(N(AI248)&gt;0,", "&amp;A248&amp;"-"&amp;AI$2,"")&amp;IF(N(AJ248)&gt;0,", "&amp;A248&amp;"-"&amp;AJ$2,""),3,999))</f>
        <v/>
      </c>
      <c r="AN248" s="81"/>
      <c r="AO248" s="88"/>
      <c r="AP248" s="89" t="str">
        <f aca="false">IF(AO248="","",ROUND(AO248/(1+Справочники!$B$13),2))</f>
        <v/>
      </c>
      <c r="AQ248" s="90" t="str">
        <f aca="false" t="array" ref="AQ248:AQ248">IF(AP248="","",AP248*INDEX(Справочники!$B$4:$B$7,MATCH("RUB",Справочники!$A$4:$A$7,0)))</f>
        <v/>
      </c>
      <c r="AR248" s="90" t="str">
        <f aca="false">IF(AQ248="","",ROUND(AQ248*(1+Справочники!$B$12),0))</f>
        <v/>
      </c>
      <c r="AS248" s="90" t="str">
        <f aca="false">IF(AR248="","",ROUND(AR248*(1-Справочники!$B$11),0))</f>
        <v/>
      </c>
      <c r="AT248" s="88"/>
      <c r="AU248" s="90" t="str">
        <f aca="false">IF(AT248="","",ROUND(AT248/(1+Справочники!$B$12),0))</f>
        <v/>
      </c>
      <c r="AV248" s="90" t="str">
        <f aca="false">IF(AT248="","",ROUND(AT248*(1-Справочники!$B$15),0))</f>
        <v/>
      </c>
      <c r="AW248" s="90" t="str">
        <f aca="false">IF(AT248="","",ROUND(AT248*(1-Справочники!$B$16),0))</f>
        <v/>
      </c>
      <c r="AX248" s="90" t="str">
        <f aca="false">IF(AT248="","",ROUND(AT248*(1-Справочники!$B$17),0))</f>
        <v/>
      </c>
      <c r="AY248" s="90" t="str">
        <f aca="false">IF(AT248="","",ROUND(AT248*(1-Справочники!$B$18),0))</f>
        <v/>
      </c>
      <c r="AZ248" s="90" t="str">
        <f aca="false">IF(AT248="","",ROUND(AT248*(1-Справочники!$B$19),0))</f>
        <v/>
      </c>
      <c r="BA248" s="81"/>
      <c r="BB248" s="81"/>
      <c r="BC248" s="81"/>
      <c r="BD248" s="81"/>
      <c r="BE248" s="91"/>
      <c r="BF248" s="81" t="s">
        <v>103</v>
      </c>
      <c r="BG248" s="89" t="n">
        <f aca="false" t="array" ref="BG248:BG248">IF(BF248="","",IFERROR(INDEX(Справочники!$B$4:$B$7,MATCH(BF248,Справочники!$A$4:$A$7,0)),""))</f>
        <v>68.5</v>
      </c>
      <c r="BH248" s="90" t="str">
        <f aca="false">IF(N(BN248)&gt;0,ROUND(SUMIF(ЗАКАЗЫ!$F$3:$F$500,$A248,ЗАКАЗЫ!$Y$3:$Y$500)/BN248,0),IF(OR(BE248="",BG248=""),"",ROUND(BE248*BG248*(1+Справочники!$B$10),0)))</f>
        <v/>
      </c>
      <c r="BI248" s="92" t="str">
        <f aca="false">IF(OR(AU248="",BH248="",AU248=0),"",(AU248-BH248)/AU248)</f>
        <v/>
      </c>
      <c r="BJ248" s="81"/>
      <c r="BK248" s="83"/>
      <c r="BL248" s="43" t="str">
        <f aca="false">IFERROR(INDEX(ЗАКАЗЫ!$N$3:$N$500,MATCH($A248,ЗАКАЗЫ!$F$3:$F$500,0)),"")</f>
        <v/>
      </c>
      <c r="BM248" s="8" t="str">
        <f aca="false">IF(BL248="","",IFERROR(VLOOKUP(BL248,'ТН ВЭД'!$A$4:$C$40,3,0),""))</f>
        <v/>
      </c>
      <c r="BN248" s="7" t="str">
        <f aca="false">IF(COUNTIF(ЗАКАЗЫ!$F$3:$F$500,$A248)=0,"",SUMIF(ЗАКАЗЫ!$F$3:$F$500,$A248,ЗАКАЗЫ!$J$3:$J$500))</f>
        <v/>
      </c>
      <c r="BO248" s="7" t="str">
        <f aca="false">IF(BN248="","",SUMIF(ЗАКАЗЫ!$F$3:$F$500,$A248,ЗАКАЗЫ!$AL$3:$AL$500))</f>
        <v/>
      </c>
      <c r="BP248" s="7" t="str">
        <f aca="false">IF(BN248="","",BN248-BO248)</f>
        <v/>
      </c>
      <c r="BQ248" s="55" t="str">
        <f aca="false">IF(BN248="","",IF(BO248&gt;=BN248,"На складе",IF(BO248&gt;0,"Частично","Ждём")))</f>
        <v/>
      </c>
      <c r="BR248" s="43"/>
      <c r="BS248" s="47" t="str">
        <f aca="false">IF(BN248="","",IF(_xlfn.MAXIFS(ЗАКАЗЫ!$AK$3:$AK$500,ЗАКАЗЫ!$F$3:$F$500,$A248)=0,"",_xlfn.MAXIFS(ЗАКАЗЫ!$AK$3:$AK$500,ЗАКАЗЫ!$F$3:$F$500,$A248)))</f>
        <v/>
      </c>
    </row>
    <row r="249" customFormat="false" ht="15.75" hidden="false" customHeight="true" outlineLevel="0" collapsed="false">
      <c r="A249" s="80" t="s">
        <v>1450</v>
      </c>
      <c r="B249" s="81"/>
      <c r="C249" s="81"/>
      <c r="D249" s="81"/>
      <c r="E249" s="83"/>
      <c r="F249" s="81"/>
      <c r="G249" s="83"/>
      <c r="H249" s="83"/>
      <c r="I249" s="84" t="str">
        <f aca="false">IF(E249="","",A249&amp;"_1.jpg")</f>
        <v/>
      </c>
      <c r="J249" s="84" t="str">
        <f aca="false">IF(E249="","",A249&amp;"_2.jpg; "&amp;A249&amp;"_3.jpg")</f>
        <v/>
      </c>
      <c r="K249" s="84" t="str">
        <f aca="false">IF(E249="","",A249&amp;"_schema.jpg")</f>
        <v/>
      </c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 t="s">
        <v>96</v>
      </c>
      <c r="W249" s="81"/>
      <c r="X249" s="81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6" t="str">
        <f aca="false">IF(SUM(Y249:AJ249)=0,"",SUM(Y249:AJ249))</f>
        <v/>
      </c>
      <c r="AL249" s="84" t="str">
        <f aca="false">MID(IF(N(Y249)&gt;0,", "&amp;Y$2,"")&amp;IF(N(Z249)&gt;0,", "&amp;Z$2,"")&amp;IF(N(AA249)&gt;0,", "&amp;AA$2,"")&amp;IF(N(AB249)&gt;0,", "&amp;AB$2,"")&amp;IF(N(AC249)&gt;0,", "&amp;AC$2,"")&amp;IF(N(AD249)&gt;0,", "&amp;AD$2,"")&amp;IF(N(AE249)&gt;0,", "&amp;AE$2,"")&amp;IF(N(AF249)&gt;0,", "&amp;AF$2,"")&amp;IF(N(AG249)&gt;0,", "&amp;AG$2,"")&amp;IF(N(AH249)&gt;0,", "&amp;AH$2,"")&amp;IF(N(AI249)&gt;0,", "&amp;AI$2,"")&amp;IF(N(AJ249)&gt;0,", "&amp;AJ$2,""),3,999)</f>
        <v/>
      </c>
      <c r="AM249" s="87" t="str">
        <f aca="false">IF(E249="","",MID(IF(N(Y249)&gt;0,", "&amp;A249&amp;"-"&amp;Y$2,"")&amp;IF(N(Z249)&gt;0,", "&amp;A249&amp;"-"&amp;Z$2,"")&amp;IF(N(AA249)&gt;0,", "&amp;A249&amp;"-"&amp;AA$2,"")&amp;IF(N(AB249)&gt;0,", "&amp;A249&amp;"-"&amp;AB$2,"")&amp;IF(N(AC249)&gt;0,", "&amp;A249&amp;"-"&amp;AC$2,"")&amp;IF(N(AD249)&gt;0,", "&amp;A249&amp;"-"&amp;AD$2,"")&amp;IF(N(AE249)&gt;0,", "&amp;A249&amp;"-"&amp;AE$2,"")&amp;IF(N(AF249)&gt;0,", "&amp;A249&amp;"-"&amp;AF$2,"")&amp;IF(N(AG249)&gt;0,", "&amp;A249&amp;"-"&amp;AG$2,"")&amp;IF(N(AH249)&gt;0,", "&amp;A249&amp;"-"&amp;AH$2,"")&amp;IF(N(AI249)&gt;0,", "&amp;A249&amp;"-"&amp;AI$2,"")&amp;IF(N(AJ249)&gt;0,", "&amp;A249&amp;"-"&amp;AJ$2,""),3,999))</f>
        <v/>
      </c>
      <c r="AN249" s="81"/>
      <c r="AO249" s="88"/>
      <c r="AP249" s="89" t="str">
        <f aca="false">IF(AO249="","",ROUND(AO249/(1+Справочники!$B$13),2))</f>
        <v/>
      </c>
      <c r="AQ249" s="90" t="str">
        <f aca="false" t="array" ref="AQ249:AQ249">IF(AP249="","",AP249*INDEX(Справочники!$B$4:$B$7,MATCH("RUB",Справочники!$A$4:$A$7,0)))</f>
        <v/>
      </c>
      <c r="AR249" s="90" t="str">
        <f aca="false">IF(AQ249="","",ROUND(AQ249*(1+Справочники!$B$12),0))</f>
        <v/>
      </c>
      <c r="AS249" s="90" t="str">
        <f aca="false">IF(AR249="","",ROUND(AR249*(1-Справочники!$B$11),0))</f>
        <v/>
      </c>
      <c r="AT249" s="88"/>
      <c r="AU249" s="90" t="str">
        <f aca="false">IF(AT249="","",ROUND(AT249/(1+Справочники!$B$12),0))</f>
        <v/>
      </c>
      <c r="AV249" s="90" t="str">
        <f aca="false">IF(AT249="","",ROUND(AT249*(1-Справочники!$B$15),0))</f>
        <v/>
      </c>
      <c r="AW249" s="90" t="str">
        <f aca="false">IF(AT249="","",ROUND(AT249*(1-Справочники!$B$16),0))</f>
        <v/>
      </c>
      <c r="AX249" s="90" t="str">
        <f aca="false">IF(AT249="","",ROUND(AT249*(1-Справочники!$B$17),0))</f>
        <v/>
      </c>
      <c r="AY249" s="90" t="str">
        <f aca="false">IF(AT249="","",ROUND(AT249*(1-Справочники!$B$18),0))</f>
        <v/>
      </c>
      <c r="AZ249" s="90" t="str">
        <f aca="false">IF(AT249="","",ROUND(AT249*(1-Справочники!$B$19),0))</f>
        <v/>
      </c>
      <c r="BA249" s="81"/>
      <c r="BB249" s="81"/>
      <c r="BC249" s="81"/>
      <c r="BD249" s="81"/>
      <c r="BE249" s="91"/>
      <c r="BF249" s="81" t="s">
        <v>103</v>
      </c>
      <c r="BG249" s="89" t="n">
        <f aca="false" t="array" ref="BG249:BG249">IF(BF249="","",IFERROR(INDEX(Справочники!$B$4:$B$7,MATCH(BF249,Справочники!$A$4:$A$7,0)),""))</f>
        <v>68.5</v>
      </c>
      <c r="BH249" s="90" t="str">
        <f aca="false">IF(N(BN249)&gt;0,ROUND(SUMIF(ЗАКАЗЫ!$F$3:$F$500,$A249,ЗАКАЗЫ!$Y$3:$Y$500)/BN249,0),IF(OR(BE249="",BG249=""),"",ROUND(BE249*BG249*(1+Справочники!$B$10),0)))</f>
        <v/>
      </c>
      <c r="BI249" s="92" t="str">
        <f aca="false">IF(OR(AU249="",BH249="",AU249=0),"",(AU249-BH249)/AU249)</f>
        <v/>
      </c>
      <c r="BJ249" s="81"/>
      <c r="BK249" s="83"/>
      <c r="BL249" s="43" t="str">
        <f aca="false">IFERROR(INDEX(ЗАКАЗЫ!$N$3:$N$500,MATCH($A249,ЗАКАЗЫ!$F$3:$F$500,0)),"")</f>
        <v/>
      </c>
      <c r="BM249" s="8" t="str">
        <f aca="false">IF(BL249="","",IFERROR(VLOOKUP(BL249,'ТН ВЭД'!$A$4:$C$40,3,0),""))</f>
        <v/>
      </c>
      <c r="BN249" s="7" t="str">
        <f aca="false">IF(COUNTIF(ЗАКАЗЫ!$F$3:$F$500,$A249)=0,"",SUMIF(ЗАКАЗЫ!$F$3:$F$500,$A249,ЗАКАЗЫ!$J$3:$J$500))</f>
        <v/>
      </c>
      <c r="BO249" s="7" t="str">
        <f aca="false">IF(BN249="","",SUMIF(ЗАКАЗЫ!$F$3:$F$500,$A249,ЗАКАЗЫ!$AL$3:$AL$500))</f>
        <v/>
      </c>
      <c r="BP249" s="7" t="str">
        <f aca="false">IF(BN249="","",BN249-BO249)</f>
        <v/>
      </c>
      <c r="BQ249" s="55" t="str">
        <f aca="false">IF(BN249="","",IF(BO249&gt;=BN249,"На складе",IF(BO249&gt;0,"Частично","Ждём")))</f>
        <v/>
      </c>
      <c r="BR249" s="43"/>
      <c r="BS249" s="47" t="str">
        <f aca="false">IF(BN249="","",IF(_xlfn.MAXIFS(ЗАКАЗЫ!$AK$3:$AK$500,ЗАКАЗЫ!$F$3:$F$500,$A249)=0,"",_xlfn.MAXIFS(ЗАКАЗЫ!$AK$3:$AK$500,ЗАКАЗЫ!$F$3:$F$500,$A249)))</f>
        <v/>
      </c>
    </row>
    <row r="250" customFormat="false" ht="15.75" hidden="false" customHeight="true" outlineLevel="0" collapsed="false">
      <c r="A250" s="80" t="s">
        <v>1451</v>
      </c>
      <c r="B250" s="81"/>
      <c r="C250" s="81"/>
      <c r="D250" s="81"/>
      <c r="E250" s="83"/>
      <c r="F250" s="81"/>
      <c r="G250" s="83"/>
      <c r="H250" s="83"/>
      <c r="I250" s="84" t="str">
        <f aca="false">IF(E250="","",A250&amp;"_1.jpg")</f>
        <v/>
      </c>
      <c r="J250" s="84" t="str">
        <f aca="false">IF(E250="","",A250&amp;"_2.jpg; "&amp;A250&amp;"_3.jpg")</f>
        <v/>
      </c>
      <c r="K250" s="84" t="str">
        <f aca="false">IF(E250="","",A250&amp;"_schema.jpg")</f>
        <v/>
      </c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 t="s">
        <v>96</v>
      </c>
      <c r="W250" s="81"/>
      <c r="X250" s="81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6" t="str">
        <f aca="false">IF(SUM(Y250:AJ250)=0,"",SUM(Y250:AJ250))</f>
        <v/>
      </c>
      <c r="AL250" s="84" t="str">
        <f aca="false">MID(IF(N(Y250)&gt;0,", "&amp;Y$2,"")&amp;IF(N(Z250)&gt;0,", "&amp;Z$2,"")&amp;IF(N(AA250)&gt;0,", "&amp;AA$2,"")&amp;IF(N(AB250)&gt;0,", "&amp;AB$2,"")&amp;IF(N(AC250)&gt;0,", "&amp;AC$2,"")&amp;IF(N(AD250)&gt;0,", "&amp;AD$2,"")&amp;IF(N(AE250)&gt;0,", "&amp;AE$2,"")&amp;IF(N(AF250)&gt;0,", "&amp;AF$2,"")&amp;IF(N(AG250)&gt;0,", "&amp;AG$2,"")&amp;IF(N(AH250)&gt;0,", "&amp;AH$2,"")&amp;IF(N(AI250)&gt;0,", "&amp;AI$2,"")&amp;IF(N(AJ250)&gt;0,", "&amp;AJ$2,""),3,999)</f>
        <v/>
      </c>
      <c r="AM250" s="87" t="str">
        <f aca="false">IF(E250="","",MID(IF(N(Y250)&gt;0,", "&amp;A250&amp;"-"&amp;Y$2,"")&amp;IF(N(Z250)&gt;0,", "&amp;A250&amp;"-"&amp;Z$2,"")&amp;IF(N(AA250)&gt;0,", "&amp;A250&amp;"-"&amp;AA$2,"")&amp;IF(N(AB250)&gt;0,", "&amp;A250&amp;"-"&amp;AB$2,"")&amp;IF(N(AC250)&gt;0,", "&amp;A250&amp;"-"&amp;AC$2,"")&amp;IF(N(AD250)&gt;0,", "&amp;A250&amp;"-"&amp;AD$2,"")&amp;IF(N(AE250)&gt;0,", "&amp;A250&amp;"-"&amp;AE$2,"")&amp;IF(N(AF250)&gt;0,", "&amp;A250&amp;"-"&amp;AF$2,"")&amp;IF(N(AG250)&gt;0,", "&amp;A250&amp;"-"&amp;AG$2,"")&amp;IF(N(AH250)&gt;0,", "&amp;A250&amp;"-"&amp;AH$2,"")&amp;IF(N(AI250)&gt;0,", "&amp;A250&amp;"-"&amp;AI$2,"")&amp;IF(N(AJ250)&gt;0,", "&amp;A250&amp;"-"&amp;AJ$2,""),3,999))</f>
        <v/>
      </c>
      <c r="AN250" s="81"/>
      <c r="AO250" s="88"/>
      <c r="AP250" s="89" t="str">
        <f aca="false">IF(AO250="","",ROUND(AO250/(1+Справочники!$B$13),2))</f>
        <v/>
      </c>
      <c r="AQ250" s="90" t="str">
        <f aca="false" t="array" ref="AQ250:AQ250">IF(AP250="","",AP250*INDEX(Справочники!$B$4:$B$7,MATCH("RUB",Справочники!$A$4:$A$7,0)))</f>
        <v/>
      </c>
      <c r="AR250" s="90" t="str">
        <f aca="false">IF(AQ250="","",ROUND(AQ250*(1+Справочники!$B$12),0))</f>
        <v/>
      </c>
      <c r="AS250" s="90" t="str">
        <f aca="false">IF(AR250="","",ROUND(AR250*(1-Справочники!$B$11),0))</f>
        <v/>
      </c>
      <c r="AT250" s="88"/>
      <c r="AU250" s="90" t="str">
        <f aca="false">IF(AT250="","",ROUND(AT250/(1+Справочники!$B$12),0))</f>
        <v/>
      </c>
      <c r="AV250" s="90" t="str">
        <f aca="false">IF(AT250="","",ROUND(AT250*(1-Справочники!$B$15),0))</f>
        <v/>
      </c>
      <c r="AW250" s="90" t="str">
        <f aca="false">IF(AT250="","",ROUND(AT250*(1-Справочники!$B$16),0))</f>
        <v/>
      </c>
      <c r="AX250" s="90" t="str">
        <f aca="false">IF(AT250="","",ROUND(AT250*(1-Справочники!$B$17),0))</f>
        <v/>
      </c>
      <c r="AY250" s="90" t="str">
        <f aca="false">IF(AT250="","",ROUND(AT250*(1-Справочники!$B$18),0))</f>
        <v/>
      </c>
      <c r="AZ250" s="90" t="str">
        <f aca="false">IF(AT250="","",ROUND(AT250*(1-Справочники!$B$19),0))</f>
        <v/>
      </c>
      <c r="BA250" s="81"/>
      <c r="BB250" s="81"/>
      <c r="BC250" s="81"/>
      <c r="BD250" s="81"/>
      <c r="BE250" s="91"/>
      <c r="BF250" s="81" t="s">
        <v>103</v>
      </c>
      <c r="BG250" s="89" t="n">
        <f aca="false" t="array" ref="BG250:BG250">IF(BF250="","",IFERROR(INDEX(Справочники!$B$4:$B$7,MATCH(BF250,Справочники!$A$4:$A$7,0)),""))</f>
        <v>68.5</v>
      </c>
      <c r="BH250" s="90" t="str">
        <f aca="false">IF(N(BN250)&gt;0,ROUND(SUMIF(ЗАКАЗЫ!$F$3:$F$500,$A250,ЗАКАЗЫ!$Y$3:$Y$500)/BN250,0),IF(OR(BE250="",BG250=""),"",ROUND(BE250*BG250*(1+Справочники!$B$10),0)))</f>
        <v/>
      </c>
      <c r="BI250" s="92" t="str">
        <f aca="false">IF(OR(AU250="",BH250="",AU250=0),"",(AU250-BH250)/AU250)</f>
        <v/>
      </c>
      <c r="BJ250" s="81"/>
      <c r="BK250" s="83"/>
      <c r="BL250" s="43" t="str">
        <f aca="false">IFERROR(INDEX(ЗАКАЗЫ!$N$3:$N$500,MATCH($A250,ЗАКАЗЫ!$F$3:$F$500,0)),"")</f>
        <v/>
      </c>
      <c r="BM250" s="8" t="str">
        <f aca="false">IF(BL250="","",IFERROR(VLOOKUP(BL250,'ТН ВЭД'!$A$4:$C$40,3,0),""))</f>
        <v/>
      </c>
      <c r="BN250" s="7" t="str">
        <f aca="false">IF(COUNTIF(ЗАКАЗЫ!$F$3:$F$500,$A250)=0,"",SUMIF(ЗАКАЗЫ!$F$3:$F$500,$A250,ЗАКАЗЫ!$J$3:$J$500))</f>
        <v/>
      </c>
      <c r="BO250" s="7" t="str">
        <f aca="false">IF(BN250="","",SUMIF(ЗАКАЗЫ!$F$3:$F$500,$A250,ЗАКАЗЫ!$AL$3:$AL$500))</f>
        <v/>
      </c>
      <c r="BP250" s="7" t="str">
        <f aca="false">IF(BN250="","",BN250-BO250)</f>
        <v/>
      </c>
      <c r="BQ250" s="55" t="str">
        <f aca="false">IF(BN250="","",IF(BO250&gt;=BN250,"На складе",IF(BO250&gt;0,"Частично","Ждём")))</f>
        <v/>
      </c>
      <c r="BR250" s="43"/>
      <c r="BS250" s="47" t="str">
        <f aca="false">IF(BN250="","",IF(_xlfn.MAXIFS(ЗАКАЗЫ!$AK$3:$AK$500,ЗАКАЗЫ!$F$3:$F$500,$A250)=0,"",_xlfn.MAXIFS(ЗАКАЗЫ!$AK$3:$AK$500,ЗАКАЗЫ!$F$3:$F$500,$A250)))</f>
        <v/>
      </c>
    </row>
    <row r="251" customFormat="false" ht="15.75" hidden="false" customHeight="true" outlineLevel="0" collapsed="false">
      <c r="A251" s="80" t="s">
        <v>1452</v>
      </c>
      <c r="B251" s="81"/>
      <c r="C251" s="81"/>
      <c r="D251" s="81"/>
      <c r="E251" s="83"/>
      <c r="F251" s="81"/>
      <c r="G251" s="83"/>
      <c r="H251" s="83"/>
      <c r="I251" s="84" t="str">
        <f aca="false">IF(E251="","",A251&amp;"_1.jpg")</f>
        <v/>
      </c>
      <c r="J251" s="84" t="str">
        <f aca="false">IF(E251="","",A251&amp;"_2.jpg; "&amp;A251&amp;"_3.jpg")</f>
        <v/>
      </c>
      <c r="K251" s="84" t="str">
        <f aca="false">IF(E251="","",A251&amp;"_schema.jpg")</f>
        <v/>
      </c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 t="s">
        <v>96</v>
      </c>
      <c r="W251" s="81"/>
      <c r="X251" s="81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6" t="str">
        <f aca="false">IF(SUM(Y251:AJ251)=0,"",SUM(Y251:AJ251))</f>
        <v/>
      </c>
      <c r="AL251" s="84" t="str">
        <f aca="false">MID(IF(N(Y251)&gt;0,", "&amp;Y$2,"")&amp;IF(N(Z251)&gt;0,", "&amp;Z$2,"")&amp;IF(N(AA251)&gt;0,", "&amp;AA$2,"")&amp;IF(N(AB251)&gt;0,", "&amp;AB$2,"")&amp;IF(N(AC251)&gt;0,", "&amp;AC$2,"")&amp;IF(N(AD251)&gt;0,", "&amp;AD$2,"")&amp;IF(N(AE251)&gt;0,", "&amp;AE$2,"")&amp;IF(N(AF251)&gt;0,", "&amp;AF$2,"")&amp;IF(N(AG251)&gt;0,", "&amp;AG$2,"")&amp;IF(N(AH251)&gt;0,", "&amp;AH$2,"")&amp;IF(N(AI251)&gt;0,", "&amp;AI$2,"")&amp;IF(N(AJ251)&gt;0,", "&amp;AJ$2,""),3,999)</f>
        <v/>
      </c>
      <c r="AM251" s="87" t="str">
        <f aca="false">IF(E251="","",MID(IF(N(Y251)&gt;0,", "&amp;A251&amp;"-"&amp;Y$2,"")&amp;IF(N(Z251)&gt;0,", "&amp;A251&amp;"-"&amp;Z$2,"")&amp;IF(N(AA251)&gt;0,", "&amp;A251&amp;"-"&amp;AA$2,"")&amp;IF(N(AB251)&gt;0,", "&amp;A251&amp;"-"&amp;AB$2,"")&amp;IF(N(AC251)&gt;0,", "&amp;A251&amp;"-"&amp;AC$2,"")&amp;IF(N(AD251)&gt;0,", "&amp;A251&amp;"-"&amp;AD$2,"")&amp;IF(N(AE251)&gt;0,", "&amp;A251&amp;"-"&amp;AE$2,"")&amp;IF(N(AF251)&gt;0,", "&amp;A251&amp;"-"&amp;AF$2,"")&amp;IF(N(AG251)&gt;0,", "&amp;A251&amp;"-"&amp;AG$2,"")&amp;IF(N(AH251)&gt;0,", "&amp;A251&amp;"-"&amp;AH$2,"")&amp;IF(N(AI251)&gt;0,", "&amp;A251&amp;"-"&amp;AI$2,"")&amp;IF(N(AJ251)&gt;0,", "&amp;A251&amp;"-"&amp;AJ$2,""),3,999))</f>
        <v/>
      </c>
      <c r="AN251" s="81"/>
      <c r="AO251" s="88"/>
      <c r="AP251" s="89" t="str">
        <f aca="false">IF(AO251="","",ROUND(AO251/(1+Справочники!$B$13),2))</f>
        <v/>
      </c>
      <c r="AQ251" s="90" t="str">
        <f aca="false" t="array" ref="AQ251:AQ251">IF(AP251="","",AP251*INDEX(Справочники!$B$4:$B$7,MATCH("RUB",Справочники!$A$4:$A$7,0)))</f>
        <v/>
      </c>
      <c r="AR251" s="90" t="str">
        <f aca="false">IF(AQ251="","",ROUND(AQ251*(1+Справочники!$B$12),0))</f>
        <v/>
      </c>
      <c r="AS251" s="90" t="str">
        <f aca="false">IF(AR251="","",ROUND(AR251*(1-Справочники!$B$11),0))</f>
        <v/>
      </c>
      <c r="AT251" s="88"/>
      <c r="AU251" s="90" t="str">
        <f aca="false">IF(AT251="","",ROUND(AT251/(1+Справочники!$B$12),0))</f>
        <v/>
      </c>
      <c r="AV251" s="90" t="str">
        <f aca="false">IF(AT251="","",ROUND(AT251*(1-Справочники!$B$15),0))</f>
        <v/>
      </c>
      <c r="AW251" s="90" t="str">
        <f aca="false">IF(AT251="","",ROUND(AT251*(1-Справочники!$B$16),0))</f>
        <v/>
      </c>
      <c r="AX251" s="90" t="str">
        <f aca="false">IF(AT251="","",ROUND(AT251*(1-Справочники!$B$17),0))</f>
        <v/>
      </c>
      <c r="AY251" s="90" t="str">
        <f aca="false">IF(AT251="","",ROUND(AT251*(1-Справочники!$B$18),0))</f>
        <v/>
      </c>
      <c r="AZ251" s="90" t="str">
        <f aca="false">IF(AT251="","",ROUND(AT251*(1-Справочники!$B$19),0))</f>
        <v/>
      </c>
      <c r="BA251" s="81"/>
      <c r="BB251" s="81"/>
      <c r="BC251" s="81"/>
      <c r="BD251" s="81"/>
      <c r="BE251" s="91"/>
      <c r="BF251" s="81" t="s">
        <v>103</v>
      </c>
      <c r="BG251" s="89" t="n">
        <f aca="false" t="array" ref="BG251:BG251">IF(BF251="","",IFERROR(INDEX(Справочники!$B$4:$B$7,MATCH(BF251,Справочники!$A$4:$A$7,0)),""))</f>
        <v>68.5</v>
      </c>
      <c r="BH251" s="90" t="str">
        <f aca="false">IF(N(BN251)&gt;0,ROUND(SUMIF(ЗАКАЗЫ!$F$3:$F$500,$A251,ЗАКАЗЫ!$Y$3:$Y$500)/BN251,0),IF(OR(BE251="",BG251=""),"",ROUND(BE251*BG251*(1+Справочники!$B$10),0)))</f>
        <v/>
      </c>
      <c r="BI251" s="92" t="str">
        <f aca="false">IF(OR(AU251="",BH251="",AU251=0),"",(AU251-BH251)/AU251)</f>
        <v/>
      </c>
      <c r="BJ251" s="81"/>
      <c r="BK251" s="83"/>
      <c r="BL251" s="43" t="str">
        <f aca="false">IFERROR(INDEX(ЗАКАЗЫ!$N$3:$N$500,MATCH($A251,ЗАКАЗЫ!$F$3:$F$500,0)),"")</f>
        <v/>
      </c>
      <c r="BM251" s="8" t="str">
        <f aca="false">IF(BL251="","",IFERROR(VLOOKUP(BL251,'ТН ВЭД'!$A$4:$C$40,3,0),""))</f>
        <v/>
      </c>
      <c r="BN251" s="7" t="str">
        <f aca="false">IF(COUNTIF(ЗАКАЗЫ!$F$3:$F$500,$A251)=0,"",SUMIF(ЗАКАЗЫ!$F$3:$F$500,$A251,ЗАКАЗЫ!$J$3:$J$500))</f>
        <v/>
      </c>
      <c r="BO251" s="7" t="str">
        <f aca="false">IF(BN251="","",SUMIF(ЗАКАЗЫ!$F$3:$F$500,$A251,ЗАКАЗЫ!$AL$3:$AL$500))</f>
        <v/>
      </c>
      <c r="BP251" s="7" t="str">
        <f aca="false">IF(BN251="","",BN251-BO251)</f>
        <v/>
      </c>
      <c r="BQ251" s="55" t="str">
        <f aca="false">IF(BN251="","",IF(BO251&gt;=BN251,"На складе",IF(BO251&gt;0,"Частично","Ждём")))</f>
        <v/>
      </c>
      <c r="BR251" s="43"/>
      <c r="BS251" s="47" t="str">
        <f aca="false">IF(BN251="","",IF(_xlfn.MAXIFS(ЗАКАЗЫ!$AK$3:$AK$500,ЗАКАЗЫ!$F$3:$F$500,$A251)=0,"",_xlfn.MAXIFS(ЗАКАЗЫ!$AK$3:$AK$500,ЗАКАЗЫ!$F$3:$F$500,$A251)))</f>
        <v/>
      </c>
    </row>
    <row r="252" customFormat="false" ht="15.75" hidden="false" customHeight="true" outlineLevel="0" collapsed="false">
      <c r="A252" s="80" t="s">
        <v>1453</v>
      </c>
      <c r="B252" s="81"/>
      <c r="C252" s="81"/>
      <c r="D252" s="81"/>
      <c r="E252" s="83"/>
      <c r="F252" s="81"/>
      <c r="G252" s="83"/>
      <c r="H252" s="83"/>
      <c r="I252" s="84" t="str">
        <f aca="false">IF(E252="","",A252&amp;"_1.jpg")</f>
        <v/>
      </c>
      <c r="J252" s="84" t="str">
        <f aca="false">IF(E252="","",A252&amp;"_2.jpg; "&amp;A252&amp;"_3.jpg")</f>
        <v/>
      </c>
      <c r="K252" s="84" t="str">
        <f aca="false">IF(E252="","",A252&amp;"_schema.jpg")</f>
        <v/>
      </c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 t="s">
        <v>96</v>
      </c>
      <c r="W252" s="81"/>
      <c r="X252" s="81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6" t="str">
        <f aca="false">IF(SUM(Y252:AJ252)=0,"",SUM(Y252:AJ252))</f>
        <v/>
      </c>
      <c r="AL252" s="84" t="str">
        <f aca="false">MID(IF(N(Y252)&gt;0,", "&amp;Y$2,"")&amp;IF(N(Z252)&gt;0,", "&amp;Z$2,"")&amp;IF(N(AA252)&gt;0,", "&amp;AA$2,"")&amp;IF(N(AB252)&gt;0,", "&amp;AB$2,"")&amp;IF(N(AC252)&gt;0,", "&amp;AC$2,"")&amp;IF(N(AD252)&gt;0,", "&amp;AD$2,"")&amp;IF(N(AE252)&gt;0,", "&amp;AE$2,"")&amp;IF(N(AF252)&gt;0,", "&amp;AF$2,"")&amp;IF(N(AG252)&gt;0,", "&amp;AG$2,"")&amp;IF(N(AH252)&gt;0,", "&amp;AH$2,"")&amp;IF(N(AI252)&gt;0,", "&amp;AI$2,"")&amp;IF(N(AJ252)&gt;0,", "&amp;AJ$2,""),3,999)</f>
        <v/>
      </c>
      <c r="AM252" s="87" t="str">
        <f aca="false">IF(E252="","",MID(IF(N(Y252)&gt;0,", "&amp;A252&amp;"-"&amp;Y$2,"")&amp;IF(N(Z252)&gt;0,", "&amp;A252&amp;"-"&amp;Z$2,"")&amp;IF(N(AA252)&gt;0,", "&amp;A252&amp;"-"&amp;AA$2,"")&amp;IF(N(AB252)&gt;0,", "&amp;A252&amp;"-"&amp;AB$2,"")&amp;IF(N(AC252)&gt;0,", "&amp;A252&amp;"-"&amp;AC$2,"")&amp;IF(N(AD252)&gt;0,", "&amp;A252&amp;"-"&amp;AD$2,"")&amp;IF(N(AE252)&gt;0,", "&amp;A252&amp;"-"&amp;AE$2,"")&amp;IF(N(AF252)&gt;0,", "&amp;A252&amp;"-"&amp;AF$2,"")&amp;IF(N(AG252)&gt;0,", "&amp;A252&amp;"-"&amp;AG$2,"")&amp;IF(N(AH252)&gt;0,", "&amp;A252&amp;"-"&amp;AH$2,"")&amp;IF(N(AI252)&gt;0,", "&amp;A252&amp;"-"&amp;AI$2,"")&amp;IF(N(AJ252)&gt;0,", "&amp;A252&amp;"-"&amp;AJ$2,""),3,999))</f>
        <v/>
      </c>
      <c r="AN252" s="81"/>
      <c r="AO252" s="88"/>
      <c r="AP252" s="89" t="str">
        <f aca="false">IF(AO252="","",ROUND(AO252/(1+Справочники!$B$13),2))</f>
        <v/>
      </c>
      <c r="AQ252" s="90" t="str">
        <f aca="false" t="array" ref="AQ252:AQ252">IF(AP252="","",AP252*INDEX(Справочники!$B$4:$B$7,MATCH("RUB",Справочники!$A$4:$A$7,0)))</f>
        <v/>
      </c>
      <c r="AR252" s="90" t="str">
        <f aca="false">IF(AQ252="","",ROUND(AQ252*(1+Справочники!$B$12),0))</f>
        <v/>
      </c>
      <c r="AS252" s="90" t="str">
        <f aca="false">IF(AR252="","",ROUND(AR252*(1-Справочники!$B$11),0))</f>
        <v/>
      </c>
      <c r="AT252" s="88"/>
      <c r="AU252" s="90" t="str">
        <f aca="false">IF(AT252="","",ROUND(AT252/(1+Справочники!$B$12),0))</f>
        <v/>
      </c>
      <c r="AV252" s="90" t="str">
        <f aca="false">IF(AT252="","",ROUND(AT252*(1-Справочники!$B$15),0))</f>
        <v/>
      </c>
      <c r="AW252" s="90" t="str">
        <f aca="false">IF(AT252="","",ROUND(AT252*(1-Справочники!$B$16),0))</f>
        <v/>
      </c>
      <c r="AX252" s="90" t="str">
        <f aca="false">IF(AT252="","",ROUND(AT252*(1-Справочники!$B$17),0))</f>
        <v/>
      </c>
      <c r="AY252" s="90" t="str">
        <f aca="false">IF(AT252="","",ROUND(AT252*(1-Справочники!$B$18),0))</f>
        <v/>
      </c>
      <c r="AZ252" s="90" t="str">
        <f aca="false">IF(AT252="","",ROUND(AT252*(1-Справочники!$B$19),0))</f>
        <v/>
      </c>
      <c r="BA252" s="81"/>
      <c r="BB252" s="81"/>
      <c r="BC252" s="81"/>
      <c r="BD252" s="81"/>
      <c r="BE252" s="91"/>
      <c r="BF252" s="81" t="s">
        <v>103</v>
      </c>
      <c r="BG252" s="89" t="n">
        <f aca="false" t="array" ref="BG252:BG252">IF(BF252="","",IFERROR(INDEX(Справочники!$B$4:$B$7,MATCH(BF252,Справочники!$A$4:$A$7,0)),""))</f>
        <v>68.5</v>
      </c>
      <c r="BH252" s="90" t="str">
        <f aca="false">IF(N(BN252)&gt;0,ROUND(SUMIF(ЗАКАЗЫ!$F$3:$F$500,$A252,ЗАКАЗЫ!$Y$3:$Y$500)/BN252,0),IF(OR(BE252="",BG252=""),"",ROUND(BE252*BG252*(1+Справочники!$B$10),0)))</f>
        <v/>
      </c>
      <c r="BI252" s="92" t="str">
        <f aca="false">IF(OR(AU252="",BH252="",AU252=0),"",(AU252-BH252)/AU252)</f>
        <v/>
      </c>
      <c r="BJ252" s="81"/>
      <c r="BK252" s="83"/>
      <c r="BL252" s="43" t="str">
        <f aca="false">IFERROR(INDEX(ЗАКАЗЫ!$N$3:$N$500,MATCH($A252,ЗАКАЗЫ!$F$3:$F$500,0)),"")</f>
        <v/>
      </c>
      <c r="BM252" s="8" t="str">
        <f aca="false">IF(BL252="","",IFERROR(VLOOKUP(BL252,'ТН ВЭД'!$A$4:$C$40,3,0),""))</f>
        <v/>
      </c>
      <c r="BN252" s="7" t="str">
        <f aca="false">IF(COUNTIF(ЗАКАЗЫ!$F$3:$F$500,$A252)=0,"",SUMIF(ЗАКАЗЫ!$F$3:$F$500,$A252,ЗАКАЗЫ!$J$3:$J$500))</f>
        <v/>
      </c>
      <c r="BO252" s="7" t="str">
        <f aca="false">IF(BN252="","",SUMIF(ЗАКАЗЫ!$F$3:$F$500,$A252,ЗАКАЗЫ!$AL$3:$AL$500))</f>
        <v/>
      </c>
      <c r="BP252" s="7" t="str">
        <f aca="false">IF(BN252="","",BN252-BO252)</f>
        <v/>
      </c>
      <c r="BQ252" s="55" t="str">
        <f aca="false">IF(BN252="","",IF(BO252&gt;=BN252,"На складе",IF(BO252&gt;0,"Частично","Ждём")))</f>
        <v/>
      </c>
      <c r="BR252" s="43"/>
      <c r="BS252" s="47" t="str">
        <f aca="false">IF(BN252="","",IF(_xlfn.MAXIFS(ЗАКАЗЫ!$AK$3:$AK$500,ЗАКАЗЫ!$F$3:$F$500,$A252)=0,"",_xlfn.MAXIFS(ЗАКАЗЫ!$AK$3:$AK$500,ЗАКАЗЫ!$F$3:$F$500,$A252)))</f>
        <v/>
      </c>
    </row>
    <row r="253" customFormat="false" ht="15.75" hidden="false" customHeight="true" outlineLevel="0" collapsed="false">
      <c r="A253" s="80" t="s">
        <v>1454</v>
      </c>
      <c r="B253" s="81"/>
      <c r="C253" s="81"/>
      <c r="D253" s="81"/>
      <c r="E253" s="83"/>
      <c r="F253" s="81"/>
      <c r="G253" s="83"/>
      <c r="H253" s="83"/>
      <c r="I253" s="84" t="str">
        <f aca="false">IF(E253="","",A253&amp;"_1.jpg")</f>
        <v/>
      </c>
      <c r="J253" s="84" t="str">
        <f aca="false">IF(E253="","",A253&amp;"_2.jpg; "&amp;A253&amp;"_3.jpg")</f>
        <v/>
      </c>
      <c r="K253" s="84" t="str">
        <f aca="false">IF(E253="","",A253&amp;"_schema.jpg")</f>
        <v/>
      </c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 t="s">
        <v>96</v>
      </c>
      <c r="W253" s="81"/>
      <c r="X253" s="81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6" t="str">
        <f aca="false">IF(SUM(Y253:AJ253)=0,"",SUM(Y253:AJ253))</f>
        <v/>
      </c>
      <c r="AL253" s="84" t="str">
        <f aca="false">MID(IF(N(Y253)&gt;0,", "&amp;Y$2,"")&amp;IF(N(Z253)&gt;0,", "&amp;Z$2,"")&amp;IF(N(AA253)&gt;0,", "&amp;AA$2,"")&amp;IF(N(AB253)&gt;0,", "&amp;AB$2,"")&amp;IF(N(AC253)&gt;0,", "&amp;AC$2,"")&amp;IF(N(AD253)&gt;0,", "&amp;AD$2,"")&amp;IF(N(AE253)&gt;0,", "&amp;AE$2,"")&amp;IF(N(AF253)&gt;0,", "&amp;AF$2,"")&amp;IF(N(AG253)&gt;0,", "&amp;AG$2,"")&amp;IF(N(AH253)&gt;0,", "&amp;AH$2,"")&amp;IF(N(AI253)&gt;0,", "&amp;AI$2,"")&amp;IF(N(AJ253)&gt;0,", "&amp;AJ$2,""),3,999)</f>
        <v/>
      </c>
      <c r="AM253" s="87" t="str">
        <f aca="false">IF(E253="","",MID(IF(N(Y253)&gt;0,", "&amp;A253&amp;"-"&amp;Y$2,"")&amp;IF(N(Z253)&gt;0,", "&amp;A253&amp;"-"&amp;Z$2,"")&amp;IF(N(AA253)&gt;0,", "&amp;A253&amp;"-"&amp;AA$2,"")&amp;IF(N(AB253)&gt;0,", "&amp;A253&amp;"-"&amp;AB$2,"")&amp;IF(N(AC253)&gt;0,", "&amp;A253&amp;"-"&amp;AC$2,"")&amp;IF(N(AD253)&gt;0,", "&amp;A253&amp;"-"&amp;AD$2,"")&amp;IF(N(AE253)&gt;0,", "&amp;A253&amp;"-"&amp;AE$2,"")&amp;IF(N(AF253)&gt;0,", "&amp;A253&amp;"-"&amp;AF$2,"")&amp;IF(N(AG253)&gt;0,", "&amp;A253&amp;"-"&amp;AG$2,"")&amp;IF(N(AH253)&gt;0,", "&amp;A253&amp;"-"&amp;AH$2,"")&amp;IF(N(AI253)&gt;0,", "&amp;A253&amp;"-"&amp;AI$2,"")&amp;IF(N(AJ253)&gt;0,", "&amp;A253&amp;"-"&amp;AJ$2,""),3,999))</f>
        <v/>
      </c>
      <c r="AN253" s="81"/>
      <c r="AO253" s="88"/>
      <c r="AP253" s="89" t="str">
        <f aca="false">IF(AO253="","",ROUND(AO253/(1+Справочники!$B$13),2))</f>
        <v/>
      </c>
      <c r="AQ253" s="90" t="str">
        <f aca="false" t="array" ref="AQ253:AQ253">IF(AP253="","",AP253*INDEX(Справочники!$B$4:$B$7,MATCH("RUB",Справочники!$A$4:$A$7,0)))</f>
        <v/>
      </c>
      <c r="AR253" s="90" t="str">
        <f aca="false">IF(AQ253="","",ROUND(AQ253*(1+Справочники!$B$12),0))</f>
        <v/>
      </c>
      <c r="AS253" s="90" t="str">
        <f aca="false">IF(AR253="","",ROUND(AR253*(1-Справочники!$B$11),0))</f>
        <v/>
      </c>
      <c r="AT253" s="88"/>
      <c r="AU253" s="90" t="str">
        <f aca="false">IF(AT253="","",ROUND(AT253/(1+Справочники!$B$12),0))</f>
        <v/>
      </c>
      <c r="AV253" s="90" t="str">
        <f aca="false">IF(AT253="","",ROUND(AT253*(1-Справочники!$B$15),0))</f>
        <v/>
      </c>
      <c r="AW253" s="90" t="str">
        <f aca="false">IF(AT253="","",ROUND(AT253*(1-Справочники!$B$16),0))</f>
        <v/>
      </c>
      <c r="AX253" s="90" t="str">
        <f aca="false">IF(AT253="","",ROUND(AT253*(1-Справочники!$B$17),0))</f>
        <v/>
      </c>
      <c r="AY253" s="90" t="str">
        <f aca="false">IF(AT253="","",ROUND(AT253*(1-Справочники!$B$18),0))</f>
        <v/>
      </c>
      <c r="AZ253" s="90" t="str">
        <f aca="false">IF(AT253="","",ROUND(AT253*(1-Справочники!$B$19),0))</f>
        <v/>
      </c>
      <c r="BA253" s="81"/>
      <c r="BB253" s="81"/>
      <c r="BC253" s="81"/>
      <c r="BD253" s="81"/>
      <c r="BE253" s="91"/>
      <c r="BF253" s="81" t="s">
        <v>103</v>
      </c>
      <c r="BG253" s="89" t="n">
        <f aca="false" t="array" ref="BG253:BG253">IF(BF253="","",IFERROR(INDEX(Справочники!$B$4:$B$7,MATCH(BF253,Справочники!$A$4:$A$7,0)),""))</f>
        <v>68.5</v>
      </c>
      <c r="BH253" s="90" t="str">
        <f aca="false">IF(N(BN253)&gt;0,ROUND(SUMIF(ЗАКАЗЫ!$F$3:$F$500,$A253,ЗАКАЗЫ!$Y$3:$Y$500)/BN253,0),IF(OR(BE253="",BG253=""),"",ROUND(BE253*BG253*(1+Справочники!$B$10),0)))</f>
        <v/>
      </c>
      <c r="BI253" s="92" t="str">
        <f aca="false">IF(OR(AU253="",BH253="",AU253=0),"",(AU253-BH253)/AU253)</f>
        <v/>
      </c>
      <c r="BJ253" s="81"/>
      <c r="BK253" s="83"/>
      <c r="BL253" s="43" t="str">
        <f aca="false">IFERROR(INDEX(ЗАКАЗЫ!$N$3:$N$500,MATCH($A253,ЗАКАЗЫ!$F$3:$F$500,0)),"")</f>
        <v/>
      </c>
      <c r="BM253" s="8" t="str">
        <f aca="false">IF(BL253="","",IFERROR(VLOOKUP(BL253,'ТН ВЭД'!$A$4:$C$40,3,0),""))</f>
        <v/>
      </c>
      <c r="BN253" s="7" t="str">
        <f aca="false">IF(COUNTIF(ЗАКАЗЫ!$F$3:$F$500,$A253)=0,"",SUMIF(ЗАКАЗЫ!$F$3:$F$500,$A253,ЗАКАЗЫ!$J$3:$J$500))</f>
        <v/>
      </c>
      <c r="BO253" s="7" t="str">
        <f aca="false">IF(BN253="","",SUMIF(ЗАКАЗЫ!$F$3:$F$500,$A253,ЗАКАЗЫ!$AL$3:$AL$500))</f>
        <v/>
      </c>
      <c r="BP253" s="7" t="str">
        <f aca="false">IF(BN253="","",BN253-BO253)</f>
        <v/>
      </c>
      <c r="BQ253" s="55" t="str">
        <f aca="false">IF(BN253="","",IF(BO253&gt;=BN253,"На складе",IF(BO253&gt;0,"Частично","Ждём")))</f>
        <v/>
      </c>
      <c r="BR253" s="43"/>
      <c r="BS253" s="47" t="str">
        <f aca="false">IF(BN253="","",IF(_xlfn.MAXIFS(ЗАКАЗЫ!$AK$3:$AK$500,ЗАКАЗЫ!$F$3:$F$500,$A253)=0,"",_xlfn.MAXIFS(ЗАКАЗЫ!$AK$3:$AK$500,ЗАКАЗЫ!$F$3:$F$500,$A253)))</f>
        <v/>
      </c>
    </row>
    <row r="254" customFormat="false" ht="15.75" hidden="false" customHeight="true" outlineLevel="0" collapsed="false">
      <c r="A254" s="80" t="s">
        <v>1455</v>
      </c>
      <c r="B254" s="81"/>
      <c r="C254" s="81"/>
      <c r="D254" s="81"/>
      <c r="E254" s="83"/>
      <c r="F254" s="81"/>
      <c r="G254" s="83"/>
      <c r="H254" s="83"/>
      <c r="I254" s="84" t="str">
        <f aca="false">IF(E254="","",A254&amp;"_1.jpg")</f>
        <v/>
      </c>
      <c r="J254" s="84" t="str">
        <f aca="false">IF(E254="","",A254&amp;"_2.jpg; "&amp;A254&amp;"_3.jpg")</f>
        <v/>
      </c>
      <c r="K254" s="84" t="str">
        <f aca="false">IF(E254="","",A254&amp;"_schema.jpg")</f>
        <v/>
      </c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 t="s">
        <v>96</v>
      </c>
      <c r="W254" s="81"/>
      <c r="X254" s="81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6" t="str">
        <f aca="false">IF(SUM(Y254:AJ254)=0,"",SUM(Y254:AJ254))</f>
        <v/>
      </c>
      <c r="AL254" s="84" t="str">
        <f aca="false">MID(IF(N(Y254)&gt;0,", "&amp;Y$2,"")&amp;IF(N(Z254)&gt;0,", "&amp;Z$2,"")&amp;IF(N(AA254)&gt;0,", "&amp;AA$2,"")&amp;IF(N(AB254)&gt;0,", "&amp;AB$2,"")&amp;IF(N(AC254)&gt;0,", "&amp;AC$2,"")&amp;IF(N(AD254)&gt;0,", "&amp;AD$2,"")&amp;IF(N(AE254)&gt;0,", "&amp;AE$2,"")&amp;IF(N(AF254)&gt;0,", "&amp;AF$2,"")&amp;IF(N(AG254)&gt;0,", "&amp;AG$2,"")&amp;IF(N(AH254)&gt;0,", "&amp;AH$2,"")&amp;IF(N(AI254)&gt;0,", "&amp;AI$2,"")&amp;IF(N(AJ254)&gt;0,", "&amp;AJ$2,""),3,999)</f>
        <v/>
      </c>
      <c r="AM254" s="87" t="str">
        <f aca="false">IF(E254="","",MID(IF(N(Y254)&gt;0,", "&amp;A254&amp;"-"&amp;Y$2,"")&amp;IF(N(Z254)&gt;0,", "&amp;A254&amp;"-"&amp;Z$2,"")&amp;IF(N(AA254)&gt;0,", "&amp;A254&amp;"-"&amp;AA$2,"")&amp;IF(N(AB254)&gt;0,", "&amp;A254&amp;"-"&amp;AB$2,"")&amp;IF(N(AC254)&gt;0,", "&amp;A254&amp;"-"&amp;AC$2,"")&amp;IF(N(AD254)&gt;0,", "&amp;A254&amp;"-"&amp;AD$2,"")&amp;IF(N(AE254)&gt;0,", "&amp;A254&amp;"-"&amp;AE$2,"")&amp;IF(N(AF254)&gt;0,", "&amp;A254&amp;"-"&amp;AF$2,"")&amp;IF(N(AG254)&gt;0,", "&amp;A254&amp;"-"&amp;AG$2,"")&amp;IF(N(AH254)&gt;0,", "&amp;A254&amp;"-"&amp;AH$2,"")&amp;IF(N(AI254)&gt;0,", "&amp;A254&amp;"-"&amp;AI$2,"")&amp;IF(N(AJ254)&gt;0,", "&amp;A254&amp;"-"&amp;AJ$2,""),3,999))</f>
        <v/>
      </c>
      <c r="AN254" s="81"/>
      <c r="AO254" s="88"/>
      <c r="AP254" s="89" t="str">
        <f aca="false">IF(AO254="","",ROUND(AO254/(1+Справочники!$B$13),2))</f>
        <v/>
      </c>
      <c r="AQ254" s="90" t="str">
        <f aca="false" t="array" ref="AQ254:AQ254">IF(AP254="","",AP254*INDEX(Справочники!$B$4:$B$7,MATCH("RUB",Справочники!$A$4:$A$7,0)))</f>
        <v/>
      </c>
      <c r="AR254" s="90" t="str">
        <f aca="false">IF(AQ254="","",ROUND(AQ254*(1+Справочники!$B$12),0))</f>
        <v/>
      </c>
      <c r="AS254" s="90" t="str">
        <f aca="false">IF(AR254="","",ROUND(AR254*(1-Справочники!$B$11),0))</f>
        <v/>
      </c>
      <c r="AT254" s="88"/>
      <c r="AU254" s="90" t="str">
        <f aca="false">IF(AT254="","",ROUND(AT254/(1+Справочники!$B$12),0))</f>
        <v/>
      </c>
      <c r="AV254" s="90" t="str">
        <f aca="false">IF(AT254="","",ROUND(AT254*(1-Справочники!$B$15),0))</f>
        <v/>
      </c>
      <c r="AW254" s="90" t="str">
        <f aca="false">IF(AT254="","",ROUND(AT254*(1-Справочники!$B$16),0))</f>
        <v/>
      </c>
      <c r="AX254" s="90" t="str">
        <f aca="false">IF(AT254="","",ROUND(AT254*(1-Справочники!$B$17),0))</f>
        <v/>
      </c>
      <c r="AY254" s="90" t="str">
        <f aca="false">IF(AT254="","",ROUND(AT254*(1-Справочники!$B$18),0))</f>
        <v/>
      </c>
      <c r="AZ254" s="90" t="str">
        <f aca="false">IF(AT254="","",ROUND(AT254*(1-Справочники!$B$19),0))</f>
        <v/>
      </c>
      <c r="BA254" s="81"/>
      <c r="BB254" s="81"/>
      <c r="BC254" s="81"/>
      <c r="BD254" s="81"/>
      <c r="BE254" s="91"/>
      <c r="BF254" s="81" t="s">
        <v>103</v>
      </c>
      <c r="BG254" s="89" t="n">
        <f aca="false" t="array" ref="BG254:BG254">IF(BF254="","",IFERROR(INDEX(Справочники!$B$4:$B$7,MATCH(BF254,Справочники!$A$4:$A$7,0)),""))</f>
        <v>68.5</v>
      </c>
      <c r="BH254" s="90" t="str">
        <f aca="false">IF(N(BN254)&gt;0,ROUND(SUMIF(ЗАКАЗЫ!$F$3:$F$500,$A254,ЗАКАЗЫ!$Y$3:$Y$500)/BN254,0),IF(OR(BE254="",BG254=""),"",ROUND(BE254*BG254*(1+Справочники!$B$10),0)))</f>
        <v/>
      </c>
      <c r="BI254" s="92" t="str">
        <f aca="false">IF(OR(AU254="",BH254="",AU254=0),"",(AU254-BH254)/AU254)</f>
        <v/>
      </c>
      <c r="BJ254" s="81"/>
      <c r="BK254" s="83"/>
      <c r="BL254" s="43" t="str">
        <f aca="false">IFERROR(INDEX(ЗАКАЗЫ!$N$3:$N$500,MATCH($A254,ЗАКАЗЫ!$F$3:$F$500,0)),"")</f>
        <v/>
      </c>
      <c r="BM254" s="8" t="str">
        <f aca="false">IF(BL254="","",IFERROR(VLOOKUP(BL254,'ТН ВЭД'!$A$4:$C$40,3,0),""))</f>
        <v/>
      </c>
      <c r="BN254" s="7" t="str">
        <f aca="false">IF(COUNTIF(ЗАКАЗЫ!$F$3:$F$500,$A254)=0,"",SUMIF(ЗАКАЗЫ!$F$3:$F$500,$A254,ЗАКАЗЫ!$J$3:$J$500))</f>
        <v/>
      </c>
      <c r="BO254" s="7" t="str">
        <f aca="false">IF(BN254="","",SUMIF(ЗАКАЗЫ!$F$3:$F$500,$A254,ЗАКАЗЫ!$AL$3:$AL$500))</f>
        <v/>
      </c>
      <c r="BP254" s="7" t="str">
        <f aca="false">IF(BN254="","",BN254-BO254)</f>
        <v/>
      </c>
      <c r="BQ254" s="55" t="str">
        <f aca="false">IF(BN254="","",IF(BO254&gt;=BN254,"На складе",IF(BO254&gt;0,"Частично","Ждём")))</f>
        <v/>
      </c>
      <c r="BR254" s="43"/>
      <c r="BS254" s="47" t="str">
        <f aca="false">IF(BN254="","",IF(_xlfn.MAXIFS(ЗАКАЗЫ!$AK$3:$AK$500,ЗАКАЗЫ!$F$3:$F$500,$A254)=0,"",_xlfn.MAXIFS(ЗАКАЗЫ!$AK$3:$AK$500,ЗАКАЗЫ!$F$3:$F$500,$A254)))</f>
        <v/>
      </c>
    </row>
    <row r="255" customFormat="false" ht="15.75" hidden="false" customHeight="true" outlineLevel="0" collapsed="false">
      <c r="A255" s="80" t="s">
        <v>1456</v>
      </c>
      <c r="B255" s="81"/>
      <c r="C255" s="81"/>
      <c r="D255" s="81"/>
      <c r="E255" s="83"/>
      <c r="F255" s="81"/>
      <c r="G255" s="83"/>
      <c r="H255" s="83"/>
      <c r="I255" s="84" t="str">
        <f aca="false">IF(E255="","",A255&amp;"_1.jpg")</f>
        <v/>
      </c>
      <c r="J255" s="84" t="str">
        <f aca="false">IF(E255="","",A255&amp;"_2.jpg; "&amp;A255&amp;"_3.jpg")</f>
        <v/>
      </c>
      <c r="K255" s="84" t="str">
        <f aca="false">IF(E255="","",A255&amp;"_schema.jpg")</f>
        <v/>
      </c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 t="s">
        <v>96</v>
      </c>
      <c r="W255" s="81"/>
      <c r="X255" s="81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6" t="str">
        <f aca="false">IF(SUM(Y255:AJ255)=0,"",SUM(Y255:AJ255))</f>
        <v/>
      </c>
      <c r="AL255" s="84" t="str">
        <f aca="false">MID(IF(N(Y255)&gt;0,", "&amp;Y$2,"")&amp;IF(N(Z255)&gt;0,", "&amp;Z$2,"")&amp;IF(N(AA255)&gt;0,", "&amp;AA$2,"")&amp;IF(N(AB255)&gt;0,", "&amp;AB$2,"")&amp;IF(N(AC255)&gt;0,", "&amp;AC$2,"")&amp;IF(N(AD255)&gt;0,", "&amp;AD$2,"")&amp;IF(N(AE255)&gt;0,", "&amp;AE$2,"")&amp;IF(N(AF255)&gt;0,", "&amp;AF$2,"")&amp;IF(N(AG255)&gt;0,", "&amp;AG$2,"")&amp;IF(N(AH255)&gt;0,", "&amp;AH$2,"")&amp;IF(N(AI255)&gt;0,", "&amp;AI$2,"")&amp;IF(N(AJ255)&gt;0,", "&amp;AJ$2,""),3,999)</f>
        <v/>
      </c>
      <c r="AM255" s="87" t="str">
        <f aca="false">IF(E255="","",MID(IF(N(Y255)&gt;0,", "&amp;A255&amp;"-"&amp;Y$2,"")&amp;IF(N(Z255)&gt;0,", "&amp;A255&amp;"-"&amp;Z$2,"")&amp;IF(N(AA255)&gt;0,", "&amp;A255&amp;"-"&amp;AA$2,"")&amp;IF(N(AB255)&gt;0,", "&amp;A255&amp;"-"&amp;AB$2,"")&amp;IF(N(AC255)&gt;0,", "&amp;A255&amp;"-"&amp;AC$2,"")&amp;IF(N(AD255)&gt;0,", "&amp;A255&amp;"-"&amp;AD$2,"")&amp;IF(N(AE255)&gt;0,", "&amp;A255&amp;"-"&amp;AE$2,"")&amp;IF(N(AF255)&gt;0,", "&amp;A255&amp;"-"&amp;AF$2,"")&amp;IF(N(AG255)&gt;0,", "&amp;A255&amp;"-"&amp;AG$2,"")&amp;IF(N(AH255)&gt;0,", "&amp;A255&amp;"-"&amp;AH$2,"")&amp;IF(N(AI255)&gt;0,", "&amp;A255&amp;"-"&amp;AI$2,"")&amp;IF(N(AJ255)&gt;0,", "&amp;A255&amp;"-"&amp;AJ$2,""),3,999))</f>
        <v/>
      </c>
      <c r="AN255" s="81"/>
      <c r="AO255" s="88"/>
      <c r="AP255" s="89" t="str">
        <f aca="false">IF(AO255="","",ROUND(AO255/(1+Справочники!$B$13),2))</f>
        <v/>
      </c>
      <c r="AQ255" s="90" t="str">
        <f aca="false" t="array" ref="AQ255:AQ255">IF(AP255="","",AP255*INDEX(Справочники!$B$4:$B$7,MATCH("RUB",Справочники!$A$4:$A$7,0)))</f>
        <v/>
      </c>
      <c r="AR255" s="90" t="str">
        <f aca="false">IF(AQ255="","",ROUND(AQ255*(1+Справочники!$B$12),0))</f>
        <v/>
      </c>
      <c r="AS255" s="90" t="str">
        <f aca="false">IF(AR255="","",ROUND(AR255*(1-Справочники!$B$11),0))</f>
        <v/>
      </c>
      <c r="AT255" s="88"/>
      <c r="AU255" s="90" t="str">
        <f aca="false">IF(AT255="","",ROUND(AT255/(1+Справочники!$B$12),0))</f>
        <v/>
      </c>
      <c r="AV255" s="90" t="str">
        <f aca="false">IF(AT255="","",ROUND(AT255*(1-Справочники!$B$15),0))</f>
        <v/>
      </c>
      <c r="AW255" s="90" t="str">
        <f aca="false">IF(AT255="","",ROUND(AT255*(1-Справочники!$B$16),0))</f>
        <v/>
      </c>
      <c r="AX255" s="90" t="str">
        <f aca="false">IF(AT255="","",ROUND(AT255*(1-Справочники!$B$17),0))</f>
        <v/>
      </c>
      <c r="AY255" s="90" t="str">
        <f aca="false">IF(AT255="","",ROUND(AT255*(1-Справочники!$B$18),0))</f>
        <v/>
      </c>
      <c r="AZ255" s="90" t="str">
        <f aca="false">IF(AT255="","",ROUND(AT255*(1-Справочники!$B$19),0))</f>
        <v/>
      </c>
      <c r="BA255" s="81"/>
      <c r="BB255" s="81"/>
      <c r="BC255" s="81"/>
      <c r="BD255" s="81"/>
      <c r="BE255" s="91"/>
      <c r="BF255" s="81" t="s">
        <v>103</v>
      </c>
      <c r="BG255" s="89" t="n">
        <f aca="false" t="array" ref="BG255:BG255">IF(BF255="","",IFERROR(INDEX(Справочники!$B$4:$B$7,MATCH(BF255,Справочники!$A$4:$A$7,0)),""))</f>
        <v>68.5</v>
      </c>
      <c r="BH255" s="90" t="str">
        <f aca="false">IF(N(BN255)&gt;0,ROUND(SUMIF(ЗАКАЗЫ!$F$3:$F$500,$A255,ЗАКАЗЫ!$Y$3:$Y$500)/BN255,0),IF(OR(BE255="",BG255=""),"",ROUND(BE255*BG255*(1+Справочники!$B$10),0)))</f>
        <v/>
      </c>
      <c r="BI255" s="92" t="str">
        <f aca="false">IF(OR(AU255="",BH255="",AU255=0),"",(AU255-BH255)/AU255)</f>
        <v/>
      </c>
      <c r="BJ255" s="81"/>
      <c r="BK255" s="83"/>
      <c r="BL255" s="43" t="str">
        <f aca="false">IFERROR(INDEX(ЗАКАЗЫ!$N$3:$N$500,MATCH($A255,ЗАКАЗЫ!$F$3:$F$500,0)),"")</f>
        <v/>
      </c>
      <c r="BM255" s="8" t="str">
        <f aca="false">IF(BL255="","",IFERROR(VLOOKUP(BL255,'ТН ВЭД'!$A$4:$C$40,3,0),""))</f>
        <v/>
      </c>
      <c r="BN255" s="7" t="str">
        <f aca="false">IF(COUNTIF(ЗАКАЗЫ!$F$3:$F$500,$A255)=0,"",SUMIF(ЗАКАЗЫ!$F$3:$F$500,$A255,ЗАКАЗЫ!$J$3:$J$500))</f>
        <v/>
      </c>
      <c r="BO255" s="7" t="str">
        <f aca="false">IF(BN255="","",SUMIF(ЗАКАЗЫ!$F$3:$F$500,$A255,ЗАКАЗЫ!$AL$3:$AL$500))</f>
        <v/>
      </c>
      <c r="BP255" s="7" t="str">
        <f aca="false">IF(BN255="","",BN255-BO255)</f>
        <v/>
      </c>
      <c r="BQ255" s="55" t="str">
        <f aca="false">IF(BN255="","",IF(BO255&gt;=BN255,"На складе",IF(BO255&gt;0,"Частично","Ждём")))</f>
        <v/>
      </c>
      <c r="BR255" s="43"/>
      <c r="BS255" s="47" t="str">
        <f aca="false">IF(BN255="","",IF(_xlfn.MAXIFS(ЗАКАЗЫ!$AK$3:$AK$500,ЗАКАЗЫ!$F$3:$F$500,$A255)=0,"",_xlfn.MAXIFS(ЗАКАЗЫ!$AK$3:$AK$500,ЗАКАЗЫ!$F$3:$F$500,$A255)))</f>
        <v/>
      </c>
    </row>
    <row r="256" customFormat="false" ht="15.75" hidden="false" customHeight="true" outlineLevel="0" collapsed="false">
      <c r="A256" s="80" t="s">
        <v>1457</v>
      </c>
      <c r="B256" s="81"/>
      <c r="C256" s="81"/>
      <c r="D256" s="81"/>
      <c r="E256" s="83"/>
      <c r="F256" s="81"/>
      <c r="G256" s="83"/>
      <c r="H256" s="83"/>
      <c r="I256" s="84" t="str">
        <f aca="false">IF(E256="","",A256&amp;"_1.jpg")</f>
        <v/>
      </c>
      <c r="J256" s="84" t="str">
        <f aca="false">IF(E256="","",A256&amp;"_2.jpg; "&amp;A256&amp;"_3.jpg")</f>
        <v/>
      </c>
      <c r="K256" s="84" t="str">
        <f aca="false">IF(E256="","",A256&amp;"_schema.jpg")</f>
        <v/>
      </c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 t="s">
        <v>96</v>
      </c>
      <c r="W256" s="81"/>
      <c r="X256" s="81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6" t="str">
        <f aca="false">IF(SUM(Y256:AJ256)=0,"",SUM(Y256:AJ256))</f>
        <v/>
      </c>
      <c r="AL256" s="84" t="str">
        <f aca="false">MID(IF(N(Y256)&gt;0,", "&amp;Y$2,"")&amp;IF(N(Z256)&gt;0,", "&amp;Z$2,"")&amp;IF(N(AA256)&gt;0,", "&amp;AA$2,"")&amp;IF(N(AB256)&gt;0,", "&amp;AB$2,"")&amp;IF(N(AC256)&gt;0,", "&amp;AC$2,"")&amp;IF(N(AD256)&gt;0,", "&amp;AD$2,"")&amp;IF(N(AE256)&gt;0,", "&amp;AE$2,"")&amp;IF(N(AF256)&gt;0,", "&amp;AF$2,"")&amp;IF(N(AG256)&gt;0,", "&amp;AG$2,"")&amp;IF(N(AH256)&gt;0,", "&amp;AH$2,"")&amp;IF(N(AI256)&gt;0,", "&amp;AI$2,"")&amp;IF(N(AJ256)&gt;0,", "&amp;AJ$2,""),3,999)</f>
        <v/>
      </c>
      <c r="AM256" s="87" t="str">
        <f aca="false">IF(E256="","",MID(IF(N(Y256)&gt;0,", "&amp;A256&amp;"-"&amp;Y$2,"")&amp;IF(N(Z256)&gt;0,", "&amp;A256&amp;"-"&amp;Z$2,"")&amp;IF(N(AA256)&gt;0,", "&amp;A256&amp;"-"&amp;AA$2,"")&amp;IF(N(AB256)&gt;0,", "&amp;A256&amp;"-"&amp;AB$2,"")&amp;IF(N(AC256)&gt;0,", "&amp;A256&amp;"-"&amp;AC$2,"")&amp;IF(N(AD256)&gt;0,", "&amp;A256&amp;"-"&amp;AD$2,"")&amp;IF(N(AE256)&gt;0,", "&amp;A256&amp;"-"&amp;AE$2,"")&amp;IF(N(AF256)&gt;0,", "&amp;A256&amp;"-"&amp;AF$2,"")&amp;IF(N(AG256)&gt;0,", "&amp;A256&amp;"-"&amp;AG$2,"")&amp;IF(N(AH256)&gt;0,", "&amp;A256&amp;"-"&amp;AH$2,"")&amp;IF(N(AI256)&gt;0,", "&amp;A256&amp;"-"&amp;AI$2,"")&amp;IF(N(AJ256)&gt;0,", "&amp;A256&amp;"-"&amp;AJ$2,""),3,999))</f>
        <v/>
      </c>
      <c r="AN256" s="81"/>
      <c r="AO256" s="88"/>
      <c r="AP256" s="89" t="str">
        <f aca="false">IF(AO256="","",ROUND(AO256/(1+Справочники!$B$13),2))</f>
        <v/>
      </c>
      <c r="AQ256" s="90" t="str">
        <f aca="false" t="array" ref="AQ256:AQ256">IF(AP256="","",AP256*INDEX(Справочники!$B$4:$B$7,MATCH("RUB",Справочники!$A$4:$A$7,0)))</f>
        <v/>
      </c>
      <c r="AR256" s="90" t="str">
        <f aca="false">IF(AQ256="","",ROUND(AQ256*(1+Справочники!$B$12),0))</f>
        <v/>
      </c>
      <c r="AS256" s="90" t="str">
        <f aca="false">IF(AR256="","",ROUND(AR256*(1-Справочники!$B$11),0))</f>
        <v/>
      </c>
      <c r="AT256" s="88"/>
      <c r="AU256" s="90" t="str">
        <f aca="false">IF(AT256="","",ROUND(AT256/(1+Справочники!$B$12),0))</f>
        <v/>
      </c>
      <c r="AV256" s="90" t="str">
        <f aca="false">IF(AT256="","",ROUND(AT256*(1-Справочники!$B$15),0))</f>
        <v/>
      </c>
      <c r="AW256" s="90" t="str">
        <f aca="false">IF(AT256="","",ROUND(AT256*(1-Справочники!$B$16),0))</f>
        <v/>
      </c>
      <c r="AX256" s="90" t="str">
        <f aca="false">IF(AT256="","",ROUND(AT256*(1-Справочники!$B$17),0))</f>
        <v/>
      </c>
      <c r="AY256" s="90" t="str">
        <f aca="false">IF(AT256="","",ROUND(AT256*(1-Справочники!$B$18),0))</f>
        <v/>
      </c>
      <c r="AZ256" s="90" t="str">
        <f aca="false">IF(AT256="","",ROUND(AT256*(1-Справочники!$B$19),0))</f>
        <v/>
      </c>
      <c r="BA256" s="81"/>
      <c r="BB256" s="81"/>
      <c r="BC256" s="81"/>
      <c r="BD256" s="81"/>
      <c r="BE256" s="91"/>
      <c r="BF256" s="81" t="s">
        <v>103</v>
      </c>
      <c r="BG256" s="89" t="n">
        <f aca="false" t="array" ref="BG256:BG256">IF(BF256="","",IFERROR(INDEX(Справочники!$B$4:$B$7,MATCH(BF256,Справочники!$A$4:$A$7,0)),""))</f>
        <v>68.5</v>
      </c>
      <c r="BH256" s="90" t="str">
        <f aca="false">IF(N(BN256)&gt;0,ROUND(SUMIF(ЗАКАЗЫ!$F$3:$F$500,$A256,ЗАКАЗЫ!$Y$3:$Y$500)/BN256,0),IF(OR(BE256="",BG256=""),"",ROUND(BE256*BG256*(1+Справочники!$B$10),0)))</f>
        <v/>
      </c>
      <c r="BI256" s="92" t="str">
        <f aca="false">IF(OR(AU256="",BH256="",AU256=0),"",(AU256-BH256)/AU256)</f>
        <v/>
      </c>
      <c r="BJ256" s="81"/>
      <c r="BK256" s="83"/>
      <c r="BL256" s="43" t="str">
        <f aca="false">IFERROR(INDEX(ЗАКАЗЫ!$N$3:$N$500,MATCH($A256,ЗАКАЗЫ!$F$3:$F$500,0)),"")</f>
        <v/>
      </c>
      <c r="BM256" s="8" t="str">
        <f aca="false">IF(BL256="","",IFERROR(VLOOKUP(BL256,'ТН ВЭД'!$A$4:$C$40,3,0),""))</f>
        <v/>
      </c>
      <c r="BN256" s="7" t="str">
        <f aca="false">IF(COUNTIF(ЗАКАЗЫ!$F$3:$F$500,$A256)=0,"",SUMIF(ЗАКАЗЫ!$F$3:$F$500,$A256,ЗАКАЗЫ!$J$3:$J$500))</f>
        <v/>
      </c>
      <c r="BO256" s="7" t="str">
        <f aca="false">IF(BN256="","",SUMIF(ЗАКАЗЫ!$F$3:$F$500,$A256,ЗАКАЗЫ!$AL$3:$AL$500))</f>
        <v/>
      </c>
      <c r="BP256" s="7" t="str">
        <f aca="false">IF(BN256="","",BN256-BO256)</f>
        <v/>
      </c>
      <c r="BQ256" s="55" t="str">
        <f aca="false">IF(BN256="","",IF(BO256&gt;=BN256,"На складе",IF(BO256&gt;0,"Частично","Ждём")))</f>
        <v/>
      </c>
      <c r="BR256" s="43"/>
      <c r="BS256" s="47" t="str">
        <f aca="false">IF(BN256="","",IF(_xlfn.MAXIFS(ЗАКАЗЫ!$AK$3:$AK$500,ЗАКАЗЫ!$F$3:$F$500,$A256)=0,"",_xlfn.MAXIFS(ЗАКАЗЫ!$AK$3:$AK$500,ЗАКАЗЫ!$F$3:$F$500,$A256)))</f>
        <v/>
      </c>
    </row>
    <row r="257" customFormat="false" ht="15.75" hidden="false" customHeight="true" outlineLevel="0" collapsed="false">
      <c r="A257" s="80" t="s">
        <v>1458</v>
      </c>
      <c r="B257" s="81"/>
      <c r="C257" s="81"/>
      <c r="D257" s="81"/>
      <c r="E257" s="83"/>
      <c r="F257" s="81"/>
      <c r="G257" s="83"/>
      <c r="H257" s="83"/>
      <c r="I257" s="84" t="str">
        <f aca="false">IF(E257="","",A257&amp;"_1.jpg")</f>
        <v/>
      </c>
      <c r="J257" s="84" t="str">
        <f aca="false">IF(E257="","",A257&amp;"_2.jpg; "&amp;A257&amp;"_3.jpg")</f>
        <v/>
      </c>
      <c r="K257" s="84" t="str">
        <f aca="false">IF(E257="","",A257&amp;"_schema.jpg")</f>
        <v/>
      </c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 t="s">
        <v>96</v>
      </c>
      <c r="W257" s="81"/>
      <c r="X257" s="81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6" t="str">
        <f aca="false">IF(SUM(Y257:AJ257)=0,"",SUM(Y257:AJ257))</f>
        <v/>
      </c>
      <c r="AL257" s="84" t="str">
        <f aca="false">MID(IF(N(Y257)&gt;0,", "&amp;Y$2,"")&amp;IF(N(Z257)&gt;0,", "&amp;Z$2,"")&amp;IF(N(AA257)&gt;0,", "&amp;AA$2,"")&amp;IF(N(AB257)&gt;0,", "&amp;AB$2,"")&amp;IF(N(AC257)&gt;0,", "&amp;AC$2,"")&amp;IF(N(AD257)&gt;0,", "&amp;AD$2,"")&amp;IF(N(AE257)&gt;0,", "&amp;AE$2,"")&amp;IF(N(AF257)&gt;0,", "&amp;AF$2,"")&amp;IF(N(AG257)&gt;0,", "&amp;AG$2,"")&amp;IF(N(AH257)&gt;0,", "&amp;AH$2,"")&amp;IF(N(AI257)&gt;0,", "&amp;AI$2,"")&amp;IF(N(AJ257)&gt;0,", "&amp;AJ$2,""),3,999)</f>
        <v/>
      </c>
      <c r="AM257" s="87" t="str">
        <f aca="false">IF(E257="","",MID(IF(N(Y257)&gt;0,", "&amp;A257&amp;"-"&amp;Y$2,"")&amp;IF(N(Z257)&gt;0,", "&amp;A257&amp;"-"&amp;Z$2,"")&amp;IF(N(AA257)&gt;0,", "&amp;A257&amp;"-"&amp;AA$2,"")&amp;IF(N(AB257)&gt;0,", "&amp;A257&amp;"-"&amp;AB$2,"")&amp;IF(N(AC257)&gt;0,", "&amp;A257&amp;"-"&amp;AC$2,"")&amp;IF(N(AD257)&gt;0,", "&amp;A257&amp;"-"&amp;AD$2,"")&amp;IF(N(AE257)&gt;0,", "&amp;A257&amp;"-"&amp;AE$2,"")&amp;IF(N(AF257)&gt;0,", "&amp;A257&amp;"-"&amp;AF$2,"")&amp;IF(N(AG257)&gt;0,", "&amp;A257&amp;"-"&amp;AG$2,"")&amp;IF(N(AH257)&gt;0,", "&amp;A257&amp;"-"&amp;AH$2,"")&amp;IF(N(AI257)&gt;0,", "&amp;A257&amp;"-"&amp;AI$2,"")&amp;IF(N(AJ257)&gt;0,", "&amp;A257&amp;"-"&amp;AJ$2,""),3,999))</f>
        <v/>
      </c>
      <c r="AN257" s="81"/>
      <c r="AO257" s="88"/>
      <c r="AP257" s="89" t="str">
        <f aca="false">IF(AO257="","",ROUND(AO257/(1+Справочники!$B$13),2))</f>
        <v/>
      </c>
      <c r="AQ257" s="90" t="str">
        <f aca="false" t="array" ref="AQ257:AQ257">IF(AP257="","",AP257*INDEX(Справочники!$B$4:$B$7,MATCH("RUB",Справочники!$A$4:$A$7,0)))</f>
        <v/>
      </c>
      <c r="AR257" s="90" t="str">
        <f aca="false">IF(AQ257="","",ROUND(AQ257*(1+Справочники!$B$12),0))</f>
        <v/>
      </c>
      <c r="AS257" s="90" t="str">
        <f aca="false">IF(AR257="","",ROUND(AR257*(1-Справочники!$B$11),0))</f>
        <v/>
      </c>
      <c r="AT257" s="88"/>
      <c r="AU257" s="90" t="str">
        <f aca="false">IF(AT257="","",ROUND(AT257/(1+Справочники!$B$12),0))</f>
        <v/>
      </c>
      <c r="AV257" s="90" t="str">
        <f aca="false">IF(AT257="","",ROUND(AT257*(1-Справочники!$B$15),0))</f>
        <v/>
      </c>
      <c r="AW257" s="90" t="str">
        <f aca="false">IF(AT257="","",ROUND(AT257*(1-Справочники!$B$16),0))</f>
        <v/>
      </c>
      <c r="AX257" s="90" t="str">
        <f aca="false">IF(AT257="","",ROUND(AT257*(1-Справочники!$B$17),0))</f>
        <v/>
      </c>
      <c r="AY257" s="90" t="str">
        <f aca="false">IF(AT257="","",ROUND(AT257*(1-Справочники!$B$18),0))</f>
        <v/>
      </c>
      <c r="AZ257" s="90" t="str">
        <f aca="false">IF(AT257="","",ROUND(AT257*(1-Справочники!$B$19),0))</f>
        <v/>
      </c>
      <c r="BA257" s="81"/>
      <c r="BB257" s="81"/>
      <c r="BC257" s="81"/>
      <c r="BD257" s="81"/>
      <c r="BE257" s="91"/>
      <c r="BF257" s="81" t="s">
        <v>103</v>
      </c>
      <c r="BG257" s="89" t="n">
        <f aca="false" t="array" ref="BG257:BG257">IF(BF257="","",IFERROR(INDEX(Справочники!$B$4:$B$7,MATCH(BF257,Справочники!$A$4:$A$7,0)),""))</f>
        <v>68.5</v>
      </c>
      <c r="BH257" s="90" t="str">
        <f aca="false">IF(N(BN257)&gt;0,ROUND(SUMIF(ЗАКАЗЫ!$F$3:$F$500,$A257,ЗАКАЗЫ!$Y$3:$Y$500)/BN257,0),IF(OR(BE257="",BG257=""),"",ROUND(BE257*BG257*(1+Справочники!$B$10),0)))</f>
        <v/>
      </c>
      <c r="BI257" s="92" t="str">
        <f aca="false">IF(OR(AU257="",BH257="",AU257=0),"",(AU257-BH257)/AU257)</f>
        <v/>
      </c>
      <c r="BJ257" s="81"/>
      <c r="BK257" s="83"/>
      <c r="BL257" s="43" t="str">
        <f aca="false">IFERROR(INDEX(ЗАКАЗЫ!$N$3:$N$500,MATCH($A257,ЗАКАЗЫ!$F$3:$F$500,0)),"")</f>
        <v/>
      </c>
      <c r="BM257" s="8" t="str">
        <f aca="false">IF(BL257="","",IFERROR(VLOOKUP(BL257,'ТН ВЭД'!$A$4:$C$40,3,0),""))</f>
        <v/>
      </c>
      <c r="BN257" s="7" t="str">
        <f aca="false">IF(COUNTIF(ЗАКАЗЫ!$F$3:$F$500,$A257)=0,"",SUMIF(ЗАКАЗЫ!$F$3:$F$500,$A257,ЗАКАЗЫ!$J$3:$J$500))</f>
        <v/>
      </c>
      <c r="BO257" s="7" t="str">
        <f aca="false">IF(BN257="","",SUMIF(ЗАКАЗЫ!$F$3:$F$500,$A257,ЗАКАЗЫ!$AL$3:$AL$500))</f>
        <v/>
      </c>
      <c r="BP257" s="7" t="str">
        <f aca="false">IF(BN257="","",BN257-BO257)</f>
        <v/>
      </c>
      <c r="BQ257" s="55" t="str">
        <f aca="false">IF(BN257="","",IF(BO257&gt;=BN257,"На складе",IF(BO257&gt;0,"Частично","Ждём")))</f>
        <v/>
      </c>
      <c r="BR257" s="43"/>
      <c r="BS257" s="47" t="str">
        <f aca="false">IF(BN257="","",IF(_xlfn.MAXIFS(ЗАКАЗЫ!$AK$3:$AK$500,ЗАКАЗЫ!$F$3:$F$500,$A257)=0,"",_xlfn.MAXIFS(ЗАКАЗЫ!$AK$3:$AK$500,ЗАКАЗЫ!$F$3:$F$500,$A257)))</f>
        <v/>
      </c>
    </row>
    <row r="258" customFormat="false" ht="15.75" hidden="false" customHeight="true" outlineLevel="0" collapsed="false">
      <c r="A258" s="80" t="s">
        <v>1459</v>
      </c>
      <c r="B258" s="81"/>
      <c r="C258" s="81"/>
      <c r="D258" s="81"/>
      <c r="E258" s="83"/>
      <c r="F258" s="81"/>
      <c r="G258" s="83"/>
      <c r="H258" s="83"/>
      <c r="I258" s="84" t="str">
        <f aca="false">IF(E258="","",A258&amp;"_1.jpg")</f>
        <v/>
      </c>
      <c r="J258" s="84" t="str">
        <f aca="false">IF(E258="","",A258&amp;"_2.jpg; "&amp;A258&amp;"_3.jpg")</f>
        <v/>
      </c>
      <c r="K258" s="84" t="str">
        <f aca="false">IF(E258="","",A258&amp;"_schema.jpg")</f>
        <v/>
      </c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 t="s">
        <v>96</v>
      </c>
      <c r="W258" s="81"/>
      <c r="X258" s="81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6" t="str">
        <f aca="false">IF(SUM(Y258:AJ258)=0,"",SUM(Y258:AJ258))</f>
        <v/>
      </c>
      <c r="AL258" s="84" t="str">
        <f aca="false">MID(IF(N(Y258)&gt;0,", "&amp;Y$2,"")&amp;IF(N(Z258)&gt;0,", "&amp;Z$2,"")&amp;IF(N(AA258)&gt;0,", "&amp;AA$2,"")&amp;IF(N(AB258)&gt;0,", "&amp;AB$2,"")&amp;IF(N(AC258)&gt;0,", "&amp;AC$2,"")&amp;IF(N(AD258)&gt;0,", "&amp;AD$2,"")&amp;IF(N(AE258)&gt;0,", "&amp;AE$2,"")&amp;IF(N(AF258)&gt;0,", "&amp;AF$2,"")&amp;IF(N(AG258)&gt;0,", "&amp;AG$2,"")&amp;IF(N(AH258)&gt;0,", "&amp;AH$2,"")&amp;IF(N(AI258)&gt;0,", "&amp;AI$2,"")&amp;IF(N(AJ258)&gt;0,", "&amp;AJ$2,""),3,999)</f>
        <v/>
      </c>
      <c r="AM258" s="87" t="str">
        <f aca="false">IF(E258="","",MID(IF(N(Y258)&gt;0,", "&amp;A258&amp;"-"&amp;Y$2,"")&amp;IF(N(Z258)&gt;0,", "&amp;A258&amp;"-"&amp;Z$2,"")&amp;IF(N(AA258)&gt;0,", "&amp;A258&amp;"-"&amp;AA$2,"")&amp;IF(N(AB258)&gt;0,", "&amp;A258&amp;"-"&amp;AB$2,"")&amp;IF(N(AC258)&gt;0,", "&amp;A258&amp;"-"&amp;AC$2,"")&amp;IF(N(AD258)&gt;0,", "&amp;A258&amp;"-"&amp;AD$2,"")&amp;IF(N(AE258)&gt;0,", "&amp;A258&amp;"-"&amp;AE$2,"")&amp;IF(N(AF258)&gt;0,", "&amp;A258&amp;"-"&amp;AF$2,"")&amp;IF(N(AG258)&gt;0,", "&amp;A258&amp;"-"&amp;AG$2,"")&amp;IF(N(AH258)&gt;0,", "&amp;A258&amp;"-"&amp;AH$2,"")&amp;IF(N(AI258)&gt;0,", "&amp;A258&amp;"-"&amp;AI$2,"")&amp;IF(N(AJ258)&gt;0,", "&amp;A258&amp;"-"&amp;AJ$2,""),3,999))</f>
        <v/>
      </c>
      <c r="AN258" s="81"/>
      <c r="AO258" s="88"/>
      <c r="AP258" s="89" t="str">
        <f aca="false">IF(AO258="","",ROUND(AO258/(1+Справочники!$B$13),2))</f>
        <v/>
      </c>
      <c r="AQ258" s="90" t="str">
        <f aca="false" t="array" ref="AQ258:AQ258">IF(AP258="","",AP258*INDEX(Справочники!$B$4:$B$7,MATCH("RUB",Справочники!$A$4:$A$7,0)))</f>
        <v/>
      </c>
      <c r="AR258" s="90" t="str">
        <f aca="false">IF(AQ258="","",ROUND(AQ258*(1+Справочники!$B$12),0))</f>
        <v/>
      </c>
      <c r="AS258" s="90" t="str">
        <f aca="false">IF(AR258="","",ROUND(AR258*(1-Справочники!$B$11),0))</f>
        <v/>
      </c>
      <c r="AT258" s="88"/>
      <c r="AU258" s="90" t="str">
        <f aca="false">IF(AT258="","",ROUND(AT258/(1+Справочники!$B$12),0))</f>
        <v/>
      </c>
      <c r="AV258" s="90" t="str">
        <f aca="false">IF(AT258="","",ROUND(AT258*(1-Справочники!$B$15),0))</f>
        <v/>
      </c>
      <c r="AW258" s="90" t="str">
        <f aca="false">IF(AT258="","",ROUND(AT258*(1-Справочники!$B$16),0))</f>
        <v/>
      </c>
      <c r="AX258" s="90" t="str">
        <f aca="false">IF(AT258="","",ROUND(AT258*(1-Справочники!$B$17),0))</f>
        <v/>
      </c>
      <c r="AY258" s="90" t="str">
        <f aca="false">IF(AT258="","",ROUND(AT258*(1-Справочники!$B$18),0))</f>
        <v/>
      </c>
      <c r="AZ258" s="90" t="str">
        <f aca="false">IF(AT258="","",ROUND(AT258*(1-Справочники!$B$19),0))</f>
        <v/>
      </c>
      <c r="BA258" s="81"/>
      <c r="BB258" s="81"/>
      <c r="BC258" s="81"/>
      <c r="BD258" s="81"/>
      <c r="BE258" s="91"/>
      <c r="BF258" s="81" t="s">
        <v>103</v>
      </c>
      <c r="BG258" s="89" t="n">
        <f aca="false" t="array" ref="BG258:BG258">IF(BF258="","",IFERROR(INDEX(Справочники!$B$4:$B$7,MATCH(BF258,Справочники!$A$4:$A$7,0)),""))</f>
        <v>68.5</v>
      </c>
      <c r="BH258" s="90" t="str">
        <f aca="false">IF(N(BN258)&gt;0,ROUND(SUMIF(ЗАКАЗЫ!$F$3:$F$500,$A258,ЗАКАЗЫ!$Y$3:$Y$500)/BN258,0),IF(OR(BE258="",BG258=""),"",ROUND(BE258*BG258*(1+Справочники!$B$10),0)))</f>
        <v/>
      </c>
      <c r="BI258" s="92" t="str">
        <f aca="false">IF(OR(AU258="",BH258="",AU258=0),"",(AU258-BH258)/AU258)</f>
        <v/>
      </c>
      <c r="BJ258" s="81"/>
      <c r="BK258" s="83"/>
      <c r="BL258" s="43" t="str">
        <f aca="false">IFERROR(INDEX(ЗАКАЗЫ!$N$3:$N$500,MATCH($A258,ЗАКАЗЫ!$F$3:$F$500,0)),"")</f>
        <v/>
      </c>
      <c r="BM258" s="8" t="str">
        <f aca="false">IF(BL258="","",IFERROR(VLOOKUP(BL258,'ТН ВЭД'!$A$4:$C$40,3,0),""))</f>
        <v/>
      </c>
      <c r="BN258" s="7" t="str">
        <f aca="false">IF(COUNTIF(ЗАКАЗЫ!$F$3:$F$500,$A258)=0,"",SUMIF(ЗАКАЗЫ!$F$3:$F$500,$A258,ЗАКАЗЫ!$J$3:$J$500))</f>
        <v/>
      </c>
      <c r="BO258" s="7" t="str">
        <f aca="false">IF(BN258="","",SUMIF(ЗАКАЗЫ!$F$3:$F$500,$A258,ЗАКАЗЫ!$AL$3:$AL$500))</f>
        <v/>
      </c>
      <c r="BP258" s="7" t="str">
        <f aca="false">IF(BN258="","",BN258-BO258)</f>
        <v/>
      </c>
      <c r="BQ258" s="55" t="str">
        <f aca="false">IF(BN258="","",IF(BO258&gt;=BN258,"На складе",IF(BO258&gt;0,"Частично","Ждём")))</f>
        <v/>
      </c>
      <c r="BR258" s="43"/>
      <c r="BS258" s="47" t="str">
        <f aca="false">IF(BN258="","",IF(_xlfn.MAXIFS(ЗАКАЗЫ!$AK$3:$AK$500,ЗАКАЗЫ!$F$3:$F$500,$A258)=0,"",_xlfn.MAXIFS(ЗАКАЗЫ!$AK$3:$AK$500,ЗАКАЗЫ!$F$3:$F$500,$A258)))</f>
        <v/>
      </c>
    </row>
    <row r="259" customFormat="false" ht="15.75" hidden="false" customHeight="true" outlineLevel="0" collapsed="false">
      <c r="A259" s="80" t="s">
        <v>1460</v>
      </c>
      <c r="B259" s="81"/>
      <c r="C259" s="81"/>
      <c r="D259" s="81"/>
      <c r="E259" s="83"/>
      <c r="F259" s="81"/>
      <c r="G259" s="83"/>
      <c r="H259" s="83"/>
      <c r="I259" s="84" t="str">
        <f aca="false">IF(E259="","",A259&amp;"_1.jpg")</f>
        <v/>
      </c>
      <c r="J259" s="84" t="str">
        <f aca="false">IF(E259="","",A259&amp;"_2.jpg; "&amp;A259&amp;"_3.jpg")</f>
        <v/>
      </c>
      <c r="K259" s="84" t="str">
        <f aca="false">IF(E259="","",A259&amp;"_schema.jpg")</f>
        <v/>
      </c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 t="s">
        <v>96</v>
      </c>
      <c r="W259" s="81"/>
      <c r="X259" s="81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6" t="str">
        <f aca="false">IF(SUM(Y259:AJ259)=0,"",SUM(Y259:AJ259))</f>
        <v/>
      </c>
      <c r="AL259" s="84" t="str">
        <f aca="false">MID(IF(N(Y259)&gt;0,", "&amp;Y$2,"")&amp;IF(N(Z259)&gt;0,", "&amp;Z$2,"")&amp;IF(N(AA259)&gt;0,", "&amp;AA$2,"")&amp;IF(N(AB259)&gt;0,", "&amp;AB$2,"")&amp;IF(N(AC259)&gt;0,", "&amp;AC$2,"")&amp;IF(N(AD259)&gt;0,", "&amp;AD$2,"")&amp;IF(N(AE259)&gt;0,", "&amp;AE$2,"")&amp;IF(N(AF259)&gt;0,", "&amp;AF$2,"")&amp;IF(N(AG259)&gt;0,", "&amp;AG$2,"")&amp;IF(N(AH259)&gt;0,", "&amp;AH$2,"")&amp;IF(N(AI259)&gt;0,", "&amp;AI$2,"")&amp;IF(N(AJ259)&gt;0,", "&amp;AJ$2,""),3,999)</f>
        <v/>
      </c>
      <c r="AM259" s="87" t="str">
        <f aca="false">IF(E259="","",MID(IF(N(Y259)&gt;0,", "&amp;A259&amp;"-"&amp;Y$2,"")&amp;IF(N(Z259)&gt;0,", "&amp;A259&amp;"-"&amp;Z$2,"")&amp;IF(N(AA259)&gt;0,", "&amp;A259&amp;"-"&amp;AA$2,"")&amp;IF(N(AB259)&gt;0,", "&amp;A259&amp;"-"&amp;AB$2,"")&amp;IF(N(AC259)&gt;0,", "&amp;A259&amp;"-"&amp;AC$2,"")&amp;IF(N(AD259)&gt;0,", "&amp;A259&amp;"-"&amp;AD$2,"")&amp;IF(N(AE259)&gt;0,", "&amp;A259&amp;"-"&amp;AE$2,"")&amp;IF(N(AF259)&gt;0,", "&amp;A259&amp;"-"&amp;AF$2,"")&amp;IF(N(AG259)&gt;0,", "&amp;A259&amp;"-"&amp;AG$2,"")&amp;IF(N(AH259)&gt;0,", "&amp;A259&amp;"-"&amp;AH$2,"")&amp;IF(N(AI259)&gt;0,", "&amp;A259&amp;"-"&amp;AI$2,"")&amp;IF(N(AJ259)&gt;0,", "&amp;A259&amp;"-"&amp;AJ$2,""),3,999))</f>
        <v/>
      </c>
      <c r="AN259" s="81"/>
      <c r="AO259" s="88"/>
      <c r="AP259" s="89" t="str">
        <f aca="false">IF(AO259="","",ROUND(AO259/(1+Справочники!$B$13),2))</f>
        <v/>
      </c>
      <c r="AQ259" s="90" t="str">
        <f aca="false" t="array" ref="AQ259:AQ259">IF(AP259="","",AP259*INDEX(Справочники!$B$4:$B$7,MATCH("RUB",Справочники!$A$4:$A$7,0)))</f>
        <v/>
      </c>
      <c r="AR259" s="90" t="str">
        <f aca="false">IF(AQ259="","",ROUND(AQ259*(1+Справочники!$B$12),0))</f>
        <v/>
      </c>
      <c r="AS259" s="90" t="str">
        <f aca="false">IF(AR259="","",ROUND(AR259*(1-Справочники!$B$11),0))</f>
        <v/>
      </c>
      <c r="AT259" s="88"/>
      <c r="AU259" s="90" t="str">
        <f aca="false">IF(AT259="","",ROUND(AT259/(1+Справочники!$B$12),0))</f>
        <v/>
      </c>
      <c r="AV259" s="90" t="str">
        <f aca="false">IF(AT259="","",ROUND(AT259*(1-Справочники!$B$15),0))</f>
        <v/>
      </c>
      <c r="AW259" s="90" t="str">
        <f aca="false">IF(AT259="","",ROUND(AT259*(1-Справочники!$B$16),0))</f>
        <v/>
      </c>
      <c r="AX259" s="90" t="str">
        <f aca="false">IF(AT259="","",ROUND(AT259*(1-Справочники!$B$17),0))</f>
        <v/>
      </c>
      <c r="AY259" s="90" t="str">
        <f aca="false">IF(AT259="","",ROUND(AT259*(1-Справочники!$B$18),0))</f>
        <v/>
      </c>
      <c r="AZ259" s="90" t="str">
        <f aca="false">IF(AT259="","",ROUND(AT259*(1-Справочники!$B$19),0))</f>
        <v/>
      </c>
      <c r="BA259" s="81"/>
      <c r="BB259" s="81"/>
      <c r="BC259" s="81"/>
      <c r="BD259" s="81"/>
      <c r="BE259" s="91"/>
      <c r="BF259" s="81" t="s">
        <v>103</v>
      </c>
      <c r="BG259" s="89" t="n">
        <f aca="false" t="array" ref="BG259:BG259">IF(BF259="","",IFERROR(INDEX(Справочники!$B$4:$B$7,MATCH(BF259,Справочники!$A$4:$A$7,0)),""))</f>
        <v>68.5</v>
      </c>
      <c r="BH259" s="90" t="str">
        <f aca="false">IF(N(BN259)&gt;0,ROUND(SUMIF(ЗАКАЗЫ!$F$3:$F$500,$A259,ЗАКАЗЫ!$Y$3:$Y$500)/BN259,0),IF(OR(BE259="",BG259=""),"",ROUND(BE259*BG259*(1+Справочники!$B$10),0)))</f>
        <v/>
      </c>
      <c r="BI259" s="92" t="str">
        <f aca="false">IF(OR(AU259="",BH259="",AU259=0),"",(AU259-BH259)/AU259)</f>
        <v/>
      </c>
      <c r="BJ259" s="81"/>
      <c r="BK259" s="83"/>
      <c r="BL259" s="43" t="str">
        <f aca="false">IFERROR(INDEX(ЗАКАЗЫ!$N$3:$N$500,MATCH($A259,ЗАКАЗЫ!$F$3:$F$500,0)),"")</f>
        <v/>
      </c>
      <c r="BM259" s="8" t="str">
        <f aca="false">IF(BL259="","",IFERROR(VLOOKUP(BL259,'ТН ВЭД'!$A$4:$C$40,3,0),""))</f>
        <v/>
      </c>
      <c r="BN259" s="7" t="str">
        <f aca="false">IF(COUNTIF(ЗАКАЗЫ!$F$3:$F$500,$A259)=0,"",SUMIF(ЗАКАЗЫ!$F$3:$F$500,$A259,ЗАКАЗЫ!$J$3:$J$500))</f>
        <v/>
      </c>
      <c r="BO259" s="7" t="str">
        <f aca="false">IF(BN259="","",SUMIF(ЗАКАЗЫ!$F$3:$F$500,$A259,ЗАКАЗЫ!$AL$3:$AL$500))</f>
        <v/>
      </c>
      <c r="BP259" s="7" t="str">
        <f aca="false">IF(BN259="","",BN259-BO259)</f>
        <v/>
      </c>
      <c r="BQ259" s="55" t="str">
        <f aca="false">IF(BN259="","",IF(BO259&gt;=BN259,"На складе",IF(BO259&gt;0,"Частично","Ждём")))</f>
        <v/>
      </c>
      <c r="BR259" s="43"/>
      <c r="BS259" s="47" t="str">
        <f aca="false">IF(BN259="","",IF(_xlfn.MAXIFS(ЗАКАЗЫ!$AK$3:$AK$500,ЗАКАЗЫ!$F$3:$F$500,$A259)=0,"",_xlfn.MAXIFS(ЗАКАЗЫ!$AK$3:$AK$500,ЗАКАЗЫ!$F$3:$F$500,$A259)))</f>
        <v/>
      </c>
    </row>
    <row r="260" customFormat="false" ht="15.75" hidden="false" customHeight="true" outlineLevel="0" collapsed="false">
      <c r="A260" s="80" t="s">
        <v>1461</v>
      </c>
      <c r="B260" s="81"/>
      <c r="C260" s="81"/>
      <c r="D260" s="81"/>
      <c r="E260" s="83"/>
      <c r="F260" s="81"/>
      <c r="G260" s="83"/>
      <c r="H260" s="83"/>
      <c r="I260" s="84" t="str">
        <f aca="false">IF(E260="","",A260&amp;"_1.jpg")</f>
        <v/>
      </c>
      <c r="J260" s="84" t="str">
        <f aca="false">IF(E260="","",A260&amp;"_2.jpg; "&amp;A260&amp;"_3.jpg")</f>
        <v/>
      </c>
      <c r="K260" s="84" t="str">
        <f aca="false">IF(E260="","",A260&amp;"_schema.jpg")</f>
        <v/>
      </c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 t="s">
        <v>96</v>
      </c>
      <c r="W260" s="81"/>
      <c r="X260" s="81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6" t="str">
        <f aca="false">IF(SUM(Y260:AJ260)=0,"",SUM(Y260:AJ260))</f>
        <v/>
      </c>
      <c r="AL260" s="84" t="str">
        <f aca="false">MID(IF(N(Y260)&gt;0,", "&amp;Y$2,"")&amp;IF(N(Z260)&gt;0,", "&amp;Z$2,"")&amp;IF(N(AA260)&gt;0,", "&amp;AA$2,"")&amp;IF(N(AB260)&gt;0,", "&amp;AB$2,"")&amp;IF(N(AC260)&gt;0,", "&amp;AC$2,"")&amp;IF(N(AD260)&gt;0,", "&amp;AD$2,"")&amp;IF(N(AE260)&gt;0,", "&amp;AE$2,"")&amp;IF(N(AF260)&gt;0,", "&amp;AF$2,"")&amp;IF(N(AG260)&gt;0,", "&amp;AG$2,"")&amp;IF(N(AH260)&gt;0,", "&amp;AH$2,"")&amp;IF(N(AI260)&gt;0,", "&amp;AI$2,"")&amp;IF(N(AJ260)&gt;0,", "&amp;AJ$2,""),3,999)</f>
        <v/>
      </c>
      <c r="AM260" s="87" t="str">
        <f aca="false">IF(E260="","",MID(IF(N(Y260)&gt;0,", "&amp;A260&amp;"-"&amp;Y$2,"")&amp;IF(N(Z260)&gt;0,", "&amp;A260&amp;"-"&amp;Z$2,"")&amp;IF(N(AA260)&gt;0,", "&amp;A260&amp;"-"&amp;AA$2,"")&amp;IF(N(AB260)&gt;0,", "&amp;A260&amp;"-"&amp;AB$2,"")&amp;IF(N(AC260)&gt;0,", "&amp;A260&amp;"-"&amp;AC$2,"")&amp;IF(N(AD260)&gt;0,", "&amp;A260&amp;"-"&amp;AD$2,"")&amp;IF(N(AE260)&gt;0,", "&amp;A260&amp;"-"&amp;AE$2,"")&amp;IF(N(AF260)&gt;0,", "&amp;A260&amp;"-"&amp;AF$2,"")&amp;IF(N(AG260)&gt;0,", "&amp;A260&amp;"-"&amp;AG$2,"")&amp;IF(N(AH260)&gt;0,", "&amp;A260&amp;"-"&amp;AH$2,"")&amp;IF(N(AI260)&gt;0,", "&amp;A260&amp;"-"&amp;AI$2,"")&amp;IF(N(AJ260)&gt;0,", "&amp;A260&amp;"-"&amp;AJ$2,""),3,999))</f>
        <v/>
      </c>
      <c r="AN260" s="81"/>
      <c r="AO260" s="88"/>
      <c r="AP260" s="89" t="str">
        <f aca="false">IF(AO260="","",ROUND(AO260/(1+Справочники!$B$13),2))</f>
        <v/>
      </c>
      <c r="AQ260" s="90" t="str">
        <f aca="false" t="array" ref="AQ260:AQ260">IF(AP260="","",AP260*INDEX(Справочники!$B$4:$B$7,MATCH("RUB",Справочники!$A$4:$A$7,0)))</f>
        <v/>
      </c>
      <c r="AR260" s="90" t="str">
        <f aca="false">IF(AQ260="","",ROUND(AQ260*(1+Справочники!$B$12),0))</f>
        <v/>
      </c>
      <c r="AS260" s="90" t="str">
        <f aca="false">IF(AR260="","",ROUND(AR260*(1-Справочники!$B$11),0))</f>
        <v/>
      </c>
      <c r="AT260" s="88"/>
      <c r="AU260" s="90" t="str">
        <f aca="false">IF(AT260="","",ROUND(AT260/(1+Справочники!$B$12),0))</f>
        <v/>
      </c>
      <c r="AV260" s="90" t="str">
        <f aca="false">IF(AT260="","",ROUND(AT260*(1-Справочники!$B$15),0))</f>
        <v/>
      </c>
      <c r="AW260" s="90" t="str">
        <f aca="false">IF(AT260="","",ROUND(AT260*(1-Справочники!$B$16),0))</f>
        <v/>
      </c>
      <c r="AX260" s="90" t="str">
        <f aca="false">IF(AT260="","",ROUND(AT260*(1-Справочники!$B$17),0))</f>
        <v/>
      </c>
      <c r="AY260" s="90" t="str">
        <f aca="false">IF(AT260="","",ROUND(AT260*(1-Справочники!$B$18),0))</f>
        <v/>
      </c>
      <c r="AZ260" s="90" t="str">
        <f aca="false">IF(AT260="","",ROUND(AT260*(1-Справочники!$B$19),0))</f>
        <v/>
      </c>
      <c r="BA260" s="81"/>
      <c r="BB260" s="81"/>
      <c r="BC260" s="81"/>
      <c r="BD260" s="81"/>
      <c r="BE260" s="91"/>
      <c r="BF260" s="81" t="s">
        <v>103</v>
      </c>
      <c r="BG260" s="89" t="n">
        <f aca="false" t="array" ref="BG260:BG260">IF(BF260="","",IFERROR(INDEX(Справочники!$B$4:$B$7,MATCH(BF260,Справочники!$A$4:$A$7,0)),""))</f>
        <v>68.5</v>
      </c>
      <c r="BH260" s="90" t="str">
        <f aca="false">IF(N(BN260)&gt;0,ROUND(SUMIF(ЗАКАЗЫ!$F$3:$F$500,$A260,ЗАКАЗЫ!$Y$3:$Y$500)/BN260,0),IF(OR(BE260="",BG260=""),"",ROUND(BE260*BG260*(1+Справочники!$B$10),0)))</f>
        <v/>
      </c>
      <c r="BI260" s="92" t="str">
        <f aca="false">IF(OR(AU260="",BH260="",AU260=0),"",(AU260-BH260)/AU260)</f>
        <v/>
      </c>
      <c r="BJ260" s="81"/>
      <c r="BK260" s="83"/>
      <c r="BL260" s="43" t="str">
        <f aca="false">IFERROR(INDEX(ЗАКАЗЫ!$N$3:$N$500,MATCH($A260,ЗАКАЗЫ!$F$3:$F$500,0)),"")</f>
        <v/>
      </c>
      <c r="BM260" s="8" t="str">
        <f aca="false">IF(BL260="","",IFERROR(VLOOKUP(BL260,'ТН ВЭД'!$A$4:$C$40,3,0),""))</f>
        <v/>
      </c>
      <c r="BN260" s="7" t="str">
        <f aca="false">IF(COUNTIF(ЗАКАЗЫ!$F$3:$F$500,$A260)=0,"",SUMIF(ЗАКАЗЫ!$F$3:$F$500,$A260,ЗАКАЗЫ!$J$3:$J$500))</f>
        <v/>
      </c>
      <c r="BO260" s="7" t="str">
        <f aca="false">IF(BN260="","",SUMIF(ЗАКАЗЫ!$F$3:$F$500,$A260,ЗАКАЗЫ!$AL$3:$AL$500))</f>
        <v/>
      </c>
      <c r="BP260" s="7" t="str">
        <f aca="false">IF(BN260="","",BN260-BO260)</f>
        <v/>
      </c>
      <c r="BQ260" s="55" t="str">
        <f aca="false">IF(BN260="","",IF(BO260&gt;=BN260,"На складе",IF(BO260&gt;0,"Частично","Ждём")))</f>
        <v/>
      </c>
      <c r="BR260" s="43"/>
      <c r="BS260" s="47" t="str">
        <f aca="false">IF(BN260="","",IF(_xlfn.MAXIFS(ЗАКАЗЫ!$AK$3:$AK$500,ЗАКАЗЫ!$F$3:$F$500,$A260)=0,"",_xlfn.MAXIFS(ЗАКАЗЫ!$AK$3:$AK$500,ЗАКАЗЫ!$F$3:$F$500,$A260)))</f>
        <v/>
      </c>
    </row>
    <row r="261" customFormat="false" ht="15.75" hidden="false" customHeight="true" outlineLevel="0" collapsed="false">
      <c r="A261" s="80" t="s">
        <v>1462</v>
      </c>
      <c r="B261" s="81"/>
      <c r="C261" s="81"/>
      <c r="D261" s="81"/>
      <c r="E261" s="83"/>
      <c r="F261" s="81"/>
      <c r="G261" s="83"/>
      <c r="H261" s="83"/>
      <c r="I261" s="84" t="str">
        <f aca="false">IF(E261="","",A261&amp;"_1.jpg")</f>
        <v/>
      </c>
      <c r="J261" s="84" t="str">
        <f aca="false">IF(E261="","",A261&amp;"_2.jpg; "&amp;A261&amp;"_3.jpg")</f>
        <v/>
      </c>
      <c r="K261" s="84" t="str">
        <f aca="false">IF(E261="","",A261&amp;"_schema.jpg")</f>
        <v/>
      </c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 t="s">
        <v>96</v>
      </c>
      <c r="W261" s="81"/>
      <c r="X261" s="81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6" t="str">
        <f aca="false">IF(SUM(Y261:AJ261)=0,"",SUM(Y261:AJ261))</f>
        <v/>
      </c>
      <c r="AL261" s="84" t="str">
        <f aca="false">MID(IF(N(Y261)&gt;0,", "&amp;Y$2,"")&amp;IF(N(Z261)&gt;0,", "&amp;Z$2,"")&amp;IF(N(AA261)&gt;0,", "&amp;AA$2,"")&amp;IF(N(AB261)&gt;0,", "&amp;AB$2,"")&amp;IF(N(AC261)&gt;0,", "&amp;AC$2,"")&amp;IF(N(AD261)&gt;0,", "&amp;AD$2,"")&amp;IF(N(AE261)&gt;0,", "&amp;AE$2,"")&amp;IF(N(AF261)&gt;0,", "&amp;AF$2,"")&amp;IF(N(AG261)&gt;0,", "&amp;AG$2,"")&amp;IF(N(AH261)&gt;0,", "&amp;AH$2,"")&amp;IF(N(AI261)&gt;0,", "&amp;AI$2,"")&amp;IF(N(AJ261)&gt;0,", "&amp;AJ$2,""),3,999)</f>
        <v/>
      </c>
      <c r="AM261" s="87" t="str">
        <f aca="false">IF(E261="","",MID(IF(N(Y261)&gt;0,", "&amp;A261&amp;"-"&amp;Y$2,"")&amp;IF(N(Z261)&gt;0,", "&amp;A261&amp;"-"&amp;Z$2,"")&amp;IF(N(AA261)&gt;0,", "&amp;A261&amp;"-"&amp;AA$2,"")&amp;IF(N(AB261)&gt;0,", "&amp;A261&amp;"-"&amp;AB$2,"")&amp;IF(N(AC261)&gt;0,", "&amp;A261&amp;"-"&amp;AC$2,"")&amp;IF(N(AD261)&gt;0,", "&amp;A261&amp;"-"&amp;AD$2,"")&amp;IF(N(AE261)&gt;0,", "&amp;A261&amp;"-"&amp;AE$2,"")&amp;IF(N(AF261)&gt;0,", "&amp;A261&amp;"-"&amp;AF$2,"")&amp;IF(N(AG261)&gt;0,", "&amp;A261&amp;"-"&amp;AG$2,"")&amp;IF(N(AH261)&gt;0,", "&amp;A261&amp;"-"&amp;AH$2,"")&amp;IF(N(AI261)&gt;0,", "&amp;A261&amp;"-"&amp;AI$2,"")&amp;IF(N(AJ261)&gt;0,", "&amp;A261&amp;"-"&amp;AJ$2,""),3,999))</f>
        <v/>
      </c>
      <c r="AN261" s="81"/>
      <c r="AO261" s="88"/>
      <c r="AP261" s="89" t="str">
        <f aca="false">IF(AO261="","",ROUND(AO261/(1+Справочники!$B$13),2))</f>
        <v/>
      </c>
      <c r="AQ261" s="90" t="str">
        <f aca="false" t="array" ref="AQ261:AQ261">IF(AP261="","",AP261*INDEX(Справочники!$B$4:$B$7,MATCH("RUB",Справочники!$A$4:$A$7,0)))</f>
        <v/>
      </c>
      <c r="AR261" s="90" t="str">
        <f aca="false">IF(AQ261="","",ROUND(AQ261*(1+Справочники!$B$12),0))</f>
        <v/>
      </c>
      <c r="AS261" s="90" t="str">
        <f aca="false">IF(AR261="","",ROUND(AR261*(1-Справочники!$B$11),0))</f>
        <v/>
      </c>
      <c r="AT261" s="88"/>
      <c r="AU261" s="90" t="str">
        <f aca="false">IF(AT261="","",ROUND(AT261/(1+Справочники!$B$12),0))</f>
        <v/>
      </c>
      <c r="AV261" s="90" t="str">
        <f aca="false">IF(AT261="","",ROUND(AT261*(1-Справочники!$B$15),0))</f>
        <v/>
      </c>
      <c r="AW261" s="90" t="str">
        <f aca="false">IF(AT261="","",ROUND(AT261*(1-Справочники!$B$16),0))</f>
        <v/>
      </c>
      <c r="AX261" s="90" t="str">
        <f aca="false">IF(AT261="","",ROUND(AT261*(1-Справочники!$B$17),0))</f>
        <v/>
      </c>
      <c r="AY261" s="90" t="str">
        <f aca="false">IF(AT261="","",ROUND(AT261*(1-Справочники!$B$18),0))</f>
        <v/>
      </c>
      <c r="AZ261" s="90" t="str">
        <f aca="false">IF(AT261="","",ROUND(AT261*(1-Справочники!$B$19),0))</f>
        <v/>
      </c>
      <c r="BA261" s="81"/>
      <c r="BB261" s="81"/>
      <c r="BC261" s="81"/>
      <c r="BD261" s="81"/>
      <c r="BE261" s="91"/>
      <c r="BF261" s="81" t="s">
        <v>103</v>
      </c>
      <c r="BG261" s="89" t="n">
        <f aca="false" t="array" ref="BG261:BG261">IF(BF261="","",IFERROR(INDEX(Справочники!$B$4:$B$7,MATCH(BF261,Справочники!$A$4:$A$7,0)),""))</f>
        <v>68.5</v>
      </c>
      <c r="BH261" s="90" t="str">
        <f aca="false">IF(N(BN261)&gt;0,ROUND(SUMIF(ЗАКАЗЫ!$F$3:$F$500,$A261,ЗАКАЗЫ!$Y$3:$Y$500)/BN261,0),IF(OR(BE261="",BG261=""),"",ROUND(BE261*BG261*(1+Справочники!$B$10),0)))</f>
        <v/>
      </c>
      <c r="BI261" s="92" t="str">
        <f aca="false">IF(OR(AU261="",BH261="",AU261=0),"",(AU261-BH261)/AU261)</f>
        <v/>
      </c>
      <c r="BJ261" s="81"/>
      <c r="BK261" s="83"/>
      <c r="BL261" s="43" t="str">
        <f aca="false">IFERROR(INDEX(ЗАКАЗЫ!$N$3:$N$500,MATCH($A261,ЗАКАЗЫ!$F$3:$F$500,0)),"")</f>
        <v/>
      </c>
      <c r="BM261" s="8" t="str">
        <f aca="false">IF(BL261="","",IFERROR(VLOOKUP(BL261,'ТН ВЭД'!$A$4:$C$40,3,0),""))</f>
        <v/>
      </c>
      <c r="BN261" s="7" t="str">
        <f aca="false">IF(COUNTIF(ЗАКАЗЫ!$F$3:$F$500,$A261)=0,"",SUMIF(ЗАКАЗЫ!$F$3:$F$500,$A261,ЗАКАЗЫ!$J$3:$J$500))</f>
        <v/>
      </c>
      <c r="BO261" s="7" t="str">
        <f aca="false">IF(BN261="","",SUMIF(ЗАКАЗЫ!$F$3:$F$500,$A261,ЗАКАЗЫ!$AL$3:$AL$500))</f>
        <v/>
      </c>
      <c r="BP261" s="7" t="str">
        <f aca="false">IF(BN261="","",BN261-BO261)</f>
        <v/>
      </c>
      <c r="BQ261" s="55" t="str">
        <f aca="false">IF(BN261="","",IF(BO261&gt;=BN261,"На складе",IF(BO261&gt;0,"Частично","Ждём")))</f>
        <v/>
      </c>
      <c r="BR261" s="43"/>
      <c r="BS261" s="47" t="str">
        <f aca="false">IF(BN261="","",IF(_xlfn.MAXIFS(ЗАКАЗЫ!$AK$3:$AK$500,ЗАКАЗЫ!$F$3:$F$500,$A261)=0,"",_xlfn.MAXIFS(ЗАКАЗЫ!$AK$3:$AK$500,ЗАКАЗЫ!$F$3:$F$500,$A261)))</f>
        <v/>
      </c>
    </row>
    <row r="262" customFormat="false" ht="15.75" hidden="false" customHeight="true" outlineLevel="0" collapsed="false">
      <c r="A262" s="80" t="s">
        <v>1463</v>
      </c>
      <c r="B262" s="81"/>
      <c r="C262" s="81"/>
      <c r="D262" s="81"/>
      <c r="E262" s="83"/>
      <c r="F262" s="81"/>
      <c r="G262" s="83"/>
      <c r="H262" s="83"/>
      <c r="I262" s="84" t="str">
        <f aca="false">IF(E262="","",A262&amp;"_1.jpg")</f>
        <v/>
      </c>
      <c r="J262" s="84" t="str">
        <f aca="false">IF(E262="","",A262&amp;"_2.jpg; "&amp;A262&amp;"_3.jpg")</f>
        <v/>
      </c>
      <c r="K262" s="84" t="str">
        <f aca="false">IF(E262="","",A262&amp;"_schema.jpg")</f>
        <v/>
      </c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 t="s">
        <v>96</v>
      </c>
      <c r="W262" s="81"/>
      <c r="X262" s="81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6" t="str">
        <f aca="false">IF(SUM(Y262:AJ262)=0,"",SUM(Y262:AJ262))</f>
        <v/>
      </c>
      <c r="AL262" s="84" t="str">
        <f aca="false">MID(IF(N(Y262)&gt;0,", "&amp;Y$2,"")&amp;IF(N(Z262)&gt;0,", "&amp;Z$2,"")&amp;IF(N(AA262)&gt;0,", "&amp;AA$2,"")&amp;IF(N(AB262)&gt;0,", "&amp;AB$2,"")&amp;IF(N(AC262)&gt;0,", "&amp;AC$2,"")&amp;IF(N(AD262)&gt;0,", "&amp;AD$2,"")&amp;IF(N(AE262)&gt;0,", "&amp;AE$2,"")&amp;IF(N(AF262)&gt;0,", "&amp;AF$2,"")&amp;IF(N(AG262)&gt;0,", "&amp;AG$2,"")&amp;IF(N(AH262)&gt;0,", "&amp;AH$2,"")&amp;IF(N(AI262)&gt;0,", "&amp;AI$2,"")&amp;IF(N(AJ262)&gt;0,", "&amp;AJ$2,""),3,999)</f>
        <v/>
      </c>
      <c r="AM262" s="87" t="str">
        <f aca="false">IF(E262="","",MID(IF(N(Y262)&gt;0,", "&amp;A262&amp;"-"&amp;Y$2,"")&amp;IF(N(Z262)&gt;0,", "&amp;A262&amp;"-"&amp;Z$2,"")&amp;IF(N(AA262)&gt;0,", "&amp;A262&amp;"-"&amp;AA$2,"")&amp;IF(N(AB262)&gt;0,", "&amp;A262&amp;"-"&amp;AB$2,"")&amp;IF(N(AC262)&gt;0,", "&amp;A262&amp;"-"&amp;AC$2,"")&amp;IF(N(AD262)&gt;0,", "&amp;A262&amp;"-"&amp;AD$2,"")&amp;IF(N(AE262)&gt;0,", "&amp;A262&amp;"-"&amp;AE$2,"")&amp;IF(N(AF262)&gt;0,", "&amp;A262&amp;"-"&amp;AF$2,"")&amp;IF(N(AG262)&gt;0,", "&amp;A262&amp;"-"&amp;AG$2,"")&amp;IF(N(AH262)&gt;0,", "&amp;A262&amp;"-"&amp;AH$2,"")&amp;IF(N(AI262)&gt;0,", "&amp;A262&amp;"-"&amp;AI$2,"")&amp;IF(N(AJ262)&gt;0,", "&amp;A262&amp;"-"&amp;AJ$2,""),3,999))</f>
        <v/>
      </c>
      <c r="AN262" s="81"/>
      <c r="AO262" s="88"/>
      <c r="AP262" s="89" t="str">
        <f aca="false">IF(AO262="","",ROUND(AO262/(1+Справочники!$B$13),2))</f>
        <v/>
      </c>
      <c r="AQ262" s="90" t="str">
        <f aca="false" t="array" ref="AQ262:AQ262">IF(AP262="","",AP262*INDEX(Справочники!$B$4:$B$7,MATCH("RUB",Справочники!$A$4:$A$7,0)))</f>
        <v/>
      </c>
      <c r="AR262" s="90" t="str">
        <f aca="false">IF(AQ262="","",ROUND(AQ262*(1+Справочники!$B$12),0))</f>
        <v/>
      </c>
      <c r="AS262" s="90" t="str">
        <f aca="false">IF(AR262="","",ROUND(AR262*(1-Справочники!$B$11),0))</f>
        <v/>
      </c>
      <c r="AT262" s="88"/>
      <c r="AU262" s="90" t="str">
        <f aca="false">IF(AT262="","",ROUND(AT262/(1+Справочники!$B$12),0))</f>
        <v/>
      </c>
      <c r="AV262" s="90" t="str">
        <f aca="false">IF(AT262="","",ROUND(AT262*(1-Справочники!$B$15),0))</f>
        <v/>
      </c>
      <c r="AW262" s="90" t="str">
        <f aca="false">IF(AT262="","",ROUND(AT262*(1-Справочники!$B$16),0))</f>
        <v/>
      </c>
      <c r="AX262" s="90" t="str">
        <f aca="false">IF(AT262="","",ROUND(AT262*(1-Справочники!$B$17),0))</f>
        <v/>
      </c>
      <c r="AY262" s="90" t="str">
        <f aca="false">IF(AT262="","",ROUND(AT262*(1-Справочники!$B$18),0))</f>
        <v/>
      </c>
      <c r="AZ262" s="90" t="str">
        <f aca="false">IF(AT262="","",ROUND(AT262*(1-Справочники!$B$19),0))</f>
        <v/>
      </c>
      <c r="BA262" s="81"/>
      <c r="BB262" s="81"/>
      <c r="BC262" s="81"/>
      <c r="BD262" s="81"/>
      <c r="BE262" s="91"/>
      <c r="BF262" s="81" t="s">
        <v>103</v>
      </c>
      <c r="BG262" s="89" t="n">
        <f aca="false" t="array" ref="BG262:BG262">IF(BF262="","",IFERROR(INDEX(Справочники!$B$4:$B$7,MATCH(BF262,Справочники!$A$4:$A$7,0)),""))</f>
        <v>68.5</v>
      </c>
      <c r="BH262" s="90" t="str">
        <f aca="false">IF(N(BN262)&gt;0,ROUND(SUMIF(ЗАКАЗЫ!$F$3:$F$500,$A262,ЗАКАЗЫ!$Y$3:$Y$500)/BN262,0),IF(OR(BE262="",BG262=""),"",ROUND(BE262*BG262*(1+Справочники!$B$10),0)))</f>
        <v/>
      </c>
      <c r="BI262" s="92" t="str">
        <f aca="false">IF(OR(AU262="",BH262="",AU262=0),"",(AU262-BH262)/AU262)</f>
        <v/>
      </c>
      <c r="BJ262" s="81"/>
      <c r="BK262" s="83"/>
      <c r="BL262" s="43" t="str">
        <f aca="false">IFERROR(INDEX(ЗАКАЗЫ!$N$3:$N$500,MATCH($A262,ЗАКАЗЫ!$F$3:$F$500,0)),"")</f>
        <v/>
      </c>
      <c r="BM262" s="8" t="str">
        <f aca="false">IF(BL262="","",IFERROR(VLOOKUP(BL262,'ТН ВЭД'!$A$4:$C$40,3,0),""))</f>
        <v/>
      </c>
      <c r="BN262" s="7" t="str">
        <f aca="false">IF(COUNTIF(ЗАКАЗЫ!$F$3:$F$500,$A262)=0,"",SUMIF(ЗАКАЗЫ!$F$3:$F$500,$A262,ЗАКАЗЫ!$J$3:$J$500))</f>
        <v/>
      </c>
      <c r="BO262" s="7" t="str">
        <f aca="false">IF(BN262="","",SUMIF(ЗАКАЗЫ!$F$3:$F$500,$A262,ЗАКАЗЫ!$AL$3:$AL$500))</f>
        <v/>
      </c>
      <c r="BP262" s="7" t="str">
        <f aca="false">IF(BN262="","",BN262-BO262)</f>
        <v/>
      </c>
      <c r="BQ262" s="55" t="str">
        <f aca="false">IF(BN262="","",IF(BO262&gt;=BN262,"На складе",IF(BO262&gt;0,"Частично","Ждём")))</f>
        <v/>
      </c>
      <c r="BR262" s="43"/>
      <c r="BS262" s="47" t="str">
        <f aca="false">IF(BN262="","",IF(_xlfn.MAXIFS(ЗАКАЗЫ!$AK$3:$AK$500,ЗАКАЗЫ!$F$3:$F$500,$A262)=0,"",_xlfn.MAXIFS(ЗАКАЗЫ!$AK$3:$AK$500,ЗАКАЗЫ!$F$3:$F$500,$A262)))</f>
        <v/>
      </c>
    </row>
    <row r="263" customFormat="false" ht="15.75" hidden="false" customHeight="true" outlineLevel="0" collapsed="false">
      <c r="A263" s="80" t="s">
        <v>1464</v>
      </c>
      <c r="B263" s="81"/>
      <c r="C263" s="81"/>
      <c r="D263" s="81"/>
      <c r="E263" s="83"/>
      <c r="F263" s="81"/>
      <c r="G263" s="83"/>
      <c r="H263" s="83"/>
      <c r="I263" s="84" t="str">
        <f aca="false">IF(E263="","",A263&amp;"_1.jpg")</f>
        <v/>
      </c>
      <c r="J263" s="84" t="str">
        <f aca="false">IF(E263="","",A263&amp;"_2.jpg; "&amp;A263&amp;"_3.jpg")</f>
        <v/>
      </c>
      <c r="K263" s="84" t="str">
        <f aca="false">IF(E263="","",A263&amp;"_schema.jpg")</f>
        <v/>
      </c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 t="s">
        <v>96</v>
      </c>
      <c r="W263" s="81"/>
      <c r="X263" s="81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6" t="str">
        <f aca="false">IF(SUM(Y263:AJ263)=0,"",SUM(Y263:AJ263))</f>
        <v/>
      </c>
      <c r="AL263" s="84" t="str">
        <f aca="false">MID(IF(N(Y263)&gt;0,", "&amp;Y$2,"")&amp;IF(N(Z263)&gt;0,", "&amp;Z$2,"")&amp;IF(N(AA263)&gt;0,", "&amp;AA$2,"")&amp;IF(N(AB263)&gt;0,", "&amp;AB$2,"")&amp;IF(N(AC263)&gt;0,", "&amp;AC$2,"")&amp;IF(N(AD263)&gt;0,", "&amp;AD$2,"")&amp;IF(N(AE263)&gt;0,", "&amp;AE$2,"")&amp;IF(N(AF263)&gt;0,", "&amp;AF$2,"")&amp;IF(N(AG263)&gt;0,", "&amp;AG$2,"")&amp;IF(N(AH263)&gt;0,", "&amp;AH$2,"")&amp;IF(N(AI263)&gt;0,", "&amp;AI$2,"")&amp;IF(N(AJ263)&gt;0,", "&amp;AJ$2,""),3,999)</f>
        <v/>
      </c>
      <c r="AM263" s="87" t="str">
        <f aca="false">IF(E263="","",MID(IF(N(Y263)&gt;0,", "&amp;A263&amp;"-"&amp;Y$2,"")&amp;IF(N(Z263)&gt;0,", "&amp;A263&amp;"-"&amp;Z$2,"")&amp;IF(N(AA263)&gt;0,", "&amp;A263&amp;"-"&amp;AA$2,"")&amp;IF(N(AB263)&gt;0,", "&amp;A263&amp;"-"&amp;AB$2,"")&amp;IF(N(AC263)&gt;0,", "&amp;A263&amp;"-"&amp;AC$2,"")&amp;IF(N(AD263)&gt;0,", "&amp;A263&amp;"-"&amp;AD$2,"")&amp;IF(N(AE263)&gt;0,", "&amp;A263&amp;"-"&amp;AE$2,"")&amp;IF(N(AF263)&gt;0,", "&amp;A263&amp;"-"&amp;AF$2,"")&amp;IF(N(AG263)&gt;0,", "&amp;A263&amp;"-"&amp;AG$2,"")&amp;IF(N(AH263)&gt;0,", "&amp;A263&amp;"-"&amp;AH$2,"")&amp;IF(N(AI263)&gt;0,", "&amp;A263&amp;"-"&amp;AI$2,"")&amp;IF(N(AJ263)&gt;0,", "&amp;A263&amp;"-"&amp;AJ$2,""),3,999))</f>
        <v/>
      </c>
      <c r="AN263" s="81"/>
      <c r="AO263" s="88"/>
      <c r="AP263" s="89" t="str">
        <f aca="false">IF(AO263="","",ROUND(AO263/(1+Справочники!$B$13),2))</f>
        <v/>
      </c>
      <c r="AQ263" s="90" t="str">
        <f aca="false" t="array" ref="AQ263:AQ263">IF(AP263="","",AP263*INDEX(Справочники!$B$4:$B$7,MATCH("RUB",Справочники!$A$4:$A$7,0)))</f>
        <v/>
      </c>
      <c r="AR263" s="90" t="str">
        <f aca="false">IF(AQ263="","",ROUND(AQ263*(1+Справочники!$B$12),0))</f>
        <v/>
      </c>
      <c r="AS263" s="90" t="str">
        <f aca="false">IF(AR263="","",ROUND(AR263*(1-Справочники!$B$11),0))</f>
        <v/>
      </c>
      <c r="AT263" s="88"/>
      <c r="AU263" s="90" t="str">
        <f aca="false">IF(AT263="","",ROUND(AT263/(1+Справочники!$B$12),0))</f>
        <v/>
      </c>
      <c r="AV263" s="90" t="str">
        <f aca="false">IF(AT263="","",ROUND(AT263*(1-Справочники!$B$15),0))</f>
        <v/>
      </c>
      <c r="AW263" s="90" t="str">
        <f aca="false">IF(AT263="","",ROUND(AT263*(1-Справочники!$B$16),0))</f>
        <v/>
      </c>
      <c r="AX263" s="90" t="str">
        <f aca="false">IF(AT263="","",ROUND(AT263*(1-Справочники!$B$17),0))</f>
        <v/>
      </c>
      <c r="AY263" s="90" t="str">
        <f aca="false">IF(AT263="","",ROUND(AT263*(1-Справочники!$B$18),0))</f>
        <v/>
      </c>
      <c r="AZ263" s="90" t="str">
        <f aca="false">IF(AT263="","",ROUND(AT263*(1-Справочники!$B$19),0))</f>
        <v/>
      </c>
      <c r="BA263" s="81"/>
      <c r="BB263" s="81"/>
      <c r="BC263" s="81"/>
      <c r="BD263" s="81"/>
      <c r="BE263" s="91"/>
      <c r="BF263" s="81" t="s">
        <v>103</v>
      </c>
      <c r="BG263" s="89" t="n">
        <f aca="false" t="array" ref="BG263:BG263">IF(BF263="","",IFERROR(INDEX(Справочники!$B$4:$B$7,MATCH(BF263,Справочники!$A$4:$A$7,0)),""))</f>
        <v>68.5</v>
      </c>
      <c r="BH263" s="90" t="str">
        <f aca="false">IF(N(BN263)&gt;0,ROUND(SUMIF(ЗАКАЗЫ!$F$3:$F$500,$A263,ЗАКАЗЫ!$Y$3:$Y$500)/BN263,0),IF(OR(BE263="",BG263=""),"",ROUND(BE263*BG263*(1+Справочники!$B$10),0)))</f>
        <v/>
      </c>
      <c r="BI263" s="92" t="str">
        <f aca="false">IF(OR(AU263="",BH263="",AU263=0),"",(AU263-BH263)/AU263)</f>
        <v/>
      </c>
      <c r="BJ263" s="81"/>
      <c r="BK263" s="83"/>
      <c r="BL263" s="43" t="str">
        <f aca="false">IFERROR(INDEX(ЗАКАЗЫ!$N$3:$N$500,MATCH($A263,ЗАКАЗЫ!$F$3:$F$500,0)),"")</f>
        <v/>
      </c>
      <c r="BM263" s="8" t="str">
        <f aca="false">IF(BL263="","",IFERROR(VLOOKUP(BL263,'ТН ВЭД'!$A$4:$C$40,3,0),""))</f>
        <v/>
      </c>
      <c r="BN263" s="7" t="str">
        <f aca="false">IF(COUNTIF(ЗАКАЗЫ!$F$3:$F$500,$A263)=0,"",SUMIF(ЗАКАЗЫ!$F$3:$F$500,$A263,ЗАКАЗЫ!$J$3:$J$500))</f>
        <v/>
      </c>
      <c r="BO263" s="7" t="str">
        <f aca="false">IF(BN263="","",SUMIF(ЗАКАЗЫ!$F$3:$F$500,$A263,ЗАКАЗЫ!$AL$3:$AL$500))</f>
        <v/>
      </c>
      <c r="BP263" s="7" t="str">
        <f aca="false">IF(BN263="","",BN263-BO263)</f>
        <v/>
      </c>
      <c r="BQ263" s="55" t="str">
        <f aca="false">IF(BN263="","",IF(BO263&gt;=BN263,"На складе",IF(BO263&gt;0,"Частично","Ждём")))</f>
        <v/>
      </c>
      <c r="BR263" s="43"/>
      <c r="BS263" s="47" t="str">
        <f aca="false">IF(BN263="","",IF(_xlfn.MAXIFS(ЗАКАЗЫ!$AK$3:$AK$500,ЗАКАЗЫ!$F$3:$F$500,$A263)=0,"",_xlfn.MAXIFS(ЗАКАЗЫ!$AK$3:$AK$500,ЗАКАЗЫ!$F$3:$F$500,$A263)))</f>
        <v/>
      </c>
    </row>
    <row r="264" customFormat="false" ht="15.75" hidden="false" customHeight="true" outlineLevel="0" collapsed="false">
      <c r="A264" s="80" t="s">
        <v>1465</v>
      </c>
      <c r="B264" s="81"/>
      <c r="C264" s="81"/>
      <c r="D264" s="81"/>
      <c r="E264" s="83"/>
      <c r="F264" s="81"/>
      <c r="G264" s="83"/>
      <c r="H264" s="83"/>
      <c r="I264" s="84" t="str">
        <f aca="false">IF(E264="","",A264&amp;"_1.jpg")</f>
        <v/>
      </c>
      <c r="J264" s="84" t="str">
        <f aca="false">IF(E264="","",A264&amp;"_2.jpg; "&amp;A264&amp;"_3.jpg")</f>
        <v/>
      </c>
      <c r="K264" s="84" t="str">
        <f aca="false">IF(E264="","",A264&amp;"_schema.jpg")</f>
        <v/>
      </c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 t="s">
        <v>96</v>
      </c>
      <c r="W264" s="81"/>
      <c r="X264" s="81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6" t="str">
        <f aca="false">IF(SUM(Y264:AJ264)=0,"",SUM(Y264:AJ264))</f>
        <v/>
      </c>
      <c r="AL264" s="84" t="str">
        <f aca="false">MID(IF(N(Y264)&gt;0,", "&amp;Y$2,"")&amp;IF(N(Z264)&gt;0,", "&amp;Z$2,"")&amp;IF(N(AA264)&gt;0,", "&amp;AA$2,"")&amp;IF(N(AB264)&gt;0,", "&amp;AB$2,"")&amp;IF(N(AC264)&gt;0,", "&amp;AC$2,"")&amp;IF(N(AD264)&gt;0,", "&amp;AD$2,"")&amp;IF(N(AE264)&gt;0,", "&amp;AE$2,"")&amp;IF(N(AF264)&gt;0,", "&amp;AF$2,"")&amp;IF(N(AG264)&gt;0,", "&amp;AG$2,"")&amp;IF(N(AH264)&gt;0,", "&amp;AH$2,"")&amp;IF(N(AI264)&gt;0,", "&amp;AI$2,"")&amp;IF(N(AJ264)&gt;0,", "&amp;AJ$2,""),3,999)</f>
        <v/>
      </c>
      <c r="AM264" s="87" t="str">
        <f aca="false">IF(E264="","",MID(IF(N(Y264)&gt;0,", "&amp;A264&amp;"-"&amp;Y$2,"")&amp;IF(N(Z264)&gt;0,", "&amp;A264&amp;"-"&amp;Z$2,"")&amp;IF(N(AA264)&gt;0,", "&amp;A264&amp;"-"&amp;AA$2,"")&amp;IF(N(AB264)&gt;0,", "&amp;A264&amp;"-"&amp;AB$2,"")&amp;IF(N(AC264)&gt;0,", "&amp;A264&amp;"-"&amp;AC$2,"")&amp;IF(N(AD264)&gt;0,", "&amp;A264&amp;"-"&amp;AD$2,"")&amp;IF(N(AE264)&gt;0,", "&amp;A264&amp;"-"&amp;AE$2,"")&amp;IF(N(AF264)&gt;0,", "&amp;A264&amp;"-"&amp;AF$2,"")&amp;IF(N(AG264)&gt;0,", "&amp;A264&amp;"-"&amp;AG$2,"")&amp;IF(N(AH264)&gt;0,", "&amp;A264&amp;"-"&amp;AH$2,"")&amp;IF(N(AI264)&gt;0,", "&amp;A264&amp;"-"&amp;AI$2,"")&amp;IF(N(AJ264)&gt;0,", "&amp;A264&amp;"-"&amp;AJ$2,""),3,999))</f>
        <v/>
      </c>
      <c r="AN264" s="81"/>
      <c r="AO264" s="88"/>
      <c r="AP264" s="89" t="str">
        <f aca="false">IF(AO264="","",ROUND(AO264/(1+Справочники!$B$13),2))</f>
        <v/>
      </c>
      <c r="AQ264" s="90" t="str">
        <f aca="false" t="array" ref="AQ264:AQ264">IF(AP264="","",AP264*INDEX(Справочники!$B$4:$B$7,MATCH("RUB",Справочники!$A$4:$A$7,0)))</f>
        <v/>
      </c>
      <c r="AR264" s="90" t="str">
        <f aca="false">IF(AQ264="","",ROUND(AQ264*(1+Справочники!$B$12),0))</f>
        <v/>
      </c>
      <c r="AS264" s="90" t="str">
        <f aca="false">IF(AR264="","",ROUND(AR264*(1-Справочники!$B$11),0))</f>
        <v/>
      </c>
      <c r="AT264" s="88"/>
      <c r="AU264" s="90" t="str">
        <f aca="false">IF(AT264="","",ROUND(AT264/(1+Справочники!$B$12),0))</f>
        <v/>
      </c>
      <c r="AV264" s="90" t="str">
        <f aca="false">IF(AT264="","",ROUND(AT264*(1-Справочники!$B$15),0))</f>
        <v/>
      </c>
      <c r="AW264" s="90" t="str">
        <f aca="false">IF(AT264="","",ROUND(AT264*(1-Справочники!$B$16),0))</f>
        <v/>
      </c>
      <c r="AX264" s="90" t="str">
        <f aca="false">IF(AT264="","",ROUND(AT264*(1-Справочники!$B$17),0))</f>
        <v/>
      </c>
      <c r="AY264" s="90" t="str">
        <f aca="false">IF(AT264="","",ROUND(AT264*(1-Справочники!$B$18),0))</f>
        <v/>
      </c>
      <c r="AZ264" s="90" t="str">
        <f aca="false">IF(AT264="","",ROUND(AT264*(1-Справочники!$B$19),0))</f>
        <v/>
      </c>
      <c r="BA264" s="81"/>
      <c r="BB264" s="81"/>
      <c r="BC264" s="81"/>
      <c r="BD264" s="81"/>
      <c r="BE264" s="91"/>
      <c r="BF264" s="81" t="s">
        <v>103</v>
      </c>
      <c r="BG264" s="89" t="n">
        <f aca="false" t="array" ref="BG264:BG264">IF(BF264="","",IFERROR(INDEX(Справочники!$B$4:$B$7,MATCH(BF264,Справочники!$A$4:$A$7,0)),""))</f>
        <v>68.5</v>
      </c>
      <c r="BH264" s="90" t="str">
        <f aca="false">IF(N(BN264)&gt;0,ROUND(SUMIF(ЗАКАЗЫ!$F$3:$F$500,$A264,ЗАКАЗЫ!$Y$3:$Y$500)/BN264,0),IF(OR(BE264="",BG264=""),"",ROUND(BE264*BG264*(1+Справочники!$B$10),0)))</f>
        <v/>
      </c>
      <c r="BI264" s="92" t="str">
        <f aca="false">IF(OR(AU264="",BH264="",AU264=0),"",(AU264-BH264)/AU264)</f>
        <v/>
      </c>
      <c r="BJ264" s="81"/>
      <c r="BK264" s="83"/>
      <c r="BL264" s="43" t="str">
        <f aca="false">IFERROR(INDEX(ЗАКАЗЫ!$N$3:$N$500,MATCH($A264,ЗАКАЗЫ!$F$3:$F$500,0)),"")</f>
        <v/>
      </c>
      <c r="BM264" s="8" t="str">
        <f aca="false">IF(BL264="","",IFERROR(VLOOKUP(BL264,'ТН ВЭД'!$A$4:$C$40,3,0),""))</f>
        <v/>
      </c>
      <c r="BN264" s="7" t="str">
        <f aca="false">IF(COUNTIF(ЗАКАЗЫ!$F$3:$F$500,$A264)=0,"",SUMIF(ЗАКАЗЫ!$F$3:$F$500,$A264,ЗАКАЗЫ!$J$3:$J$500))</f>
        <v/>
      </c>
      <c r="BO264" s="7" t="str">
        <f aca="false">IF(BN264="","",SUMIF(ЗАКАЗЫ!$F$3:$F$500,$A264,ЗАКАЗЫ!$AL$3:$AL$500))</f>
        <v/>
      </c>
      <c r="BP264" s="7" t="str">
        <f aca="false">IF(BN264="","",BN264-BO264)</f>
        <v/>
      </c>
      <c r="BQ264" s="55" t="str">
        <f aca="false">IF(BN264="","",IF(BO264&gt;=BN264,"На складе",IF(BO264&gt;0,"Частично","Ждём")))</f>
        <v/>
      </c>
      <c r="BR264" s="43"/>
      <c r="BS264" s="47" t="str">
        <f aca="false">IF(BN264="","",IF(_xlfn.MAXIFS(ЗАКАЗЫ!$AK$3:$AK$500,ЗАКАЗЫ!$F$3:$F$500,$A264)=0,"",_xlfn.MAXIFS(ЗАКАЗЫ!$AK$3:$AK$500,ЗАКАЗЫ!$F$3:$F$500,$A264)))</f>
        <v/>
      </c>
    </row>
    <row r="265" customFormat="false" ht="15.75" hidden="false" customHeight="true" outlineLevel="0" collapsed="false">
      <c r="A265" s="80" t="s">
        <v>1466</v>
      </c>
      <c r="B265" s="81"/>
      <c r="C265" s="81"/>
      <c r="D265" s="81"/>
      <c r="E265" s="83"/>
      <c r="F265" s="81"/>
      <c r="G265" s="83"/>
      <c r="H265" s="83"/>
      <c r="I265" s="84" t="str">
        <f aca="false">IF(E265="","",A265&amp;"_1.jpg")</f>
        <v/>
      </c>
      <c r="J265" s="84" t="str">
        <f aca="false">IF(E265="","",A265&amp;"_2.jpg; "&amp;A265&amp;"_3.jpg")</f>
        <v/>
      </c>
      <c r="K265" s="84" t="str">
        <f aca="false">IF(E265="","",A265&amp;"_schema.jpg")</f>
        <v/>
      </c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 t="s">
        <v>96</v>
      </c>
      <c r="W265" s="81"/>
      <c r="X265" s="81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6" t="str">
        <f aca="false">IF(SUM(Y265:AJ265)=0,"",SUM(Y265:AJ265))</f>
        <v/>
      </c>
      <c r="AL265" s="84" t="str">
        <f aca="false">MID(IF(N(Y265)&gt;0,", "&amp;Y$2,"")&amp;IF(N(Z265)&gt;0,", "&amp;Z$2,"")&amp;IF(N(AA265)&gt;0,", "&amp;AA$2,"")&amp;IF(N(AB265)&gt;0,", "&amp;AB$2,"")&amp;IF(N(AC265)&gt;0,", "&amp;AC$2,"")&amp;IF(N(AD265)&gt;0,", "&amp;AD$2,"")&amp;IF(N(AE265)&gt;0,", "&amp;AE$2,"")&amp;IF(N(AF265)&gt;0,", "&amp;AF$2,"")&amp;IF(N(AG265)&gt;0,", "&amp;AG$2,"")&amp;IF(N(AH265)&gt;0,", "&amp;AH$2,"")&amp;IF(N(AI265)&gt;0,", "&amp;AI$2,"")&amp;IF(N(AJ265)&gt;0,", "&amp;AJ$2,""),3,999)</f>
        <v/>
      </c>
      <c r="AM265" s="87" t="str">
        <f aca="false">IF(E265="","",MID(IF(N(Y265)&gt;0,", "&amp;A265&amp;"-"&amp;Y$2,"")&amp;IF(N(Z265)&gt;0,", "&amp;A265&amp;"-"&amp;Z$2,"")&amp;IF(N(AA265)&gt;0,", "&amp;A265&amp;"-"&amp;AA$2,"")&amp;IF(N(AB265)&gt;0,", "&amp;A265&amp;"-"&amp;AB$2,"")&amp;IF(N(AC265)&gt;0,", "&amp;A265&amp;"-"&amp;AC$2,"")&amp;IF(N(AD265)&gt;0,", "&amp;A265&amp;"-"&amp;AD$2,"")&amp;IF(N(AE265)&gt;0,", "&amp;A265&amp;"-"&amp;AE$2,"")&amp;IF(N(AF265)&gt;0,", "&amp;A265&amp;"-"&amp;AF$2,"")&amp;IF(N(AG265)&gt;0,", "&amp;A265&amp;"-"&amp;AG$2,"")&amp;IF(N(AH265)&gt;0,", "&amp;A265&amp;"-"&amp;AH$2,"")&amp;IF(N(AI265)&gt;0,", "&amp;A265&amp;"-"&amp;AI$2,"")&amp;IF(N(AJ265)&gt;0,", "&amp;A265&amp;"-"&amp;AJ$2,""),3,999))</f>
        <v/>
      </c>
      <c r="AN265" s="81"/>
      <c r="AO265" s="88"/>
      <c r="AP265" s="89" t="str">
        <f aca="false">IF(AO265="","",ROUND(AO265/(1+Справочники!$B$13),2))</f>
        <v/>
      </c>
      <c r="AQ265" s="90" t="str">
        <f aca="false" t="array" ref="AQ265:AQ265">IF(AP265="","",AP265*INDEX(Справочники!$B$4:$B$7,MATCH("RUB",Справочники!$A$4:$A$7,0)))</f>
        <v/>
      </c>
      <c r="AR265" s="90" t="str">
        <f aca="false">IF(AQ265="","",ROUND(AQ265*(1+Справочники!$B$12),0))</f>
        <v/>
      </c>
      <c r="AS265" s="90" t="str">
        <f aca="false">IF(AR265="","",ROUND(AR265*(1-Справочники!$B$11),0))</f>
        <v/>
      </c>
      <c r="AT265" s="88"/>
      <c r="AU265" s="90" t="str">
        <f aca="false">IF(AT265="","",ROUND(AT265/(1+Справочники!$B$12),0))</f>
        <v/>
      </c>
      <c r="AV265" s="90" t="str">
        <f aca="false">IF(AT265="","",ROUND(AT265*(1-Справочники!$B$15),0))</f>
        <v/>
      </c>
      <c r="AW265" s="90" t="str">
        <f aca="false">IF(AT265="","",ROUND(AT265*(1-Справочники!$B$16),0))</f>
        <v/>
      </c>
      <c r="AX265" s="90" t="str">
        <f aca="false">IF(AT265="","",ROUND(AT265*(1-Справочники!$B$17),0))</f>
        <v/>
      </c>
      <c r="AY265" s="90" t="str">
        <f aca="false">IF(AT265="","",ROUND(AT265*(1-Справочники!$B$18),0))</f>
        <v/>
      </c>
      <c r="AZ265" s="90" t="str">
        <f aca="false">IF(AT265="","",ROUND(AT265*(1-Справочники!$B$19),0))</f>
        <v/>
      </c>
      <c r="BA265" s="81"/>
      <c r="BB265" s="81"/>
      <c r="BC265" s="81"/>
      <c r="BD265" s="81"/>
      <c r="BE265" s="91"/>
      <c r="BF265" s="81" t="s">
        <v>103</v>
      </c>
      <c r="BG265" s="89" t="n">
        <f aca="false" t="array" ref="BG265:BG265">IF(BF265="","",IFERROR(INDEX(Справочники!$B$4:$B$7,MATCH(BF265,Справочники!$A$4:$A$7,0)),""))</f>
        <v>68.5</v>
      </c>
      <c r="BH265" s="90" t="str">
        <f aca="false">IF(N(BN265)&gt;0,ROUND(SUMIF(ЗАКАЗЫ!$F$3:$F$500,$A265,ЗАКАЗЫ!$Y$3:$Y$500)/BN265,0),IF(OR(BE265="",BG265=""),"",ROUND(BE265*BG265*(1+Справочники!$B$10),0)))</f>
        <v/>
      </c>
      <c r="BI265" s="92" t="str">
        <f aca="false">IF(OR(AU265="",BH265="",AU265=0),"",(AU265-BH265)/AU265)</f>
        <v/>
      </c>
      <c r="BJ265" s="81"/>
      <c r="BK265" s="83"/>
      <c r="BL265" s="43" t="str">
        <f aca="false">IFERROR(INDEX(ЗАКАЗЫ!$N$3:$N$500,MATCH($A265,ЗАКАЗЫ!$F$3:$F$500,0)),"")</f>
        <v/>
      </c>
      <c r="BM265" s="8" t="str">
        <f aca="false">IF(BL265="","",IFERROR(VLOOKUP(BL265,'ТН ВЭД'!$A$4:$C$40,3,0),""))</f>
        <v/>
      </c>
      <c r="BN265" s="7" t="str">
        <f aca="false">IF(COUNTIF(ЗАКАЗЫ!$F$3:$F$500,$A265)=0,"",SUMIF(ЗАКАЗЫ!$F$3:$F$500,$A265,ЗАКАЗЫ!$J$3:$J$500))</f>
        <v/>
      </c>
      <c r="BO265" s="7" t="str">
        <f aca="false">IF(BN265="","",SUMIF(ЗАКАЗЫ!$F$3:$F$500,$A265,ЗАКАЗЫ!$AL$3:$AL$500))</f>
        <v/>
      </c>
      <c r="BP265" s="7" t="str">
        <f aca="false">IF(BN265="","",BN265-BO265)</f>
        <v/>
      </c>
      <c r="BQ265" s="55" t="str">
        <f aca="false">IF(BN265="","",IF(BO265&gt;=BN265,"На складе",IF(BO265&gt;0,"Частично","Ждём")))</f>
        <v/>
      </c>
      <c r="BR265" s="43"/>
      <c r="BS265" s="47" t="str">
        <f aca="false">IF(BN265="","",IF(_xlfn.MAXIFS(ЗАКАЗЫ!$AK$3:$AK$500,ЗАКАЗЫ!$F$3:$F$500,$A265)=0,"",_xlfn.MAXIFS(ЗАКАЗЫ!$AK$3:$AK$500,ЗАКАЗЫ!$F$3:$F$500,$A265)))</f>
        <v/>
      </c>
    </row>
    <row r="266" customFormat="false" ht="15.75" hidden="false" customHeight="true" outlineLevel="0" collapsed="false">
      <c r="A266" s="80" t="s">
        <v>1467</v>
      </c>
      <c r="B266" s="81"/>
      <c r="C266" s="81"/>
      <c r="D266" s="81"/>
      <c r="E266" s="83"/>
      <c r="F266" s="81"/>
      <c r="G266" s="83"/>
      <c r="H266" s="83"/>
      <c r="I266" s="84" t="str">
        <f aca="false">IF(E266="","",A266&amp;"_1.jpg")</f>
        <v/>
      </c>
      <c r="J266" s="84" t="str">
        <f aca="false">IF(E266="","",A266&amp;"_2.jpg; "&amp;A266&amp;"_3.jpg")</f>
        <v/>
      </c>
      <c r="K266" s="84" t="str">
        <f aca="false">IF(E266="","",A266&amp;"_schema.jpg")</f>
        <v/>
      </c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 t="s">
        <v>96</v>
      </c>
      <c r="W266" s="81"/>
      <c r="X266" s="81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6" t="str">
        <f aca="false">IF(SUM(Y266:AJ266)=0,"",SUM(Y266:AJ266))</f>
        <v/>
      </c>
      <c r="AL266" s="84" t="str">
        <f aca="false">MID(IF(N(Y266)&gt;0,", "&amp;Y$2,"")&amp;IF(N(Z266)&gt;0,", "&amp;Z$2,"")&amp;IF(N(AA266)&gt;0,", "&amp;AA$2,"")&amp;IF(N(AB266)&gt;0,", "&amp;AB$2,"")&amp;IF(N(AC266)&gt;0,", "&amp;AC$2,"")&amp;IF(N(AD266)&gt;0,", "&amp;AD$2,"")&amp;IF(N(AE266)&gt;0,", "&amp;AE$2,"")&amp;IF(N(AF266)&gt;0,", "&amp;AF$2,"")&amp;IF(N(AG266)&gt;0,", "&amp;AG$2,"")&amp;IF(N(AH266)&gt;0,", "&amp;AH$2,"")&amp;IF(N(AI266)&gt;0,", "&amp;AI$2,"")&amp;IF(N(AJ266)&gt;0,", "&amp;AJ$2,""),3,999)</f>
        <v/>
      </c>
      <c r="AM266" s="87" t="str">
        <f aca="false">IF(E266="","",MID(IF(N(Y266)&gt;0,", "&amp;A266&amp;"-"&amp;Y$2,"")&amp;IF(N(Z266)&gt;0,", "&amp;A266&amp;"-"&amp;Z$2,"")&amp;IF(N(AA266)&gt;0,", "&amp;A266&amp;"-"&amp;AA$2,"")&amp;IF(N(AB266)&gt;0,", "&amp;A266&amp;"-"&amp;AB$2,"")&amp;IF(N(AC266)&gt;0,", "&amp;A266&amp;"-"&amp;AC$2,"")&amp;IF(N(AD266)&gt;0,", "&amp;A266&amp;"-"&amp;AD$2,"")&amp;IF(N(AE266)&gt;0,", "&amp;A266&amp;"-"&amp;AE$2,"")&amp;IF(N(AF266)&gt;0,", "&amp;A266&amp;"-"&amp;AF$2,"")&amp;IF(N(AG266)&gt;0,", "&amp;A266&amp;"-"&amp;AG$2,"")&amp;IF(N(AH266)&gt;0,", "&amp;A266&amp;"-"&amp;AH$2,"")&amp;IF(N(AI266)&gt;0,", "&amp;A266&amp;"-"&amp;AI$2,"")&amp;IF(N(AJ266)&gt;0,", "&amp;A266&amp;"-"&amp;AJ$2,""),3,999))</f>
        <v/>
      </c>
      <c r="AN266" s="81"/>
      <c r="AO266" s="88"/>
      <c r="AP266" s="89" t="str">
        <f aca="false">IF(AO266="","",ROUND(AO266/(1+Справочники!$B$13),2))</f>
        <v/>
      </c>
      <c r="AQ266" s="90" t="str">
        <f aca="false" t="array" ref="AQ266:AQ266">IF(AP266="","",AP266*INDEX(Справочники!$B$4:$B$7,MATCH("RUB",Справочники!$A$4:$A$7,0)))</f>
        <v/>
      </c>
      <c r="AR266" s="90" t="str">
        <f aca="false">IF(AQ266="","",ROUND(AQ266*(1+Справочники!$B$12),0))</f>
        <v/>
      </c>
      <c r="AS266" s="90" t="str">
        <f aca="false">IF(AR266="","",ROUND(AR266*(1-Справочники!$B$11),0))</f>
        <v/>
      </c>
      <c r="AT266" s="88"/>
      <c r="AU266" s="90" t="str">
        <f aca="false">IF(AT266="","",ROUND(AT266/(1+Справочники!$B$12),0))</f>
        <v/>
      </c>
      <c r="AV266" s="90" t="str">
        <f aca="false">IF(AT266="","",ROUND(AT266*(1-Справочники!$B$15),0))</f>
        <v/>
      </c>
      <c r="AW266" s="90" t="str">
        <f aca="false">IF(AT266="","",ROUND(AT266*(1-Справочники!$B$16),0))</f>
        <v/>
      </c>
      <c r="AX266" s="90" t="str">
        <f aca="false">IF(AT266="","",ROUND(AT266*(1-Справочники!$B$17),0))</f>
        <v/>
      </c>
      <c r="AY266" s="90" t="str">
        <f aca="false">IF(AT266="","",ROUND(AT266*(1-Справочники!$B$18),0))</f>
        <v/>
      </c>
      <c r="AZ266" s="90" t="str">
        <f aca="false">IF(AT266="","",ROUND(AT266*(1-Справочники!$B$19),0))</f>
        <v/>
      </c>
      <c r="BA266" s="81"/>
      <c r="BB266" s="81"/>
      <c r="BC266" s="81"/>
      <c r="BD266" s="81"/>
      <c r="BE266" s="91"/>
      <c r="BF266" s="81" t="s">
        <v>103</v>
      </c>
      <c r="BG266" s="89" t="n">
        <f aca="false" t="array" ref="BG266:BG266">IF(BF266="","",IFERROR(INDEX(Справочники!$B$4:$B$7,MATCH(BF266,Справочники!$A$4:$A$7,0)),""))</f>
        <v>68.5</v>
      </c>
      <c r="BH266" s="90" t="str">
        <f aca="false">IF(N(BN266)&gt;0,ROUND(SUMIF(ЗАКАЗЫ!$F$3:$F$500,$A266,ЗАКАЗЫ!$Y$3:$Y$500)/BN266,0),IF(OR(BE266="",BG266=""),"",ROUND(BE266*BG266*(1+Справочники!$B$10),0)))</f>
        <v/>
      </c>
      <c r="BI266" s="92" t="str">
        <f aca="false">IF(OR(AU266="",BH266="",AU266=0),"",(AU266-BH266)/AU266)</f>
        <v/>
      </c>
      <c r="BJ266" s="81"/>
      <c r="BK266" s="83"/>
      <c r="BL266" s="43" t="str">
        <f aca="false">IFERROR(INDEX(ЗАКАЗЫ!$N$3:$N$500,MATCH($A266,ЗАКАЗЫ!$F$3:$F$500,0)),"")</f>
        <v/>
      </c>
      <c r="BM266" s="8" t="str">
        <f aca="false">IF(BL266="","",IFERROR(VLOOKUP(BL266,'ТН ВЭД'!$A$4:$C$40,3,0),""))</f>
        <v/>
      </c>
      <c r="BN266" s="7" t="str">
        <f aca="false">IF(COUNTIF(ЗАКАЗЫ!$F$3:$F$500,$A266)=0,"",SUMIF(ЗАКАЗЫ!$F$3:$F$500,$A266,ЗАКАЗЫ!$J$3:$J$500))</f>
        <v/>
      </c>
      <c r="BO266" s="7" t="str">
        <f aca="false">IF(BN266="","",SUMIF(ЗАКАЗЫ!$F$3:$F$500,$A266,ЗАКАЗЫ!$AL$3:$AL$500))</f>
        <v/>
      </c>
      <c r="BP266" s="7" t="str">
        <f aca="false">IF(BN266="","",BN266-BO266)</f>
        <v/>
      </c>
      <c r="BQ266" s="55" t="str">
        <f aca="false">IF(BN266="","",IF(BO266&gt;=BN266,"На складе",IF(BO266&gt;0,"Частично","Ждём")))</f>
        <v/>
      </c>
      <c r="BR266" s="43"/>
      <c r="BS266" s="47" t="str">
        <f aca="false">IF(BN266="","",IF(_xlfn.MAXIFS(ЗАКАЗЫ!$AK$3:$AK$500,ЗАКАЗЫ!$F$3:$F$500,$A266)=0,"",_xlfn.MAXIFS(ЗАКАЗЫ!$AK$3:$AK$500,ЗАКАЗЫ!$F$3:$F$500,$A266)))</f>
        <v/>
      </c>
    </row>
    <row r="267" customFormat="false" ht="15.75" hidden="false" customHeight="true" outlineLevel="0" collapsed="false">
      <c r="A267" s="80" t="s">
        <v>1468</v>
      </c>
      <c r="B267" s="81"/>
      <c r="C267" s="81"/>
      <c r="D267" s="81"/>
      <c r="E267" s="83"/>
      <c r="F267" s="81"/>
      <c r="G267" s="83"/>
      <c r="H267" s="83"/>
      <c r="I267" s="84" t="str">
        <f aca="false">IF(E267="","",A267&amp;"_1.jpg")</f>
        <v/>
      </c>
      <c r="J267" s="84" t="str">
        <f aca="false">IF(E267="","",A267&amp;"_2.jpg; "&amp;A267&amp;"_3.jpg")</f>
        <v/>
      </c>
      <c r="K267" s="84" t="str">
        <f aca="false">IF(E267="","",A267&amp;"_schema.jpg")</f>
        <v/>
      </c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 t="s">
        <v>96</v>
      </c>
      <c r="W267" s="81"/>
      <c r="X267" s="81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6" t="str">
        <f aca="false">IF(SUM(Y267:AJ267)=0,"",SUM(Y267:AJ267))</f>
        <v/>
      </c>
      <c r="AL267" s="84" t="str">
        <f aca="false">MID(IF(N(Y267)&gt;0,", "&amp;Y$2,"")&amp;IF(N(Z267)&gt;0,", "&amp;Z$2,"")&amp;IF(N(AA267)&gt;0,", "&amp;AA$2,"")&amp;IF(N(AB267)&gt;0,", "&amp;AB$2,"")&amp;IF(N(AC267)&gt;0,", "&amp;AC$2,"")&amp;IF(N(AD267)&gt;0,", "&amp;AD$2,"")&amp;IF(N(AE267)&gt;0,", "&amp;AE$2,"")&amp;IF(N(AF267)&gt;0,", "&amp;AF$2,"")&amp;IF(N(AG267)&gt;0,", "&amp;AG$2,"")&amp;IF(N(AH267)&gt;0,", "&amp;AH$2,"")&amp;IF(N(AI267)&gt;0,", "&amp;AI$2,"")&amp;IF(N(AJ267)&gt;0,", "&amp;AJ$2,""),3,999)</f>
        <v/>
      </c>
      <c r="AM267" s="87" t="str">
        <f aca="false">IF(E267="","",MID(IF(N(Y267)&gt;0,", "&amp;A267&amp;"-"&amp;Y$2,"")&amp;IF(N(Z267)&gt;0,", "&amp;A267&amp;"-"&amp;Z$2,"")&amp;IF(N(AA267)&gt;0,", "&amp;A267&amp;"-"&amp;AA$2,"")&amp;IF(N(AB267)&gt;0,", "&amp;A267&amp;"-"&amp;AB$2,"")&amp;IF(N(AC267)&gt;0,", "&amp;A267&amp;"-"&amp;AC$2,"")&amp;IF(N(AD267)&gt;0,", "&amp;A267&amp;"-"&amp;AD$2,"")&amp;IF(N(AE267)&gt;0,", "&amp;A267&amp;"-"&amp;AE$2,"")&amp;IF(N(AF267)&gt;0,", "&amp;A267&amp;"-"&amp;AF$2,"")&amp;IF(N(AG267)&gt;0,", "&amp;A267&amp;"-"&amp;AG$2,"")&amp;IF(N(AH267)&gt;0,", "&amp;A267&amp;"-"&amp;AH$2,"")&amp;IF(N(AI267)&gt;0,", "&amp;A267&amp;"-"&amp;AI$2,"")&amp;IF(N(AJ267)&gt;0,", "&amp;A267&amp;"-"&amp;AJ$2,""),3,999))</f>
        <v/>
      </c>
      <c r="AN267" s="81"/>
      <c r="AO267" s="88"/>
      <c r="AP267" s="89" t="str">
        <f aca="false">IF(AO267="","",ROUND(AO267/(1+Справочники!$B$13),2))</f>
        <v/>
      </c>
      <c r="AQ267" s="90" t="str">
        <f aca="false" t="array" ref="AQ267:AQ267">IF(AP267="","",AP267*INDEX(Справочники!$B$4:$B$7,MATCH("RUB",Справочники!$A$4:$A$7,0)))</f>
        <v/>
      </c>
      <c r="AR267" s="90" t="str">
        <f aca="false">IF(AQ267="","",ROUND(AQ267*(1+Справочники!$B$12),0))</f>
        <v/>
      </c>
      <c r="AS267" s="90" t="str">
        <f aca="false">IF(AR267="","",ROUND(AR267*(1-Справочники!$B$11),0))</f>
        <v/>
      </c>
      <c r="AT267" s="88"/>
      <c r="AU267" s="90" t="str">
        <f aca="false">IF(AT267="","",ROUND(AT267/(1+Справочники!$B$12),0))</f>
        <v/>
      </c>
      <c r="AV267" s="90" t="str">
        <f aca="false">IF(AT267="","",ROUND(AT267*(1-Справочники!$B$15),0))</f>
        <v/>
      </c>
      <c r="AW267" s="90" t="str">
        <f aca="false">IF(AT267="","",ROUND(AT267*(1-Справочники!$B$16),0))</f>
        <v/>
      </c>
      <c r="AX267" s="90" t="str">
        <f aca="false">IF(AT267="","",ROUND(AT267*(1-Справочники!$B$17),0))</f>
        <v/>
      </c>
      <c r="AY267" s="90" t="str">
        <f aca="false">IF(AT267="","",ROUND(AT267*(1-Справочники!$B$18),0))</f>
        <v/>
      </c>
      <c r="AZ267" s="90" t="str">
        <f aca="false">IF(AT267="","",ROUND(AT267*(1-Справочники!$B$19),0))</f>
        <v/>
      </c>
      <c r="BA267" s="81"/>
      <c r="BB267" s="81"/>
      <c r="BC267" s="81"/>
      <c r="BD267" s="81"/>
      <c r="BE267" s="91"/>
      <c r="BF267" s="81" t="s">
        <v>103</v>
      </c>
      <c r="BG267" s="89" t="n">
        <f aca="false" t="array" ref="BG267:BG267">IF(BF267="","",IFERROR(INDEX(Справочники!$B$4:$B$7,MATCH(BF267,Справочники!$A$4:$A$7,0)),""))</f>
        <v>68.5</v>
      </c>
      <c r="BH267" s="90" t="str">
        <f aca="false">IF(N(BN267)&gt;0,ROUND(SUMIF(ЗАКАЗЫ!$F$3:$F$500,$A267,ЗАКАЗЫ!$Y$3:$Y$500)/BN267,0),IF(OR(BE267="",BG267=""),"",ROUND(BE267*BG267*(1+Справочники!$B$10),0)))</f>
        <v/>
      </c>
      <c r="BI267" s="92" t="str">
        <f aca="false">IF(OR(AU267="",BH267="",AU267=0),"",(AU267-BH267)/AU267)</f>
        <v/>
      </c>
      <c r="BJ267" s="81"/>
      <c r="BK267" s="83"/>
      <c r="BL267" s="43" t="str">
        <f aca="false">IFERROR(INDEX(ЗАКАЗЫ!$N$3:$N$500,MATCH($A267,ЗАКАЗЫ!$F$3:$F$500,0)),"")</f>
        <v/>
      </c>
      <c r="BM267" s="8" t="str">
        <f aca="false">IF(BL267="","",IFERROR(VLOOKUP(BL267,'ТН ВЭД'!$A$4:$C$40,3,0),""))</f>
        <v/>
      </c>
      <c r="BN267" s="7" t="str">
        <f aca="false">IF(COUNTIF(ЗАКАЗЫ!$F$3:$F$500,$A267)=0,"",SUMIF(ЗАКАЗЫ!$F$3:$F$500,$A267,ЗАКАЗЫ!$J$3:$J$500))</f>
        <v/>
      </c>
      <c r="BO267" s="7" t="str">
        <f aca="false">IF(BN267="","",SUMIF(ЗАКАЗЫ!$F$3:$F$500,$A267,ЗАКАЗЫ!$AL$3:$AL$500))</f>
        <v/>
      </c>
      <c r="BP267" s="7" t="str">
        <f aca="false">IF(BN267="","",BN267-BO267)</f>
        <v/>
      </c>
      <c r="BQ267" s="55" t="str">
        <f aca="false">IF(BN267="","",IF(BO267&gt;=BN267,"На складе",IF(BO267&gt;0,"Частично","Ждём")))</f>
        <v/>
      </c>
      <c r="BR267" s="43"/>
      <c r="BS267" s="47" t="str">
        <f aca="false">IF(BN267="","",IF(_xlfn.MAXIFS(ЗАКАЗЫ!$AK$3:$AK$500,ЗАКАЗЫ!$F$3:$F$500,$A267)=0,"",_xlfn.MAXIFS(ЗАКАЗЫ!$AK$3:$AK$500,ЗАКАЗЫ!$F$3:$F$500,$A267)))</f>
        <v/>
      </c>
    </row>
    <row r="268" customFormat="false" ht="15.75" hidden="false" customHeight="true" outlineLevel="0" collapsed="false">
      <c r="A268" s="80" t="s">
        <v>1469</v>
      </c>
      <c r="B268" s="81"/>
      <c r="C268" s="81"/>
      <c r="D268" s="81"/>
      <c r="E268" s="83"/>
      <c r="F268" s="81"/>
      <c r="G268" s="83"/>
      <c r="H268" s="83"/>
      <c r="I268" s="84" t="str">
        <f aca="false">IF(E268="","",A268&amp;"_1.jpg")</f>
        <v/>
      </c>
      <c r="J268" s="84" t="str">
        <f aca="false">IF(E268="","",A268&amp;"_2.jpg; "&amp;A268&amp;"_3.jpg")</f>
        <v/>
      </c>
      <c r="K268" s="84" t="str">
        <f aca="false">IF(E268="","",A268&amp;"_schema.jpg")</f>
        <v/>
      </c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 t="s">
        <v>96</v>
      </c>
      <c r="W268" s="81"/>
      <c r="X268" s="81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6" t="str">
        <f aca="false">IF(SUM(Y268:AJ268)=0,"",SUM(Y268:AJ268))</f>
        <v/>
      </c>
      <c r="AL268" s="84" t="str">
        <f aca="false">MID(IF(N(Y268)&gt;0,", "&amp;Y$2,"")&amp;IF(N(Z268)&gt;0,", "&amp;Z$2,"")&amp;IF(N(AA268)&gt;0,", "&amp;AA$2,"")&amp;IF(N(AB268)&gt;0,", "&amp;AB$2,"")&amp;IF(N(AC268)&gt;0,", "&amp;AC$2,"")&amp;IF(N(AD268)&gt;0,", "&amp;AD$2,"")&amp;IF(N(AE268)&gt;0,", "&amp;AE$2,"")&amp;IF(N(AF268)&gt;0,", "&amp;AF$2,"")&amp;IF(N(AG268)&gt;0,", "&amp;AG$2,"")&amp;IF(N(AH268)&gt;0,", "&amp;AH$2,"")&amp;IF(N(AI268)&gt;0,", "&amp;AI$2,"")&amp;IF(N(AJ268)&gt;0,", "&amp;AJ$2,""),3,999)</f>
        <v/>
      </c>
      <c r="AM268" s="87" t="str">
        <f aca="false">IF(E268="","",MID(IF(N(Y268)&gt;0,", "&amp;A268&amp;"-"&amp;Y$2,"")&amp;IF(N(Z268)&gt;0,", "&amp;A268&amp;"-"&amp;Z$2,"")&amp;IF(N(AA268)&gt;0,", "&amp;A268&amp;"-"&amp;AA$2,"")&amp;IF(N(AB268)&gt;0,", "&amp;A268&amp;"-"&amp;AB$2,"")&amp;IF(N(AC268)&gt;0,", "&amp;A268&amp;"-"&amp;AC$2,"")&amp;IF(N(AD268)&gt;0,", "&amp;A268&amp;"-"&amp;AD$2,"")&amp;IF(N(AE268)&gt;0,", "&amp;A268&amp;"-"&amp;AE$2,"")&amp;IF(N(AF268)&gt;0,", "&amp;A268&amp;"-"&amp;AF$2,"")&amp;IF(N(AG268)&gt;0,", "&amp;A268&amp;"-"&amp;AG$2,"")&amp;IF(N(AH268)&gt;0,", "&amp;A268&amp;"-"&amp;AH$2,"")&amp;IF(N(AI268)&gt;0,", "&amp;A268&amp;"-"&amp;AI$2,"")&amp;IF(N(AJ268)&gt;0,", "&amp;A268&amp;"-"&amp;AJ$2,""),3,999))</f>
        <v/>
      </c>
      <c r="AN268" s="81"/>
      <c r="AO268" s="88"/>
      <c r="AP268" s="89" t="str">
        <f aca="false">IF(AO268="","",ROUND(AO268/(1+Справочники!$B$13),2))</f>
        <v/>
      </c>
      <c r="AQ268" s="90" t="str">
        <f aca="false" t="array" ref="AQ268:AQ268">IF(AP268="","",AP268*INDEX(Справочники!$B$4:$B$7,MATCH("RUB",Справочники!$A$4:$A$7,0)))</f>
        <v/>
      </c>
      <c r="AR268" s="90" t="str">
        <f aca="false">IF(AQ268="","",ROUND(AQ268*(1+Справочники!$B$12),0))</f>
        <v/>
      </c>
      <c r="AS268" s="90" t="str">
        <f aca="false">IF(AR268="","",ROUND(AR268*(1-Справочники!$B$11),0))</f>
        <v/>
      </c>
      <c r="AT268" s="88"/>
      <c r="AU268" s="90" t="str">
        <f aca="false">IF(AT268="","",ROUND(AT268/(1+Справочники!$B$12),0))</f>
        <v/>
      </c>
      <c r="AV268" s="90" t="str">
        <f aca="false">IF(AT268="","",ROUND(AT268*(1-Справочники!$B$15),0))</f>
        <v/>
      </c>
      <c r="AW268" s="90" t="str">
        <f aca="false">IF(AT268="","",ROUND(AT268*(1-Справочники!$B$16),0))</f>
        <v/>
      </c>
      <c r="AX268" s="90" t="str">
        <f aca="false">IF(AT268="","",ROUND(AT268*(1-Справочники!$B$17),0))</f>
        <v/>
      </c>
      <c r="AY268" s="90" t="str">
        <f aca="false">IF(AT268="","",ROUND(AT268*(1-Справочники!$B$18),0))</f>
        <v/>
      </c>
      <c r="AZ268" s="90" t="str">
        <f aca="false">IF(AT268="","",ROUND(AT268*(1-Справочники!$B$19),0))</f>
        <v/>
      </c>
      <c r="BA268" s="81"/>
      <c r="BB268" s="81"/>
      <c r="BC268" s="81"/>
      <c r="BD268" s="81"/>
      <c r="BE268" s="91"/>
      <c r="BF268" s="81" t="s">
        <v>103</v>
      </c>
      <c r="BG268" s="89" t="n">
        <f aca="false" t="array" ref="BG268:BG268">IF(BF268="","",IFERROR(INDEX(Справочники!$B$4:$B$7,MATCH(BF268,Справочники!$A$4:$A$7,0)),""))</f>
        <v>68.5</v>
      </c>
      <c r="BH268" s="90" t="str">
        <f aca="false">IF(N(BN268)&gt;0,ROUND(SUMIF(ЗАКАЗЫ!$F$3:$F$500,$A268,ЗАКАЗЫ!$Y$3:$Y$500)/BN268,0),IF(OR(BE268="",BG268=""),"",ROUND(BE268*BG268*(1+Справочники!$B$10),0)))</f>
        <v/>
      </c>
      <c r="BI268" s="92" t="str">
        <f aca="false">IF(OR(AU268="",BH268="",AU268=0),"",(AU268-BH268)/AU268)</f>
        <v/>
      </c>
      <c r="BJ268" s="81"/>
      <c r="BK268" s="83"/>
      <c r="BL268" s="43" t="str">
        <f aca="false">IFERROR(INDEX(ЗАКАЗЫ!$N$3:$N$500,MATCH($A268,ЗАКАЗЫ!$F$3:$F$500,0)),"")</f>
        <v/>
      </c>
      <c r="BM268" s="8" t="str">
        <f aca="false">IF(BL268="","",IFERROR(VLOOKUP(BL268,'ТН ВЭД'!$A$4:$C$40,3,0),""))</f>
        <v/>
      </c>
      <c r="BN268" s="7" t="str">
        <f aca="false">IF(COUNTIF(ЗАКАЗЫ!$F$3:$F$500,$A268)=0,"",SUMIF(ЗАКАЗЫ!$F$3:$F$500,$A268,ЗАКАЗЫ!$J$3:$J$500))</f>
        <v/>
      </c>
      <c r="BO268" s="7" t="str">
        <f aca="false">IF(BN268="","",SUMIF(ЗАКАЗЫ!$F$3:$F$500,$A268,ЗАКАЗЫ!$AL$3:$AL$500))</f>
        <v/>
      </c>
      <c r="BP268" s="7" t="str">
        <f aca="false">IF(BN268="","",BN268-BO268)</f>
        <v/>
      </c>
      <c r="BQ268" s="55" t="str">
        <f aca="false">IF(BN268="","",IF(BO268&gt;=BN268,"На складе",IF(BO268&gt;0,"Частично","Ждём")))</f>
        <v/>
      </c>
      <c r="BR268" s="43"/>
      <c r="BS268" s="47" t="str">
        <f aca="false">IF(BN268="","",IF(_xlfn.MAXIFS(ЗАКАЗЫ!$AK$3:$AK$500,ЗАКАЗЫ!$F$3:$F$500,$A268)=0,"",_xlfn.MAXIFS(ЗАКАЗЫ!$AK$3:$AK$500,ЗАКАЗЫ!$F$3:$F$500,$A268)))</f>
        <v/>
      </c>
    </row>
    <row r="269" customFormat="false" ht="15.75" hidden="false" customHeight="true" outlineLevel="0" collapsed="false">
      <c r="A269" s="80" t="s">
        <v>1470</v>
      </c>
      <c r="B269" s="81"/>
      <c r="C269" s="81"/>
      <c r="D269" s="81"/>
      <c r="E269" s="83"/>
      <c r="F269" s="81"/>
      <c r="G269" s="83"/>
      <c r="H269" s="83"/>
      <c r="I269" s="84" t="str">
        <f aca="false">IF(E269="","",A269&amp;"_1.jpg")</f>
        <v/>
      </c>
      <c r="J269" s="84" t="str">
        <f aca="false">IF(E269="","",A269&amp;"_2.jpg; "&amp;A269&amp;"_3.jpg")</f>
        <v/>
      </c>
      <c r="K269" s="84" t="str">
        <f aca="false">IF(E269="","",A269&amp;"_schema.jpg")</f>
        <v/>
      </c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 t="s">
        <v>96</v>
      </c>
      <c r="W269" s="81"/>
      <c r="X269" s="81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6" t="str">
        <f aca="false">IF(SUM(Y269:AJ269)=0,"",SUM(Y269:AJ269))</f>
        <v/>
      </c>
      <c r="AL269" s="84" t="str">
        <f aca="false">MID(IF(N(Y269)&gt;0,", "&amp;Y$2,"")&amp;IF(N(Z269)&gt;0,", "&amp;Z$2,"")&amp;IF(N(AA269)&gt;0,", "&amp;AA$2,"")&amp;IF(N(AB269)&gt;0,", "&amp;AB$2,"")&amp;IF(N(AC269)&gt;0,", "&amp;AC$2,"")&amp;IF(N(AD269)&gt;0,", "&amp;AD$2,"")&amp;IF(N(AE269)&gt;0,", "&amp;AE$2,"")&amp;IF(N(AF269)&gt;0,", "&amp;AF$2,"")&amp;IF(N(AG269)&gt;0,", "&amp;AG$2,"")&amp;IF(N(AH269)&gt;0,", "&amp;AH$2,"")&amp;IF(N(AI269)&gt;0,", "&amp;AI$2,"")&amp;IF(N(AJ269)&gt;0,", "&amp;AJ$2,""),3,999)</f>
        <v/>
      </c>
      <c r="AM269" s="87" t="str">
        <f aca="false">IF(E269="","",MID(IF(N(Y269)&gt;0,", "&amp;A269&amp;"-"&amp;Y$2,"")&amp;IF(N(Z269)&gt;0,", "&amp;A269&amp;"-"&amp;Z$2,"")&amp;IF(N(AA269)&gt;0,", "&amp;A269&amp;"-"&amp;AA$2,"")&amp;IF(N(AB269)&gt;0,", "&amp;A269&amp;"-"&amp;AB$2,"")&amp;IF(N(AC269)&gt;0,", "&amp;A269&amp;"-"&amp;AC$2,"")&amp;IF(N(AD269)&gt;0,", "&amp;A269&amp;"-"&amp;AD$2,"")&amp;IF(N(AE269)&gt;0,", "&amp;A269&amp;"-"&amp;AE$2,"")&amp;IF(N(AF269)&gt;0,", "&amp;A269&amp;"-"&amp;AF$2,"")&amp;IF(N(AG269)&gt;0,", "&amp;A269&amp;"-"&amp;AG$2,"")&amp;IF(N(AH269)&gt;0,", "&amp;A269&amp;"-"&amp;AH$2,"")&amp;IF(N(AI269)&gt;0,", "&amp;A269&amp;"-"&amp;AI$2,"")&amp;IF(N(AJ269)&gt;0,", "&amp;A269&amp;"-"&amp;AJ$2,""),3,999))</f>
        <v/>
      </c>
      <c r="AN269" s="81"/>
      <c r="AO269" s="88"/>
      <c r="AP269" s="89" t="str">
        <f aca="false">IF(AO269="","",ROUND(AO269/(1+Справочники!$B$13),2))</f>
        <v/>
      </c>
      <c r="AQ269" s="90" t="str">
        <f aca="false" t="array" ref="AQ269:AQ269">IF(AP269="","",AP269*INDEX(Справочники!$B$4:$B$7,MATCH("RUB",Справочники!$A$4:$A$7,0)))</f>
        <v/>
      </c>
      <c r="AR269" s="90" t="str">
        <f aca="false">IF(AQ269="","",ROUND(AQ269*(1+Справочники!$B$12),0))</f>
        <v/>
      </c>
      <c r="AS269" s="90" t="str">
        <f aca="false">IF(AR269="","",ROUND(AR269*(1-Справочники!$B$11),0))</f>
        <v/>
      </c>
      <c r="AT269" s="88"/>
      <c r="AU269" s="90" t="str">
        <f aca="false">IF(AT269="","",ROUND(AT269/(1+Справочники!$B$12),0))</f>
        <v/>
      </c>
      <c r="AV269" s="90" t="str">
        <f aca="false">IF(AT269="","",ROUND(AT269*(1-Справочники!$B$15),0))</f>
        <v/>
      </c>
      <c r="AW269" s="90" t="str">
        <f aca="false">IF(AT269="","",ROUND(AT269*(1-Справочники!$B$16),0))</f>
        <v/>
      </c>
      <c r="AX269" s="90" t="str">
        <f aca="false">IF(AT269="","",ROUND(AT269*(1-Справочники!$B$17),0))</f>
        <v/>
      </c>
      <c r="AY269" s="90" t="str">
        <f aca="false">IF(AT269="","",ROUND(AT269*(1-Справочники!$B$18),0))</f>
        <v/>
      </c>
      <c r="AZ269" s="90" t="str">
        <f aca="false">IF(AT269="","",ROUND(AT269*(1-Справочники!$B$19),0))</f>
        <v/>
      </c>
      <c r="BA269" s="81"/>
      <c r="BB269" s="81"/>
      <c r="BC269" s="81"/>
      <c r="BD269" s="81"/>
      <c r="BE269" s="91"/>
      <c r="BF269" s="81" t="s">
        <v>103</v>
      </c>
      <c r="BG269" s="89" t="n">
        <f aca="false" t="array" ref="BG269:BG269">IF(BF269="","",IFERROR(INDEX(Справочники!$B$4:$B$7,MATCH(BF269,Справочники!$A$4:$A$7,0)),""))</f>
        <v>68.5</v>
      </c>
      <c r="BH269" s="90" t="str">
        <f aca="false">IF(N(BN269)&gt;0,ROUND(SUMIF(ЗАКАЗЫ!$F$3:$F$500,$A269,ЗАКАЗЫ!$Y$3:$Y$500)/BN269,0),IF(OR(BE269="",BG269=""),"",ROUND(BE269*BG269*(1+Справочники!$B$10),0)))</f>
        <v/>
      </c>
      <c r="BI269" s="92" t="str">
        <f aca="false">IF(OR(AU269="",BH269="",AU269=0),"",(AU269-BH269)/AU269)</f>
        <v/>
      </c>
      <c r="BJ269" s="81"/>
      <c r="BK269" s="83"/>
      <c r="BL269" s="43" t="str">
        <f aca="false">IFERROR(INDEX(ЗАКАЗЫ!$N$3:$N$500,MATCH($A269,ЗАКАЗЫ!$F$3:$F$500,0)),"")</f>
        <v/>
      </c>
      <c r="BM269" s="8" t="str">
        <f aca="false">IF(BL269="","",IFERROR(VLOOKUP(BL269,'ТН ВЭД'!$A$4:$C$40,3,0),""))</f>
        <v/>
      </c>
      <c r="BN269" s="7" t="str">
        <f aca="false">IF(COUNTIF(ЗАКАЗЫ!$F$3:$F$500,$A269)=0,"",SUMIF(ЗАКАЗЫ!$F$3:$F$500,$A269,ЗАКАЗЫ!$J$3:$J$500))</f>
        <v/>
      </c>
      <c r="BO269" s="7" t="str">
        <f aca="false">IF(BN269="","",SUMIF(ЗАКАЗЫ!$F$3:$F$500,$A269,ЗАКАЗЫ!$AL$3:$AL$500))</f>
        <v/>
      </c>
      <c r="BP269" s="7" t="str">
        <f aca="false">IF(BN269="","",BN269-BO269)</f>
        <v/>
      </c>
      <c r="BQ269" s="55" t="str">
        <f aca="false">IF(BN269="","",IF(BO269&gt;=BN269,"На складе",IF(BO269&gt;0,"Частично","Ждём")))</f>
        <v/>
      </c>
      <c r="BR269" s="43"/>
      <c r="BS269" s="47" t="str">
        <f aca="false">IF(BN269="","",IF(_xlfn.MAXIFS(ЗАКАЗЫ!$AK$3:$AK$500,ЗАКАЗЫ!$F$3:$F$500,$A269)=0,"",_xlfn.MAXIFS(ЗАКАЗЫ!$AK$3:$AK$500,ЗАКАЗЫ!$F$3:$F$500,$A269)))</f>
        <v/>
      </c>
    </row>
    <row r="270" customFormat="false" ht="15.75" hidden="false" customHeight="true" outlineLevel="0" collapsed="false">
      <c r="A270" s="80" t="s">
        <v>1471</v>
      </c>
      <c r="B270" s="81"/>
      <c r="C270" s="81"/>
      <c r="D270" s="81"/>
      <c r="E270" s="83"/>
      <c r="F270" s="81"/>
      <c r="G270" s="83"/>
      <c r="H270" s="83"/>
      <c r="I270" s="84" t="str">
        <f aca="false">IF(E270="","",A270&amp;"_1.jpg")</f>
        <v/>
      </c>
      <c r="J270" s="84" t="str">
        <f aca="false">IF(E270="","",A270&amp;"_2.jpg; "&amp;A270&amp;"_3.jpg")</f>
        <v/>
      </c>
      <c r="K270" s="84" t="str">
        <f aca="false">IF(E270="","",A270&amp;"_schema.jpg")</f>
        <v/>
      </c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 t="s">
        <v>96</v>
      </c>
      <c r="W270" s="81"/>
      <c r="X270" s="81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6" t="str">
        <f aca="false">IF(SUM(Y270:AJ270)=0,"",SUM(Y270:AJ270))</f>
        <v/>
      </c>
      <c r="AL270" s="84" t="str">
        <f aca="false">MID(IF(N(Y270)&gt;0,", "&amp;Y$2,"")&amp;IF(N(Z270)&gt;0,", "&amp;Z$2,"")&amp;IF(N(AA270)&gt;0,", "&amp;AA$2,"")&amp;IF(N(AB270)&gt;0,", "&amp;AB$2,"")&amp;IF(N(AC270)&gt;0,", "&amp;AC$2,"")&amp;IF(N(AD270)&gt;0,", "&amp;AD$2,"")&amp;IF(N(AE270)&gt;0,", "&amp;AE$2,"")&amp;IF(N(AF270)&gt;0,", "&amp;AF$2,"")&amp;IF(N(AG270)&gt;0,", "&amp;AG$2,"")&amp;IF(N(AH270)&gt;0,", "&amp;AH$2,"")&amp;IF(N(AI270)&gt;0,", "&amp;AI$2,"")&amp;IF(N(AJ270)&gt;0,", "&amp;AJ$2,""),3,999)</f>
        <v/>
      </c>
      <c r="AM270" s="87" t="str">
        <f aca="false">IF(E270="","",MID(IF(N(Y270)&gt;0,", "&amp;A270&amp;"-"&amp;Y$2,"")&amp;IF(N(Z270)&gt;0,", "&amp;A270&amp;"-"&amp;Z$2,"")&amp;IF(N(AA270)&gt;0,", "&amp;A270&amp;"-"&amp;AA$2,"")&amp;IF(N(AB270)&gt;0,", "&amp;A270&amp;"-"&amp;AB$2,"")&amp;IF(N(AC270)&gt;0,", "&amp;A270&amp;"-"&amp;AC$2,"")&amp;IF(N(AD270)&gt;0,", "&amp;A270&amp;"-"&amp;AD$2,"")&amp;IF(N(AE270)&gt;0,", "&amp;A270&amp;"-"&amp;AE$2,"")&amp;IF(N(AF270)&gt;0,", "&amp;A270&amp;"-"&amp;AF$2,"")&amp;IF(N(AG270)&gt;0,", "&amp;A270&amp;"-"&amp;AG$2,"")&amp;IF(N(AH270)&gt;0,", "&amp;A270&amp;"-"&amp;AH$2,"")&amp;IF(N(AI270)&gt;0,", "&amp;A270&amp;"-"&amp;AI$2,"")&amp;IF(N(AJ270)&gt;0,", "&amp;A270&amp;"-"&amp;AJ$2,""),3,999))</f>
        <v/>
      </c>
      <c r="AN270" s="81"/>
      <c r="AO270" s="88"/>
      <c r="AP270" s="89" t="str">
        <f aca="false">IF(AO270="","",ROUND(AO270/(1+Справочники!$B$13),2))</f>
        <v/>
      </c>
      <c r="AQ270" s="90" t="str">
        <f aca="false" t="array" ref="AQ270:AQ270">IF(AP270="","",AP270*INDEX(Справочники!$B$4:$B$7,MATCH("RUB",Справочники!$A$4:$A$7,0)))</f>
        <v/>
      </c>
      <c r="AR270" s="90" t="str">
        <f aca="false">IF(AQ270="","",ROUND(AQ270*(1+Справочники!$B$12),0))</f>
        <v/>
      </c>
      <c r="AS270" s="90" t="str">
        <f aca="false">IF(AR270="","",ROUND(AR270*(1-Справочники!$B$11),0))</f>
        <v/>
      </c>
      <c r="AT270" s="88"/>
      <c r="AU270" s="90" t="str">
        <f aca="false">IF(AT270="","",ROUND(AT270/(1+Справочники!$B$12),0))</f>
        <v/>
      </c>
      <c r="AV270" s="90" t="str">
        <f aca="false">IF(AT270="","",ROUND(AT270*(1-Справочники!$B$15),0))</f>
        <v/>
      </c>
      <c r="AW270" s="90" t="str">
        <f aca="false">IF(AT270="","",ROUND(AT270*(1-Справочники!$B$16),0))</f>
        <v/>
      </c>
      <c r="AX270" s="90" t="str">
        <f aca="false">IF(AT270="","",ROUND(AT270*(1-Справочники!$B$17),0))</f>
        <v/>
      </c>
      <c r="AY270" s="90" t="str">
        <f aca="false">IF(AT270="","",ROUND(AT270*(1-Справочники!$B$18),0))</f>
        <v/>
      </c>
      <c r="AZ270" s="90" t="str">
        <f aca="false">IF(AT270="","",ROUND(AT270*(1-Справочники!$B$19),0))</f>
        <v/>
      </c>
      <c r="BA270" s="81"/>
      <c r="BB270" s="81"/>
      <c r="BC270" s="81"/>
      <c r="BD270" s="81"/>
      <c r="BE270" s="91"/>
      <c r="BF270" s="81" t="s">
        <v>103</v>
      </c>
      <c r="BG270" s="89" t="n">
        <f aca="false" t="array" ref="BG270:BG270">IF(BF270="","",IFERROR(INDEX(Справочники!$B$4:$B$7,MATCH(BF270,Справочники!$A$4:$A$7,0)),""))</f>
        <v>68.5</v>
      </c>
      <c r="BH270" s="90" t="str">
        <f aca="false">IF(N(BN270)&gt;0,ROUND(SUMIF(ЗАКАЗЫ!$F$3:$F$500,$A270,ЗАКАЗЫ!$Y$3:$Y$500)/BN270,0),IF(OR(BE270="",BG270=""),"",ROUND(BE270*BG270*(1+Справочники!$B$10),0)))</f>
        <v/>
      </c>
      <c r="BI270" s="92" t="str">
        <f aca="false">IF(OR(AU270="",BH270="",AU270=0),"",(AU270-BH270)/AU270)</f>
        <v/>
      </c>
      <c r="BJ270" s="81"/>
      <c r="BK270" s="83"/>
      <c r="BL270" s="43" t="str">
        <f aca="false">IFERROR(INDEX(ЗАКАЗЫ!$N$3:$N$500,MATCH($A270,ЗАКАЗЫ!$F$3:$F$500,0)),"")</f>
        <v/>
      </c>
      <c r="BM270" s="8" t="str">
        <f aca="false">IF(BL270="","",IFERROR(VLOOKUP(BL270,'ТН ВЭД'!$A$4:$C$40,3,0),""))</f>
        <v/>
      </c>
      <c r="BN270" s="7" t="str">
        <f aca="false">IF(COUNTIF(ЗАКАЗЫ!$F$3:$F$500,$A270)=0,"",SUMIF(ЗАКАЗЫ!$F$3:$F$500,$A270,ЗАКАЗЫ!$J$3:$J$500))</f>
        <v/>
      </c>
      <c r="BO270" s="7" t="str">
        <f aca="false">IF(BN270="","",SUMIF(ЗАКАЗЫ!$F$3:$F$500,$A270,ЗАКАЗЫ!$AL$3:$AL$500))</f>
        <v/>
      </c>
      <c r="BP270" s="7" t="str">
        <f aca="false">IF(BN270="","",BN270-BO270)</f>
        <v/>
      </c>
      <c r="BQ270" s="55" t="str">
        <f aca="false">IF(BN270="","",IF(BO270&gt;=BN270,"На складе",IF(BO270&gt;0,"Частично","Ждём")))</f>
        <v/>
      </c>
      <c r="BR270" s="43"/>
      <c r="BS270" s="47" t="str">
        <f aca="false">IF(BN270="","",IF(_xlfn.MAXIFS(ЗАКАЗЫ!$AK$3:$AK$500,ЗАКАЗЫ!$F$3:$F$500,$A270)=0,"",_xlfn.MAXIFS(ЗАКАЗЫ!$AK$3:$AK$500,ЗАКАЗЫ!$F$3:$F$500,$A270)))</f>
        <v/>
      </c>
    </row>
    <row r="271" customFormat="false" ht="15.75" hidden="false" customHeight="true" outlineLevel="0" collapsed="false">
      <c r="A271" s="80" t="s">
        <v>1472</v>
      </c>
      <c r="B271" s="81"/>
      <c r="C271" s="81"/>
      <c r="D271" s="81"/>
      <c r="E271" s="83"/>
      <c r="F271" s="81"/>
      <c r="G271" s="83"/>
      <c r="H271" s="83"/>
      <c r="I271" s="84" t="str">
        <f aca="false">IF(E271="","",A271&amp;"_1.jpg")</f>
        <v/>
      </c>
      <c r="J271" s="84" t="str">
        <f aca="false">IF(E271="","",A271&amp;"_2.jpg; "&amp;A271&amp;"_3.jpg")</f>
        <v/>
      </c>
      <c r="K271" s="84" t="str">
        <f aca="false">IF(E271="","",A271&amp;"_schema.jpg")</f>
        <v/>
      </c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 t="s">
        <v>96</v>
      </c>
      <c r="W271" s="81"/>
      <c r="X271" s="81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6" t="str">
        <f aca="false">IF(SUM(Y271:AJ271)=0,"",SUM(Y271:AJ271))</f>
        <v/>
      </c>
      <c r="AL271" s="84" t="str">
        <f aca="false">MID(IF(N(Y271)&gt;0,", "&amp;Y$2,"")&amp;IF(N(Z271)&gt;0,", "&amp;Z$2,"")&amp;IF(N(AA271)&gt;0,", "&amp;AA$2,"")&amp;IF(N(AB271)&gt;0,", "&amp;AB$2,"")&amp;IF(N(AC271)&gt;0,", "&amp;AC$2,"")&amp;IF(N(AD271)&gt;0,", "&amp;AD$2,"")&amp;IF(N(AE271)&gt;0,", "&amp;AE$2,"")&amp;IF(N(AF271)&gt;0,", "&amp;AF$2,"")&amp;IF(N(AG271)&gt;0,", "&amp;AG$2,"")&amp;IF(N(AH271)&gt;0,", "&amp;AH$2,"")&amp;IF(N(AI271)&gt;0,", "&amp;AI$2,"")&amp;IF(N(AJ271)&gt;0,", "&amp;AJ$2,""),3,999)</f>
        <v/>
      </c>
      <c r="AM271" s="87" t="str">
        <f aca="false">IF(E271="","",MID(IF(N(Y271)&gt;0,", "&amp;A271&amp;"-"&amp;Y$2,"")&amp;IF(N(Z271)&gt;0,", "&amp;A271&amp;"-"&amp;Z$2,"")&amp;IF(N(AA271)&gt;0,", "&amp;A271&amp;"-"&amp;AA$2,"")&amp;IF(N(AB271)&gt;0,", "&amp;A271&amp;"-"&amp;AB$2,"")&amp;IF(N(AC271)&gt;0,", "&amp;A271&amp;"-"&amp;AC$2,"")&amp;IF(N(AD271)&gt;0,", "&amp;A271&amp;"-"&amp;AD$2,"")&amp;IF(N(AE271)&gt;0,", "&amp;A271&amp;"-"&amp;AE$2,"")&amp;IF(N(AF271)&gt;0,", "&amp;A271&amp;"-"&amp;AF$2,"")&amp;IF(N(AG271)&gt;0,", "&amp;A271&amp;"-"&amp;AG$2,"")&amp;IF(N(AH271)&gt;0,", "&amp;A271&amp;"-"&amp;AH$2,"")&amp;IF(N(AI271)&gt;0,", "&amp;A271&amp;"-"&amp;AI$2,"")&amp;IF(N(AJ271)&gt;0,", "&amp;A271&amp;"-"&amp;AJ$2,""),3,999))</f>
        <v/>
      </c>
      <c r="AN271" s="81"/>
      <c r="AO271" s="88"/>
      <c r="AP271" s="89" t="str">
        <f aca="false">IF(AO271="","",ROUND(AO271/(1+Справочники!$B$13),2))</f>
        <v/>
      </c>
      <c r="AQ271" s="90" t="str">
        <f aca="false" t="array" ref="AQ271:AQ271">IF(AP271="","",AP271*INDEX(Справочники!$B$4:$B$7,MATCH("RUB",Справочники!$A$4:$A$7,0)))</f>
        <v/>
      </c>
      <c r="AR271" s="90" t="str">
        <f aca="false">IF(AQ271="","",ROUND(AQ271*(1+Справочники!$B$12),0))</f>
        <v/>
      </c>
      <c r="AS271" s="90" t="str">
        <f aca="false">IF(AR271="","",ROUND(AR271*(1-Справочники!$B$11),0))</f>
        <v/>
      </c>
      <c r="AT271" s="88"/>
      <c r="AU271" s="90" t="str">
        <f aca="false">IF(AT271="","",ROUND(AT271/(1+Справочники!$B$12),0))</f>
        <v/>
      </c>
      <c r="AV271" s="90" t="str">
        <f aca="false">IF(AT271="","",ROUND(AT271*(1-Справочники!$B$15),0))</f>
        <v/>
      </c>
      <c r="AW271" s="90" t="str">
        <f aca="false">IF(AT271="","",ROUND(AT271*(1-Справочники!$B$16),0))</f>
        <v/>
      </c>
      <c r="AX271" s="90" t="str">
        <f aca="false">IF(AT271="","",ROUND(AT271*(1-Справочники!$B$17),0))</f>
        <v/>
      </c>
      <c r="AY271" s="90" t="str">
        <f aca="false">IF(AT271="","",ROUND(AT271*(1-Справочники!$B$18),0))</f>
        <v/>
      </c>
      <c r="AZ271" s="90" t="str">
        <f aca="false">IF(AT271="","",ROUND(AT271*(1-Справочники!$B$19),0))</f>
        <v/>
      </c>
      <c r="BA271" s="81"/>
      <c r="BB271" s="81"/>
      <c r="BC271" s="81"/>
      <c r="BD271" s="81"/>
      <c r="BE271" s="91"/>
      <c r="BF271" s="81" t="s">
        <v>103</v>
      </c>
      <c r="BG271" s="89" t="n">
        <f aca="false" t="array" ref="BG271:BG271">IF(BF271="","",IFERROR(INDEX(Справочники!$B$4:$B$7,MATCH(BF271,Справочники!$A$4:$A$7,0)),""))</f>
        <v>68.5</v>
      </c>
      <c r="BH271" s="90" t="str">
        <f aca="false">IF(N(BN271)&gt;0,ROUND(SUMIF(ЗАКАЗЫ!$F$3:$F$500,$A271,ЗАКАЗЫ!$Y$3:$Y$500)/BN271,0),IF(OR(BE271="",BG271=""),"",ROUND(BE271*BG271*(1+Справочники!$B$10),0)))</f>
        <v/>
      </c>
      <c r="BI271" s="92" t="str">
        <f aca="false">IF(OR(AU271="",BH271="",AU271=0),"",(AU271-BH271)/AU271)</f>
        <v/>
      </c>
      <c r="BJ271" s="81"/>
      <c r="BK271" s="83"/>
      <c r="BL271" s="43" t="str">
        <f aca="false">IFERROR(INDEX(ЗАКАЗЫ!$N$3:$N$500,MATCH($A271,ЗАКАЗЫ!$F$3:$F$500,0)),"")</f>
        <v/>
      </c>
      <c r="BM271" s="8" t="str">
        <f aca="false">IF(BL271="","",IFERROR(VLOOKUP(BL271,'ТН ВЭД'!$A$4:$C$40,3,0),""))</f>
        <v/>
      </c>
      <c r="BN271" s="7" t="str">
        <f aca="false">IF(COUNTIF(ЗАКАЗЫ!$F$3:$F$500,$A271)=0,"",SUMIF(ЗАКАЗЫ!$F$3:$F$500,$A271,ЗАКАЗЫ!$J$3:$J$500))</f>
        <v/>
      </c>
      <c r="BO271" s="7" t="str">
        <f aca="false">IF(BN271="","",SUMIF(ЗАКАЗЫ!$F$3:$F$500,$A271,ЗАКАЗЫ!$AL$3:$AL$500))</f>
        <v/>
      </c>
      <c r="BP271" s="7" t="str">
        <f aca="false">IF(BN271="","",BN271-BO271)</f>
        <v/>
      </c>
      <c r="BQ271" s="55" t="str">
        <f aca="false">IF(BN271="","",IF(BO271&gt;=BN271,"На складе",IF(BO271&gt;0,"Частично","Ждём")))</f>
        <v/>
      </c>
      <c r="BR271" s="43"/>
      <c r="BS271" s="47" t="str">
        <f aca="false">IF(BN271="","",IF(_xlfn.MAXIFS(ЗАКАЗЫ!$AK$3:$AK$500,ЗАКАЗЫ!$F$3:$F$500,$A271)=0,"",_xlfn.MAXIFS(ЗАКАЗЫ!$AK$3:$AK$500,ЗАКАЗЫ!$F$3:$F$500,$A271)))</f>
        <v/>
      </c>
    </row>
    <row r="272" customFormat="false" ht="15.75" hidden="false" customHeight="true" outlineLevel="0" collapsed="false">
      <c r="A272" s="80" t="s">
        <v>1473</v>
      </c>
      <c r="B272" s="81"/>
      <c r="C272" s="81"/>
      <c r="D272" s="81"/>
      <c r="E272" s="83"/>
      <c r="F272" s="81"/>
      <c r="G272" s="83"/>
      <c r="H272" s="83"/>
      <c r="I272" s="84" t="str">
        <f aca="false">IF(E272="","",A272&amp;"_1.jpg")</f>
        <v/>
      </c>
      <c r="J272" s="84" t="str">
        <f aca="false">IF(E272="","",A272&amp;"_2.jpg; "&amp;A272&amp;"_3.jpg")</f>
        <v/>
      </c>
      <c r="K272" s="84" t="str">
        <f aca="false">IF(E272="","",A272&amp;"_schema.jpg")</f>
        <v/>
      </c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 t="s">
        <v>96</v>
      </c>
      <c r="W272" s="81"/>
      <c r="X272" s="81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6" t="str">
        <f aca="false">IF(SUM(Y272:AJ272)=0,"",SUM(Y272:AJ272))</f>
        <v/>
      </c>
      <c r="AL272" s="84" t="str">
        <f aca="false">MID(IF(N(Y272)&gt;0,", "&amp;Y$2,"")&amp;IF(N(Z272)&gt;0,", "&amp;Z$2,"")&amp;IF(N(AA272)&gt;0,", "&amp;AA$2,"")&amp;IF(N(AB272)&gt;0,", "&amp;AB$2,"")&amp;IF(N(AC272)&gt;0,", "&amp;AC$2,"")&amp;IF(N(AD272)&gt;0,", "&amp;AD$2,"")&amp;IF(N(AE272)&gt;0,", "&amp;AE$2,"")&amp;IF(N(AF272)&gt;0,", "&amp;AF$2,"")&amp;IF(N(AG272)&gt;0,", "&amp;AG$2,"")&amp;IF(N(AH272)&gt;0,", "&amp;AH$2,"")&amp;IF(N(AI272)&gt;0,", "&amp;AI$2,"")&amp;IF(N(AJ272)&gt;0,", "&amp;AJ$2,""),3,999)</f>
        <v/>
      </c>
      <c r="AM272" s="87" t="str">
        <f aca="false">IF(E272="","",MID(IF(N(Y272)&gt;0,", "&amp;A272&amp;"-"&amp;Y$2,"")&amp;IF(N(Z272)&gt;0,", "&amp;A272&amp;"-"&amp;Z$2,"")&amp;IF(N(AA272)&gt;0,", "&amp;A272&amp;"-"&amp;AA$2,"")&amp;IF(N(AB272)&gt;0,", "&amp;A272&amp;"-"&amp;AB$2,"")&amp;IF(N(AC272)&gt;0,", "&amp;A272&amp;"-"&amp;AC$2,"")&amp;IF(N(AD272)&gt;0,", "&amp;A272&amp;"-"&amp;AD$2,"")&amp;IF(N(AE272)&gt;0,", "&amp;A272&amp;"-"&amp;AE$2,"")&amp;IF(N(AF272)&gt;0,", "&amp;A272&amp;"-"&amp;AF$2,"")&amp;IF(N(AG272)&gt;0,", "&amp;A272&amp;"-"&amp;AG$2,"")&amp;IF(N(AH272)&gt;0,", "&amp;A272&amp;"-"&amp;AH$2,"")&amp;IF(N(AI272)&gt;0,", "&amp;A272&amp;"-"&amp;AI$2,"")&amp;IF(N(AJ272)&gt;0,", "&amp;A272&amp;"-"&amp;AJ$2,""),3,999))</f>
        <v/>
      </c>
      <c r="AN272" s="81"/>
      <c r="AO272" s="88"/>
      <c r="AP272" s="89" t="str">
        <f aca="false">IF(AO272="","",ROUND(AO272/(1+Справочники!$B$13),2))</f>
        <v/>
      </c>
      <c r="AQ272" s="90" t="str">
        <f aca="false" t="array" ref="AQ272:AQ272">IF(AP272="","",AP272*INDEX(Справочники!$B$4:$B$7,MATCH("RUB",Справочники!$A$4:$A$7,0)))</f>
        <v/>
      </c>
      <c r="AR272" s="90" t="str">
        <f aca="false">IF(AQ272="","",ROUND(AQ272*(1+Справочники!$B$12),0))</f>
        <v/>
      </c>
      <c r="AS272" s="90" t="str">
        <f aca="false">IF(AR272="","",ROUND(AR272*(1-Справочники!$B$11),0))</f>
        <v/>
      </c>
      <c r="AT272" s="88"/>
      <c r="AU272" s="90" t="str">
        <f aca="false">IF(AT272="","",ROUND(AT272/(1+Справочники!$B$12),0))</f>
        <v/>
      </c>
      <c r="AV272" s="90" t="str">
        <f aca="false">IF(AT272="","",ROUND(AT272*(1-Справочники!$B$15),0))</f>
        <v/>
      </c>
      <c r="AW272" s="90" t="str">
        <f aca="false">IF(AT272="","",ROUND(AT272*(1-Справочники!$B$16),0))</f>
        <v/>
      </c>
      <c r="AX272" s="90" t="str">
        <f aca="false">IF(AT272="","",ROUND(AT272*(1-Справочники!$B$17),0))</f>
        <v/>
      </c>
      <c r="AY272" s="90" t="str">
        <f aca="false">IF(AT272="","",ROUND(AT272*(1-Справочники!$B$18),0))</f>
        <v/>
      </c>
      <c r="AZ272" s="90" t="str">
        <f aca="false">IF(AT272="","",ROUND(AT272*(1-Справочники!$B$19),0))</f>
        <v/>
      </c>
      <c r="BA272" s="81"/>
      <c r="BB272" s="81"/>
      <c r="BC272" s="81"/>
      <c r="BD272" s="81"/>
      <c r="BE272" s="91"/>
      <c r="BF272" s="81" t="s">
        <v>103</v>
      </c>
      <c r="BG272" s="89" t="n">
        <f aca="false" t="array" ref="BG272:BG272">IF(BF272="","",IFERROR(INDEX(Справочники!$B$4:$B$7,MATCH(BF272,Справочники!$A$4:$A$7,0)),""))</f>
        <v>68.5</v>
      </c>
      <c r="BH272" s="90" t="str">
        <f aca="false">IF(N(BN272)&gt;0,ROUND(SUMIF(ЗАКАЗЫ!$F$3:$F$500,$A272,ЗАКАЗЫ!$Y$3:$Y$500)/BN272,0),IF(OR(BE272="",BG272=""),"",ROUND(BE272*BG272*(1+Справочники!$B$10),0)))</f>
        <v/>
      </c>
      <c r="BI272" s="92" t="str">
        <f aca="false">IF(OR(AU272="",BH272="",AU272=0),"",(AU272-BH272)/AU272)</f>
        <v/>
      </c>
      <c r="BJ272" s="81"/>
      <c r="BK272" s="83"/>
      <c r="BL272" s="43" t="str">
        <f aca="false">IFERROR(INDEX(ЗАКАЗЫ!$N$3:$N$500,MATCH($A272,ЗАКАЗЫ!$F$3:$F$500,0)),"")</f>
        <v/>
      </c>
      <c r="BM272" s="8" t="str">
        <f aca="false">IF(BL272="","",IFERROR(VLOOKUP(BL272,'ТН ВЭД'!$A$4:$C$40,3,0),""))</f>
        <v/>
      </c>
      <c r="BN272" s="7" t="str">
        <f aca="false">IF(COUNTIF(ЗАКАЗЫ!$F$3:$F$500,$A272)=0,"",SUMIF(ЗАКАЗЫ!$F$3:$F$500,$A272,ЗАКАЗЫ!$J$3:$J$500))</f>
        <v/>
      </c>
      <c r="BO272" s="7" t="str">
        <f aca="false">IF(BN272="","",SUMIF(ЗАКАЗЫ!$F$3:$F$500,$A272,ЗАКАЗЫ!$AL$3:$AL$500))</f>
        <v/>
      </c>
      <c r="BP272" s="7" t="str">
        <f aca="false">IF(BN272="","",BN272-BO272)</f>
        <v/>
      </c>
      <c r="BQ272" s="55" t="str">
        <f aca="false">IF(BN272="","",IF(BO272&gt;=BN272,"На складе",IF(BO272&gt;0,"Частично","Ждём")))</f>
        <v/>
      </c>
      <c r="BR272" s="43"/>
      <c r="BS272" s="47" t="str">
        <f aca="false">IF(BN272="","",IF(_xlfn.MAXIFS(ЗАКАЗЫ!$AK$3:$AK$500,ЗАКАЗЫ!$F$3:$F$500,$A272)=0,"",_xlfn.MAXIFS(ЗАКАЗЫ!$AK$3:$AK$500,ЗАКАЗЫ!$F$3:$F$500,$A272)))</f>
        <v/>
      </c>
    </row>
    <row r="273" customFormat="false" ht="15.75" hidden="false" customHeight="true" outlineLevel="0" collapsed="false">
      <c r="A273" s="80" t="s">
        <v>1474</v>
      </c>
      <c r="B273" s="81"/>
      <c r="C273" s="81"/>
      <c r="D273" s="81"/>
      <c r="E273" s="83"/>
      <c r="F273" s="81"/>
      <c r="G273" s="83"/>
      <c r="H273" s="83"/>
      <c r="I273" s="84" t="str">
        <f aca="false">IF(E273="","",A273&amp;"_1.jpg")</f>
        <v/>
      </c>
      <c r="J273" s="84" t="str">
        <f aca="false">IF(E273="","",A273&amp;"_2.jpg; "&amp;A273&amp;"_3.jpg")</f>
        <v/>
      </c>
      <c r="K273" s="84" t="str">
        <f aca="false">IF(E273="","",A273&amp;"_schema.jpg")</f>
        <v/>
      </c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 t="s">
        <v>96</v>
      </c>
      <c r="W273" s="81"/>
      <c r="X273" s="81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6" t="str">
        <f aca="false">IF(SUM(Y273:AJ273)=0,"",SUM(Y273:AJ273))</f>
        <v/>
      </c>
      <c r="AL273" s="84" t="str">
        <f aca="false">MID(IF(N(Y273)&gt;0,", "&amp;Y$2,"")&amp;IF(N(Z273)&gt;0,", "&amp;Z$2,"")&amp;IF(N(AA273)&gt;0,", "&amp;AA$2,"")&amp;IF(N(AB273)&gt;0,", "&amp;AB$2,"")&amp;IF(N(AC273)&gt;0,", "&amp;AC$2,"")&amp;IF(N(AD273)&gt;0,", "&amp;AD$2,"")&amp;IF(N(AE273)&gt;0,", "&amp;AE$2,"")&amp;IF(N(AF273)&gt;0,", "&amp;AF$2,"")&amp;IF(N(AG273)&gt;0,", "&amp;AG$2,"")&amp;IF(N(AH273)&gt;0,", "&amp;AH$2,"")&amp;IF(N(AI273)&gt;0,", "&amp;AI$2,"")&amp;IF(N(AJ273)&gt;0,", "&amp;AJ$2,""),3,999)</f>
        <v/>
      </c>
      <c r="AM273" s="87" t="str">
        <f aca="false">IF(E273="","",MID(IF(N(Y273)&gt;0,", "&amp;A273&amp;"-"&amp;Y$2,"")&amp;IF(N(Z273)&gt;0,", "&amp;A273&amp;"-"&amp;Z$2,"")&amp;IF(N(AA273)&gt;0,", "&amp;A273&amp;"-"&amp;AA$2,"")&amp;IF(N(AB273)&gt;0,", "&amp;A273&amp;"-"&amp;AB$2,"")&amp;IF(N(AC273)&gt;0,", "&amp;A273&amp;"-"&amp;AC$2,"")&amp;IF(N(AD273)&gt;0,", "&amp;A273&amp;"-"&amp;AD$2,"")&amp;IF(N(AE273)&gt;0,", "&amp;A273&amp;"-"&amp;AE$2,"")&amp;IF(N(AF273)&gt;0,", "&amp;A273&amp;"-"&amp;AF$2,"")&amp;IF(N(AG273)&gt;0,", "&amp;A273&amp;"-"&amp;AG$2,"")&amp;IF(N(AH273)&gt;0,", "&amp;A273&amp;"-"&amp;AH$2,"")&amp;IF(N(AI273)&gt;0,", "&amp;A273&amp;"-"&amp;AI$2,"")&amp;IF(N(AJ273)&gt;0,", "&amp;A273&amp;"-"&amp;AJ$2,""),3,999))</f>
        <v/>
      </c>
      <c r="AN273" s="81"/>
      <c r="AO273" s="88"/>
      <c r="AP273" s="89" t="str">
        <f aca="false">IF(AO273="","",ROUND(AO273/(1+Справочники!$B$13),2))</f>
        <v/>
      </c>
      <c r="AQ273" s="90" t="str">
        <f aca="false" t="array" ref="AQ273:AQ273">IF(AP273="","",AP273*INDEX(Справочники!$B$4:$B$7,MATCH("RUB",Справочники!$A$4:$A$7,0)))</f>
        <v/>
      </c>
      <c r="AR273" s="90" t="str">
        <f aca="false">IF(AQ273="","",ROUND(AQ273*(1+Справочники!$B$12),0))</f>
        <v/>
      </c>
      <c r="AS273" s="90" t="str">
        <f aca="false">IF(AR273="","",ROUND(AR273*(1-Справочники!$B$11),0))</f>
        <v/>
      </c>
      <c r="AT273" s="88"/>
      <c r="AU273" s="90" t="str">
        <f aca="false">IF(AT273="","",ROUND(AT273/(1+Справочники!$B$12),0))</f>
        <v/>
      </c>
      <c r="AV273" s="90" t="str">
        <f aca="false">IF(AT273="","",ROUND(AT273*(1-Справочники!$B$15),0))</f>
        <v/>
      </c>
      <c r="AW273" s="90" t="str">
        <f aca="false">IF(AT273="","",ROUND(AT273*(1-Справочники!$B$16),0))</f>
        <v/>
      </c>
      <c r="AX273" s="90" t="str">
        <f aca="false">IF(AT273="","",ROUND(AT273*(1-Справочники!$B$17),0))</f>
        <v/>
      </c>
      <c r="AY273" s="90" t="str">
        <f aca="false">IF(AT273="","",ROUND(AT273*(1-Справочники!$B$18),0))</f>
        <v/>
      </c>
      <c r="AZ273" s="90" t="str">
        <f aca="false">IF(AT273="","",ROUND(AT273*(1-Справочники!$B$19),0))</f>
        <v/>
      </c>
      <c r="BA273" s="81"/>
      <c r="BB273" s="81"/>
      <c r="BC273" s="81"/>
      <c r="BD273" s="81"/>
      <c r="BE273" s="91"/>
      <c r="BF273" s="81" t="s">
        <v>103</v>
      </c>
      <c r="BG273" s="89" t="n">
        <f aca="false" t="array" ref="BG273:BG273">IF(BF273="","",IFERROR(INDEX(Справочники!$B$4:$B$7,MATCH(BF273,Справочники!$A$4:$A$7,0)),""))</f>
        <v>68.5</v>
      </c>
      <c r="BH273" s="90" t="str">
        <f aca="false">IF(N(BN273)&gt;0,ROUND(SUMIF(ЗАКАЗЫ!$F$3:$F$500,$A273,ЗАКАЗЫ!$Y$3:$Y$500)/BN273,0),IF(OR(BE273="",BG273=""),"",ROUND(BE273*BG273*(1+Справочники!$B$10),0)))</f>
        <v/>
      </c>
      <c r="BI273" s="92" t="str">
        <f aca="false">IF(OR(AU273="",BH273="",AU273=0),"",(AU273-BH273)/AU273)</f>
        <v/>
      </c>
      <c r="BJ273" s="81"/>
      <c r="BK273" s="83"/>
      <c r="BL273" s="43" t="str">
        <f aca="false">IFERROR(INDEX(ЗАКАЗЫ!$N$3:$N$500,MATCH($A273,ЗАКАЗЫ!$F$3:$F$500,0)),"")</f>
        <v/>
      </c>
      <c r="BM273" s="8" t="str">
        <f aca="false">IF(BL273="","",IFERROR(VLOOKUP(BL273,'ТН ВЭД'!$A$4:$C$40,3,0),""))</f>
        <v/>
      </c>
      <c r="BN273" s="7" t="str">
        <f aca="false">IF(COUNTIF(ЗАКАЗЫ!$F$3:$F$500,$A273)=0,"",SUMIF(ЗАКАЗЫ!$F$3:$F$500,$A273,ЗАКАЗЫ!$J$3:$J$500))</f>
        <v/>
      </c>
      <c r="BO273" s="7" t="str">
        <f aca="false">IF(BN273="","",SUMIF(ЗАКАЗЫ!$F$3:$F$500,$A273,ЗАКАЗЫ!$AL$3:$AL$500))</f>
        <v/>
      </c>
      <c r="BP273" s="7" t="str">
        <f aca="false">IF(BN273="","",BN273-BO273)</f>
        <v/>
      </c>
      <c r="BQ273" s="55" t="str">
        <f aca="false">IF(BN273="","",IF(BO273&gt;=BN273,"На складе",IF(BO273&gt;0,"Частично","Ждём")))</f>
        <v/>
      </c>
      <c r="BR273" s="43"/>
      <c r="BS273" s="47" t="str">
        <f aca="false">IF(BN273="","",IF(_xlfn.MAXIFS(ЗАКАЗЫ!$AK$3:$AK$500,ЗАКАЗЫ!$F$3:$F$500,$A273)=0,"",_xlfn.MAXIFS(ЗАКАЗЫ!$AK$3:$AK$500,ЗАКАЗЫ!$F$3:$F$500,$A273)))</f>
        <v/>
      </c>
    </row>
    <row r="274" customFormat="false" ht="15.75" hidden="false" customHeight="true" outlineLevel="0" collapsed="false">
      <c r="A274" s="80" t="s">
        <v>1475</v>
      </c>
      <c r="B274" s="81"/>
      <c r="C274" s="81"/>
      <c r="D274" s="81"/>
      <c r="E274" s="83"/>
      <c r="F274" s="81"/>
      <c r="G274" s="83"/>
      <c r="H274" s="83"/>
      <c r="I274" s="84" t="str">
        <f aca="false">IF(E274="","",A274&amp;"_1.jpg")</f>
        <v/>
      </c>
      <c r="J274" s="84" t="str">
        <f aca="false">IF(E274="","",A274&amp;"_2.jpg; "&amp;A274&amp;"_3.jpg")</f>
        <v/>
      </c>
      <c r="K274" s="84" t="str">
        <f aca="false">IF(E274="","",A274&amp;"_schema.jpg")</f>
        <v/>
      </c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 t="s">
        <v>96</v>
      </c>
      <c r="W274" s="81"/>
      <c r="X274" s="81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6" t="str">
        <f aca="false">IF(SUM(Y274:AJ274)=0,"",SUM(Y274:AJ274))</f>
        <v/>
      </c>
      <c r="AL274" s="84" t="str">
        <f aca="false">MID(IF(N(Y274)&gt;0,", "&amp;Y$2,"")&amp;IF(N(Z274)&gt;0,", "&amp;Z$2,"")&amp;IF(N(AA274)&gt;0,", "&amp;AA$2,"")&amp;IF(N(AB274)&gt;0,", "&amp;AB$2,"")&amp;IF(N(AC274)&gt;0,", "&amp;AC$2,"")&amp;IF(N(AD274)&gt;0,", "&amp;AD$2,"")&amp;IF(N(AE274)&gt;0,", "&amp;AE$2,"")&amp;IF(N(AF274)&gt;0,", "&amp;AF$2,"")&amp;IF(N(AG274)&gt;0,", "&amp;AG$2,"")&amp;IF(N(AH274)&gt;0,", "&amp;AH$2,"")&amp;IF(N(AI274)&gt;0,", "&amp;AI$2,"")&amp;IF(N(AJ274)&gt;0,", "&amp;AJ$2,""),3,999)</f>
        <v/>
      </c>
      <c r="AM274" s="87" t="str">
        <f aca="false">IF(E274="","",MID(IF(N(Y274)&gt;0,", "&amp;A274&amp;"-"&amp;Y$2,"")&amp;IF(N(Z274)&gt;0,", "&amp;A274&amp;"-"&amp;Z$2,"")&amp;IF(N(AA274)&gt;0,", "&amp;A274&amp;"-"&amp;AA$2,"")&amp;IF(N(AB274)&gt;0,", "&amp;A274&amp;"-"&amp;AB$2,"")&amp;IF(N(AC274)&gt;0,", "&amp;A274&amp;"-"&amp;AC$2,"")&amp;IF(N(AD274)&gt;0,", "&amp;A274&amp;"-"&amp;AD$2,"")&amp;IF(N(AE274)&gt;0,", "&amp;A274&amp;"-"&amp;AE$2,"")&amp;IF(N(AF274)&gt;0,", "&amp;A274&amp;"-"&amp;AF$2,"")&amp;IF(N(AG274)&gt;0,", "&amp;A274&amp;"-"&amp;AG$2,"")&amp;IF(N(AH274)&gt;0,", "&amp;A274&amp;"-"&amp;AH$2,"")&amp;IF(N(AI274)&gt;0,", "&amp;A274&amp;"-"&amp;AI$2,"")&amp;IF(N(AJ274)&gt;0,", "&amp;A274&amp;"-"&amp;AJ$2,""),3,999))</f>
        <v/>
      </c>
      <c r="AN274" s="81"/>
      <c r="AO274" s="88"/>
      <c r="AP274" s="89" t="str">
        <f aca="false">IF(AO274="","",ROUND(AO274/(1+Справочники!$B$13),2))</f>
        <v/>
      </c>
      <c r="AQ274" s="90" t="str">
        <f aca="false" t="array" ref="AQ274:AQ274">IF(AP274="","",AP274*INDEX(Справочники!$B$4:$B$7,MATCH("RUB",Справочники!$A$4:$A$7,0)))</f>
        <v/>
      </c>
      <c r="AR274" s="90" t="str">
        <f aca="false">IF(AQ274="","",ROUND(AQ274*(1+Справочники!$B$12),0))</f>
        <v/>
      </c>
      <c r="AS274" s="90" t="str">
        <f aca="false">IF(AR274="","",ROUND(AR274*(1-Справочники!$B$11),0))</f>
        <v/>
      </c>
      <c r="AT274" s="88"/>
      <c r="AU274" s="90" t="str">
        <f aca="false">IF(AT274="","",ROUND(AT274/(1+Справочники!$B$12),0))</f>
        <v/>
      </c>
      <c r="AV274" s="90" t="str">
        <f aca="false">IF(AT274="","",ROUND(AT274*(1-Справочники!$B$15),0))</f>
        <v/>
      </c>
      <c r="AW274" s="90" t="str">
        <f aca="false">IF(AT274="","",ROUND(AT274*(1-Справочники!$B$16),0))</f>
        <v/>
      </c>
      <c r="AX274" s="90" t="str">
        <f aca="false">IF(AT274="","",ROUND(AT274*(1-Справочники!$B$17),0))</f>
        <v/>
      </c>
      <c r="AY274" s="90" t="str">
        <f aca="false">IF(AT274="","",ROUND(AT274*(1-Справочники!$B$18),0))</f>
        <v/>
      </c>
      <c r="AZ274" s="90" t="str">
        <f aca="false">IF(AT274="","",ROUND(AT274*(1-Справочники!$B$19),0))</f>
        <v/>
      </c>
      <c r="BA274" s="81"/>
      <c r="BB274" s="81"/>
      <c r="BC274" s="81"/>
      <c r="BD274" s="81"/>
      <c r="BE274" s="91"/>
      <c r="BF274" s="81" t="s">
        <v>103</v>
      </c>
      <c r="BG274" s="89" t="n">
        <f aca="false" t="array" ref="BG274:BG274">IF(BF274="","",IFERROR(INDEX(Справочники!$B$4:$B$7,MATCH(BF274,Справочники!$A$4:$A$7,0)),""))</f>
        <v>68.5</v>
      </c>
      <c r="BH274" s="90" t="str">
        <f aca="false">IF(N(BN274)&gt;0,ROUND(SUMIF(ЗАКАЗЫ!$F$3:$F$500,$A274,ЗАКАЗЫ!$Y$3:$Y$500)/BN274,0),IF(OR(BE274="",BG274=""),"",ROUND(BE274*BG274*(1+Справочники!$B$10),0)))</f>
        <v/>
      </c>
      <c r="BI274" s="92" t="str">
        <f aca="false">IF(OR(AU274="",BH274="",AU274=0),"",(AU274-BH274)/AU274)</f>
        <v/>
      </c>
      <c r="BJ274" s="81"/>
      <c r="BK274" s="83"/>
      <c r="BL274" s="43" t="str">
        <f aca="false">IFERROR(INDEX(ЗАКАЗЫ!$N$3:$N$500,MATCH($A274,ЗАКАЗЫ!$F$3:$F$500,0)),"")</f>
        <v/>
      </c>
      <c r="BM274" s="8" t="str">
        <f aca="false">IF(BL274="","",IFERROR(VLOOKUP(BL274,'ТН ВЭД'!$A$4:$C$40,3,0),""))</f>
        <v/>
      </c>
      <c r="BN274" s="7" t="str">
        <f aca="false">IF(COUNTIF(ЗАКАЗЫ!$F$3:$F$500,$A274)=0,"",SUMIF(ЗАКАЗЫ!$F$3:$F$500,$A274,ЗАКАЗЫ!$J$3:$J$500))</f>
        <v/>
      </c>
      <c r="BO274" s="7" t="str">
        <f aca="false">IF(BN274="","",SUMIF(ЗАКАЗЫ!$F$3:$F$500,$A274,ЗАКАЗЫ!$AL$3:$AL$500))</f>
        <v/>
      </c>
      <c r="BP274" s="7" t="str">
        <f aca="false">IF(BN274="","",BN274-BO274)</f>
        <v/>
      </c>
      <c r="BQ274" s="55" t="str">
        <f aca="false">IF(BN274="","",IF(BO274&gt;=BN274,"На складе",IF(BO274&gt;0,"Частично","Ждём")))</f>
        <v/>
      </c>
      <c r="BR274" s="43"/>
      <c r="BS274" s="47" t="str">
        <f aca="false">IF(BN274="","",IF(_xlfn.MAXIFS(ЗАКАЗЫ!$AK$3:$AK$500,ЗАКАЗЫ!$F$3:$F$500,$A274)=0,"",_xlfn.MAXIFS(ЗАКАЗЫ!$AK$3:$AK$500,ЗАКАЗЫ!$F$3:$F$500,$A274)))</f>
        <v/>
      </c>
    </row>
    <row r="275" customFormat="false" ht="15.75" hidden="false" customHeight="true" outlineLevel="0" collapsed="false">
      <c r="A275" s="80" t="s">
        <v>1476</v>
      </c>
      <c r="B275" s="81"/>
      <c r="C275" s="81"/>
      <c r="D275" s="81"/>
      <c r="E275" s="83"/>
      <c r="F275" s="81"/>
      <c r="G275" s="83"/>
      <c r="H275" s="83"/>
      <c r="I275" s="84" t="str">
        <f aca="false">IF(E275="","",A275&amp;"_1.jpg")</f>
        <v/>
      </c>
      <c r="J275" s="84" t="str">
        <f aca="false">IF(E275="","",A275&amp;"_2.jpg; "&amp;A275&amp;"_3.jpg")</f>
        <v/>
      </c>
      <c r="K275" s="84" t="str">
        <f aca="false">IF(E275="","",A275&amp;"_schema.jpg")</f>
        <v/>
      </c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 t="s">
        <v>96</v>
      </c>
      <c r="W275" s="81"/>
      <c r="X275" s="81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6" t="str">
        <f aca="false">IF(SUM(Y275:AJ275)=0,"",SUM(Y275:AJ275))</f>
        <v/>
      </c>
      <c r="AL275" s="84" t="str">
        <f aca="false">MID(IF(N(Y275)&gt;0,", "&amp;Y$2,"")&amp;IF(N(Z275)&gt;0,", "&amp;Z$2,"")&amp;IF(N(AA275)&gt;0,", "&amp;AA$2,"")&amp;IF(N(AB275)&gt;0,", "&amp;AB$2,"")&amp;IF(N(AC275)&gt;0,", "&amp;AC$2,"")&amp;IF(N(AD275)&gt;0,", "&amp;AD$2,"")&amp;IF(N(AE275)&gt;0,", "&amp;AE$2,"")&amp;IF(N(AF275)&gt;0,", "&amp;AF$2,"")&amp;IF(N(AG275)&gt;0,", "&amp;AG$2,"")&amp;IF(N(AH275)&gt;0,", "&amp;AH$2,"")&amp;IF(N(AI275)&gt;0,", "&amp;AI$2,"")&amp;IF(N(AJ275)&gt;0,", "&amp;AJ$2,""),3,999)</f>
        <v/>
      </c>
      <c r="AM275" s="87" t="str">
        <f aca="false">IF(E275="","",MID(IF(N(Y275)&gt;0,", "&amp;A275&amp;"-"&amp;Y$2,"")&amp;IF(N(Z275)&gt;0,", "&amp;A275&amp;"-"&amp;Z$2,"")&amp;IF(N(AA275)&gt;0,", "&amp;A275&amp;"-"&amp;AA$2,"")&amp;IF(N(AB275)&gt;0,", "&amp;A275&amp;"-"&amp;AB$2,"")&amp;IF(N(AC275)&gt;0,", "&amp;A275&amp;"-"&amp;AC$2,"")&amp;IF(N(AD275)&gt;0,", "&amp;A275&amp;"-"&amp;AD$2,"")&amp;IF(N(AE275)&gt;0,", "&amp;A275&amp;"-"&amp;AE$2,"")&amp;IF(N(AF275)&gt;0,", "&amp;A275&amp;"-"&amp;AF$2,"")&amp;IF(N(AG275)&gt;0,", "&amp;A275&amp;"-"&amp;AG$2,"")&amp;IF(N(AH275)&gt;0,", "&amp;A275&amp;"-"&amp;AH$2,"")&amp;IF(N(AI275)&gt;0,", "&amp;A275&amp;"-"&amp;AI$2,"")&amp;IF(N(AJ275)&gt;0,", "&amp;A275&amp;"-"&amp;AJ$2,""),3,999))</f>
        <v/>
      </c>
      <c r="AN275" s="81"/>
      <c r="AO275" s="88"/>
      <c r="AP275" s="89" t="str">
        <f aca="false">IF(AO275="","",ROUND(AO275/(1+Справочники!$B$13),2))</f>
        <v/>
      </c>
      <c r="AQ275" s="90" t="str">
        <f aca="false" t="array" ref="AQ275:AQ275">IF(AP275="","",AP275*INDEX(Справочники!$B$4:$B$7,MATCH("RUB",Справочники!$A$4:$A$7,0)))</f>
        <v/>
      </c>
      <c r="AR275" s="90" t="str">
        <f aca="false">IF(AQ275="","",ROUND(AQ275*(1+Справочники!$B$12),0))</f>
        <v/>
      </c>
      <c r="AS275" s="90" t="str">
        <f aca="false">IF(AR275="","",ROUND(AR275*(1-Справочники!$B$11),0))</f>
        <v/>
      </c>
      <c r="AT275" s="88"/>
      <c r="AU275" s="90" t="str">
        <f aca="false">IF(AT275="","",ROUND(AT275/(1+Справочники!$B$12),0))</f>
        <v/>
      </c>
      <c r="AV275" s="90" t="str">
        <f aca="false">IF(AT275="","",ROUND(AT275*(1-Справочники!$B$15),0))</f>
        <v/>
      </c>
      <c r="AW275" s="90" t="str">
        <f aca="false">IF(AT275="","",ROUND(AT275*(1-Справочники!$B$16),0))</f>
        <v/>
      </c>
      <c r="AX275" s="90" t="str">
        <f aca="false">IF(AT275="","",ROUND(AT275*(1-Справочники!$B$17),0))</f>
        <v/>
      </c>
      <c r="AY275" s="90" t="str">
        <f aca="false">IF(AT275="","",ROUND(AT275*(1-Справочники!$B$18),0))</f>
        <v/>
      </c>
      <c r="AZ275" s="90" t="str">
        <f aca="false">IF(AT275="","",ROUND(AT275*(1-Справочники!$B$19),0))</f>
        <v/>
      </c>
      <c r="BA275" s="81"/>
      <c r="BB275" s="81"/>
      <c r="BC275" s="81"/>
      <c r="BD275" s="81"/>
      <c r="BE275" s="91"/>
      <c r="BF275" s="81" t="s">
        <v>103</v>
      </c>
      <c r="BG275" s="89" t="n">
        <f aca="false" t="array" ref="BG275:BG275">IF(BF275="","",IFERROR(INDEX(Справочники!$B$4:$B$7,MATCH(BF275,Справочники!$A$4:$A$7,0)),""))</f>
        <v>68.5</v>
      </c>
      <c r="BH275" s="90" t="str">
        <f aca="false">IF(N(BN275)&gt;0,ROUND(SUMIF(ЗАКАЗЫ!$F$3:$F$500,$A275,ЗАКАЗЫ!$Y$3:$Y$500)/BN275,0),IF(OR(BE275="",BG275=""),"",ROUND(BE275*BG275*(1+Справочники!$B$10),0)))</f>
        <v/>
      </c>
      <c r="BI275" s="92" t="str">
        <f aca="false">IF(OR(AU275="",BH275="",AU275=0),"",(AU275-BH275)/AU275)</f>
        <v/>
      </c>
      <c r="BJ275" s="81"/>
      <c r="BK275" s="83"/>
      <c r="BL275" s="43" t="str">
        <f aca="false">IFERROR(INDEX(ЗАКАЗЫ!$N$3:$N$500,MATCH($A275,ЗАКАЗЫ!$F$3:$F$500,0)),"")</f>
        <v/>
      </c>
      <c r="BM275" s="8" t="str">
        <f aca="false">IF(BL275="","",IFERROR(VLOOKUP(BL275,'ТН ВЭД'!$A$4:$C$40,3,0),""))</f>
        <v/>
      </c>
      <c r="BN275" s="7" t="str">
        <f aca="false">IF(COUNTIF(ЗАКАЗЫ!$F$3:$F$500,$A275)=0,"",SUMIF(ЗАКАЗЫ!$F$3:$F$500,$A275,ЗАКАЗЫ!$J$3:$J$500))</f>
        <v/>
      </c>
      <c r="BO275" s="7" t="str">
        <f aca="false">IF(BN275="","",SUMIF(ЗАКАЗЫ!$F$3:$F$500,$A275,ЗАКАЗЫ!$AL$3:$AL$500))</f>
        <v/>
      </c>
      <c r="BP275" s="7" t="str">
        <f aca="false">IF(BN275="","",BN275-BO275)</f>
        <v/>
      </c>
      <c r="BQ275" s="55" t="str">
        <f aca="false">IF(BN275="","",IF(BO275&gt;=BN275,"На складе",IF(BO275&gt;0,"Частично","Ждём")))</f>
        <v/>
      </c>
      <c r="BR275" s="43"/>
      <c r="BS275" s="47" t="str">
        <f aca="false">IF(BN275="","",IF(_xlfn.MAXIFS(ЗАКАЗЫ!$AK$3:$AK$500,ЗАКАЗЫ!$F$3:$F$500,$A275)=0,"",_xlfn.MAXIFS(ЗАКАЗЫ!$AK$3:$AK$500,ЗАКАЗЫ!$F$3:$F$500,$A275)))</f>
        <v/>
      </c>
    </row>
    <row r="276" customFormat="false" ht="15.75" hidden="false" customHeight="true" outlineLevel="0" collapsed="false">
      <c r="A276" s="80" t="s">
        <v>1477</v>
      </c>
      <c r="B276" s="81"/>
      <c r="C276" s="81"/>
      <c r="D276" s="81"/>
      <c r="E276" s="83"/>
      <c r="F276" s="81"/>
      <c r="G276" s="83"/>
      <c r="H276" s="83"/>
      <c r="I276" s="84" t="str">
        <f aca="false">IF(E276="","",A276&amp;"_1.jpg")</f>
        <v/>
      </c>
      <c r="J276" s="84" t="str">
        <f aca="false">IF(E276="","",A276&amp;"_2.jpg; "&amp;A276&amp;"_3.jpg")</f>
        <v/>
      </c>
      <c r="K276" s="84" t="str">
        <f aca="false">IF(E276="","",A276&amp;"_schema.jpg")</f>
        <v/>
      </c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 t="s">
        <v>96</v>
      </c>
      <c r="W276" s="81"/>
      <c r="X276" s="81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6" t="str">
        <f aca="false">IF(SUM(Y276:AJ276)=0,"",SUM(Y276:AJ276))</f>
        <v/>
      </c>
      <c r="AL276" s="84" t="str">
        <f aca="false">MID(IF(N(Y276)&gt;0,", "&amp;Y$2,"")&amp;IF(N(Z276)&gt;0,", "&amp;Z$2,"")&amp;IF(N(AA276)&gt;0,", "&amp;AA$2,"")&amp;IF(N(AB276)&gt;0,", "&amp;AB$2,"")&amp;IF(N(AC276)&gt;0,", "&amp;AC$2,"")&amp;IF(N(AD276)&gt;0,", "&amp;AD$2,"")&amp;IF(N(AE276)&gt;0,", "&amp;AE$2,"")&amp;IF(N(AF276)&gt;0,", "&amp;AF$2,"")&amp;IF(N(AG276)&gt;0,", "&amp;AG$2,"")&amp;IF(N(AH276)&gt;0,", "&amp;AH$2,"")&amp;IF(N(AI276)&gt;0,", "&amp;AI$2,"")&amp;IF(N(AJ276)&gt;0,", "&amp;AJ$2,""),3,999)</f>
        <v/>
      </c>
      <c r="AM276" s="87" t="str">
        <f aca="false">IF(E276="","",MID(IF(N(Y276)&gt;0,", "&amp;A276&amp;"-"&amp;Y$2,"")&amp;IF(N(Z276)&gt;0,", "&amp;A276&amp;"-"&amp;Z$2,"")&amp;IF(N(AA276)&gt;0,", "&amp;A276&amp;"-"&amp;AA$2,"")&amp;IF(N(AB276)&gt;0,", "&amp;A276&amp;"-"&amp;AB$2,"")&amp;IF(N(AC276)&gt;0,", "&amp;A276&amp;"-"&amp;AC$2,"")&amp;IF(N(AD276)&gt;0,", "&amp;A276&amp;"-"&amp;AD$2,"")&amp;IF(N(AE276)&gt;0,", "&amp;A276&amp;"-"&amp;AE$2,"")&amp;IF(N(AF276)&gt;0,", "&amp;A276&amp;"-"&amp;AF$2,"")&amp;IF(N(AG276)&gt;0,", "&amp;A276&amp;"-"&amp;AG$2,"")&amp;IF(N(AH276)&gt;0,", "&amp;A276&amp;"-"&amp;AH$2,"")&amp;IF(N(AI276)&gt;0,", "&amp;A276&amp;"-"&amp;AI$2,"")&amp;IF(N(AJ276)&gt;0,", "&amp;A276&amp;"-"&amp;AJ$2,""),3,999))</f>
        <v/>
      </c>
      <c r="AN276" s="81"/>
      <c r="AO276" s="88"/>
      <c r="AP276" s="89" t="str">
        <f aca="false">IF(AO276="","",ROUND(AO276/(1+Справочники!$B$13),2))</f>
        <v/>
      </c>
      <c r="AQ276" s="90" t="str">
        <f aca="false" t="array" ref="AQ276:AQ276">IF(AP276="","",AP276*INDEX(Справочники!$B$4:$B$7,MATCH("RUB",Справочники!$A$4:$A$7,0)))</f>
        <v/>
      </c>
      <c r="AR276" s="90" t="str">
        <f aca="false">IF(AQ276="","",ROUND(AQ276*(1+Справочники!$B$12),0))</f>
        <v/>
      </c>
      <c r="AS276" s="90" t="str">
        <f aca="false">IF(AR276="","",ROUND(AR276*(1-Справочники!$B$11),0))</f>
        <v/>
      </c>
      <c r="AT276" s="88"/>
      <c r="AU276" s="90" t="str">
        <f aca="false">IF(AT276="","",ROUND(AT276/(1+Справочники!$B$12),0))</f>
        <v/>
      </c>
      <c r="AV276" s="90" t="str">
        <f aca="false">IF(AT276="","",ROUND(AT276*(1-Справочники!$B$15),0))</f>
        <v/>
      </c>
      <c r="AW276" s="90" t="str">
        <f aca="false">IF(AT276="","",ROUND(AT276*(1-Справочники!$B$16),0))</f>
        <v/>
      </c>
      <c r="AX276" s="90" t="str">
        <f aca="false">IF(AT276="","",ROUND(AT276*(1-Справочники!$B$17),0))</f>
        <v/>
      </c>
      <c r="AY276" s="90" t="str">
        <f aca="false">IF(AT276="","",ROUND(AT276*(1-Справочники!$B$18),0))</f>
        <v/>
      </c>
      <c r="AZ276" s="90" t="str">
        <f aca="false">IF(AT276="","",ROUND(AT276*(1-Справочники!$B$19),0))</f>
        <v/>
      </c>
      <c r="BA276" s="81"/>
      <c r="BB276" s="81"/>
      <c r="BC276" s="81"/>
      <c r="BD276" s="81"/>
      <c r="BE276" s="91"/>
      <c r="BF276" s="81" t="s">
        <v>103</v>
      </c>
      <c r="BG276" s="89" t="n">
        <f aca="false" t="array" ref="BG276:BG276">IF(BF276="","",IFERROR(INDEX(Справочники!$B$4:$B$7,MATCH(BF276,Справочники!$A$4:$A$7,0)),""))</f>
        <v>68.5</v>
      </c>
      <c r="BH276" s="90" t="str">
        <f aca="false">IF(N(BN276)&gt;0,ROUND(SUMIF(ЗАКАЗЫ!$F$3:$F$500,$A276,ЗАКАЗЫ!$Y$3:$Y$500)/BN276,0),IF(OR(BE276="",BG276=""),"",ROUND(BE276*BG276*(1+Справочники!$B$10),0)))</f>
        <v/>
      </c>
      <c r="BI276" s="92" t="str">
        <f aca="false">IF(OR(AU276="",BH276="",AU276=0),"",(AU276-BH276)/AU276)</f>
        <v/>
      </c>
      <c r="BJ276" s="81"/>
      <c r="BK276" s="83"/>
      <c r="BL276" s="43" t="str">
        <f aca="false">IFERROR(INDEX(ЗАКАЗЫ!$N$3:$N$500,MATCH($A276,ЗАКАЗЫ!$F$3:$F$500,0)),"")</f>
        <v/>
      </c>
      <c r="BM276" s="8" t="str">
        <f aca="false">IF(BL276="","",IFERROR(VLOOKUP(BL276,'ТН ВЭД'!$A$4:$C$40,3,0),""))</f>
        <v/>
      </c>
      <c r="BN276" s="7" t="str">
        <f aca="false">IF(COUNTIF(ЗАКАЗЫ!$F$3:$F$500,$A276)=0,"",SUMIF(ЗАКАЗЫ!$F$3:$F$500,$A276,ЗАКАЗЫ!$J$3:$J$500))</f>
        <v/>
      </c>
      <c r="BO276" s="7" t="str">
        <f aca="false">IF(BN276="","",SUMIF(ЗАКАЗЫ!$F$3:$F$500,$A276,ЗАКАЗЫ!$AL$3:$AL$500))</f>
        <v/>
      </c>
      <c r="BP276" s="7" t="str">
        <f aca="false">IF(BN276="","",BN276-BO276)</f>
        <v/>
      </c>
      <c r="BQ276" s="55" t="str">
        <f aca="false">IF(BN276="","",IF(BO276&gt;=BN276,"На складе",IF(BO276&gt;0,"Частично","Ждём")))</f>
        <v/>
      </c>
      <c r="BR276" s="43"/>
      <c r="BS276" s="47" t="str">
        <f aca="false">IF(BN276="","",IF(_xlfn.MAXIFS(ЗАКАЗЫ!$AK$3:$AK$500,ЗАКАЗЫ!$F$3:$F$500,$A276)=0,"",_xlfn.MAXIFS(ЗАКАЗЫ!$AK$3:$AK$500,ЗАКАЗЫ!$F$3:$F$500,$A276)))</f>
        <v/>
      </c>
    </row>
    <row r="277" customFormat="false" ht="15.75" hidden="false" customHeight="true" outlineLevel="0" collapsed="false">
      <c r="A277" s="80" t="s">
        <v>1478</v>
      </c>
      <c r="B277" s="81"/>
      <c r="C277" s="81"/>
      <c r="D277" s="81"/>
      <c r="E277" s="83"/>
      <c r="F277" s="81"/>
      <c r="G277" s="83"/>
      <c r="H277" s="83"/>
      <c r="I277" s="84" t="str">
        <f aca="false">IF(E277="","",A277&amp;"_1.jpg")</f>
        <v/>
      </c>
      <c r="J277" s="84" t="str">
        <f aca="false">IF(E277="","",A277&amp;"_2.jpg; "&amp;A277&amp;"_3.jpg")</f>
        <v/>
      </c>
      <c r="K277" s="84" t="str">
        <f aca="false">IF(E277="","",A277&amp;"_schema.jpg")</f>
        <v/>
      </c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 t="s">
        <v>96</v>
      </c>
      <c r="W277" s="81"/>
      <c r="X277" s="81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6" t="str">
        <f aca="false">IF(SUM(Y277:AJ277)=0,"",SUM(Y277:AJ277))</f>
        <v/>
      </c>
      <c r="AL277" s="84" t="str">
        <f aca="false">MID(IF(N(Y277)&gt;0,", "&amp;Y$2,"")&amp;IF(N(Z277)&gt;0,", "&amp;Z$2,"")&amp;IF(N(AA277)&gt;0,", "&amp;AA$2,"")&amp;IF(N(AB277)&gt;0,", "&amp;AB$2,"")&amp;IF(N(AC277)&gt;0,", "&amp;AC$2,"")&amp;IF(N(AD277)&gt;0,", "&amp;AD$2,"")&amp;IF(N(AE277)&gt;0,", "&amp;AE$2,"")&amp;IF(N(AF277)&gt;0,", "&amp;AF$2,"")&amp;IF(N(AG277)&gt;0,", "&amp;AG$2,"")&amp;IF(N(AH277)&gt;0,", "&amp;AH$2,"")&amp;IF(N(AI277)&gt;0,", "&amp;AI$2,"")&amp;IF(N(AJ277)&gt;0,", "&amp;AJ$2,""),3,999)</f>
        <v/>
      </c>
      <c r="AM277" s="87" t="str">
        <f aca="false">IF(E277="","",MID(IF(N(Y277)&gt;0,", "&amp;A277&amp;"-"&amp;Y$2,"")&amp;IF(N(Z277)&gt;0,", "&amp;A277&amp;"-"&amp;Z$2,"")&amp;IF(N(AA277)&gt;0,", "&amp;A277&amp;"-"&amp;AA$2,"")&amp;IF(N(AB277)&gt;0,", "&amp;A277&amp;"-"&amp;AB$2,"")&amp;IF(N(AC277)&gt;0,", "&amp;A277&amp;"-"&amp;AC$2,"")&amp;IF(N(AD277)&gt;0,", "&amp;A277&amp;"-"&amp;AD$2,"")&amp;IF(N(AE277)&gt;0,", "&amp;A277&amp;"-"&amp;AE$2,"")&amp;IF(N(AF277)&gt;0,", "&amp;A277&amp;"-"&amp;AF$2,"")&amp;IF(N(AG277)&gt;0,", "&amp;A277&amp;"-"&amp;AG$2,"")&amp;IF(N(AH277)&gt;0,", "&amp;A277&amp;"-"&amp;AH$2,"")&amp;IF(N(AI277)&gt;0,", "&amp;A277&amp;"-"&amp;AI$2,"")&amp;IF(N(AJ277)&gt;0,", "&amp;A277&amp;"-"&amp;AJ$2,""),3,999))</f>
        <v/>
      </c>
      <c r="AN277" s="81"/>
      <c r="AO277" s="88"/>
      <c r="AP277" s="89" t="str">
        <f aca="false">IF(AO277="","",ROUND(AO277/(1+Справочники!$B$13),2))</f>
        <v/>
      </c>
      <c r="AQ277" s="90" t="str">
        <f aca="false" t="array" ref="AQ277:AQ277">IF(AP277="","",AP277*INDEX(Справочники!$B$4:$B$7,MATCH("RUB",Справочники!$A$4:$A$7,0)))</f>
        <v/>
      </c>
      <c r="AR277" s="90" t="str">
        <f aca="false">IF(AQ277="","",ROUND(AQ277*(1+Справочники!$B$12),0))</f>
        <v/>
      </c>
      <c r="AS277" s="90" t="str">
        <f aca="false">IF(AR277="","",ROUND(AR277*(1-Справочники!$B$11),0))</f>
        <v/>
      </c>
      <c r="AT277" s="88"/>
      <c r="AU277" s="90" t="str">
        <f aca="false">IF(AT277="","",ROUND(AT277/(1+Справочники!$B$12),0))</f>
        <v/>
      </c>
      <c r="AV277" s="90" t="str">
        <f aca="false">IF(AT277="","",ROUND(AT277*(1-Справочники!$B$15),0))</f>
        <v/>
      </c>
      <c r="AW277" s="90" t="str">
        <f aca="false">IF(AT277="","",ROUND(AT277*(1-Справочники!$B$16),0))</f>
        <v/>
      </c>
      <c r="AX277" s="90" t="str">
        <f aca="false">IF(AT277="","",ROUND(AT277*(1-Справочники!$B$17),0))</f>
        <v/>
      </c>
      <c r="AY277" s="90" t="str">
        <f aca="false">IF(AT277="","",ROUND(AT277*(1-Справочники!$B$18),0))</f>
        <v/>
      </c>
      <c r="AZ277" s="90" t="str">
        <f aca="false">IF(AT277="","",ROUND(AT277*(1-Справочники!$B$19),0))</f>
        <v/>
      </c>
      <c r="BA277" s="81"/>
      <c r="BB277" s="81"/>
      <c r="BC277" s="81"/>
      <c r="BD277" s="81"/>
      <c r="BE277" s="91"/>
      <c r="BF277" s="81" t="s">
        <v>103</v>
      </c>
      <c r="BG277" s="89" t="n">
        <f aca="false" t="array" ref="BG277:BG277">IF(BF277="","",IFERROR(INDEX(Справочники!$B$4:$B$7,MATCH(BF277,Справочники!$A$4:$A$7,0)),""))</f>
        <v>68.5</v>
      </c>
      <c r="BH277" s="90" t="str">
        <f aca="false">IF(N(BN277)&gt;0,ROUND(SUMIF(ЗАКАЗЫ!$F$3:$F$500,$A277,ЗАКАЗЫ!$Y$3:$Y$500)/BN277,0),IF(OR(BE277="",BG277=""),"",ROUND(BE277*BG277*(1+Справочники!$B$10),0)))</f>
        <v/>
      </c>
      <c r="BI277" s="92" t="str">
        <f aca="false">IF(OR(AU277="",BH277="",AU277=0),"",(AU277-BH277)/AU277)</f>
        <v/>
      </c>
      <c r="BJ277" s="81"/>
      <c r="BK277" s="83"/>
      <c r="BL277" s="43" t="str">
        <f aca="false">IFERROR(INDEX(ЗАКАЗЫ!$N$3:$N$500,MATCH($A277,ЗАКАЗЫ!$F$3:$F$500,0)),"")</f>
        <v/>
      </c>
      <c r="BM277" s="8" t="str">
        <f aca="false">IF(BL277="","",IFERROR(VLOOKUP(BL277,'ТН ВЭД'!$A$4:$C$40,3,0),""))</f>
        <v/>
      </c>
      <c r="BN277" s="7" t="str">
        <f aca="false">IF(COUNTIF(ЗАКАЗЫ!$F$3:$F$500,$A277)=0,"",SUMIF(ЗАКАЗЫ!$F$3:$F$500,$A277,ЗАКАЗЫ!$J$3:$J$500))</f>
        <v/>
      </c>
      <c r="BO277" s="7" t="str">
        <f aca="false">IF(BN277="","",SUMIF(ЗАКАЗЫ!$F$3:$F$500,$A277,ЗАКАЗЫ!$AL$3:$AL$500))</f>
        <v/>
      </c>
      <c r="BP277" s="7" t="str">
        <f aca="false">IF(BN277="","",BN277-BO277)</f>
        <v/>
      </c>
      <c r="BQ277" s="55" t="str">
        <f aca="false">IF(BN277="","",IF(BO277&gt;=BN277,"На складе",IF(BO277&gt;0,"Частично","Ждём")))</f>
        <v/>
      </c>
      <c r="BR277" s="43"/>
      <c r="BS277" s="47" t="str">
        <f aca="false">IF(BN277="","",IF(_xlfn.MAXIFS(ЗАКАЗЫ!$AK$3:$AK$500,ЗАКАЗЫ!$F$3:$F$500,$A277)=0,"",_xlfn.MAXIFS(ЗАКАЗЫ!$AK$3:$AK$500,ЗАКАЗЫ!$F$3:$F$500,$A277)))</f>
        <v/>
      </c>
    </row>
    <row r="278" customFormat="false" ht="15.75" hidden="false" customHeight="true" outlineLevel="0" collapsed="false">
      <c r="A278" s="80" t="s">
        <v>1479</v>
      </c>
      <c r="B278" s="81"/>
      <c r="C278" s="81"/>
      <c r="D278" s="81"/>
      <c r="E278" s="83"/>
      <c r="F278" s="81"/>
      <c r="G278" s="83"/>
      <c r="H278" s="83"/>
      <c r="I278" s="84" t="str">
        <f aca="false">IF(E278="","",A278&amp;"_1.jpg")</f>
        <v/>
      </c>
      <c r="J278" s="84" t="str">
        <f aca="false">IF(E278="","",A278&amp;"_2.jpg; "&amp;A278&amp;"_3.jpg")</f>
        <v/>
      </c>
      <c r="K278" s="84" t="str">
        <f aca="false">IF(E278="","",A278&amp;"_schema.jpg")</f>
        <v/>
      </c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 t="s">
        <v>96</v>
      </c>
      <c r="W278" s="81"/>
      <c r="X278" s="81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6" t="str">
        <f aca="false">IF(SUM(Y278:AJ278)=0,"",SUM(Y278:AJ278))</f>
        <v/>
      </c>
      <c r="AL278" s="84" t="str">
        <f aca="false">MID(IF(N(Y278)&gt;0,", "&amp;Y$2,"")&amp;IF(N(Z278)&gt;0,", "&amp;Z$2,"")&amp;IF(N(AA278)&gt;0,", "&amp;AA$2,"")&amp;IF(N(AB278)&gt;0,", "&amp;AB$2,"")&amp;IF(N(AC278)&gt;0,", "&amp;AC$2,"")&amp;IF(N(AD278)&gt;0,", "&amp;AD$2,"")&amp;IF(N(AE278)&gt;0,", "&amp;AE$2,"")&amp;IF(N(AF278)&gt;0,", "&amp;AF$2,"")&amp;IF(N(AG278)&gt;0,", "&amp;AG$2,"")&amp;IF(N(AH278)&gt;0,", "&amp;AH$2,"")&amp;IF(N(AI278)&gt;0,", "&amp;AI$2,"")&amp;IF(N(AJ278)&gt;0,", "&amp;AJ$2,""),3,999)</f>
        <v/>
      </c>
      <c r="AM278" s="87" t="str">
        <f aca="false">IF(E278="","",MID(IF(N(Y278)&gt;0,", "&amp;A278&amp;"-"&amp;Y$2,"")&amp;IF(N(Z278)&gt;0,", "&amp;A278&amp;"-"&amp;Z$2,"")&amp;IF(N(AA278)&gt;0,", "&amp;A278&amp;"-"&amp;AA$2,"")&amp;IF(N(AB278)&gt;0,", "&amp;A278&amp;"-"&amp;AB$2,"")&amp;IF(N(AC278)&gt;0,", "&amp;A278&amp;"-"&amp;AC$2,"")&amp;IF(N(AD278)&gt;0,", "&amp;A278&amp;"-"&amp;AD$2,"")&amp;IF(N(AE278)&gt;0,", "&amp;A278&amp;"-"&amp;AE$2,"")&amp;IF(N(AF278)&gt;0,", "&amp;A278&amp;"-"&amp;AF$2,"")&amp;IF(N(AG278)&gt;0,", "&amp;A278&amp;"-"&amp;AG$2,"")&amp;IF(N(AH278)&gt;0,", "&amp;A278&amp;"-"&amp;AH$2,"")&amp;IF(N(AI278)&gt;0,", "&amp;A278&amp;"-"&amp;AI$2,"")&amp;IF(N(AJ278)&gt;0,", "&amp;A278&amp;"-"&amp;AJ$2,""),3,999))</f>
        <v/>
      </c>
      <c r="AN278" s="81"/>
      <c r="AO278" s="88"/>
      <c r="AP278" s="89" t="str">
        <f aca="false">IF(AO278="","",ROUND(AO278/(1+Справочники!$B$13),2))</f>
        <v/>
      </c>
      <c r="AQ278" s="90" t="str">
        <f aca="false" t="array" ref="AQ278:AQ278">IF(AP278="","",AP278*INDEX(Справочники!$B$4:$B$7,MATCH("RUB",Справочники!$A$4:$A$7,0)))</f>
        <v/>
      </c>
      <c r="AR278" s="90" t="str">
        <f aca="false">IF(AQ278="","",ROUND(AQ278*(1+Справочники!$B$12),0))</f>
        <v/>
      </c>
      <c r="AS278" s="90" t="str">
        <f aca="false">IF(AR278="","",ROUND(AR278*(1-Справочники!$B$11),0))</f>
        <v/>
      </c>
      <c r="AT278" s="88"/>
      <c r="AU278" s="90" t="str">
        <f aca="false">IF(AT278="","",ROUND(AT278/(1+Справочники!$B$12),0))</f>
        <v/>
      </c>
      <c r="AV278" s="90" t="str">
        <f aca="false">IF(AT278="","",ROUND(AT278*(1-Справочники!$B$15),0))</f>
        <v/>
      </c>
      <c r="AW278" s="90" t="str">
        <f aca="false">IF(AT278="","",ROUND(AT278*(1-Справочники!$B$16),0))</f>
        <v/>
      </c>
      <c r="AX278" s="90" t="str">
        <f aca="false">IF(AT278="","",ROUND(AT278*(1-Справочники!$B$17),0))</f>
        <v/>
      </c>
      <c r="AY278" s="90" t="str">
        <f aca="false">IF(AT278="","",ROUND(AT278*(1-Справочники!$B$18),0))</f>
        <v/>
      </c>
      <c r="AZ278" s="90" t="str">
        <f aca="false">IF(AT278="","",ROUND(AT278*(1-Справочники!$B$19),0))</f>
        <v/>
      </c>
      <c r="BA278" s="81"/>
      <c r="BB278" s="81"/>
      <c r="BC278" s="81"/>
      <c r="BD278" s="81"/>
      <c r="BE278" s="91"/>
      <c r="BF278" s="81" t="s">
        <v>103</v>
      </c>
      <c r="BG278" s="89" t="n">
        <f aca="false" t="array" ref="BG278:BG278">IF(BF278="","",IFERROR(INDEX(Справочники!$B$4:$B$7,MATCH(BF278,Справочники!$A$4:$A$7,0)),""))</f>
        <v>68.5</v>
      </c>
      <c r="BH278" s="90" t="str">
        <f aca="false">IF(N(BN278)&gt;0,ROUND(SUMIF(ЗАКАЗЫ!$F$3:$F$500,$A278,ЗАКАЗЫ!$Y$3:$Y$500)/BN278,0),IF(OR(BE278="",BG278=""),"",ROUND(BE278*BG278*(1+Справочники!$B$10),0)))</f>
        <v/>
      </c>
      <c r="BI278" s="92" t="str">
        <f aca="false">IF(OR(AU278="",BH278="",AU278=0),"",(AU278-BH278)/AU278)</f>
        <v/>
      </c>
      <c r="BJ278" s="81"/>
      <c r="BK278" s="83"/>
      <c r="BL278" s="43" t="str">
        <f aca="false">IFERROR(INDEX(ЗАКАЗЫ!$N$3:$N$500,MATCH($A278,ЗАКАЗЫ!$F$3:$F$500,0)),"")</f>
        <v/>
      </c>
      <c r="BM278" s="8" t="str">
        <f aca="false">IF(BL278="","",IFERROR(VLOOKUP(BL278,'ТН ВЭД'!$A$4:$C$40,3,0),""))</f>
        <v/>
      </c>
      <c r="BN278" s="7" t="str">
        <f aca="false">IF(COUNTIF(ЗАКАЗЫ!$F$3:$F$500,$A278)=0,"",SUMIF(ЗАКАЗЫ!$F$3:$F$500,$A278,ЗАКАЗЫ!$J$3:$J$500))</f>
        <v/>
      </c>
      <c r="BO278" s="7" t="str">
        <f aca="false">IF(BN278="","",SUMIF(ЗАКАЗЫ!$F$3:$F$500,$A278,ЗАКАЗЫ!$AL$3:$AL$500))</f>
        <v/>
      </c>
      <c r="BP278" s="7" t="str">
        <f aca="false">IF(BN278="","",BN278-BO278)</f>
        <v/>
      </c>
      <c r="BQ278" s="55" t="str">
        <f aca="false">IF(BN278="","",IF(BO278&gt;=BN278,"На складе",IF(BO278&gt;0,"Частично","Ждём")))</f>
        <v/>
      </c>
      <c r="BR278" s="43"/>
      <c r="BS278" s="47" t="str">
        <f aca="false">IF(BN278="","",IF(_xlfn.MAXIFS(ЗАКАЗЫ!$AK$3:$AK$500,ЗАКАЗЫ!$F$3:$F$500,$A278)=0,"",_xlfn.MAXIFS(ЗАКАЗЫ!$AK$3:$AK$500,ЗАКАЗЫ!$F$3:$F$500,$A278)))</f>
        <v/>
      </c>
    </row>
    <row r="279" customFormat="false" ht="15.75" hidden="false" customHeight="true" outlineLevel="0" collapsed="false">
      <c r="A279" s="80" t="s">
        <v>1480</v>
      </c>
      <c r="B279" s="81"/>
      <c r="C279" s="81"/>
      <c r="D279" s="81"/>
      <c r="E279" s="83"/>
      <c r="F279" s="81"/>
      <c r="G279" s="83"/>
      <c r="H279" s="83"/>
      <c r="I279" s="84" t="str">
        <f aca="false">IF(E279="","",A279&amp;"_1.jpg")</f>
        <v/>
      </c>
      <c r="J279" s="84" t="str">
        <f aca="false">IF(E279="","",A279&amp;"_2.jpg; "&amp;A279&amp;"_3.jpg")</f>
        <v/>
      </c>
      <c r="K279" s="84" t="str">
        <f aca="false">IF(E279="","",A279&amp;"_schema.jpg")</f>
        <v/>
      </c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 t="s">
        <v>96</v>
      </c>
      <c r="W279" s="81"/>
      <c r="X279" s="81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6" t="str">
        <f aca="false">IF(SUM(Y279:AJ279)=0,"",SUM(Y279:AJ279))</f>
        <v/>
      </c>
      <c r="AL279" s="84" t="str">
        <f aca="false">MID(IF(N(Y279)&gt;0,", "&amp;Y$2,"")&amp;IF(N(Z279)&gt;0,", "&amp;Z$2,"")&amp;IF(N(AA279)&gt;0,", "&amp;AA$2,"")&amp;IF(N(AB279)&gt;0,", "&amp;AB$2,"")&amp;IF(N(AC279)&gt;0,", "&amp;AC$2,"")&amp;IF(N(AD279)&gt;0,", "&amp;AD$2,"")&amp;IF(N(AE279)&gt;0,", "&amp;AE$2,"")&amp;IF(N(AF279)&gt;0,", "&amp;AF$2,"")&amp;IF(N(AG279)&gt;0,", "&amp;AG$2,"")&amp;IF(N(AH279)&gt;0,", "&amp;AH$2,"")&amp;IF(N(AI279)&gt;0,", "&amp;AI$2,"")&amp;IF(N(AJ279)&gt;0,", "&amp;AJ$2,""),3,999)</f>
        <v/>
      </c>
      <c r="AM279" s="87" t="str">
        <f aca="false">IF(E279="","",MID(IF(N(Y279)&gt;0,", "&amp;A279&amp;"-"&amp;Y$2,"")&amp;IF(N(Z279)&gt;0,", "&amp;A279&amp;"-"&amp;Z$2,"")&amp;IF(N(AA279)&gt;0,", "&amp;A279&amp;"-"&amp;AA$2,"")&amp;IF(N(AB279)&gt;0,", "&amp;A279&amp;"-"&amp;AB$2,"")&amp;IF(N(AC279)&gt;0,", "&amp;A279&amp;"-"&amp;AC$2,"")&amp;IF(N(AD279)&gt;0,", "&amp;A279&amp;"-"&amp;AD$2,"")&amp;IF(N(AE279)&gt;0,", "&amp;A279&amp;"-"&amp;AE$2,"")&amp;IF(N(AF279)&gt;0,", "&amp;A279&amp;"-"&amp;AF$2,"")&amp;IF(N(AG279)&gt;0,", "&amp;A279&amp;"-"&amp;AG$2,"")&amp;IF(N(AH279)&gt;0,", "&amp;A279&amp;"-"&amp;AH$2,"")&amp;IF(N(AI279)&gt;0,", "&amp;A279&amp;"-"&amp;AI$2,"")&amp;IF(N(AJ279)&gt;0,", "&amp;A279&amp;"-"&amp;AJ$2,""),3,999))</f>
        <v/>
      </c>
      <c r="AN279" s="81"/>
      <c r="AO279" s="88"/>
      <c r="AP279" s="89" t="str">
        <f aca="false">IF(AO279="","",ROUND(AO279/(1+Справочники!$B$13),2))</f>
        <v/>
      </c>
      <c r="AQ279" s="90" t="str">
        <f aca="false" t="array" ref="AQ279:AQ279">IF(AP279="","",AP279*INDEX(Справочники!$B$4:$B$7,MATCH("RUB",Справочники!$A$4:$A$7,0)))</f>
        <v/>
      </c>
      <c r="AR279" s="90" t="str">
        <f aca="false">IF(AQ279="","",ROUND(AQ279*(1+Справочники!$B$12),0))</f>
        <v/>
      </c>
      <c r="AS279" s="90" t="str">
        <f aca="false">IF(AR279="","",ROUND(AR279*(1-Справочники!$B$11),0))</f>
        <v/>
      </c>
      <c r="AT279" s="88"/>
      <c r="AU279" s="90" t="str">
        <f aca="false">IF(AT279="","",ROUND(AT279/(1+Справочники!$B$12),0))</f>
        <v/>
      </c>
      <c r="AV279" s="90" t="str">
        <f aca="false">IF(AT279="","",ROUND(AT279*(1-Справочники!$B$15),0))</f>
        <v/>
      </c>
      <c r="AW279" s="90" t="str">
        <f aca="false">IF(AT279="","",ROUND(AT279*(1-Справочники!$B$16),0))</f>
        <v/>
      </c>
      <c r="AX279" s="90" t="str">
        <f aca="false">IF(AT279="","",ROUND(AT279*(1-Справочники!$B$17),0))</f>
        <v/>
      </c>
      <c r="AY279" s="90" t="str">
        <f aca="false">IF(AT279="","",ROUND(AT279*(1-Справочники!$B$18),0))</f>
        <v/>
      </c>
      <c r="AZ279" s="90" t="str">
        <f aca="false">IF(AT279="","",ROUND(AT279*(1-Справочники!$B$19),0))</f>
        <v/>
      </c>
      <c r="BA279" s="81"/>
      <c r="BB279" s="81"/>
      <c r="BC279" s="81"/>
      <c r="BD279" s="81"/>
      <c r="BE279" s="91"/>
      <c r="BF279" s="81" t="s">
        <v>103</v>
      </c>
      <c r="BG279" s="89" t="n">
        <f aca="false" t="array" ref="BG279:BG279">IF(BF279="","",IFERROR(INDEX(Справочники!$B$4:$B$7,MATCH(BF279,Справочники!$A$4:$A$7,0)),""))</f>
        <v>68.5</v>
      </c>
      <c r="BH279" s="90" t="str">
        <f aca="false">IF(N(BN279)&gt;0,ROUND(SUMIF(ЗАКАЗЫ!$F$3:$F$500,$A279,ЗАКАЗЫ!$Y$3:$Y$500)/BN279,0),IF(OR(BE279="",BG279=""),"",ROUND(BE279*BG279*(1+Справочники!$B$10),0)))</f>
        <v/>
      </c>
      <c r="BI279" s="92" t="str">
        <f aca="false">IF(OR(AU279="",BH279="",AU279=0),"",(AU279-BH279)/AU279)</f>
        <v/>
      </c>
      <c r="BJ279" s="81"/>
      <c r="BK279" s="83"/>
      <c r="BL279" s="43" t="str">
        <f aca="false">IFERROR(INDEX(ЗАКАЗЫ!$N$3:$N$500,MATCH($A279,ЗАКАЗЫ!$F$3:$F$500,0)),"")</f>
        <v/>
      </c>
      <c r="BM279" s="8" t="str">
        <f aca="false">IF(BL279="","",IFERROR(VLOOKUP(BL279,'ТН ВЭД'!$A$4:$C$40,3,0),""))</f>
        <v/>
      </c>
      <c r="BN279" s="7" t="str">
        <f aca="false">IF(COUNTIF(ЗАКАЗЫ!$F$3:$F$500,$A279)=0,"",SUMIF(ЗАКАЗЫ!$F$3:$F$500,$A279,ЗАКАЗЫ!$J$3:$J$500))</f>
        <v/>
      </c>
      <c r="BO279" s="7" t="str">
        <f aca="false">IF(BN279="","",SUMIF(ЗАКАЗЫ!$F$3:$F$500,$A279,ЗАКАЗЫ!$AL$3:$AL$500))</f>
        <v/>
      </c>
      <c r="BP279" s="7" t="str">
        <f aca="false">IF(BN279="","",BN279-BO279)</f>
        <v/>
      </c>
      <c r="BQ279" s="55" t="str">
        <f aca="false">IF(BN279="","",IF(BO279&gt;=BN279,"На складе",IF(BO279&gt;0,"Частично","Ждём")))</f>
        <v/>
      </c>
      <c r="BR279" s="43"/>
      <c r="BS279" s="47" t="str">
        <f aca="false">IF(BN279="","",IF(_xlfn.MAXIFS(ЗАКАЗЫ!$AK$3:$AK$500,ЗАКАЗЫ!$F$3:$F$500,$A279)=0,"",_xlfn.MAXIFS(ЗАКАЗЫ!$AK$3:$AK$500,ЗАКАЗЫ!$F$3:$F$500,$A279)))</f>
        <v/>
      </c>
    </row>
    <row r="280" customFormat="false" ht="15.75" hidden="false" customHeight="true" outlineLevel="0" collapsed="false">
      <c r="A280" s="80" t="s">
        <v>1481</v>
      </c>
      <c r="B280" s="81"/>
      <c r="C280" s="81"/>
      <c r="D280" s="81"/>
      <c r="E280" s="83"/>
      <c r="F280" s="81"/>
      <c r="G280" s="83"/>
      <c r="H280" s="83"/>
      <c r="I280" s="84" t="str">
        <f aca="false">IF(E280="","",A280&amp;"_1.jpg")</f>
        <v/>
      </c>
      <c r="J280" s="84" t="str">
        <f aca="false">IF(E280="","",A280&amp;"_2.jpg; "&amp;A280&amp;"_3.jpg")</f>
        <v/>
      </c>
      <c r="K280" s="84" t="str">
        <f aca="false">IF(E280="","",A280&amp;"_schema.jpg")</f>
        <v/>
      </c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 t="s">
        <v>96</v>
      </c>
      <c r="W280" s="81"/>
      <c r="X280" s="81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6" t="str">
        <f aca="false">IF(SUM(Y280:AJ280)=0,"",SUM(Y280:AJ280))</f>
        <v/>
      </c>
      <c r="AL280" s="84" t="str">
        <f aca="false">MID(IF(N(Y280)&gt;0,", "&amp;Y$2,"")&amp;IF(N(Z280)&gt;0,", "&amp;Z$2,"")&amp;IF(N(AA280)&gt;0,", "&amp;AA$2,"")&amp;IF(N(AB280)&gt;0,", "&amp;AB$2,"")&amp;IF(N(AC280)&gt;0,", "&amp;AC$2,"")&amp;IF(N(AD280)&gt;0,", "&amp;AD$2,"")&amp;IF(N(AE280)&gt;0,", "&amp;AE$2,"")&amp;IF(N(AF280)&gt;0,", "&amp;AF$2,"")&amp;IF(N(AG280)&gt;0,", "&amp;AG$2,"")&amp;IF(N(AH280)&gt;0,", "&amp;AH$2,"")&amp;IF(N(AI280)&gt;0,", "&amp;AI$2,"")&amp;IF(N(AJ280)&gt;0,", "&amp;AJ$2,""),3,999)</f>
        <v/>
      </c>
      <c r="AM280" s="87" t="str">
        <f aca="false">IF(E280="","",MID(IF(N(Y280)&gt;0,", "&amp;A280&amp;"-"&amp;Y$2,"")&amp;IF(N(Z280)&gt;0,", "&amp;A280&amp;"-"&amp;Z$2,"")&amp;IF(N(AA280)&gt;0,", "&amp;A280&amp;"-"&amp;AA$2,"")&amp;IF(N(AB280)&gt;0,", "&amp;A280&amp;"-"&amp;AB$2,"")&amp;IF(N(AC280)&gt;0,", "&amp;A280&amp;"-"&amp;AC$2,"")&amp;IF(N(AD280)&gt;0,", "&amp;A280&amp;"-"&amp;AD$2,"")&amp;IF(N(AE280)&gt;0,", "&amp;A280&amp;"-"&amp;AE$2,"")&amp;IF(N(AF280)&gt;0,", "&amp;A280&amp;"-"&amp;AF$2,"")&amp;IF(N(AG280)&gt;0,", "&amp;A280&amp;"-"&amp;AG$2,"")&amp;IF(N(AH280)&gt;0,", "&amp;A280&amp;"-"&amp;AH$2,"")&amp;IF(N(AI280)&gt;0,", "&amp;A280&amp;"-"&amp;AI$2,"")&amp;IF(N(AJ280)&gt;0,", "&amp;A280&amp;"-"&amp;AJ$2,""),3,999))</f>
        <v/>
      </c>
      <c r="AN280" s="81"/>
      <c r="AO280" s="88"/>
      <c r="AP280" s="89" t="str">
        <f aca="false">IF(AO280="","",ROUND(AO280/(1+Справочники!$B$13),2))</f>
        <v/>
      </c>
      <c r="AQ280" s="90" t="str">
        <f aca="false" t="array" ref="AQ280:AQ280">IF(AP280="","",AP280*INDEX(Справочники!$B$4:$B$7,MATCH("RUB",Справочники!$A$4:$A$7,0)))</f>
        <v/>
      </c>
      <c r="AR280" s="90" t="str">
        <f aca="false">IF(AQ280="","",ROUND(AQ280*(1+Справочники!$B$12),0))</f>
        <v/>
      </c>
      <c r="AS280" s="90" t="str">
        <f aca="false">IF(AR280="","",ROUND(AR280*(1-Справочники!$B$11),0))</f>
        <v/>
      </c>
      <c r="AT280" s="88"/>
      <c r="AU280" s="90" t="str">
        <f aca="false">IF(AT280="","",ROUND(AT280/(1+Справочники!$B$12),0))</f>
        <v/>
      </c>
      <c r="AV280" s="90" t="str">
        <f aca="false">IF(AT280="","",ROUND(AT280*(1-Справочники!$B$15),0))</f>
        <v/>
      </c>
      <c r="AW280" s="90" t="str">
        <f aca="false">IF(AT280="","",ROUND(AT280*(1-Справочники!$B$16),0))</f>
        <v/>
      </c>
      <c r="AX280" s="90" t="str">
        <f aca="false">IF(AT280="","",ROUND(AT280*(1-Справочники!$B$17),0))</f>
        <v/>
      </c>
      <c r="AY280" s="90" t="str">
        <f aca="false">IF(AT280="","",ROUND(AT280*(1-Справочники!$B$18),0))</f>
        <v/>
      </c>
      <c r="AZ280" s="90" t="str">
        <f aca="false">IF(AT280="","",ROUND(AT280*(1-Справочники!$B$19),0))</f>
        <v/>
      </c>
      <c r="BA280" s="81"/>
      <c r="BB280" s="81"/>
      <c r="BC280" s="81"/>
      <c r="BD280" s="81"/>
      <c r="BE280" s="91"/>
      <c r="BF280" s="81" t="s">
        <v>103</v>
      </c>
      <c r="BG280" s="89" t="n">
        <f aca="false" t="array" ref="BG280:BG280">IF(BF280="","",IFERROR(INDEX(Справочники!$B$4:$B$7,MATCH(BF280,Справочники!$A$4:$A$7,0)),""))</f>
        <v>68.5</v>
      </c>
      <c r="BH280" s="90" t="str">
        <f aca="false">IF(N(BN280)&gt;0,ROUND(SUMIF(ЗАКАЗЫ!$F$3:$F$500,$A280,ЗАКАЗЫ!$Y$3:$Y$500)/BN280,0),IF(OR(BE280="",BG280=""),"",ROUND(BE280*BG280*(1+Справочники!$B$10),0)))</f>
        <v/>
      </c>
      <c r="BI280" s="92" t="str">
        <f aca="false">IF(OR(AU280="",BH280="",AU280=0),"",(AU280-BH280)/AU280)</f>
        <v/>
      </c>
      <c r="BJ280" s="81"/>
      <c r="BK280" s="83"/>
      <c r="BL280" s="43" t="str">
        <f aca="false">IFERROR(INDEX(ЗАКАЗЫ!$N$3:$N$500,MATCH($A280,ЗАКАЗЫ!$F$3:$F$500,0)),"")</f>
        <v/>
      </c>
      <c r="BM280" s="8" t="str">
        <f aca="false">IF(BL280="","",IFERROR(VLOOKUP(BL280,'ТН ВЭД'!$A$4:$C$40,3,0),""))</f>
        <v/>
      </c>
      <c r="BN280" s="7" t="str">
        <f aca="false">IF(COUNTIF(ЗАКАЗЫ!$F$3:$F$500,$A280)=0,"",SUMIF(ЗАКАЗЫ!$F$3:$F$500,$A280,ЗАКАЗЫ!$J$3:$J$500))</f>
        <v/>
      </c>
      <c r="BO280" s="7" t="str">
        <f aca="false">IF(BN280="","",SUMIF(ЗАКАЗЫ!$F$3:$F$500,$A280,ЗАКАЗЫ!$AL$3:$AL$500))</f>
        <v/>
      </c>
      <c r="BP280" s="7" t="str">
        <f aca="false">IF(BN280="","",BN280-BO280)</f>
        <v/>
      </c>
      <c r="BQ280" s="55" t="str">
        <f aca="false">IF(BN280="","",IF(BO280&gt;=BN280,"На складе",IF(BO280&gt;0,"Частично","Ждём")))</f>
        <v/>
      </c>
      <c r="BR280" s="43"/>
      <c r="BS280" s="47" t="str">
        <f aca="false">IF(BN280="","",IF(_xlfn.MAXIFS(ЗАКАЗЫ!$AK$3:$AK$500,ЗАКАЗЫ!$F$3:$F$500,$A280)=0,"",_xlfn.MAXIFS(ЗАКАЗЫ!$AK$3:$AK$500,ЗАКАЗЫ!$F$3:$F$500,$A280)))</f>
        <v/>
      </c>
    </row>
    <row r="281" customFormat="false" ht="15.75" hidden="false" customHeight="true" outlineLevel="0" collapsed="false">
      <c r="A281" s="80" t="s">
        <v>1482</v>
      </c>
      <c r="B281" s="81"/>
      <c r="C281" s="81"/>
      <c r="D281" s="81"/>
      <c r="E281" s="83"/>
      <c r="F281" s="81"/>
      <c r="G281" s="83"/>
      <c r="H281" s="83"/>
      <c r="I281" s="84" t="str">
        <f aca="false">IF(E281="","",A281&amp;"_1.jpg")</f>
        <v/>
      </c>
      <c r="J281" s="84" t="str">
        <f aca="false">IF(E281="","",A281&amp;"_2.jpg; "&amp;A281&amp;"_3.jpg")</f>
        <v/>
      </c>
      <c r="K281" s="84" t="str">
        <f aca="false">IF(E281="","",A281&amp;"_schema.jpg")</f>
        <v/>
      </c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 t="s">
        <v>96</v>
      </c>
      <c r="W281" s="81"/>
      <c r="X281" s="81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6" t="str">
        <f aca="false">IF(SUM(Y281:AJ281)=0,"",SUM(Y281:AJ281))</f>
        <v/>
      </c>
      <c r="AL281" s="84" t="str">
        <f aca="false">MID(IF(N(Y281)&gt;0,", "&amp;Y$2,"")&amp;IF(N(Z281)&gt;0,", "&amp;Z$2,"")&amp;IF(N(AA281)&gt;0,", "&amp;AA$2,"")&amp;IF(N(AB281)&gt;0,", "&amp;AB$2,"")&amp;IF(N(AC281)&gt;0,", "&amp;AC$2,"")&amp;IF(N(AD281)&gt;0,", "&amp;AD$2,"")&amp;IF(N(AE281)&gt;0,", "&amp;AE$2,"")&amp;IF(N(AF281)&gt;0,", "&amp;AF$2,"")&amp;IF(N(AG281)&gt;0,", "&amp;AG$2,"")&amp;IF(N(AH281)&gt;0,", "&amp;AH$2,"")&amp;IF(N(AI281)&gt;0,", "&amp;AI$2,"")&amp;IF(N(AJ281)&gt;0,", "&amp;AJ$2,""),3,999)</f>
        <v/>
      </c>
      <c r="AM281" s="87" t="str">
        <f aca="false">IF(E281="","",MID(IF(N(Y281)&gt;0,", "&amp;A281&amp;"-"&amp;Y$2,"")&amp;IF(N(Z281)&gt;0,", "&amp;A281&amp;"-"&amp;Z$2,"")&amp;IF(N(AA281)&gt;0,", "&amp;A281&amp;"-"&amp;AA$2,"")&amp;IF(N(AB281)&gt;0,", "&amp;A281&amp;"-"&amp;AB$2,"")&amp;IF(N(AC281)&gt;0,", "&amp;A281&amp;"-"&amp;AC$2,"")&amp;IF(N(AD281)&gt;0,", "&amp;A281&amp;"-"&amp;AD$2,"")&amp;IF(N(AE281)&gt;0,", "&amp;A281&amp;"-"&amp;AE$2,"")&amp;IF(N(AF281)&gt;0,", "&amp;A281&amp;"-"&amp;AF$2,"")&amp;IF(N(AG281)&gt;0,", "&amp;A281&amp;"-"&amp;AG$2,"")&amp;IF(N(AH281)&gt;0,", "&amp;A281&amp;"-"&amp;AH$2,"")&amp;IF(N(AI281)&gt;0,", "&amp;A281&amp;"-"&amp;AI$2,"")&amp;IF(N(AJ281)&gt;0,", "&amp;A281&amp;"-"&amp;AJ$2,""),3,999))</f>
        <v/>
      </c>
      <c r="AN281" s="81"/>
      <c r="AO281" s="88"/>
      <c r="AP281" s="89" t="str">
        <f aca="false">IF(AO281="","",ROUND(AO281/(1+Справочники!$B$13),2))</f>
        <v/>
      </c>
      <c r="AQ281" s="90" t="str">
        <f aca="false" t="array" ref="AQ281:AQ281">IF(AP281="","",AP281*INDEX(Справочники!$B$4:$B$7,MATCH("RUB",Справочники!$A$4:$A$7,0)))</f>
        <v/>
      </c>
      <c r="AR281" s="90" t="str">
        <f aca="false">IF(AQ281="","",ROUND(AQ281*(1+Справочники!$B$12),0))</f>
        <v/>
      </c>
      <c r="AS281" s="90" t="str">
        <f aca="false">IF(AR281="","",ROUND(AR281*(1-Справочники!$B$11),0))</f>
        <v/>
      </c>
      <c r="AT281" s="88"/>
      <c r="AU281" s="90" t="str">
        <f aca="false">IF(AT281="","",ROUND(AT281/(1+Справочники!$B$12),0))</f>
        <v/>
      </c>
      <c r="AV281" s="90" t="str">
        <f aca="false">IF(AT281="","",ROUND(AT281*(1-Справочники!$B$15),0))</f>
        <v/>
      </c>
      <c r="AW281" s="90" t="str">
        <f aca="false">IF(AT281="","",ROUND(AT281*(1-Справочники!$B$16),0))</f>
        <v/>
      </c>
      <c r="AX281" s="90" t="str">
        <f aca="false">IF(AT281="","",ROUND(AT281*(1-Справочники!$B$17),0))</f>
        <v/>
      </c>
      <c r="AY281" s="90" t="str">
        <f aca="false">IF(AT281="","",ROUND(AT281*(1-Справочники!$B$18),0))</f>
        <v/>
      </c>
      <c r="AZ281" s="90" t="str">
        <f aca="false">IF(AT281="","",ROUND(AT281*(1-Справочники!$B$19),0))</f>
        <v/>
      </c>
      <c r="BA281" s="81"/>
      <c r="BB281" s="81"/>
      <c r="BC281" s="81"/>
      <c r="BD281" s="81"/>
      <c r="BE281" s="91"/>
      <c r="BF281" s="81" t="s">
        <v>103</v>
      </c>
      <c r="BG281" s="89" t="n">
        <f aca="false" t="array" ref="BG281:BG281">IF(BF281="","",IFERROR(INDEX(Справочники!$B$4:$B$7,MATCH(BF281,Справочники!$A$4:$A$7,0)),""))</f>
        <v>68.5</v>
      </c>
      <c r="BH281" s="90" t="str">
        <f aca="false">IF(N(BN281)&gt;0,ROUND(SUMIF(ЗАКАЗЫ!$F$3:$F$500,$A281,ЗАКАЗЫ!$Y$3:$Y$500)/BN281,0),IF(OR(BE281="",BG281=""),"",ROUND(BE281*BG281*(1+Справочники!$B$10),0)))</f>
        <v/>
      </c>
      <c r="BI281" s="92" t="str">
        <f aca="false">IF(OR(AU281="",BH281="",AU281=0),"",(AU281-BH281)/AU281)</f>
        <v/>
      </c>
      <c r="BJ281" s="81"/>
      <c r="BK281" s="83"/>
      <c r="BL281" s="43" t="str">
        <f aca="false">IFERROR(INDEX(ЗАКАЗЫ!$N$3:$N$500,MATCH($A281,ЗАКАЗЫ!$F$3:$F$500,0)),"")</f>
        <v/>
      </c>
      <c r="BM281" s="8" t="str">
        <f aca="false">IF(BL281="","",IFERROR(VLOOKUP(BL281,'ТН ВЭД'!$A$4:$C$40,3,0),""))</f>
        <v/>
      </c>
      <c r="BN281" s="7" t="str">
        <f aca="false">IF(COUNTIF(ЗАКАЗЫ!$F$3:$F$500,$A281)=0,"",SUMIF(ЗАКАЗЫ!$F$3:$F$500,$A281,ЗАКАЗЫ!$J$3:$J$500))</f>
        <v/>
      </c>
      <c r="BO281" s="7" t="str">
        <f aca="false">IF(BN281="","",SUMIF(ЗАКАЗЫ!$F$3:$F$500,$A281,ЗАКАЗЫ!$AL$3:$AL$500))</f>
        <v/>
      </c>
      <c r="BP281" s="7" t="str">
        <f aca="false">IF(BN281="","",BN281-BO281)</f>
        <v/>
      </c>
      <c r="BQ281" s="55" t="str">
        <f aca="false">IF(BN281="","",IF(BO281&gt;=BN281,"На складе",IF(BO281&gt;0,"Частично","Ждём")))</f>
        <v/>
      </c>
      <c r="BR281" s="43"/>
      <c r="BS281" s="47" t="str">
        <f aca="false">IF(BN281="","",IF(_xlfn.MAXIFS(ЗАКАЗЫ!$AK$3:$AK$500,ЗАКАЗЫ!$F$3:$F$500,$A281)=0,"",_xlfn.MAXIFS(ЗАКАЗЫ!$AK$3:$AK$500,ЗАКАЗЫ!$F$3:$F$500,$A281)))</f>
        <v/>
      </c>
    </row>
    <row r="282" customFormat="false" ht="15.75" hidden="false" customHeight="true" outlineLevel="0" collapsed="false">
      <c r="A282" s="80" t="s">
        <v>1483</v>
      </c>
      <c r="B282" s="81"/>
      <c r="C282" s="81"/>
      <c r="D282" s="81"/>
      <c r="E282" s="83"/>
      <c r="F282" s="81"/>
      <c r="G282" s="83"/>
      <c r="H282" s="83"/>
      <c r="I282" s="84" t="str">
        <f aca="false">IF(E282="","",A282&amp;"_1.jpg")</f>
        <v/>
      </c>
      <c r="J282" s="84" t="str">
        <f aca="false">IF(E282="","",A282&amp;"_2.jpg; "&amp;A282&amp;"_3.jpg")</f>
        <v/>
      </c>
      <c r="K282" s="84" t="str">
        <f aca="false">IF(E282="","",A282&amp;"_schema.jpg")</f>
        <v/>
      </c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 t="s">
        <v>96</v>
      </c>
      <c r="W282" s="81"/>
      <c r="X282" s="81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6" t="str">
        <f aca="false">IF(SUM(Y282:AJ282)=0,"",SUM(Y282:AJ282))</f>
        <v/>
      </c>
      <c r="AL282" s="84" t="str">
        <f aca="false">MID(IF(N(Y282)&gt;0,", "&amp;Y$2,"")&amp;IF(N(Z282)&gt;0,", "&amp;Z$2,"")&amp;IF(N(AA282)&gt;0,", "&amp;AA$2,"")&amp;IF(N(AB282)&gt;0,", "&amp;AB$2,"")&amp;IF(N(AC282)&gt;0,", "&amp;AC$2,"")&amp;IF(N(AD282)&gt;0,", "&amp;AD$2,"")&amp;IF(N(AE282)&gt;0,", "&amp;AE$2,"")&amp;IF(N(AF282)&gt;0,", "&amp;AF$2,"")&amp;IF(N(AG282)&gt;0,", "&amp;AG$2,"")&amp;IF(N(AH282)&gt;0,", "&amp;AH$2,"")&amp;IF(N(AI282)&gt;0,", "&amp;AI$2,"")&amp;IF(N(AJ282)&gt;0,", "&amp;AJ$2,""),3,999)</f>
        <v/>
      </c>
      <c r="AM282" s="87" t="str">
        <f aca="false">IF(E282="","",MID(IF(N(Y282)&gt;0,", "&amp;A282&amp;"-"&amp;Y$2,"")&amp;IF(N(Z282)&gt;0,", "&amp;A282&amp;"-"&amp;Z$2,"")&amp;IF(N(AA282)&gt;0,", "&amp;A282&amp;"-"&amp;AA$2,"")&amp;IF(N(AB282)&gt;0,", "&amp;A282&amp;"-"&amp;AB$2,"")&amp;IF(N(AC282)&gt;0,", "&amp;A282&amp;"-"&amp;AC$2,"")&amp;IF(N(AD282)&gt;0,", "&amp;A282&amp;"-"&amp;AD$2,"")&amp;IF(N(AE282)&gt;0,", "&amp;A282&amp;"-"&amp;AE$2,"")&amp;IF(N(AF282)&gt;0,", "&amp;A282&amp;"-"&amp;AF$2,"")&amp;IF(N(AG282)&gt;0,", "&amp;A282&amp;"-"&amp;AG$2,"")&amp;IF(N(AH282)&gt;0,", "&amp;A282&amp;"-"&amp;AH$2,"")&amp;IF(N(AI282)&gt;0,", "&amp;A282&amp;"-"&amp;AI$2,"")&amp;IF(N(AJ282)&gt;0,", "&amp;A282&amp;"-"&amp;AJ$2,""),3,999))</f>
        <v/>
      </c>
      <c r="AN282" s="81"/>
      <c r="AO282" s="88"/>
      <c r="AP282" s="89" t="str">
        <f aca="false">IF(AO282="","",ROUND(AO282/(1+Справочники!$B$13),2))</f>
        <v/>
      </c>
      <c r="AQ282" s="90" t="str">
        <f aca="false" t="array" ref="AQ282:AQ282">IF(AP282="","",AP282*INDEX(Справочники!$B$4:$B$7,MATCH("RUB",Справочники!$A$4:$A$7,0)))</f>
        <v/>
      </c>
      <c r="AR282" s="90" t="str">
        <f aca="false">IF(AQ282="","",ROUND(AQ282*(1+Справочники!$B$12),0))</f>
        <v/>
      </c>
      <c r="AS282" s="90" t="str">
        <f aca="false">IF(AR282="","",ROUND(AR282*(1-Справочники!$B$11),0))</f>
        <v/>
      </c>
      <c r="AT282" s="88"/>
      <c r="AU282" s="90" t="str">
        <f aca="false">IF(AT282="","",ROUND(AT282/(1+Справочники!$B$12),0))</f>
        <v/>
      </c>
      <c r="AV282" s="90" t="str">
        <f aca="false">IF(AT282="","",ROUND(AT282*(1-Справочники!$B$15),0))</f>
        <v/>
      </c>
      <c r="AW282" s="90" t="str">
        <f aca="false">IF(AT282="","",ROUND(AT282*(1-Справочники!$B$16),0))</f>
        <v/>
      </c>
      <c r="AX282" s="90" t="str">
        <f aca="false">IF(AT282="","",ROUND(AT282*(1-Справочники!$B$17),0))</f>
        <v/>
      </c>
      <c r="AY282" s="90" t="str">
        <f aca="false">IF(AT282="","",ROUND(AT282*(1-Справочники!$B$18),0))</f>
        <v/>
      </c>
      <c r="AZ282" s="90" t="str">
        <f aca="false">IF(AT282="","",ROUND(AT282*(1-Справочники!$B$19),0))</f>
        <v/>
      </c>
      <c r="BA282" s="81"/>
      <c r="BB282" s="81"/>
      <c r="BC282" s="81"/>
      <c r="BD282" s="81"/>
      <c r="BE282" s="91"/>
      <c r="BF282" s="81" t="s">
        <v>103</v>
      </c>
      <c r="BG282" s="89" t="n">
        <f aca="false" t="array" ref="BG282:BG282">IF(BF282="","",IFERROR(INDEX(Справочники!$B$4:$B$7,MATCH(BF282,Справочники!$A$4:$A$7,0)),""))</f>
        <v>68.5</v>
      </c>
      <c r="BH282" s="90" t="str">
        <f aca="false">IF(N(BN282)&gt;0,ROUND(SUMIF(ЗАКАЗЫ!$F$3:$F$500,$A282,ЗАКАЗЫ!$Y$3:$Y$500)/BN282,0),IF(OR(BE282="",BG282=""),"",ROUND(BE282*BG282*(1+Справочники!$B$10),0)))</f>
        <v/>
      </c>
      <c r="BI282" s="92" t="str">
        <f aca="false">IF(OR(AU282="",BH282="",AU282=0),"",(AU282-BH282)/AU282)</f>
        <v/>
      </c>
      <c r="BJ282" s="81"/>
      <c r="BK282" s="83"/>
      <c r="BL282" s="43" t="str">
        <f aca="false">IFERROR(INDEX(ЗАКАЗЫ!$N$3:$N$500,MATCH($A282,ЗАКАЗЫ!$F$3:$F$500,0)),"")</f>
        <v/>
      </c>
      <c r="BM282" s="8" t="str">
        <f aca="false">IF(BL282="","",IFERROR(VLOOKUP(BL282,'ТН ВЭД'!$A$4:$C$40,3,0),""))</f>
        <v/>
      </c>
      <c r="BN282" s="7" t="str">
        <f aca="false">IF(COUNTIF(ЗАКАЗЫ!$F$3:$F$500,$A282)=0,"",SUMIF(ЗАКАЗЫ!$F$3:$F$500,$A282,ЗАКАЗЫ!$J$3:$J$500))</f>
        <v/>
      </c>
      <c r="BO282" s="7" t="str">
        <f aca="false">IF(BN282="","",SUMIF(ЗАКАЗЫ!$F$3:$F$500,$A282,ЗАКАЗЫ!$AL$3:$AL$500))</f>
        <v/>
      </c>
      <c r="BP282" s="7" t="str">
        <f aca="false">IF(BN282="","",BN282-BO282)</f>
        <v/>
      </c>
      <c r="BQ282" s="55" t="str">
        <f aca="false">IF(BN282="","",IF(BO282&gt;=BN282,"На складе",IF(BO282&gt;0,"Частично","Ждём")))</f>
        <v/>
      </c>
      <c r="BR282" s="43"/>
      <c r="BS282" s="47" t="str">
        <f aca="false">IF(BN282="","",IF(_xlfn.MAXIFS(ЗАКАЗЫ!$AK$3:$AK$500,ЗАКАЗЫ!$F$3:$F$500,$A282)=0,"",_xlfn.MAXIFS(ЗАКАЗЫ!$AK$3:$AK$500,ЗАКАЗЫ!$F$3:$F$500,$A282)))</f>
        <v/>
      </c>
    </row>
    <row r="283" customFormat="false" ht="15.75" hidden="false" customHeight="true" outlineLevel="0" collapsed="false">
      <c r="A283" s="80" t="s">
        <v>1484</v>
      </c>
      <c r="B283" s="81"/>
      <c r="C283" s="81"/>
      <c r="D283" s="81"/>
      <c r="E283" s="83"/>
      <c r="F283" s="81"/>
      <c r="G283" s="83"/>
      <c r="H283" s="83"/>
      <c r="I283" s="84" t="str">
        <f aca="false">IF(E283="","",A283&amp;"_1.jpg")</f>
        <v/>
      </c>
      <c r="J283" s="84" t="str">
        <f aca="false">IF(E283="","",A283&amp;"_2.jpg; "&amp;A283&amp;"_3.jpg")</f>
        <v/>
      </c>
      <c r="K283" s="84" t="str">
        <f aca="false">IF(E283="","",A283&amp;"_schema.jpg")</f>
        <v/>
      </c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 t="s">
        <v>96</v>
      </c>
      <c r="W283" s="81"/>
      <c r="X283" s="81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6" t="str">
        <f aca="false">IF(SUM(Y283:AJ283)=0,"",SUM(Y283:AJ283))</f>
        <v/>
      </c>
      <c r="AL283" s="84" t="str">
        <f aca="false">MID(IF(N(Y283)&gt;0,", "&amp;Y$2,"")&amp;IF(N(Z283)&gt;0,", "&amp;Z$2,"")&amp;IF(N(AA283)&gt;0,", "&amp;AA$2,"")&amp;IF(N(AB283)&gt;0,", "&amp;AB$2,"")&amp;IF(N(AC283)&gt;0,", "&amp;AC$2,"")&amp;IF(N(AD283)&gt;0,", "&amp;AD$2,"")&amp;IF(N(AE283)&gt;0,", "&amp;AE$2,"")&amp;IF(N(AF283)&gt;0,", "&amp;AF$2,"")&amp;IF(N(AG283)&gt;0,", "&amp;AG$2,"")&amp;IF(N(AH283)&gt;0,", "&amp;AH$2,"")&amp;IF(N(AI283)&gt;0,", "&amp;AI$2,"")&amp;IF(N(AJ283)&gt;0,", "&amp;AJ$2,""),3,999)</f>
        <v/>
      </c>
      <c r="AM283" s="87" t="str">
        <f aca="false">IF(E283="","",MID(IF(N(Y283)&gt;0,", "&amp;A283&amp;"-"&amp;Y$2,"")&amp;IF(N(Z283)&gt;0,", "&amp;A283&amp;"-"&amp;Z$2,"")&amp;IF(N(AA283)&gt;0,", "&amp;A283&amp;"-"&amp;AA$2,"")&amp;IF(N(AB283)&gt;0,", "&amp;A283&amp;"-"&amp;AB$2,"")&amp;IF(N(AC283)&gt;0,", "&amp;A283&amp;"-"&amp;AC$2,"")&amp;IF(N(AD283)&gt;0,", "&amp;A283&amp;"-"&amp;AD$2,"")&amp;IF(N(AE283)&gt;0,", "&amp;A283&amp;"-"&amp;AE$2,"")&amp;IF(N(AF283)&gt;0,", "&amp;A283&amp;"-"&amp;AF$2,"")&amp;IF(N(AG283)&gt;0,", "&amp;A283&amp;"-"&amp;AG$2,"")&amp;IF(N(AH283)&gt;0,", "&amp;A283&amp;"-"&amp;AH$2,"")&amp;IF(N(AI283)&gt;0,", "&amp;A283&amp;"-"&amp;AI$2,"")&amp;IF(N(AJ283)&gt;0,", "&amp;A283&amp;"-"&amp;AJ$2,""),3,999))</f>
        <v/>
      </c>
      <c r="AN283" s="81"/>
      <c r="AO283" s="88"/>
      <c r="AP283" s="89" t="str">
        <f aca="false">IF(AO283="","",ROUND(AO283/(1+Справочники!$B$13),2))</f>
        <v/>
      </c>
      <c r="AQ283" s="90" t="str">
        <f aca="false" t="array" ref="AQ283:AQ283">IF(AP283="","",AP283*INDEX(Справочники!$B$4:$B$7,MATCH("RUB",Справочники!$A$4:$A$7,0)))</f>
        <v/>
      </c>
      <c r="AR283" s="90" t="str">
        <f aca="false">IF(AQ283="","",ROUND(AQ283*(1+Справочники!$B$12),0))</f>
        <v/>
      </c>
      <c r="AS283" s="90" t="str">
        <f aca="false">IF(AR283="","",ROUND(AR283*(1-Справочники!$B$11),0))</f>
        <v/>
      </c>
      <c r="AT283" s="88"/>
      <c r="AU283" s="90" t="str">
        <f aca="false">IF(AT283="","",ROUND(AT283/(1+Справочники!$B$12),0))</f>
        <v/>
      </c>
      <c r="AV283" s="90" t="str">
        <f aca="false">IF(AT283="","",ROUND(AT283*(1-Справочники!$B$15),0))</f>
        <v/>
      </c>
      <c r="AW283" s="90" t="str">
        <f aca="false">IF(AT283="","",ROUND(AT283*(1-Справочники!$B$16),0))</f>
        <v/>
      </c>
      <c r="AX283" s="90" t="str">
        <f aca="false">IF(AT283="","",ROUND(AT283*(1-Справочники!$B$17),0))</f>
        <v/>
      </c>
      <c r="AY283" s="90" t="str">
        <f aca="false">IF(AT283="","",ROUND(AT283*(1-Справочники!$B$18),0))</f>
        <v/>
      </c>
      <c r="AZ283" s="90" t="str">
        <f aca="false">IF(AT283="","",ROUND(AT283*(1-Справочники!$B$19),0))</f>
        <v/>
      </c>
      <c r="BA283" s="81"/>
      <c r="BB283" s="81"/>
      <c r="BC283" s="81"/>
      <c r="BD283" s="81"/>
      <c r="BE283" s="91"/>
      <c r="BF283" s="81" t="s">
        <v>103</v>
      </c>
      <c r="BG283" s="89" t="n">
        <f aca="false" t="array" ref="BG283:BG283">IF(BF283="","",IFERROR(INDEX(Справочники!$B$4:$B$7,MATCH(BF283,Справочники!$A$4:$A$7,0)),""))</f>
        <v>68.5</v>
      </c>
      <c r="BH283" s="90" t="str">
        <f aca="false">IF(N(BN283)&gt;0,ROUND(SUMIF(ЗАКАЗЫ!$F$3:$F$500,$A283,ЗАКАЗЫ!$Y$3:$Y$500)/BN283,0),IF(OR(BE283="",BG283=""),"",ROUND(BE283*BG283*(1+Справочники!$B$10),0)))</f>
        <v/>
      </c>
      <c r="BI283" s="92" t="str">
        <f aca="false">IF(OR(AU283="",BH283="",AU283=0),"",(AU283-BH283)/AU283)</f>
        <v/>
      </c>
      <c r="BJ283" s="81"/>
      <c r="BK283" s="83"/>
      <c r="BL283" s="43" t="str">
        <f aca="false">IFERROR(INDEX(ЗАКАЗЫ!$N$3:$N$500,MATCH($A283,ЗАКАЗЫ!$F$3:$F$500,0)),"")</f>
        <v/>
      </c>
      <c r="BM283" s="8" t="str">
        <f aca="false">IF(BL283="","",IFERROR(VLOOKUP(BL283,'ТН ВЭД'!$A$4:$C$40,3,0),""))</f>
        <v/>
      </c>
      <c r="BN283" s="7" t="str">
        <f aca="false">IF(COUNTIF(ЗАКАЗЫ!$F$3:$F$500,$A283)=0,"",SUMIF(ЗАКАЗЫ!$F$3:$F$500,$A283,ЗАКАЗЫ!$J$3:$J$500))</f>
        <v/>
      </c>
      <c r="BO283" s="7" t="str">
        <f aca="false">IF(BN283="","",SUMIF(ЗАКАЗЫ!$F$3:$F$500,$A283,ЗАКАЗЫ!$AL$3:$AL$500))</f>
        <v/>
      </c>
      <c r="BP283" s="7" t="str">
        <f aca="false">IF(BN283="","",BN283-BO283)</f>
        <v/>
      </c>
      <c r="BQ283" s="55" t="str">
        <f aca="false">IF(BN283="","",IF(BO283&gt;=BN283,"На складе",IF(BO283&gt;0,"Частично","Ждём")))</f>
        <v/>
      </c>
      <c r="BR283" s="43"/>
      <c r="BS283" s="47" t="str">
        <f aca="false">IF(BN283="","",IF(_xlfn.MAXIFS(ЗАКАЗЫ!$AK$3:$AK$500,ЗАКАЗЫ!$F$3:$F$500,$A283)=0,"",_xlfn.MAXIFS(ЗАКАЗЫ!$AK$3:$AK$500,ЗАКАЗЫ!$F$3:$F$500,$A283)))</f>
        <v/>
      </c>
    </row>
    <row r="284" customFormat="false" ht="15.75" hidden="false" customHeight="true" outlineLevel="0" collapsed="false">
      <c r="A284" s="80" t="s">
        <v>1485</v>
      </c>
      <c r="B284" s="81"/>
      <c r="C284" s="81"/>
      <c r="D284" s="81"/>
      <c r="E284" s="83"/>
      <c r="F284" s="81"/>
      <c r="G284" s="83"/>
      <c r="H284" s="83"/>
      <c r="I284" s="84" t="str">
        <f aca="false">IF(E284="","",A284&amp;"_1.jpg")</f>
        <v/>
      </c>
      <c r="J284" s="84" t="str">
        <f aca="false">IF(E284="","",A284&amp;"_2.jpg; "&amp;A284&amp;"_3.jpg")</f>
        <v/>
      </c>
      <c r="K284" s="84" t="str">
        <f aca="false">IF(E284="","",A284&amp;"_schema.jpg")</f>
        <v/>
      </c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 t="s">
        <v>96</v>
      </c>
      <c r="W284" s="81"/>
      <c r="X284" s="81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6" t="str">
        <f aca="false">IF(SUM(Y284:AJ284)=0,"",SUM(Y284:AJ284))</f>
        <v/>
      </c>
      <c r="AL284" s="84" t="str">
        <f aca="false">MID(IF(N(Y284)&gt;0,", "&amp;Y$2,"")&amp;IF(N(Z284)&gt;0,", "&amp;Z$2,"")&amp;IF(N(AA284)&gt;0,", "&amp;AA$2,"")&amp;IF(N(AB284)&gt;0,", "&amp;AB$2,"")&amp;IF(N(AC284)&gt;0,", "&amp;AC$2,"")&amp;IF(N(AD284)&gt;0,", "&amp;AD$2,"")&amp;IF(N(AE284)&gt;0,", "&amp;AE$2,"")&amp;IF(N(AF284)&gt;0,", "&amp;AF$2,"")&amp;IF(N(AG284)&gt;0,", "&amp;AG$2,"")&amp;IF(N(AH284)&gt;0,", "&amp;AH$2,"")&amp;IF(N(AI284)&gt;0,", "&amp;AI$2,"")&amp;IF(N(AJ284)&gt;0,", "&amp;AJ$2,""),3,999)</f>
        <v/>
      </c>
      <c r="AM284" s="87" t="str">
        <f aca="false">IF(E284="","",MID(IF(N(Y284)&gt;0,", "&amp;A284&amp;"-"&amp;Y$2,"")&amp;IF(N(Z284)&gt;0,", "&amp;A284&amp;"-"&amp;Z$2,"")&amp;IF(N(AA284)&gt;0,", "&amp;A284&amp;"-"&amp;AA$2,"")&amp;IF(N(AB284)&gt;0,", "&amp;A284&amp;"-"&amp;AB$2,"")&amp;IF(N(AC284)&gt;0,", "&amp;A284&amp;"-"&amp;AC$2,"")&amp;IF(N(AD284)&gt;0,", "&amp;A284&amp;"-"&amp;AD$2,"")&amp;IF(N(AE284)&gt;0,", "&amp;A284&amp;"-"&amp;AE$2,"")&amp;IF(N(AF284)&gt;0,", "&amp;A284&amp;"-"&amp;AF$2,"")&amp;IF(N(AG284)&gt;0,", "&amp;A284&amp;"-"&amp;AG$2,"")&amp;IF(N(AH284)&gt;0,", "&amp;A284&amp;"-"&amp;AH$2,"")&amp;IF(N(AI284)&gt;0,", "&amp;A284&amp;"-"&amp;AI$2,"")&amp;IF(N(AJ284)&gt;0,", "&amp;A284&amp;"-"&amp;AJ$2,""),3,999))</f>
        <v/>
      </c>
      <c r="AN284" s="81"/>
      <c r="AO284" s="88"/>
      <c r="AP284" s="89" t="str">
        <f aca="false">IF(AO284="","",ROUND(AO284/(1+Справочники!$B$13),2))</f>
        <v/>
      </c>
      <c r="AQ284" s="90" t="str">
        <f aca="false" t="array" ref="AQ284:AQ284">IF(AP284="","",AP284*INDEX(Справочники!$B$4:$B$7,MATCH("RUB",Справочники!$A$4:$A$7,0)))</f>
        <v/>
      </c>
      <c r="AR284" s="90" t="str">
        <f aca="false">IF(AQ284="","",ROUND(AQ284*(1+Справочники!$B$12),0))</f>
        <v/>
      </c>
      <c r="AS284" s="90" t="str">
        <f aca="false">IF(AR284="","",ROUND(AR284*(1-Справочники!$B$11),0))</f>
        <v/>
      </c>
      <c r="AT284" s="88"/>
      <c r="AU284" s="90" t="str">
        <f aca="false">IF(AT284="","",ROUND(AT284/(1+Справочники!$B$12),0))</f>
        <v/>
      </c>
      <c r="AV284" s="90" t="str">
        <f aca="false">IF(AT284="","",ROUND(AT284*(1-Справочники!$B$15),0))</f>
        <v/>
      </c>
      <c r="AW284" s="90" t="str">
        <f aca="false">IF(AT284="","",ROUND(AT284*(1-Справочники!$B$16),0))</f>
        <v/>
      </c>
      <c r="AX284" s="90" t="str">
        <f aca="false">IF(AT284="","",ROUND(AT284*(1-Справочники!$B$17),0))</f>
        <v/>
      </c>
      <c r="AY284" s="90" t="str">
        <f aca="false">IF(AT284="","",ROUND(AT284*(1-Справочники!$B$18),0))</f>
        <v/>
      </c>
      <c r="AZ284" s="90" t="str">
        <f aca="false">IF(AT284="","",ROUND(AT284*(1-Справочники!$B$19),0))</f>
        <v/>
      </c>
      <c r="BA284" s="81"/>
      <c r="BB284" s="81"/>
      <c r="BC284" s="81"/>
      <c r="BD284" s="81"/>
      <c r="BE284" s="91"/>
      <c r="BF284" s="81" t="s">
        <v>103</v>
      </c>
      <c r="BG284" s="89" t="n">
        <f aca="false" t="array" ref="BG284:BG284">IF(BF284="","",IFERROR(INDEX(Справочники!$B$4:$B$7,MATCH(BF284,Справочники!$A$4:$A$7,0)),""))</f>
        <v>68.5</v>
      </c>
      <c r="BH284" s="90" t="str">
        <f aca="false">IF(N(BN284)&gt;0,ROUND(SUMIF(ЗАКАЗЫ!$F$3:$F$500,$A284,ЗАКАЗЫ!$Y$3:$Y$500)/BN284,0),IF(OR(BE284="",BG284=""),"",ROUND(BE284*BG284*(1+Справочники!$B$10),0)))</f>
        <v/>
      </c>
      <c r="BI284" s="92" t="str">
        <f aca="false">IF(OR(AU284="",BH284="",AU284=0),"",(AU284-BH284)/AU284)</f>
        <v/>
      </c>
      <c r="BJ284" s="81"/>
      <c r="BK284" s="83"/>
      <c r="BL284" s="43" t="str">
        <f aca="false">IFERROR(INDEX(ЗАКАЗЫ!$N$3:$N$500,MATCH($A284,ЗАКАЗЫ!$F$3:$F$500,0)),"")</f>
        <v/>
      </c>
      <c r="BM284" s="8" t="str">
        <f aca="false">IF(BL284="","",IFERROR(VLOOKUP(BL284,'ТН ВЭД'!$A$4:$C$40,3,0),""))</f>
        <v/>
      </c>
      <c r="BN284" s="7" t="str">
        <f aca="false">IF(COUNTIF(ЗАКАЗЫ!$F$3:$F$500,$A284)=0,"",SUMIF(ЗАКАЗЫ!$F$3:$F$500,$A284,ЗАКАЗЫ!$J$3:$J$500))</f>
        <v/>
      </c>
      <c r="BO284" s="7" t="str">
        <f aca="false">IF(BN284="","",SUMIF(ЗАКАЗЫ!$F$3:$F$500,$A284,ЗАКАЗЫ!$AL$3:$AL$500))</f>
        <v/>
      </c>
      <c r="BP284" s="7" t="str">
        <f aca="false">IF(BN284="","",BN284-BO284)</f>
        <v/>
      </c>
      <c r="BQ284" s="55" t="str">
        <f aca="false">IF(BN284="","",IF(BO284&gt;=BN284,"На складе",IF(BO284&gt;0,"Частично","Ждём")))</f>
        <v/>
      </c>
      <c r="BR284" s="43"/>
      <c r="BS284" s="47" t="str">
        <f aca="false">IF(BN284="","",IF(_xlfn.MAXIFS(ЗАКАЗЫ!$AK$3:$AK$500,ЗАКАЗЫ!$F$3:$F$500,$A284)=0,"",_xlfn.MAXIFS(ЗАКАЗЫ!$AK$3:$AK$500,ЗАКАЗЫ!$F$3:$F$500,$A284)))</f>
        <v/>
      </c>
    </row>
    <row r="285" customFormat="false" ht="15.75" hidden="false" customHeight="true" outlineLevel="0" collapsed="false">
      <c r="A285" s="80" t="s">
        <v>1486</v>
      </c>
      <c r="B285" s="81"/>
      <c r="C285" s="81"/>
      <c r="D285" s="81"/>
      <c r="E285" s="83"/>
      <c r="F285" s="81"/>
      <c r="G285" s="83"/>
      <c r="H285" s="83"/>
      <c r="I285" s="84" t="str">
        <f aca="false">IF(E285="","",A285&amp;"_1.jpg")</f>
        <v/>
      </c>
      <c r="J285" s="84" t="str">
        <f aca="false">IF(E285="","",A285&amp;"_2.jpg; "&amp;A285&amp;"_3.jpg")</f>
        <v/>
      </c>
      <c r="K285" s="84" t="str">
        <f aca="false">IF(E285="","",A285&amp;"_schema.jpg")</f>
        <v/>
      </c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 t="s">
        <v>96</v>
      </c>
      <c r="W285" s="81"/>
      <c r="X285" s="81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6" t="str">
        <f aca="false">IF(SUM(Y285:AJ285)=0,"",SUM(Y285:AJ285))</f>
        <v/>
      </c>
      <c r="AL285" s="84" t="str">
        <f aca="false">MID(IF(N(Y285)&gt;0,", "&amp;Y$2,"")&amp;IF(N(Z285)&gt;0,", "&amp;Z$2,"")&amp;IF(N(AA285)&gt;0,", "&amp;AA$2,"")&amp;IF(N(AB285)&gt;0,", "&amp;AB$2,"")&amp;IF(N(AC285)&gt;0,", "&amp;AC$2,"")&amp;IF(N(AD285)&gt;0,", "&amp;AD$2,"")&amp;IF(N(AE285)&gt;0,", "&amp;AE$2,"")&amp;IF(N(AF285)&gt;0,", "&amp;AF$2,"")&amp;IF(N(AG285)&gt;0,", "&amp;AG$2,"")&amp;IF(N(AH285)&gt;0,", "&amp;AH$2,"")&amp;IF(N(AI285)&gt;0,", "&amp;AI$2,"")&amp;IF(N(AJ285)&gt;0,", "&amp;AJ$2,""),3,999)</f>
        <v/>
      </c>
      <c r="AM285" s="87" t="str">
        <f aca="false">IF(E285="","",MID(IF(N(Y285)&gt;0,", "&amp;A285&amp;"-"&amp;Y$2,"")&amp;IF(N(Z285)&gt;0,", "&amp;A285&amp;"-"&amp;Z$2,"")&amp;IF(N(AA285)&gt;0,", "&amp;A285&amp;"-"&amp;AA$2,"")&amp;IF(N(AB285)&gt;0,", "&amp;A285&amp;"-"&amp;AB$2,"")&amp;IF(N(AC285)&gt;0,", "&amp;A285&amp;"-"&amp;AC$2,"")&amp;IF(N(AD285)&gt;0,", "&amp;A285&amp;"-"&amp;AD$2,"")&amp;IF(N(AE285)&gt;0,", "&amp;A285&amp;"-"&amp;AE$2,"")&amp;IF(N(AF285)&gt;0,", "&amp;A285&amp;"-"&amp;AF$2,"")&amp;IF(N(AG285)&gt;0,", "&amp;A285&amp;"-"&amp;AG$2,"")&amp;IF(N(AH285)&gt;0,", "&amp;A285&amp;"-"&amp;AH$2,"")&amp;IF(N(AI285)&gt;0,", "&amp;A285&amp;"-"&amp;AI$2,"")&amp;IF(N(AJ285)&gt;0,", "&amp;A285&amp;"-"&amp;AJ$2,""),3,999))</f>
        <v/>
      </c>
      <c r="AN285" s="81"/>
      <c r="AO285" s="88"/>
      <c r="AP285" s="89" t="str">
        <f aca="false">IF(AO285="","",ROUND(AO285/(1+Справочники!$B$13),2))</f>
        <v/>
      </c>
      <c r="AQ285" s="90" t="str">
        <f aca="false" t="array" ref="AQ285:AQ285">IF(AP285="","",AP285*INDEX(Справочники!$B$4:$B$7,MATCH("RUB",Справочники!$A$4:$A$7,0)))</f>
        <v/>
      </c>
      <c r="AR285" s="90" t="str">
        <f aca="false">IF(AQ285="","",ROUND(AQ285*(1+Справочники!$B$12),0))</f>
        <v/>
      </c>
      <c r="AS285" s="90" t="str">
        <f aca="false">IF(AR285="","",ROUND(AR285*(1-Справочники!$B$11),0))</f>
        <v/>
      </c>
      <c r="AT285" s="88"/>
      <c r="AU285" s="90" t="str">
        <f aca="false">IF(AT285="","",ROUND(AT285/(1+Справочники!$B$12),0))</f>
        <v/>
      </c>
      <c r="AV285" s="90" t="str">
        <f aca="false">IF(AT285="","",ROUND(AT285*(1-Справочники!$B$15),0))</f>
        <v/>
      </c>
      <c r="AW285" s="90" t="str">
        <f aca="false">IF(AT285="","",ROUND(AT285*(1-Справочники!$B$16),0))</f>
        <v/>
      </c>
      <c r="AX285" s="90" t="str">
        <f aca="false">IF(AT285="","",ROUND(AT285*(1-Справочники!$B$17),0))</f>
        <v/>
      </c>
      <c r="AY285" s="90" t="str">
        <f aca="false">IF(AT285="","",ROUND(AT285*(1-Справочники!$B$18),0))</f>
        <v/>
      </c>
      <c r="AZ285" s="90" t="str">
        <f aca="false">IF(AT285="","",ROUND(AT285*(1-Справочники!$B$19),0))</f>
        <v/>
      </c>
      <c r="BA285" s="81"/>
      <c r="BB285" s="81"/>
      <c r="BC285" s="81"/>
      <c r="BD285" s="81"/>
      <c r="BE285" s="91"/>
      <c r="BF285" s="81" t="s">
        <v>103</v>
      </c>
      <c r="BG285" s="89" t="n">
        <f aca="false" t="array" ref="BG285:BG285">IF(BF285="","",IFERROR(INDEX(Справочники!$B$4:$B$7,MATCH(BF285,Справочники!$A$4:$A$7,0)),""))</f>
        <v>68.5</v>
      </c>
      <c r="BH285" s="90" t="str">
        <f aca="false">IF(N(BN285)&gt;0,ROUND(SUMIF(ЗАКАЗЫ!$F$3:$F$500,$A285,ЗАКАЗЫ!$Y$3:$Y$500)/BN285,0),IF(OR(BE285="",BG285=""),"",ROUND(BE285*BG285*(1+Справочники!$B$10),0)))</f>
        <v/>
      </c>
      <c r="BI285" s="92" t="str">
        <f aca="false">IF(OR(AU285="",BH285="",AU285=0),"",(AU285-BH285)/AU285)</f>
        <v/>
      </c>
      <c r="BJ285" s="81"/>
      <c r="BK285" s="83"/>
      <c r="BL285" s="43" t="str">
        <f aca="false">IFERROR(INDEX(ЗАКАЗЫ!$N$3:$N$500,MATCH($A285,ЗАКАЗЫ!$F$3:$F$500,0)),"")</f>
        <v/>
      </c>
      <c r="BM285" s="8" t="str">
        <f aca="false">IF(BL285="","",IFERROR(VLOOKUP(BL285,'ТН ВЭД'!$A$4:$C$40,3,0),""))</f>
        <v/>
      </c>
      <c r="BN285" s="7" t="str">
        <f aca="false">IF(COUNTIF(ЗАКАЗЫ!$F$3:$F$500,$A285)=0,"",SUMIF(ЗАКАЗЫ!$F$3:$F$500,$A285,ЗАКАЗЫ!$J$3:$J$500))</f>
        <v/>
      </c>
      <c r="BO285" s="7" t="str">
        <f aca="false">IF(BN285="","",SUMIF(ЗАКАЗЫ!$F$3:$F$500,$A285,ЗАКАЗЫ!$AL$3:$AL$500))</f>
        <v/>
      </c>
      <c r="BP285" s="7" t="str">
        <f aca="false">IF(BN285="","",BN285-BO285)</f>
        <v/>
      </c>
      <c r="BQ285" s="55" t="str">
        <f aca="false">IF(BN285="","",IF(BO285&gt;=BN285,"На складе",IF(BO285&gt;0,"Частично","Ждём")))</f>
        <v/>
      </c>
      <c r="BR285" s="43"/>
      <c r="BS285" s="47" t="str">
        <f aca="false">IF(BN285="","",IF(_xlfn.MAXIFS(ЗАКАЗЫ!$AK$3:$AK$500,ЗАКАЗЫ!$F$3:$F$500,$A285)=0,"",_xlfn.MAXIFS(ЗАКАЗЫ!$AK$3:$AK$500,ЗАКАЗЫ!$F$3:$F$500,$A285)))</f>
        <v/>
      </c>
    </row>
    <row r="286" customFormat="false" ht="15.75" hidden="false" customHeight="true" outlineLevel="0" collapsed="false">
      <c r="A286" s="80" t="s">
        <v>1487</v>
      </c>
      <c r="B286" s="81"/>
      <c r="C286" s="81"/>
      <c r="D286" s="81"/>
      <c r="E286" s="83"/>
      <c r="F286" s="81"/>
      <c r="G286" s="83"/>
      <c r="H286" s="83"/>
      <c r="I286" s="84" t="str">
        <f aca="false">IF(E286="","",A286&amp;"_1.jpg")</f>
        <v/>
      </c>
      <c r="J286" s="84" t="str">
        <f aca="false">IF(E286="","",A286&amp;"_2.jpg; "&amp;A286&amp;"_3.jpg")</f>
        <v/>
      </c>
      <c r="K286" s="84" t="str">
        <f aca="false">IF(E286="","",A286&amp;"_schema.jpg")</f>
        <v/>
      </c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 t="s">
        <v>96</v>
      </c>
      <c r="W286" s="81"/>
      <c r="X286" s="81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6" t="str">
        <f aca="false">IF(SUM(Y286:AJ286)=0,"",SUM(Y286:AJ286))</f>
        <v/>
      </c>
      <c r="AL286" s="84" t="str">
        <f aca="false">MID(IF(N(Y286)&gt;0,", "&amp;Y$2,"")&amp;IF(N(Z286)&gt;0,", "&amp;Z$2,"")&amp;IF(N(AA286)&gt;0,", "&amp;AA$2,"")&amp;IF(N(AB286)&gt;0,", "&amp;AB$2,"")&amp;IF(N(AC286)&gt;0,", "&amp;AC$2,"")&amp;IF(N(AD286)&gt;0,", "&amp;AD$2,"")&amp;IF(N(AE286)&gt;0,", "&amp;AE$2,"")&amp;IF(N(AF286)&gt;0,", "&amp;AF$2,"")&amp;IF(N(AG286)&gt;0,", "&amp;AG$2,"")&amp;IF(N(AH286)&gt;0,", "&amp;AH$2,"")&amp;IF(N(AI286)&gt;0,", "&amp;AI$2,"")&amp;IF(N(AJ286)&gt;0,", "&amp;AJ$2,""),3,999)</f>
        <v/>
      </c>
      <c r="AM286" s="87" t="str">
        <f aca="false">IF(E286="","",MID(IF(N(Y286)&gt;0,", "&amp;A286&amp;"-"&amp;Y$2,"")&amp;IF(N(Z286)&gt;0,", "&amp;A286&amp;"-"&amp;Z$2,"")&amp;IF(N(AA286)&gt;0,", "&amp;A286&amp;"-"&amp;AA$2,"")&amp;IF(N(AB286)&gt;0,", "&amp;A286&amp;"-"&amp;AB$2,"")&amp;IF(N(AC286)&gt;0,", "&amp;A286&amp;"-"&amp;AC$2,"")&amp;IF(N(AD286)&gt;0,", "&amp;A286&amp;"-"&amp;AD$2,"")&amp;IF(N(AE286)&gt;0,", "&amp;A286&amp;"-"&amp;AE$2,"")&amp;IF(N(AF286)&gt;0,", "&amp;A286&amp;"-"&amp;AF$2,"")&amp;IF(N(AG286)&gt;0,", "&amp;A286&amp;"-"&amp;AG$2,"")&amp;IF(N(AH286)&gt;0,", "&amp;A286&amp;"-"&amp;AH$2,"")&amp;IF(N(AI286)&gt;0,", "&amp;A286&amp;"-"&amp;AI$2,"")&amp;IF(N(AJ286)&gt;0,", "&amp;A286&amp;"-"&amp;AJ$2,""),3,999))</f>
        <v/>
      </c>
      <c r="AN286" s="81"/>
      <c r="AO286" s="88"/>
      <c r="AP286" s="89" t="str">
        <f aca="false">IF(AO286="","",ROUND(AO286/(1+Справочники!$B$13),2))</f>
        <v/>
      </c>
      <c r="AQ286" s="90" t="str">
        <f aca="false" t="array" ref="AQ286:AQ286">IF(AP286="","",AP286*INDEX(Справочники!$B$4:$B$7,MATCH("RUB",Справочники!$A$4:$A$7,0)))</f>
        <v/>
      </c>
      <c r="AR286" s="90" t="str">
        <f aca="false">IF(AQ286="","",ROUND(AQ286*(1+Справочники!$B$12),0))</f>
        <v/>
      </c>
      <c r="AS286" s="90" t="str">
        <f aca="false">IF(AR286="","",ROUND(AR286*(1-Справочники!$B$11),0))</f>
        <v/>
      </c>
      <c r="AT286" s="88"/>
      <c r="AU286" s="90" t="str">
        <f aca="false">IF(AT286="","",ROUND(AT286/(1+Справочники!$B$12),0))</f>
        <v/>
      </c>
      <c r="AV286" s="90" t="str">
        <f aca="false">IF(AT286="","",ROUND(AT286*(1-Справочники!$B$15),0))</f>
        <v/>
      </c>
      <c r="AW286" s="90" t="str">
        <f aca="false">IF(AT286="","",ROUND(AT286*(1-Справочники!$B$16),0))</f>
        <v/>
      </c>
      <c r="AX286" s="90" t="str">
        <f aca="false">IF(AT286="","",ROUND(AT286*(1-Справочники!$B$17),0))</f>
        <v/>
      </c>
      <c r="AY286" s="90" t="str">
        <f aca="false">IF(AT286="","",ROUND(AT286*(1-Справочники!$B$18),0))</f>
        <v/>
      </c>
      <c r="AZ286" s="90" t="str">
        <f aca="false">IF(AT286="","",ROUND(AT286*(1-Справочники!$B$19),0))</f>
        <v/>
      </c>
      <c r="BA286" s="81"/>
      <c r="BB286" s="81"/>
      <c r="BC286" s="81"/>
      <c r="BD286" s="81"/>
      <c r="BE286" s="91"/>
      <c r="BF286" s="81" t="s">
        <v>103</v>
      </c>
      <c r="BG286" s="89" t="n">
        <f aca="false" t="array" ref="BG286:BG286">IF(BF286="","",IFERROR(INDEX(Справочники!$B$4:$B$7,MATCH(BF286,Справочники!$A$4:$A$7,0)),""))</f>
        <v>68.5</v>
      </c>
      <c r="BH286" s="90" t="str">
        <f aca="false">IF(N(BN286)&gt;0,ROUND(SUMIF(ЗАКАЗЫ!$F$3:$F$500,$A286,ЗАКАЗЫ!$Y$3:$Y$500)/BN286,0),IF(OR(BE286="",BG286=""),"",ROUND(BE286*BG286*(1+Справочники!$B$10),0)))</f>
        <v/>
      </c>
      <c r="BI286" s="92" t="str">
        <f aca="false">IF(OR(AU286="",BH286="",AU286=0),"",(AU286-BH286)/AU286)</f>
        <v/>
      </c>
      <c r="BJ286" s="81"/>
      <c r="BK286" s="83"/>
      <c r="BL286" s="43" t="str">
        <f aca="false">IFERROR(INDEX(ЗАКАЗЫ!$N$3:$N$500,MATCH($A286,ЗАКАЗЫ!$F$3:$F$500,0)),"")</f>
        <v/>
      </c>
      <c r="BM286" s="8" t="str">
        <f aca="false">IF(BL286="","",IFERROR(VLOOKUP(BL286,'ТН ВЭД'!$A$4:$C$40,3,0),""))</f>
        <v/>
      </c>
      <c r="BN286" s="7" t="str">
        <f aca="false">IF(COUNTIF(ЗАКАЗЫ!$F$3:$F$500,$A286)=0,"",SUMIF(ЗАКАЗЫ!$F$3:$F$500,$A286,ЗАКАЗЫ!$J$3:$J$500))</f>
        <v/>
      </c>
      <c r="BO286" s="7" t="str">
        <f aca="false">IF(BN286="","",SUMIF(ЗАКАЗЫ!$F$3:$F$500,$A286,ЗАКАЗЫ!$AL$3:$AL$500))</f>
        <v/>
      </c>
      <c r="BP286" s="7" t="str">
        <f aca="false">IF(BN286="","",BN286-BO286)</f>
        <v/>
      </c>
      <c r="BQ286" s="55" t="str">
        <f aca="false">IF(BN286="","",IF(BO286&gt;=BN286,"На складе",IF(BO286&gt;0,"Частично","Ждём")))</f>
        <v/>
      </c>
      <c r="BR286" s="43"/>
      <c r="BS286" s="47" t="str">
        <f aca="false">IF(BN286="","",IF(_xlfn.MAXIFS(ЗАКАЗЫ!$AK$3:$AK$500,ЗАКАЗЫ!$F$3:$F$500,$A286)=0,"",_xlfn.MAXIFS(ЗАКАЗЫ!$AK$3:$AK$500,ЗАКАЗЫ!$F$3:$F$500,$A286)))</f>
        <v/>
      </c>
    </row>
    <row r="287" customFormat="false" ht="15.75" hidden="false" customHeight="true" outlineLevel="0" collapsed="false">
      <c r="A287" s="80" t="s">
        <v>1488</v>
      </c>
      <c r="B287" s="81"/>
      <c r="C287" s="81"/>
      <c r="D287" s="81"/>
      <c r="E287" s="83"/>
      <c r="F287" s="81"/>
      <c r="G287" s="83"/>
      <c r="H287" s="83"/>
      <c r="I287" s="84" t="str">
        <f aca="false">IF(E287="","",A287&amp;"_1.jpg")</f>
        <v/>
      </c>
      <c r="J287" s="84" t="str">
        <f aca="false">IF(E287="","",A287&amp;"_2.jpg; "&amp;A287&amp;"_3.jpg")</f>
        <v/>
      </c>
      <c r="K287" s="84" t="str">
        <f aca="false">IF(E287="","",A287&amp;"_schema.jpg")</f>
        <v/>
      </c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 t="s">
        <v>96</v>
      </c>
      <c r="W287" s="81"/>
      <c r="X287" s="81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6" t="str">
        <f aca="false">IF(SUM(Y287:AJ287)=0,"",SUM(Y287:AJ287))</f>
        <v/>
      </c>
      <c r="AL287" s="84" t="str">
        <f aca="false">MID(IF(N(Y287)&gt;0,", "&amp;Y$2,"")&amp;IF(N(Z287)&gt;0,", "&amp;Z$2,"")&amp;IF(N(AA287)&gt;0,", "&amp;AA$2,"")&amp;IF(N(AB287)&gt;0,", "&amp;AB$2,"")&amp;IF(N(AC287)&gt;0,", "&amp;AC$2,"")&amp;IF(N(AD287)&gt;0,", "&amp;AD$2,"")&amp;IF(N(AE287)&gt;0,", "&amp;AE$2,"")&amp;IF(N(AF287)&gt;0,", "&amp;AF$2,"")&amp;IF(N(AG287)&gt;0,", "&amp;AG$2,"")&amp;IF(N(AH287)&gt;0,", "&amp;AH$2,"")&amp;IF(N(AI287)&gt;0,", "&amp;AI$2,"")&amp;IF(N(AJ287)&gt;0,", "&amp;AJ$2,""),3,999)</f>
        <v/>
      </c>
      <c r="AM287" s="87" t="str">
        <f aca="false">IF(E287="","",MID(IF(N(Y287)&gt;0,", "&amp;A287&amp;"-"&amp;Y$2,"")&amp;IF(N(Z287)&gt;0,", "&amp;A287&amp;"-"&amp;Z$2,"")&amp;IF(N(AA287)&gt;0,", "&amp;A287&amp;"-"&amp;AA$2,"")&amp;IF(N(AB287)&gt;0,", "&amp;A287&amp;"-"&amp;AB$2,"")&amp;IF(N(AC287)&gt;0,", "&amp;A287&amp;"-"&amp;AC$2,"")&amp;IF(N(AD287)&gt;0,", "&amp;A287&amp;"-"&amp;AD$2,"")&amp;IF(N(AE287)&gt;0,", "&amp;A287&amp;"-"&amp;AE$2,"")&amp;IF(N(AF287)&gt;0,", "&amp;A287&amp;"-"&amp;AF$2,"")&amp;IF(N(AG287)&gt;0,", "&amp;A287&amp;"-"&amp;AG$2,"")&amp;IF(N(AH287)&gt;0,", "&amp;A287&amp;"-"&amp;AH$2,"")&amp;IF(N(AI287)&gt;0,", "&amp;A287&amp;"-"&amp;AI$2,"")&amp;IF(N(AJ287)&gt;0,", "&amp;A287&amp;"-"&amp;AJ$2,""),3,999))</f>
        <v/>
      </c>
      <c r="AN287" s="81"/>
      <c r="AO287" s="88"/>
      <c r="AP287" s="89" t="str">
        <f aca="false">IF(AO287="","",ROUND(AO287/(1+Справочники!$B$13),2))</f>
        <v/>
      </c>
      <c r="AQ287" s="90" t="str">
        <f aca="false" t="array" ref="AQ287:AQ287">IF(AP287="","",AP287*INDEX(Справочники!$B$4:$B$7,MATCH("RUB",Справочники!$A$4:$A$7,0)))</f>
        <v/>
      </c>
      <c r="AR287" s="90" t="str">
        <f aca="false">IF(AQ287="","",ROUND(AQ287*(1+Справочники!$B$12),0))</f>
        <v/>
      </c>
      <c r="AS287" s="90" t="str">
        <f aca="false">IF(AR287="","",ROUND(AR287*(1-Справочники!$B$11),0))</f>
        <v/>
      </c>
      <c r="AT287" s="88"/>
      <c r="AU287" s="90" t="str">
        <f aca="false">IF(AT287="","",ROUND(AT287/(1+Справочники!$B$12),0))</f>
        <v/>
      </c>
      <c r="AV287" s="90" t="str">
        <f aca="false">IF(AT287="","",ROUND(AT287*(1-Справочники!$B$15),0))</f>
        <v/>
      </c>
      <c r="AW287" s="90" t="str">
        <f aca="false">IF(AT287="","",ROUND(AT287*(1-Справочники!$B$16),0))</f>
        <v/>
      </c>
      <c r="AX287" s="90" t="str">
        <f aca="false">IF(AT287="","",ROUND(AT287*(1-Справочники!$B$17),0))</f>
        <v/>
      </c>
      <c r="AY287" s="90" t="str">
        <f aca="false">IF(AT287="","",ROUND(AT287*(1-Справочники!$B$18),0))</f>
        <v/>
      </c>
      <c r="AZ287" s="90" t="str">
        <f aca="false">IF(AT287="","",ROUND(AT287*(1-Справочники!$B$19),0))</f>
        <v/>
      </c>
      <c r="BA287" s="81"/>
      <c r="BB287" s="81"/>
      <c r="BC287" s="81"/>
      <c r="BD287" s="81"/>
      <c r="BE287" s="91"/>
      <c r="BF287" s="81" t="s">
        <v>103</v>
      </c>
      <c r="BG287" s="89" t="n">
        <f aca="false" t="array" ref="BG287:BG287">IF(BF287="","",IFERROR(INDEX(Справочники!$B$4:$B$7,MATCH(BF287,Справочники!$A$4:$A$7,0)),""))</f>
        <v>68.5</v>
      </c>
      <c r="BH287" s="90" t="str">
        <f aca="false">IF(N(BN287)&gt;0,ROUND(SUMIF(ЗАКАЗЫ!$F$3:$F$500,$A287,ЗАКАЗЫ!$Y$3:$Y$500)/BN287,0),IF(OR(BE287="",BG287=""),"",ROUND(BE287*BG287*(1+Справочники!$B$10),0)))</f>
        <v/>
      </c>
      <c r="BI287" s="92" t="str">
        <f aca="false">IF(OR(AU287="",BH287="",AU287=0),"",(AU287-BH287)/AU287)</f>
        <v/>
      </c>
      <c r="BJ287" s="81"/>
      <c r="BK287" s="83"/>
      <c r="BL287" s="43" t="str">
        <f aca="false">IFERROR(INDEX(ЗАКАЗЫ!$N$3:$N$500,MATCH($A287,ЗАКАЗЫ!$F$3:$F$500,0)),"")</f>
        <v/>
      </c>
      <c r="BM287" s="8" t="str">
        <f aca="false">IF(BL287="","",IFERROR(VLOOKUP(BL287,'ТН ВЭД'!$A$4:$C$40,3,0),""))</f>
        <v/>
      </c>
      <c r="BN287" s="7" t="str">
        <f aca="false">IF(COUNTIF(ЗАКАЗЫ!$F$3:$F$500,$A287)=0,"",SUMIF(ЗАКАЗЫ!$F$3:$F$500,$A287,ЗАКАЗЫ!$J$3:$J$500))</f>
        <v/>
      </c>
      <c r="BO287" s="7" t="str">
        <f aca="false">IF(BN287="","",SUMIF(ЗАКАЗЫ!$F$3:$F$500,$A287,ЗАКАЗЫ!$AL$3:$AL$500))</f>
        <v/>
      </c>
      <c r="BP287" s="7" t="str">
        <f aca="false">IF(BN287="","",BN287-BO287)</f>
        <v/>
      </c>
      <c r="BQ287" s="55" t="str">
        <f aca="false">IF(BN287="","",IF(BO287&gt;=BN287,"На складе",IF(BO287&gt;0,"Частично","Ждём")))</f>
        <v/>
      </c>
      <c r="BR287" s="43"/>
      <c r="BS287" s="47" t="str">
        <f aca="false">IF(BN287="","",IF(_xlfn.MAXIFS(ЗАКАЗЫ!$AK$3:$AK$500,ЗАКАЗЫ!$F$3:$F$500,$A287)=0,"",_xlfn.MAXIFS(ЗАКАЗЫ!$AK$3:$AK$500,ЗАКАЗЫ!$F$3:$F$500,$A287)))</f>
        <v/>
      </c>
    </row>
    <row r="288" customFormat="false" ht="15.75" hidden="false" customHeight="true" outlineLevel="0" collapsed="false">
      <c r="A288" s="80" t="s">
        <v>1489</v>
      </c>
      <c r="B288" s="81"/>
      <c r="C288" s="81"/>
      <c r="D288" s="81"/>
      <c r="E288" s="83"/>
      <c r="F288" s="81"/>
      <c r="G288" s="83"/>
      <c r="H288" s="83"/>
      <c r="I288" s="84" t="str">
        <f aca="false">IF(E288="","",A288&amp;"_1.jpg")</f>
        <v/>
      </c>
      <c r="J288" s="84" t="str">
        <f aca="false">IF(E288="","",A288&amp;"_2.jpg; "&amp;A288&amp;"_3.jpg")</f>
        <v/>
      </c>
      <c r="K288" s="84" t="str">
        <f aca="false">IF(E288="","",A288&amp;"_schema.jpg")</f>
        <v/>
      </c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 t="s">
        <v>96</v>
      </c>
      <c r="W288" s="81"/>
      <c r="X288" s="81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6" t="str">
        <f aca="false">IF(SUM(Y288:AJ288)=0,"",SUM(Y288:AJ288))</f>
        <v/>
      </c>
      <c r="AL288" s="84" t="str">
        <f aca="false">MID(IF(N(Y288)&gt;0,", "&amp;Y$2,"")&amp;IF(N(Z288)&gt;0,", "&amp;Z$2,"")&amp;IF(N(AA288)&gt;0,", "&amp;AA$2,"")&amp;IF(N(AB288)&gt;0,", "&amp;AB$2,"")&amp;IF(N(AC288)&gt;0,", "&amp;AC$2,"")&amp;IF(N(AD288)&gt;0,", "&amp;AD$2,"")&amp;IF(N(AE288)&gt;0,", "&amp;AE$2,"")&amp;IF(N(AF288)&gt;0,", "&amp;AF$2,"")&amp;IF(N(AG288)&gt;0,", "&amp;AG$2,"")&amp;IF(N(AH288)&gt;0,", "&amp;AH$2,"")&amp;IF(N(AI288)&gt;0,", "&amp;AI$2,"")&amp;IF(N(AJ288)&gt;0,", "&amp;AJ$2,""),3,999)</f>
        <v/>
      </c>
      <c r="AM288" s="87" t="str">
        <f aca="false">IF(E288="","",MID(IF(N(Y288)&gt;0,", "&amp;A288&amp;"-"&amp;Y$2,"")&amp;IF(N(Z288)&gt;0,", "&amp;A288&amp;"-"&amp;Z$2,"")&amp;IF(N(AA288)&gt;0,", "&amp;A288&amp;"-"&amp;AA$2,"")&amp;IF(N(AB288)&gt;0,", "&amp;A288&amp;"-"&amp;AB$2,"")&amp;IF(N(AC288)&gt;0,", "&amp;A288&amp;"-"&amp;AC$2,"")&amp;IF(N(AD288)&gt;0,", "&amp;A288&amp;"-"&amp;AD$2,"")&amp;IF(N(AE288)&gt;0,", "&amp;A288&amp;"-"&amp;AE$2,"")&amp;IF(N(AF288)&gt;0,", "&amp;A288&amp;"-"&amp;AF$2,"")&amp;IF(N(AG288)&gt;0,", "&amp;A288&amp;"-"&amp;AG$2,"")&amp;IF(N(AH288)&gt;0,", "&amp;A288&amp;"-"&amp;AH$2,"")&amp;IF(N(AI288)&gt;0,", "&amp;A288&amp;"-"&amp;AI$2,"")&amp;IF(N(AJ288)&gt;0,", "&amp;A288&amp;"-"&amp;AJ$2,""),3,999))</f>
        <v/>
      </c>
      <c r="AN288" s="81"/>
      <c r="AO288" s="88"/>
      <c r="AP288" s="89" t="str">
        <f aca="false">IF(AO288="","",ROUND(AO288/(1+Справочники!$B$13),2))</f>
        <v/>
      </c>
      <c r="AQ288" s="90" t="str">
        <f aca="false" t="array" ref="AQ288:AQ288">IF(AP288="","",AP288*INDEX(Справочники!$B$4:$B$7,MATCH("RUB",Справочники!$A$4:$A$7,0)))</f>
        <v/>
      </c>
      <c r="AR288" s="90" t="str">
        <f aca="false">IF(AQ288="","",ROUND(AQ288*(1+Справочники!$B$12),0))</f>
        <v/>
      </c>
      <c r="AS288" s="90" t="str">
        <f aca="false">IF(AR288="","",ROUND(AR288*(1-Справочники!$B$11),0))</f>
        <v/>
      </c>
      <c r="AT288" s="88"/>
      <c r="AU288" s="90" t="str">
        <f aca="false">IF(AT288="","",ROUND(AT288/(1+Справочники!$B$12),0))</f>
        <v/>
      </c>
      <c r="AV288" s="90" t="str">
        <f aca="false">IF(AT288="","",ROUND(AT288*(1-Справочники!$B$15),0))</f>
        <v/>
      </c>
      <c r="AW288" s="90" t="str">
        <f aca="false">IF(AT288="","",ROUND(AT288*(1-Справочники!$B$16),0))</f>
        <v/>
      </c>
      <c r="AX288" s="90" t="str">
        <f aca="false">IF(AT288="","",ROUND(AT288*(1-Справочники!$B$17),0))</f>
        <v/>
      </c>
      <c r="AY288" s="90" t="str">
        <f aca="false">IF(AT288="","",ROUND(AT288*(1-Справочники!$B$18),0))</f>
        <v/>
      </c>
      <c r="AZ288" s="90" t="str">
        <f aca="false">IF(AT288="","",ROUND(AT288*(1-Справочники!$B$19),0))</f>
        <v/>
      </c>
      <c r="BA288" s="81"/>
      <c r="BB288" s="81"/>
      <c r="BC288" s="81"/>
      <c r="BD288" s="81"/>
      <c r="BE288" s="91"/>
      <c r="BF288" s="81" t="s">
        <v>103</v>
      </c>
      <c r="BG288" s="89" t="n">
        <f aca="false" t="array" ref="BG288:BG288">IF(BF288="","",IFERROR(INDEX(Справочники!$B$4:$B$7,MATCH(BF288,Справочники!$A$4:$A$7,0)),""))</f>
        <v>68.5</v>
      </c>
      <c r="BH288" s="90" t="str">
        <f aca="false">IF(N(BN288)&gt;0,ROUND(SUMIF(ЗАКАЗЫ!$F$3:$F$500,$A288,ЗАКАЗЫ!$Y$3:$Y$500)/BN288,0),IF(OR(BE288="",BG288=""),"",ROUND(BE288*BG288*(1+Справочники!$B$10),0)))</f>
        <v/>
      </c>
      <c r="BI288" s="92" t="str">
        <f aca="false">IF(OR(AU288="",BH288="",AU288=0),"",(AU288-BH288)/AU288)</f>
        <v/>
      </c>
      <c r="BJ288" s="81"/>
      <c r="BK288" s="83"/>
      <c r="BL288" s="43" t="str">
        <f aca="false">IFERROR(INDEX(ЗАКАЗЫ!$N$3:$N$500,MATCH($A288,ЗАКАЗЫ!$F$3:$F$500,0)),"")</f>
        <v/>
      </c>
      <c r="BM288" s="8" t="str">
        <f aca="false">IF(BL288="","",IFERROR(VLOOKUP(BL288,'ТН ВЭД'!$A$4:$C$40,3,0),""))</f>
        <v/>
      </c>
      <c r="BN288" s="7" t="str">
        <f aca="false">IF(COUNTIF(ЗАКАЗЫ!$F$3:$F$500,$A288)=0,"",SUMIF(ЗАКАЗЫ!$F$3:$F$500,$A288,ЗАКАЗЫ!$J$3:$J$500))</f>
        <v/>
      </c>
      <c r="BO288" s="7" t="str">
        <f aca="false">IF(BN288="","",SUMIF(ЗАКАЗЫ!$F$3:$F$500,$A288,ЗАКАЗЫ!$AL$3:$AL$500))</f>
        <v/>
      </c>
      <c r="BP288" s="7" t="str">
        <f aca="false">IF(BN288="","",BN288-BO288)</f>
        <v/>
      </c>
      <c r="BQ288" s="55" t="str">
        <f aca="false">IF(BN288="","",IF(BO288&gt;=BN288,"На складе",IF(BO288&gt;0,"Частично","Ждём")))</f>
        <v/>
      </c>
      <c r="BR288" s="43"/>
      <c r="BS288" s="47" t="str">
        <f aca="false">IF(BN288="","",IF(_xlfn.MAXIFS(ЗАКАЗЫ!$AK$3:$AK$500,ЗАКАЗЫ!$F$3:$F$500,$A288)=0,"",_xlfn.MAXIFS(ЗАКАЗЫ!$AK$3:$AK$500,ЗАКАЗЫ!$F$3:$F$500,$A288)))</f>
        <v/>
      </c>
    </row>
    <row r="289" customFormat="false" ht="15.75" hidden="false" customHeight="true" outlineLevel="0" collapsed="false">
      <c r="A289" s="80" t="s">
        <v>1490</v>
      </c>
      <c r="B289" s="81"/>
      <c r="C289" s="81"/>
      <c r="D289" s="81"/>
      <c r="E289" s="83"/>
      <c r="F289" s="81"/>
      <c r="G289" s="83"/>
      <c r="H289" s="83"/>
      <c r="I289" s="84" t="str">
        <f aca="false">IF(E289="","",A289&amp;"_1.jpg")</f>
        <v/>
      </c>
      <c r="J289" s="84" t="str">
        <f aca="false">IF(E289="","",A289&amp;"_2.jpg; "&amp;A289&amp;"_3.jpg")</f>
        <v/>
      </c>
      <c r="K289" s="84" t="str">
        <f aca="false">IF(E289="","",A289&amp;"_schema.jpg")</f>
        <v/>
      </c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 t="s">
        <v>96</v>
      </c>
      <c r="W289" s="81"/>
      <c r="X289" s="81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6" t="str">
        <f aca="false">IF(SUM(Y289:AJ289)=0,"",SUM(Y289:AJ289))</f>
        <v/>
      </c>
      <c r="AL289" s="84" t="str">
        <f aca="false">MID(IF(N(Y289)&gt;0,", "&amp;Y$2,"")&amp;IF(N(Z289)&gt;0,", "&amp;Z$2,"")&amp;IF(N(AA289)&gt;0,", "&amp;AA$2,"")&amp;IF(N(AB289)&gt;0,", "&amp;AB$2,"")&amp;IF(N(AC289)&gt;0,", "&amp;AC$2,"")&amp;IF(N(AD289)&gt;0,", "&amp;AD$2,"")&amp;IF(N(AE289)&gt;0,", "&amp;AE$2,"")&amp;IF(N(AF289)&gt;0,", "&amp;AF$2,"")&amp;IF(N(AG289)&gt;0,", "&amp;AG$2,"")&amp;IF(N(AH289)&gt;0,", "&amp;AH$2,"")&amp;IF(N(AI289)&gt;0,", "&amp;AI$2,"")&amp;IF(N(AJ289)&gt;0,", "&amp;AJ$2,""),3,999)</f>
        <v/>
      </c>
      <c r="AM289" s="87" t="str">
        <f aca="false">IF(E289="","",MID(IF(N(Y289)&gt;0,", "&amp;A289&amp;"-"&amp;Y$2,"")&amp;IF(N(Z289)&gt;0,", "&amp;A289&amp;"-"&amp;Z$2,"")&amp;IF(N(AA289)&gt;0,", "&amp;A289&amp;"-"&amp;AA$2,"")&amp;IF(N(AB289)&gt;0,", "&amp;A289&amp;"-"&amp;AB$2,"")&amp;IF(N(AC289)&gt;0,", "&amp;A289&amp;"-"&amp;AC$2,"")&amp;IF(N(AD289)&gt;0,", "&amp;A289&amp;"-"&amp;AD$2,"")&amp;IF(N(AE289)&gt;0,", "&amp;A289&amp;"-"&amp;AE$2,"")&amp;IF(N(AF289)&gt;0,", "&amp;A289&amp;"-"&amp;AF$2,"")&amp;IF(N(AG289)&gt;0,", "&amp;A289&amp;"-"&amp;AG$2,"")&amp;IF(N(AH289)&gt;0,", "&amp;A289&amp;"-"&amp;AH$2,"")&amp;IF(N(AI289)&gt;0,", "&amp;A289&amp;"-"&amp;AI$2,"")&amp;IF(N(AJ289)&gt;0,", "&amp;A289&amp;"-"&amp;AJ$2,""),3,999))</f>
        <v/>
      </c>
      <c r="AN289" s="81"/>
      <c r="AO289" s="88"/>
      <c r="AP289" s="89" t="str">
        <f aca="false">IF(AO289="","",ROUND(AO289/(1+Справочники!$B$13),2))</f>
        <v/>
      </c>
      <c r="AQ289" s="90" t="str">
        <f aca="false" t="array" ref="AQ289:AQ289">IF(AP289="","",AP289*INDEX(Справочники!$B$4:$B$7,MATCH("RUB",Справочники!$A$4:$A$7,0)))</f>
        <v/>
      </c>
      <c r="AR289" s="90" t="str">
        <f aca="false">IF(AQ289="","",ROUND(AQ289*(1+Справочники!$B$12),0))</f>
        <v/>
      </c>
      <c r="AS289" s="90" t="str">
        <f aca="false">IF(AR289="","",ROUND(AR289*(1-Справочники!$B$11),0))</f>
        <v/>
      </c>
      <c r="AT289" s="88"/>
      <c r="AU289" s="90" t="str">
        <f aca="false">IF(AT289="","",ROUND(AT289/(1+Справочники!$B$12),0))</f>
        <v/>
      </c>
      <c r="AV289" s="90" t="str">
        <f aca="false">IF(AT289="","",ROUND(AT289*(1-Справочники!$B$15),0))</f>
        <v/>
      </c>
      <c r="AW289" s="90" t="str">
        <f aca="false">IF(AT289="","",ROUND(AT289*(1-Справочники!$B$16),0))</f>
        <v/>
      </c>
      <c r="AX289" s="90" t="str">
        <f aca="false">IF(AT289="","",ROUND(AT289*(1-Справочники!$B$17),0))</f>
        <v/>
      </c>
      <c r="AY289" s="90" t="str">
        <f aca="false">IF(AT289="","",ROUND(AT289*(1-Справочники!$B$18),0))</f>
        <v/>
      </c>
      <c r="AZ289" s="90" t="str">
        <f aca="false">IF(AT289="","",ROUND(AT289*(1-Справочники!$B$19),0))</f>
        <v/>
      </c>
      <c r="BA289" s="81"/>
      <c r="BB289" s="81"/>
      <c r="BC289" s="81"/>
      <c r="BD289" s="81"/>
      <c r="BE289" s="91"/>
      <c r="BF289" s="81" t="s">
        <v>103</v>
      </c>
      <c r="BG289" s="89" t="n">
        <f aca="false" t="array" ref="BG289:BG289">IF(BF289="","",IFERROR(INDEX(Справочники!$B$4:$B$7,MATCH(BF289,Справочники!$A$4:$A$7,0)),""))</f>
        <v>68.5</v>
      </c>
      <c r="BH289" s="90" t="str">
        <f aca="false">IF(N(BN289)&gt;0,ROUND(SUMIF(ЗАКАЗЫ!$F$3:$F$500,$A289,ЗАКАЗЫ!$Y$3:$Y$500)/BN289,0),IF(OR(BE289="",BG289=""),"",ROUND(BE289*BG289*(1+Справочники!$B$10),0)))</f>
        <v/>
      </c>
      <c r="BI289" s="92" t="str">
        <f aca="false">IF(OR(AU289="",BH289="",AU289=0),"",(AU289-BH289)/AU289)</f>
        <v/>
      </c>
      <c r="BJ289" s="81"/>
      <c r="BK289" s="83"/>
      <c r="BL289" s="43" t="str">
        <f aca="false">IFERROR(INDEX(ЗАКАЗЫ!$N$3:$N$500,MATCH($A289,ЗАКАЗЫ!$F$3:$F$500,0)),"")</f>
        <v/>
      </c>
      <c r="BM289" s="8" t="str">
        <f aca="false">IF(BL289="","",IFERROR(VLOOKUP(BL289,'ТН ВЭД'!$A$4:$C$40,3,0),""))</f>
        <v/>
      </c>
      <c r="BN289" s="7" t="str">
        <f aca="false">IF(COUNTIF(ЗАКАЗЫ!$F$3:$F$500,$A289)=0,"",SUMIF(ЗАКАЗЫ!$F$3:$F$500,$A289,ЗАКАЗЫ!$J$3:$J$500))</f>
        <v/>
      </c>
      <c r="BO289" s="7" t="str">
        <f aca="false">IF(BN289="","",SUMIF(ЗАКАЗЫ!$F$3:$F$500,$A289,ЗАКАЗЫ!$AL$3:$AL$500))</f>
        <v/>
      </c>
      <c r="BP289" s="7" t="str">
        <f aca="false">IF(BN289="","",BN289-BO289)</f>
        <v/>
      </c>
      <c r="BQ289" s="55" t="str">
        <f aca="false">IF(BN289="","",IF(BO289&gt;=BN289,"На складе",IF(BO289&gt;0,"Частично","Ждём")))</f>
        <v/>
      </c>
      <c r="BR289" s="43"/>
      <c r="BS289" s="47" t="str">
        <f aca="false">IF(BN289="","",IF(_xlfn.MAXIFS(ЗАКАЗЫ!$AK$3:$AK$500,ЗАКАЗЫ!$F$3:$F$500,$A289)=0,"",_xlfn.MAXIFS(ЗАКАЗЫ!$AK$3:$AK$500,ЗАКАЗЫ!$F$3:$F$500,$A289)))</f>
        <v/>
      </c>
    </row>
    <row r="290" customFormat="false" ht="15.75" hidden="false" customHeight="true" outlineLevel="0" collapsed="false">
      <c r="A290" s="80" t="s">
        <v>1491</v>
      </c>
      <c r="B290" s="81"/>
      <c r="C290" s="81"/>
      <c r="D290" s="81"/>
      <c r="E290" s="83"/>
      <c r="F290" s="81"/>
      <c r="G290" s="83"/>
      <c r="H290" s="83"/>
      <c r="I290" s="84" t="str">
        <f aca="false">IF(E290="","",A290&amp;"_1.jpg")</f>
        <v/>
      </c>
      <c r="J290" s="84" t="str">
        <f aca="false">IF(E290="","",A290&amp;"_2.jpg; "&amp;A290&amp;"_3.jpg")</f>
        <v/>
      </c>
      <c r="K290" s="84" t="str">
        <f aca="false">IF(E290="","",A290&amp;"_schema.jpg")</f>
        <v/>
      </c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 t="s">
        <v>96</v>
      </c>
      <c r="W290" s="81"/>
      <c r="X290" s="81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6" t="str">
        <f aca="false">IF(SUM(Y290:AJ290)=0,"",SUM(Y290:AJ290))</f>
        <v/>
      </c>
      <c r="AL290" s="84" t="str">
        <f aca="false">MID(IF(N(Y290)&gt;0,", "&amp;Y$2,"")&amp;IF(N(Z290)&gt;0,", "&amp;Z$2,"")&amp;IF(N(AA290)&gt;0,", "&amp;AA$2,"")&amp;IF(N(AB290)&gt;0,", "&amp;AB$2,"")&amp;IF(N(AC290)&gt;0,", "&amp;AC$2,"")&amp;IF(N(AD290)&gt;0,", "&amp;AD$2,"")&amp;IF(N(AE290)&gt;0,", "&amp;AE$2,"")&amp;IF(N(AF290)&gt;0,", "&amp;AF$2,"")&amp;IF(N(AG290)&gt;0,", "&amp;AG$2,"")&amp;IF(N(AH290)&gt;0,", "&amp;AH$2,"")&amp;IF(N(AI290)&gt;0,", "&amp;AI$2,"")&amp;IF(N(AJ290)&gt;0,", "&amp;AJ$2,""),3,999)</f>
        <v/>
      </c>
      <c r="AM290" s="87" t="str">
        <f aca="false">IF(E290="","",MID(IF(N(Y290)&gt;0,", "&amp;A290&amp;"-"&amp;Y$2,"")&amp;IF(N(Z290)&gt;0,", "&amp;A290&amp;"-"&amp;Z$2,"")&amp;IF(N(AA290)&gt;0,", "&amp;A290&amp;"-"&amp;AA$2,"")&amp;IF(N(AB290)&gt;0,", "&amp;A290&amp;"-"&amp;AB$2,"")&amp;IF(N(AC290)&gt;0,", "&amp;A290&amp;"-"&amp;AC$2,"")&amp;IF(N(AD290)&gt;0,", "&amp;A290&amp;"-"&amp;AD$2,"")&amp;IF(N(AE290)&gt;0,", "&amp;A290&amp;"-"&amp;AE$2,"")&amp;IF(N(AF290)&gt;0,", "&amp;A290&amp;"-"&amp;AF$2,"")&amp;IF(N(AG290)&gt;0,", "&amp;A290&amp;"-"&amp;AG$2,"")&amp;IF(N(AH290)&gt;0,", "&amp;A290&amp;"-"&amp;AH$2,"")&amp;IF(N(AI290)&gt;0,", "&amp;A290&amp;"-"&amp;AI$2,"")&amp;IF(N(AJ290)&gt;0,", "&amp;A290&amp;"-"&amp;AJ$2,""),3,999))</f>
        <v/>
      </c>
      <c r="AN290" s="81"/>
      <c r="AO290" s="88"/>
      <c r="AP290" s="89" t="str">
        <f aca="false">IF(AO290="","",ROUND(AO290/(1+Справочники!$B$13),2))</f>
        <v/>
      </c>
      <c r="AQ290" s="90" t="str">
        <f aca="false" t="array" ref="AQ290:AQ290">IF(AP290="","",AP290*INDEX(Справочники!$B$4:$B$7,MATCH("RUB",Справочники!$A$4:$A$7,0)))</f>
        <v/>
      </c>
      <c r="AR290" s="90" t="str">
        <f aca="false">IF(AQ290="","",ROUND(AQ290*(1+Справочники!$B$12),0))</f>
        <v/>
      </c>
      <c r="AS290" s="90" t="str">
        <f aca="false">IF(AR290="","",ROUND(AR290*(1-Справочники!$B$11),0))</f>
        <v/>
      </c>
      <c r="AT290" s="88"/>
      <c r="AU290" s="90" t="str">
        <f aca="false">IF(AT290="","",ROUND(AT290/(1+Справочники!$B$12),0))</f>
        <v/>
      </c>
      <c r="AV290" s="90" t="str">
        <f aca="false">IF(AT290="","",ROUND(AT290*(1-Справочники!$B$15),0))</f>
        <v/>
      </c>
      <c r="AW290" s="90" t="str">
        <f aca="false">IF(AT290="","",ROUND(AT290*(1-Справочники!$B$16),0))</f>
        <v/>
      </c>
      <c r="AX290" s="90" t="str">
        <f aca="false">IF(AT290="","",ROUND(AT290*(1-Справочники!$B$17),0))</f>
        <v/>
      </c>
      <c r="AY290" s="90" t="str">
        <f aca="false">IF(AT290="","",ROUND(AT290*(1-Справочники!$B$18),0))</f>
        <v/>
      </c>
      <c r="AZ290" s="90" t="str">
        <f aca="false">IF(AT290="","",ROUND(AT290*(1-Справочники!$B$19),0))</f>
        <v/>
      </c>
      <c r="BA290" s="81"/>
      <c r="BB290" s="81"/>
      <c r="BC290" s="81"/>
      <c r="BD290" s="81"/>
      <c r="BE290" s="91"/>
      <c r="BF290" s="81" t="s">
        <v>103</v>
      </c>
      <c r="BG290" s="89" t="n">
        <f aca="false" t="array" ref="BG290:BG290">IF(BF290="","",IFERROR(INDEX(Справочники!$B$4:$B$7,MATCH(BF290,Справочники!$A$4:$A$7,0)),""))</f>
        <v>68.5</v>
      </c>
      <c r="BH290" s="90" t="str">
        <f aca="false">IF(N(BN290)&gt;0,ROUND(SUMIF(ЗАКАЗЫ!$F$3:$F$500,$A290,ЗАКАЗЫ!$Y$3:$Y$500)/BN290,0),IF(OR(BE290="",BG290=""),"",ROUND(BE290*BG290*(1+Справочники!$B$10),0)))</f>
        <v/>
      </c>
      <c r="BI290" s="92" t="str">
        <f aca="false">IF(OR(AU290="",BH290="",AU290=0),"",(AU290-BH290)/AU290)</f>
        <v/>
      </c>
      <c r="BJ290" s="81"/>
      <c r="BK290" s="83"/>
      <c r="BL290" s="43" t="str">
        <f aca="false">IFERROR(INDEX(ЗАКАЗЫ!$N$3:$N$500,MATCH($A290,ЗАКАЗЫ!$F$3:$F$500,0)),"")</f>
        <v/>
      </c>
      <c r="BM290" s="8" t="str">
        <f aca="false">IF(BL290="","",IFERROR(VLOOKUP(BL290,'ТН ВЭД'!$A$4:$C$40,3,0),""))</f>
        <v/>
      </c>
      <c r="BN290" s="7" t="str">
        <f aca="false">IF(COUNTIF(ЗАКАЗЫ!$F$3:$F$500,$A290)=0,"",SUMIF(ЗАКАЗЫ!$F$3:$F$500,$A290,ЗАКАЗЫ!$J$3:$J$500))</f>
        <v/>
      </c>
      <c r="BO290" s="7" t="str">
        <f aca="false">IF(BN290="","",SUMIF(ЗАКАЗЫ!$F$3:$F$500,$A290,ЗАКАЗЫ!$AL$3:$AL$500))</f>
        <v/>
      </c>
      <c r="BP290" s="7" t="str">
        <f aca="false">IF(BN290="","",BN290-BO290)</f>
        <v/>
      </c>
      <c r="BQ290" s="55" t="str">
        <f aca="false">IF(BN290="","",IF(BO290&gt;=BN290,"На складе",IF(BO290&gt;0,"Частично","Ждём")))</f>
        <v/>
      </c>
      <c r="BR290" s="43"/>
      <c r="BS290" s="47" t="str">
        <f aca="false">IF(BN290="","",IF(_xlfn.MAXIFS(ЗАКАЗЫ!$AK$3:$AK$500,ЗАКАЗЫ!$F$3:$F$500,$A290)=0,"",_xlfn.MAXIFS(ЗАКАЗЫ!$AK$3:$AK$500,ЗАКАЗЫ!$F$3:$F$500,$A290)))</f>
        <v/>
      </c>
    </row>
    <row r="291" customFormat="false" ht="15.75" hidden="false" customHeight="true" outlineLevel="0" collapsed="false">
      <c r="A291" s="80" t="s">
        <v>1492</v>
      </c>
      <c r="B291" s="81"/>
      <c r="C291" s="81"/>
      <c r="D291" s="81"/>
      <c r="E291" s="83"/>
      <c r="F291" s="81"/>
      <c r="G291" s="83"/>
      <c r="H291" s="83"/>
      <c r="I291" s="84" t="str">
        <f aca="false">IF(E291="","",A291&amp;"_1.jpg")</f>
        <v/>
      </c>
      <c r="J291" s="84" t="str">
        <f aca="false">IF(E291="","",A291&amp;"_2.jpg; "&amp;A291&amp;"_3.jpg")</f>
        <v/>
      </c>
      <c r="K291" s="84" t="str">
        <f aca="false">IF(E291="","",A291&amp;"_schema.jpg")</f>
        <v/>
      </c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 t="s">
        <v>96</v>
      </c>
      <c r="W291" s="81"/>
      <c r="X291" s="81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6" t="str">
        <f aca="false">IF(SUM(Y291:AJ291)=0,"",SUM(Y291:AJ291))</f>
        <v/>
      </c>
      <c r="AL291" s="84" t="str">
        <f aca="false">MID(IF(N(Y291)&gt;0,", "&amp;Y$2,"")&amp;IF(N(Z291)&gt;0,", "&amp;Z$2,"")&amp;IF(N(AA291)&gt;0,", "&amp;AA$2,"")&amp;IF(N(AB291)&gt;0,", "&amp;AB$2,"")&amp;IF(N(AC291)&gt;0,", "&amp;AC$2,"")&amp;IF(N(AD291)&gt;0,", "&amp;AD$2,"")&amp;IF(N(AE291)&gt;0,", "&amp;AE$2,"")&amp;IF(N(AF291)&gt;0,", "&amp;AF$2,"")&amp;IF(N(AG291)&gt;0,", "&amp;AG$2,"")&amp;IF(N(AH291)&gt;0,", "&amp;AH$2,"")&amp;IF(N(AI291)&gt;0,", "&amp;AI$2,"")&amp;IF(N(AJ291)&gt;0,", "&amp;AJ$2,""),3,999)</f>
        <v/>
      </c>
      <c r="AM291" s="87" t="str">
        <f aca="false">IF(E291="","",MID(IF(N(Y291)&gt;0,", "&amp;A291&amp;"-"&amp;Y$2,"")&amp;IF(N(Z291)&gt;0,", "&amp;A291&amp;"-"&amp;Z$2,"")&amp;IF(N(AA291)&gt;0,", "&amp;A291&amp;"-"&amp;AA$2,"")&amp;IF(N(AB291)&gt;0,", "&amp;A291&amp;"-"&amp;AB$2,"")&amp;IF(N(AC291)&gt;0,", "&amp;A291&amp;"-"&amp;AC$2,"")&amp;IF(N(AD291)&gt;0,", "&amp;A291&amp;"-"&amp;AD$2,"")&amp;IF(N(AE291)&gt;0,", "&amp;A291&amp;"-"&amp;AE$2,"")&amp;IF(N(AF291)&gt;0,", "&amp;A291&amp;"-"&amp;AF$2,"")&amp;IF(N(AG291)&gt;0,", "&amp;A291&amp;"-"&amp;AG$2,"")&amp;IF(N(AH291)&gt;0,", "&amp;A291&amp;"-"&amp;AH$2,"")&amp;IF(N(AI291)&gt;0,", "&amp;A291&amp;"-"&amp;AI$2,"")&amp;IF(N(AJ291)&gt;0,", "&amp;A291&amp;"-"&amp;AJ$2,""),3,999))</f>
        <v/>
      </c>
      <c r="AN291" s="81"/>
      <c r="AO291" s="88"/>
      <c r="AP291" s="89" t="str">
        <f aca="false">IF(AO291="","",ROUND(AO291/(1+Справочники!$B$13),2))</f>
        <v/>
      </c>
      <c r="AQ291" s="90" t="str">
        <f aca="false" t="array" ref="AQ291:AQ291">IF(AP291="","",AP291*INDEX(Справочники!$B$4:$B$7,MATCH("RUB",Справочники!$A$4:$A$7,0)))</f>
        <v/>
      </c>
      <c r="AR291" s="90" t="str">
        <f aca="false">IF(AQ291="","",ROUND(AQ291*(1+Справочники!$B$12),0))</f>
        <v/>
      </c>
      <c r="AS291" s="90" t="str">
        <f aca="false">IF(AR291="","",ROUND(AR291*(1-Справочники!$B$11),0))</f>
        <v/>
      </c>
      <c r="AT291" s="88"/>
      <c r="AU291" s="90" t="str">
        <f aca="false">IF(AT291="","",ROUND(AT291/(1+Справочники!$B$12),0))</f>
        <v/>
      </c>
      <c r="AV291" s="90" t="str">
        <f aca="false">IF(AT291="","",ROUND(AT291*(1-Справочники!$B$15),0))</f>
        <v/>
      </c>
      <c r="AW291" s="90" t="str">
        <f aca="false">IF(AT291="","",ROUND(AT291*(1-Справочники!$B$16),0))</f>
        <v/>
      </c>
      <c r="AX291" s="90" t="str">
        <f aca="false">IF(AT291="","",ROUND(AT291*(1-Справочники!$B$17),0))</f>
        <v/>
      </c>
      <c r="AY291" s="90" t="str">
        <f aca="false">IF(AT291="","",ROUND(AT291*(1-Справочники!$B$18),0))</f>
        <v/>
      </c>
      <c r="AZ291" s="90" t="str">
        <f aca="false">IF(AT291="","",ROUND(AT291*(1-Справочники!$B$19),0))</f>
        <v/>
      </c>
      <c r="BA291" s="81"/>
      <c r="BB291" s="81"/>
      <c r="BC291" s="81"/>
      <c r="BD291" s="81"/>
      <c r="BE291" s="91"/>
      <c r="BF291" s="81" t="s">
        <v>103</v>
      </c>
      <c r="BG291" s="89" t="n">
        <f aca="false" t="array" ref="BG291:BG291">IF(BF291="","",IFERROR(INDEX(Справочники!$B$4:$B$7,MATCH(BF291,Справочники!$A$4:$A$7,0)),""))</f>
        <v>68.5</v>
      </c>
      <c r="BH291" s="90" t="str">
        <f aca="false">IF(N(BN291)&gt;0,ROUND(SUMIF(ЗАКАЗЫ!$F$3:$F$500,$A291,ЗАКАЗЫ!$Y$3:$Y$500)/BN291,0),IF(OR(BE291="",BG291=""),"",ROUND(BE291*BG291*(1+Справочники!$B$10),0)))</f>
        <v/>
      </c>
      <c r="BI291" s="92" t="str">
        <f aca="false">IF(OR(AU291="",BH291="",AU291=0),"",(AU291-BH291)/AU291)</f>
        <v/>
      </c>
      <c r="BJ291" s="81"/>
      <c r="BK291" s="83"/>
      <c r="BL291" s="43" t="str">
        <f aca="false">IFERROR(INDEX(ЗАКАЗЫ!$N$3:$N$500,MATCH($A291,ЗАКАЗЫ!$F$3:$F$500,0)),"")</f>
        <v/>
      </c>
      <c r="BM291" s="8" t="str">
        <f aca="false">IF(BL291="","",IFERROR(VLOOKUP(BL291,'ТН ВЭД'!$A$4:$C$40,3,0),""))</f>
        <v/>
      </c>
      <c r="BN291" s="7" t="str">
        <f aca="false">IF(COUNTIF(ЗАКАЗЫ!$F$3:$F$500,$A291)=0,"",SUMIF(ЗАКАЗЫ!$F$3:$F$500,$A291,ЗАКАЗЫ!$J$3:$J$500))</f>
        <v/>
      </c>
      <c r="BO291" s="7" t="str">
        <f aca="false">IF(BN291="","",SUMIF(ЗАКАЗЫ!$F$3:$F$500,$A291,ЗАКАЗЫ!$AL$3:$AL$500))</f>
        <v/>
      </c>
      <c r="BP291" s="7" t="str">
        <f aca="false">IF(BN291="","",BN291-BO291)</f>
        <v/>
      </c>
      <c r="BQ291" s="55" t="str">
        <f aca="false">IF(BN291="","",IF(BO291&gt;=BN291,"На складе",IF(BO291&gt;0,"Частично","Ждём")))</f>
        <v/>
      </c>
      <c r="BR291" s="43"/>
      <c r="BS291" s="47" t="str">
        <f aca="false">IF(BN291="","",IF(_xlfn.MAXIFS(ЗАКАЗЫ!$AK$3:$AK$500,ЗАКАЗЫ!$F$3:$F$500,$A291)=0,"",_xlfn.MAXIFS(ЗАКАЗЫ!$AK$3:$AK$500,ЗАКАЗЫ!$F$3:$F$500,$A291)))</f>
        <v/>
      </c>
    </row>
    <row r="292" customFormat="false" ht="15.75" hidden="false" customHeight="true" outlineLevel="0" collapsed="false">
      <c r="A292" s="80" t="s">
        <v>1493</v>
      </c>
      <c r="B292" s="81"/>
      <c r="C292" s="81"/>
      <c r="D292" s="81"/>
      <c r="E292" s="83"/>
      <c r="F292" s="81"/>
      <c r="G292" s="83"/>
      <c r="H292" s="83"/>
      <c r="I292" s="84" t="str">
        <f aca="false">IF(E292="","",A292&amp;"_1.jpg")</f>
        <v/>
      </c>
      <c r="J292" s="84" t="str">
        <f aca="false">IF(E292="","",A292&amp;"_2.jpg; "&amp;A292&amp;"_3.jpg")</f>
        <v/>
      </c>
      <c r="K292" s="84" t="str">
        <f aca="false">IF(E292="","",A292&amp;"_schema.jpg")</f>
        <v/>
      </c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 t="s">
        <v>96</v>
      </c>
      <c r="W292" s="81"/>
      <c r="X292" s="81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6" t="str">
        <f aca="false">IF(SUM(Y292:AJ292)=0,"",SUM(Y292:AJ292))</f>
        <v/>
      </c>
      <c r="AL292" s="84" t="str">
        <f aca="false">MID(IF(N(Y292)&gt;0,", "&amp;Y$2,"")&amp;IF(N(Z292)&gt;0,", "&amp;Z$2,"")&amp;IF(N(AA292)&gt;0,", "&amp;AA$2,"")&amp;IF(N(AB292)&gt;0,", "&amp;AB$2,"")&amp;IF(N(AC292)&gt;0,", "&amp;AC$2,"")&amp;IF(N(AD292)&gt;0,", "&amp;AD$2,"")&amp;IF(N(AE292)&gt;0,", "&amp;AE$2,"")&amp;IF(N(AF292)&gt;0,", "&amp;AF$2,"")&amp;IF(N(AG292)&gt;0,", "&amp;AG$2,"")&amp;IF(N(AH292)&gt;0,", "&amp;AH$2,"")&amp;IF(N(AI292)&gt;0,", "&amp;AI$2,"")&amp;IF(N(AJ292)&gt;0,", "&amp;AJ$2,""),3,999)</f>
        <v/>
      </c>
      <c r="AM292" s="87" t="str">
        <f aca="false">IF(E292="","",MID(IF(N(Y292)&gt;0,", "&amp;A292&amp;"-"&amp;Y$2,"")&amp;IF(N(Z292)&gt;0,", "&amp;A292&amp;"-"&amp;Z$2,"")&amp;IF(N(AA292)&gt;0,", "&amp;A292&amp;"-"&amp;AA$2,"")&amp;IF(N(AB292)&gt;0,", "&amp;A292&amp;"-"&amp;AB$2,"")&amp;IF(N(AC292)&gt;0,", "&amp;A292&amp;"-"&amp;AC$2,"")&amp;IF(N(AD292)&gt;0,", "&amp;A292&amp;"-"&amp;AD$2,"")&amp;IF(N(AE292)&gt;0,", "&amp;A292&amp;"-"&amp;AE$2,"")&amp;IF(N(AF292)&gt;0,", "&amp;A292&amp;"-"&amp;AF$2,"")&amp;IF(N(AG292)&gt;0,", "&amp;A292&amp;"-"&amp;AG$2,"")&amp;IF(N(AH292)&gt;0,", "&amp;A292&amp;"-"&amp;AH$2,"")&amp;IF(N(AI292)&gt;0,", "&amp;A292&amp;"-"&amp;AI$2,"")&amp;IF(N(AJ292)&gt;0,", "&amp;A292&amp;"-"&amp;AJ$2,""),3,999))</f>
        <v/>
      </c>
      <c r="AN292" s="81"/>
      <c r="AO292" s="88"/>
      <c r="AP292" s="89" t="str">
        <f aca="false">IF(AO292="","",ROUND(AO292/(1+Справочники!$B$13),2))</f>
        <v/>
      </c>
      <c r="AQ292" s="90" t="str">
        <f aca="false" t="array" ref="AQ292:AQ292">IF(AP292="","",AP292*INDEX(Справочники!$B$4:$B$7,MATCH("RUB",Справочники!$A$4:$A$7,0)))</f>
        <v/>
      </c>
      <c r="AR292" s="90" t="str">
        <f aca="false">IF(AQ292="","",ROUND(AQ292*(1+Справочники!$B$12),0))</f>
        <v/>
      </c>
      <c r="AS292" s="90" t="str">
        <f aca="false">IF(AR292="","",ROUND(AR292*(1-Справочники!$B$11),0))</f>
        <v/>
      </c>
      <c r="AT292" s="88"/>
      <c r="AU292" s="90" t="str">
        <f aca="false">IF(AT292="","",ROUND(AT292/(1+Справочники!$B$12),0))</f>
        <v/>
      </c>
      <c r="AV292" s="90" t="str">
        <f aca="false">IF(AT292="","",ROUND(AT292*(1-Справочники!$B$15),0))</f>
        <v/>
      </c>
      <c r="AW292" s="90" t="str">
        <f aca="false">IF(AT292="","",ROUND(AT292*(1-Справочники!$B$16),0))</f>
        <v/>
      </c>
      <c r="AX292" s="90" t="str">
        <f aca="false">IF(AT292="","",ROUND(AT292*(1-Справочники!$B$17),0))</f>
        <v/>
      </c>
      <c r="AY292" s="90" t="str">
        <f aca="false">IF(AT292="","",ROUND(AT292*(1-Справочники!$B$18),0))</f>
        <v/>
      </c>
      <c r="AZ292" s="90" t="str">
        <f aca="false">IF(AT292="","",ROUND(AT292*(1-Справочники!$B$19),0))</f>
        <v/>
      </c>
      <c r="BA292" s="81"/>
      <c r="BB292" s="81"/>
      <c r="BC292" s="81"/>
      <c r="BD292" s="81"/>
      <c r="BE292" s="91"/>
      <c r="BF292" s="81" t="s">
        <v>103</v>
      </c>
      <c r="BG292" s="89" t="n">
        <f aca="false" t="array" ref="BG292:BG292">IF(BF292="","",IFERROR(INDEX(Справочники!$B$4:$B$7,MATCH(BF292,Справочники!$A$4:$A$7,0)),""))</f>
        <v>68.5</v>
      </c>
      <c r="BH292" s="90" t="str">
        <f aca="false">IF(N(BN292)&gt;0,ROUND(SUMIF(ЗАКАЗЫ!$F$3:$F$500,$A292,ЗАКАЗЫ!$Y$3:$Y$500)/BN292,0),IF(OR(BE292="",BG292=""),"",ROUND(BE292*BG292*(1+Справочники!$B$10),0)))</f>
        <v/>
      </c>
      <c r="BI292" s="92" t="str">
        <f aca="false">IF(OR(AU292="",BH292="",AU292=0),"",(AU292-BH292)/AU292)</f>
        <v/>
      </c>
      <c r="BJ292" s="81"/>
      <c r="BK292" s="83"/>
      <c r="BL292" s="43" t="str">
        <f aca="false">IFERROR(INDEX(ЗАКАЗЫ!$N$3:$N$500,MATCH($A292,ЗАКАЗЫ!$F$3:$F$500,0)),"")</f>
        <v/>
      </c>
      <c r="BM292" s="8" t="str">
        <f aca="false">IF(BL292="","",IFERROR(VLOOKUP(BL292,'ТН ВЭД'!$A$4:$C$40,3,0),""))</f>
        <v/>
      </c>
      <c r="BN292" s="7" t="str">
        <f aca="false">IF(COUNTIF(ЗАКАЗЫ!$F$3:$F$500,$A292)=0,"",SUMIF(ЗАКАЗЫ!$F$3:$F$500,$A292,ЗАКАЗЫ!$J$3:$J$500))</f>
        <v/>
      </c>
      <c r="BO292" s="7" t="str">
        <f aca="false">IF(BN292="","",SUMIF(ЗАКАЗЫ!$F$3:$F$500,$A292,ЗАКАЗЫ!$AL$3:$AL$500))</f>
        <v/>
      </c>
      <c r="BP292" s="7" t="str">
        <f aca="false">IF(BN292="","",BN292-BO292)</f>
        <v/>
      </c>
      <c r="BQ292" s="55" t="str">
        <f aca="false">IF(BN292="","",IF(BO292&gt;=BN292,"На складе",IF(BO292&gt;0,"Частично","Ждём")))</f>
        <v/>
      </c>
      <c r="BR292" s="43"/>
      <c r="BS292" s="47" t="str">
        <f aca="false">IF(BN292="","",IF(_xlfn.MAXIFS(ЗАКАЗЫ!$AK$3:$AK$500,ЗАКАЗЫ!$F$3:$F$500,$A292)=0,"",_xlfn.MAXIFS(ЗАКАЗЫ!$AK$3:$AK$500,ЗАКАЗЫ!$F$3:$F$500,$A292)))</f>
        <v/>
      </c>
    </row>
    <row r="293" customFormat="false" ht="15.75" hidden="false" customHeight="true" outlineLevel="0" collapsed="false">
      <c r="A293" s="80" t="s">
        <v>1494</v>
      </c>
      <c r="B293" s="81"/>
      <c r="C293" s="81"/>
      <c r="D293" s="81"/>
      <c r="E293" s="83"/>
      <c r="F293" s="81"/>
      <c r="G293" s="83"/>
      <c r="H293" s="83"/>
      <c r="I293" s="84" t="str">
        <f aca="false">IF(E293="","",A293&amp;"_1.jpg")</f>
        <v/>
      </c>
      <c r="J293" s="84" t="str">
        <f aca="false">IF(E293="","",A293&amp;"_2.jpg; "&amp;A293&amp;"_3.jpg")</f>
        <v/>
      </c>
      <c r="K293" s="84" t="str">
        <f aca="false">IF(E293="","",A293&amp;"_schema.jpg")</f>
        <v/>
      </c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 t="s">
        <v>96</v>
      </c>
      <c r="W293" s="81"/>
      <c r="X293" s="81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6" t="str">
        <f aca="false">IF(SUM(Y293:AJ293)=0,"",SUM(Y293:AJ293))</f>
        <v/>
      </c>
      <c r="AL293" s="84" t="str">
        <f aca="false">MID(IF(N(Y293)&gt;0,", "&amp;Y$2,"")&amp;IF(N(Z293)&gt;0,", "&amp;Z$2,"")&amp;IF(N(AA293)&gt;0,", "&amp;AA$2,"")&amp;IF(N(AB293)&gt;0,", "&amp;AB$2,"")&amp;IF(N(AC293)&gt;0,", "&amp;AC$2,"")&amp;IF(N(AD293)&gt;0,", "&amp;AD$2,"")&amp;IF(N(AE293)&gt;0,", "&amp;AE$2,"")&amp;IF(N(AF293)&gt;0,", "&amp;AF$2,"")&amp;IF(N(AG293)&gt;0,", "&amp;AG$2,"")&amp;IF(N(AH293)&gt;0,", "&amp;AH$2,"")&amp;IF(N(AI293)&gt;0,", "&amp;AI$2,"")&amp;IF(N(AJ293)&gt;0,", "&amp;AJ$2,""),3,999)</f>
        <v/>
      </c>
      <c r="AM293" s="87" t="str">
        <f aca="false">IF(E293="","",MID(IF(N(Y293)&gt;0,", "&amp;A293&amp;"-"&amp;Y$2,"")&amp;IF(N(Z293)&gt;0,", "&amp;A293&amp;"-"&amp;Z$2,"")&amp;IF(N(AA293)&gt;0,", "&amp;A293&amp;"-"&amp;AA$2,"")&amp;IF(N(AB293)&gt;0,", "&amp;A293&amp;"-"&amp;AB$2,"")&amp;IF(N(AC293)&gt;0,", "&amp;A293&amp;"-"&amp;AC$2,"")&amp;IF(N(AD293)&gt;0,", "&amp;A293&amp;"-"&amp;AD$2,"")&amp;IF(N(AE293)&gt;0,", "&amp;A293&amp;"-"&amp;AE$2,"")&amp;IF(N(AF293)&gt;0,", "&amp;A293&amp;"-"&amp;AF$2,"")&amp;IF(N(AG293)&gt;0,", "&amp;A293&amp;"-"&amp;AG$2,"")&amp;IF(N(AH293)&gt;0,", "&amp;A293&amp;"-"&amp;AH$2,"")&amp;IF(N(AI293)&gt;0,", "&amp;A293&amp;"-"&amp;AI$2,"")&amp;IF(N(AJ293)&gt;0,", "&amp;A293&amp;"-"&amp;AJ$2,""),3,999))</f>
        <v/>
      </c>
      <c r="AN293" s="81"/>
      <c r="AO293" s="88"/>
      <c r="AP293" s="89" t="str">
        <f aca="false">IF(AO293="","",ROUND(AO293/(1+Справочники!$B$13),2))</f>
        <v/>
      </c>
      <c r="AQ293" s="90" t="str">
        <f aca="false" t="array" ref="AQ293:AQ293">IF(AP293="","",AP293*INDEX(Справочники!$B$4:$B$7,MATCH("RUB",Справочники!$A$4:$A$7,0)))</f>
        <v/>
      </c>
      <c r="AR293" s="90" t="str">
        <f aca="false">IF(AQ293="","",ROUND(AQ293*(1+Справочники!$B$12),0))</f>
        <v/>
      </c>
      <c r="AS293" s="90" t="str">
        <f aca="false">IF(AR293="","",ROUND(AR293*(1-Справочники!$B$11),0))</f>
        <v/>
      </c>
      <c r="AT293" s="88"/>
      <c r="AU293" s="90" t="str">
        <f aca="false">IF(AT293="","",ROUND(AT293/(1+Справочники!$B$12),0))</f>
        <v/>
      </c>
      <c r="AV293" s="90" t="str">
        <f aca="false">IF(AT293="","",ROUND(AT293*(1-Справочники!$B$15),0))</f>
        <v/>
      </c>
      <c r="AW293" s="90" t="str">
        <f aca="false">IF(AT293="","",ROUND(AT293*(1-Справочники!$B$16),0))</f>
        <v/>
      </c>
      <c r="AX293" s="90" t="str">
        <f aca="false">IF(AT293="","",ROUND(AT293*(1-Справочники!$B$17),0))</f>
        <v/>
      </c>
      <c r="AY293" s="90" t="str">
        <f aca="false">IF(AT293="","",ROUND(AT293*(1-Справочники!$B$18),0))</f>
        <v/>
      </c>
      <c r="AZ293" s="90" t="str">
        <f aca="false">IF(AT293="","",ROUND(AT293*(1-Справочники!$B$19),0))</f>
        <v/>
      </c>
      <c r="BA293" s="81"/>
      <c r="BB293" s="81"/>
      <c r="BC293" s="81"/>
      <c r="BD293" s="81"/>
      <c r="BE293" s="91"/>
      <c r="BF293" s="81" t="s">
        <v>103</v>
      </c>
      <c r="BG293" s="89" t="n">
        <f aca="false" t="array" ref="BG293:BG293">IF(BF293="","",IFERROR(INDEX(Справочники!$B$4:$B$7,MATCH(BF293,Справочники!$A$4:$A$7,0)),""))</f>
        <v>68.5</v>
      </c>
      <c r="BH293" s="90" t="str">
        <f aca="false">IF(N(BN293)&gt;0,ROUND(SUMIF(ЗАКАЗЫ!$F$3:$F$500,$A293,ЗАКАЗЫ!$Y$3:$Y$500)/BN293,0),IF(OR(BE293="",BG293=""),"",ROUND(BE293*BG293*(1+Справочники!$B$10),0)))</f>
        <v/>
      </c>
      <c r="BI293" s="92" t="str">
        <f aca="false">IF(OR(AU293="",BH293="",AU293=0),"",(AU293-BH293)/AU293)</f>
        <v/>
      </c>
      <c r="BJ293" s="81"/>
      <c r="BK293" s="83"/>
      <c r="BL293" s="43" t="str">
        <f aca="false">IFERROR(INDEX(ЗАКАЗЫ!$N$3:$N$500,MATCH($A293,ЗАКАЗЫ!$F$3:$F$500,0)),"")</f>
        <v/>
      </c>
      <c r="BM293" s="8" t="str">
        <f aca="false">IF(BL293="","",IFERROR(VLOOKUP(BL293,'ТН ВЭД'!$A$4:$C$40,3,0),""))</f>
        <v/>
      </c>
      <c r="BN293" s="7" t="str">
        <f aca="false">IF(COUNTIF(ЗАКАЗЫ!$F$3:$F$500,$A293)=0,"",SUMIF(ЗАКАЗЫ!$F$3:$F$500,$A293,ЗАКАЗЫ!$J$3:$J$500))</f>
        <v/>
      </c>
      <c r="BO293" s="7" t="str">
        <f aca="false">IF(BN293="","",SUMIF(ЗАКАЗЫ!$F$3:$F$500,$A293,ЗАКАЗЫ!$AL$3:$AL$500))</f>
        <v/>
      </c>
      <c r="BP293" s="7" t="str">
        <f aca="false">IF(BN293="","",BN293-BO293)</f>
        <v/>
      </c>
      <c r="BQ293" s="55" t="str">
        <f aca="false">IF(BN293="","",IF(BO293&gt;=BN293,"На складе",IF(BO293&gt;0,"Частично","Ждём")))</f>
        <v/>
      </c>
      <c r="BR293" s="43"/>
      <c r="BS293" s="47" t="str">
        <f aca="false">IF(BN293="","",IF(_xlfn.MAXIFS(ЗАКАЗЫ!$AK$3:$AK$500,ЗАКАЗЫ!$F$3:$F$500,$A293)=0,"",_xlfn.MAXIFS(ЗАКАЗЫ!$AK$3:$AK$500,ЗАКАЗЫ!$F$3:$F$500,$A293)))</f>
        <v/>
      </c>
    </row>
    <row r="294" customFormat="false" ht="15.75" hidden="false" customHeight="true" outlineLevel="0" collapsed="false">
      <c r="A294" s="80" t="s">
        <v>1495</v>
      </c>
      <c r="B294" s="81"/>
      <c r="C294" s="81"/>
      <c r="D294" s="81"/>
      <c r="E294" s="83"/>
      <c r="F294" s="81"/>
      <c r="G294" s="83"/>
      <c r="H294" s="83"/>
      <c r="I294" s="84" t="str">
        <f aca="false">IF(E294="","",A294&amp;"_1.jpg")</f>
        <v/>
      </c>
      <c r="J294" s="84" t="str">
        <f aca="false">IF(E294="","",A294&amp;"_2.jpg; "&amp;A294&amp;"_3.jpg")</f>
        <v/>
      </c>
      <c r="K294" s="84" t="str">
        <f aca="false">IF(E294="","",A294&amp;"_schema.jpg")</f>
        <v/>
      </c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 t="s">
        <v>96</v>
      </c>
      <c r="W294" s="81"/>
      <c r="X294" s="81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6" t="str">
        <f aca="false">IF(SUM(Y294:AJ294)=0,"",SUM(Y294:AJ294))</f>
        <v/>
      </c>
      <c r="AL294" s="84" t="str">
        <f aca="false">MID(IF(N(Y294)&gt;0,", "&amp;Y$2,"")&amp;IF(N(Z294)&gt;0,", "&amp;Z$2,"")&amp;IF(N(AA294)&gt;0,", "&amp;AA$2,"")&amp;IF(N(AB294)&gt;0,", "&amp;AB$2,"")&amp;IF(N(AC294)&gt;0,", "&amp;AC$2,"")&amp;IF(N(AD294)&gt;0,", "&amp;AD$2,"")&amp;IF(N(AE294)&gt;0,", "&amp;AE$2,"")&amp;IF(N(AF294)&gt;0,", "&amp;AF$2,"")&amp;IF(N(AG294)&gt;0,", "&amp;AG$2,"")&amp;IF(N(AH294)&gt;0,", "&amp;AH$2,"")&amp;IF(N(AI294)&gt;0,", "&amp;AI$2,"")&amp;IF(N(AJ294)&gt;0,", "&amp;AJ$2,""),3,999)</f>
        <v/>
      </c>
      <c r="AM294" s="87" t="str">
        <f aca="false">IF(E294="","",MID(IF(N(Y294)&gt;0,", "&amp;A294&amp;"-"&amp;Y$2,"")&amp;IF(N(Z294)&gt;0,", "&amp;A294&amp;"-"&amp;Z$2,"")&amp;IF(N(AA294)&gt;0,", "&amp;A294&amp;"-"&amp;AA$2,"")&amp;IF(N(AB294)&gt;0,", "&amp;A294&amp;"-"&amp;AB$2,"")&amp;IF(N(AC294)&gt;0,", "&amp;A294&amp;"-"&amp;AC$2,"")&amp;IF(N(AD294)&gt;0,", "&amp;A294&amp;"-"&amp;AD$2,"")&amp;IF(N(AE294)&gt;0,", "&amp;A294&amp;"-"&amp;AE$2,"")&amp;IF(N(AF294)&gt;0,", "&amp;A294&amp;"-"&amp;AF$2,"")&amp;IF(N(AG294)&gt;0,", "&amp;A294&amp;"-"&amp;AG$2,"")&amp;IF(N(AH294)&gt;0,", "&amp;A294&amp;"-"&amp;AH$2,"")&amp;IF(N(AI294)&gt;0,", "&amp;A294&amp;"-"&amp;AI$2,"")&amp;IF(N(AJ294)&gt;0,", "&amp;A294&amp;"-"&amp;AJ$2,""),3,999))</f>
        <v/>
      </c>
      <c r="AN294" s="81"/>
      <c r="AO294" s="88"/>
      <c r="AP294" s="89" t="str">
        <f aca="false">IF(AO294="","",ROUND(AO294/(1+Справочники!$B$13),2))</f>
        <v/>
      </c>
      <c r="AQ294" s="90" t="str">
        <f aca="false" t="array" ref="AQ294:AQ294">IF(AP294="","",AP294*INDEX(Справочники!$B$4:$B$7,MATCH("RUB",Справочники!$A$4:$A$7,0)))</f>
        <v/>
      </c>
      <c r="AR294" s="90" t="str">
        <f aca="false">IF(AQ294="","",ROUND(AQ294*(1+Справочники!$B$12),0))</f>
        <v/>
      </c>
      <c r="AS294" s="90" t="str">
        <f aca="false">IF(AR294="","",ROUND(AR294*(1-Справочники!$B$11),0))</f>
        <v/>
      </c>
      <c r="AT294" s="88"/>
      <c r="AU294" s="90" t="str">
        <f aca="false">IF(AT294="","",ROUND(AT294/(1+Справочники!$B$12),0))</f>
        <v/>
      </c>
      <c r="AV294" s="90" t="str">
        <f aca="false">IF(AT294="","",ROUND(AT294*(1-Справочники!$B$15),0))</f>
        <v/>
      </c>
      <c r="AW294" s="90" t="str">
        <f aca="false">IF(AT294="","",ROUND(AT294*(1-Справочники!$B$16),0))</f>
        <v/>
      </c>
      <c r="AX294" s="90" t="str">
        <f aca="false">IF(AT294="","",ROUND(AT294*(1-Справочники!$B$17),0))</f>
        <v/>
      </c>
      <c r="AY294" s="90" t="str">
        <f aca="false">IF(AT294="","",ROUND(AT294*(1-Справочники!$B$18),0))</f>
        <v/>
      </c>
      <c r="AZ294" s="90" t="str">
        <f aca="false">IF(AT294="","",ROUND(AT294*(1-Справочники!$B$19),0))</f>
        <v/>
      </c>
      <c r="BA294" s="81"/>
      <c r="BB294" s="81"/>
      <c r="BC294" s="81"/>
      <c r="BD294" s="81"/>
      <c r="BE294" s="91"/>
      <c r="BF294" s="81" t="s">
        <v>103</v>
      </c>
      <c r="BG294" s="89" t="n">
        <f aca="false" t="array" ref="BG294:BG294">IF(BF294="","",IFERROR(INDEX(Справочники!$B$4:$B$7,MATCH(BF294,Справочники!$A$4:$A$7,0)),""))</f>
        <v>68.5</v>
      </c>
      <c r="BH294" s="90" t="str">
        <f aca="false">IF(N(BN294)&gt;0,ROUND(SUMIF(ЗАКАЗЫ!$F$3:$F$500,$A294,ЗАКАЗЫ!$Y$3:$Y$500)/BN294,0),IF(OR(BE294="",BG294=""),"",ROUND(BE294*BG294*(1+Справочники!$B$10),0)))</f>
        <v/>
      </c>
      <c r="BI294" s="92" t="str">
        <f aca="false">IF(OR(AU294="",BH294="",AU294=0),"",(AU294-BH294)/AU294)</f>
        <v/>
      </c>
      <c r="BJ294" s="81"/>
      <c r="BK294" s="83"/>
      <c r="BL294" s="43" t="str">
        <f aca="false">IFERROR(INDEX(ЗАКАЗЫ!$N$3:$N$500,MATCH($A294,ЗАКАЗЫ!$F$3:$F$500,0)),"")</f>
        <v/>
      </c>
      <c r="BM294" s="8" t="str">
        <f aca="false">IF(BL294="","",IFERROR(VLOOKUP(BL294,'ТН ВЭД'!$A$4:$C$40,3,0),""))</f>
        <v/>
      </c>
      <c r="BN294" s="7" t="str">
        <f aca="false">IF(COUNTIF(ЗАКАЗЫ!$F$3:$F$500,$A294)=0,"",SUMIF(ЗАКАЗЫ!$F$3:$F$500,$A294,ЗАКАЗЫ!$J$3:$J$500))</f>
        <v/>
      </c>
      <c r="BO294" s="7" t="str">
        <f aca="false">IF(BN294="","",SUMIF(ЗАКАЗЫ!$F$3:$F$500,$A294,ЗАКАЗЫ!$AL$3:$AL$500))</f>
        <v/>
      </c>
      <c r="BP294" s="7" t="str">
        <f aca="false">IF(BN294="","",BN294-BO294)</f>
        <v/>
      </c>
      <c r="BQ294" s="55" t="str">
        <f aca="false">IF(BN294="","",IF(BO294&gt;=BN294,"На складе",IF(BO294&gt;0,"Частично","Ждём")))</f>
        <v/>
      </c>
      <c r="BR294" s="43"/>
      <c r="BS294" s="47" t="str">
        <f aca="false">IF(BN294="","",IF(_xlfn.MAXIFS(ЗАКАЗЫ!$AK$3:$AK$500,ЗАКАЗЫ!$F$3:$F$500,$A294)=0,"",_xlfn.MAXIFS(ЗАКАЗЫ!$AK$3:$AK$500,ЗАКАЗЫ!$F$3:$F$500,$A294)))</f>
        <v/>
      </c>
    </row>
    <row r="295" customFormat="false" ht="15.75" hidden="false" customHeight="true" outlineLevel="0" collapsed="false">
      <c r="A295" s="80" t="s">
        <v>1496</v>
      </c>
      <c r="B295" s="81"/>
      <c r="C295" s="81"/>
      <c r="D295" s="81"/>
      <c r="E295" s="83"/>
      <c r="F295" s="81"/>
      <c r="G295" s="83"/>
      <c r="H295" s="83"/>
      <c r="I295" s="84" t="str">
        <f aca="false">IF(E295="","",A295&amp;"_1.jpg")</f>
        <v/>
      </c>
      <c r="J295" s="84" t="str">
        <f aca="false">IF(E295="","",A295&amp;"_2.jpg; "&amp;A295&amp;"_3.jpg")</f>
        <v/>
      </c>
      <c r="K295" s="84" t="str">
        <f aca="false">IF(E295="","",A295&amp;"_schema.jpg")</f>
        <v/>
      </c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 t="s">
        <v>96</v>
      </c>
      <c r="W295" s="81"/>
      <c r="X295" s="81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6" t="str">
        <f aca="false">IF(SUM(Y295:AJ295)=0,"",SUM(Y295:AJ295))</f>
        <v/>
      </c>
      <c r="AL295" s="84" t="str">
        <f aca="false">MID(IF(N(Y295)&gt;0,", "&amp;Y$2,"")&amp;IF(N(Z295)&gt;0,", "&amp;Z$2,"")&amp;IF(N(AA295)&gt;0,", "&amp;AA$2,"")&amp;IF(N(AB295)&gt;0,", "&amp;AB$2,"")&amp;IF(N(AC295)&gt;0,", "&amp;AC$2,"")&amp;IF(N(AD295)&gt;0,", "&amp;AD$2,"")&amp;IF(N(AE295)&gt;0,", "&amp;AE$2,"")&amp;IF(N(AF295)&gt;0,", "&amp;AF$2,"")&amp;IF(N(AG295)&gt;0,", "&amp;AG$2,"")&amp;IF(N(AH295)&gt;0,", "&amp;AH$2,"")&amp;IF(N(AI295)&gt;0,", "&amp;AI$2,"")&amp;IF(N(AJ295)&gt;0,", "&amp;AJ$2,""),3,999)</f>
        <v/>
      </c>
      <c r="AM295" s="87" t="str">
        <f aca="false">IF(E295="","",MID(IF(N(Y295)&gt;0,", "&amp;A295&amp;"-"&amp;Y$2,"")&amp;IF(N(Z295)&gt;0,", "&amp;A295&amp;"-"&amp;Z$2,"")&amp;IF(N(AA295)&gt;0,", "&amp;A295&amp;"-"&amp;AA$2,"")&amp;IF(N(AB295)&gt;0,", "&amp;A295&amp;"-"&amp;AB$2,"")&amp;IF(N(AC295)&gt;0,", "&amp;A295&amp;"-"&amp;AC$2,"")&amp;IF(N(AD295)&gt;0,", "&amp;A295&amp;"-"&amp;AD$2,"")&amp;IF(N(AE295)&gt;0,", "&amp;A295&amp;"-"&amp;AE$2,"")&amp;IF(N(AF295)&gt;0,", "&amp;A295&amp;"-"&amp;AF$2,"")&amp;IF(N(AG295)&gt;0,", "&amp;A295&amp;"-"&amp;AG$2,"")&amp;IF(N(AH295)&gt;0,", "&amp;A295&amp;"-"&amp;AH$2,"")&amp;IF(N(AI295)&gt;0,", "&amp;A295&amp;"-"&amp;AI$2,"")&amp;IF(N(AJ295)&gt;0,", "&amp;A295&amp;"-"&amp;AJ$2,""),3,999))</f>
        <v/>
      </c>
      <c r="AN295" s="81"/>
      <c r="AO295" s="88"/>
      <c r="AP295" s="89" t="str">
        <f aca="false">IF(AO295="","",ROUND(AO295/(1+Справочники!$B$13),2))</f>
        <v/>
      </c>
      <c r="AQ295" s="90" t="str">
        <f aca="false" t="array" ref="AQ295:AQ295">IF(AP295="","",AP295*INDEX(Справочники!$B$4:$B$7,MATCH("RUB",Справочники!$A$4:$A$7,0)))</f>
        <v/>
      </c>
      <c r="AR295" s="90" t="str">
        <f aca="false">IF(AQ295="","",ROUND(AQ295*(1+Справочники!$B$12),0))</f>
        <v/>
      </c>
      <c r="AS295" s="90" t="str">
        <f aca="false">IF(AR295="","",ROUND(AR295*(1-Справочники!$B$11),0))</f>
        <v/>
      </c>
      <c r="AT295" s="88"/>
      <c r="AU295" s="90" t="str">
        <f aca="false">IF(AT295="","",ROUND(AT295/(1+Справочники!$B$12),0))</f>
        <v/>
      </c>
      <c r="AV295" s="90" t="str">
        <f aca="false">IF(AT295="","",ROUND(AT295*(1-Справочники!$B$15),0))</f>
        <v/>
      </c>
      <c r="AW295" s="90" t="str">
        <f aca="false">IF(AT295="","",ROUND(AT295*(1-Справочники!$B$16),0))</f>
        <v/>
      </c>
      <c r="AX295" s="90" t="str">
        <f aca="false">IF(AT295="","",ROUND(AT295*(1-Справочники!$B$17),0))</f>
        <v/>
      </c>
      <c r="AY295" s="90" t="str">
        <f aca="false">IF(AT295="","",ROUND(AT295*(1-Справочники!$B$18),0))</f>
        <v/>
      </c>
      <c r="AZ295" s="90" t="str">
        <f aca="false">IF(AT295="","",ROUND(AT295*(1-Справочники!$B$19),0))</f>
        <v/>
      </c>
      <c r="BA295" s="81"/>
      <c r="BB295" s="81"/>
      <c r="BC295" s="81"/>
      <c r="BD295" s="81"/>
      <c r="BE295" s="91"/>
      <c r="BF295" s="81" t="s">
        <v>103</v>
      </c>
      <c r="BG295" s="89" t="n">
        <f aca="false" t="array" ref="BG295:BG295">IF(BF295="","",IFERROR(INDEX(Справочники!$B$4:$B$7,MATCH(BF295,Справочники!$A$4:$A$7,0)),""))</f>
        <v>68.5</v>
      </c>
      <c r="BH295" s="90" t="str">
        <f aca="false">IF(N(BN295)&gt;0,ROUND(SUMIF(ЗАКАЗЫ!$F$3:$F$500,$A295,ЗАКАЗЫ!$Y$3:$Y$500)/BN295,0),IF(OR(BE295="",BG295=""),"",ROUND(BE295*BG295*(1+Справочники!$B$10),0)))</f>
        <v/>
      </c>
      <c r="BI295" s="92" t="str">
        <f aca="false">IF(OR(AU295="",BH295="",AU295=0),"",(AU295-BH295)/AU295)</f>
        <v/>
      </c>
      <c r="BJ295" s="81"/>
      <c r="BK295" s="83"/>
      <c r="BL295" s="43" t="str">
        <f aca="false">IFERROR(INDEX(ЗАКАЗЫ!$N$3:$N$500,MATCH($A295,ЗАКАЗЫ!$F$3:$F$500,0)),"")</f>
        <v/>
      </c>
      <c r="BM295" s="8" t="str">
        <f aca="false">IF(BL295="","",IFERROR(VLOOKUP(BL295,'ТН ВЭД'!$A$4:$C$40,3,0),""))</f>
        <v/>
      </c>
      <c r="BN295" s="7" t="str">
        <f aca="false">IF(COUNTIF(ЗАКАЗЫ!$F$3:$F$500,$A295)=0,"",SUMIF(ЗАКАЗЫ!$F$3:$F$500,$A295,ЗАКАЗЫ!$J$3:$J$500))</f>
        <v/>
      </c>
      <c r="BO295" s="7" t="str">
        <f aca="false">IF(BN295="","",SUMIF(ЗАКАЗЫ!$F$3:$F$500,$A295,ЗАКАЗЫ!$AL$3:$AL$500))</f>
        <v/>
      </c>
      <c r="BP295" s="7" t="str">
        <f aca="false">IF(BN295="","",BN295-BO295)</f>
        <v/>
      </c>
      <c r="BQ295" s="55" t="str">
        <f aca="false">IF(BN295="","",IF(BO295&gt;=BN295,"На складе",IF(BO295&gt;0,"Частично","Ждём")))</f>
        <v/>
      </c>
      <c r="BR295" s="43"/>
      <c r="BS295" s="47" t="str">
        <f aca="false">IF(BN295="","",IF(_xlfn.MAXIFS(ЗАКАЗЫ!$AK$3:$AK$500,ЗАКАЗЫ!$F$3:$F$500,$A295)=0,"",_xlfn.MAXIFS(ЗАКАЗЫ!$AK$3:$AK$500,ЗАКАЗЫ!$F$3:$F$500,$A295)))</f>
        <v/>
      </c>
    </row>
    <row r="296" customFormat="false" ht="15.75" hidden="false" customHeight="true" outlineLevel="0" collapsed="false">
      <c r="A296" s="80" t="s">
        <v>1497</v>
      </c>
      <c r="B296" s="81"/>
      <c r="C296" s="81"/>
      <c r="D296" s="81"/>
      <c r="E296" s="83"/>
      <c r="F296" s="81"/>
      <c r="G296" s="83"/>
      <c r="H296" s="83"/>
      <c r="I296" s="84" t="str">
        <f aca="false">IF(E296="","",A296&amp;"_1.jpg")</f>
        <v/>
      </c>
      <c r="J296" s="84" t="str">
        <f aca="false">IF(E296="","",A296&amp;"_2.jpg; "&amp;A296&amp;"_3.jpg")</f>
        <v/>
      </c>
      <c r="K296" s="84" t="str">
        <f aca="false">IF(E296="","",A296&amp;"_schema.jpg")</f>
        <v/>
      </c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 t="s">
        <v>96</v>
      </c>
      <c r="W296" s="81"/>
      <c r="X296" s="81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6" t="str">
        <f aca="false">IF(SUM(Y296:AJ296)=0,"",SUM(Y296:AJ296))</f>
        <v/>
      </c>
      <c r="AL296" s="84" t="str">
        <f aca="false">MID(IF(N(Y296)&gt;0,", "&amp;Y$2,"")&amp;IF(N(Z296)&gt;0,", "&amp;Z$2,"")&amp;IF(N(AA296)&gt;0,", "&amp;AA$2,"")&amp;IF(N(AB296)&gt;0,", "&amp;AB$2,"")&amp;IF(N(AC296)&gt;0,", "&amp;AC$2,"")&amp;IF(N(AD296)&gt;0,", "&amp;AD$2,"")&amp;IF(N(AE296)&gt;0,", "&amp;AE$2,"")&amp;IF(N(AF296)&gt;0,", "&amp;AF$2,"")&amp;IF(N(AG296)&gt;0,", "&amp;AG$2,"")&amp;IF(N(AH296)&gt;0,", "&amp;AH$2,"")&amp;IF(N(AI296)&gt;0,", "&amp;AI$2,"")&amp;IF(N(AJ296)&gt;0,", "&amp;AJ$2,""),3,999)</f>
        <v/>
      </c>
      <c r="AM296" s="87" t="str">
        <f aca="false">IF(E296="","",MID(IF(N(Y296)&gt;0,", "&amp;A296&amp;"-"&amp;Y$2,"")&amp;IF(N(Z296)&gt;0,", "&amp;A296&amp;"-"&amp;Z$2,"")&amp;IF(N(AA296)&gt;0,", "&amp;A296&amp;"-"&amp;AA$2,"")&amp;IF(N(AB296)&gt;0,", "&amp;A296&amp;"-"&amp;AB$2,"")&amp;IF(N(AC296)&gt;0,", "&amp;A296&amp;"-"&amp;AC$2,"")&amp;IF(N(AD296)&gt;0,", "&amp;A296&amp;"-"&amp;AD$2,"")&amp;IF(N(AE296)&gt;0,", "&amp;A296&amp;"-"&amp;AE$2,"")&amp;IF(N(AF296)&gt;0,", "&amp;A296&amp;"-"&amp;AF$2,"")&amp;IF(N(AG296)&gt;0,", "&amp;A296&amp;"-"&amp;AG$2,"")&amp;IF(N(AH296)&gt;0,", "&amp;A296&amp;"-"&amp;AH$2,"")&amp;IF(N(AI296)&gt;0,", "&amp;A296&amp;"-"&amp;AI$2,"")&amp;IF(N(AJ296)&gt;0,", "&amp;A296&amp;"-"&amp;AJ$2,""),3,999))</f>
        <v/>
      </c>
      <c r="AN296" s="81"/>
      <c r="AO296" s="88"/>
      <c r="AP296" s="89" t="str">
        <f aca="false">IF(AO296="","",ROUND(AO296/(1+Справочники!$B$13),2))</f>
        <v/>
      </c>
      <c r="AQ296" s="90" t="str">
        <f aca="false" t="array" ref="AQ296:AQ296">IF(AP296="","",AP296*INDEX(Справочники!$B$4:$B$7,MATCH("RUB",Справочники!$A$4:$A$7,0)))</f>
        <v/>
      </c>
      <c r="AR296" s="90" t="str">
        <f aca="false">IF(AQ296="","",ROUND(AQ296*(1+Справочники!$B$12),0))</f>
        <v/>
      </c>
      <c r="AS296" s="90" t="str">
        <f aca="false">IF(AR296="","",ROUND(AR296*(1-Справочники!$B$11),0))</f>
        <v/>
      </c>
      <c r="AT296" s="88"/>
      <c r="AU296" s="90" t="str">
        <f aca="false">IF(AT296="","",ROUND(AT296/(1+Справочники!$B$12),0))</f>
        <v/>
      </c>
      <c r="AV296" s="90" t="str">
        <f aca="false">IF(AT296="","",ROUND(AT296*(1-Справочники!$B$15),0))</f>
        <v/>
      </c>
      <c r="AW296" s="90" t="str">
        <f aca="false">IF(AT296="","",ROUND(AT296*(1-Справочники!$B$16),0))</f>
        <v/>
      </c>
      <c r="AX296" s="90" t="str">
        <f aca="false">IF(AT296="","",ROUND(AT296*(1-Справочники!$B$17),0))</f>
        <v/>
      </c>
      <c r="AY296" s="90" t="str">
        <f aca="false">IF(AT296="","",ROUND(AT296*(1-Справочники!$B$18),0))</f>
        <v/>
      </c>
      <c r="AZ296" s="90" t="str">
        <f aca="false">IF(AT296="","",ROUND(AT296*(1-Справочники!$B$19),0))</f>
        <v/>
      </c>
      <c r="BA296" s="81"/>
      <c r="BB296" s="81"/>
      <c r="BC296" s="81"/>
      <c r="BD296" s="81"/>
      <c r="BE296" s="91"/>
      <c r="BF296" s="81" t="s">
        <v>103</v>
      </c>
      <c r="BG296" s="89" t="n">
        <f aca="false" t="array" ref="BG296:BG296">IF(BF296="","",IFERROR(INDEX(Справочники!$B$4:$B$7,MATCH(BF296,Справочники!$A$4:$A$7,0)),""))</f>
        <v>68.5</v>
      </c>
      <c r="BH296" s="90" t="str">
        <f aca="false">IF(N(BN296)&gt;0,ROUND(SUMIF(ЗАКАЗЫ!$F$3:$F$500,$A296,ЗАКАЗЫ!$Y$3:$Y$500)/BN296,0),IF(OR(BE296="",BG296=""),"",ROUND(BE296*BG296*(1+Справочники!$B$10),0)))</f>
        <v/>
      </c>
      <c r="BI296" s="92" t="str">
        <f aca="false">IF(OR(AU296="",BH296="",AU296=0),"",(AU296-BH296)/AU296)</f>
        <v/>
      </c>
      <c r="BJ296" s="81"/>
      <c r="BK296" s="83"/>
      <c r="BL296" s="43" t="str">
        <f aca="false">IFERROR(INDEX(ЗАКАЗЫ!$N$3:$N$500,MATCH($A296,ЗАКАЗЫ!$F$3:$F$500,0)),"")</f>
        <v/>
      </c>
      <c r="BM296" s="8" t="str">
        <f aca="false">IF(BL296="","",IFERROR(VLOOKUP(BL296,'ТН ВЭД'!$A$4:$C$40,3,0),""))</f>
        <v/>
      </c>
      <c r="BN296" s="7" t="str">
        <f aca="false">IF(COUNTIF(ЗАКАЗЫ!$F$3:$F$500,$A296)=0,"",SUMIF(ЗАКАЗЫ!$F$3:$F$500,$A296,ЗАКАЗЫ!$J$3:$J$500))</f>
        <v/>
      </c>
      <c r="BO296" s="7" t="str">
        <f aca="false">IF(BN296="","",SUMIF(ЗАКАЗЫ!$F$3:$F$500,$A296,ЗАКАЗЫ!$AL$3:$AL$500))</f>
        <v/>
      </c>
      <c r="BP296" s="7" t="str">
        <f aca="false">IF(BN296="","",BN296-BO296)</f>
        <v/>
      </c>
      <c r="BQ296" s="55" t="str">
        <f aca="false">IF(BN296="","",IF(BO296&gt;=BN296,"На складе",IF(BO296&gt;0,"Частично","Ждём")))</f>
        <v/>
      </c>
      <c r="BR296" s="43"/>
      <c r="BS296" s="47" t="str">
        <f aca="false">IF(BN296="","",IF(_xlfn.MAXIFS(ЗАКАЗЫ!$AK$3:$AK$500,ЗАКАЗЫ!$F$3:$F$500,$A296)=0,"",_xlfn.MAXIFS(ЗАКАЗЫ!$AK$3:$AK$500,ЗАКАЗЫ!$F$3:$F$500,$A296)))</f>
        <v/>
      </c>
    </row>
    <row r="297" customFormat="false" ht="15.75" hidden="false" customHeight="true" outlineLevel="0" collapsed="false">
      <c r="A297" s="80" t="s">
        <v>1498</v>
      </c>
      <c r="B297" s="81"/>
      <c r="C297" s="81"/>
      <c r="D297" s="81"/>
      <c r="E297" s="83"/>
      <c r="F297" s="81"/>
      <c r="G297" s="83"/>
      <c r="H297" s="83"/>
      <c r="I297" s="84" t="str">
        <f aca="false">IF(E297="","",A297&amp;"_1.jpg")</f>
        <v/>
      </c>
      <c r="J297" s="84" t="str">
        <f aca="false">IF(E297="","",A297&amp;"_2.jpg; "&amp;A297&amp;"_3.jpg")</f>
        <v/>
      </c>
      <c r="K297" s="84" t="str">
        <f aca="false">IF(E297="","",A297&amp;"_schema.jpg")</f>
        <v/>
      </c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 t="s">
        <v>96</v>
      </c>
      <c r="W297" s="81"/>
      <c r="X297" s="81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6" t="str">
        <f aca="false">IF(SUM(Y297:AJ297)=0,"",SUM(Y297:AJ297))</f>
        <v/>
      </c>
      <c r="AL297" s="84" t="str">
        <f aca="false">MID(IF(N(Y297)&gt;0,", "&amp;Y$2,"")&amp;IF(N(Z297)&gt;0,", "&amp;Z$2,"")&amp;IF(N(AA297)&gt;0,", "&amp;AA$2,"")&amp;IF(N(AB297)&gt;0,", "&amp;AB$2,"")&amp;IF(N(AC297)&gt;0,", "&amp;AC$2,"")&amp;IF(N(AD297)&gt;0,", "&amp;AD$2,"")&amp;IF(N(AE297)&gt;0,", "&amp;AE$2,"")&amp;IF(N(AF297)&gt;0,", "&amp;AF$2,"")&amp;IF(N(AG297)&gt;0,", "&amp;AG$2,"")&amp;IF(N(AH297)&gt;0,", "&amp;AH$2,"")&amp;IF(N(AI297)&gt;0,", "&amp;AI$2,"")&amp;IF(N(AJ297)&gt;0,", "&amp;AJ$2,""),3,999)</f>
        <v/>
      </c>
      <c r="AM297" s="87" t="str">
        <f aca="false">IF(E297="","",MID(IF(N(Y297)&gt;0,", "&amp;A297&amp;"-"&amp;Y$2,"")&amp;IF(N(Z297)&gt;0,", "&amp;A297&amp;"-"&amp;Z$2,"")&amp;IF(N(AA297)&gt;0,", "&amp;A297&amp;"-"&amp;AA$2,"")&amp;IF(N(AB297)&gt;0,", "&amp;A297&amp;"-"&amp;AB$2,"")&amp;IF(N(AC297)&gt;0,", "&amp;A297&amp;"-"&amp;AC$2,"")&amp;IF(N(AD297)&gt;0,", "&amp;A297&amp;"-"&amp;AD$2,"")&amp;IF(N(AE297)&gt;0,", "&amp;A297&amp;"-"&amp;AE$2,"")&amp;IF(N(AF297)&gt;0,", "&amp;A297&amp;"-"&amp;AF$2,"")&amp;IF(N(AG297)&gt;0,", "&amp;A297&amp;"-"&amp;AG$2,"")&amp;IF(N(AH297)&gt;0,", "&amp;A297&amp;"-"&amp;AH$2,"")&amp;IF(N(AI297)&gt;0,", "&amp;A297&amp;"-"&amp;AI$2,"")&amp;IF(N(AJ297)&gt;0,", "&amp;A297&amp;"-"&amp;AJ$2,""),3,999))</f>
        <v/>
      </c>
      <c r="AN297" s="81"/>
      <c r="AO297" s="88"/>
      <c r="AP297" s="89" t="str">
        <f aca="false">IF(AO297="","",ROUND(AO297/(1+Справочники!$B$13),2))</f>
        <v/>
      </c>
      <c r="AQ297" s="90" t="str">
        <f aca="false" t="array" ref="AQ297:AQ297">IF(AP297="","",AP297*INDEX(Справочники!$B$4:$B$7,MATCH("RUB",Справочники!$A$4:$A$7,0)))</f>
        <v/>
      </c>
      <c r="AR297" s="90" t="str">
        <f aca="false">IF(AQ297="","",ROUND(AQ297*(1+Справочники!$B$12),0))</f>
        <v/>
      </c>
      <c r="AS297" s="90" t="str">
        <f aca="false">IF(AR297="","",ROUND(AR297*(1-Справочники!$B$11),0))</f>
        <v/>
      </c>
      <c r="AT297" s="88"/>
      <c r="AU297" s="90" t="str">
        <f aca="false">IF(AT297="","",ROUND(AT297/(1+Справочники!$B$12),0))</f>
        <v/>
      </c>
      <c r="AV297" s="90" t="str">
        <f aca="false">IF(AT297="","",ROUND(AT297*(1-Справочники!$B$15),0))</f>
        <v/>
      </c>
      <c r="AW297" s="90" t="str">
        <f aca="false">IF(AT297="","",ROUND(AT297*(1-Справочники!$B$16),0))</f>
        <v/>
      </c>
      <c r="AX297" s="90" t="str">
        <f aca="false">IF(AT297="","",ROUND(AT297*(1-Справочники!$B$17),0))</f>
        <v/>
      </c>
      <c r="AY297" s="90" t="str">
        <f aca="false">IF(AT297="","",ROUND(AT297*(1-Справочники!$B$18),0))</f>
        <v/>
      </c>
      <c r="AZ297" s="90" t="str">
        <f aca="false">IF(AT297="","",ROUND(AT297*(1-Справочники!$B$19),0))</f>
        <v/>
      </c>
      <c r="BA297" s="81"/>
      <c r="BB297" s="81"/>
      <c r="BC297" s="81"/>
      <c r="BD297" s="81"/>
      <c r="BE297" s="91"/>
      <c r="BF297" s="81" t="s">
        <v>103</v>
      </c>
      <c r="BG297" s="89" t="n">
        <f aca="false" t="array" ref="BG297:BG297">IF(BF297="","",IFERROR(INDEX(Справочники!$B$4:$B$7,MATCH(BF297,Справочники!$A$4:$A$7,0)),""))</f>
        <v>68.5</v>
      </c>
      <c r="BH297" s="90" t="str">
        <f aca="false">IF(N(BN297)&gt;0,ROUND(SUMIF(ЗАКАЗЫ!$F$3:$F$500,$A297,ЗАКАЗЫ!$Y$3:$Y$500)/BN297,0),IF(OR(BE297="",BG297=""),"",ROUND(BE297*BG297*(1+Справочники!$B$10),0)))</f>
        <v/>
      </c>
      <c r="BI297" s="92" t="str">
        <f aca="false">IF(OR(AU297="",BH297="",AU297=0),"",(AU297-BH297)/AU297)</f>
        <v/>
      </c>
      <c r="BJ297" s="81"/>
      <c r="BK297" s="83"/>
      <c r="BL297" s="43" t="str">
        <f aca="false">IFERROR(INDEX(ЗАКАЗЫ!$N$3:$N$500,MATCH($A297,ЗАКАЗЫ!$F$3:$F$500,0)),"")</f>
        <v/>
      </c>
      <c r="BM297" s="8" t="str">
        <f aca="false">IF(BL297="","",IFERROR(VLOOKUP(BL297,'ТН ВЭД'!$A$4:$C$40,3,0),""))</f>
        <v/>
      </c>
      <c r="BN297" s="7" t="str">
        <f aca="false">IF(COUNTIF(ЗАКАЗЫ!$F$3:$F$500,$A297)=0,"",SUMIF(ЗАКАЗЫ!$F$3:$F$500,$A297,ЗАКАЗЫ!$J$3:$J$500))</f>
        <v/>
      </c>
      <c r="BO297" s="7" t="str">
        <f aca="false">IF(BN297="","",SUMIF(ЗАКАЗЫ!$F$3:$F$500,$A297,ЗАКАЗЫ!$AL$3:$AL$500))</f>
        <v/>
      </c>
      <c r="BP297" s="7" t="str">
        <f aca="false">IF(BN297="","",BN297-BO297)</f>
        <v/>
      </c>
      <c r="BQ297" s="55" t="str">
        <f aca="false">IF(BN297="","",IF(BO297&gt;=BN297,"На складе",IF(BO297&gt;0,"Частично","Ждём")))</f>
        <v/>
      </c>
      <c r="BR297" s="43"/>
      <c r="BS297" s="47" t="str">
        <f aca="false">IF(BN297="","",IF(_xlfn.MAXIFS(ЗАКАЗЫ!$AK$3:$AK$500,ЗАКАЗЫ!$F$3:$F$500,$A297)=0,"",_xlfn.MAXIFS(ЗАКАЗЫ!$AK$3:$AK$500,ЗАКАЗЫ!$F$3:$F$500,$A297)))</f>
        <v/>
      </c>
    </row>
    <row r="298" customFormat="false" ht="15.75" hidden="false" customHeight="true" outlineLevel="0" collapsed="false">
      <c r="A298" s="80" t="s">
        <v>1499</v>
      </c>
      <c r="B298" s="81"/>
      <c r="C298" s="81"/>
      <c r="D298" s="81"/>
      <c r="E298" s="83"/>
      <c r="F298" s="81"/>
      <c r="G298" s="83"/>
      <c r="H298" s="83"/>
      <c r="I298" s="84" t="str">
        <f aca="false">IF(E298="","",A298&amp;"_1.jpg")</f>
        <v/>
      </c>
      <c r="J298" s="84" t="str">
        <f aca="false">IF(E298="","",A298&amp;"_2.jpg; "&amp;A298&amp;"_3.jpg")</f>
        <v/>
      </c>
      <c r="K298" s="84" t="str">
        <f aca="false">IF(E298="","",A298&amp;"_schema.jpg")</f>
        <v/>
      </c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 t="s">
        <v>96</v>
      </c>
      <c r="W298" s="81"/>
      <c r="X298" s="81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6" t="str">
        <f aca="false">IF(SUM(Y298:AJ298)=0,"",SUM(Y298:AJ298))</f>
        <v/>
      </c>
      <c r="AL298" s="84" t="str">
        <f aca="false">MID(IF(N(Y298)&gt;0,", "&amp;Y$2,"")&amp;IF(N(Z298)&gt;0,", "&amp;Z$2,"")&amp;IF(N(AA298)&gt;0,", "&amp;AA$2,"")&amp;IF(N(AB298)&gt;0,", "&amp;AB$2,"")&amp;IF(N(AC298)&gt;0,", "&amp;AC$2,"")&amp;IF(N(AD298)&gt;0,", "&amp;AD$2,"")&amp;IF(N(AE298)&gt;0,", "&amp;AE$2,"")&amp;IF(N(AF298)&gt;0,", "&amp;AF$2,"")&amp;IF(N(AG298)&gt;0,", "&amp;AG$2,"")&amp;IF(N(AH298)&gt;0,", "&amp;AH$2,"")&amp;IF(N(AI298)&gt;0,", "&amp;AI$2,"")&amp;IF(N(AJ298)&gt;0,", "&amp;AJ$2,""),3,999)</f>
        <v/>
      </c>
      <c r="AM298" s="87" t="str">
        <f aca="false">IF(E298="","",MID(IF(N(Y298)&gt;0,", "&amp;A298&amp;"-"&amp;Y$2,"")&amp;IF(N(Z298)&gt;0,", "&amp;A298&amp;"-"&amp;Z$2,"")&amp;IF(N(AA298)&gt;0,", "&amp;A298&amp;"-"&amp;AA$2,"")&amp;IF(N(AB298)&gt;0,", "&amp;A298&amp;"-"&amp;AB$2,"")&amp;IF(N(AC298)&gt;0,", "&amp;A298&amp;"-"&amp;AC$2,"")&amp;IF(N(AD298)&gt;0,", "&amp;A298&amp;"-"&amp;AD$2,"")&amp;IF(N(AE298)&gt;0,", "&amp;A298&amp;"-"&amp;AE$2,"")&amp;IF(N(AF298)&gt;0,", "&amp;A298&amp;"-"&amp;AF$2,"")&amp;IF(N(AG298)&gt;0,", "&amp;A298&amp;"-"&amp;AG$2,"")&amp;IF(N(AH298)&gt;0,", "&amp;A298&amp;"-"&amp;AH$2,"")&amp;IF(N(AI298)&gt;0,", "&amp;A298&amp;"-"&amp;AI$2,"")&amp;IF(N(AJ298)&gt;0,", "&amp;A298&amp;"-"&amp;AJ$2,""),3,999))</f>
        <v/>
      </c>
      <c r="AN298" s="81"/>
      <c r="AO298" s="88"/>
      <c r="AP298" s="89" t="str">
        <f aca="false">IF(AO298="","",ROUND(AO298/(1+Справочники!$B$13),2))</f>
        <v/>
      </c>
      <c r="AQ298" s="90" t="str">
        <f aca="false" t="array" ref="AQ298:AQ298">IF(AP298="","",AP298*INDEX(Справочники!$B$4:$B$7,MATCH("RUB",Справочники!$A$4:$A$7,0)))</f>
        <v/>
      </c>
      <c r="AR298" s="90" t="str">
        <f aca="false">IF(AQ298="","",ROUND(AQ298*(1+Справочники!$B$12),0))</f>
        <v/>
      </c>
      <c r="AS298" s="90" t="str">
        <f aca="false">IF(AR298="","",ROUND(AR298*(1-Справочники!$B$11),0))</f>
        <v/>
      </c>
      <c r="AT298" s="88"/>
      <c r="AU298" s="90" t="str">
        <f aca="false">IF(AT298="","",ROUND(AT298/(1+Справочники!$B$12),0))</f>
        <v/>
      </c>
      <c r="AV298" s="90" t="str">
        <f aca="false">IF(AT298="","",ROUND(AT298*(1-Справочники!$B$15),0))</f>
        <v/>
      </c>
      <c r="AW298" s="90" t="str">
        <f aca="false">IF(AT298="","",ROUND(AT298*(1-Справочники!$B$16),0))</f>
        <v/>
      </c>
      <c r="AX298" s="90" t="str">
        <f aca="false">IF(AT298="","",ROUND(AT298*(1-Справочники!$B$17),0))</f>
        <v/>
      </c>
      <c r="AY298" s="90" t="str">
        <f aca="false">IF(AT298="","",ROUND(AT298*(1-Справочники!$B$18),0))</f>
        <v/>
      </c>
      <c r="AZ298" s="90" t="str">
        <f aca="false">IF(AT298="","",ROUND(AT298*(1-Справочники!$B$19),0))</f>
        <v/>
      </c>
      <c r="BA298" s="81"/>
      <c r="BB298" s="81"/>
      <c r="BC298" s="81"/>
      <c r="BD298" s="81"/>
      <c r="BE298" s="91"/>
      <c r="BF298" s="81" t="s">
        <v>103</v>
      </c>
      <c r="BG298" s="89" t="n">
        <f aca="false" t="array" ref="BG298:BG298">IF(BF298="","",IFERROR(INDEX(Справочники!$B$4:$B$7,MATCH(BF298,Справочники!$A$4:$A$7,0)),""))</f>
        <v>68.5</v>
      </c>
      <c r="BH298" s="90" t="str">
        <f aca="false">IF(N(BN298)&gt;0,ROUND(SUMIF(ЗАКАЗЫ!$F$3:$F$500,$A298,ЗАКАЗЫ!$Y$3:$Y$500)/BN298,0),IF(OR(BE298="",BG298=""),"",ROUND(BE298*BG298*(1+Справочники!$B$10),0)))</f>
        <v/>
      </c>
      <c r="BI298" s="92" t="str">
        <f aca="false">IF(OR(AU298="",BH298="",AU298=0),"",(AU298-BH298)/AU298)</f>
        <v/>
      </c>
      <c r="BJ298" s="81"/>
      <c r="BK298" s="83"/>
      <c r="BL298" s="43" t="str">
        <f aca="false">IFERROR(INDEX(ЗАКАЗЫ!$N$3:$N$500,MATCH($A298,ЗАКАЗЫ!$F$3:$F$500,0)),"")</f>
        <v/>
      </c>
      <c r="BM298" s="8" t="str">
        <f aca="false">IF(BL298="","",IFERROR(VLOOKUP(BL298,'ТН ВЭД'!$A$4:$C$40,3,0),""))</f>
        <v/>
      </c>
      <c r="BN298" s="7" t="str">
        <f aca="false">IF(COUNTIF(ЗАКАЗЫ!$F$3:$F$500,$A298)=0,"",SUMIF(ЗАКАЗЫ!$F$3:$F$500,$A298,ЗАКАЗЫ!$J$3:$J$500))</f>
        <v/>
      </c>
      <c r="BO298" s="7" t="str">
        <f aca="false">IF(BN298="","",SUMIF(ЗАКАЗЫ!$F$3:$F$500,$A298,ЗАКАЗЫ!$AL$3:$AL$500))</f>
        <v/>
      </c>
      <c r="BP298" s="7" t="str">
        <f aca="false">IF(BN298="","",BN298-BO298)</f>
        <v/>
      </c>
      <c r="BQ298" s="55" t="str">
        <f aca="false">IF(BN298="","",IF(BO298&gt;=BN298,"На складе",IF(BO298&gt;0,"Частично","Ждём")))</f>
        <v/>
      </c>
      <c r="BR298" s="43"/>
      <c r="BS298" s="47" t="str">
        <f aca="false">IF(BN298="","",IF(_xlfn.MAXIFS(ЗАКАЗЫ!$AK$3:$AK$500,ЗАКАЗЫ!$F$3:$F$500,$A298)=0,"",_xlfn.MAXIFS(ЗАКАЗЫ!$AK$3:$AK$500,ЗАКАЗЫ!$F$3:$F$500,$A298)))</f>
        <v/>
      </c>
    </row>
    <row r="299" customFormat="false" ht="15.75" hidden="false" customHeight="true" outlineLevel="0" collapsed="false">
      <c r="A299" s="80" t="s">
        <v>1500</v>
      </c>
      <c r="B299" s="81"/>
      <c r="C299" s="81"/>
      <c r="D299" s="81"/>
      <c r="E299" s="83"/>
      <c r="F299" s="81"/>
      <c r="G299" s="83"/>
      <c r="H299" s="83"/>
      <c r="I299" s="84" t="str">
        <f aca="false">IF(E299="","",A299&amp;"_1.jpg")</f>
        <v/>
      </c>
      <c r="J299" s="84" t="str">
        <f aca="false">IF(E299="","",A299&amp;"_2.jpg; "&amp;A299&amp;"_3.jpg")</f>
        <v/>
      </c>
      <c r="K299" s="84" t="str">
        <f aca="false">IF(E299="","",A299&amp;"_schema.jpg")</f>
        <v/>
      </c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 t="s">
        <v>96</v>
      </c>
      <c r="W299" s="81"/>
      <c r="X299" s="81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6" t="str">
        <f aca="false">IF(SUM(Y299:AJ299)=0,"",SUM(Y299:AJ299))</f>
        <v/>
      </c>
      <c r="AL299" s="84" t="str">
        <f aca="false">MID(IF(N(Y299)&gt;0,", "&amp;Y$2,"")&amp;IF(N(Z299)&gt;0,", "&amp;Z$2,"")&amp;IF(N(AA299)&gt;0,", "&amp;AA$2,"")&amp;IF(N(AB299)&gt;0,", "&amp;AB$2,"")&amp;IF(N(AC299)&gt;0,", "&amp;AC$2,"")&amp;IF(N(AD299)&gt;0,", "&amp;AD$2,"")&amp;IF(N(AE299)&gt;0,", "&amp;AE$2,"")&amp;IF(N(AF299)&gt;0,", "&amp;AF$2,"")&amp;IF(N(AG299)&gt;0,", "&amp;AG$2,"")&amp;IF(N(AH299)&gt;0,", "&amp;AH$2,"")&amp;IF(N(AI299)&gt;0,", "&amp;AI$2,"")&amp;IF(N(AJ299)&gt;0,", "&amp;AJ$2,""),3,999)</f>
        <v/>
      </c>
      <c r="AM299" s="87" t="str">
        <f aca="false">IF(E299="","",MID(IF(N(Y299)&gt;0,", "&amp;A299&amp;"-"&amp;Y$2,"")&amp;IF(N(Z299)&gt;0,", "&amp;A299&amp;"-"&amp;Z$2,"")&amp;IF(N(AA299)&gt;0,", "&amp;A299&amp;"-"&amp;AA$2,"")&amp;IF(N(AB299)&gt;0,", "&amp;A299&amp;"-"&amp;AB$2,"")&amp;IF(N(AC299)&gt;0,", "&amp;A299&amp;"-"&amp;AC$2,"")&amp;IF(N(AD299)&gt;0,", "&amp;A299&amp;"-"&amp;AD$2,"")&amp;IF(N(AE299)&gt;0,", "&amp;A299&amp;"-"&amp;AE$2,"")&amp;IF(N(AF299)&gt;0,", "&amp;A299&amp;"-"&amp;AF$2,"")&amp;IF(N(AG299)&gt;0,", "&amp;A299&amp;"-"&amp;AG$2,"")&amp;IF(N(AH299)&gt;0,", "&amp;A299&amp;"-"&amp;AH$2,"")&amp;IF(N(AI299)&gt;0,", "&amp;A299&amp;"-"&amp;AI$2,"")&amp;IF(N(AJ299)&gt;0,", "&amp;A299&amp;"-"&amp;AJ$2,""),3,999))</f>
        <v/>
      </c>
      <c r="AN299" s="81"/>
      <c r="AO299" s="88"/>
      <c r="AP299" s="89" t="str">
        <f aca="false">IF(AO299="","",ROUND(AO299/(1+Справочники!$B$13),2))</f>
        <v/>
      </c>
      <c r="AQ299" s="90" t="str">
        <f aca="false" t="array" ref="AQ299:AQ299">IF(AP299="","",AP299*INDEX(Справочники!$B$4:$B$7,MATCH("RUB",Справочники!$A$4:$A$7,0)))</f>
        <v/>
      </c>
      <c r="AR299" s="90" t="str">
        <f aca="false">IF(AQ299="","",ROUND(AQ299*(1+Справочники!$B$12),0))</f>
        <v/>
      </c>
      <c r="AS299" s="90" t="str">
        <f aca="false">IF(AR299="","",ROUND(AR299*(1-Справочники!$B$11),0))</f>
        <v/>
      </c>
      <c r="AT299" s="88"/>
      <c r="AU299" s="90" t="str">
        <f aca="false">IF(AT299="","",ROUND(AT299/(1+Справочники!$B$12),0))</f>
        <v/>
      </c>
      <c r="AV299" s="90" t="str">
        <f aca="false">IF(AT299="","",ROUND(AT299*(1-Справочники!$B$15),0))</f>
        <v/>
      </c>
      <c r="AW299" s="90" t="str">
        <f aca="false">IF(AT299="","",ROUND(AT299*(1-Справочники!$B$16),0))</f>
        <v/>
      </c>
      <c r="AX299" s="90" t="str">
        <f aca="false">IF(AT299="","",ROUND(AT299*(1-Справочники!$B$17),0))</f>
        <v/>
      </c>
      <c r="AY299" s="90" t="str">
        <f aca="false">IF(AT299="","",ROUND(AT299*(1-Справочники!$B$18),0))</f>
        <v/>
      </c>
      <c r="AZ299" s="90" t="str">
        <f aca="false">IF(AT299="","",ROUND(AT299*(1-Справочники!$B$19),0))</f>
        <v/>
      </c>
      <c r="BA299" s="81"/>
      <c r="BB299" s="81"/>
      <c r="BC299" s="81"/>
      <c r="BD299" s="81"/>
      <c r="BE299" s="91"/>
      <c r="BF299" s="81" t="s">
        <v>103</v>
      </c>
      <c r="BG299" s="89" t="n">
        <f aca="false" t="array" ref="BG299:BG299">IF(BF299="","",IFERROR(INDEX(Справочники!$B$4:$B$7,MATCH(BF299,Справочники!$A$4:$A$7,0)),""))</f>
        <v>68.5</v>
      </c>
      <c r="BH299" s="90" t="str">
        <f aca="false">IF(N(BN299)&gt;0,ROUND(SUMIF(ЗАКАЗЫ!$F$3:$F$500,$A299,ЗАКАЗЫ!$Y$3:$Y$500)/BN299,0),IF(OR(BE299="",BG299=""),"",ROUND(BE299*BG299*(1+Справочники!$B$10),0)))</f>
        <v/>
      </c>
      <c r="BI299" s="92" t="str">
        <f aca="false">IF(OR(AU299="",BH299="",AU299=0),"",(AU299-BH299)/AU299)</f>
        <v/>
      </c>
      <c r="BJ299" s="81"/>
      <c r="BK299" s="83"/>
      <c r="BL299" s="43" t="str">
        <f aca="false">IFERROR(INDEX(ЗАКАЗЫ!$N$3:$N$500,MATCH($A299,ЗАКАЗЫ!$F$3:$F$500,0)),"")</f>
        <v/>
      </c>
      <c r="BM299" s="8" t="str">
        <f aca="false">IF(BL299="","",IFERROR(VLOOKUP(BL299,'ТН ВЭД'!$A$4:$C$40,3,0),""))</f>
        <v/>
      </c>
      <c r="BN299" s="7" t="str">
        <f aca="false">IF(COUNTIF(ЗАКАЗЫ!$F$3:$F$500,$A299)=0,"",SUMIF(ЗАКАЗЫ!$F$3:$F$500,$A299,ЗАКАЗЫ!$J$3:$J$500))</f>
        <v/>
      </c>
      <c r="BO299" s="7" t="str">
        <f aca="false">IF(BN299="","",SUMIF(ЗАКАЗЫ!$F$3:$F$500,$A299,ЗАКАЗЫ!$AL$3:$AL$500))</f>
        <v/>
      </c>
      <c r="BP299" s="7" t="str">
        <f aca="false">IF(BN299="","",BN299-BO299)</f>
        <v/>
      </c>
      <c r="BQ299" s="55" t="str">
        <f aca="false">IF(BN299="","",IF(BO299&gt;=BN299,"На складе",IF(BO299&gt;0,"Частично","Ждём")))</f>
        <v/>
      </c>
      <c r="BR299" s="43"/>
      <c r="BS299" s="47" t="str">
        <f aca="false">IF(BN299="","",IF(_xlfn.MAXIFS(ЗАКАЗЫ!$AK$3:$AK$500,ЗАКАЗЫ!$F$3:$F$500,$A299)=0,"",_xlfn.MAXIFS(ЗАКАЗЫ!$AK$3:$AK$500,ЗАКАЗЫ!$F$3:$F$500,$A299)))</f>
        <v/>
      </c>
    </row>
    <row r="300" customFormat="false" ht="15.75" hidden="false" customHeight="true" outlineLevel="0" collapsed="false">
      <c r="A300" s="80" t="s">
        <v>1501</v>
      </c>
      <c r="B300" s="81"/>
      <c r="C300" s="81"/>
      <c r="D300" s="81"/>
      <c r="E300" s="83"/>
      <c r="F300" s="81"/>
      <c r="G300" s="83"/>
      <c r="H300" s="83"/>
      <c r="I300" s="84" t="str">
        <f aca="false">IF(E300="","",A300&amp;"_1.jpg")</f>
        <v/>
      </c>
      <c r="J300" s="84" t="str">
        <f aca="false">IF(E300="","",A300&amp;"_2.jpg; "&amp;A300&amp;"_3.jpg")</f>
        <v/>
      </c>
      <c r="K300" s="84" t="str">
        <f aca="false">IF(E300="","",A300&amp;"_schema.jpg")</f>
        <v/>
      </c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 t="s">
        <v>96</v>
      </c>
      <c r="W300" s="81"/>
      <c r="X300" s="81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6" t="str">
        <f aca="false">IF(SUM(Y300:AJ300)=0,"",SUM(Y300:AJ300))</f>
        <v/>
      </c>
      <c r="AL300" s="84" t="str">
        <f aca="false">MID(IF(N(Y300)&gt;0,", "&amp;Y$2,"")&amp;IF(N(Z300)&gt;0,", "&amp;Z$2,"")&amp;IF(N(AA300)&gt;0,", "&amp;AA$2,"")&amp;IF(N(AB300)&gt;0,", "&amp;AB$2,"")&amp;IF(N(AC300)&gt;0,", "&amp;AC$2,"")&amp;IF(N(AD300)&gt;0,", "&amp;AD$2,"")&amp;IF(N(AE300)&gt;0,", "&amp;AE$2,"")&amp;IF(N(AF300)&gt;0,", "&amp;AF$2,"")&amp;IF(N(AG300)&gt;0,", "&amp;AG$2,"")&amp;IF(N(AH300)&gt;0,", "&amp;AH$2,"")&amp;IF(N(AI300)&gt;0,", "&amp;AI$2,"")&amp;IF(N(AJ300)&gt;0,", "&amp;AJ$2,""),3,999)</f>
        <v/>
      </c>
      <c r="AM300" s="87" t="str">
        <f aca="false">IF(E300="","",MID(IF(N(Y300)&gt;0,", "&amp;A300&amp;"-"&amp;Y$2,"")&amp;IF(N(Z300)&gt;0,", "&amp;A300&amp;"-"&amp;Z$2,"")&amp;IF(N(AA300)&gt;0,", "&amp;A300&amp;"-"&amp;AA$2,"")&amp;IF(N(AB300)&gt;0,", "&amp;A300&amp;"-"&amp;AB$2,"")&amp;IF(N(AC300)&gt;0,", "&amp;A300&amp;"-"&amp;AC$2,"")&amp;IF(N(AD300)&gt;0,", "&amp;A300&amp;"-"&amp;AD$2,"")&amp;IF(N(AE300)&gt;0,", "&amp;A300&amp;"-"&amp;AE$2,"")&amp;IF(N(AF300)&gt;0,", "&amp;A300&amp;"-"&amp;AF$2,"")&amp;IF(N(AG300)&gt;0,", "&amp;A300&amp;"-"&amp;AG$2,"")&amp;IF(N(AH300)&gt;0,", "&amp;A300&amp;"-"&amp;AH$2,"")&amp;IF(N(AI300)&gt;0,", "&amp;A300&amp;"-"&amp;AI$2,"")&amp;IF(N(AJ300)&gt;0,", "&amp;A300&amp;"-"&amp;AJ$2,""),3,999))</f>
        <v/>
      </c>
      <c r="AN300" s="81"/>
      <c r="AO300" s="88"/>
      <c r="AP300" s="89" t="str">
        <f aca="false">IF(AO300="","",ROUND(AO300/(1+Справочники!$B$13),2))</f>
        <v/>
      </c>
      <c r="AQ300" s="90" t="str">
        <f aca="false" t="array" ref="AQ300:AQ300">IF(AP300="","",AP300*INDEX(Справочники!$B$4:$B$7,MATCH("RUB",Справочники!$A$4:$A$7,0)))</f>
        <v/>
      </c>
      <c r="AR300" s="90" t="str">
        <f aca="false">IF(AQ300="","",ROUND(AQ300*(1+Справочники!$B$12),0))</f>
        <v/>
      </c>
      <c r="AS300" s="90" t="str">
        <f aca="false">IF(AR300="","",ROUND(AR300*(1-Справочники!$B$11),0))</f>
        <v/>
      </c>
      <c r="AT300" s="88"/>
      <c r="AU300" s="90" t="str">
        <f aca="false">IF(AT300="","",ROUND(AT300/(1+Справочники!$B$12),0))</f>
        <v/>
      </c>
      <c r="AV300" s="90" t="str">
        <f aca="false">IF(AT300="","",ROUND(AT300*(1-Справочники!$B$15),0))</f>
        <v/>
      </c>
      <c r="AW300" s="90" t="str">
        <f aca="false">IF(AT300="","",ROUND(AT300*(1-Справочники!$B$16),0))</f>
        <v/>
      </c>
      <c r="AX300" s="90" t="str">
        <f aca="false">IF(AT300="","",ROUND(AT300*(1-Справочники!$B$17),0))</f>
        <v/>
      </c>
      <c r="AY300" s="90" t="str">
        <f aca="false">IF(AT300="","",ROUND(AT300*(1-Справочники!$B$18),0))</f>
        <v/>
      </c>
      <c r="AZ300" s="90" t="str">
        <f aca="false">IF(AT300="","",ROUND(AT300*(1-Справочники!$B$19),0))</f>
        <v/>
      </c>
      <c r="BA300" s="81"/>
      <c r="BB300" s="81"/>
      <c r="BC300" s="81"/>
      <c r="BD300" s="81"/>
      <c r="BE300" s="91"/>
      <c r="BF300" s="81" t="s">
        <v>103</v>
      </c>
      <c r="BG300" s="89" t="n">
        <f aca="false" t="array" ref="BG300:BG300">IF(BF300="","",IFERROR(INDEX(Справочники!$B$4:$B$7,MATCH(BF300,Справочники!$A$4:$A$7,0)),""))</f>
        <v>68.5</v>
      </c>
      <c r="BH300" s="90" t="str">
        <f aca="false">IF(N(BN300)&gt;0,ROUND(SUMIF(ЗАКАЗЫ!$F$3:$F$500,$A300,ЗАКАЗЫ!$Y$3:$Y$500)/BN300,0),IF(OR(BE300="",BG300=""),"",ROUND(BE300*BG300*(1+Справочники!$B$10),0)))</f>
        <v/>
      </c>
      <c r="BI300" s="92" t="str">
        <f aca="false">IF(OR(AU300="",BH300="",AU300=0),"",(AU300-BH300)/AU300)</f>
        <v/>
      </c>
      <c r="BJ300" s="81"/>
      <c r="BK300" s="83"/>
      <c r="BL300" s="43" t="str">
        <f aca="false">IFERROR(INDEX(ЗАКАЗЫ!$N$3:$N$500,MATCH($A300,ЗАКАЗЫ!$F$3:$F$500,0)),"")</f>
        <v/>
      </c>
      <c r="BM300" s="8" t="str">
        <f aca="false">IF(BL300="","",IFERROR(VLOOKUP(BL300,'ТН ВЭД'!$A$4:$C$40,3,0),""))</f>
        <v/>
      </c>
      <c r="BN300" s="7" t="str">
        <f aca="false">IF(COUNTIF(ЗАКАЗЫ!$F$3:$F$500,$A300)=0,"",SUMIF(ЗАКАЗЫ!$F$3:$F$500,$A300,ЗАКАЗЫ!$J$3:$J$500))</f>
        <v/>
      </c>
      <c r="BO300" s="7" t="str">
        <f aca="false">IF(BN300="","",SUMIF(ЗАКАЗЫ!$F$3:$F$500,$A300,ЗАКАЗЫ!$AL$3:$AL$500))</f>
        <v/>
      </c>
      <c r="BP300" s="7" t="str">
        <f aca="false">IF(BN300="","",BN300-BO300)</f>
        <v/>
      </c>
      <c r="BQ300" s="55" t="str">
        <f aca="false">IF(BN300="","",IF(BO300&gt;=BN300,"На складе",IF(BO300&gt;0,"Частично","Ждём")))</f>
        <v/>
      </c>
      <c r="BR300" s="43"/>
      <c r="BS300" s="47" t="str">
        <f aca="false">IF(BN300="","",IF(_xlfn.MAXIFS(ЗАКАЗЫ!$AK$3:$AK$500,ЗАКАЗЫ!$F$3:$F$500,$A300)=0,"",_xlfn.MAXIFS(ЗАКАЗЫ!$AK$3:$AK$500,ЗАКАЗЫ!$F$3:$F$500,$A300)))</f>
        <v/>
      </c>
    </row>
    <row r="301" customFormat="false" ht="15.75" hidden="false" customHeight="true" outlineLevel="0" collapsed="false">
      <c r="A301" s="80" t="s">
        <v>1502</v>
      </c>
      <c r="B301" s="81"/>
      <c r="C301" s="81"/>
      <c r="D301" s="81"/>
      <c r="E301" s="83"/>
      <c r="F301" s="81"/>
      <c r="G301" s="83"/>
      <c r="H301" s="83"/>
      <c r="I301" s="84" t="str">
        <f aca="false">IF(E301="","",A301&amp;"_1.jpg")</f>
        <v/>
      </c>
      <c r="J301" s="84" t="str">
        <f aca="false">IF(E301="","",A301&amp;"_2.jpg; "&amp;A301&amp;"_3.jpg")</f>
        <v/>
      </c>
      <c r="K301" s="84" t="str">
        <f aca="false">IF(E301="","",A301&amp;"_schema.jpg")</f>
        <v/>
      </c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 t="s">
        <v>96</v>
      </c>
      <c r="W301" s="81"/>
      <c r="X301" s="81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6" t="str">
        <f aca="false">IF(SUM(Y301:AJ301)=0,"",SUM(Y301:AJ301))</f>
        <v/>
      </c>
      <c r="AL301" s="84" t="str">
        <f aca="false">MID(IF(N(Y301)&gt;0,", "&amp;Y$2,"")&amp;IF(N(Z301)&gt;0,", "&amp;Z$2,"")&amp;IF(N(AA301)&gt;0,", "&amp;AA$2,"")&amp;IF(N(AB301)&gt;0,", "&amp;AB$2,"")&amp;IF(N(AC301)&gt;0,", "&amp;AC$2,"")&amp;IF(N(AD301)&gt;0,", "&amp;AD$2,"")&amp;IF(N(AE301)&gt;0,", "&amp;AE$2,"")&amp;IF(N(AF301)&gt;0,", "&amp;AF$2,"")&amp;IF(N(AG301)&gt;0,", "&amp;AG$2,"")&amp;IF(N(AH301)&gt;0,", "&amp;AH$2,"")&amp;IF(N(AI301)&gt;0,", "&amp;AI$2,"")&amp;IF(N(AJ301)&gt;0,", "&amp;AJ$2,""),3,999)</f>
        <v/>
      </c>
      <c r="AM301" s="87" t="str">
        <f aca="false">IF(E301="","",MID(IF(N(Y301)&gt;0,", "&amp;A301&amp;"-"&amp;Y$2,"")&amp;IF(N(Z301)&gt;0,", "&amp;A301&amp;"-"&amp;Z$2,"")&amp;IF(N(AA301)&gt;0,", "&amp;A301&amp;"-"&amp;AA$2,"")&amp;IF(N(AB301)&gt;0,", "&amp;A301&amp;"-"&amp;AB$2,"")&amp;IF(N(AC301)&gt;0,", "&amp;A301&amp;"-"&amp;AC$2,"")&amp;IF(N(AD301)&gt;0,", "&amp;A301&amp;"-"&amp;AD$2,"")&amp;IF(N(AE301)&gt;0,", "&amp;A301&amp;"-"&amp;AE$2,"")&amp;IF(N(AF301)&gt;0,", "&amp;A301&amp;"-"&amp;AF$2,"")&amp;IF(N(AG301)&gt;0,", "&amp;A301&amp;"-"&amp;AG$2,"")&amp;IF(N(AH301)&gt;0,", "&amp;A301&amp;"-"&amp;AH$2,"")&amp;IF(N(AI301)&gt;0,", "&amp;A301&amp;"-"&amp;AI$2,"")&amp;IF(N(AJ301)&gt;0,", "&amp;A301&amp;"-"&amp;AJ$2,""),3,999))</f>
        <v/>
      </c>
      <c r="AN301" s="81"/>
      <c r="AO301" s="88"/>
      <c r="AP301" s="89" t="str">
        <f aca="false">IF(AO301="","",ROUND(AO301/(1+Справочники!$B$13),2))</f>
        <v/>
      </c>
      <c r="AQ301" s="90" t="str">
        <f aca="false" t="array" ref="AQ301:AQ301">IF(AP301="","",AP301*INDEX(Справочники!$B$4:$B$7,MATCH("RUB",Справочники!$A$4:$A$7,0)))</f>
        <v/>
      </c>
      <c r="AR301" s="90" t="str">
        <f aca="false">IF(AQ301="","",ROUND(AQ301*(1+Справочники!$B$12),0))</f>
        <v/>
      </c>
      <c r="AS301" s="90" t="str">
        <f aca="false">IF(AR301="","",ROUND(AR301*(1-Справочники!$B$11),0))</f>
        <v/>
      </c>
      <c r="AT301" s="88"/>
      <c r="AU301" s="90" t="str">
        <f aca="false">IF(AT301="","",ROUND(AT301/(1+Справочники!$B$12),0))</f>
        <v/>
      </c>
      <c r="AV301" s="90" t="str">
        <f aca="false">IF(AT301="","",ROUND(AT301*(1-Справочники!$B$15),0))</f>
        <v/>
      </c>
      <c r="AW301" s="90" t="str">
        <f aca="false">IF(AT301="","",ROUND(AT301*(1-Справочники!$B$16),0))</f>
        <v/>
      </c>
      <c r="AX301" s="90" t="str">
        <f aca="false">IF(AT301="","",ROUND(AT301*(1-Справочники!$B$17),0))</f>
        <v/>
      </c>
      <c r="AY301" s="90" t="str">
        <f aca="false">IF(AT301="","",ROUND(AT301*(1-Справочники!$B$18),0))</f>
        <v/>
      </c>
      <c r="AZ301" s="90" t="str">
        <f aca="false">IF(AT301="","",ROUND(AT301*(1-Справочники!$B$19),0))</f>
        <v/>
      </c>
      <c r="BA301" s="81"/>
      <c r="BB301" s="81"/>
      <c r="BC301" s="81"/>
      <c r="BD301" s="81"/>
      <c r="BE301" s="91"/>
      <c r="BF301" s="81" t="s">
        <v>103</v>
      </c>
      <c r="BG301" s="89" t="n">
        <f aca="false" t="array" ref="BG301:BG301">IF(BF301="","",IFERROR(INDEX(Справочники!$B$4:$B$7,MATCH(BF301,Справочники!$A$4:$A$7,0)),""))</f>
        <v>68.5</v>
      </c>
      <c r="BH301" s="90" t="str">
        <f aca="false">IF(N(BN301)&gt;0,ROUND(SUMIF(ЗАКАЗЫ!$F$3:$F$500,$A301,ЗАКАЗЫ!$Y$3:$Y$500)/BN301,0),IF(OR(BE301="",BG301=""),"",ROUND(BE301*BG301*(1+Справочники!$B$10),0)))</f>
        <v/>
      </c>
      <c r="BI301" s="92" t="str">
        <f aca="false">IF(OR(AU301="",BH301="",AU301=0),"",(AU301-BH301)/AU301)</f>
        <v/>
      </c>
      <c r="BJ301" s="81"/>
      <c r="BK301" s="83"/>
      <c r="BL301" s="43" t="str">
        <f aca="false">IFERROR(INDEX(ЗАКАЗЫ!$N$3:$N$500,MATCH($A301,ЗАКАЗЫ!$F$3:$F$500,0)),"")</f>
        <v/>
      </c>
      <c r="BM301" s="8" t="str">
        <f aca="false">IF(BL301="","",IFERROR(VLOOKUP(BL301,'ТН ВЭД'!$A$4:$C$40,3,0),""))</f>
        <v/>
      </c>
      <c r="BN301" s="7" t="str">
        <f aca="false">IF(COUNTIF(ЗАКАЗЫ!$F$3:$F$500,$A301)=0,"",SUMIF(ЗАКАЗЫ!$F$3:$F$500,$A301,ЗАКАЗЫ!$J$3:$J$500))</f>
        <v/>
      </c>
      <c r="BO301" s="7" t="str">
        <f aca="false">IF(BN301="","",SUMIF(ЗАКАЗЫ!$F$3:$F$500,$A301,ЗАКАЗЫ!$AL$3:$AL$500))</f>
        <v/>
      </c>
      <c r="BP301" s="7" t="str">
        <f aca="false">IF(BN301="","",BN301-BO301)</f>
        <v/>
      </c>
      <c r="BQ301" s="55" t="str">
        <f aca="false">IF(BN301="","",IF(BO301&gt;=BN301,"На складе",IF(BO301&gt;0,"Частично","Ждём")))</f>
        <v/>
      </c>
      <c r="BR301" s="43"/>
      <c r="BS301" s="47" t="str">
        <f aca="false">IF(BN301="","",IF(_xlfn.MAXIFS(ЗАКАЗЫ!$AK$3:$AK$500,ЗАКАЗЫ!$F$3:$F$500,$A301)=0,"",_xlfn.MAXIFS(ЗАКАЗЫ!$AK$3:$AK$500,ЗАКАЗЫ!$F$3:$F$500,$A301)))</f>
        <v/>
      </c>
    </row>
    <row r="302" customFormat="false" ht="15.75" hidden="false" customHeight="true" outlineLevel="0" collapsed="false">
      <c r="A302" s="80" t="s">
        <v>1503</v>
      </c>
      <c r="B302" s="81"/>
      <c r="C302" s="81"/>
      <c r="D302" s="81"/>
      <c r="E302" s="83"/>
      <c r="F302" s="81"/>
      <c r="G302" s="83"/>
      <c r="H302" s="83"/>
      <c r="I302" s="84" t="str">
        <f aca="false">IF(E302="","",A302&amp;"_1.jpg")</f>
        <v/>
      </c>
      <c r="J302" s="84" t="str">
        <f aca="false">IF(E302="","",A302&amp;"_2.jpg; "&amp;A302&amp;"_3.jpg")</f>
        <v/>
      </c>
      <c r="K302" s="84" t="str">
        <f aca="false">IF(E302="","",A302&amp;"_schema.jpg")</f>
        <v/>
      </c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 t="s">
        <v>96</v>
      </c>
      <c r="W302" s="81"/>
      <c r="X302" s="81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6" t="str">
        <f aca="false">IF(SUM(Y302:AJ302)=0,"",SUM(Y302:AJ302))</f>
        <v/>
      </c>
      <c r="AL302" s="84" t="str">
        <f aca="false">MID(IF(N(Y302)&gt;0,", "&amp;Y$2,"")&amp;IF(N(Z302)&gt;0,", "&amp;Z$2,"")&amp;IF(N(AA302)&gt;0,", "&amp;AA$2,"")&amp;IF(N(AB302)&gt;0,", "&amp;AB$2,"")&amp;IF(N(AC302)&gt;0,", "&amp;AC$2,"")&amp;IF(N(AD302)&gt;0,", "&amp;AD$2,"")&amp;IF(N(AE302)&gt;0,", "&amp;AE$2,"")&amp;IF(N(AF302)&gt;0,", "&amp;AF$2,"")&amp;IF(N(AG302)&gt;0,", "&amp;AG$2,"")&amp;IF(N(AH302)&gt;0,", "&amp;AH$2,"")&amp;IF(N(AI302)&gt;0,", "&amp;AI$2,"")&amp;IF(N(AJ302)&gt;0,", "&amp;AJ$2,""),3,999)</f>
        <v/>
      </c>
      <c r="AM302" s="87" t="str">
        <f aca="false">IF(E302="","",MID(IF(N(Y302)&gt;0,", "&amp;A302&amp;"-"&amp;Y$2,"")&amp;IF(N(Z302)&gt;0,", "&amp;A302&amp;"-"&amp;Z$2,"")&amp;IF(N(AA302)&gt;0,", "&amp;A302&amp;"-"&amp;AA$2,"")&amp;IF(N(AB302)&gt;0,", "&amp;A302&amp;"-"&amp;AB$2,"")&amp;IF(N(AC302)&gt;0,", "&amp;A302&amp;"-"&amp;AC$2,"")&amp;IF(N(AD302)&gt;0,", "&amp;A302&amp;"-"&amp;AD$2,"")&amp;IF(N(AE302)&gt;0,", "&amp;A302&amp;"-"&amp;AE$2,"")&amp;IF(N(AF302)&gt;0,", "&amp;A302&amp;"-"&amp;AF$2,"")&amp;IF(N(AG302)&gt;0,", "&amp;A302&amp;"-"&amp;AG$2,"")&amp;IF(N(AH302)&gt;0,", "&amp;A302&amp;"-"&amp;AH$2,"")&amp;IF(N(AI302)&gt;0,", "&amp;A302&amp;"-"&amp;AI$2,"")&amp;IF(N(AJ302)&gt;0,", "&amp;A302&amp;"-"&amp;AJ$2,""),3,999))</f>
        <v/>
      </c>
      <c r="AN302" s="81"/>
      <c r="AO302" s="88"/>
      <c r="AP302" s="89" t="str">
        <f aca="false">IF(AO302="","",ROUND(AO302/(1+Справочники!$B$13),2))</f>
        <v/>
      </c>
      <c r="AQ302" s="90" t="str">
        <f aca="false" t="array" ref="AQ302:AQ302">IF(AP302="","",AP302*INDEX(Справочники!$B$4:$B$7,MATCH("RUB",Справочники!$A$4:$A$7,0)))</f>
        <v/>
      </c>
      <c r="AR302" s="90" t="str">
        <f aca="false">IF(AQ302="","",ROUND(AQ302*(1+Справочники!$B$12),0))</f>
        <v/>
      </c>
      <c r="AS302" s="90" t="str">
        <f aca="false">IF(AR302="","",ROUND(AR302*(1-Справочники!$B$11),0))</f>
        <v/>
      </c>
      <c r="AT302" s="88"/>
      <c r="AU302" s="90" t="str">
        <f aca="false">IF(AT302="","",ROUND(AT302/(1+Справочники!$B$12),0))</f>
        <v/>
      </c>
      <c r="AV302" s="90" t="str">
        <f aca="false">IF(AT302="","",ROUND(AT302*(1-Справочники!$B$15),0))</f>
        <v/>
      </c>
      <c r="AW302" s="90" t="str">
        <f aca="false">IF(AT302="","",ROUND(AT302*(1-Справочники!$B$16),0))</f>
        <v/>
      </c>
      <c r="AX302" s="90" t="str">
        <f aca="false">IF(AT302="","",ROUND(AT302*(1-Справочники!$B$17),0))</f>
        <v/>
      </c>
      <c r="AY302" s="90" t="str">
        <f aca="false">IF(AT302="","",ROUND(AT302*(1-Справочники!$B$18),0))</f>
        <v/>
      </c>
      <c r="AZ302" s="90" t="str">
        <f aca="false">IF(AT302="","",ROUND(AT302*(1-Справочники!$B$19),0))</f>
        <v/>
      </c>
      <c r="BA302" s="81"/>
      <c r="BB302" s="81"/>
      <c r="BC302" s="81"/>
      <c r="BD302" s="81"/>
      <c r="BE302" s="91"/>
      <c r="BF302" s="81" t="s">
        <v>103</v>
      </c>
      <c r="BG302" s="89" t="n">
        <f aca="false" t="array" ref="BG302:BG302">IF(BF302="","",IFERROR(INDEX(Справочники!$B$4:$B$7,MATCH(BF302,Справочники!$A$4:$A$7,0)),""))</f>
        <v>68.5</v>
      </c>
      <c r="BH302" s="90" t="str">
        <f aca="false">IF(N(BN302)&gt;0,ROUND(SUMIF(ЗАКАЗЫ!$F$3:$F$500,$A302,ЗАКАЗЫ!$Y$3:$Y$500)/BN302,0),IF(OR(BE302="",BG302=""),"",ROUND(BE302*BG302*(1+Справочники!$B$10),0)))</f>
        <v/>
      </c>
      <c r="BI302" s="92" t="str">
        <f aca="false">IF(OR(AU302="",BH302="",AU302=0),"",(AU302-BH302)/AU302)</f>
        <v/>
      </c>
      <c r="BJ302" s="81"/>
      <c r="BK302" s="83"/>
      <c r="BL302" s="43" t="str">
        <f aca="false">IFERROR(INDEX(ЗАКАЗЫ!$N$3:$N$500,MATCH($A302,ЗАКАЗЫ!$F$3:$F$500,0)),"")</f>
        <v/>
      </c>
      <c r="BM302" s="8" t="str">
        <f aca="false">IF(BL302="","",IFERROR(VLOOKUP(BL302,'ТН ВЭД'!$A$4:$C$40,3,0),""))</f>
        <v/>
      </c>
      <c r="BN302" s="7" t="str">
        <f aca="false">IF(COUNTIF(ЗАКАЗЫ!$F$3:$F$500,$A302)=0,"",SUMIF(ЗАКАЗЫ!$F$3:$F$500,$A302,ЗАКАЗЫ!$J$3:$J$500))</f>
        <v/>
      </c>
      <c r="BO302" s="7" t="str">
        <f aca="false">IF(BN302="","",SUMIF(ЗАКАЗЫ!$F$3:$F$500,$A302,ЗАКАЗЫ!$AL$3:$AL$500))</f>
        <v/>
      </c>
      <c r="BP302" s="7" t="str">
        <f aca="false">IF(BN302="","",BN302-BO302)</f>
        <v/>
      </c>
      <c r="BQ302" s="55" t="str">
        <f aca="false">IF(BN302="","",IF(BO302&gt;=BN302,"На складе",IF(BO302&gt;0,"Частично","Ждём")))</f>
        <v/>
      </c>
      <c r="BR302" s="43"/>
      <c r="BS302" s="47" t="str">
        <f aca="false">IF(BN302="","",IF(_xlfn.MAXIFS(ЗАКАЗЫ!$AK$3:$AK$500,ЗАКАЗЫ!$F$3:$F$500,$A302)=0,"",_xlfn.MAXIFS(ЗАКАЗЫ!$AK$3:$AK$500,ЗАКАЗЫ!$F$3:$F$500,$A302)))</f>
        <v/>
      </c>
    </row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2:BK302"/>
  <mergeCells count="7">
    <mergeCell ref="A1:H1"/>
    <mergeCell ref="I1:M1"/>
    <mergeCell ref="N1:X1"/>
    <mergeCell ref="Y1:AM1"/>
    <mergeCell ref="AN1:BA1"/>
    <mergeCell ref="BB1:BK1"/>
    <mergeCell ref="BL1:BS1"/>
  </mergeCells>
  <conditionalFormatting sqref="Y3:AJ302">
    <cfRule type="expression" priority="2" aboveAverage="0" equalAverage="0" bottom="0" percent="0" rank="0" text="" dxfId="28">
      <formula>N(Y3)&gt;0</formula>
    </cfRule>
  </conditionalFormatting>
  <conditionalFormatting sqref="A3:A302">
    <cfRule type="expression" priority="3" aboveAverage="0" equalAverage="0" bottom="0" percent="0" rank="0" text="" dxfId="29">
      <formula>$E3=""</formula>
    </cfRule>
  </conditionalFormatting>
  <conditionalFormatting sqref="A3:BK302">
    <cfRule type="expression" priority="4" aboveAverage="0" equalAverage="0" bottom="0" percent="0" rank="0" text="" dxfId="30">
      <formula>$B3="Снят"</formula>
    </cfRule>
  </conditionalFormatting>
  <conditionalFormatting sqref="D3:D302">
    <cfRule type="expression" priority="5" aboveAverage="0" equalAverage="0" bottom="0" percent="0" rank="0" text="" dxfId="31">
      <formula>AND($D3="Да",COUNTIF($D$3:$D$302,"Да")&gt;5)</formula>
    </cfRule>
  </conditionalFormatting>
  <conditionalFormatting sqref="BI3:BI302">
    <cfRule type="expression" priority="6" aboveAverage="0" equalAverage="0" bottom="0" percent="0" rank="0" text="" dxfId="31">
      <formula>AND(ISNUMBER($BI3),$BI3&lt;0.2)</formula>
    </cfRule>
  </conditionalFormatting>
  <conditionalFormatting sqref="BQ3:BQ302">
    <cfRule type="expression" priority="7" aboveAverage="0" equalAverage="0" bottom="0" percent="0" rank="0" text="" dxfId="8">
      <formula>BQ3="На складе"</formula>
    </cfRule>
    <cfRule type="expression" priority="8" aboveAverage="0" equalAverage="0" bottom="0" percent="0" rank="0" text="" dxfId="9">
      <formula>BQ3="Частично"</formula>
    </cfRule>
  </conditionalFormatting>
  <conditionalFormatting sqref="AK3:AK302">
    <cfRule type="expression" priority="9" aboveAverage="0" equalAverage="0" bottom="0" percent="0" rank="0" text="" dxfId="32">
      <formula>AND(N($BN3)&gt;0,N($AK3)&lt;&gt;N($BN3))</formula>
    </cfRule>
  </conditionalFormatting>
  <dataValidations count="7">
    <dataValidation allowBlank="true" errorStyle="stop" operator="greaterThanOrEqual" prompt="Только целое число штук" showDropDown="false" showErrorMessage="true" showInputMessage="true" sqref="Y3:AJ302" type="decimal">
      <formula1>0</formula1>
      <formula2>0</formula2>
    </dataValidation>
    <dataValidation allowBlank="true" errorStyle="stop" operator="between" showDropDown="false" showErrorMessage="true" showInputMessage="false" sqref="D3:D302 L3:M302" type="list">
      <formula1>Справочники!$F$4:$F$40</formula1>
      <formula2>0</formula2>
    </dataValidation>
    <dataValidation allowBlank="true" errorStyle="stop" operator="between" showDropDown="false" showErrorMessage="true" showInputMessage="false" sqref="B3:B19 C17:C19 B20:C302" type="list">
      <formula1>Справочники!$E$4:$E$40</formula1>
      <formula2>0</formula2>
    </dataValidation>
    <dataValidation allowBlank="true" errorStyle="stop" operator="between" showDropDown="false" showErrorMessage="false" showInputMessage="false" sqref="BB3:BB302" type="list">
      <formula1>Поставщики!$A$2:$A$101</formula1>
      <formula2>0</formula2>
    </dataValidation>
    <dataValidation allowBlank="true" errorStyle="stop" operator="between" showDropDown="false" showErrorMessage="false" showInputMessage="false" sqref="V3:V302" type="list">
      <formula1>Справочники!$G$4:$G$40</formula1>
      <formula2>0</formula2>
    </dataValidation>
    <dataValidation allowBlank="true" errorStyle="stop" operator="between" showDropDown="false" showErrorMessage="false" showInputMessage="false" sqref="N3:N302" type="list">
      <formula1>Справочники!$H$4:$H$40</formula1>
      <formula2>0</formula2>
    </dataValidation>
    <dataValidation allowBlank="true" errorStyle="stop" operator="between" showDropDown="false" showErrorMessage="true" showInputMessage="false" sqref="BF3:BF302" type="list">
      <formula1>"KZT,CNY,USD,RUB"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F3" activeCellId="0" sqref="F3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7.5"/>
    <col collapsed="false" customWidth="true" hidden="false" outlineLevel="0" max="4" min="4" style="0" width="9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8" min="8" style="0" width="46"/>
    <col collapsed="false" customWidth="true" hidden="false" outlineLevel="0" max="9" min="9" style="0" width="20"/>
    <col collapsed="false" customWidth="true" hidden="false" outlineLevel="0" max="11" min="10" style="0" width="22"/>
    <col collapsed="false" customWidth="true" hidden="false" outlineLevel="0" max="13" min="12" style="0" width="9"/>
    <col collapsed="false" customWidth="true" hidden="false" outlineLevel="0" max="14" min="14" style="0" width="18"/>
    <col collapsed="false" customWidth="true" hidden="false" outlineLevel="0" max="20" min="15" style="0" width="15"/>
    <col collapsed="false" customWidth="true" hidden="false" outlineLevel="0" max="21" min="21" style="0" width="9"/>
    <col collapsed="false" customWidth="true" hidden="false" outlineLevel="0" max="22" min="22" style="0" width="8"/>
    <col collapsed="false" customWidth="true" hidden="false" outlineLevel="0" max="23" min="23" style="0" width="9"/>
    <col collapsed="false" customWidth="true" hidden="false" outlineLevel="0" max="24" min="24" style="0" width="18"/>
    <col collapsed="false" customWidth="true" hidden="false" outlineLevel="0" max="36" min="25" style="0" width="9"/>
    <col collapsed="false" customWidth="true" hidden="false" outlineLevel="0" max="37" min="37" style="0" width="11"/>
    <col collapsed="false" customWidth="true" hidden="false" outlineLevel="0" max="38" min="38" style="0" width="26"/>
    <col collapsed="false" customWidth="true" hidden="false" outlineLevel="0" max="39" min="39" style="0" width="34"/>
    <col collapsed="false" customWidth="true" hidden="false" outlineLevel="0" max="40" min="40" style="0" width="10"/>
    <col collapsed="false" customWidth="true" hidden="false" outlineLevel="0" max="44" min="41" style="0" width="11"/>
    <col collapsed="false" customWidth="true" hidden="false" outlineLevel="0" max="46" min="45" style="0" width="12"/>
    <col collapsed="false" customWidth="true" hidden="false" outlineLevel="0" max="52" min="47" style="0" width="11"/>
    <col collapsed="false" customWidth="true" hidden="false" outlineLevel="0" max="53" min="53" style="0" width="10"/>
    <col collapsed="false" customWidth="true" hidden="false" outlineLevel="0" max="54" min="54" style="0" width="18"/>
    <col collapsed="false" customWidth="true" hidden="false" outlineLevel="0" max="55" min="55" style="0" width="14"/>
    <col collapsed="false" customWidth="true" hidden="false" outlineLevel="0" max="56" min="56" style="0" width="24"/>
    <col collapsed="false" customWidth="true" hidden="false" outlineLevel="0" max="57" min="57" style="0" width="10"/>
    <col collapsed="false" customWidth="true" hidden="false" outlineLevel="0" max="59" min="58" style="0" width="8"/>
    <col collapsed="false" customWidth="true" hidden="false" outlineLevel="0" max="60" min="60" style="0" width="12"/>
    <col collapsed="false" customWidth="true" hidden="false" outlineLevel="0" max="61" min="61" style="0" width="9"/>
    <col collapsed="false" customWidth="true" hidden="false" outlineLevel="0" max="62" min="62" style="0" width="10"/>
    <col collapsed="false" customWidth="true" hidden="false" outlineLevel="0" max="63" min="63" style="0" width="30"/>
    <col collapsed="false" customWidth="true" hidden="false" outlineLevel="0" max="64" min="64" style="0" width="14"/>
    <col collapsed="false" customWidth="true" hidden="false" outlineLevel="0" max="65" min="65" style="0" width="8"/>
    <col collapsed="false" customWidth="true" hidden="false" outlineLevel="0" max="66" min="66" style="0" width="11"/>
    <col collapsed="false" customWidth="true" hidden="false" outlineLevel="0" max="67" min="67" style="0" width="10"/>
    <col collapsed="false" customWidth="true" hidden="false" outlineLevel="0" max="68" min="68" style="0" width="9"/>
    <col collapsed="false" customWidth="true" hidden="false" outlineLevel="0" max="69" min="69" style="0" width="11"/>
    <col collapsed="false" customWidth="true" hidden="false" outlineLevel="0" max="70" min="70" style="0" width="22"/>
    <col collapsed="false" customWidth="true" hidden="false" outlineLevel="0" max="71" min="71" style="0" width="11"/>
  </cols>
  <sheetData>
    <row r="1" customFormat="false" ht="19.5" hidden="false" customHeight="true" outlineLevel="0" collapsed="false">
      <c r="A1" s="56" t="s">
        <v>416</v>
      </c>
      <c r="B1" s="56"/>
      <c r="C1" s="56"/>
      <c r="D1" s="56"/>
      <c r="E1" s="56"/>
      <c r="F1" s="56"/>
      <c r="G1" s="56"/>
      <c r="H1" s="56"/>
      <c r="I1" s="57" t="s">
        <v>417</v>
      </c>
      <c r="J1" s="57"/>
      <c r="K1" s="57"/>
      <c r="L1" s="57"/>
      <c r="M1" s="57"/>
      <c r="N1" s="58" t="s">
        <v>418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59" t="s">
        <v>419</v>
      </c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60" t="s">
        <v>420</v>
      </c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1" t="s">
        <v>421</v>
      </c>
      <c r="BC1" s="61"/>
      <c r="BD1" s="61"/>
      <c r="BE1" s="61"/>
      <c r="BF1" s="61"/>
      <c r="BG1" s="61"/>
      <c r="BH1" s="61"/>
      <c r="BI1" s="61"/>
      <c r="BJ1" s="61"/>
      <c r="BK1" s="61"/>
      <c r="BL1" s="37" t="s">
        <v>422</v>
      </c>
      <c r="BM1" s="37"/>
      <c r="BN1" s="37"/>
      <c r="BO1" s="37"/>
      <c r="BP1" s="37"/>
      <c r="BQ1" s="37"/>
      <c r="BR1" s="37"/>
      <c r="BS1" s="37"/>
    </row>
    <row r="2" customFormat="false" ht="48" hidden="false" customHeight="true" outlineLevel="0" collapsed="false">
      <c r="A2" s="62" t="s">
        <v>73</v>
      </c>
      <c r="B2" s="62" t="s">
        <v>46</v>
      </c>
      <c r="C2" s="62" t="s">
        <v>186</v>
      </c>
      <c r="D2" s="62" t="s">
        <v>423</v>
      </c>
      <c r="E2" s="62" t="s">
        <v>424</v>
      </c>
      <c r="F2" s="62" t="s">
        <v>80</v>
      </c>
      <c r="G2" s="62" t="s">
        <v>425</v>
      </c>
      <c r="H2" s="62" t="s">
        <v>426</v>
      </c>
      <c r="I2" s="64" t="s">
        <v>427</v>
      </c>
      <c r="J2" s="64" t="s">
        <v>428</v>
      </c>
      <c r="K2" s="64" t="s">
        <v>429</v>
      </c>
      <c r="L2" s="64" t="s">
        <v>430</v>
      </c>
      <c r="M2" s="64" t="s">
        <v>431</v>
      </c>
      <c r="N2" s="65" t="s">
        <v>84</v>
      </c>
      <c r="O2" s="65" t="s">
        <v>1504</v>
      </c>
      <c r="P2" s="65" t="s">
        <v>89</v>
      </c>
      <c r="Q2" s="65" t="s">
        <v>1505</v>
      </c>
      <c r="R2" s="65" t="s">
        <v>1506</v>
      </c>
      <c r="S2" s="65" t="s">
        <v>1507</v>
      </c>
      <c r="T2" s="65" t="s">
        <v>778</v>
      </c>
      <c r="U2" s="65" t="s">
        <v>94</v>
      </c>
      <c r="V2" s="65" t="s">
        <v>95</v>
      </c>
      <c r="W2" s="65" t="s">
        <v>438</v>
      </c>
      <c r="X2" s="65" t="s">
        <v>439</v>
      </c>
      <c r="Y2" s="66" t="str">
        <f aca="false">Справочники!$K$4</f>
        <v>BLACK</v>
      </c>
      <c r="Z2" s="67" t="str">
        <f aca="false">Справочники!$K$5</f>
        <v>ORANGE</v>
      </c>
      <c r="AA2" s="68" t="str">
        <f aca="false">Справочники!$K$6</f>
        <v>RED</v>
      </c>
      <c r="AB2" s="69" t="str">
        <f aca="false">Справочники!$K$7</f>
        <v>BLUE</v>
      </c>
      <c r="AC2" s="70" t="str">
        <f aca="false">Справочники!$K$8</f>
        <v>GRAY</v>
      </c>
      <c r="AD2" s="71" t="str">
        <f aca="false">Справочники!$K$9</f>
        <v>GREEN</v>
      </c>
      <c r="AE2" s="72" t="str">
        <f aca="false">Справочники!$K$10</f>
        <v>YELLOW</v>
      </c>
      <c r="AF2" s="73" t="str">
        <f aca="false">Справочники!$K$11</f>
        <v>WHITE</v>
      </c>
      <c r="AG2" s="74" t="str">
        <f aca="false">Справочники!$K$12</f>
        <v>BEIGE</v>
      </c>
      <c r="AH2" s="75" t="str">
        <f aca="false">Справочники!$K$13</f>
        <v>BROWN</v>
      </c>
      <c r="AI2" s="76" t="str">
        <f aca="false">Справочники!$K$14</f>
        <v>NATURAL</v>
      </c>
      <c r="AJ2" s="76" t="str">
        <f aca="false">Справочники!$K$15</f>
        <v>MULTI</v>
      </c>
      <c r="AK2" s="77" t="s">
        <v>440</v>
      </c>
      <c r="AL2" s="77" t="s">
        <v>441</v>
      </c>
      <c r="AM2" s="77" t="s">
        <v>442</v>
      </c>
      <c r="AN2" s="78" t="s">
        <v>443</v>
      </c>
      <c r="AO2" s="78" t="s">
        <v>98</v>
      </c>
      <c r="AP2" s="78" t="s">
        <v>444</v>
      </c>
      <c r="AQ2" s="78" t="s">
        <v>445</v>
      </c>
      <c r="AR2" s="78" t="s">
        <v>206</v>
      </c>
      <c r="AS2" s="78" t="s">
        <v>446</v>
      </c>
      <c r="AT2" s="78" t="s">
        <v>99</v>
      </c>
      <c r="AU2" s="78" t="s">
        <v>208</v>
      </c>
      <c r="AV2" s="78" t="s">
        <v>447</v>
      </c>
      <c r="AW2" s="78" t="s">
        <v>448</v>
      </c>
      <c r="AX2" s="78" t="s">
        <v>449</v>
      </c>
      <c r="AY2" s="78" t="s">
        <v>450</v>
      </c>
      <c r="AZ2" s="78" t="s">
        <v>451</v>
      </c>
      <c r="BA2" s="78" t="s">
        <v>452</v>
      </c>
      <c r="BB2" s="79" t="s">
        <v>38</v>
      </c>
      <c r="BC2" s="79" t="s">
        <v>453</v>
      </c>
      <c r="BD2" s="79" t="s">
        <v>454</v>
      </c>
      <c r="BE2" s="79" t="s">
        <v>101</v>
      </c>
      <c r="BF2" s="79" t="s">
        <v>102</v>
      </c>
      <c r="BG2" s="79" t="s">
        <v>455</v>
      </c>
      <c r="BH2" s="79" t="s">
        <v>456</v>
      </c>
      <c r="BI2" s="79" t="s">
        <v>457</v>
      </c>
      <c r="BJ2" s="79" t="s">
        <v>104</v>
      </c>
      <c r="BK2" s="79" t="s">
        <v>145</v>
      </c>
      <c r="BL2" s="4" t="s">
        <v>458</v>
      </c>
      <c r="BM2" s="4" t="s">
        <v>193</v>
      </c>
      <c r="BN2" s="4" t="s">
        <v>459</v>
      </c>
      <c r="BO2" s="4" t="s">
        <v>211</v>
      </c>
      <c r="BP2" s="4" t="s">
        <v>460</v>
      </c>
      <c r="BQ2" s="4" t="s">
        <v>461</v>
      </c>
      <c r="BR2" s="4" t="s">
        <v>462</v>
      </c>
      <c r="BS2" s="4" t="s">
        <v>44</v>
      </c>
    </row>
    <row r="3" customFormat="false" ht="79.5" hidden="false" customHeight="true" outlineLevel="0" collapsed="false">
      <c r="A3" s="80" t="s">
        <v>392</v>
      </c>
      <c r="B3" s="81"/>
      <c r="C3" s="81"/>
      <c r="D3" s="81"/>
      <c r="E3" s="83" t="s">
        <v>1508</v>
      </c>
      <c r="F3" s="81"/>
      <c r="G3" s="83" t="s">
        <v>1509</v>
      </c>
      <c r="H3" s="83" t="s">
        <v>1510</v>
      </c>
      <c r="I3" s="84" t="str">
        <f aca="false">IF(E3="","",A3&amp;"_1.jpg")</f>
        <v>AKO-GK-001_1.jpg</v>
      </c>
      <c r="J3" s="84" t="str">
        <f aca="false">IF(E3="","",A3&amp;"_2.jpg; "&amp;A3&amp;"_3.jpg")</f>
        <v>AKO-GK-001_2.jpg; AKO-GK-001_3.jpg</v>
      </c>
      <c r="K3" s="84" t="str">
        <f aca="false">IF(E3="","",A3&amp;"_schema.jpg")</f>
        <v>AKO-GK-001_schema.jpg</v>
      </c>
      <c r="L3" s="81"/>
      <c r="M3" s="81"/>
      <c r="N3" s="81" t="s">
        <v>1511</v>
      </c>
      <c r="O3" s="81"/>
      <c r="P3" s="81"/>
      <c r="Q3" s="81"/>
      <c r="R3" s="81"/>
      <c r="S3" s="81"/>
      <c r="T3" s="81"/>
      <c r="U3" s="81"/>
      <c r="V3" s="81" t="s">
        <v>96</v>
      </c>
      <c r="W3" s="81"/>
      <c r="X3" s="81" t="s">
        <v>1512</v>
      </c>
      <c r="Y3" s="85" t="n">
        <v>100</v>
      </c>
      <c r="Z3" s="85"/>
      <c r="AA3" s="85" t="n">
        <v>200</v>
      </c>
      <c r="AB3" s="85"/>
      <c r="AC3" s="85" t="n">
        <v>200</v>
      </c>
      <c r="AD3" s="85"/>
      <c r="AE3" s="85"/>
      <c r="AF3" s="85"/>
      <c r="AG3" s="85"/>
      <c r="AH3" s="85"/>
      <c r="AI3" s="85"/>
      <c r="AJ3" s="85"/>
      <c r="AK3" s="86" t="n">
        <f aca="false">IF(SUM(Y3:AJ3)=0,"",SUM(Y3:AJ3))</f>
        <v>500</v>
      </c>
      <c r="AL3" s="84" t="str">
        <f aca="false">MID(IF(N(Y3)&gt;0,", "&amp;Y$2,"")&amp;IF(N(Z3)&gt;0,", "&amp;Z$2,"")&amp;IF(N(AA3)&gt;0,", "&amp;AA$2,"")&amp;IF(N(AB3)&gt;0,", "&amp;AB$2,"")&amp;IF(N(AC3)&gt;0,", "&amp;AC$2,"")&amp;IF(N(AD3)&gt;0,", "&amp;AD$2,"")&amp;IF(N(AE3)&gt;0,", "&amp;AE$2,"")&amp;IF(N(AF3)&gt;0,", "&amp;AF$2,"")&amp;IF(N(AG3)&gt;0,", "&amp;AG$2,"")&amp;IF(N(AH3)&gt;0,", "&amp;AH$2,"")&amp;IF(N(AI3)&gt;0,", "&amp;AI$2,"")&amp;IF(N(AJ3)&gt;0,", "&amp;AJ$2,""),3,999)</f>
        <v>BLACK, RED, GRAY</v>
      </c>
      <c r="AM3" s="87" t="str">
        <f aca="false">IF(E3="","",MID(IF(N(Y3)&gt;0,", "&amp;A3&amp;"-"&amp;Y$2,"")&amp;IF(N(Z3)&gt;0,", "&amp;A3&amp;"-"&amp;Z$2,"")&amp;IF(N(AA3)&gt;0,", "&amp;A3&amp;"-"&amp;AA$2,"")&amp;IF(N(AB3)&gt;0,", "&amp;A3&amp;"-"&amp;AB$2,"")&amp;IF(N(AC3)&gt;0,", "&amp;A3&amp;"-"&amp;AC$2,"")&amp;IF(N(AD3)&gt;0,", "&amp;A3&amp;"-"&amp;AD$2,"")&amp;IF(N(AE3)&gt;0,", "&amp;A3&amp;"-"&amp;AE$2,"")&amp;IF(N(AF3)&gt;0,", "&amp;A3&amp;"-"&amp;AF$2,"")&amp;IF(N(AG3)&gt;0,", "&amp;A3&amp;"-"&amp;AG$2,"")&amp;IF(N(AH3)&gt;0,", "&amp;A3&amp;"-"&amp;AH$2,"")&amp;IF(N(AI3)&gt;0,", "&amp;A3&amp;"-"&amp;AI$2,"")&amp;IF(N(AJ3)&gt;0,", "&amp;A3&amp;"-"&amp;AJ$2,""),3,999))</f>
        <v>AKO-GK-001-BLACK, AKO-GK-001-RED, AKO-GK-001-GRAY</v>
      </c>
      <c r="AN3" s="81" t="n">
        <v>1</v>
      </c>
      <c r="AO3" s="88" t="n">
        <v>450</v>
      </c>
      <c r="AP3" s="89" t="n">
        <f aca="false">IF(AO3="","",ROUND(AO3/(1+Справочники!$B$13),2))</f>
        <v>450</v>
      </c>
      <c r="AQ3" s="90" t="n">
        <f aca="false" t="array" ref="AQ3:AQ3">IF(AP3="","",AP3*INDEX(Справочники!$B$4:$B$7,MATCH("RUB",Справочники!$A$4:$A$7,0)))</f>
        <v>2385</v>
      </c>
      <c r="AR3" s="90" t="n">
        <f aca="false">IF(AQ3="","",ROUND(AQ3*(1+Справочники!$B$12),0))</f>
        <v>2767</v>
      </c>
      <c r="AS3" s="90" t="n">
        <f aca="false">IF(AR3="","",ROUND(AR3*(1-Справочники!$B$11),0))</f>
        <v>2546</v>
      </c>
      <c r="AT3" s="93" t="n">
        <f aca="false">IF(BH3="","",IF(AS3="",ROUNDUP(BH3/(1-Справочники!$B$23)*(1+Справочники!$B$12),-1),MAX(AS3,ROUNDUP(BH3/(1-Справочники!$B$24)*(1+Справочники!$B$12),-1))))</f>
        <v>2546</v>
      </c>
      <c r="AU3" s="90" t="n">
        <f aca="false">IF(AT3="","",ROUND(AT3/(1+Справочники!$B$12),0))</f>
        <v>2195</v>
      </c>
      <c r="AV3" s="90" t="n">
        <f aca="false">IF(AT3="","",ROUND(AT3*(1-Справочники!$B$15),0))</f>
        <v>2470</v>
      </c>
      <c r="AW3" s="90" t="n">
        <f aca="false">IF(AT3="","",ROUND(AT3*(1-Справочники!$B$16),0))</f>
        <v>2393</v>
      </c>
      <c r="AX3" s="90" t="n">
        <f aca="false">IF(AT3="","",ROUND(AT3*(1-Справочники!$B$17),0))</f>
        <v>2317</v>
      </c>
      <c r="AY3" s="90" t="n">
        <f aca="false">IF(AT3="","",ROUND(AT3*(1-Справочники!$B$18),0))</f>
        <v>2240</v>
      </c>
      <c r="AZ3" s="90" t="n">
        <f aca="false">IF(AT3="","",ROUND(AT3*(1-Справочники!$B$19),0))</f>
        <v>2164</v>
      </c>
      <c r="BA3" s="81"/>
      <c r="BB3" s="81" t="s">
        <v>166</v>
      </c>
      <c r="BC3" s="81" t="s">
        <v>393</v>
      </c>
      <c r="BD3" s="81"/>
      <c r="BE3" s="91" t="n">
        <v>2.8</v>
      </c>
      <c r="BF3" s="81" t="s">
        <v>103</v>
      </c>
      <c r="BG3" s="89" t="n">
        <f aca="false" t="array" ref="BG3:BG3">IF(BF3="","",IFERROR(INDEX(Справочники!$B$4:$B$7,MATCH(BF3,Справочники!$A$4:$A$7,0)),""))</f>
        <v>68.5</v>
      </c>
      <c r="BH3" s="90" t="n">
        <f aca="false">IF(N(BN3)&gt;0,ROUND(SUMIF(ЗАКАЗЫ!$F$3:$F$500,$A3,ЗАКАЗЫ!$Y$3:$Y$500)/BN3,0),IF(OR(BE3="",BG3=""),"",ROUND(BE3*BG3*(1+Справочники!$B$10),0)))</f>
        <v>237</v>
      </c>
      <c r="BI3" s="92" t="n">
        <f aca="false">IF(OR(AU3="",BH3="",AU3=0),"",(AU3-BH3)/AU3)</f>
        <v>0.892027334851936</v>
      </c>
      <c r="BJ3" s="81"/>
      <c r="BK3" s="83"/>
      <c r="BL3" s="43" t="str">
        <f aca="false">IFERROR(INDEX(ЗАКАЗЫ!$N$3:$N$500,MATCH($A3,ЗАКАЗЫ!$F$3:$F$500,0)),"")</f>
        <v>9506 91 900 0</v>
      </c>
      <c r="BM3" s="8" t="n">
        <f aca="false">IF(BL3="","",IFERROR(VLOOKUP(BL3,'ТН ВЭД'!$A$4:$C$40,3,0),""))</f>
        <v>0.05</v>
      </c>
      <c r="BN3" s="7" t="n">
        <f aca="false">IF(COUNTIF(ЗАКАЗЫ!$F$3:$F$500,$A3)=0,"",SUMIF(ЗАКАЗЫ!$F$3:$F$500,$A3,ЗАКАЗЫ!$J$3:$J$500))</f>
        <v>500</v>
      </c>
      <c r="BO3" s="7" t="n">
        <f aca="false">IF(BN3="","",SUMIF(ЗАКАЗЫ!$F$3:$F$500,$A3,ЗАКАЗЫ!$AL$3:$AL$500))</f>
        <v>0</v>
      </c>
      <c r="BP3" s="7" t="n">
        <f aca="false">IF(BN3="","",BN3-BO3)</f>
        <v>500</v>
      </c>
      <c r="BQ3" s="55" t="str">
        <f aca="false">IF(BN3="","",IF(BO3&gt;=BN3,"На складе",IF(BO3&gt;0,"Частично","Ждём")))</f>
        <v>Ждём</v>
      </c>
      <c r="BR3" s="43" t="s">
        <v>1513</v>
      </c>
      <c r="BS3" s="47" t="str">
        <f aca="false">IF(BN3="","",IF(_xlfn.MAXIFS(ЗАКАЗЫ!$AK$3:$AK$500,ЗАКАЗЫ!$F$3:$F$500,$A3)=0,"",_xlfn.MAXIFS(ЗАКАЗЫ!$AK$3:$AK$500,ЗАКАЗЫ!$F$3:$F$500,$A3)))</f>
        <v/>
      </c>
    </row>
    <row r="4" customFormat="false" ht="79.5" hidden="false" customHeight="true" outlineLevel="0" collapsed="false">
      <c r="A4" s="80" t="s">
        <v>395</v>
      </c>
      <c r="B4" s="81"/>
      <c r="C4" s="81"/>
      <c r="D4" s="81"/>
      <c r="E4" s="83" t="s">
        <v>1514</v>
      </c>
      <c r="F4" s="81"/>
      <c r="G4" s="83" t="s">
        <v>1515</v>
      </c>
      <c r="H4" s="83" t="s">
        <v>1516</v>
      </c>
      <c r="I4" s="84" t="str">
        <f aca="false">IF(E4="","",A4&amp;"_1.jpg")</f>
        <v>AKO-GK-002_1.jpg</v>
      </c>
      <c r="J4" s="84" t="str">
        <f aca="false">IF(E4="","",A4&amp;"_2.jpg; "&amp;A4&amp;"_3.jpg")</f>
        <v>AKO-GK-002_2.jpg; AKO-GK-002_3.jpg</v>
      </c>
      <c r="K4" s="84" t="str">
        <f aca="false">IF(E4="","",A4&amp;"_schema.jpg")</f>
        <v>AKO-GK-002_schema.jpg</v>
      </c>
      <c r="L4" s="81"/>
      <c r="M4" s="81"/>
      <c r="N4" s="81" t="s">
        <v>1511</v>
      </c>
      <c r="O4" s="81"/>
      <c r="P4" s="81"/>
      <c r="Q4" s="81"/>
      <c r="R4" s="81"/>
      <c r="S4" s="81"/>
      <c r="T4" s="81"/>
      <c r="U4" s="81"/>
      <c r="V4" s="81" t="s">
        <v>96</v>
      </c>
      <c r="W4" s="81"/>
      <c r="X4" s="81" t="s">
        <v>1517</v>
      </c>
      <c r="Y4" s="85" t="n">
        <v>200</v>
      </c>
      <c r="Z4" s="85"/>
      <c r="AA4" s="85" t="n">
        <v>50</v>
      </c>
      <c r="AB4" s="85"/>
      <c r="AC4" s="85"/>
      <c r="AD4" s="85"/>
      <c r="AE4" s="85" t="n">
        <v>200</v>
      </c>
      <c r="AF4" s="85"/>
      <c r="AG4" s="85"/>
      <c r="AH4" s="85"/>
      <c r="AI4" s="85"/>
      <c r="AJ4" s="85"/>
      <c r="AK4" s="86" t="n">
        <f aca="false">IF(SUM(Y4:AJ4)=0,"",SUM(Y4:AJ4))</f>
        <v>450</v>
      </c>
      <c r="AL4" s="84" t="str">
        <f aca="false">MID(IF(N(Y4)&gt;0,", "&amp;Y$2,"")&amp;IF(N(Z4)&gt;0,", "&amp;Z$2,"")&amp;IF(N(AA4)&gt;0,", "&amp;AA$2,"")&amp;IF(N(AB4)&gt;0,", "&amp;AB$2,"")&amp;IF(N(AC4)&gt;0,", "&amp;AC$2,"")&amp;IF(N(AD4)&gt;0,", "&amp;AD$2,"")&amp;IF(N(AE4)&gt;0,", "&amp;AE$2,"")&amp;IF(N(AF4)&gt;0,", "&amp;AF$2,"")&amp;IF(N(AG4)&gt;0,", "&amp;AG$2,"")&amp;IF(N(AH4)&gt;0,", "&amp;AH$2,"")&amp;IF(N(AI4)&gt;0,", "&amp;AI$2,"")&amp;IF(N(AJ4)&gt;0,", "&amp;AJ$2,""),3,999)</f>
        <v>BLACK, RED, YELLOW</v>
      </c>
      <c r="AM4" s="87" t="str">
        <f aca="false">IF(E4="","",MID(IF(N(Y4)&gt;0,", "&amp;A4&amp;"-"&amp;Y$2,"")&amp;IF(N(Z4)&gt;0,", "&amp;A4&amp;"-"&amp;Z$2,"")&amp;IF(N(AA4)&gt;0,", "&amp;A4&amp;"-"&amp;AA$2,"")&amp;IF(N(AB4)&gt;0,", "&amp;A4&amp;"-"&amp;AB$2,"")&amp;IF(N(AC4)&gt;0,", "&amp;A4&amp;"-"&amp;AC$2,"")&amp;IF(N(AD4)&gt;0,", "&amp;A4&amp;"-"&amp;AD$2,"")&amp;IF(N(AE4)&gt;0,", "&amp;A4&amp;"-"&amp;AE$2,"")&amp;IF(N(AF4)&gt;0,", "&amp;A4&amp;"-"&amp;AF$2,"")&amp;IF(N(AG4)&gt;0,", "&amp;A4&amp;"-"&amp;AG$2,"")&amp;IF(N(AH4)&gt;0,", "&amp;A4&amp;"-"&amp;AH$2,"")&amp;IF(N(AI4)&gt;0,", "&amp;A4&amp;"-"&amp;AI$2,"")&amp;IF(N(AJ4)&gt;0,", "&amp;A4&amp;"-"&amp;AJ$2,""),3,999))</f>
        <v>AKO-GK-002-BLACK, AKO-GK-002-RED, AKO-GK-002-YELLOW</v>
      </c>
      <c r="AN4" s="81" t="n">
        <v>1</v>
      </c>
      <c r="AO4" s="88" t="n">
        <v>450</v>
      </c>
      <c r="AP4" s="89" t="n">
        <f aca="false">IF(AO4="","",ROUND(AO4/(1+Справочники!$B$13),2))</f>
        <v>450</v>
      </c>
      <c r="AQ4" s="90" t="n">
        <f aca="false" t="array" ref="AQ4:AQ4">IF(AP4="","",AP4*INDEX(Справочники!$B$4:$B$7,MATCH("RUB",Справочники!$A$4:$A$7,0)))</f>
        <v>2385</v>
      </c>
      <c r="AR4" s="90" t="n">
        <f aca="false">IF(AQ4="","",ROUND(AQ4*(1+Справочники!$B$12),0))</f>
        <v>2767</v>
      </c>
      <c r="AS4" s="90" t="n">
        <f aca="false">IF(AR4="","",ROUND(AR4*(1-Справочники!$B$11),0))</f>
        <v>2546</v>
      </c>
      <c r="AT4" s="93" t="n">
        <f aca="false">IF(BH4="","",IF(AS4="",ROUNDUP(BH4/(1-Справочники!$B$23)*(1+Справочники!$B$12),-1),MAX(AS4,ROUNDUP(BH4/(1-Справочники!$B$24)*(1+Справочники!$B$12),-1))))</f>
        <v>2546</v>
      </c>
      <c r="AU4" s="90" t="n">
        <f aca="false">IF(AT4="","",ROUND(AT4/(1+Справочники!$B$12),0))</f>
        <v>2195</v>
      </c>
      <c r="AV4" s="90" t="n">
        <f aca="false">IF(AT4="","",ROUND(AT4*(1-Справочники!$B$15),0))</f>
        <v>2470</v>
      </c>
      <c r="AW4" s="90" t="n">
        <f aca="false">IF(AT4="","",ROUND(AT4*(1-Справочники!$B$16),0))</f>
        <v>2393</v>
      </c>
      <c r="AX4" s="90" t="n">
        <f aca="false">IF(AT4="","",ROUND(AT4*(1-Справочники!$B$17),0))</f>
        <v>2317</v>
      </c>
      <c r="AY4" s="90" t="n">
        <f aca="false">IF(AT4="","",ROUND(AT4*(1-Справочники!$B$18),0))</f>
        <v>2240</v>
      </c>
      <c r="AZ4" s="90" t="n">
        <f aca="false">IF(AT4="","",ROUND(AT4*(1-Справочники!$B$19),0))</f>
        <v>2164</v>
      </c>
      <c r="BA4" s="81"/>
      <c r="BB4" s="81" t="s">
        <v>166</v>
      </c>
      <c r="BC4" s="81" t="s">
        <v>396</v>
      </c>
      <c r="BD4" s="81"/>
      <c r="BE4" s="91" t="n">
        <v>5</v>
      </c>
      <c r="BF4" s="81" t="s">
        <v>103</v>
      </c>
      <c r="BG4" s="89" t="n">
        <f aca="false" t="array" ref="BG4:BG4">IF(BF4="","",IFERROR(INDEX(Справочники!$B$4:$B$7,MATCH(BF4,Справочники!$A$4:$A$7,0)),""))</f>
        <v>68.5</v>
      </c>
      <c r="BH4" s="90" t="n">
        <f aca="false">IF(N(BN4)&gt;0,ROUND(SUMIF(ЗАКАЗЫ!$F$3:$F$500,$A4,ЗАКАЗЫ!$Y$3:$Y$500)/BN4,0),IF(OR(BE4="",BG4=""),"",ROUND(BE4*BG4*(1+Справочники!$B$10),0)))</f>
        <v>424</v>
      </c>
      <c r="BI4" s="92" t="n">
        <f aca="false">IF(OR(AU4="",BH4="",AU4=0),"",(AU4-BH4)/AU4)</f>
        <v>0.806833712984055</v>
      </c>
      <c r="BJ4" s="81"/>
      <c r="BK4" s="83"/>
      <c r="BL4" s="43" t="str">
        <f aca="false">IFERROR(INDEX(ЗАКАЗЫ!$N$3:$N$500,MATCH($A4,ЗАКАЗЫ!$F$3:$F$500,0)),"")</f>
        <v>9506 91 900 0</v>
      </c>
      <c r="BM4" s="8" t="n">
        <f aca="false">IF(BL4="","",IFERROR(VLOOKUP(BL4,'ТН ВЭД'!$A$4:$C$40,3,0),""))</f>
        <v>0.05</v>
      </c>
      <c r="BN4" s="7" t="n">
        <f aca="false">IF(COUNTIF(ЗАКАЗЫ!$F$3:$F$500,$A4)=0,"",SUMIF(ЗАКАЗЫ!$F$3:$F$500,$A4,ЗАКАЗЫ!$J$3:$J$500))</f>
        <v>500</v>
      </c>
      <c r="BO4" s="7" t="n">
        <f aca="false">IF(BN4="","",SUMIF(ЗАКАЗЫ!$F$3:$F$500,$A4,ЗАКАЗЫ!$AL$3:$AL$500))</f>
        <v>0</v>
      </c>
      <c r="BP4" s="7" t="n">
        <f aca="false">IF(BN4="","",BN4-BO4)</f>
        <v>500</v>
      </c>
      <c r="BQ4" s="55" t="str">
        <f aca="false">IF(BN4="","",IF(BO4&gt;=BN4,"На складе",IF(BO4&gt;0,"Частично","Ждём")))</f>
        <v>Ждём</v>
      </c>
      <c r="BR4" s="43" t="s">
        <v>1518</v>
      </c>
      <c r="BS4" s="47" t="str">
        <f aca="false">IF(BN4="","",IF(_xlfn.MAXIFS(ЗАКАЗЫ!$AK$3:$AK$500,ЗАКАЗЫ!$F$3:$F$500,$A4)=0,"",_xlfn.MAXIFS(ЗАКАЗЫ!$AK$3:$AK$500,ЗАКАЗЫ!$F$3:$F$500,$A4)))</f>
        <v/>
      </c>
    </row>
    <row r="5" customFormat="false" ht="79.5" hidden="false" customHeight="true" outlineLevel="0" collapsed="false">
      <c r="A5" s="80" t="s">
        <v>398</v>
      </c>
      <c r="B5" s="81"/>
      <c r="C5" s="81"/>
      <c r="D5" s="81"/>
      <c r="E5" s="83" t="s">
        <v>1519</v>
      </c>
      <c r="F5" s="81"/>
      <c r="G5" s="83" t="s">
        <v>1520</v>
      </c>
      <c r="H5" s="83" t="s">
        <v>1521</v>
      </c>
      <c r="I5" s="84" t="str">
        <f aca="false">IF(E5="","",A5&amp;"_1.jpg")</f>
        <v>AKO-GK-003_1.jpg</v>
      </c>
      <c r="J5" s="84" t="str">
        <f aca="false">IF(E5="","",A5&amp;"_2.jpg; "&amp;A5&amp;"_3.jpg")</f>
        <v>AKO-GK-003_2.jpg; AKO-GK-003_3.jpg</v>
      </c>
      <c r="K5" s="84" t="str">
        <f aca="false">IF(E5="","",A5&amp;"_schema.jpg")</f>
        <v>AKO-GK-003_schema.jpg</v>
      </c>
      <c r="L5" s="81"/>
      <c r="M5" s="81"/>
      <c r="N5" s="81" t="s">
        <v>1511</v>
      </c>
      <c r="O5" s="81"/>
      <c r="P5" s="81"/>
      <c r="Q5" s="81"/>
      <c r="R5" s="81"/>
      <c r="S5" s="81"/>
      <c r="T5" s="81"/>
      <c r="U5" s="81"/>
      <c r="V5" s="81" t="s">
        <v>96</v>
      </c>
      <c r="W5" s="81"/>
      <c r="X5" s="81" t="s">
        <v>1522</v>
      </c>
      <c r="Y5" s="85"/>
      <c r="Z5" s="85"/>
      <c r="AA5" s="85" t="n">
        <v>100</v>
      </c>
      <c r="AB5" s="85" t="n">
        <v>200</v>
      </c>
      <c r="AC5" s="85"/>
      <c r="AD5" s="85" t="n">
        <v>200</v>
      </c>
      <c r="AE5" s="85"/>
      <c r="AF5" s="85"/>
      <c r="AG5" s="85"/>
      <c r="AH5" s="85"/>
      <c r="AI5" s="85"/>
      <c r="AJ5" s="85"/>
      <c r="AK5" s="86" t="n">
        <f aca="false">IF(SUM(Y5:AJ5)=0,"",SUM(Y5:AJ5))</f>
        <v>500</v>
      </c>
      <c r="AL5" s="84" t="str">
        <f aca="false">MID(IF(N(Y5)&gt;0,", "&amp;Y$2,"")&amp;IF(N(Z5)&gt;0,", "&amp;Z$2,"")&amp;IF(N(AA5)&gt;0,", "&amp;AA$2,"")&amp;IF(N(AB5)&gt;0,", "&amp;AB$2,"")&amp;IF(N(AC5)&gt;0,", "&amp;AC$2,"")&amp;IF(N(AD5)&gt;0,", "&amp;AD$2,"")&amp;IF(N(AE5)&gt;0,", "&amp;AE$2,"")&amp;IF(N(AF5)&gt;0,", "&amp;AF$2,"")&amp;IF(N(AG5)&gt;0,", "&amp;AG$2,"")&amp;IF(N(AH5)&gt;0,", "&amp;AH$2,"")&amp;IF(N(AI5)&gt;0,", "&amp;AI$2,"")&amp;IF(N(AJ5)&gt;0,", "&amp;AJ$2,""),3,999)</f>
        <v>RED, BLUE, GREEN</v>
      </c>
      <c r="AM5" s="87" t="str">
        <f aca="false">IF(E5="","",MID(IF(N(Y5)&gt;0,", "&amp;A5&amp;"-"&amp;Y$2,"")&amp;IF(N(Z5)&gt;0,", "&amp;A5&amp;"-"&amp;Z$2,"")&amp;IF(N(AA5)&gt;0,", "&amp;A5&amp;"-"&amp;AA$2,"")&amp;IF(N(AB5)&gt;0,", "&amp;A5&amp;"-"&amp;AB$2,"")&amp;IF(N(AC5)&gt;0,", "&amp;A5&amp;"-"&amp;AC$2,"")&amp;IF(N(AD5)&gt;0,", "&amp;A5&amp;"-"&amp;AD$2,"")&amp;IF(N(AE5)&gt;0,", "&amp;A5&amp;"-"&amp;AE$2,"")&amp;IF(N(AF5)&gt;0,", "&amp;A5&amp;"-"&amp;AF$2,"")&amp;IF(N(AG5)&gt;0,", "&amp;A5&amp;"-"&amp;AG$2,"")&amp;IF(N(AH5)&gt;0,", "&amp;A5&amp;"-"&amp;AH$2,"")&amp;IF(N(AI5)&gt;0,", "&amp;A5&amp;"-"&amp;AI$2,"")&amp;IF(N(AJ5)&gt;0,", "&amp;A5&amp;"-"&amp;AJ$2,""),3,999))</f>
        <v>AKO-GK-003-RED, AKO-GK-003-BLUE, AKO-GK-003-GREEN</v>
      </c>
      <c r="AN5" s="81" t="n">
        <v>1</v>
      </c>
      <c r="AO5" s="88" t="n">
        <v>460</v>
      </c>
      <c r="AP5" s="89" t="n">
        <f aca="false">IF(AO5="","",ROUND(AO5/(1+Справочники!$B$13),2))</f>
        <v>460</v>
      </c>
      <c r="AQ5" s="90" t="n">
        <f aca="false" t="array" ref="AQ5:AQ5">IF(AP5="","",AP5*INDEX(Справочники!$B$4:$B$7,MATCH("RUB",Справочники!$A$4:$A$7,0)))</f>
        <v>2438</v>
      </c>
      <c r="AR5" s="90" t="n">
        <f aca="false">IF(AQ5="","",ROUND(AQ5*(1+Справочники!$B$12),0))</f>
        <v>2828</v>
      </c>
      <c r="AS5" s="90" t="n">
        <f aca="false">IF(AR5="","",ROUND(AR5*(1-Справочники!$B$11),0))</f>
        <v>2602</v>
      </c>
      <c r="AT5" s="93" t="n">
        <f aca="false">IF(BH5="","",IF(AS5="",ROUNDUP(BH5/(1-Справочники!$B$23)*(1+Справочники!$B$12),-1),MAX(AS5,ROUNDUP(BH5/(1-Справочники!$B$24)*(1+Справочники!$B$12),-1))))</f>
        <v>2602</v>
      </c>
      <c r="AU5" s="90" t="n">
        <f aca="false">IF(AT5="","",ROUND(AT5/(1+Справочники!$B$12),0))</f>
        <v>2243</v>
      </c>
      <c r="AV5" s="90" t="n">
        <f aca="false">IF(AT5="","",ROUND(AT5*(1-Справочники!$B$15),0))</f>
        <v>2524</v>
      </c>
      <c r="AW5" s="90" t="n">
        <f aca="false">IF(AT5="","",ROUND(AT5*(1-Справочники!$B$16),0))</f>
        <v>2446</v>
      </c>
      <c r="AX5" s="90" t="n">
        <f aca="false">IF(AT5="","",ROUND(AT5*(1-Справочники!$B$17),0))</f>
        <v>2368</v>
      </c>
      <c r="AY5" s="90" t="n">
        <f aca="false">IF(AT5="","",ROUND(AT5*(1-Справочники!$B$18),0))</f>
        <v>2290</v>
      </c>
      <c r="AZ5" s="90" t="n">
        <f aca="false">IF(AT5="","",ROUND(AT5*(1-Справочники!$B$19),0))</f>
        <v>2212</v>
      </c>
      <c r="BA5" s="81"/>
      <c r="BB5" s="81" t="s">
        <v>166</v>
      </c>
      <c r="BC5" s="81" t="s">
        <v>399</v>
      </c>
      <c r="BD5" s="81"/>
      <c r="BE5" s="91" t="n">
        <v>3.5</v>
      </c>
      <c r="BF5" s="81" t="s">
        <v>103</v>
      </c>
      <c r="BG5" s="89" t="n">
        <f aca="false" t="array" ref="BG5:BG5">IF(BF5="","",IFERROR(INDEX(Справочники!$B$4:$B$7,MATCH(BF5,Справочники!$A$4:$A$7,0)),""))</f>
        <v>68.5</v>
      </c>
      <c r="BH5" s="90" t="n">
        <f aca="false">IF(N(BN5)&gt;0,ROUND(SUMIF(ЗАКАЗЫ!$F$3:$F$500,$A5,ЗАКАЗЫ!$Y$3:$Y$500)/BN5,0),IF(OR(BE5="",BG5=""),"",ROUND(BE5*BG5*(1+Справочники!$B$10),0)))</f>
        <v>297</v>
      </c>
      <c r="BI5" s="92" t="n">
        <f aca="false">IF(OR(AU5="",BH5="",AU5=0),"",(AU5-BH5)/AU5)</f>
        <v>0.867588051716451</v>
      </c>
      <c r="BJ5" s="81"/>
      <c r="BK5" s="83"/>
      <c r="BL5" s="43" t="str">
        <f aca="false">IFERROR(INDEX(ЗАКАЗЫ!$N$3:$N$500,MATCH($A5,ЗАКАЗЫ!$F$3:$F$500,0)),"")</f>
        <v>9506 91 900 0</v>
      </c>
      <c r="BM5" s="8" t="n">
        <f aca="false">IF(BL5="","",IFERROR(VLOOKUP(BL5,'ТН ВЭД'!$A$4:$C$40,3,0),""))</f>
        <v>0.05</v>
      </c>
      <c r="BN5" s="7" t="n">
        <f aca="false">IF(COUNTIF(ЗАКАЗЫ!$F$3:$F$500,$A5)=0,"",SUMIF(ЗАКАЗЫ!$F$3:$F$500,$A5,ЗАКАЗЫ!$J$3:$J$500))</f>
        <v>500</v>
      </c>
      <c r="BO5" s="7" t="n">
        <f aca="false">IF(BN5="","",SUMIF(ЗАКАЗЫ!$F$3:$F$500,$A5,ЗАКАЗЫ!$AL$3:$AL$500))</f>
        <v>0</v>
      </c>
      <c r="BP5" s="7" t="n">
        <f aca="false">IF(BN5="","",BN5-BO5)</f>
        <v>500</v>
      </c>
      <c r="BQ5" s="55" t="str">
        <f aca="false">IF(BN5="","",IF(BO5&gt;=BN5,"На складе",IF(BO5&gt;0,"Частично","Ждём")))</f>
        <v>Ждём</v>
      </c>
      <c r="BR5" s="43" t="s">
        <v>1523</v>
      </c>
      <c r="BS5" s="47" t="str">
        <f aca="false">IF(BN5="","",IF(_xlfn.MAXIFS(ЗАКАЗЫ!$AK$3:$AK$500,ЗАКАЗЫ!$F$3:$F$500,$A5)=0,"",_xlfn.MAXIFS(ЗАКАЗЫ!$AK$3:$AK$500,ЗАКАЗЫ!$F$3:$F$500,$A5)))</f>
        <v/>
      </c>
    </row>
    <row r="6" customFormat="false" ht="79.5" hidden="false" customHeight="true" outlineLevel="0" collapsed="false">
      <c r="A6" s="80" t="s">
        <v>367</v>
      </c>
      <c r="B6" s="81"/>
      <c r="C6" s="81"/>
      <c r="D6" s="81"/>
      <c r="E6" s="83" t="s">
        <v>1524</v>
      </c>
      <c r="F6" s="81"/>
      <c r="G6" s="83" t="s">
        <v>1525</v>
      </c>
      <c r="H6" s="83" t="s">
        <v>1526</v>
      </c>
      <c r="I6" s="84" t="str">
        <f aca="false">IF(E6="","",A6&amp;"_1.jpg")</f>
        <v>AKO-GK-004_1.jpg</v>
      </c>
      <c r="J6" s="84" t="str">
        <f aca="false">IF(E6="","",A6&amp;"_2.jpg; "&amp;A6&amp;"_3.jpg")</f>
        <v>AKO-GK-004_2.jpg; AKO-GK-004_3.jpg</v>
      </c>
      <c r="K6" s="84" t="str">
        <f aca="false">IF(E6="","",A6&amp;"_schema.jpg")</f>
        <v>AKO-GK-004_schema.jpg</v>
      </c>
      <c r="L6" s="81"/>
      <c r="M6" s="81"/>
      <c r="N6" s="81" t="s">
        <v>1527</v>
      </c>
      <c r="O6" s="81"/>
      <c r="P6" s="81"/>
      <c r="Q6" s="81"/>
      <c r="R6" s="81"/>
      <c r="S6" s="81"/>
      <c r="T6" s="81"/>
      <c r="U6" s="81"/>
      <c r="V6" s="81" t="s">
        <v>96</v>
      </c>
      <c r="W6" s="81"/>
      <c r="X6" s="81" t="s">
        <v>1528</v>
      </c>
      <c r="Y6" s="85"/>
      <c r="Z6" s="85"/>
      <c r="AA6" s="85"/>
      <c r="AB6" s="85"/>
      <c r="AC6" s="85"/>
      <c r="AD6" s="85"/>
      <c r="AE6" s="85" t="n">
        <v>100</v>
      </c>
      <c r="AF6" s="85"/>
      <c r="AG6" s="85"/>
      <c r="AH6" s="85"/>
      <c r="AI6" s="85"/>
      <c r="AJ6" s="85"/>
      <c r="AK6" s="86" t="n">
        <f aca="false">IF(SUM(Y6:AJ6)=0,"",SUM(Y6:AJ6))</f>
        <v>100</v>
      </c>
      <c r="AL6" s="84" t="str">
        <f aca="false">MID(IF(N(Y6)&gt;0,", "&amp;Y$2,"")&amp;IF(N(Z6)&gt;0,", "&amp;Z$2,"")&amp;IF(N(AA6)&gt;0,", "&amp;AA$2,"")&amp;IF(N(AB6)&gt;0,", "&amp;AB$2,"")&amp;IF(N(AC6)&gt;0,", "&amp;AC$2,"")&amp;IF(N(AD6)&gt;0,", "&amp;AD$2,"")&amp;IF(N(AE6)&gt;0,", "&amp;AE$2,"")&amp;IF(N(AF6)&gt;0,", "&amp;AF$2,"")&amp;IF(N(AG6)&gt;0,", "&amp;AG$2,"")&amp;IF(N(AH6)&gt;0,", "&amp;AH$2,"")&amp;IF(N(AI6)&gt;0,", "&amp;AI$2,"")&amp;IF(N(AJ6)&gt;0,", "&amp;AJ$2,""),3,999)</f>
        <v>YELLOW</v>
      </c>
      <c r="AM6" s="87" t="str">
        <f aca="false">IF(E6="","",MID(IF(N(Y6)&gt;0,", "&amp;A6&amp;"-"&amp;Y$2,"")&amp;IF(N(Z6)&gt;0,", "&amp;A6&amp;"-"&amp;Z$2,"")&amp;IF(N(AA6)&gt;0,", "&amp;A6&amp;"-"&amp;AA$2,"")&amp;IF(N(AB6)&gt;0,", "&amp;A6&amp;"-"&amp;AB$2,"")&amp;IF(N(AC6)&gt;0,", "&amp;A6&amp;"-"&amp;AC$2,"")&amp;IF(N(AD6)&gt;0,", "&amp;A6&amp;"-"&amp;AD$2,"")&amp;IF(N(AE6)&gt;0,", "&amp;A6&amp;"-"&amp;AE$2,"")&amp;IF(N(AF6)&gt;0,", "&amp;A6&amp;"-"&amp;AF$2,"")&amp;IF(N(AG6)&gt;0,", "&amp;A6&amp;"-"&amp;AG$2,"")&amp;IF(N(AH6)&gt;0,", "&amp;A6&amp;"-"&amp;AH$2,"")&amp;IF(N(AI6)&gt;0,", "&amp;A6&amp;"-"&amp;AI$2,"")&amp;IF(N(AJ6)&gt;0,", "&amp;A6&amp;"-"&amp;AJ$2,""),3,999))</f>
        <v>AKO-GK-004-YELLOW</v>
      </c>
      <c r="AN6" s="81" t="n">
        <v>1</v>
      </c>
      <c r="AO6" s="88" t="n">
        <v>3150</v>
      </c>
      <c r="AP6" s="89" t="n">
        <f aca="false">IF(AO6="","",ROUND(AO6/(1+Справочники!$B$13),2))</f>
        <v>3150</v>
      </c>
      <c r="AQ6" s="90" t="n">
        <f aca="false" t="array" ref="AQ6:AQ6">IF(AP6="","",AP6*INDEX(Справочники!$B$4:$B$7,MATCH("RUB",Справочники!$A$4:$A$7,0)))</f>
        <v>16695</v>
      </c>
      <c r="AR6" s="90" t="n">
        <f aca="false">IF(AQ6="","",ROUND(AQ6*(1+Справочники!$B$12),0))</f>
        <v>19366</v>
      </c>
      <c r="AS6" s="90" t="n">
        <f aca="false">IF(AR6="","",ROUND(AR6*(1-Справочники!$B$11),0))</f>
        <v>17817</v>
      </c>
      <c r="AT6" s="88" t="n">
        <v>12000</v>
      </c>
      <c r="AU6" s="90" t="n">
        <f aca="false">IF(AT6="","",ROUND(AT6/(1+Справочники!$B$12),0))</f>
        <v>10345</v>
      </c>
      <c r="AV6" s="90" t="n">
        <f aca="false">IF(AT6="","",ROUND(AT6*(1-Справочники!$B$15),0))</f>
        <v>11640</v>
      </c>
      <c r="AW6" s="90" t="n">
        <f aca="false">IF(AT6="","",ROUND(AT6*(1-Справочники!$B$16),0))</f>
        <v>11280</v>
      </c>
      <c r="AX6" s="90" t="n">
        <f aca="false">IF(AT6="","",ROUND(AT6*(1-Справочники!$B$17),0))</f>
        <v>10920</v>
      </c>
      <c r="AY6" s="90" t="n">
        <f aca="false">IF(AT6="","",ROUND(AT6*(1-Справочники!$B$18),0))</f>
        <v>10560</v>
      </c>
      <c r="AZ6" s="90" t="n">
        <f aca="false">IF(AT6="","",ROUND(AT6*(1-Справочники!$B$19),0))</f>
        <v>10200</v>
      </c>
      <c r="BA6" s="81"/>
      <c r="BB6" s="81" t="s">
        <v>100</v>
      </c>
      <c r="BC6" s="81" t="s">
        <v>368</v>
      </c>
      <c r="BD6" s="81"/>
      <c r="BE6" s="91" t="n">
        <v>38</v>
      </c>
      <c r="BF6" s="81" t="s">
        <v>103</v>
      </c>
      <c r="BG6" s="89" t="n">
        <f aca="false" t="array" ref="BG6:BG6">IF(BF6="","",IFERROR(INDEX(Справочники!$B$4:$B$7,MATCH(BF6,Справочники!$A$4:$A$7,0)),""))</f>
        <v>68.5</v>
      </c>
      <c r="BH6" s="90" t="n">
        <f aca="false">IF(N(BN6)&gt;0,ROUND(SUMIF(ЗАКАЗЫ!$F$3:$F$500,$A6,ЗАКАЗЫ!$Y$3:$Y$500)/BN6,0),IF(OR(BE6="",BG6=""),"",ROUND(BE6*BG6*(1+Справочники!$B$10),0)))</f>
        <v>3124</v>
      </c>
      <c r="BI6" s="92" t="n">
        <f aca="false">IF(OR(AU6="",BH6="",AU6=0),"",(AU6-BH6)/AU6)</f>
        <v>0.698018366360561</v>
      </c>
      <c r="BJ6" s="81"/>
      <c r="BK6" s="83"/>
      <c r="BL6" s="43" t="str">
        <f aca="false">IFERROR(INDEX(ЗАКАЗЫ!$N$3:$N$500,MATCH($A6,ЗАКАЗЫ!$F$3:$F$500,0)),"")</f>
        <v>9506 91 900 0</v>
      </c>
      <c r="BM6" s="8" t="n">
        <f aca="false">IF(BL6="","",IFERROR(VLOOKUP(BL6,'ТН ВЭД'!$A$4:$C$40,3,0),""))</f>
        <v>0.05</v>
      </c>
      <c r="BN6" s="7" t="n">
        <f aca="false">IF(COUNTIF(ЗАКАЗЫ!$F$3:$F$500,$A6)=0,"",SUMIF(ЗАКАЗЫ!$F$3:$F$500,$A6,ЗАКАЗЫ!$J$3:$J$500))</f>
        <v>100</v>
      </c>
      <c r="BO6" s="7" t="n">
        <f aca="false">IF(BN6="","",SUMIF(ЗАКАЗЫ!$F$3:$F$500,$A6,ЗАКАЗЫ!$AL$3:$AL$500))</f>
        <v>0</v>
      </c>
      <c r="BP6" s="7" t="n">
        <f aca="false">IF(BN6="","",BN6-BO6)</f>
        <v>100</v>
      </c>
      <c r="BQ6" s="55" t="str">
        <f aca="false">IF(BN6="","",IF(BO6&gt;=BN6,"На складе",IF(BO6&gt;0,"Частично","Ждём")))</f>
        <v>Ждём</v>
      </c>
      <c r="BR6" s="43" t="s">
        <v>1529</v>
      </c>
      <c r="BS6" s="47" t="str">
        <f aca="false">IF(BN6="","",IF(_xlfn.MAXIFS(ЗАКАЗЫ!$AK$3:$AK$500,ЗАКАЗЫ!$F$3:$F$500,$A6)=0,"",_xlfn.MAXIFS(ЗАКАЗЫ!$AK$3:$AK$500,ЗАКАЗЫ!$F$3:$F$500,$A6)))</f>
        <v/>
      </c>
    </row>
    <row r="7" customFormat="false" ht="15.75" hidden="false" customHeight="true" outlineLevel="0" collapsed="false">
      <c r="A7" s="80" t="s">
        <v>1530</v>
      </c>
      <c r="B7" s="81"/>
      <c r="C7" s="81"/>
      <c r="D7" s="81"/>
      <c r="E7" s="83"/>
      <c r="F7" s="81"/>
      <c r="G7" s="83"/>
      <c r="H7" s="83"/>
      <c r="I7" s="84" t="str">
        <f aca="false">IF(E7="","",A7&amp;"_1.jpg")</f>
        <v/>
      </c>
      <c r="J7" s="84" t="str">
        <f aca="false">IF(E7="","",A7&amp;"_2.jpg; "&amp;A7&amp;"_3.jpg")</f>
        <v/>
      </c>
      <c r="K7" s="84" t="str">
        <f aca="false">IF(E7="","",A7&amp;"_schema.jpg")</f>
        <v/>
      </c>
      <c r="L7" s="81"/>
      <c r="M7" s="81"/>
      <c r="N7" s="81"/>
      <c r="O7" s="81"/>
      <c r="P7" s="81"/>
      <c r="Q7" s="81"/>
      <c r="R7" s="81"/>
      <c r="S7" s="81"/>
      <c r="T7" s="81"/>
      <c r="U7" s="81"/>
      <c r="V7" s="81" t="s">
        <v>96</v>
      </c>
      <c r="W7" s="81"/>
      <c r="X7" s="81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6" t="str">
        <f aca="false">IF(SUM(Y7:AJ7)=0,"",SUM(Y7:AJ7))</f>
        <v/>
      </c>
      <c r="AL7" s="84" t="str">
        <f aca="false">MID(IF(N(Y7)&gt;0,", "&amp;Y$2,"")&amp;IF(N(Z7)&gt;0,", "&amp;Z$2,"")&amp;IF(N(AA7)&gt;0,", "&amp;AA$2,"")&amp;IF(N(AB7)&gt;0,", "&amp;AB$2,"")&amp;IF(N(AC7)&gt;0,", "&amp;AC$2,"")&amp;IF(N(AD7)&gt;0,", "&amp;AD$2,"")&amp;IF(N(AE7)&gt;0,", "&amp;AE$2,"")&amp;IF(N(AF7)&gt;0,", "&amp;AF$2,"")&amp;IF(N(AG7)&gt;0,", "&amp;AG$2,"")&amp;IF(N(AH7)&gt;0,", "&amp;AH$2,"")&amp;IF(N(AI7)&gt;0,", "&amp;AI$2,"")&amp;IF(N(AJ7)&gt;0,", "&amp;AJ$2,""),3,999)</f>
        <v/>
      </c>
      <c r="AM7" s="87" t="str">
        <f aca="false">IF(E7="","",MID(IF(N(Y7)&gt;0,", "&amp;A7&amp;"-"&amp;Y$2,"")&amp;IF(N(Z7)&gt;0,", "&amp;A7&amp;"-"&amp;Z$2,"")&amp;IF(N(AA7)&gt;0,", "&amp;A7&amp;"-"&amp;AA$2,"")&amp;IF(N(AB7)&gt;0,", "&amp;A7&amp;"-"&amp;AB$2,"")&amp;IF(N(AC7)&gt;0,", "&amp;A7&amp;"-"&amp;AC$2,"")&amp;IF(N(AD7)&gt;0,", "&amp;A7&amp;"-"&amp;AD$2,"")&amp;IF(N(AE7)&gt;0,", "&amp;A7&amp;"-"&amp;AE$2,"")&amp;IF(N(AF7)&gt;0,", "&amp;A7&amp;"-"&amp;AF$2,"")&amp;IF(N(AG7)&gt;0,", "&amp;A7&amp;"-"&amp;AG$2,"")&amp;IF(N(AH7)&gt;0,", "&amp;A7&amp;"-"&amp;AH$2,"")&amp;IF(N(AI7)&gt;0,", "&amp;A7&amp;"-"&amp;AI$2,"")&amp;IF(N(AJ7)&gt;0,", "&amp;A7&amp;"-"&amp;AJ$2,""),3,999))</f>
        <v/>
      </c>
      <c r="AN7" s="81"/>
      <c r="AO7" s="88"/>
      <c r="AP7" s="89" t="str">
        <f aca="false">IF(AO7="","",ROUND(AO7/(1+Справочники!$B$13),2))</f>
        <v/>
      </c>
      <c r="AQ7" s="90" t="str">
        <f aca="false" t="array" ref="AQ7:AQ7">IF(AP7="","",AP7*INDEX(Справочники!$B$4:$B$7,MATCH("RUB",Справочники!$A$4:$A$7,0)))</f>
        <v/>
      </c>
      <c r="AR7" s="90" t="str">
        <f aca="false">IF(AQ7="","",ROUND(AQ7*(1+Справочники!$B$12),0))</f>
        <v/>
      </c>
      <c r="AS7" s="90" t="str">
        <f aca="false">IF(AR7="","",ROUND(AR7*(1-Справочники!$B$11),0))</f>
        <v/>
      </c>
      <c r="AT7" s="88"/>
      <c r="AU7" s="90" t="str">
        <f aca="false">IF(AT7="","",ROUND(AT7/(1+Справочники!$B$12),0))</f>
        <v/>
      </c>
      <c r="AV7" s="90" t="str">
        <f aca="false">IF(AT7="","",ROUND(AT7*(1-Справочники!$B$15),0))</f>
        <v/>
      </c>
      <c r="AW7" s="90" t="str">
        <f aca="false">IF(AT7="","",ROUND(AT7*(1-Справочники!$B$16),0))</f>
        <v/>
      </c>
      <c r="AX7" s="90" t="str">
        <f aca="false">IF(AT7="","",ROUND(AT7*(1-Справочники!$B$17),0))</f>
        <v/>
      </c>
      <c r="AY7" s="90" t="str">
        <f aca="false">IF(AT7="","",ROUND(AT7*(1-Справочники!$B$18),0))</f>
        <v/>
      </c>
      <c r="AZ7" s="90" t="str">
        <f aca="false">IF(AT7="","",ROUND(AT7*(1-Справочники!$B$19),0))</f>
        <v/>
      </c>
      <c r="BA7" s="81"/>
      <c r="BB7" s="81"/>
      <c r="BC7" s="81"/>
      <c r="BD7" s="81"/>
      <c r="BE7" s="91"/>
      <c r="BF7" s="81" t="s">
        <v>103</v>
      </c>
      <c r="BG7" s="89" t="n">
        <f aca="false" t="array" ref="BG7:BG7">IF(BF7="","",IFERROR(INDEX(Справочники!$B$4:$B$7,MATCH(BF7,Справочники!$A$4:$A$7,0)),""))</f>
        <v>68.5</v>
      </c>
      <c r="BH7" s="90" t="str">
        <f aca="false">IF(N(BN7)&gt;0,ROUND(SUMIF(ЗАКАЗЫ!$F$3:$F$500,$A7,ЗАКАЗЫ!$Y$3:$Y$500)/BN7,0),IF(OR(BE7="",BG7=""),"",ROUND(BE7*BG7*(1+Справочники!$B$10),0)))</f>
        <v/>
      </c>
      <c r="BI7" s="92" t="str">
        <f aca="false">IF(OR(AU7="",BH7="",AU7=0),"",(AU7-BH7)/AU7)</f>
        <v/>
      </c>
      <c r="BJ7" s="81"/>
      <c r="BK7" s="83"/>
      <c r="BL7" s="43" t="str">
        <f aca="false">IFERROR(INDEX(ЗАКАЗЫ!$N$3:$N$500,MATCH($A7,ЗАКАЗЫ!$F$3:$F$500,0)),"")</f>
        <v/>
      </c>
      <c r="BM7" s="8" t="str">
        <f aca="false">IF(BL7="","",IFERROR(VLOOKUP(BL7,'ТН ВЭД'!$A$4:$C$40,3,0),""))</f>
        <v/>
      </c>
      <c r="BN7" s="7" t="str">
        <f aca="false">IF(COUNTIF(ЗАКАЗЫ!$F$3:$F$500,$A7)=0,"",SUMIF(ЗАКАЗЫ!$F$3:$F$500,$A7,ЗАКАЗЫ!$J$3:$J$500))</f>
        <v/>
      </c>
      <c r="BO7" s="7" t="str">
        <f aca="false">IF(BN7="","",SUMIF(ЗАКАЗЫ!$F$3:$F$500,$A7,ЗАКАЗЫ!$AL$3:$AL$500))</f>
        <v/>
      </c>
      <c r="BP7" s="7" t="str">
        <f aca="false">IF(BN7="","",BN7-BO7)</f>
        <v/>
      </c>
      <c r="BQ7" s="55" t="str">
        <f aca="false">IF(BN7="","",IF(BO7&gt;=BN7,"На складе",IF(BO7&gt;0,"Частично","Ждём")))</f>
        <v/>
      </c>
      <c r="BR7" s="43"/>
      <c r="BS7" s="47" t="str">
        <f aca="false">IF(BN7="","",IF(_xlfn.MAXIFS(ЗАКАЗЫ!$AK$3:$AK$500,ЗАКАЗЫ!$F$3:$F$500,$A7)=0,"",_xlfn.MAXIFS(ЗАКАЗЫ!$AK$3:$AK$500,ЗАКАЗЫ!$F$3:$F$500,$A7)))</f>
        <v/>
      </c>
    </row>
    <row r="8" customFormat="false" ht="15.75" hidden="false" customHeight="true" outlineLevel="0" collapsed="false">
      <c r="A8" s="80" t="s">
        <v>1531</v>
      </c>
      <c r="B8" s="81"/>
      <c r="C8" s="81"/>
      <c r="D8" s="81"/>
      <c r="E8" s="83"/>
      <c r="F8" s="81"/>
      <c r="G8" s="83"/>
      <c r="H8" s="83"/>
      <c r="I8" s="84" t="str">
        <f aca="false">IF(E8="","",A8&amp;"_1.jpg")</f>
        <v/>
      </c>
      <c r="J8" s="84" t="str">
        <f aca="false">IF(E8="","",A8&amp;"_2.jpg; "&amp;A8&amp;"_3.jpg")</f>
        <v/>
      </c>
      <c r="K8" s="84" t="str">
        <f aca="false">IF(E8="","",A8&amp;"_schema.jpg")</f>
        <v/>
      </c>
      <c r="L8" s="81"/>
      <c r="M8" s="81"/>
      <c r="N8" s="81"/>
      <c r="O8" s="81"/>
      <c r="P8" s="81"/>
      <c r="Q8" s="81"/>
      <c r="R8" s="81"/>
      <c r="S8" s="81"/>
      <c r="T8" s="81"/>
      <c r="U8" s="81"/>
      <c r="V8" s="81" t="s">
        <v>96</v>
      </c>
      <c r="W8" s="81"/>
      <c r="X8" s="81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6" t="str">
        <f aca="false">IF(SUM(Y8:AJ8)=0,"",SUM(Y8:AJ8))</f>
        <v/>
      </c>
      <c r="AL8" s="84" t="str">
        <f aca="false">MID(IF(N(Y8)&gt;0,", "&amp;Y$2,"")&amp;IF(N(Z8)&gt;0,", "&amp;Z$2,"")&amp;IF(N(AA8)&gt;0,", "&amp;AA$2,"")&amp;IF(N(AB8)&gt;0,", "&amp;AB$2,"")&amp;IF(N(AC8)&gt;0,", "&amp;AC$2,"")&amp;IF(N(AD8)&gt;0,", "&amp;AD$2,"")&amp;IF(N(AE8)&gt;0,", "&amp;AE$2,"")&amp;IF(N(AF8)&gt;0,", "&amp;AF$2,"")&amp;IF(N(AG8)&gt;0,", "&amp;AG$2,"")&amp;IF(N(AH8)&gt;0,", "&amp;AH$2,"")&amp;IF(N(AI8)&gt;0,", "&amp;AI$2,"")&amp;IF(N(AJ8)&gt;0,", "&amp;AJ$2,""),3,999)</f>
        <v/>
      </c>
      <c r="AM8" s="87" t="str">
        <f aca="false">IF(E8="","",MID(IF(N(Y8)&gt;0,", "&amp;A8&amp;"-"&amp;Y$2,"")&amp;IF(N(Z8)&gt;0,", "&amp;A8&amp;"-"&amp;Z$2,"")&amp;IF(N(AA8)&gt;0,", "&amp;A8&amp;"-"&amp;AA$2,"")&amp;IF(N(AB8)&gt;0,", "&amp;A8&amp;"-"&amp;AB$2,"")&amp;IF(N(AC8)&gt;0,", "&amp;A8&amp;"-"&amp;AC$2,"")&amp;IF(N(AD8)&gt;0,", "&amp;A8&amp;"-"&amp;AD$2,"")&amp;IF(N(AE8)&gt;0,", "&amp;A8&amp;"-"&amp;AE$2,"")&amp;IF(N(AF8)&gt;0,", "&amp;A8&amp;"-"&amp;AF$2,"")&amp;IF(N(AG8)&gt;0,", "&amp;A8&amp;"-"&amp;AG$2,"")&amp;IF(N(AH8)&gt;0,", "&amp;A8&amp;"-"&amp;AH$2,"")&amp;IF(N(AI8)&gt;0,", "&amp;A8&amp;"-"&amp;AI$2,"")&amp;IF(N(AJ8)&gt;0,", "&amp;A8&amp;"-"&amp;AJ$2,""),3,999))</f>
        <v/>
      </c>
      <c r="AN8" s="81"/>
      <c r="AO8" s="88"/>
      <c r="AP8" s="89" t="str">
        <f aca="false">IF(AO8="","",ROUND(AO8/(1+Справочники!$B$13),2))</f>
        <v/>
      </c>
      <c r="AQ8" s="90" t="str">
        <f aca="false" t="array" ref="AQ8:AQ8">IF(AP8="","",AP8*INDEX(Справочники!$B$4:$B$7,MATCH("RUB",Справочники!$A$4:$A$7,0)))</f>
        <v/>
      </c>
      <c r="AR8" s="90" t="str">
        <f aca="false">IF(AQ8="","",ROUND(AQ8*(1+Справочники!$B$12),0))</f>
        <v/>
      </c>
      <c r="AS8" s="90" t="str">
        <f aca="false">IF(AR8="","",ROUND(AR8*(1-Справочники!$B$11),0))</f>
        <v/>
      </c>
      <c r="AT8" s="88"/>
      <c r="AU8" s="90" t="str">
        <f aca="false">IF(AT8="","",ROUND(AT8/(1+Справочники!$B$12),0))</f>
        <v/>
      </c>
      <c r="AV8" s="90" t="str">
        <f aca="false">IF(AT8="","",ROUND(AT8*(1-Справочники!$B$15),0))</f>
        <v/>
      </c>
      <c r="AW8" s="90" t="str">
        <f aca="false">IF(AT8="","",ROUND(AT8*(1-Справочники!$B$16),0))</f>
        <v/>
      </c>
      <c r="AX8" s="90" t="str">
        <f aca="false">IF(AT8="","",ROUND(AT8*(1-Справочники!$B$17),0))</f>
        <v/>
      </c>
      <c r="AY8" s="90" t="str">
        <f aca="false">IF(AT8="","",ROUND(AT8*(1-Справочники!$B$18),0))</f>
        <v/>
      </c>
      <c r="AZ8" s="90" t="str">
        <f aca="false">IF(AT8="","",ROUND(AT8*(1-Справочники!$B$19),0))</f>
        <v/>
      </c>
      <c r="BA8" s="81"/>
      <c r="BB8" s="81"/>
      <c r="BC8" s="81"/>
      <c r="BD8" s="81"/>
      <c r="BE8" s="91"/>
      <c r="BF8" s="81" t="s">
        <v>103</v>
      </c>
      <c r="BG8" s="89" t="n">
        <f aca="false" t="array" ref="BG8:BG8">IF(BF8="","",IFERROR(INDEX(Справочники!$B$4:$B$7,MATCH(BF8,Справочники!$A$4:$A$7,0)),""))</f>
        <v>68.5</v>
      </c>
      <c r="BH8" s="90" t="str">
        <f aca="false">IF(N(BN8)&gt;0,ROUND(SUMIF(ЗАКАЗЫ!$F$3:$F$500,$A8,ЗАКАЗЫ!$Y$3:$Y$500)/BN8,0),IF(OR(BE8="",BG8=""),"",ROUND(BE8*BG8*(1+Справочники!$B$10),0)))</f>
        <v/>
      </c>
      <c r="BI8" s="92" t="str">
        <f aca="false">IF(OR(AU8="",BH8="",AU8=0),"",(AU8-BH8)/AU8)</f>
        <v/>
      </c>
      <c r="BJ8" s="81"/>
      <c r="BK8" s="83"/>
      <c r="BL8" s="43" t="str">
        <f aca="false">IFERROR(INDEX(ЗАКАЗЫ!$N$3:$N$500,MATCH($A8,ЗАКАЗЫ!$F$3:$F$500,0)),"")</f>
        <v/>
      </c>
      <c r="BM8" s="8" t="str">
        <f aca="false">IF(BL8="","",IFERROR(VLOOKUP(BL8,'ТН ВЭД'!$A$4:$C$40,3,0),""))</f>
        <v/>
      </c>
      <c r="BN8" s="7" t="str">
        <f aca="false">IF(COUNTIF(ЗАКАЗЫ!$F$3:$F$500,$A8)=0,"",SUMIF(ЗАКАЗЫ!$F$3:$F$500,$A8,ЗАКАЗЫ!$J$3:$J$500))</f>
        <v/>
      </c>
      <c r="BO8" s="7" t="str">
        <f aca="false">IF(BN8="","",SUMIF(ЗАКАЗЫ!$F$3:$F$500,$A8,ЗАКАЗЫ!$AL$3:$AL$500))</f>
        <v/>
      </c>
      <c r="BP8" s="7" t="str">
        <f aca="false">IF(BN8="","",BN8-BO8)</f>
        <v/>
      </c>
      <c r="BQ8" s="55" t="str">
        <f aca="false">IF(BN8="","",IF(BO8&gt;=BN8,"На складе",IF(BO8&gt;0,"Частично","Ждём")))</f>
        <v/>
      </c>
      <c r="BR8" s="43"/>
      <c r="BS8" s="47" t="str">
        <f aca="false">IF(BN8="","",IF(_xlfn.MAXIFS(ЗАКАЗЫ!$AK$3:$AK$500,ЗАКАЗЫ!$F$3:$F$500,$A8)=0,"",_xlfn.MAXIFS(ЗАКАЗЫ!$AK$3:$AK$500,ЗАКАЗЫ!$F$3:$F$500,$A8)))</f>
        <v/>
      </c>
    </row>
    <row r="9" customFormat="false" ht="15.75" hidden="false" customHeight="true" outlineLevel="0" collapsed="false">
      <c r="A9" s="80" t="s">
        <v>1532</v>
      </c>
      <c r="B9" s="81"/>
      <c r="C9" s="81"/>
      <c r="D9" s="81"/>
      <c r="E9" s="83"/>
      <c r="F9" s="81"/>
      <c r="G9" s="83"/>
      <c r="H9" s="83"/>
      <c r="I9" s="84" t="str">
        <f aca="false">IF(E9="","",A9&amp;"_1.jpg")</f>
        <v/>
      </c>
      <c r="J9" s="84" t="str">
        <f aca="false">IF(E9="","",A9&amp;"_2.jpg; "&amp;A9&amp;"_3.jpg")</f>
        <v/>
      </c>
      <c r="K9" s="84" t="str">
        <f aca="false">IF(E9="","",A9&amp;"_schema.jpg")</f>
        <v/>
      </c>
      <c r="L9" s="81"/>
      <c r="M9" s="81"/>
      <c r="N9" s="81"/>
      <c r="O9" s="81"/>
      <c r="P9" s="81"/>
      <c r="Q9" s="81"/>
      <c r="R9" s="81"/>
      <c r="S9" s="81"/>
      <c r="T9" s="81"/>
      <c r="U9" s="81"/>
      <c r="V9" s="81" t="s">
        <v>96</v>
      </c>
      <c r="W9" s="81"/>
      <c r="X9" s="81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6" t="str">
        <f aca="false">IF(SUM(Y9:AJ9)=0,"",SUM(Y9:AJ9))</f>
        <v/>
      </c>
      <c r="AL9" s="84" t="str">
        <f aca="false">MID(IF(N(Y9)&gt;0,", "&amp;Y$2,"")&amp;IF(N(Z9)&gt;0,", "&amp;Z$2,"")&amp;IF(N(AA9)&gt;0,", "&amp;AA$2,"")&amp;IF(N(AB9)&gt;0,", "&amp;AB$2,"")&amp;IF(N(AC9)&gt;0,", "&amp;AC$2,"")&amp;IF(N(AD9)&gt;0,", "&amp;AD$2,"")&amp;IF(N(AE9)&gt;0,", "&amp;AE$2,"")&amp;IF(N(AF9)&gt;0,", "&amp;AF$2,"")&amp;IF(N(AG9)&gt;0,", "&amp;AG$2,"")&amp;IF(N(AH9)&gt;0,", "&amp;AH$2,"")&amp;IF(N(AI9)&gt;0,", "&amp;AI$2,"")&amp;IF(N(AJ9)&gt;0,", "&amp;AJ$2,""),3,999)</f>
        <v/>
      </c>
      <c r="AM9" s="87" t="str">
        <f aca="false">IF(E9="","",MID(IF(N(Y9)&gt;0,", "&amp;A9&amp;"-"&amp;Y$2,"")&amp;IF(N(Z9)&gt;0,", "&amp;A9&amp;"-"&amp;Z$2,"")&amp;IF(N(AA9)&gt;0,", "&amp;A9&amp;"-"&amp;AA$2,"")&amp;IF(N(AB9)&gt;0,", "&amp;A9&amp;"-"&amp;AB$2,"")&amp;IF(N(AC9)&gt;0,", "&amp;A9&amp;"-"&amp;AC$2,"")&amp;IF(N(AD9)&gt;0,", "&amp;A9&amp;"-"&amp;AD$2,"")&amp;IF(N(AE9)&gt;0,", "&amp;A9&amp;"-"&amp;AE$2,"")&amp;IF(N(AF9)&gt;0,", "&amp;A9&amp;"-"&amp;AF$2,"")&amp;IF(N(AG9)&gt;0,", "&amp;A9&amp;"-"&amp;AG$2,"")&amp;IF(N(AH9)&gt;0,", "&amp;A9&amp;"-"&amp;AH$2,"")&amp;IF(N(AI9)&gt;0,", "&amp;A9&amp;"-"&amp;AI$2,"")&amp;IF(N(AJ9)&gt;0,", "&amp;A9&amp;"-"&amp;AJ$2,""),3,999))</f>
        <v/>
      </c>
      <c r="AN9" s="81"/>
      <c r="AO9" s="88"/>
      <c r="AP9" s="89" t="str">
        <f aca="false">IF(AO9="","",ROUND(AO9/(1+Справочники!$B$13),2))</f>
        <v/>
      </c>
      <c r="AQ9" s="90" t="str">
        <f aca="false" t="array" ref="AQ9:AQ9">IF(AP9="","",AP9*INDEX(Справочники!$B$4:$B$7,MATCH("RUB",Справочники!$A$4:$A$7,0)))</f>
        <v/>
      </c>
      <c r="AR9" s="90" t="str">
        <f aca="false">IF(AQ9="","",ROUND(AQ9*(1+Справочники!$B$12),0))</f>
        <v/>
      </c>
      <c r="AS9" s="90" t="str">
        <f aca="false">IF(AR9="","",ROUND(AR9*(1-Справочники!$B$11),0))</f>
        <v/>
      </c>
      <c r="AT9" s="88"/>
      <c r="AU9" s="90" t="str">
        <f aca="false">IF(AT9="","",ROUND(AT9/(1+Справочники!$B$12),0))</f>
        <v/>
      </c>
      <c r="AV9" s="90" t="str">
        <f aca="false">IF(AT9="","",ROUND(AT9*(1-Справочники!$B$15),0))</f>
        <v/>
      </c>
      <c r="AW9" s="90" t="str">
        <f aca="false">IF(AT9="","",ROUND(AT9*(1-Справочники!$B$16),0))</f>
        <v/>
      </c>
      <c r="AX9" s="90" t="str">
        <f aca="false">IF(AT9="","",ROUND(AT9*(1-Справочники!$B$17),0))</f>
        <v/>
      </c>
      <c r="AY9" s="90" t="str">
        <f aca="false">IF(AT9="","",ROUND(AT9*(1-Справочники!$B$18),0))</f>
        <v/>
      </c>
      <c r="AZ9" s="90" t="str">
        <f aca="false">IF(AT9="","",ROUND(AT9*(1-Справочники!$B$19),0))</f>
        <v/>
      </c>
      <c r="BA9" s="81"/>
      <c r="BB9" s="81"/>
      <c r="BC9" s="81"/>
      <c r="BD9" s="81"/>
      <c r="BE9" s="91"/>
      <c r="BF9" s="81" t="s">
        <v>103</v>
      </c>
      <c r="BG9" s="89" t="n">
        <f aca="false" t="array" ref="BG9:BG9">IF(BF9="","",IFERROR(INDEX(Справочники!$B$4:$B$7,MATCH(BF9,Справочники!$A$4:$A$7,0)),""))</f>
        <v>68.5</v>
      </c>
      <c r="BH9" s="90" t="str">
        <f aca="false">IF(N(BN9)&gt;0,ROUND(SUMIF(ЗАКАЗЫ!$F$3:$F$500,$A9,ЗАКАЗЫ!$Y$3:$Y$500)/BN9,0),IF(OR(BE9="",BG9=""),"",ROUND(BE9*BG9*(1+Справочники!$B$10),0)))</f>
        <v/>
      </c>
      <c r="BI9" s="92" t="str">
        <f aca="false">IF(OR(AU9="",BH9="",AU9=0),"",(AU9-BH9)/AU9)</f>
        <v/>
      </c>
      <c r="BJ9" s="81"/>
      <c r="BK9" s="83"/>
      <c r="BL9" s="43" t="str">
        <f aca="false">IFERROR(INDEX(ЗАКАЗЫ!$N$3:$N$500,MATCH($A9,ЗАКАЗЫ!$F$3:$F$500,0)),"")</f>
        <v/>
      </c>
      <c r="BM9" s="8" t="str">
        <f aca="false">IF(BL9="","",IFERROR(VLOOKUP(BL9,'ТН ВЭД'!$A$4:$C$40,3,0),""))</f>
        <v/>
      </c>
      <c r="BN9" s="7" t="str">
        <f aca="false">IF(COUNTIF(ЗАКАЗЫ!$F$3:$F$500,$A9)=0,"",SUMIF(ЗАКАЗЫ!$F$3:$F$500,$A9,ЗАКАЗЫ!$J$3:$J$500))</f>
        <v/>
      </c>
      <c r="BO9" s="7" t="str">
        <f aca="false">IF(BN9="","",SUMIF(ЗАКАЗЫ!$F$3:$F$500,$A9,ЗАКАЗЫ!$AL$3:$AL$500))</f>
        <v/>
      </c>
      <c r="BP9" s="7" t="str">
        <f aca="false">IF(BN9="","",BN9-BO9)</f>
        <v/>
      </c>
      <c r="BQ9" s="55" t="str">
        <f aca="false">IF(BN9="","",IF(BO9&gt;=BN9,"На складе",IF(BO9&gt;0,"Частично","Ждём")))</f>
        <v/>
      </c>
      <c r="BR9" s="43"/>
      <c r="BS9" s="47" t="str">
        <f aca="false">IF(BN9="","",IF(_xlfn.MAXIFS(ЗАКАЗЫ!$AK$3:$AK$500,ЗАКАЗЫ!$F$3:$F$500,$A9)=0,"",_xlfn.MAXIFS(ЗАКАЗЫ!$AK$3:$AK$500,ЗАКАЗЫ!$F$3:$F$500,$A9)))</f>
        <v/>
      </c>
    </row>
    <row r="10" customFormat="false" ht="15.75" hidden="false" customHeight="true" outlineLevel="0" collapsed="false">
      <c r="A10" s="80" t="s">
        <v>1533</v>
      </c>
      <c r="B10" s="81"/>
      <c r="C10" s="81"/>
      <c r="D10" s="81"/>
      <c r="E10" s="83"/>
      <c r="F10" s="81"/>
      <c r="G10" s="83"/>
      <c r="H10" s="83"/>
      <c r="I10" s="84" t="str">
        <f aca="false">IF(E10="","",A10&amp;"_1.jpg")</f>
        <v/>
      </c>
      <c r="J10" s="84" t="str">
        <f aca="false">IF(E10="","",A10&amp;"_2.jpg; "&amp;A10&amp;"_3.jpg")</f>
        <v/>
      </c>
      <c r="K10" s="84" t="str">
        <f aca="false">IF(E10="","",A10&amp;"_schema.jpg")</f>
        <v/>
      </c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 t="s">
        <v>96</v>
      </c>
      <c r="W10" s="81"/>
      <c r="X10" s="81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6" t="str">
        <f aca="false">IF(SUM(Y10:AJ10)=0,"",SUM(Y10:AJ10))</f>
        <v/>
      </c>
      <c r="AL10" s="84" t="str">
        <f aca="false">MID(IF(N(Y10)&gt;0,", "&amp;Y$2,"")&amp;IF(N(Z10)&gt;0,", "&amp;Z$2,"")&amp;IF(N(AA10)&gt;0,", "&amp;AA$2,"")&amp;IF(N(AB10)&gt;0,", "&amp;AB$2,"")&amp;IF(N(AC10)&gt;0,", "&amp;AC$2,"")&amp;IF(N(AD10)&gt;0,", "&amp;AD$2,"")&amp;IF(N(AE10)&gt;0,", "&amp;AE$2,"")&amp;IF(N(AF10)&gt;0,", "&amp;AF$2,"")&amp;IF(N(AG10)&gt;0,", "&amp;AG$2,"")&amp;IF(N(AH10)&gt;0,", "&amp;AH$2,"")&amp;IF(N(AI10)&gt;0,", "&amp;AI$2,"")&amp;IF(N(AJ10)&gt;0,", "&amp;AJ$2,""),3,999)</f>
        <v/>
      </c>
      <c r="AM10" s="87" t="str">
        <f aca="false">IF(E10="","",MID(IF(N(Y10)&gt;0,", "&amp;A10&amp;"-"&amp;Y$2,"")&amp;IF(N(Z10)&gt;0,", "&amp;A10&amp;"-"&amp;Z$2,"")&amp;IF(N(AA10)&gt;0,", "&amp;A10&amp;"-"&amp;AA$2,"")&amp;IF(N(AB10)&gt;0,", "&amp;A10&amp;"-"&amp;AB$2,"")&amp;IF(N(AC10)&gt;0,", "&amp;A10&amp;"-"&amp;AC$2,"")&amp;IF(N(AD10)&gt;0,", "&amp;A10&amp;"-"&amp;AD$2,"")&amp;IF(N(AE10)&gt;0,", "&amp;A10&amp;"-"&amp;AE$2,"")&amp;IF(N(AF10)&gt;0,", "&amp;A10&amp;"-"&amp;AF$2,"")&amp;IF(N(AG10)&gt;0,", "&amp;A10&amp;"-"&amp;AG$2,"")&amp;IF(N(AH10)&gt;0,", "&amp;A10&amp;"-"&amp;AH$2,"")&amp;IF(N(AI10)&gt;0,", "&amp;A10&amp;"-"&amp;AI$2,"")&amp;IF(N(AJ10)&gt;0,", "&amp;A10&amp;"-"&amp;AJ$2,""),3,999))</f>
        <v/>
      </c>
      <c r="AN10" s="81"/>
      <c r="AO10" s="88"/>
      <c r="AP10" s="89" t="str">
        <f aca="false">IF(AO10="","",ROUND(AO10/(1+Справочники!$B$13),2))</f>
        <v/>
      </c>
      <c r="AQ10" s="90" t="str">
        <f aca="false" t="array" ref="AQ10:AQ10">IF(AP10="","",AP10*INDEX(Справочники!$B$4:$B$7,MATCH("RUB",Справочники!$A$4:$A$7,0)))</f>
        <v/>
      </c>
      <c r="AR10" s="90" t="str">
        <f aca="false">IF(AQ10="","",ROUND(AQ10*(1+Справочники!$B$12),0))</f>
        <v/>
      </c>
      <c r="AS10" s="90" t="str">
        <f aca="false">IF(AR10="","",ROUND(AR10*(1-Справочники!$B$11),0))</f>
        <v/>
      </c>
      <c r="AT10" s="88"/>
      <c r="AU10" s="90" t="str">
        <f aca="false">IF(AT10="","",ROUND(AT10/(1+Справочники!$B$12),0))</f>
        <v/>
      </c>
      <c r="AV10" s="90" t="str">
        <f aca="false">IF(AT10="","",ROUND(AT10*(1-Справочники!$B$15),0))</f>
        <v/>
      </c>
      <c r="AW10" s="90" t="str">
        <f aca="false">IF(AT10="","",ROUND(AT10*(1-Справочники!$B$16),0))</f>
        <v/>
      </c>
      <c r="AX10" s="90" t="str">
        <f aca="false">IF(AT10="","",ROUND(AT10*(1-Справочники!$B$17),0))</f>
        <v/>
      </c>
      <c r="AY10" s="90" t="str">
        <f aca="false">IF(AT10="","",ROUND(AT10*(1-Справочники!$B$18),0))</f>
        <v/>
      </c>
      <c r="AZ10" s="90" t="str">
        <f aca="false">IF(AT10="","",ROUND(AT10*(1-Справочники!$B$19),0))</f>
        <v/>
      </c>
      <c r="BA10" s="81"/>
      <c r="BB10" s="81"/>
      <c r="BC10" s="81"/>
      <c r="BD10" s="81"/>
      <c r="BE10" s="91"/>
      <c r="BF10" s="81" t="s">
        <v>103</v>
      </c>
      <c r="BG10" s="89" t="n">
        <f aca="false" t="array" ref="BG10:BG10">IF(BF10="","",IFERROR(INDEX(Справочники!$B$4:$B$7,MATCH(BF10,Справочники!$A$4:$A$7,0)),""))</f>
        <v>68.5</v>
      </c>
      <c r="BH10" s="90" t="str">
        <f aca="false">IF(N(BN10)&gt;0,ROUND(SUMIF(ЗАКАЗЫ!$F$3:$F$500,$A10,ЗАКАЗЫ!$Y$3:$Y$500)/BN10,0),IF(OR(BE10="",BG10=""),"",ROUND(BE10*BG10*(1+Справочники!$B$10),0)))</f>
        <v/>
      </c>
      <c r="BI10" s="92" t="str">
        <f aca="false">IF(OR(AU10="",BH10="",AU10=0),"",(AU10-BH10)/AU10)</f>
        <v/>
      </c>
      <c r="BJ10" s="81"/>
      <c r="BK10" s="83"/>
      <c r="BL10" s="43" t="str">
        <f aca="false">IFERROR(INDEX(ЗАКАЗЫ!$N$3:$N$500,MATCH($A10,ЗАКАЗЫ!$F$3:$F$500,0)),"")</f>
        <v/>
      </c>
      <c r="BM10" s="8" t="str">
        <f aca="false">IF(BL10="","",IFERROR(VLOOKUP(BL10,'ТН ВЭД'!$A$4:$C$40,3,0),""))</f>
        <v/>
      </c>
      <c r="BN10" s="7" t="str">
        <f aca="false">IF(COUNTIF(ЗАКАЗЫ!$F$3:$F$500,$A10)=0,"",SUMIF(ЗАКАЗЫ!$F$3:$F$500,$A10,ЗАКАЗЫ!$J$3:$J$500))</f>
        <v/>
      </c>
      <c r="BO10" s="7" t="str">
        <f aca="false">IF(BN10="","",SUMIF(ЗАКАЗЫ!$F$3:$F$500,$A10,ЗАКАЗЫ!$AL$3:$AL$500))</f>
        <v/>
      </c>
      <c r="BP10" s="7" t="str">
        <f aca="false">IF(BN10="","",BN10-BO10)</f>
        <v/>
      </c>
      <c r="BQ10" s="55" t="str">
        <f aca="false">IF(BN10="","",IF(BO10&gt;=BN10,"На складе",IF(BO10&gt;0,"Частично","Ждём")))</f>
        <v/>
      </c>
      <c r="BR10" s="43"/>
      <c r="BS10" s="47" t="str">
        <f aca="false">IF(BN10="","",IF(_xlfn.MAXIFS(ЗАКАЗЫ!$AK$3:$AK$500,ЗАКАЗЫ!$F$3:$F$500,$A10)=0,"",_xlfn.MAXIFS(ЗАКАЗЫ!$AK$3:$AK$500,ЗАКАЗЫ!$F$3:$F$500,$A10)))</f>
        <v/>
      </c>
    </row>
    <row r="11" customFormat="false" ht="15.75" hidden="false" customHeight="true" outlineLevel="0" collapsed="false">
      <c r="A11" s="80" t="s">
        <v>1534</v>
      </c>
      <c r="B11" s="81"/>
      <c r="C11" s="81"/>
      <c r="D11" s="81"/>
      <c r="E11" s="83"/>
      <c r="F11" s="81"/>
      <c r="G11" s="83"/>
      <c r="H11" s="83"/>
      <c r="I11" s="84" t="str">
        <f aca="false">IF(E11="","",A11&amp;"_1.jpg")</f>
        <v/>
      </c>
      <c r="J11" s="84" t="str">
        <f aca="false">IF(E11="","",A11&amp;"_2.jpg; "&amp;A11&amp;"_3.jpg")</f>
        <v/>
      </c>
      <c r="K11" s="84" t="str">
        <f aca="false">IF(E11="","",A11&amp;"_schema.jpg")</f>
        <v/>
      </c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 t="s">
        <v>96</v>
      </c>
      <c r="W11" s="81"/>
      <c r="X11" s="81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6" t="str">
        <f aca="false">IF(SUM(Y11:AJ11)=0,"",SUM(Y11:AJ11))</f>
        <v/>
      </c>
      <c r="AL11" s="84" t="str">
        <f aca="false">MID(IF(N(Y11)&gt;0,", "&amp;Y$2,"")&amp;IF(N(Z11)&gt;0,", "&amp;Z$2,"")&amp;IF(N(AA11)&gt;0,", "&amp;AA$2,"")&amp;IF(N(AB11)&gt;0,", "&amp;AB$2,"")&amp;IF(N(AC11)&gt;0,", "&amp;AC$2,"")&amp;IF(N(AD11)&gt;0,", "&amp;AD$2,"")&amp;IF(N(AE11)&gt;0,", "&amp;AE$2,"")&amp;IF(N(AF11)&gt;0,", "&amp;AF$2,"")&amp;IF(N(AG11)&gt;0,", "&amp;AG$2,"")&amp;IF(N(AH11)&gt;0,", "&amp;AH$2,"")&amp;IF(N(AI11)&gt;0,", "&amp;AI$2,"")&amp;IF(N(AJ11)&gt;0,", "&amp;AJ$2,""),3,999)</f>
        <v/>
      </c>
      <c r="AM11" s="87" t="str">
        <f aca="false">IF(E11="","",MID(IF(N(Y11)&gt;0,", "&amp;A11&amp;"-"&amp;Y$2,"")&amp;IF(N(Z11)&gt;0,", "&amp;A11&amp;"-"&amp;Z$2,"")&amp;IF(N(AA11)&gt;0,", "&amp;A11&amp;"-"&amp;AA$2,"")&amp;IF(N(AB11)&gt;0,", "&amp;A11&amp;"-"&amp;AB$2,"")&amp;IF(N(AC11)&gt;0,", "&amp;A11&amp;"-"&amp;AC$2,"")&amp;IF(N(AD11)&gt;0,", "&amp;A11&amp;"-"&amp;AD$2,"")&amp;IF(N(AE11)&gt;0,", "&amp;A11&amp;"-"&amp;AE$2,"")&amp;IF(N(AF11)&gt;0,", "&amp;A11&amp;"-"&amp;AF$2,"")&amp;IF(N(AG11)&gt;0,", "&amp;A11&amp;"-"&amp;AG$2,"")&amp;IF(N(AH11)&gt;0,", "&amp;A11&amp;"-"&amp;AH$2,"")&amp;IF(N(AI11)&gt;0,", "&amp;A11&amp;"-"&amp;AI$2,"")&amp;IF(N(AJ11)&gt;0,", "&amp;A11&amp;"-"&amp;AJ$2,""),3,999))</f>
        <v/>
      </c>
      <c r="AN11" s="81"/>
      <c r="AO11" s="88"/>
      <c r="AP11" s="89" t="str">
        <f aca="false">IF(AO11="","",ROUND(AO11/(1+Справочники!$B$13),2))</f>
        <v/>
      </c>
      <c r="AQ11" s="90" t="str">
        <f aca="false" t="array" ref="AQ11:AQ11">IF(AP11="","",AP11*INDEX(Справочники!$B$4:$B$7,MATCH("RUB",Справочники!$A$4:$A$7,0)))</f>
        <v/>
      </c>
      <c r="AR11" s="90" t="str">
        <f aca="false">IF(AQ11="","",ROUND(AQ11*(1+Справочники!$B$12),0))</f>
        <v/>
      </c>
      <c r="AS11" s="90" t="str">
        <f aca="false">IF(AR11="","",ROUND(AR11*(1-Справочники!$B$11),0))</f>
        <v/>
      </c>
      <c r="AT11" s="88"/>
      <c r="AU11" s="90" t="str">
        <f aca="false">IF(AT11="","",ROUND(AT11/(1+Справочники!$B$12),0))</f>
        <v/>
      </c>
      <c r="AV11" s="90" t="str">
        <f aca="false">IF(AT11="","",ROUND(AT11*(1-Справочники!$B$15),0))</f>
        <v/>
      </c>
      <c r="AW11" s="90" t="str">
        <f aca="false">IF(AT11="","",ROUND(AT11*(1-Справочники!$B$16),0))</f>
        <v/>
      </c>
      <c r="AX11" s="90" t="str">
        <f aca="false">IF(AT11="","",ROUND(AT11*(1-Справочники!$B$17),0))</f>
        <v/>
      </c>
      <c r="AY11" s="90" t="str">
        <f aca="false">IF(AT11="","",ROUND(AT11*(1-Справочники!$B$18),0))</f>
        <v/>
      </c>
      <c r="AZ11" s="90" t="str">
        <f aca="false">IF(AT11="","",ROUND(AT11*(1-Справочники!$B$19),0))</f>
        <v/>
      </c>
      <c r="BA11" s="81"/>
      <c r="BB11" s="81"/>
      <c r="BC11" s="81"/>
      <c r="BD11" s="81"/>
      <c r="BE11" s="91"/>
      <c r="BF11" s="81" t="s">
        <v>103</v>
      </c>
      <c r="BG11" s="89" t="n">
        <f aca="false" t="array" ref="BG11:BG11">IF(BF11="","",IFERROR(INDEX(Справочники!$B$4:$B$7,MATCH(BF11,Справочники!$A$4:$A$7,0)),""))</f>
        <v>68.5</v>
      </c>
      <c r="BH11" s="90" t="str">
        <f aca="false">IF(N(BN11)&gt;0,ROUND(SUMIF(ЗАКАЗЫ!$F$3:$F$500,$A11,ЗАКАЗЫ!$Y$3:$Y$500)/BN11,0),IF(OR(BE11="",BG11=""),"",ROUND(BE11*BG11*(1+Справочники!$B$10),0)))</f>
        <v/>
      </c>
      <c r="BI11" s="92" t="str">
        <f aca="false">IF(OR(AU11="",BH11="",AU11=0),"",(AU11-BH11)/AU11)</f>
        <v/>
      </c>
      <c r="BJ11" s="81"/>
      <c r="BK11" s="83"/>
      <c r="BL11" s="43" t="str">
        <f aca="false">IFERROR(INDEX(ЗАКАЗЫ!$N$3:$N$500,MATCH($A11,ЗАКАЗЫ!$F$3:$F$500,0)),"")</f>
        <v/>
      </c>
      <c r="BM11" s="8" t="str">
        <f aca="false">IF(BL11="","",IFERROR(VLOOKUP(BL11,'ТН ВЭД'!$A$4:$C$40,3,0),""))</f>
        <v/>
      </c>
      <c r="BN11" s="7" t="str">
        <f aca="false">IF(COUNTIF(ЗАКАЗЫ!$F$3:$F$500,$A11)=0,"",SUMIF(ЗАКАЗЫ!$F$3:$F$500,$A11,ЗАКАЗЫ!$J$3:$J$500))</f>
        <v/>
      </c>
      <c r="BO11" s="7" t="str">
        <f aca="false">IF(BN11="","",SUMIF(ЗАКАЗЫ!$F$3:$F$500,$A11,ЗАКАЗЫ!$AL$3:$AL$500))</f>
        <v/>
      </c>
      <c r="BP11" s="7" t="str">
        <f aca="false">IF(BN11="","",BN11-BO11)</f>
        <v/>
      </c>
      <c r="BQ11" s="55" t="str">
        <f aca="false">IF(BN11="","",IF(BO11&gt;=BN11,"На складе",IF(BO11&gt;0,"Частично","Ждём")))</f>
        <v/>
      </c>
      <c r="BR11" s="43"/>
      <c r="BS11" s="47" t="str">
        <f aca="false">IF(BN11="","",IF(_xlfn.MAXIFS(ЗАКАЗЫ!$AK$3:$AK$500,ЗАКАЗЫ!$F$3:$F$500,$A11)=0,"",_xlfn.MAXIFS(ЗАКАЗЫ!$AK$3:$AK$500,ЗАКАЗЫ!$F$3:$F$500,$A11)))</f>
        <v/>
      </c>
    </row>
    <row r="12" customFormat="false" ht="15.75" hidden="false" customHeight="true" outlineLevel="0" collapsed="false">
      <c r="A12" s="80" t="s">
        <v>1535</v>
      </c>
      <c r="B12" s="81"/>
      <c r="C12" s="81"/>
      <c r="D12" s="81"/>
      <c r="E12" s="83"/>
      <c r="F12" s="81"/>
      <c r="G12" s="83"/>
      <c r="H12" s="83"/>
      <c r="I12" s="84" t="str">
        <f aca="false">IF(E12="","",A12&amp;"_1.jpg")</f>
        <v/>
      </c>
      <c r="J12" s="84" t="str">
        <f aca="false">IF(E12="","",A12&amp;"_2.jpg; "&amp;A12&amp;"_3.jpg")</f>
        <v/>
      </c>
      <c r="K12" s="84" t="str">
        <f aca="false">IF(E12="","",A12&amp;"_schema.jpg")</f>
        <v/>
      </c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 t="s">
        <v>96</v>
      </c>
      <c r="W12" s="81"/>
      <c r="X12" s="81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6" t="str">
        <f aca="false">IF(SUM(Y12:AJ12)=0,"",SUM(Y12:AJ12))</f>
        <v/>
      </c>
      <c r="AL12" s="84" t="str">
        <f aca="false">MID(IF(N(Y12)&gt;0,", "&amp;Y$2,"")&amp;IF(N(Z12)&gt;0,", "&amp;Z$2,"")&amp;IF(N(AA12)&gt;0,", "&amp;AA$2,"")&amp;IF(N(AB12)&gt;0,", "&amp;AB$2,"")&amp;IF(N(AC12)&gt;0,", "&amp;AC$2,"")&amp;IF(N(AD12)&gt;0,", "&amp;AD$2,"")&amp;IF(N(AE12)&gt;0,", "&amp;AE$2,"")&amp;IF(N(AF12)&gt;0,", "&amp;AF$2,"")&amp;IF(N(AG12)&gt;0,", "&amp;AG$2,"")&amp;IF(N(AH12)&gt;0,", "&amp;AH$2,"")&amp;IF(N(AI12)&gt;0,", "&amp;AI$2,"")&amp;IF(N(AJ12)&gt;0,", "&amp;AJ$2,""),3,999)</f>
        <v/>
      </c>
      <c r="AM12" s="87" t="str">
        <f aca="false">IF(E12="","",MID(IF(N(Y12)&gt;0,", "&amp;A12&amp;"-"&amp;Y$2,"")&amp;IF(N(Z12)&gt;0,", "&amp;A12&amp;"-"&amp;Z$2,"")&amp;IF(N(AA12)&gt;0,", "&amp;A12&amp;"-"&amp;AA$2,"")&amp;IF(N(AB12)&gt;0,", "&amp;A12&amp;"-"&amp;AB$2,"")&amp;IF(N(AC12)&gt;0,", "&amp;A12&amp;"-"&amp;AC$2,"")&amp;IF(N(AD12)&gt;0,", "&amp;A12&amp;"-"&amp;AD$2,"")&amp;IF(N(AE12)&gt;0,", "&amp;A12&amp;"-"&amp;AE$2,"")&amp;IF(N(AF12)&gt;0,", "&amp;A12&amp;"-"&amp;AF$2,"")&amp;IF(N(AG12)&gt;0,", "&amp;A12&amp;"-"&amp;AG$2,"")&amp;IF(N(AH12)&gt;0,", "&amp;A12&amp;"-"&amp;AH$2,"")&amp;IF(N(AI12)&gt;0,", "&amp;A12&amp;"-"&amp;AI$2,"")&amp;IF(N(AJ12)&gt;0,", "&amp;A12&amp;"-"&amp;AJ$2,""),3,999))</f>
        <v/>
      </c>
      <c r="AN12" s="81"/>
      <c r="AO12" s="88"/>
      <c r="AP12" s="89" t="str">
        <f aca="false">IF(AO12="","",ROUND(AO12/(1+Справочники!$B$13),2))</f>
        <v/>
      </c>
      <c r="AQ12" s="90" t="str">
        <f aca="false" t="array" ref="AQ12:AQ12">IF(AP12="","",AP12*INDEX(Справочники!$B$4:$B$7,MATCH("RUB",Справочники!$A$4:$A$7,0)))</f>
        <v/>
      </c>
      <c r="AR12" s="90" t="str">
        <f aca="false">IF(AQ12="","",ROUND(AQ12*(1+Справочники!$B$12),0))</f>
        <v/>
      </c>
      <c r="AS12" s="90" t="str">
        <f aca="false">IF(AR12="","",ROUND(AR12*(1-Справочники!$B$11),0))</f>
        <v/>
      </c>
      <c r="AT12" s="88"/>
      <c r="AU12" s="90" t="str">
        <f aca="false">IF(AT12="","",ROUND(AT12/(1+Справочники!$B$12),0))</f>
        <v/>
      </c>
      <c r="AV12" s="90" t="str">
        <f aca="false">IF(AT12="","",ROUND(AT12*(1-Справочники!$B$15),0))</f>
        <v/>
      </c>
      <c r="AW12" s="90" t="str">
        <f aca="false">IF(AT12="","",ROUND(AT12*(1-Справочники!$B$16),0))</f>
        <v/>
      </c>
      <c r="AX12" s="90" t="str">
        <f aca="false">IF(AT12="","",ROUND(AT12*(1-Справочники!$B$17),0))</f>
        <v/>
      </c>
      <c r="AY12" s="90" t="str">
        <f aca="false">IF(AT12="","",ROUND(AT12*(1-Справочники!$B$18),0))</f>
        <v/>
      </c>
      <c r="AZ12" s="90" t="str">
        <f aca="false">IF(AT12="","",ROUND(AT12*(1-Справочники!$B$19),0))</f>
        <v/>
      </c>
      <c r="BA12" s="81"/>
      <c r="BB12" s="81"/>
      <c r="BC12" s="81"/>
      <c r="BD12" s="81"/>
      <c r="BE12" s="91"/>
      <c r="BF12" s="81" t="s">
        <v>103</v>
      </c>
      <c r="BG12" s="89" t="n">
        <f aca="false" t="array" ref="BG12:BG12">IF(BF12="","",IFERROR(INDEX(Справочники!$B$4:$B$7,MATCH(BF12,Справочники!$A$4:$A$7,0)),""))</f>
        <v>68.5</v>
      </c>
      <c r="BH12" s="90" t="str">
        <f aca="false">IF(N(BN12)&gt;0,ROUND(SUMIF(ЗАКАЗЫ!$F$3:$F$500,$A12,ЗАКАЗЫ!$Y$3:$Y$500)/BN12,0),IF(OR(BE12="",BG12=""),"",ROUND(BE12*BG12*(1+Справочники!$B$10),0)))</f>
        <v/>
      </c>
      <c r="BI12" s="92" t="str">
        <f aca="false">IF(OR(AU12="",BH12="",AU12=0),"",(AU12-BH12)/AU12)</f>
        <v/>
      </c>
      <c r="BJ12" s="81"/>
      <c r="BK12" s="83"/>
      <c r="BL12" s="43" t="str">
        <f aca="false">IFERROR(INDEX(ЗАКАЗЫ!$N$3:$N$500,MATCH($A12,ЗАКАЗЫ!$F$3:$F$500,0)),"")</f>
        <v/>
      </c>
      <c r="BM12" s="8" t="str">
        <f aca="false">IF(BL12="","",IFERROR(VLOOKUP(BL12,'ТН ВЭД'!$A$4:$C$40,3,0),""))</f>
        <v/>
      </c>
      <c r="BN12" s="7" t="str">
        <f aca="false">IF(COUNTIF(ЗАКАЗЫ!$F$3:$F$500,$A12)=0,"",SUMIF(ЗАКАЗЫ!$F$3:$F$500,$A12,ЗАКАЗЫ!$J$3:$J$500))</f>
        <v/>
      </c>
      <c r="BO12" s="7" t="str">
        <f aca="false">IF(BN12="","",SUMIF(ЗАКАЗЫ!$F$3:$F$500,$A12,ЗАКАЗЫ!$AL$3:$AL$500))</f>
        <v/>
      </c>
      <c r="BP12" s="7" t="str">
        <f aca="false">IF(BN12="","",BN12-BO12)</f>
        <v/>
      </c>
      <c r="BQ12" s="55" t="str">
        <f aca="false">IF(BN12="","",IF(BO12&gt;=BN12,"На складе",IF(BO12&gt;0,"Частично","Ждём")))</f>
        <v/>
      </c>
      <c r="BR12" s="43"/>
      <c r="BS12" s="47" t="str">
        <f aca="false">IF(BN12="","",IF(_xlfn.MAXIFS(ЗАКАЗЫ!$AK$3:$AK$500,ЗАКАЗЫ!$F$3:$F$500,$A12)=0,"",_xlfn.MAXIFS(ЗАКАЗЫ!$AK$3:$AK$500,ЗАКАЗЫ!$F$3:$F$500,$A12)))</f>
        <v/>
      </c>
    </row>
    <row r="13" customFormat="false" ht="15.75" hidden="false" customHeight="true" outlineLevel="0" collapsed="false">
      <c r="A13" s="80" t="s">
        <v>1536</v>
      </c>
      <c r="B13" s="81"/>
      <c r="C13" s="81"/>
      <c r="D13" s="81"/>
      <c r="E13" s="83"/>
      <c r="F13" s="81"/>
      <c r="G13" s="83"/>
      <c r="H13" s="83"/>
      <c r="I13" s="84" t="str">
        <f aca="false">IF(E13="","",A13&amp;"_1.jpg")</f>
        <v/>
      </c>
      <c r="J13" s="84" t="str">
        <f aca="false">IF(E13="","",A13&amp;"_2.jpg; "&amp;A13&amp;"_3.jpg")</f>
        <v/>
      </c>
      <c r="K13" s="84" t="str">
        <f aca="false">IF(E13="","",A13&amp;"_schema.jpg")</f>
        <v/>
      </c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 t="s">
        <v>96</v>
      </c>
      <c r="W13" s="81"/>
      <c r="X13" s="81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6" t="str">
        <f aca="false">IF(SUM(Y13:AJ13)=0,"",SUM(Y13:AJ13))</f>
        <v/>
      </c>
      <c r="AL13" s="84" t="str">
        <f aca="false">MID(IF(N(Y13)&gt;0,", "&amp;Y$2,"")&amp;IF(N(Z13)&gt;0,", "&amp;Z$2,"")&amp;IF(N(AA13)&gt;0,", "&amp;AA$2,"")&amp;IF(N(AB13)&gt;0,", "&amp;AB$2,"")&amp;IF(N(AC13)&gt;0,", "&amp;AC$2,"")&amp;IF(N(AD13)&gt;0,", "&amp;AD$2,"")&amp;IF(N(AE13)&gt;0,", "&amp;AE$2,"")&amp;IF(N(AF13)&gt;0,", "&amp;AF$2,"")&amp;IF(N(AG13)&gt;0,", "&amp;AG$2,"")&amp;IF(N(AH13)&gt;0,", "&amp;AH$2,"")&amp;IF(N(AI13)&gt;0,", "&amp;AI$2,"")&amp;IF(N(AJ13)&gt;0,", "&amp;AJ$2,""),3,999)</f>
        <v/>
      </c>
      <c r="AM13" s="87" t="str">
        <f aca="false">IF(E13="","",MID(IF(N(Y13)&gt;0,", "&amp;A13&amp;"-"&amp;Y$2,"")&amp;IF(N(Z13)&gt;0,", "&amp;A13&amp;"-"&amp;Z$2,"")&amp;IF(N(AA13)&gt;0,", "&amp;A13&amp;"-"&amp;AA$2,"")&amp;IF(N(AB13)&gt;0,", "&amp;A13&amp;"-"&amp;AB$2,"")&amp;IF(N(AC13)&gt;0,", "&amp;A13&amp;"-"&amp;AC$2,"")&amp;IF(N(AD13)&gt;0,", "&amp;A13&amp;"-"&amp;AD$2,"")&amp;IF(N(AE13)&gt;0,", "&amp;A13&amp;"-"&amp;AE$2,"")&amp;IF(N(AF13)&gt;0,", "&amp;A13&amp;"-"&amp;AF$2,"")&amp;IF(N(AG13)&gt;0,", "&amp;A13&amp;"-"&amp;AG$2,"")&amp;IF(N(AH13)&gt;0,", "&amp;A13&amp;"-"&amp;AH$2,"")&amp;IF(N(AI13)&gt;0,", "&amp;A13&amp;"-"&amp;AI$2,"")&amp;IF(N(AJ13)&gt;0,", "&amp;A13&amp;"-"&amp;AJ$2,""),3,999))</f>
        <v/>
      </c>
      <c r="AN13" s="81"/>
      <c r="AO13" s="88"/>
      <c r="AP13" s="89" t="str">
        <f aca="false">IF(AO13="","",ROUND(AO13/(1+Справочники!$B$13),2))</f>
        <v/>
      </c>
      <c r="AQ13" s="90" t="str">
        <f aca="false" t="array" ref="AQ13:AQ13">IF(AP13="","",AP13*INDEX(Справочники!$B$4:$B$7,MATCH("RUB",Справочники!$A$4:$A$7,0)))</f>
        <v/>
      </c>
      <c r="AR13" s="90" t="str">
        <f aca="false">IF(AQ13="","",ROUND(AQ13*(1+Справочники!$B$12),0))</f>
        <v/>
      </c>
      <c r="AS13" s="90" t="str">
        <f aca="false">IF(AR13="","",ROUND(AR13*(1-Справочники!$B$11),0))</f>
        <v/>
      </c>
      <c r="AT13" s="88"/>
      <c r="AU13" s="90" t="str">
        <f aca="false">IF(AT13="","",ROUND(AT13/(1+Справочники!$B$12),0))</f>
        <v/>
      </c>
      <c r="AV13" s="90" t="str">
        <f aca="false">IF(AT13="","",ROUND(AT13*(1-Справочники!$B$15),0))</f>
        <v/>
      </c>
      <c r="AW13" s="90" t="str">
        <f aca="false">IF(AT13="","",ROUND(AT13*(1-Справочники!$B$16),0))</f>
        <v/>
      </c>
      <c r="AX13" s="90" t="str">
        <f aca="false">IF(AT13="","",ROUND(AT13*(1-Справочники!$B$17),0))</f>
        <v/>
      </c>
      <c r="AY13" s="90" t="str">
        <f aca="false">IF(AT13="","",ROUND(AT13*(1-Справочники!$B$18),0))</f>
        <v/>
      </c>
      <c r="AZ13" s="90" t="str">
        <f aca="false">IF(AT13="","",ROUND(AT13*(1-Справочники!$B$19),0))</f>
        <v/>
      </c>
      <c r="BA13" s="81"/>
      <c r="BB13" s="81"/>
      <c r="BC13" s="81"/>
      <c r="BD13" s="81"/>
      <c r="BE13" s="91"/>
      <c r="BF13" s="81" t="s">
        <v>103</v>
      </c>
      <c r="BG13" s="89" t="n">
        <f aca="false" t="array" ref="BG13:BG13">IF(BF13="","",IFERROR(INDEX(Справочники!$B$4:$B$7,MATCH(BF13,Справочники!$A$4:$A$7,0)),""))</f>
        <v>68.5</v>
      </c>
      <c r="BH13" s="90" t="str">
        <f aca="false">IF(N(BN13)&gt;0,ROUND(SUMIF(ЗАКАЗЫ!$F$3:$F$500,$A13,ЗАКАЗЫ!$Y$3:$Y$500)/BN13,0),IF(OR(BE13="",BG13=""),"",ROUND(BE13*BG13*(1+Справочники!$B$10),0)))</f>
        <v/>
      </c>
      <c r="BI13" s="92" t="str">
        <f aca="false">IF(OR(AU13="",BH13="",AU13=0),"",(AU13-BH13)/AU13)</f>
        <v/>
      </c>
      <c r="BJ13" s="81"/>
      <c r="BK13" s="83"/>
      <c r="BL13" s="43" t="str">
        <f aca="false">IFERROR(INDEX(ЗАКАЗЫ!$N$3:$N$500,MATCH($A13,ЗАКАЗЫ!$F$3:$F$500,0)),"")</f>
        <v/>
      </c>
      <c r="BM13" s="8" t="str">
        <f aca="false">IF(BL13="","",IFERROR(VLOOKUP(BL13,'ТН ВЭД'!$A$4:$C$40,3,0),""))</f>
        <v/>
      </c>
      <c r="BN13" s="7" t="str">
        <f aca="false">IF(COUNTIF(ЗАКАЗЫ!$F$3:$F$500,$A13)=0,"",SUMIF(ЗАКАЗЫ!$F$3:$F$500,$A13,ЗАКАЗЫ!$J$3:$J$500))</f>
        <v/>
      </c>
      <c r="BO13" s="7" t="str">
        <f aca="false">IF(BN13="","",SUMIF(ЗАКАЗЫ!$F$3:$F$500,$A13,ЗАКАЗЫ!$AL$3:$AL$500))</f>
        <v/>
      </c>
      <c r="BP13" s="7" t="str">
        <f aca="false">IF(BN13="","",BN13-BO13)</f>
        <v/>
      </c>
      <c r="BQ13" s="55" t="str">
        <f aca="false">IF(BN13="","",IF(BO13&gt;=BN13,"На складе",IF(BO13&gt;0,"Частично","Ждём")))</f>
        <v/>
      </c>
      <c r="BR13" s="43"/>
      <c r="BS13" s="47" t="str">
        <f aca="false">IF(BN13="","",IF(_xlfn.MAXIFS(ЗАКАЗЫ!$AK$3:$AK$500,ЗАКАЗЫ!$F$3:$F$500,$A13)=0,"",_xlfn.MAXIFS(ЗАКАЗЫ!$AK$3:$AK$500,ЗАКАЗЫ!$F$3:$F$500,$A13)))</f>
        <v/>
      </c>
    </row>
    <row r="14" customFormat="false" ht="15.75" hidden="false" customHeight="true" outlineLevel="0" collapsed="false">
      <c r="A14" s="80" t="s">
        <v>1537</v>
      </c>
      <c r="B14" s="81"/>
      <c r="C14" s="81"/>
      <c r="D14" s="81"/>
      <c r="E14" s="83"/>
      <c r="F14" s="81"/>
      <c r="G14" s="83"/>
      <c r="H14" s="83"/>
      <c r="I14" s="84" t="str">
        <f aca="false">IF(E14="","",A14&amp;"_1.jpg")</f>
        <v/>
      </c>
      <c r="J14" s="84" t="str">
        <f aca="false">IF(E14="","",A14&amp;"_2.jpg; "&amp;A14&amp;"_3.jpg")</f>
        <v/>
      </c>
      <c r="K14" s="84" t="str">
        <f aca="false">IF(E14="","",A14&amp;"_schema.jpg")</f>
        <v/>
      </c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 t="s">
        <v>96</v>
      </c>
      <c r="W14" s="81"/>
      <c r="X14" s="81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6" t="str">
        <f aca="false">IF(SUM(Y14:AJ14)=0,"",SUM(Y14:AJ14))</f>
        <v/>
      </c>
      <c r="AL14" s="84" t="str">
        <f aca="false">MID(IF(N(Y14)&gt;0,", "&amp;Y$2,"")&amp;IF(N(Z14)&gt;0,", "&amp;Z$2,"")&amp;IF(N(AA14)&gt;0,", "&amp;AA$2,"")&amp;IF(N(AB14)&gt;0,", "&amp;AB$2,"")&amp;IF(N(AC14)&gt;0,", "&amp;AC$2,"")&amp;IF(N(AD14)&gt;0,", "&amp;AD$2,"")&amp;IF(N(AE14)&gt;0,", "&amp;AE$2,"")&amp;IF(N(AF14)&gt;0,", "&amp;AF$2,"")&amp;IF(N(AG14)&gt;0,", "&amp;AG$2,"")&amp;IF(N(AH14)&gt;0,", "&amp;AH$2,"")&amp;IF(N(AI14)&gt;0,", "&amp;AI$2,"")&amp;IF(N(AJ14)&gt;0,", "&amp;AJ$2,""),3,999)</f>
        <v/>
      </c>
      <c r="AM14" s="87" t="str">
        <f aca="false">IF(E14="","",MID(IF(N(Y14)&gt;0,", "&amp;A14&amp;"-"&amp;Y$2,"")&amp;IF(N(Z14)&gt;0,", "&amp;A14&amp;"-"&amp;Z$2,"")&amp;IF(N(AA14)&gt;0,", "&amp;A14&amp;"-"&amp;AA$2,"")&amp;IF(N(AB14)&gt;0,", "&amp;A14&amp;"-"&amp;AB$2,"")&amp;IF(N(AC14)&gt;0,", "&amp;A14&amp;"-"&amp;AC$2,"")&amp;IF(N(AD14)&gt;0,", "&amp;A14&amp;"-"&amp;AD$2,"")&amp;IF(N(AE14)&gt;0,", "&amp;A14&amp;"-"&amp;AE$2,"")&amp;IF(N(AF14)&gt;0,", "&amp;A14&amp;"-"&amp;AF$2,"")&amp;IF(N(AG14)&gt;0,", "&amp;A14&amp;"-"&amp;AG$2,"")&amp;IF(N(AH14)&gt;0,", "&amp;A14&amp;"-"&amp;AH$2,"")&amp;IF(N(AI14)&gt;0,", "&amp;A14&amp;"-"&amp;AI$2,"")&amp;IF(N(AJ14)&gt;0,", "&amp;A14&amp;"-"&amp;AJ$2,""),3,999))</f>
        <v/>
      </c>
      <c r="AN14" s="81"/>
      <c r="AO14" s="88"/>
      <c r="AP14" s="89" t="str">
        <f aca="false">IF(AO14="","",ROUND(AO14/(1+Справочники!$B$13),2))</f>
        <v/>
      </c>
      <c r="AQ14" s="90" t="str">
        <f aca="false" t="array" ref="AQ14:AQ14">IF(AP14="","",AP14*INDEX(Справочники!$B$4:$B$7,MATCH("RUB",Справочники!$A$4:$A$7,0)))</f>
        <v/>
      </c>
      <c r="AR14" s="90" t="str">
        <f aca="false">IF(AQ14="","",ROUND(AQ14*(1+Справочники!$B$12),0))</f>
        <v/>
      </c>
      <c r="AS14" s="90" t="str">
        <f aca="false">IF(AR14="","",ROUND(AR14*(1-Справочники!$B$11),0))</f>
        <v/>
      </c>
      <c r="AT14" s="88"/>
      <c r="AU14" s="90" t="str">
        <f aca="false">IF(AT14="","",ROUND(AT14/(1+Справочники!$B$12),0))</f>
        <v/>
      </c>
      <c r="AV14" s="90" t="str">
        <f aca="false">IF(AT14="","",ROUND(AT14*(1-Справочники!$B$15),0))</f>
        <v/>
      </c>
      <c r="AW14" s="90" t="str">
        <f aca="false">IF(AT14="","",ROUND(AT14*(1-Справочники!$B$16),0))</f>
        <v/>
      </c>
      <c r="AX14" s="90" t="str">
        <f aca="false">IF(AT14="","",ROUND(AT14*(1-Справочники!$B$17),0))</f>
        <v/>
      </c>
      <c r="AY14" s="90" t="str">
        <f aca="false">IF(AT14="","",ROUND(AT14*(1-Справочники!$B$18),0))</f>
        <v/>
      </c>
      <c r="AZ14" s="90" t="str">
        <f aca="false">IF(AT14="","",ROUND(AT14*(1-Справочники!$B$19),0))</f>
        <v/>
      </c>
      <c r="BA14" s="81"/>
      <c r="BB14" s="81"/>
      <c r="BC14" s="81"/>
      <c r="BD14" s="81"/>
      <c r="BE14" s="91"/>
      <c r="BF14" s="81" t="s">
        <v>103</v>
      </c>
      <c r="BG14" s="89" t="n">
        <f aca="false" t="array" ref="BG14:BG14">IF(BF14="","",IFERROR(INDEX(Справочники!$B$4:$B$7,MATCH(BF14,Справочники!$A$4:$A$7,0)),""))</f>
        <v>68.5</v>
      </c>
      <c r="BH14" s="90" t="str">
        <f aca="false">IF(N(BN14)&gt;0,ROUND(SUMIF(ЗАКАЗЫ!$F$3:$F$500,$A14,ЗАКАЗЫ!$Y$3:$Y$500)/BN14,0),IF(OR(BE14="",BG14=""),"",ROUND(BE14*BG14*(1+Справочники!$B$10),0)))</f>
        <v/>
      </c>
      <c r="BI14" s="92" t="str">
        <f aca="false">IF(OR(AU14="",BH14="",AU14=0),"",(AU14-BH14)/AU14)</f>
        <v/>
      </c>
      <c r="BJ14" s="81"/>
      <c r="BK14" s="83"/>
      <c r="BL14" s="43" t="str">
        <f aca="false">IFERROR(INDEX(ЗАКАЗЫ!$N$3:$N$500,MATCH($A14,ЗАКАЗЫ!$F$3:$F$500,0)),"")</f>
        <v/>
      </c>
      <c r="BM14" s="8" t="str">
        <f aca="false">IF(BL14="","",IFERROR(VLOOKUP(BL14,'ТН ВЭД'!$A$4:$C$40,3,0),""))</f>
        <v/>
      </c>
      <c r="BN14" s="7" t="str">
        <f aca="false">IF(COUNTIF(ЗАКАЗЫ!$F$3:$F$500,$A14)=0,"",SUMIF(ЗАКАЗЫ!$F$3:$F$500,$A14,ЗАКАЗЫ!$J$3:$J$500))</f>
        <v/>
      </c>
      <c r="BO14" s="7" t="str">
        <f aca="false">IF(BN14="","",SUMIF(ЗАКАЗЫ!$F$3:$F$500,$A14,ЗАКАЗЫ!$AL$3:$AL$500))</f>
        <v/>
      </c>
      <c r="BP14" s="7" t="str">
        <f aca="false">IF(BN14="","",BN14-BO14)</f>
        <v/>
      </c>
      <c r="BQ14" s="55" t="str">
        <f aca="false">IF(BN14="","",IF(BO14&gt;=BN14,"На складе",IF(BO14&gt;0,"Частично","Ждём")))</f>
        <v/>
      </c>
      <c r="BR14" s="43"/>
      <c r="BS14" s="47" t="str">
        <f aca="false">IF(BN14="","",IF(_xlfn.MAXIFS(ЗАКАЗЫ!$AK$3:$AK$500,ЗАКАЗЫ!$F$3:$F$500,$A14)=0,"",_xlfn.MAXIFS(ЗАКАЗЫ!$AK$3:$AK$500,ЗАКАЗЫ!$F$3:$F$500,$A14)))</f>
        <v/>
      </c>
    </row>
    <row r="15" customFormat="false" ht="15.75" hidden="false" customHeight="true" outlineLevel="0" collapsed="false">
      <c r="A15" s="80" t="s">
        <v>1538</v>
      </c>
      <c r="B15" s="81"/>
      <c r="C15" s="81"/>
      <c r="D15" s="81"/>
      <c r="E15" s="83"/>
      <c r="F15" s="81"/>
      <c r="G15" s="83"/>
      <c r="H15" s="83"/>
      <c r="I15" s="84" t="str">
        <f aca="false">IF(E15="","",A15&amp;"_1.jpg")</f>
        <v/>
      </c>
      <c r="J15" s="84" t="str">
        <f aca="false">IF(E15="","",A15&amp;"_2.jpg; "&amp;A15&amp;"_3.jpg")</f>
        <v/>
      </c>
      <c r="K15" s="84" t="str">
        <f aca="false">IF(E15="","",A15&amp;"_schema.jpg")</f>
        <v/>
      </c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 t="s">
        <v>96</v>
      </c>
      <c r="W15" s="81"/>
      <c r="X15" s="81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6" t="str">
        <f aca="false">IF(SUM(Y15:AJ15)=0,"",SUM(Y15:AJ15))</f>
        <v/>
      </c>
      <c r="AL15" s="84" t="str">
        <f aca="false">MID(IF(N(Y15)&gt;0,", "&amp;Y$2,"")&amp;IF(N(Z15)&gt;0,", "&amp;Z$2,"")&amp;IF(N(AA15)&gt;0,", "&amp;AA$2,"")&amp;IF(N(AB15)&gt;0,", "&amp;AB$2,"")&amp;IF(N(AC15)&gt;0,", "&amp;AC$2,"")&amp;IF(N(AD15)&gt;0,", "&amp;AD$2,"")&amp;IF(N(AE15)&gt;0,", "&amp;AE$2,"")&amp;IF(N(AF15)&gt;0,", "&amp;AF$2,"")&amp;IF(N(AG15)&gt;0,", "&amp;AG$2,"")&amp;IF(N(AH15)&gt;0,", "&amp;AH$2,"")&amp;IF(N(AI15)&gt;0,", "&amp;AI$2,"")&amp;IF(N(AJ15)&gt;0,", "&amp;AJ$2,""),3,999)</f>
        <v/>
      </c>
      <c r="AM15" s="87" t="str">
        <f aca="false">IF(E15="","",MID(IF(N(Y15)&gt;0,", "&amp;A15&amp;"-"&amp;Y$2,"")&amp;IF(N(Z15)&gt;0,", "&amp;A15&amp;"-"&amp;Z$2,"")&amp;IF(N(AA15)&gt;0,", "&amp;A15&amp;"-"&amp;AA$2,"")&amp;IF(N(AB15)&gt;0,", "&amp;A15&amp;"-"&amp;AB$2,"")&amp;IF(N(AC15)&gt;0,", "&amp;A15&amp;"-"&amp;AC$2,"")&amp;IF(N(AD15)&gt;0,", "&amp;A15&amp;"-"&amp;AD$2,"")&amp;IF(N(AE15)&gt;0,", "&amp;A15&amp;"-"&amp;AE$2,"")&amp;IF(N(AF15)&gt;0,", "&amp;A15&amp;"-"&amp;AF$2,"")&amp;IF(N(AG15)&gt;0,", "&amp;A15&amp;"-"&amp;AG$2,"")&amp;IF(N(AH15)&gt;0,", "&amp;A15&amp;"-"&amp;AH$2,"")&amp;IF(N(AI15)&gt;0,", "&amp;A15&amp;"-"&amp;AI$2,"")&amp;IF(N(AJ15)&gt;0,", "&amp;A15&amp;"-"&amp;AJ$2,""),3,999))</f>
        <v/>
      </c>
      <c r="AN15" s="81"/>
      <c r="AO15" s="88"/>
      <c r="AP15" s="89" t="str">
        <f aca="false">IF(AO15="","",ROUND(AO15/(1+Справочники!$B$13),2))</f>
        <v/>
      </c>
      <c r="AQ15" s="90" t="str">
        <f aca="false" t="array" ref="AQ15:AQ15">IF(AP15="","",AP15*INDEX(Справочники!$B$4:$B$7,MATCH("RUB",Справочники!$A$4:$A$7,0)))</f>
        <v/>
      </c>
      <c r="AR15" s="90" t="str">
        <f aca="false">IF(AQ15="","",ROUND(AQ15*(1+Справочники!$B$12),0))</f>
        <v/>
      </c>
      <c r="AS15" s="90" t="str">
        <f aca="false">IF(AR15="","",ROUND(AR15*(1-Справочники!$B$11),0))</f>
        <v/>
      </c>
      <c r="AT15" s="88"/>
      <c r="AU15" s="90" t="str">
        <f aca="false">IF(AT15="","",ROUND(AT15/(1+Справочники!$B$12),0))</f>
        <v/>
      </c>
      <c r="AV15" s="90" t="str">
        <f aca="false">IF(AT15="","",ROUND(AT15*(1-Справочники!$B$15),0))</f>
        <v/>
      </c>
      <c r="AW15" s="90" t="str">
        <f aca="false">IF(AT15="","",ROUND(AT15*(1-Справочники!$B$16),0))</f>
        <v/>
      </c>
      <c r="AX15" s="90" t="str">
        <f aca="false">IF(AT15="","",ROUND(AT15*(1-Справочники!$B$17),0))</f>
        <v/>
      </c>
      <c r="AY15" s="90" t="str">
        <f aca="false">IF(AT15="","",ROUND(AT15*(1-Справочники!$B$18),0))</f>
        <v/>
      </c>
      <c r="AZ15" s="90" t="str">
        <f aca="false">IF(AT15="","",ROUND(AT15*(1-Справочники!$B$19),0))</f>
        <v/>
      </c>
      <c r="BA15" s="81"/>
      <c r="BB15" s="81"/>
      <c r="BC15" s="81"/>
      <c r="BD15" s="81"/>
      <c r="BE15" s="91"/>
      <c r="BF15" s="81" t="s">
        <v>103</v>
      </c>
      <c r="BG15" s="89" t="n">
        <f aca="false" t="array" ref="BG15:BG15">IF(BF15="","",IFERROR(INDEX(Справочники!$B$4:$B$7,MATCH(BF15,Справочники!$A$4:$A$7,0)),""))</f>
        <v>68.5</v>
      </c>
      <c r="BH15" s="90" t="str">
        <f aca="false">IF(N(BN15)&gt;0,ROUND(SUMIF(ЗАКАЗЫ!$F$3:$F$500,$A15,ЗАКАЗЫ!$Y$3:$Y$500)/BN15,0),IF(OR(BE15="",BG15=""),"",ROUND(BE15*BG15*(1+Справочники!$B$10),0)))</f>
        <v/>
      </c>
      <c r="BI15" s="92" t="str">
        <f aca="false">IF(OR(AU15="",BH15="",AU15=0),"",(AU15-BH15)/AU15)</f>
        <v/>
      </c>
      <c r="BJ15" s="81"/>
      <c r="BK15" s="83"/>
      <c r="BL15" s="43" t="str">
        <f aca="false">IFERROR(INDEX(ЗАКАЗЫ!$N$3:$N$500,MATCH($A15,ЗАКАЗЫ!$F$3:$F$500,0)),"")</f>
        <v/>
      </c>
      <c r="BM15" s="8" t="str">
        <f aca="false">IF(BL15="","",IFERROR(VLOOKUP(BL15,'ТН ВЭД'!$A$4:$C$40,3,0),""))</f>
        <v/>
      </c>
      <c r="BN15" s="7" t="str">
        <f aca="false">IF(COUNTIF(ЗАКАЗЫ!$F$3:$F$500,$A15)=0,"",SUMIF(ЗАКАЗЫ!$F$3:$F$500,$A15,ЗАКАЗЫ!$J$3:$J$500))</f>
        <v/>
      </c>
      <c r="BO15" s="7" t="str">
        <f aca="false">IF(BN15="","",SUMIF(ЗАКАЗЫ!$F$3:$F$500,$A15,ЗАКАЗЫ!$AL$3:$AL$500))</f>
        <v/>
      </c>
      <c r="BP15" s="7" t="str">
        <f aca="false">IF(BN15="","",BN15-BO15)</f>
        <v/>
      </c>
      <c r="BQ15" s="55" t="str">
        <f aca="false">IF(BN15="","",IF(BO15&gt;=BN15,"На складе",IF(BO15&gt;0,"Частично","Ждём")))</f>
        <v/>
      </c>
      <c r="BR15" s="43"/>
      <c r="BS15" s="47" t="str">
        <f aca="false">IF(BN15="","",IF(_xlfn.MAXIFS(ЗАКАЗЫ!$AK$3:$AK$500,ЗАКАЗЫ!$F$3:$F$500,$A15)=0,"",_xlfn.MAXIFS(ЗАКАЗЫ!$AK$3:$AK$500,ЗАКАЗЫ!$F$3:$F$500,$A15)))</f>
        <v/>
      </c>
    </row>
    <row r="16" customFormat="false" ht="15.75" hidden="false" customHeight="true" outlineLevel="0" collapsed="false">
      <c r="A16" s="80" t="s">
        <v>1539</v>
      </c>
      <c r="B16" s="81"/>
      <c r="C16" s="81"/>
      <c r="D16" s="81"/>
      <c r="E16" s="83"/>
      <c r="F16" s="81"/>
      <c r="G16" s="83"/>
      <c r="H16" s="83"/>
      <c r="I16" s="84" t="str">
        <f aca="false">IF(E16="","",A16&amp;"_1.jpg")</f>
        <v/>
      </c>
      <c r="J16" s="84" t="str">
        <f aca="false">IF(E16="","",A16&amp;"_2.jpg; "&amp;A16&amp;"_3.jpg")</f>
        <v/>
      </c>
      <c r="K16" s="84" t="str">
        <f aca="false">IF(E16="","",A16&amp;"_schema.jpg")</f>
        <v/>
      </c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 t="s">
        <v>96</v>
      </c>
      <c r="W16" s="81"/>
      <c r="X16" s="81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6" t="str">
        <f aca="false">IF(SUM(Y16:AJ16)=0,"",SUM(Y16:AJ16))</f>
        <v/>
      </c>
      <c r="AL16" s="84" t="str">
        <f aca="false">MID(IF(N(Y16)&gt;0,", "&amp;Y$2,"")&amp;IF(N(Z16)&gt;0,", "&amp;Z$2,"")&amp;IF(N(AA16)&gt;0,", "&amp;AA$2,"")&amp;IF(N(AB16)&gt;0,", "&amp;AB$2,"")&amp;IF(N(AC16)&gt;0,", "&amp;AC$2,"")&amp;IF(N(AD16)&gt;0,", "&amp;AD$2,"")&amp;IF(N(AE16)&gt;0,", "&amp;AE$2,"")&amp;IF(N(AF16)&gt;0,", "&amp;AF$2,"")&amp;IF(N(AG16)&gt;0,", "&amp;AG$2,"")&amp;IF(N(AH16)&gt;0,", "&amp;AH$2,"")&amp;IF(N(AI16)&gt;0,", "&amp;AI$2,"")&amp;IF(N(AJ16)&gt;0,", "&amp;AJ$2,""),3,999)</f>
        <v/>
      </c>
      <c r="AM16" s="87" t="str">
        <f aca="false">IF(E16="","",MID(IF(N(Y16)&gt;0,", "&amp;A16&amp;"-"&amp;Y$2,"")&amp;IF(N(Z16)&gt;0,", "&amp;A16&amp;"-"&amp;Z$2,"")&amp;IF(N(AA16)&gt;0,", "&amp;A16&amp;"-"&amp;AA$2,"")&amp;IF(N(AB16)&gt;0,", "&amp;A16&amp;"-"&amp;AB$2,"")&amp;IF(N(AC16)&gt;0,", "&amp;A16&amp;"-"&amp;AC$2,"")&amp;IF(N(AD16)&gt;0,", "&amp;A16&amp;"-"&amp;AD$2,"")&amp;IF(N(AE16)&gt;0,", "&amp;A16&amp;"-"&amp;AE$2,"")&amp;IF(N(AF16)&gt;0,", "&amp;A16&amp;"-"&amp;AF$2,"")&amp;IF(N(AG16)&gt;0,", "&amp;A16&amp;"-"&amp;AG$2,"")&amp;IF(N(AH16)&gt;0,", "&amp;A16&amp;"-"&amp;AH$2,"")&amp;IF(N(AI16)&gt;0,", "&amp;A16&amp;"-"&amp;AI$2,"")&amp;IF(N(AJ16)&gt;0,", "&amp;A16&amp;"-"&amp;AJ$2,""),3,999))</f>
        <v/>
      </c>
      <c r="AN16" s="81"/>
      <c r="AO16" s="88"/>
      <c r="AP16" s="89" t="str">
        <f aca="false">IF(AO16="","",ROUND(AO16/(1+Справочники!$B$13),2))</f>
        <v/>
      </c>
      <c r="AQ16" s="90" t="str">
        <f aca="false" t="array" ref="AQ16:AQ16">IF(AP16="","",AP16*INDEX(Справочники!$B$4:$B$7,MATCH("RUB",Справочники!$A$4:$A$7,0)))</f>
        <v/>
      </c>
      <c r="AR16" s="90" t="str">
        <f aca="false">IF(AQ16="","",ROUND(AQ16*(1+Справочники!$B$12),0))</f>
        <v/>
      </c>
      <c r="AS16" s="90" t="str">
        <f aca="false">IF(AR16="","",ROUND(AR16*(1-Справочники!$B$11),0))</f>
        <v/>
      </c>
      <c r="AT16" s="88"/>
      <c r="AU16" s="90" t="str">
        <f aca="false">IF(AT16="","",ROUND(AT16/(1+Справочники!$B$12),0))</f>
        <v/>
      </c>
      <c r="AV16" s="90" t="str">
        <f aca="false">IF(AT16="","",ROUND(AT16*(1-Справочники!$B$15),0))</f>
        <v/>
      </c>
      <c r="AW16" s="90" t="str">
        <f aca="false">IF(AT16="","",ROUND(AT16*(1-Справочники!$B$16),0))</f>
        <v/>
      </c>
      <c r="AX16" s="90" t="str">
        <f aca="false">IF(AT16="","",ROUND(AT16*(1-Справочники!$B$17),0))</f>
        <v/>
      </c>
      <c r="AY16" s="90" t="str">
        <f aca="false">IF(AT16="","",ROUND(AT16*(1-Справочники!$B$18),0))</f>
        <v/>
      </c>
      <c r="AZ16" s="90" t="str">
        <f aca="false">IF(AT16="","",ROUND(AT16*(1-Справочники!$B$19),0))</f>
        <v/>
      </c>
      <c r="BA16" s="81"/>
      <c r="BB16" s="81"/>
      <c r="BC16" s="81"/>
      <c r="BD16" s="81"/>
      <c r="BE16" s="91"/>
      <c r="BF16" s="81" t="s">
        <v>103</v>
      </c>
      <c r="BG16" s="89" t="n">
        <f aca="false" t="array" ref="BG16:BG16">IF(BF16="","",IFERROR(INDEX(Справочники!$B$4:$B$7,MATCH(BF16,Справочники!$A$4:$A$7,0)),""))</f>
        <v>68.5</v>
      </c>
      <c r="BH16" s="90" t="str">
        <f aca="false">IF(N(BN16)&gt;0,ROUND(SUMIF(ЗАКАЗЫ!$F$3:$F$500,$A16,ЗАКАЗЫ!$Y$3:$Y$500)/BN16,0),IF(OR(BE16="",BG16=""),"",ROUND(BE16*BG16*(1+Справочники!$B$10),0)))</f>
        <v/>
      </c>
      <c r="BI16" s="92" t="str">
        <f aca="false">IF(OR(AU16="",BH16="",AU16=0),"",(AU16-BH16)/AU16)</f>
        <v/>
      </c>
      <c r="BJ16" s="81"/>
      <c r="BK16" s="83"/>
      <c r="BL16" s="43" t="str">
        <f aca="false">IFERROR(INDEX(ЗАКАЗЫ!$N$3:$N$500,MATCH($A16,ЗАКАЗЫ!$F$3:$F$500,0)),"")</f>
        <v/>
      </c>
      <c r="BM16" s="8" t="str">
        <f aca="false">IF(BL16="","",IFERROR(VLOOKUP(BL16,'ТН ВЭД'!$A$4:$C$40,3,0),""))</f>
        <v/>
      </c>
      <c r="BN16" s="7" t="str">
        <f aca="false">IF(COUNTIF(ЗАКАЗЫ!$F$3:$F$500,$A16)=0,"",SUMIF(ЗАКАЗЫ!$F$3:$F$500,$A16,ЗАКАЗЫ!$J$3:$J$500))</f>
        <v/>
      </c>
      <c r="BO16" s="7" t="str">
        <f aca="false">IF(BN16="","",SUMIF(ЗАКАЗЫ!$F$3:$F$500,$A16,ЗАКАЗЫ!$AL$3:$AL$500))</f>
        <v/>
      </c>
      <c r="BP16" s="7" t="str">
        <f aca="false">IF(BN16="","",BN16-BO16)</f>
        <v/>
      </c>
      <c r="BQ16" s="55" t="str">
        <f aca="false">IF(BN16="","",IF(BO16&gt;=BN16,"На складе",IF(BO16&gt;0,"Частично","Ждём")))</f>
        <v/>
      </c>
      <c r="BR16" s="43"/>
      <c r="BS16" s="47" t="str">
        <f aca="false">IF(BN16="","",IF(_xlfn.MAXIFS(ЗАКАЗЫ!$AK$3:$AK$500,ЗАКАЗЫ!$F$3:$F$500,$A16)=0,"",_xlfn.MAXIFS(ЗАКАЗЫ!$AK$3:$AK$500,ЗАКАЗЫ!$F$3:$F$500,$A16)))</f>
        <v/>
      </c>
    </row>
    <row r="17" customFormat="false" ht="15.75" hidden="false" customHeight="true" outlineLevel="0" collapsed="false">
      <c r="A17" s="80" t="s">
        <v>1540</v>
      </c>
      <c r="B17" s="81"/>
      <c r="C17" s="81"/>
      <c r="D17" s="81"/>
      <c r="E17" s="83"/>
      <c r="F17" s="81"/>
      <c r="G17" s="83"/>
      <c r="H17" s="83"/>
      <c r="I17" s="84" t="str">
        <f aca="false">IF(E17="","",A17&amp;"_1.jpg")</f>
        <v/>
      </c>
      <c r="J17" s="84" t="str">
        <f aca="false">IF(E17="","",A17&amp;"_2.jpg; "&amp;A17&amp;"_3.jpg")</f>
        <v/>
      </c>
      <c r="K17" s="84" t="str">
        <f aca="false">IF(E17="","",A17&amp;"_schema.jpg")</f>
        <v/>
      </c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 t="s">
        <v>96</v>
      </c>
      <c r="W17" s="81"/>
      <c r="X17" s="81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6" t="str">
        <f aca="false">IF(SUM(Y17:AJ17)=0,"",SUM(Y17:AJ17))</f>
        <v/>
      </c>
      <c r="AL17" s="84" t="str">
        <f aca="false">MID(IF(N(Y17)&gt;0,", "&amp;Y$2,"")&amp;IF(N(Z17)&gt;0,", "&amp;Z$2,"")&amp;IF(N(AA17)&gt;0,", "&amp;AA$2,"")&amp;IF(N(AB17)&gt;0,", "&amp;AB$2,"")&amp;IF(N(AC17)&gt;0,", "&amp;AC$2,"")&amp;IF(N(AD17)&gt;0,", "&amp;AD$2,"")&amp;IF(N(AE17)&gt;0,", "&amp;AE$2,"")&amp;IF(N(AF17)&gt;0,", "&amp;AF$2,"")&amp;IF(N(AG17)&gt;0,", "&amp;AG$2,"")&amp;IF(N(AH17)&gt;0,", "&amp;AH$2,"")&amp;IF(N(AI17)&gt;0,", "&amp;AI$2,"")&amp;IF(N(AJ17)&gt;0,", "&amp;AJ$2,""),3,999)</f>
        <v/>
      </c>
      <c r="AM17" s="87" t="str">
        <f aca="false">IF(E17="","",MID(IF(N(Y17)&gt;0,", "&amp;A17&amp;"-"&amp;Y$2,"")&amp;IF(N(Z17)&gt;0,", "&amp;A17&amp;"-"&amp;Z$2,"")&amp;IF(N(AA17)&gt;0,", "&amp;A17&amp;"-"&amp;AA$2,"")&amp;IF(N(AB17)&gt;0,", "&amp;A17&amp;"-"&amp;AB$2,"")&amp;IF(N(AC17)&gt;0,", "&amp;A17&amp;"-"&amp;AC$2,"")&amp;IF(N(AD17)&gt;0,", "&amp;A17&amp;"-"&amp;AD$2,"")&amp;IF(N(AE17)&gt;0,", "&amp;A17&amp;"-"&amp;AE$2,"")&amp;IF(N(AF17)&gt;0,", "&amp;A17&amp;"-"&amp;AF$2,"")&amp;IF(N(AG17)&gt;0,", "&amp;A17&amp;"-"&amp;AG$2,"")&amp;IF(N(AH17)&gt;0,", "&amp;A17&amp;"-"&amp;AH$2,"")&amp;IF(N(AI17)&gt;0,", "&amp;A17&amp;"-"&amp;AI$2,"")&amp;IF(N(AJ17)&gt;0,", "&amp;A17&amp;"-"&amp;AJ$2,""),3,999))</f>
        <v/>
      </c>
      <c r="AN17" s="81"/>
      <c r="AO17" s="88"/>
      <c r="AP17" s="89" t="str">
        <f aca="false">IF(AO17="","",ROUND(AO17/(1+Справочники!$B$13),2))</f>
        <v/>
      </c>
      <c r="AQ17" s="90" t="str">
        <f aca="false" t="array" ref="AQ17:AQ17">IF(AP17="","",AP17*INDEX(Справочники!$B$4:$B$7,MATCH("RUB",Справочники!$A$4:$A$7,0)))</f>
        <v/>
      </c>
      <c r="AR17" s="90" t="str">
        <f aca="false">IF(AQ17="","",ROUND(AQ17*(1+Справочники!$B$12),0))</f>
        <v/>
      </c>
      <c r="AS17" s="90" t="str">
        <f aca="false">IF(AR17="","",ROUND(AR17*(1-Справочники!$B$11),0))</f>
        <v/>
      </c>
      <c r="AT17" s="88"/>
      <c r="AU17" s="90" t="str">
        <f aca="false">IF(AT17="","",ROUND(AT17/(1+Справочники!$B$12),0))</f>
        <v/>
      </c>
      <c r="AV17" s="90" t="str">
        <f aca="false">IF(AT17="","",ROUND(AT17*(1-Справочники!$B$15),0))</f>
        <v/>
      </c>
      <c r="AW17" s="90" t="str">
        <f aca="false">IF(AT17="","",ROUND(AT17*(1-Справочники!$B$16),0))</f>
        <v/>
      </c>
      <c r="AX17" s="90" t="str">
        <f aca="false">IF(AT17="","",ROUND(AT17*(1-Справочники!$B$17),0))</f>
        <v/>
      </c>
      <c r="AY17" s="90" t="str">
        <f aca="false">IF(AT17="","",ROUND(AT17*(1-Справочники!$B$18),0))</f>
        <v/>
      </c>
      <c r="AZ17" s="90" t="str">
        <f aca="false">IF(AT17="","",ROUND(AT17*(1-Справочники!$B$19),0))</f>
        <v/>
      </c>
      <c r="BA17" s="81"/>
      <c r="BB17" s="81"/>
      <c r="BC17" s="81"/>
      <c r="BD17" s="81"/>
      <c r="BE17" s="91"/>
      <c r="BF17" s="81" t="s">
        <v>103</v>
      </c>
      <c r="BG17" s="89" t="n">
        <f aca="false" t="array" ref="BG17:BG17">IF(BF17="","",IFERROR(INDEX(Справочники!$B$4:$B$7,MATCH(BF17,Справочники!$A$4:$A$7,0)),""))</f>
        <v>68.5</v>
      </c>
      <c r="BH17" s="90" t="str">
        <f aca="false">IF(N(BN17)&gt;0,ROUND(SUMIF(ЗАКАЗЫ!$F$3:$F$500,$A17,ЗАКАЗЫ!$Y$3:$Y$500)/BN17,0),IF(OR(BE17="",BG17=""),"",ROUND(BE17*BG17*(1+Справочники!$B$10),0)))</f>
        <v/>
      </c>
      <c r="BI17" s="92" t="str">
        <f aca="false">IF(OR(AU17="",BH17="",AU17=0),"",(AU17-BH17)/AU17)</f>
        <v/>
      </c>
      <c r="BJ17" s="81"/>
      <c r="BK17" s="83"/>
      <c r="BL17" s="43" t="str">
        <f aca="false">IFERROR(INDEX(ЗАКАЗЫ!$N$3:$N$500,MATCH($A17,ЗАКАЗЫ!$F$3:$F$500,0)),"")</f>
        <v/>
      </c>
      <c r="BM17" s="8" t="str">
        <f aca="false">IF(BL17="","",IFERROR(VLOOKUP(BL17,'ТН ВЭД'!$A$4:$C$40,3,0),""))</f>
        <v/>
      </c>
      <c r="BN17" s="7" t="str">
        <f aca="false">IF(COUNTIF(ЗАКАЗЫ!$F$3:$F$500,$A17)=0,"",SUMIF(ЗАКАЗЫ!$F$3:$F$500,$A17,ЗАКАЗЫ!$J$3:$J$500))</f>
        <v/>
      </c>
      <c r="BO17" s="7" t="str">
        <f aca="false">IF(BN17="","",SUMIF(ЗАКАЗЫ!$F$3:$F$500,$A17,ЗАКАЗЫ!$AL$3:$AL$500))</f>
        <v/>
      </c>
      <c r="BP17" s="7" t="str">
        <f aca="false">IF(BN17="","",BN17-BO17)</f>
        <v/>
      </c>
      <c r="BQ17" s="55" t="str">
        <f aca="false">IF(BN17="","",IF(BO17&gt;=BN17,"На складе",IF(BO17&gt;0,"Частично","Ждём")))</f>
        <v/>
      </c>
      <c r="BR17" s="43"/>
      <c r="BS17" s="47" t="str">
        <f aca="false">IF(BN17="","",IF(_xlfn.MAXIFS(ЗАКАЗЫ!$AK$3:$AK$500,ЗАКАЗЫ!$F$3:$F$500,$A17)=0,"",_xlfn.MAXIFS(ЗАКАЗЫ!$AK$3:$AK$500,ЗАКАЗЫ!$F$3:$F$500,$A17)))</f>
        <v/>
      </c>
    </row>
    <row r="18" customFormat="false" ht="15.75" hidden="false" customHeight="true" outlineLevel="0" collapsed="false">
      <c r="A18" s="80" t="s">
        <v>1541</v>
      </c>
      <c r="B18" s="81"/>
      <c r="C18" s="81"/>
      <c r="D18" s="81"/>
      <c r="E18" s="83"/>
      <c r="F18" s="81"/>
      <c r="G18" s="83"/>
      <c r="H18" s="83"/>
      <c r="I18" s="84" t="str">
        <f aca="false">IF(E18="","",A18&amp;"_1.jpg")</f>
        <v/>
      </c>
      <c r="J18" s="84" t="str">
        <f aca="false">IF(E18="","",A18&amp;"_2.jpg; "&amp;A18&amp;"_3.jpg")</f>
        <v/>
      </c>
      <c r="K18" s="84" t="str">
        <f aca="false">IF(E18="","",A18&amp;"_schema.jpg")</f>
        <v/>
      </c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 t="s">
        <v>96</v>
      </c>
      <c r="W18" s="81"/>
      <c r="X18" s="81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6" t="str">
        <f aca="false">IF(SUM(Y18:AJ18)=0,"",SUM(Y18:AJ18))</f>
        <v/>
      </c>
      <c r="AL18" s="84" t="str">
        <f aca="false">MID(IF(N(Y18)&gt;0,", "&amp;Y$2,"")&amp;IF(N(Z18)&gt;0,", "&amp;Z$2,"")&amp;IF(N(AA18)&gt;0,", "&amp;AA$2,"")&amp;IF(N(AB18)&gt;0,", "&amp;AB$2,"")&amp;IF(N(AC18)&gt;0,", "&amp;AC$2,"")&amp;IF(N(AD18)&gt;0,", "&amp;AD$2,"")&amp;IF(N(AE18)&gt;0,", "&amp;AE$2,"")&amp;IF(N(AF18)&gt;0,", "&amp;AF$2,"")&amp;IF(N(AG18)&gt;0,", "&amp;AG$2,"")&amp;IF(N(AH18)&gt;0,", "&amp;AH$2,"")&amp;IF(N(AI18)&gt;0,", "&amp;AI$2,"")&amp;IF(N(AJ18)&gt;0,", "&amp;AJ$2,""),3,999)</f>
        <v/>
      </c>
      <c r="AM18" s="87" t="str">
        <f aca="false">IF(E18="","",MID(IF(N(Y18)&gt;0,", "&amp;A18&amp;"-"&amp;Y$2,"")&amp;IF(N(Z18)&gt;0,", "&amp;A18&amp;"-"&amp;Z$2,"")&amp;IF(N(AA18)&gt;0,", "&amp;A18&amp;"-"&amp;AA$2,"")&amp;IF(N(AB18)&gt;0,", "&amp;A18&amp;"-"&amp;AB$2,"")&amp;IF(N(AC18)&gt;0,", "&amp;A18&amp;"-"&amp;AC$2,"")&amp;IF(N(AD18)&gt;0,", "&amp;A18&amp;"-"&amp;AD$2,"")&amp;IF(N(AE18)&gt;0,", "&amp;A18&amp;"-"&amp;AE$2,"")&amp;IF(N(AF18)&gt;0,", "&amp;A18&amp;"-"&amp;AF$2,"")&amp;IF(N(AG18)&gt;0,", "&amp;A18&amp;"-"&amp;AG$2,"")&amp;IF(N(AH18)&gt;0,", "&amp;A18&amp;"-"&amp;AH$2,"")&amp;IF(N(AI18)&gt;0,", "&amp;A18&amp;"-"&amp;AI$2,"")&amp;IF(N(AJ18)&gt;0,", "&amp;A18&amp;"-"&amp;AJ$2,""),3,999))</f>
        <v/>
      </c>
      <c r="AN18" s="81"/>
      <c r="AO18" s="88"/>
      <c r="AP18" s="89" t="str">
        <f aca="false">IF(AO18="","",ROUND(AO18/(1+Справочники!$B$13),2))</f>
        <v/>
      </c>
      <c r="AQ18" s="90" t="str">
        <f aca="false" t="array" ref="AQ18:AQ18">IF(AP18="","",AP18*INDEX(Справочники!$B$4:$B$7,MATCH("RUB",Справочники!$A$4:$A$7,0)))</f>
        <v/>
      </c>
      <c r="AR18" s="90" t="str">
        <f aca="false">IF(AQ18="","",ROUND(AQ18*(1+Справочники!$B$12),0))</f>
        <v/>
      </c>
      <c r="AS18" s="90" t="str">
        <f aca="false">IF(AR18="","",ROUND(AR18*(1-Справочники!$B$11),0))</f>
        <v/>
      </c>
      <c r="AT18" s="88"/>
      <c r="AU18" s="90" t="str">
        <f aca="false">IF(AT18="","",ROUND(AT18/(1+Справочники!$B$12),0))</f>
        <v/>
      </c>
      <c r="AV18" s="90" t="str">
        <f aca="false">IF(AT18="","",ROUND(AT18*(1-Справочники!$B$15),0))</f>
        <v/>
      </c>
      <c r="AW18" s="90" t="str">
        <f aca="false">IF(AT18="","",ROUND(AT18*(1-Справочники!$B$16),0))</f>
        <v/>
      </c>
      <c r="AX18" s="90" t="str">
        <f aca="false">IF(AT18="","",ROUND(AT18*(1-Справочники!$B$17),0))</f>
        <v/>
      </c>
      <c r="AY18" s="90" t="str">
        <f aca="false">IF(AT18="","",ROUND(AT18*(1-Справочники!$B$18),0))</f>
        <v/>
      </c>
      <c r="AZ18" s="90" t="str">
        <f aca="false">IF(AT18="","",ROUND(AT18*(1-Справочники!$B$19),0))</f>
        <v/>
      </c>
      <c r="BA18" s="81"/>
      <c r="BB18" s="81"/>
      <c r="BC18" s="81"/>
      <c r="BD18" s="81"/>
      <c r="BE18" s="91"/>
      <c r="BF18" s="81" t="s">
        <v>103</v>
      </c>
      <c r="BG18" s="89" t="n">
        <f aca="false" t="array" ref="BG18:BG18">IF(BF18="","",IFERROR(INDEX(Справочники!$B$4:$B$7,MATCH(BF18,Справочники!$A$4:$A$7,0)),""))</f>
        <v>68.5</v>
      </c>
      <c r="BH18" s="90" t="str">
        <f aca="false">IF(N(BN18)&gt;0,ROUND(SUMIF(ЗАКАЗЫ!$F$3:$F$500,$A18,ЗАКАЗЫ!$Y$3:$Y$500)/BN18,0),IF(OR(BE18="",BG18=""),"",ROUND(BE18*BG18*(1+Справочники!$B$10),0)))</f>
        <v/>
      </c>
      <c r="BI18" s="92" t="str">
        <f aca="false">IF(OR(AU18="",BH18="",AU18=0),"",(AU18-BH18)/AU18)</f>
        <v/>
      </c>
      <c r="BJ18" s="81"/>
      <c r="BK18" s="83"/>
      <c r="BL18" s="43" t="str">
        <f aca="false">IFERROR(INDEX(ЗАКАЗЫ!$N$3:$N$500,MATCH($A18,ЗАКАЗЫ!$F$3:$F$500,0)),"")</f>
        <v/>
      </c>
      <c r="BM18" s="8" t="str">
        <f aca="false">IF(BL18="","",IFERROR(VLOOKUP(BL18,'ТН ВЭД'!$A$4:$C$40,3,0),""))</f>
        <v/>
      </c>
      <c r="BN18" s="7" t="str">
        <f aca="false">IF(COUNTIF(ЗАКАЗЫ!$F$3:$F$500,$A18)=0,"",SUMIF(ЗАКАЗЫ!$F$3:$F$500,$A18,ЗАКАЗЫ!$J$3:$J$500))</f>
        <v/>
      </c>
      <c r="BO18" s="7" t="str">
        <f aca="false">IF(BN18="","",SUMIF(ЗАКАЗЫ!$F$3:$F$500,$A18,ЗАКАЗЫ!$AL$3:$AL$500))</f>
        <v/>
      </c>
      <c r="BP18" s="7" t="str">
        <f aca="false">IF(BN18="","",BN18-BO18)</f>
        <v/>
      </c>
      <c r="BQ18" s="55" t="str">
        <f aca="false">IF(BN18="","",IF(BO18&gt;=BN18,"На складе",IF(BO18&gt;0,"Частично","Ждём")))</f>
        <v/>
      </c>
      <c r="BR18" s="43"/>
      <c r="BS18" s="47" t="str">
        <f aca="false">IF(BN18="","",IF(_xlfn.MAXIFS(ЗАКАЗЫ!$AK$3:$AK$500,ЗАКАЗЫ!$F$3:$F$500,$A18)=0,"",_xlfn.MAXIFS(ЗАКАЗЫ!$AK$3:$AK$500,ЗАКАЗЫ!$F$3:$F$500,$A18)))</f>
        <v/>
      </c>
    </row>
    <row r="19" customFormat="false" ht="15.75" hidden="false" customHeight="true" outlineLevel="0" collapsed="false">
      <c r="A19" s="80" t="s">
        <v>1542</v>
      </c>
      <c r="B19" s="81"/>
      <c r="C19" s="81"/>
      <c r="D19" s="81"/>
      <c r="E19" s="83"/>
      <c r="F19" s="81"/>
      <c r="G19" s="83"/>
      <c r="H19" s="83"/>
      <c r="I19" s="84" t="str">
        <f aca="false">IF(E19="","",A19&amp;"_1.jpg")</f>
        <v/>
      </c>
      <c r="J19" s="84" t="str">
        <f aca="false">IF(E19="","",A19&amp;"_2.jpg; "&amp;A19&amp;"_3.jpg")</f>
        <v/>
      </c>
      <c r="K19" s="84" t="str">
        <f aca="false">IF(E19="","",A19&amp;"_schema.jpg")</f>
        <v/>
      </c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 t="s">
        <v>96</v>
      </c>
      <c r="W19" s="81"/>
      <c r="X19" s="81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6" t="str">
        <f aca="false">IF(SUM(Y19:AJ19)=0,"",SUM(Y19:AJ19))</f>
        <v/>
      </c>
      <c r="AL19" s="84" t="str">
        <f aca="false">MID(IF(N(Y19)&gt;0,", "&amp;Y$2,"")&amp;IF(N(Z19)&gt;0,", "&amp;Z$2,"")&amp;IF(N(AA19)&gt;0,", "&amp;AA$2,"")&amp;IF(N(AB19)&gt;0,", "&amp;AB$2,"")&amp;IF(N(AC19)&gt;0,", "&amp;AC$2,"")&amp;IF(N(AD19)&gt;0,", "&amp;AD$2,"")&amp;IF(N(AE19)&gt;0,", "&amp;AE$2,"")&amp;IF(N(AF19)&gt;0,", "&amp;AF$2,"")&amp;IF(N(AG19)&gt;0,", "&amp;AG$2,"")&amp;IF(N(AH19)&gt;0,", "&amp;AH$2,"")&amp;IF(N(AI19)&gt;0,", "&amp;AI$2,"")&amp;IF(N(AJ19)&gt;0,", "&amp;AJ$2,""),3,999)</f>
        <v/>
      </c>
      <c r="AM19" s="87" t="str">
        <f aca="false">IF(E19="","",MID(IF(N(Y19)&gt;0,", "&amp;A19&amp;"-"&amp;Y$2,"")&amp;IF(N(Z19)&gt;0,", "&amp;A19&amp;"-"&amp;Z$2,"")&amp;IF(N(AA19)&gt;0,", "&amp;A19&amp;"-"&amp;AA$2,"")&amp;IF(N(AB19)&gt;0,", "&amp;A19&amp;"-"&amp;AB$2,"")&amp;IF(N(AC19)&gt;0,", "&amp;A19&amp;"-"&amp;AC$2,"")&amp;IF(N(AD19)&gt;0,", "&amp;A19&amp;"-"&amp;AD$2,"")&amp;IF(N(AE19)&gt;0,", "&amp;A19&amp;"-"&amp;AE$2,"")&amp;IF(N(AF19)&gt;0,", "&amp;A19&amp;"-"&amp;AF$2,"")&amp;IF(N(AG19)&gt;0,", "&amp;A19&amp;"-"&amp;AG$2,"")&amp;IF(N(AH19)&gt;0,", "&amp;A19&amp;"-"&amp;AH$2,"")&amp;IF(N(AI19)&gt;0,", "&amp;A19&amp;"-"&amp;AI$2,"")&amp;IF(N(AJ19)&gt;0,", "&amp;A19&amp;"-"&amp;AJ$2,""),3,999))</f>
        <v/>
      </c>
      <c r="AN19" s="81"/>
      <c r="AO19" s="88"/>
      <c r="AP19" s="89" t="str">
        <f aca="false">IF(AO19="","",ROUND(AO19/(1+Справочники!$B$13),2))</f>
        <v/>
      </c>
      <c r="AQ19" s="90" t="str">
        <f aca="false" t="array" ref="AQ19:AQ19">IF(AP19="","",AP19*INDEX(Справочники!$B$4:$B$7,MATCH("RUB",Справочники!$A$4:$A$7,0)))</f>
        <v/>
      </c>
      <c r="AR19" s="90" t="str">
        <f aca="false">IF(AQ19="","",ROUND(AQ19*(1+Справочники!$B$12),0))</f>
        <v/>
      </c>
      <c r="AS19" s="90" t="str">
        <f aca="false">IF(AR19="","",ROUND(AR19*(1-Справочники!$B$11),0))</f>
        <v/>
      </c>
      <c r="AT19" s="88"/>
      <c r="AU19" s="90" t="str">
        <f aca="false">IF(AT19="","",ROUND(AT19/(1+Справочники!$B$12),0))</f>
        <v/>
      </c>
      <c r="AV19" s="90" t="str">
        <f aca="false">IF(AT19="","",ROUND(AT19*(1-Справочники!$B$15),0))</f>
        <v/>
      </c>
      <c r="AW19" s="90" t="str">
        <f aca="false">IF(AT19="","",ROUND(AT19*(1-Справочники!$B$16),0))</f>
        <v/>
      </c>
      <c r="AX19" s="90" t="str">
        <f aca="false">IF(AT19="","",ROUND(AT19*(1-Справочники!$B$17),0))</f>
        <v/>
      </c>
      <c r="AY19" s="90" t="str">
        <f aca="false">IF(AT19="","",ROUND(AT19*(1-Справочники!$B$18),0))</f>
        <v/>
      </c>
      <c r="AZ19" s="90" t="str">
        <f aca="false">IF(AT19="","",ROUND(AT19*(1-Справочники!$B$19),0))</f>
        <v/>
      </c>
      <c r="BA19" s="81"/>
      <c r="BB19" s="81"/>
      <c r="BC19" s="81"/>
      <c r="BD19" s="81"/>
      <c r="BE19" s="91"/>
      <c r="BF19" s="81" t="s">
        <v>103</v>
      </c>
      <c r="BG19" s="89" t="n">
        <f aca="false" t="array" ref="BG19:BG19">IF(BF19="","",IFERROR(INDEX(Справочники!$B$4:$B$7,MATCH(BF19,Справочники!$A$4:$A$7,0)),""))</f>
        <v>68.5</v>
      </c>
      <c r="BH19" s="90" t="str">
        <f aca="false">IF(N(BN19)&gt;0,ROUND(SUMIF(ЗАКАЗЫ!$F$3:$F$500,$A19,ЗАКАЗЫ!$Y$3:$Y$500)/BN19,0),IF(OR(BE19="",BG19=""),"",ROUND(BE19*BG19*(1+Справочники!$B$10),0)))</f>
        <v/>
      </c>
      <c r="BI19" s="92" t="str">
        <f aca="false">IF(OR(AU19="",BH19="",AU19=0),"",(AU19-BH19)/AU19)</f>
        <v/>
      </c>
      <c r="BJ19" s="81"/>
      <c r="BK19" s="83"/>
      <c r="BL19" s="43" t="str">
        <f aca="false">IFERROR(INDEX(ЗАКАЗЫ!$N$3:$N$500,MATCH($A19,ЗАКАЗЫ!$F$3:$F$500,0)),"")</f>
        <v/>
      </c>
      <c r="BM19" s="8" t="str">
        <f aca="false">IF(BL19="","",IFERROR(VLOOKUP(BL19,'ТН ВЭД'!$A$4:$C$40,3,0),""))</f>
        <v/>
      </c>
      <c r="BN19" s="7" t="str">
        <f aca="false">IF(COUNTIF(ЗАКАЗЫ!$F$3:$F$500,$A19)=0,"",SUMIF(ЗАКАЗЫ!$F$3:$F$500,$A19,ЗАКАЗЫ!$J$3:$J$500))</f>
        <v/>
      </c>
      <c r="BO19" s="7" t="str">
        <f aca="false">IF(BN19="","",SUMIF(ЗАКАЗЫ!$F$3:$F$500,$A19,ЗАКАЗЫ!$AL$3:$AL$500))</f>
        <v/>
      </c>
      <c r="BP19" s="7" t="str">
        <f aca="false">IF(BN19="","",BN19-BO19)</f>
        <v/>
      </c>
      <c r="BQ19" s="55" t="str">
        <f aca="false">IF(BN19="","",IF(BO19&gt;=BN19,"На складе",IF(BO19&gt;0,"Частично","Ждём")))</f>
        <v/>
      </c>
      <c r="BR19" s="43"/>
      <c r="BS19" s="47" t="str">
        <f aca="false">IF(BN19="","",IF(_xlfn.MAXIFS(ЗАКАЗЫ!$AK$3:$AK$500,ЗАКАЗЫ!$F$3:$F$500,$A19)=0,"",_xlfn.MAXIFS(ЗАКАЗЫ!$AK$3:$AK$500,ЗАКАЗЫ!$F$3:$F$500,$A19)))</f>
        <v/>
      </c>
    </row>
    <row r="20" customFormat="false" ht="15.75" hidden="false" customHeight="true" outlineLevel="0" collapsed="false">
      <c r="A20" s="80" t="s">
        <v>1543</v>
      </c>
      <c r="B20" s="81"/>
      <c r="C20" s="81"/>
      <c r="D20" s="81"/>
      <c r="E20" s="83"/>
      <c r="F20" s="81"/>
      <c r="G20" s="83"/>
      <c r="H20" s="83"/>
      <c r="I20" s="84" t="str">
        <f aca="false">IF(E20="","",A20&amp;"_1.jpg")</f>
        <v/>
      </c>
      <c r="J20" s="84" t="str">
        <f aca="false">IF(E20="","",A20&amp;"_2.jpg; "&amp;A20&amp;"_3.jpg")</f>
        <v/>
      </c>
      <c r="K20" s="84" t="str">
        <f aca="false">IF(E20="","",A20&amp;"_schema.jpg")</f>
        <v/>
      </c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 t="s">
        <v>96</v>
      </c>
      <c r="W20" s="81"/>
      <c r="X20" s="81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6" t="str">
        <f aca="false">IF(SUM(Y20:AJ20)=0,"",SUM(Y20:AJ20))</f>
        <v/>
      </c>
      <c r="AL20" s="84" t="str">
        <f aca="false">MID(IF(N(Y20)&gt;0,", "&amp;Y$2,"")&amp;IF(N(Z20)&gt;0,", "&amp;Z$2,"")&amp;IF(N(AA20)&gt;0,", "&amp;AA$2,"")&amp;IF(N(AB20)&gt;0,", "&amp;AB$2,"")&amp;IF(N(AC20)&gt;0,", "&amp;AC$2,"")&amp;IF(N(AD20)&gt;0,", "&amp;AD$2,"")&amp;IF(N(AE20)&gt;0,", "&amp;AE$2,"")&amp;IF(N(AF20)&gt;0,", "&amp;AF$2,"")&amp;IF(N(AG20)&gt;0,", "&amp;AG$2,"")&amp;IF(N(AH20)&gt;0,", "&amp;AH$2,"")&amp;IF(N(AI20)&gt;0,", "&amp;AI$2,"")&amp;IF(N(AJ20)&gt;0,", "&amp;AJ$2,""),3,999)</f>
        <v/>
      </c>
      <c r="AM20" s="87" t="str">
        <f aca="false">IF(E20="","",MID(IF(N(Y20)&gt;0,", "&amp;A20&amp;"-"&amp;Y$2,"")&amp;IF(N(Z20)&gt;0,", "&amp;A20&amp;"-"&amp;Z$2,"")&amp;IF(N(AA20)&gt;0,", "&amp;A20&amp;"-"&amp;AA$2,"")&amp;IF(N(AB20)&gt;0,", "&amp;A20&amp;"-"&amp;AB$2,"")&amp;IF(N(AC20)&gt;0,", "&amp;A20&amp;"-"&amp;AC$2,"")&amp;IF(N(AD20)&gt;0,", "&amp;A20&amp;"-"&amp;AD$2,"")&amp;IF(N(AE20)&gt;0,", "&amp;A20&amp;"-"&amp;AE$2,"")&amp;IF(N(AF20)&gt;0,", "&amp;A20&amp;"-"&amp;AF$2,"")&amp;IF(N(AG20)&gt;0,", "&amp;A20&amp;"-"&amp;AG$2,"")&amp;IF(N(AH20)&gt;0,", "&amp;A20&amp;"-"&amp;AH$2,"")&amp;IF(N(AI20)&gt;0,", "&amp;A20&amp;"-"&amp;AI$2,"")&amp;IF(N(AJ20)&gt;0,", "&amp;A20&amp;"-"&amp;AJ$2,""),3,999))</f>
        <v/>
      </c>
      <c r="AN20" s="81"/>
      <c r="AO20" s="88"/>
      <c r="AP20" s="89" t="str">
        <f aca="false">IF(AO20="","",ROUND(AO20/(1+Справочники!$B$13),2))</f>
        <v/>
      </c>
      <c r="AQ20" s="90" t="str">
        <f aca="false" t="array" ref="AQ20:AQ20">IF(AP20="","",AP20*INDEX(Справочники!$B$4:$B$7,MATCH("RUB",Справочники!$A$4:$A$7,0)))</f>
        <v/>
      </c>
      <c r="AR20" s="90" t="str">
        <f aca="false">IF(AQ20="","",ROUND(AQ20*(1+Справочники!$B$12),0))</f>
        <v/>
      </c>
      <c r="AS20" s="90" t="str">
        <f aca="false">IF(AR20="","",ROUND(AR20*(1-Справочники!$B$11),0))</f>
        <v/>
      </c>
      <c r="AT20" s="88"/>
      <c r="AU20" s="90" t="str">
        <f aca="false">IF(AT20="","",ROUND(AT20/(1+Справочники!$B$12),0))</f>
        <v/>
      </c>
      <c r="AV20" s="90" t="str">
        <f aca="false">IF(AT20="","",ROUND(AT20*(1-Справочники!$B$15),0))</f>
        <v/>
      </c>
      <c r="AW20" s="90" t="str">
        <f aca="false">IF(AT20="","",ROUND(AT20*(1-Справочники!$B$16),0))</f>
        <v/>
      </c>
      <c r="AX20" s="90" t="str">
        <f aca="false">IF(AT20="","",ROUND(AT20*(1-Справочники!$B$17),0))</f>
        <v/>
      </c>
      <c r="AY20" s="90" t="str">
        <f aca="false">IF(AT20="","",ROUND(AT20*(1-Справочники!$B$18),0))</f>
        <v/>
      </c>
      <c r="AZ20" s="90" t="str">
        <f aca="false">IF(AT20="","",ROUND(AT20*(1-Справочники!$B$19),0))</f>
        <v/>
      </c>
      <c r="BA20" s="81"/>
      <c r="BB20" s="81"/>
      <c r="BC20" s="81"/>
      <c r="BD20" s="81"/>
      <c r="BE20" s="91"/>
      <c r="BF20" s="81" t="s">
        <v>103</v>
      </c>
      <c r="BG20" s="89" t="n">
        <f aca="false" t="array" ref="BG20:BG20">IF(BF20="","",IFERROR(INDEX(Справочники!$B$4:$B$7,MATCH(BF20,Справочники!$A$4:$A$7,0)),""))</f>
        <v>68.5</v>
      </c>
      <c r="BH20" s="90" t="str">
        <f aca="false">IF(N(BN20)&gt;0,ROUND(SUMIF(ЗАКАЗЫ!$F$3:$F$500,$A20,ЗАКАЗЫ!$Y$3:$Y$500)/BN20,0),IF(OR(BE20="",BG20=""),"",ROUND(BE20*BG20*(1+Справочники!$B$10),0)))</f>
        <v/>
      </c>
      <c r="BI20" s="92" t="str">
        <f aca="false">IF(OR(AU20="",BH20="",AU20=0),"",(AU20-BH20)/AU20)</f>
        <v/>
      </c>
      <c r="BJ20" s="81"/>
      <c r="BK20" s="83"/>
      <c r="BL20" s="43" t="str">
        <f aca="false">IFERROR(INDEX(ЗАКАЗЫ!$N$3:$N$500,MATCH($A20,ЗАКАЗЫ!$F$3:$F$500,0)),"")</f>
        <v/>
      </c>
      <c r="BM20" s="8" t="str">
        <f aca="false">IF(BL20="","",IFERROR(VLOOKUP(BL20,'ТН ВЭД'!$A$4:$C$40,3,0),""))</f>
        <v/>
      </c>
      <c r="BN20" s="7" t="str">
        <f aca="false">IF(COUNTIF(ЗАКАЗЫ!$F$3:$F$500,$A20)=0,"",SUMIF(ЗАКАЗЫ!$F$3:$F$500,$A20,ЗАКАЗЫ!$J$3:$J$500))</f>
        <v/>
      </c>
      <c r="BO20" s="7" t="str">
        <f aca="false">IF(BN20="","",SUMIF(ЗАКАЗЫ!$F$3:$F$500,$A20,ЗАКАЗЫ!$AL$3:$AL$500))</f>
        <v/>
      </c>
      <c r="BP20" s="7" t="str">
        <f aca="false">IF(BN20="","",BN20-BO20)</f>
        <v/>
      </c>
      <c r="BQ20" s="55" t="str">
        <f aca="false">IF(BN20="","",IF(BO20&gt;=BN20,"На складе",IF(BO20&gt;0,"Частично","Ждём")))</f>
        <v/>
      </c>
      <c r="BR20" s="43"/>
      <c r="BS20" s="47" t="str">
        <f aca="false">IF(BN20="","",IF(_xlfn.MAXIFS(ЗАКАЗЫ!$AK$3:$AK$500,ЗАКАЗЫ!$F$3:$F$500,$A20)=0,"",_xlfn.MAXIFS(ЗАКАЗЫ!$AK$3:$AK$500,ЗАКАЗЫ!$F$3:$F$500,$A20)))</f>
        <v/>
      </c>
    </row>
    <row r="21" customFormat="false" ht="15.75" hidden="false" customHeight="true" outlineLevel="0" collapsed="false">
      <c r="A21" s="80" t="s">
        <v>1544</v>
      </c>
      <c r="B21" s="81"/>
      <c r="C21" s="81"/>
      <c r="D21" s="81"/>
      <c r="E21" s="83"/>
      <c r="F21" s="81"/>
      <c r="G21" s="83"/>
      <c r="H21" s="83"/>
      <c r="I21" s="84" t="str">
        <f aca="false">IF(E21="","",A21&amp;"_1.jpg")</f>
        <v/>
      </c>
      <c r="J21" s="84" t="str">
        <f aca="false">IF(E21="","",A21&amp;"_2.jpg; "&amp;A21&amp;"_3.jpg")</f>
        <v/>
      </c>
      <c r="K21" s="84" t="str">
        <f aca="false">IF(E21="","",A21&amp;"_schema.jpg")</f>
        <v/>
      </c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 t="s">
        <v>96</v>
      </c>
      <c r="W21" s="81"/>
      <c r="X21" s="81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6" t="str">
        <f aca="false">IF(SUM(Y21:AJ21)=0,"",SUM(Y21:AJ21))</f>
        <v/>
      </c>
      <c r="AL21" s="84" t="str">
        <f aca="false">MID(IF(N(Y21)&gt;0,", "&amp;Y$2,"")&amp;IF(N(Z21)&gt;0,", "&amp;Z$2,"")&amp;IF(N(AA21)&gt;0,", "&amp;AA$2,"")&amp;IF(N(AB21)&gt;0,", "&amp;AB$2,"")&amp;IF(N(AC21)&gt;0,", "&amp;AC$2,"")&amp;IF(N(AD21)&gt;0,", "&amp;AD$2,"")&amp;IF(N(AE21)&gt;0,", "&amp;AE$2,"")&amp;IF(N(AF21)&gt;0,", "&amp;AF$2,"")&amp;IF(N(AG21)&gt;0,", "&amp;AG$2,"")&amp;IF(N(AH21)&gt;0,", "&amp;AH$2,"")&amp;IF(N(AI21)&gt;0,", "&amp;AI$2,"")&amp;IF(N(AJ21)&gt;0,", "&amp;AJ$2,""),3,999)</f>
        <v/>
      </c>
      <c r="AM21" s="87" t="str">
        <f aca="false">IF(E21="","",MID(IF(N(Y21)&gt;0,", "&amp;A21&amp;"-"&amp;Y$2,"")&amp;IF(N(Z21)&gt;0,", "&amp;A21&amp;"-"&amp;Z$2,"")&amp;IF(N(AA21)&gt;0,", "&amp;A21&amp;"-"&amp;AA$2,"")&amp;IF(N(AB21)&gt;0,", "&amp;A21&amp;"-"&amp;AB$2,"")&amp;IF(N(AC21)&gt;0,", "&amp;A21&amp;"-"&amp;AC$2,"")&amp;IF(N(AD21)&gt;0,", "&amp;A21&amp;"-"&amp;AD$2,"")&amp;IF(N(AE21)&gt;0,", "&amp;A21&amp;"-"&amp;AE$2,"")&amp;IF(N(AF21)&gt;0,", "&amp;A21&amp;"-"&amp;AF$2,"")&amp;IF(N(AG21)&gt;0,", "&amp;A21&amp;"-"&amp;AG$2,"")&amp;IF(N(AH21)&gt;0,", "&amp;A21&amp;"-"&amp;AH$2,"")&amp;IF(N(AI21)&gt;0,", "&amp;A21&amp;"-"&amp;AI$2,"")&amp;IF(N(AJ21)&gt;0,", "&amp;A21&amp;"-"&amp;AJ$2,""),3,999))</f>
        <v/>
      </c>
      <c r="AN21" s="81"/>
      <c r="AO21" s="88"/>
      <c r="AP21" s="89" t="str">
        <f aca="false">IF(AO21="","",ROUND(AO21/(1+Справочники!$B$13),2))</f>
        <v/>
      </c>
      <c r="AQ21" s="90" t="str">
        <f aca="false" t="array" ref="AQ21:AQ21">IF(AP21="","",AP21*INDEX(Справочники!$B$4:$B$7,MATCH("RUB",Справочники!$A$4:$A$7,0)))</f>
        <v/>
      </c>
      <c r="AR21" s="90" t="str">
        <f aca="false">IF(AQ21="","",ROUND(AQ21*(1+Справочники!$B$12),0))</f>
        <v/>
      </c>
      <c r="AS21" s="90" t="str">
        <f aca="false">IF(AR21="","",ROUND(AR21*(1-Справочники!$B$11),0))</f>
        <v/>
      </c>
      <c r="AT21" s="88"/>
      <c r="AU21" s="90" t="str">
        <f aca="false">IF(AT21="","",ROUND(AT21/(1+Справочники!$B$12),0))</f>
        <v/>
      </c>
      <c r="AV21" s="90" t="str">
        <f aca="false">IF(AT21="","",ROUND(AT21*(1-Справочники!$B$15),0))</f>
        <v/>
      </c>
      <c r="AW21" s="90" t="str">
        <f aca="false">IF(AT21="","",ROUND(AT21*(1-Справочники!$B$16),0))</f>
        <v/>
      </c>
      <c r="AX21" s="90" t="str">
        <f aca="false">IF(AT21="","",ROUND(AT21*(1-Справочники!$B$17),0))</f>
        <v/>
      </c>
      <c r="AY21" s="90" t="str">
        <f aca="false">IF(AT21="","",ROUND(AT21*(1-Справочники!$B$18),0))</f>
        <v/>
      </c>
      <c r="AZ21" s="90" t="str">
        <f aca="false">IF(AT21="","",ROUND(AT21*(1-Справочники!$B$19),0))</f>
        <v/>
      </c>
      <c r="BA21" s="81"/>
      <c r="BB21" s="81"/>
      <c r="BC21" s="81"/>
      <c r="BD21" s="81"/>
      <c r="BE21" s="91"/>
      <c r="BF21" s="81" t="s">
        <v>103</v>
      </c>
      <c r="BG21" s="89" t="n">
        <f aca="false" t="array" ref="BG21:BG21">IF(BF21="","",IFERROR(INDEX(Справочники!$B$4:$B$7,MATCH(BF21,Справочники!$A$4:$A$7,0)),""))</f>
        <v>68.5</v>
      </c>
      <c r="BH21" s="90" t="str">
        <f aca="false">IF(N(BN21)&gt;0,ROUND(SUMIF(ЗАКАЗЫ!$F$3:$F$500,$A21,ЗАКАЗЫ!$Y$3:$Y$500)/BN21,0),IF(OR(BE21="",BG21=""),"",ROUND(BE21*BG21*(1+Справочники!$B$10),0)))</f>
        <v/>
      </c>
      <c r="BI21" s="92" t="str">
        <f aca="false">IF(OR(AU21="",BH21="",AU21=0),"",(AU21-BH21)/AU21)</f>
        <v/>
      </c>
      <c r="BJ21" s="81"/>
      <c r="BK21" s="83"/>
      <c r="BL21" s="43" t="str">
        <f aca="false">IFERROR(INDEX(ЗАКАЗЫ!$N$3:$N$500,MATCH($A21,ЗАКАЗЫ!$F$3:$F$500,0)),"")</f>
        <v/>
      </c>
      <c r="BM21" s="8" t="str">
        <f aca="false">IF(BL21="","",IFERROR(VLOOKUP(BL21,'ТН ВЭД'!$A$4:$C$40,3,0),""))</f>
        <v/>
      </c>
      <c r="BN21" s="7" t="str">
        <f aca="false">IF(COUNTIF(ЗАКАЗЫ!$F$3:$F$500,$A21)=0,"",SUMIF(ЗАКАЗЫ!$F$3:$F$500,$A21,ЗАКАЗЫ!$J$3:$J$500))</f>
        <v/>
      </c>
      <c r="BO21" s="7" t="str">
        <f aca="false">IF(BN21="","",SUMIF(ЗАКАЗЫ!$F$3:$F$500,$A21,ЗАКАЗЫ!$AL$3:$AL$500))</f>
        <v/>
      </c>
      <c r="BP21" s="7" t="str">
        <f aca="false">IF(BN21="","",BN21-BO21)</f>
        <v/>
      </c>
      <c r="BQ21" s="55" t="str">
        <f aca="false">IF(BN21="","",IF(BO21&gt;=BN21,"На складе",IF(BO21&gt;0,"Частично","Ждём")))</f>
        <v/>
      </c>
      <c r="BR21" s="43"/>
      <c r="BS21" s="47" t="str">
        <f aca="false">IF(BN21="","",IF(_xlfn.MAXIFS(ЗАКАЗЫ!$AK$3:$AK$500,ЗАКАЗЫ!$F$3:$F$500,$A21)=0,"",_xlfn.MAXIFS(ЗАКАЗЫ!$AK$3:$AK$500,ЗАКАЗЫ!$F$3:$F$500,$A21)))</f>
        <v/>
      </c>
    </row>
    <row r="22" customFormat="false" ht="15.75" hidden="false" customHeight="true" outlineLevel="0" collapsed="false">
      <c r="A22" s="80" t="s">
        <v>1545</v>
      </c>
      <c r="B22" s="81"/>
      <c r="C22" s="81"/>
      <c r="D22" s="81"/>
      <c r="E22" s="83"/>
      <c r="F22" s="81"/>
      <c r="G22" s="83"/>
      <c r="H22" s="83"/>
      <c r="I22" s="84" t="str">
        <f aca="false">IF(E22="","",A22&amp;"_1.jpg")</f>
        <v/>
      </c>
      <c r="J22" s="84" t="str">
        <f aca="false">IF(E22="","",A22&amp;"_2.jpg; "&amp;A22&amp;"_3.jpg")</f>
        <v/>
      </c>
      <c r="K22" s="84" t="str">
        <f aca="false">IF(E22="","",A22&amp;"_schema.jpg")</f>
        <v/>
      </c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 t="s">
        <v>96</v>
      </c>
      <c r="W22" s="81"/>
      <c r="X22" s="81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6" t="str">
        <f aca="false">IF(SUM(Y22:AJ22)=0,"",SUM(Y22:AJ22))</f>
        <v/>
      </c>
      <c r="AL22" s="84" t="str">
        <f aca="false">MID(IF(N(Y22)&gt;0,", "&amp;Y$2,"")&amp;IF(N(Z22)&gt;0,", "&amp;Z$2,"")&amp;IF(N(AA22)&gt;0,", "&amp;AA$2,"")&amp;IF(N(AB22)&gt;0,", "&amp;AB$2,"")&amp;IF(N(AC22)&gt;0,", "&amp;AC$2,"")&amp;IF(N(AD22)&gt;0,", "&amp;AD$2,"")&amp;IF(N(AE22)&gt;0,", "&amp;AE$2,"")&amp;IF(N(AF22)&gt;0,", "&amp;AF$2,"")&amp;IF(N(AG22)&gt;0,", "&amp;AG$2,"")&amp;IF(N(AH22)&gt;0,", "&amp;AH$2,"")&amp;IF(N(AI22)&gt;0,", "&amp;AI$2,"")&amp;IF(N(AJ22)&gt;0,", "&amp;AJ$2,""),3,999)</f>
        <v/>
      </c>
      <c r="AM22" s="87" t="str">
        <f aca="false">IF(E22="","",MID(IF(N(Y22)&gt;0,", "&amp;A22&amp;"-"&amp;Y$2,"")&amp;IF(N(Z22)&gt;0,", "&amp;A22&amp;"-"&amp;Z$2,"")&amp;IF(N(AA22)&gt;0,", "&amp;A22&amp;"-"&amp;AA$2,"")&amp;IF(N(AB22)&gt;0,", "&amp;A22&amp;"-"&amp;AB$2,"")&amp;IF(N(AC22)&gt;0,", "&amp;A22&amp;"-"&amp;AC$2,"")&amp;IF(N(AD22)&gt;0,", "&amp;A22&amp;"-"&amp;AD$2,"")&amp;IF(N(AE22)&gt;0,", "&amp;A22&amp;"-"&amp;AE$2,"")&amp;IF(N(AF22)&gt;0,", "&amp;A22&amp;"-"&amp;AF$2,"")&amp;IF(N(AG22)&gt;0,", "&amp;A22&amp;"-"&amp;AG$2,"")&amp;IF(N(AH22)&gt;0,", "&amp;A22&amp;"-"&amp;AH$2,"")&amp;IF(N(AI22)&gt;0,", "&amp;A22&amp;"-"&amp;AI$2,"")&amp;IF(N(AJ22)&gt;0,", "&amp;A22&amp;"-"&amp;AJ$2,""),3,999))</f>
        <v/>
      </c>
      <c r="AN22" s="81"/>
      <c r="AO22" s="88"/>
      <c r="AP22" s="89" t="str">
        <f aca="false">IF(AO22="","",ROUND(AO22/(1+Справочники!$B$13),2))</f>
        <v/>
      </c>
      <c r="AQ22" s="90" t="str">
        <f aca="false" t="array" ref="AQ22:AQ22">IF(AP22="","",AP22*INDEX(Справочники!$B$4:$B$7,MATCH("RUB",Справочники!$A$4:$A$7,0)))</f>
        <v/>
      </c>
      <c r="AR22" s="90" t="str">
        <f aca="false">IF(AQ22="","",ROUND(AQ22*(1+Справочники!$B$12),0))</f>
        <v/>
      </c>
      <c r="AS22" s="90" t="str">
        <f aca="false">IF(AR22="","",ROUND(AR22*(1-Справочники!$B$11),0))</f>
        <v/>
      </c>
      <c r="AT22" s="88"/>
      <c r="AU22" s="90" t="str">
        <f aca="false">IF(AT22="","",ROUND(AT22/(1+Справочники!$B$12),0))</f>
        <v/>
      </c>
      <c r="AV22" s="90" t="str">
        <f aca="false">IF(AT22="","",ROUND(AT22*(1-Справочники!$B$15),0))</f>
        <v/>
      </c>
      <c r="AW22" s="90" t="str">
        <f aca="false">IF(AT22="","",ROUND(AT22*(1-Справочники!$B$16),0))</f>
        <v/>
      </c>
      <c r="AX22" s="90" t="str">
        <f aca="false">IF(AT22="","",ROUND(AT22*(1-Справочники!$B$17),0))</f>
        <v/>
      </c>
      <c r="AY22" s="90" t="str">
        <f aca="false">IF(AT22="","",ROUND(AT22*(1-Справочники!$B$18),0))</f>
        <v/>
      </c>
      <c r="AZ22" s="90" t="str">
        <f aca="false">IF(AT22="","",ROUND(AT22*(1-Справочники!$B$19),0))</f>
        <v/>
      </c>
      <c r="BA22" s="81"/>
      <c r="BB22" s="81"/>
      <c r="BC22" s="81"/>
      <c r="BD22" s="81"/>
      <c r="BE22" s="91"/>
      <c r="BF22" s="81" t="s">
        <v>103</v>
      </c>
      <c r="BG22" s="89" t="n">
        <f aca="false" t="array" ref="BG22:BG22">IF(BF22="","",IFERROR(INDEX(Справочники!$B$4:$B$7,MATCH(BF22,Справочники!$A$4:$A$7,0)),""))</f>
        <v>68.5</v>
      </c>
      <c r="BH22" s="90" t="str">
        <f aca="false">IF(N(BN22)&gt;0,ROUND(SUMIF(ЗАКАЗЫ!$F$3:$F$500,$A22,ЗАКАЗЫ!$Y$3:$Y$500)/BN22,0),IF(OR(BE22="",BG22=""),"",ROUND(BE22*BG22*(1+Справочники!$B$10),0)))</f>
        <v/>
      </c>
      <c r="BI22" s="92" t="str">
        <f aca="false">IF(OR(AU22="",BH22="",AU22=0),"",(AU22-BH22)/AU22)</f>
        <v/>
      </c>
      <c r="BJ22" s="81"/>
      <c r="BK22" s="83"/>
      <c r="BL22" s="43" t="str">
        <f aca="false">IFERROR(INDEX(ЗАКАЗЫ!$N$3:$N$500,MATCH($A22,ЗАКАЗЫ!$F$3:$F$500,0)),"")</f>
        <v/>
      </c>
      <c r="BM22" s="8" t="str">
        <f aca="false">IF(BL22="","",IFERROR(VLOOKUP(BL22,'ТН ВЭД'!$A$4:$C$40,3,0),""))</f>
        <v/>
      </c>
      <c r="BN22" s="7" t="str">
        <f aca="false">IF(COUNTIF(ЗАКАЗЫ!$F$3:$F$500,$A22)=0,"",SUMIF(ЗАКАЗЫ!$F$3:$F$500,$A22,ЗАКАЗЫ!$J$3:$J$500))</f>
        <v/>
      </c>
      <c r="BO22" s="7" t="str">
        <f aca="false">IF(BN22="","",SUMIF(ЗАКАЗЫ!$F$3:$F$500,$A22,ЗАКАЗЫ!$AL$3:$AL$500))</f>
        <v/>
      </c>
      <c r="BP22" s="7" t="str">
        <f aca="false">IF(BN22="","",BN22-BO22)</f>
        <v/>
      </c>
      <c r="BQ22" s="55" t="str">
        <f aca="false">IF(BN22="","",IF(BO22&gt;=BN22,"На складе",IF(BO22&gt;0,"Частично","Ждём")))</f>
        <v/>
      </c>
      <c r="BR22" s="43"/>
      <c r="BS22" s="47" t="str">
        <f aca="false">IF(BN22="","",IF(_xlfn.MAXIFS(ЗАКАЗЫ!$AK$3:$AK$500,ЗАКАЗЫ!$F$3:$F$500,$A22)=0,"",_xlfn.MAXIFS(ЗАКАЗЫ!$AK$3:$AK$500,ЗАКАЗЫ!$F$3:$F$500,$A22)))</f>
        <v/>
      </c>
    </row>
    <row r="23" customFormat="false" ht="15.75" hidden="false" customHeight="true" outlineLevel="0" collapsed="false">
      <c r="A23" s="80" t="s">
        <v>1546</v>
      </c>
      <c r="B23" s="81"/>
      <c r="C23" s="81"/>
      <c r="D23" s="81"/>
      <c r="E23" s="83"/>
      <c r="F23" s="81"/>
      <c r="G23" s="83"/>
      <c r="H23" s="83"/>
      <c r="I23" s="84" t="str">
        <f aca="false">IF(E23="","",A23&amp;"_1.jpg")</f>
        <v/>
      </c>
      <c r="J23" s="84" t="str">
        <f aca="false">IF(E23="","",A23&amp;"_2.jpg; "&amp;A23&amp;"_3.jpg")</f>
        <v/>
      </c>
      <c r="K23" s="84" t="str">
        <f aca="false">IF(E23="","",A23&amp;"_schema.jpg")</f>
        <v/>
      </c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 t="s">
        <v>96</v>
      </c>
      <c r="W23" s="81"/>
      <c r="X23" s="81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6" t="str">
        <f aca="false">IF(SUM(Y23:AJ23)=0,"",SUM(Y23:AJ23))</f>
        <v/>
      </c>
      <c r="AL23" s="84" t="str">
        <f aca="false">MID(IF(N(Y23)&gt;0,", "&amp;Y$2,"")&amp;IF(N(Z23)&gt;0,", "&amp;Z$2,"")&amp;IF(N(AA23)&gt;0,", "&amp;AA$2,"")&amp;IF(N(AB23)&gt;0,", "&amp;AB$2,"")&amp;IF(N(AC23)&gt;0,", "&amp;AC$2,"")&amp;IF(N(AD23)&gt;0,", "&amp;AD$2,"")&amp;IF(N(AE23)&gt;0,", "&amp;AE$2,"")&amp;IF(N(AF23)&gt;0,", "&amp;AF$2,"")&amp;IF(N(AG23)&gt;0,", "&amp;AG$2,"")&amp;IF(N(AH23)&gt;0,", "&amp;AH$2,"")&amp;IF(N(AI23)&gt;0,", "&amp;AI$2,"")&amp;IF(N(AJ23)&gt;0,", "&amp;AJ$2,""),3,999)</f>
        <v/>
      </c>
      <c r="AM23" s="87" t="str">
        <f aca="false">IF(E23="","",MID(IF(N(Y23)&gt;0,", "&amp;A23&amp;"-"&amp;Y$2,"")&amp;IF(N(Z23)&gt;0,", "&amp;A23&amp;"-"&amp;Z$2,"")&amp;IF(N(AA23)&gt;0,", "&amp;A23&amp;"-"&amp;AA$2,"")&amp;IF(N(AB23)&gt;0,", "&amp;A23&amp;"-"&amp;AB$2,"")&amp;IF(N(AC23)&gt;0,", "&amp;A23&amp;"-"&amp;AC$2,"")&amp;IF(N(AD23)&gt;0,", "&amp;A23&amp;"-"&amp;AD$2,"")&amp;IF(N(AE23)&gt;0,", "&amp;A23&amp;"-"&amp;AE$2,"")&amp;IF(N(AF23)&gt;0,", "&amp;A23&amp;"-"&amp;AF$2,"")&amp;IF(N(AG23)&gt;0,", "&amp;A23&amp;"-"&amp;AG$2,"")&amp;IF(N(AH23)&gt;0,", "&amp;A23&amp;"-"&amp;AH$2,"")&amp;IF(N(AI23)&gt;0,", "&amp;A23&amp;"-"&amp;AI$2,"")&amp;IF(N(AJ23)&gt;0,", "&amp;A23&amp;"-"&amp;AJ$2,""),3,999))</f>
        <v/>
      </c>
      <c r="AN23" s="81"/>
      <c r="AO23" s="88"/>
      <c r="AP23" s="89" t="str">
        <f aca="false">IF(AO23="","",ROUND(AO23/(1+Справочники!$B$13),2))</f>
        <v/>
      </c>
      <c r="AQ23" s="90" t="str">
        <f aca="false" t="array" ref="AQ23:AQ23">IF(AP23="","",AP23*INDEX(Справочники!$B$4:$B$7,MATCH("RUB",Справочники!$A$4:$A$7,0)))</f>
        <v/>
      </c>
      <c r="AR23" s="90" t="str">
        <f aca="false">IF(AQ23="","",ROUND(AQ23*(1+Справочники!$B$12),0))</f>
        <v/>
      </c>
      <c r="AS23" s="90" t="str">
        <f aca="false">IF(AR23="","",ROUND(AR23*(1-Справочники!$B$11),0))</f>
        <v/>
      </c>
      <c r="AT23" s="88"/>
      <c r="AU23" s="90" t="str">
        <f aca="false">IF(AT23="","",ROUND(AT23/(1+Справочники!$B$12),0))</f>
        <v/>
      </c>
      <c r="AV23" s="90" t="str">
        <f aca="false">IF(AT23="","",ROUND(AT23*(1-Справочники!$B$15),0))</f>
        <v/>
      </c>
      <c r="AW23" s="90" t="str">
        <f aca="false">IF(AT23="","",ROUND(AT23*(1-Справочники!$B$16),0))</f>
        <v/>
      </c>
      <c r="AX23" s="90" t="str">
        <f aca="false">IF(AT23="","",ROUND(AT23*(1-Справочники!$B$17),0))</f>
        <v/>
      </c>
      <c r="AY23" s="90" t="str">
        <f aca="false">IF(AT23="","",ROUND(AT23*(1-Справочники!$B$18),0))</f>
        <v/>
      </c>
      <c r="AZ23" s="90" t="str">
        <f aca="false">IF(AT23="","",ROUND(AT23*(1-Справочники!$B$19),0))</f>
        <v/>
      </c>
      <c r="BA23" s="81"/>
      <c r="BB23" s="81"/>
      <c r="BC23" s="81"/>
      <c r="BD23" s="81"/>
      <c r="BE23" s="91"/>
      <c r="BF23" s="81" t="s">
        <v>103</v>
      </c>
      <c r="BG23" s="89" t="n">
        <f aca="false" t="array" ref="BG23:BG23">IF(BF23="","",IFERROR(INDEX(Справочники!$B$4:$B$7,MATCH(BF23,Справочники!$A$4:$A$7,0)),""))</f>
        <v>68.5</v>
      </c>
      <c r="BH23" s="90" t="str">
        <f aca="false">IF(N(BN23)&gt;0,ROUND(SUMIF(ЗАКАЗЫ!$F$3:$F$500,$A23,ЗАКАЗЫ!$Y$3:$Y$500)/BN23,0),IF(OR(BE23="",BG23=""),"",ROUND(BE23*BG23*(1+Справочники!$B$10),0)))</f>
        <v/>
      </c>
      <c r="BI23" s="92" t="str">
        <f aca="false">IF(OR(AU23="",BH23="",AU23=0),"",(AU23-BH23)/AU23)</f>
        <v/>
      </c>
      <c r="BJ23" s="81"/>
      <c r="BK23" s="83"/>
      <c r="BL23" s="43" t="str">
        <f aca="false">IFERROR(INDEX(ЗАКАЗЫ!$N$3:$N$500,MATCH($A23,ЗАКАЗЫ!$F$3:$F$500,0)),"")</f>
        <v/>
      </c>
      <c r="BM23" s="8" t="str">
        <f aca="false">IF(BL23="","",IFERROR(VLOOKUP(BL23,'ТН ВЭД'!$A$4:$C$40,3,0),""))</f>
        <v/>
      </c>
      <c r="BN23" s="7" t="str">
        <f aca="false">IF(COUNTIF(ЗАКАЗЫ!$F$3:$F$500,$A23)=0,"",SUMIF(ЗАКАЗЫ!$F$3:$F$500,$A23,ЗАКАЗЫ!$J$3:$J$500))</f>
        <v/>
      </c>
      <c r="BO23" s="7" t="str">
        <f aca="false">IF(BN23="","",SUMIF(ЗАКАЗЫ!$F$3:$F$500,$A23,ЗАКАЗЫ!$AL$3:$AL$500))</f>
        <v/>
      </c>
      <c r="BP23" s="7" t="str">
        <f aca="false">IF(BN23="","",BN23-BO23)</f>
        <v/>
      </c>
      <c r="BQ23" s="55" t="str">
        <f aca="false">IF(BN23="","",IF(BO23&gt;=BN23,"На складе",IF(BO23&gt;0,"Частично","Ждём")))</f>
        <v/>
      </c>
      <c r="BR23" s="43"/>
      <c r="BS23" s="47" t="str">
        <f aca="false">IF(BN23="","",IF(_xlfn.MAXIFS(ЗАКАЗЫ!$AK$3:$AK$500,ЗАКАЗЫ!$F$3:$F$500,$A23)=0,"",_xlfn.MAXIFS(ЗАКАЗЫ!$AK$3:$AK$500,ЗАКАЗЫ!$F$3:$F$500,$A23)))</f>
        <v/>
      </c>
    </row>
    <row r="24" customFormat="false" ht="15.75" hidden="false" customHeight="true" outlineLevel="0" collapsed="false">
      <c r="A24" s="80" t="s">
        <v>1547</v>
      </c>
      <c r="B24" s="81"/>
      <c r="C24" s="81"/>
      <c r="D24" s="81"/>
      <c r="E24" s="83"/>
      <c r="F24" s="81"/>
      <c r="G24" s="83"/>
      <c r="H24" s="83"/>
      <c r="I24" s="84" t="str">
        <f aca="false">IF(E24="","",A24&amp;"_1.jpg")</f>
        <v/>
      </c>
      <c r="J24" s="84" t="str">
        <f aca="false">IF(E24="","",A24&amp;"_2.jpg; "&amp;A24&amp;"_3.jpg")</f>
        <v/>
      </c>
      <c r="K24" s="84" t="str">
        <f aca="false">IF(E24="","",A24&amp;"_schema.jpg")</f>
        <v/>
      </c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 t="s">
        <v>96</v>
      </c>
      <c r="W24" s="81"/>
      <c r="X24" s="81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6" t="str">
        <f aca="false">IF(SUM(Y24:AJ24)=0,"",SUM(Y24:AJ24))</f>
        <v/>
      </c>
      <c r="AL24" s="84" t="str">
        <f aca="false">MID(IF(N(Y24)&gt;0,", "&amp;Y$2,"")&amp;IF(N(Z24)&gt;0,", "&amp;Z$2,"")&amp;IF(N(AA24)&gt;0,", "&amp;AA$2,"")&amp;IF(N(AB24)&gt;0,", "&amp;AB$2,"")&amp;IF(N(AC24)&gt;0,", "&amp;AC$2,"")&amp;IF(N(AD24)&gt;0,", "&amp;AD$2,"")&amp;IF(N(AE24)&gt;0,", "&amp;AE$2,"")&amp;IF(N(AF24)&gt;0,", "&amp;AF$2,"")&amp;IF(N(AG24)&gt;0,", "&amp;AG$2,"")&amp;IF(N(AH24)&gt;0,", "&amp;AH$2,"")&amp;IF(N(AI24)&gt;0,", "&amp;AI$2,"")&amp;IF(N(AJ24)&gt;0,", "&amp;AJ$2,""),3,999)</f>
        <v/>
      </c>
      <c r="AM24" s="87" t="str">
        <f aca="false">IF(E24="","",MID(IF(N(Y24)&gt;0,", "&amp;A24&amp;"-"&amp;Y$2,"")&amp;IF(N(Z24)&gt;0,", "&amp;A24&amp;"-"&amp;Z$2,"")&amp;IF(N(AA24)&gt;0,", "&amp;A24&amp;"-"&amp;AA$2,"")&amp;IF(N(AB24)&gt;0,", "&amp;A24&amp;"-"&amp;AB$2,"")&amp;IF(N(AC24)&gt;0,", "&amp;A24&amp;"-"&amp;AC$2,"")&amp;IF(N(AD24)&gt;0,", "&amp;A24&amp;"-"&amp;AD$2,"")&amp;IF(N(AE24)&gt;0,", "&amp;A24&amp;"-"&amp;AE$2,"")&amp;IF(N(AF24)&gt;0,", "&amp;A24&amp;"-"&amp;AF$2,"")&amp;IF(N(AG24)&gt;0,", "&amp;A24&amp;"-"&amp;AG$2,"")&amp;IF(N(AH24)&gt;0,", "&amp;A24&amp;"-"&amp;AH$2,"")&amp;IF(N(AI24)&gt;0,", "&amp;A24&amp;"-"&amp;AI$2,"")&amp;IF(N(AJ24)&gt;0,", "&amp;A24&amp;"-"&amp;AJ$2,""),3,999))</f>
        <v/>
      </c>
      <c r="AN24" s="81"/>
      <c r="AO24" s="88"/>
      <c r="AP24" s="89" t="str">
        <f aca="false">IF(AO24="","",ROUND(AO24/(1+Справочники!$B$13),2))</f>
        <v/>
      </c>
      <c r="AQ24" s="90" t="str">
        <f aca="false" t="array" ref="AQ24:AQ24">IF(AP24="","",AP24*INDEX(Справочники!$B$4:$B$7,MATCH("RUB",Справочники!$A$4:$A$7,0)))</f>
        <v/>
      </c>
      <c r="AR24" s="90" t="str">
        <f aca="false">IF(AQ24="","",ROUND(AQ24*(1+Справочники!$B$12),0))</f>
        <v/>
      </c>
      <c r="AS24" s="90" t="str">
        <f aca="false">IF(AR24="","",ROUND(AR24*(1-Справочники!$B$11),0))</f>
        <v/>
      </c>
      <c r="AT24" s="88"/>
      <c r="AU24" s="90" t="str">
        <f aca="false">IF(AT24="","",ROUND(AT24/(1+Справочники!$B$12),0))</f>
        <v/>
      </c>
      <c r="AV24" s="90" t="str">
        <f aca="false">IF(AT24="","",ROUND(AT24*(1-Справочники!$B$15),0))</f>
        <v/>
      </c>
      <c r="AW24" s="90" t="str">
        <f aca="false">IF(AT24="","",ROUND(AT24*(1-Справочники!$B$16),0))</f>
        <v/>
      </c>
      <c r="AX24" s="90" t="str">
        <f aca="false">IF(AT24="","",ROUND(AT24*(1-Справочники!$B$17),0))</f>
        <v/>
      </c>
      <c r="AY24" s="90" t="str">
        <f aca="false">IF(AT24="","",ROUND(AT24*(1-Справочники!$B$18),0))</f>
        <v/>
      </c>
      <c r="AZ24" s="90" t="str">
        <f aca="false">IF(AT24="","",ROUND(AT24*(1-Справочники!$B$19),0))</f>
        <v/>
      </c>
      <c r="BA24" s="81"/>
      <c r="BB24" s="81"/>
      <c r="BC24" s="81"/>
      <c r="BD24" s="81"/>
      <c r="BE24" s="91"/>
      <c r="BF24" s="81" t="s">
        <v>103</v>
      </c>
      <c r="BG24" s="89" t="n">
        <f aca="false" t="array" ref="BG24:BG24">IF(BF24="","",IFERROR(INDEX(Справочники!$B$4:$B$7,MATCH(BF24,Справочники!$A$4:$A$7,0)),""))</f>
        <v>68.5</v>
      </c>
      <c r="BH24" s="90" t="str">
        <f aca="false">IF(N(BN24)&gt;0,ROUND(SUMIF(ЗАКАЗЫ!$F$3:$F$500,$A24,ЗАКАЗЫ!$Y$3:$Y$500)/BN24,0),IF(OR(BE24="",BG24=""),"",ROUND(BE24*BG24*(1+Справочники!$B$10),0)))</f>
        <v/>
      </c>
      <c r="BI24" s="92" t="str">
        <f aca="false">IF(OR(AU24="",BH24="",AU24=0),"",(AU24-BH24)/AU24)</f>
        <v/>
      </c>
      <c r="BJ24" s="81"/>
      <c r="BK24" s="83"/>
      <c r="BL24" s="43" t="str">
        <f aca="false">IFERROR(INDEX(ЗАКАЗЫ!$N$3:$N$500,MATCH($A24,ЗАКАЗЫ!$F$3:$F$500,0)),"")</f>
        <v/>
      </c>
      <c r="BM24" s="8" t="str">
        <f aca="false">IF(BL24="","",IFERROR(VLOOKUP(BL24,'ТН ВЭД'!$A$4:$C$40,3,0),""))</f>
        <v/>
      </c>
      <c r="BN24" s="7" t="str">
        <f aca="false">IF(COUNTIF(ЗАКАЗЫ!$F$3:$F$500,$A24)=0,"",SUMIF(ЗАКАЗЫ!$F$3:$F$500,$A24,ЗАКАЗЫ!$J$3:$J$500))</f>
        <v/>
      </c>
      <c r="BO24" s="7" t="str">
        <f aca="false">IF(BN24="","",SUMIF(ЗАКАЗЫ!$F$3:$F$500,$A24,ЗАКАЗЫ!$AL$3:$AL$500))</f>
        <v/>
      </c>
      <c r="BP24" s="7" t="str">
        <f aca="false">IF(BN24="","",BN24-BO24)</f>
        <v/>
      </c>
      <c r="BQ24" s="55" t="str">
        <f aca="false">IF(BN24="","",IF(BO24&gt;=BN24,"На складе",IF(BO24&gt;0,"Частично","Ждём")))</f>
        <v/>
      </c>
      <c r="BR24" s="43"/>
      <c r="BS24" s="47" t="str">
        <f aca="false">IF(BN24="","",IF(_xlfn.MAXIFS(ЗАКАЗЫ!$AK$3:$AK$500,ЗАКАЗЫ!$F$3:$F$500,$A24)=0,"",_xlfn.MAXIFS(ЗАКАЗЫ!$AK$3:$AK$500,ЗАКАЗЫ!$F$3:$F$500,$A24)))</f>
        <v/>
      </c>
    </row>
    <row r="25" customFormat="false" ht="15.75" hidden="false" customHeight="true" outlineLevel="0" collapsed="false">
      <c r="A25" s="80" t="s">
        <v>1548</v>
      </c>
      <c r="B25" s="81"/>
      <c r="C25" s="81"/>
      <c r="D25" s="81"/>
      <c r="E25" s="83"/>
      <c r="F25" s="81"/>
      <c r="G25" s="83"/>
      <c r="H25" s="83"/>
      <c r="I25" s="84" t="str">
        <f aca="false">IF(E25="","",A25&amp;"_1.jpg")</f>
        <v/>
      </c>
      <c r="J25" s="84" t="str">
        <f aca="false">IF(E25="","",A25&amp;"_2.jpg; "&amp;A25&amp;"_3.jpg")</f>
        <v/>
      </c>
      <c r="K25" s="84" t="str">
        <f aca="false">IF(E25="","",A25&amp;"_schema.jpg")</f>
        <v/>
      </c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 t="s">
        <v>96</v>
      </c>
      <c r="W25" s="81"/>
      <c r="X25" s="81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6" t="str">
        <f aca="false">IF(SUM(Y25:AJ25)=0,"",SUM(Y25:AJ25))</f>
        <v/>
      </c>
      <c r="AL25" s="84" t="str">
        <f aca="false">MID(IF(N(Y25)&gt;0,", "&amp;Y$2,"")&amp;IF(N(Z25)&gt;0,", "&amp;Z$2,"")&amp;IF(N(AA25)&gt;0,", "&amp;AA$2,"")&amp;IF(N(AB25)&gt;0,", "&amp;AB$2,"")&amp;IF(N(AC25)&gt;0,", "&amp;AC$2,"")&amp;IF(N(AD25)&gt;0,", "&amp;AD$2,"")&amp;IF(N(AE25)&gt;0,", "&amp;AE$2,"")&amp;IF(N(AF25)&gt;0,", "&amp;AF$2,"")&amp;IF(N(AG25)&gt;0,", "&amp;AG$2,"")&amp;IF(N(AH25)&gt;0,", "&amp;AH$2,"")&amp;IF(N(AI25)&gt;0,", "&amp;AI$2,"")&amp;IF(N(AJ25)&gt;0,", "&amp;AJ$2,""),3,999)</f>
        <v/>
      </c>
      <c r="AM25" s="87" t="str">
        <f aca="false">IF(E25="","",MID(IF(N(Y25)&gt;0,", "&amp;A25&amp;"-"&amp;Y$2,"")&amp;IF(N(Z25)&gt;0,", "&amp;A25&amp;"-"&amp;Z$2,"")&amp;IF(N(AA25)&gt;0,", "&amp;A25&amp;"-"&amp;AA$2,"")&amp;IF(N(AB25)&gt;0,", "&amp;A25&amp;"-"&amp;AB$2,"")&amp;IF(N(AC25)&gt;0,", "&amp;A25&amp;"-"&amp;AC$2,"")&amp;IF(N(AD25)&gt;0,", "&amp;A25&amp;"-"&amp;AD$2,"")&amp;IF(N(AE25)&gt;0,", "&amp;A25&amp;"-"&amp;AE$2,"")&amp;IF(N(AF25)&gt;0,", "&amp;A25&amp;"-"&amp;AF$2,"")&amp;IF(N(AG25)&gt;0,", "&amp;A25&amp;"-"&amp;AG$2,"")&amp;IF(N(AH25)&gt;0,", "&amp;A25&amp;"-"&amp;AH$2,"")&amp;IF(N(AI25)&gt;0,", "&amp;A25&amp;"-"&amp;AI$2,"")&amp;IF(N(AJ25)&gt;0,", "&amp;A25&amp;"-"&amp;AJ$2,""),3,999))</f>
        <v/>
      </c>
      <c r="AN25" s="81"/>
      <c r="AO25" s="88"/>
      <c r="AP25" s="89" t="str">
        <f aca="false">IF(AO25="","",ROUND(AO25/(1+Справочники!$B$13),2))</f>
        <v/>
      </c>
      <c r="AQ25" s="90" t="str">
        <f aca="false" t="array" ref="AQ25:AQ25">IF(AP25="","",AP25*INDEX(Справочники!$B$4:$B$7,MATCH("RUB",Справочники!$A$4:$A$7,0)))</f>
        <v/>
      </c>
      <c r="AR25" s="90" t="str">
        <f aca="false">IF(AQ25="","",ROUND(AQ25*(1+Справочники!$B$12),0))</f>
        <v/>
      </c>
      <c r="AS25" s="90" t="str">
        <f aca="false">IF(AR25="","",ROUND(AR25*(1-Справочники!$B$11),0))</f>
        <v/>
      </c>
      <c r="AT25" s="88"/>
      <c r="AU25" s="90" t="str">
        <f aca="false">IF(AT25="","",ROUND(AT25/(1+Справочники!$B$12),0))</f>
        <v/>
      </c>
      <c r="AV25" s="90" t="str">
        <f aca="false">IF(AT25="","",ROUND(AT25*(1-Справочники!$B$15),0))</f>
        <v/>
      </c>
      <c r="AW25" s="90" t="str">
        <f aca="false">IF(AT25="","",ROUND(AT25*(1-Справочники!$B$16),0))</f>
        <v/>
      </c>
      <c r="AX25" s="90" t="str">
        <f aca="false">IF(AT25="","",ROUND(AT25*(1-Справочники!$B$17),0))</f>
        <v/>
      </c>
      <c r="AY25" s="90" t="str">
        <f aca="false">IF(AT25="","",ROUND(AT25*(1-Справочники!$B$18),0))</f>
        <v/>
      </c>
      <c r="AZ25" s="90" t="str">
        <f aca="false">IF(AT25="","",ROUND(AT25*(1-Справочники!$B$19),0))</f>
        <v/>
      </c>
      <c r="BA25" s="81"/>
      <c r="BB25" s="81"/>
      <c r="BC25" s="81"/>
      <c r="BD25" s="81"/>
      <c r="BE25" s="91"/>
      <c r="BF25" s="81" t="s">
        <v>103</v>
      </c>
      <c r="BG25" s="89" t="n">
        <f aca="false" t="array" ref="BG25:BG25">IF(BF25="","",IFERROR(INDEX(Справочники!$B$4:$B$7,MATCH(BF25,Справочники!$A$4:$A$7,0)),""))</f>
        <v>68.5</v>
      </c>
      <c r="BH25" s="90" t="str">
        <f aca="false">IF(N(BN25)&gt;0,ROUND(SUMIF(ЗАКАЗЫ!$F$3:$F$500,$A25,ЗАКАЗЫ!$Y$3:$Y$500)/BN25,0),IF(OR(BE25="",BG25=""),"",ROUND(BE25*BG25*(1+Справочники!$B$10),0)))</f>
        <v/>
      </c>
      <c r="BI25" s="92" t="str">
        <f aca="false">IF(OR(AU25="",BH25="",AU25=0),"",(AU25-BH25)/AU25)</f>
        <v/>
      </c>
      <c r="BJ25" s="81"/>
      <c r="BK25" s="83"/>
      <c r="BL25" s="43" t="str">
        <f aca="false">IFERROR(INDEX(ЗАКАЗЫ!$N$3:$N$500,MATCH($A25,ЗАКАЗЫ!$F$3:$F$500,0)),"")</f>
        <v/>
      </c>
      <c r="BM25" s="8" t="str">
        <f aca="false">IF(BL25="","",IFERROR(VLOOKUP(BL25,'ТН ВЭД'!$A$4:$C$40,3,0),""))</f>
        <v/>
      </c>
      <c r="BN25" s="7" t="str">
        <f aca="false">IF(COUNTIF(ЗАКАЗЫ!$F$3:$F$500,$A25)=0,"",SUMIF(ЗАКАЗЫ!$F$3:$F$500,$A25,ЗАКАЗЫ!$J$3:$J$500))</f>
        <v/>
      </c>
      <c r="BO25" s="7" t="str">
        <f aca="false">IF(BN25="","",SUMIF(ЗАКАЗЫ!$F$3:$F$500,$A25,ЗАКАЗЫ!$AL$3:$AL$500))</f>
        <v/>
      </c>
      <c r="BP25" s="7" t="str">
        <f aca="false">IF(BN25="","",BN25-BO25)</f>
        <v/>
      </c>
      <c r="BQ25" s="55" t="str">
        <f aca="false">IF(BN25="","",IF(BO25&gt;=BN25,"На складе",IF(BO25&gt;0,"Частично","Ждём")))</f>
        <v/>
      </c>
      <c r="BR25" s="43"/>
      <c r="BS25" s="47" t="str">
        <f aca="false">IF(BN25="","",IF(_xlfn.MAXIFS(ЗАКАЗЫ!$AK$3:$AK$500,ЗАКАЗЫ!$F$3:$F$500,$A25)=0,"",_xlfn.MAXIFS(ЗАКАЗЫ!$AK$3:$AK$500,ЗАКАЗЫ!$F$3:$F$500,$A25)))</f>
        <v/>
      </c>
    </row>
    <row r="26" customFormat="false" ht="15.75" hidden="false" customHeight="true" outlineLevel="0" collapsed="false">
      <c r="A26" s="80" t="s">
        <v>1549</v>
      </c>
      <c r="B26" s="81"/>
      <c r="C26" s="81"/>
      <c r="D26" s="81"/>
      <c r="E26" s="83"/>
      <c r="F26" s="81"/>
      <c r="G26" s="83"/>
      <c r="H26" s="83"/>
      <c r="I26" s="84" t="str">
        <f aca="false">IF(E26="","",A26&amp;"_1.jpg")</f>
        <v/>
      </c>
      <c r="J26" s="84" t="str">
        <f aca="false">IF(E26="","",A26&amp;"_2.jpg; "&amp;A26&amp;"_3.jpg")</f>
        <v/>
      </c>
      <c r="K26" s="84" t="str">
        <f aca="false">IF(E26="","",A26&amp;"_schema.jpg")</f>
        <v/>
      </c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 t="s">
        <v>96</v>
      </c>
      <c r="W26" s="81"/>
      <c r="X26" s="81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6" t="str">
        <f aca="false">IF(SUM(Y26:AJ26)=0,"",SUM(Y26:AJ26))</f>
        <v/>
      </c>
      <c r="AL26" s="84" t="str">
        <f aca="false">MID(IF(N(Y26)&gt;0,", "&amp;Y$2,"")&amp;IF(N(Z26)&gt;0,", "&amp;Z$2,"")&amp;IF(N(AA26)&gt;0,", "&amp;AA$2,"")&amp;IF(N(AB26)&gt;0,", "&amp;AB$2,"")&amp;IF(N(AC26)&gt;0,", "&amp;AC$2,"")&amp;IF(N(AD26)&gt;0,", "&amp;AD$2,"")&amp;IF(N(AE26)&gt;0,", "&amp;AE$2,"")&amp;IF(N(AF26)&gt;0,", "&amp;AF$2,"")&amp;IF(N(AG26)&gt;0,", "&amp;AG$2,"")&amp;IF(N(AH26)&gt;0,", "&amp;AH$2,"")&amp;IF(N(AI26)&gt;0,", "&amp;AI$2,"")&amp;IF(N(AJ26)&gt;0,", "&amp;AJ$2,""),3,999)</f>
        <v/>
      </c>
      <c r="AM26" s="87" t="str">
        <f aca="false">IF(E26="","",MID(IF(N(Y26)&gt;0,", "&amp;A26&amp;"-"&amp;Y$2,"")&amp;IF(N(Z26)&gt;0,", "&amp;A26&amp;"-"&amp;Z$2,"")&amp;IF(N(AA26)&gt;0,", "&amp;A26&amp;"-"&amp;AA$2,"")&amp;IF(N(AB26)&gt;0,", "&amp;A26&amp;"-"&amp;AB$2,"")&amp;IF(N(AC26)&gt;0,", "&amp;A26&amp;"-"&amp;AC$2,"")&amp;IF(N(AD26)&gt;0,", "&amp;A26&amp;"-"&amp;AD$2,"")&amp;IF(N(AE26)&gt;0,", "&amp;A26&amp;"-"&amp;AE$2,"")&amp;IF(N(AF26)&gt;0,", "&amp;A26&amp;"-"&amp;AF$2,"")&amp;IF(N(AG26)&gt;0,", "&amp;A26&amp;"-"&amp;AG$2,"")&amp;IF(N(AH26)&gt;0,", "&amp;A26&amp;"-"&amp;AH$2,"")&amp;IF(N(AI26)&gt;0,", "&amp;A26&amp;"-"&amp;AI$2,"")&amp;IF(N(AJ26)&gt;0,", "&amp;A26&amp;"-"&amp;AJ$2,""),3,999))</f>
        <v/>
      </c>
      <c r="AN26" s="81"/>
      <c r="AO26" s="88"/>
      <c r="AP26" s="89" t="str">
        <f aca="false">IF(AO26="","",ROUND(AO26/(1+Справочники!$B$13),2))</f>
        <v/>
      </c>
      <c r="AQ26" s="90" t="str">
        <f aca="false" t="array" ref="AQ26:AQ26">IF(AP26="","",AP26*INDEX(Справочники!$B$4:$B$7,MATCH("RUB",Справочники!$A$4:$A$7,0)))</f>
        <v/>
      </c>
      <c r="AR26" s="90" t="str">
        <f aca="false">IF(AQ26="","",ROUND(AQ26*(1+Справочники!$B$12),0))</f>
        <v/>
      </c>
      <c r="AS26" s="90" t="str">
        <f aca="false">IF(AR26="","",ROUND(AR26*(1-Справочники!$B$11),0))</f>
        <v/>
      </c>
      <c r="AT26" s="88"/>
      <c r="AU26" s="90" t="str">
        <f aca="false">IF(AT26="","",ROUND(AT26/(1+Справочники!$B$12),0))</f>
        <v/>
      </c>
      <c r="AV26" s="90" t="str">
        <f aca="false">IF(AT26="","",ROUND(AT26*(1-Справочники!$B$15),0))</f>
        <v/>
      </c>
      <c r="AW26" s="90" t="str">
        <f aca="false">IF(AT26="","",ROUND(AT26*(1-Справочники!$B$16),0))</f>
        <v/>
      </c>
      <c r="AX26" s="90" t="str">
        <f aca="false">IF(AT26="","",ROUND(AT26*(1-Справочники!$B$17),0))</f>
        <v/>
      </c>
      <c r="AY26" s="90" t="str">
        <f aca="false">IF(AT26="","",ROUND(AT26*(1-Справочники!$B$18),0))</f>
        <v/>
      </c>
      <c r="AZ26" s="90" t="str">
        <f aca="false">IF(AT26="","",ROUND(AT26*(1-Справочники!$B$19),0))</f>
        <v/>
      </c>
      <c r="BA26" s="81"/>
      <c r="BB26" s="81"/>
      <c r="BC26" s="81"/>
      <c r="BD26" s="81"/>
      <c r="BE26" s="91"/>
      <c r="BF26" s="81" t="s">
        <v>103</v>
      </c>
      <c r="BG26" s="89" t="n">
        <f aca="false" t="array" ref="BG26:BG26">IF(BF26="","",IFERROR(INDEX(Справочники!$B$4:$B$7,MATCH(BF26,Справочники!$A$4:$A$7,0)),""))</f>
        <v>68.5</v>
      </c>
      <c r="BH26" s="90" t="str">
        <f aca="false">IF(N(BN26)&gt;0,ROUND(SUMIF(ЗАКАЗЫ!$F$3:$F$500,$A26,ЗАКАЗЫ!$Y$3:$Y$500)/BN26,0),IF(OR(BE26="",BG26=""),"",ROUND(BE26*BG26*(1+Справочники!$B$10),0)))</f>
        <v/>
      </c>
      <c r="BI26" s="92" t="str">
        <f aca="false">IF(OR(AU26="",BH26="",AU26=0),"",(AU26-BH26)/AU26)</f>
        <v/>
      </c>
      <c r="BJ26" s="81"/>
      <c r="BK26" s="83"/>
      <c r="BL26" s="43" t="str">
        <f aca="false">IFERROR(INDEX(ЗАКАЗЫ!$N$3:$N$500,MATCH($A26,ЗАКАЗЫ!$F$3:$F$500,0)),"")</f>
        <v/>
      </c>
      <c r="BM26" s="8" t="str">
        <f aca="false">IF(BL26="","",IFERROR(VLOOKUP(BL26,'ТН ВЭД'!$A$4:$C$40,3,0),""))</f>
        <v/>
      </c>
      <c r="BN26" s="7" t="str">
        <f aca="false">IF(COUNTIF(ЗАКАЗЫ!$F$3:$F$500,$A26)=0,"",SUMIF(ЗАКАЗЫ!$F$3:$F$500,$A26,ЗАКАЗЫ!$J$3:$J$500))</f>
        <v/>
      </c>
      <c r="BO26" s="7" t="str">
        <f aca="false">IF(BN26="","",SUMIF(ЗАКАЗЫ!$F$3:$F$500,$A26,ЗАКАЗЫ!$AL$3:$AL$500))</f>
        <v/>
      </c>
      <c r="BP26" s="7" t="str">
        <f aca="false">IF(BN26="","",BN26-BO26)</f>
        <v/>
      </c>
      <c r="BQ26" s="55" t="str">
        <f aca="false">IF(BN26="","",IF(BO26&gt;=BN26,"На складе",IF(BO26&gt;0,"Частично","Ждём")))</f>
        <v/>
      </c>
      <c r="BR26" s="43"/>
      <c r="BS26" s="47" t="str">
        <f aca="false">IF(BN26="","",IF(_xlfn.MAXIFS(ЗАКАЗЫ!$AK$3:$AK$500,ЗАКАЗЫ!$F$3:$F$500,$A26)=0,"",_xlfn.MAXIFS(ЗАКАЗЫ!$AK$3:$AK$500,ЗАКАЗЫ!$F$3:$F$500,$A26)))</f>
        <v/>
      </c>
    </row>
    <row r="27" customFormat="false" ht="15.75" hidden="false" customHeight="true" outlineLevel="0" collapsed="false">
      <c r="A27" s="80" t="s">
        <v>1550</v>
      </c>
      <c r="B27" s="81"/>
      <c r="C27" s="81"/>
      <c r="D27" s="81"/>
      <c r="E27" s="83"/>
      <c r="F27" s="81"/>
      <c r="G27" s="83"/>
      <c r="H27" s="83"/>
      <c r="I27" s="84" t="str">
        <f aca="false">IF(E27="","",A27&amp;"_1.jpg")</f>
        <v/>
      </c>
      <c r="J27" s="84" t="str">
        <f aca="false">IF(E27="","",A27&amp;"_2.jpg; "&amp;A27&amp;"_3.jpg")</f>
        <v/>
      </c>
      <c r="K27" s="84" t="str">
        <f aca="false">IF(E27="","",A27&amp;"_schema.jpg")</f>
        <v/>
      </c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 t="s">
        <v>96</v>
      </c>
      <c r="W27" s="81"/>
      <c r="X27" s="81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6" t="str">
        <f aca="false">IF(SUM(Y27:AJ27)=0,"",SUM(Y27:AJ27))</f>
        <v/>
      </c>
      <c r="AL27" s="84" t="str">
        <f aca="false">MID(IF(N(Y27)&gt;0,", "&amp;Y$2,"")&amp;IF(N(Z27)&gt;0,", "&amp;Z$2,"")&amp;IF(N(AA27)&gt;0,", "&amp;AA$2,"")&amp;IF(N(AB27)&gt;0,", "&amp;AB$2,"")&amp;IF(N(AC27)&gt;0,", "&amp;AC$2,"")&amp;IF(N(AD27)&gt;0,", "&amp;AD$2,"")&amp;IF(N(AE27)&gt;0,", "&amp;AE$2,"")&amp;IF(N(AF27)&gt;0,", "&amp;AF$2,"")&amp;IF(N(AG27)&gt;0,", "&amp;AG$2,"")&amp;IF(N(AH27)&gt;0,", "&amp;AH$2,"")&amp;IF(N(AI27)&gt;0,", "&amp;AI$2,"")&amp;IF(N(AJ27)&gt;0,", "&amp;AJ$2,""),3,999)</f>
        <v/>
      </c>
      <c r="AM27" s="87" t="str">
        <f aca="false">IF(E27="","",MID(IF(N(Y27)&gt;0,", "&amp;A27&amp;"-"&amp;Y$2,"")&amp;IF(N(Z27)&gt;0,", "&amp;A27&amp;"-"&amp;Z$2,"")&amp;IF(N(AA27)&gt;0,", "&amp;A27&amp;"-"&amp;AA$2,"")&amp;IF(N(AB27)&gt;0,", "&amp;A27&amp;"-"&amp;AB$2,"")&amp;IF(N(AC27)&gt;0,", "&amp;A27&amp;"-"&amp;AC$2,"")&amp;IF(N(AD27)&gt;0,", "&amp;A27&amp;"-"&amp;AD$2,"")&amp;IF(N(AE27)&gt;0,", "&amp;A27&amp;"-"&amp;AE$2,"")&amp;IF(N(AF27)&gt;0,", "&amp;A27&amp;"-"&amp;AF$2,"")&amp;IF(N(AG27)&gt;0,", "&amp;A27&amp;"-"&amp;AG$2,"")&amp;IF(N(AH27)&gt;0,", "&amp;A27&amp;"-"&amp;AH$2,"")&amp;IF(N(AI27)&gt;0,", "&amp;A27&amp;"-"&amp;AI$2,"")&amp;IF(N(AJ27)&gt;0,", "&amp;A27&amp;"-"&amp;AJ$2,""),3,999))</f>
        <v/>
      </c>
      <c r="AN27" s="81"/>
      <c r="AO27" s="88"/>
      <c r="AP27" s="89" t="str">
        <f aca="false">IF(AO27="","",ROUND(AO27/(1+Справочники!$B$13),2))</f>
        <v/>
      </c>
      <c r="AQ27" s="90" t="str">
        <f aca="false" t="array" ref="AQ27:AQ27">IF(AP27="","",AP27*INDEX(Справочники!$B$4:$B$7,MATCH("RUB",Справочники!$A$4:$A$7,0)))</f>
        <v/>
      </c>
      <c r="AR27" s="90" t="str">
        <f aca="false">IF(AQ27="","",ROUND(AQ27*(1+Справочники!$B$12),0))</f>
        <v/>
      </c>
      <c r="AS27" s="90" t="str">
        <f aca="false">IF(AR27="","",ROUND(AR27*(1-Справочники!$B$11),0))</f>
        <v/>
      </c>
      <c r="AT27" s="88"/>
      <c r="AU27" s="90" t="str">
        <f aca="false">IF(AT27="","",ROUND(AT27/(1+Справочники!$B$12),0))</f>
        <v/>
      </c>
      <c r="AV27" s="90" t="str">
        <f aca="false">IF(AT27="","",ROUND(AT27*(1-Справочники!$B$15),0))</f>
        <v/>
      </c>
      <c r="AW27" s="90" t="str">
        <f aca="false">IF(AT27="","",ROUND(AT27*(1-Справочники!$B$16),0))</f>
        <v/>
      </c>
      <c r="AX27" s="90" t="str">
        <f aca="false">IF(AT27="","",ROUND(AT27*(1-Справочники!$B$17),0))</f>
        <v/>
      </c>
      <c r="AY27" s="90" t="str">
        <f aca="false">IF(AT27="","",ROUND(AT27*(1-Справочники!$B$18),0))</f>
        <v/>
      </c>
      <c r="AZ27" s="90" t="str">
        <f aca="false">IF(AT27="","",ROUND(AT27*(1-Справочники!$B$19),0))</f>
        <v/>
      </c>
      <c r="BA27" s="81"/>
      <c r="BB27" s="81"/>
      <c r="BC27" s="81"/>
      <c r="BD27" s="81"/>
      <c r="BE27" s="91"/>
      <c r="BF27" s="81" t="s">
        <v>103</v>
      </c>
      <c r="BG27" s="89" t="n">
        <f aca="false" t="array" ref="BG27:BG27">IF(BF27="","",IFERROR(INDEX(Справочники!$B$4:$B$7,MATCH(BF27,Справочники!$A$4:$A$7,0)),""))</f>
        <v>68.5</v>
      </c>
      <c r="BH27" s="90" t="str">
        <f aca="false">IF(N(BN27)&gt;0,ROUND(SUMIF(ЗАКАЗЫ!$F$3:$F$500,$A27,ЗАКАЗЫ!$Y$3:$Y$500)/BN27,0),IF(OR(BE27="",BG27=""),"",ROUND(BE27*BG27*(1+Справочники!$B$10),0)))</f>
        <v/>
      </c>
      <c r="BI27" s="92" t="str">
        <f aca="false">IF(OR(AU27="",BH27="",AU27=0),"",(AU27-BH27)/AU27)</f>
        <v/>
      </c>
      <c r="BJ27" s="81"/>
      <c r="BK27" s="83"/>
      <c r="BL27" s="43" t="str">
        <f aca="false">IFERROR(INDEX(ЗАКАЗЫ!$N$3:$N$500,MATCH($A27,ЗАКАЗЫ!$F$3:$F$500,0)),"")</f>
        <v/>
      </c>
      <c r="BM27" s="8" t="str">
        <f aca="false">IF(BL27="","",IFERROR(VLOOKUP(BL27,'ТН ВЭД'!$A$4:$C$40,3,0),""))</f>
        <v/>
      </c>
      <c r="BN27" s="7" t="str">
        <f aca="false">IF(COUNTIF(ЗАКАЗЫ!$F$3:$F$500,$A27)=0,"",SUMIF(ЗАКАЗЫ!$F$3:$F$500,$A27,ЗАКАЗЫ!$J$3:$J$500))</f>
        <v/>
      </c>
      <c r="BO27" s="7" t="str">
        <f aca="false">IF(BN27="","",SUMIF(ЗАКАЗЫ!$F$3:$F$500,$A27,ЗАКАЗЫ!$AL$3:$AL$500))</f>
        <v/>
      </c>
      <c r="BP27" s="7" t="str">
        <f aca="false">IF(BN27="","",BN27-BO27)</f>
        <v/>
      </c>
      <c r="BQ27" s="55" t="str">
        <f aca="false">IF(BN27="","",IF(BO27&gt;=BN27,"На складе",IF(BO27&gt;0,"Частично","Ждём")))</f>
        <v/>
      </c>
      <c r="BR27" s="43"/>
      <c r="BS27" s="47" t="str">
        <f aca="false">IF(BN27="","",IF(_xlfn.MAXIFS(ЗАКАЗЫ!$AK$3:$AK$500,ЗАКАЗЫ!$F$3:$F$500,$A27)=0,"",_xlfn.MAXIFS(ЗАКАЗЫ!$AK$3:$AK$500,ЗАКАЗЫ!$F$3:$F$500,$A27)))</f>
        <v/>
      </c>
    </row>
    <row r="28" customFormat="false" ht="15.75" hidden="false" customHeight="true" outlineLevel="0" collapsed="false">
      <c r="A28" s="80" t="s">
        <v>1551</v>
      </c>
      <c r="B28" s="81"/>
      <c r="C28" s="81"/>
      <c r="D28" s="81"/>
      <c r="E28" s="83"/>
      <c r="F28" s="81"/>
      <c r="G28" s="83"/>
      <c r="H28" s="83"/>
      <c r="I28" s="84" t="str">
        <f aca="false">IF(E28="","",A28&amp;"_1.jpg")</f>
        <v/>
      </c>
      <c r="J28" s="84" t="str">
        <f aca="false">IF(E28="","",A28&amp;"_2.jpg; "&amp;A28&amp;"_3.jpg")</f>
        <v/>
      </c>
      <c r="K28" s="84" t="str">
        <f aca="false">IF(E28="","",A28&amp;"_schema.jpg")</f>
        <v/>
      </c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 t="s">
        <v>96</v>
      </c>
      <c r="W28" s="81"/>
      <c r="X28" s="81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6" t="str">
        <f aca="false">IF(SUM(Y28:AJ28)=0,"",SUM(Y28:AJ28))</f>
        <v/>
      </c>
      <c r="AL28" s="84" t="str">
        <f aca="false">MID(IF(N(Y28)&gt;0,", "&amp;Y$2,"")&amp;IF(N(Z28)&gt;0,", "&amp;Z$2,"")&amp;IF(N(AA28)&gt;0,", "&amp;AA$2,"")&amp;IF(N(AB28)&gt;0,", "&amp;AB$2,"")&amp;IF(N(AC28)&gt;0,", "&amp;AC$2,"")&amp;IF(N(AD28)&gt;0,", "&amp;AD$2,"")&amp;IF(N(AE28)&gt;0,", "&amp;AE$2,"")&amp;IF(N(AF28)&gt;0,", "&amp;AF$2,"")&amp;IF(N(AG28)&gt;0,", "&amp;AG$2,"")&amp;IF(N(AH28)&gt;0,", "&amp;AH$2,"")&amp;IF(N(AI28)&gt;0,", "&amp;AI$2,"")&amp;IF(N(AJ28)&gt;0,", "&amp;AJ$2,""),3,999)</f>
        <v/>
      </c>
      <c r="AM28" s="87" t="str">
        <f aca="false">IF(E28="","",MID(IF(N(Y28)&gt;0,", "&amp;A28&amp;"-"&amp;Y$2,"")&amp;IF(N(Z28)&gt;0,", "&amp;A28&amp;"-"&amp;Z$2,"")&amp;IF(N(AA28)&gt;0,", "&amp;A28&amp;"-"&amp;AA$2,"")&amp;IF(N(AB28)&gt;0,", "&amp;A28&amp;"-"&amp;AB$2,"")&amp;IF(N(AC28)&gt;0,", "&amp;A28&amp;"-"&amp;AC$2,"")&amp;IF(N(AD28)&gt;0,", "&amp;A28&amp;"-"&amp;AD$2,"")&amp;IF(N(AE28)&gt;0,", "&amp;A28&amp;"-"&amp;AE$2,"")&amp;IF(N(AF28)&gt;0,", "&amp;A28&amp;"-"&amp;AF$2,"")&amp;IF(N(AG28)&gt;0,", "&amp;A28&amp;"-"&amp;AG$2,"")&amp;IF(N(AH28)&gt;0,", "&amp;A28&amp;"-"&amp;AH$2,"")&amp;IF(N(AI28)&gt;0,", "&amp;A28&amp;"-"&amp;AI$2,"")&amp;IF(N(AJ28)&gt;0,", "&amp;A28&amp;"-"&amp;AJ$2,""),3,999))</f>
        <v/>
      </c>
      <c r="AN28" s="81"/>
      <c r="AO28" s="88"/>
      <c r="AP28" s="89" t="str">
        <f aca="false">IF(AO28="","",ROUND(AO28/(1+Справочники!$B$13),2))</f>
        <v/>
      </c>
      <c r="AQ28" s="90" t="str">
        <f aca="false" t="array" ref="AQ28:AQ28">IF(AP28="","",AP28*INDEX(Справочники!$B$4:$B$7,MATCH("RUB",Справочники!$A$4:$A$7,0)))</f>
        <v/>
      </c>
      <c r="AR28" s="90" t="str">
        <f aca="false">IF(AQ28="","",ROUND(AQ28*(1+Справочники!$B$12),0))</f>
        <v/>
      </c>
      <c r="AS28" s="90" t="str">
        <f aca="false">IF(AR28="","",ROUND(AR28*(1-Справочники!$B$11),0))</f>
        <v/>
      </c>
      <c r="AT28" s="88"/>
      <c r="AU28" s="90" t="str">
        <f aca="false">IF(AT28="","",ROUND(AT28/(1+Справочники!$B$12),0))</f>
        <v/>
      </c>
      <c r="AV28" s="90" t="str">
        <f aca="false">IF(AT28="","",ROUND(AT28*(1-Справочники!$B$15),0))</f>
        <v/>
      </c>
      <c r="AW28" s="90" t="str">
        <f aca="false">IF(AT28="","",ROUND(AT28*(1-Справочники!$B$16),0))</f>
        <v/>
      </c>
      <c r="AX28" s="90" t="str">
        <f aca="false">IF(AT28="","",ROUND(AT28*(1-Справочники!$B$17),0))</f>
        <v/>
      </c>
      <c r="AY28" s="90" t="str">
        <f aca="false">IF(AT28="","",ROUND(AT28*(1-Справочники!$B$18),0))</f>
        <v/>
      </c>
      <c r="AZ28" s="90" t="str">
        <f aca="false">IF(AT28="","",ROUND(AT28*(1-Справочники!$B$19),0))</f>
        <v/>
      </c>
      <c r="BA28" s="81"/>
      <c r="BB28" s="81"/>
      <c r="BC28" s="81"/>
      <c r="BD28" s="81"/>
      <c r="BE28" s="91"/>
      <c r="BF28" s="81" t="s">
        <v>103</v>
      </c>
      <c r="BG28" s="89" t="n">
        <f aca="false" t="array" ref="BG28:BG28">IF(BF28="","",IFERROR(INDEX(Справочники!$B$4:$B$7,MATCH(BF28,Справочники!$A$4:$A$7,0)),""))</f>
        <v>68.5</v>
      </c>
      <c r="BH28" s="90" t="str">
        <f aca="false">IF(N(BN28)&gt;0,ROUND(SUMIF(ЗАКАЗЫ!$F$3:$F$500,$A28,ЗАКАЗЫ!$Y$3:$Y$500)/BN28,0),IF(OR(BE28="",BG28=""),"",ROUND(BE28*BG28*(1+Справочники!$B$10),0)))</f>
        <v/>
      </c>
      <c r="BI28" s="92" t="str">
        <f aca="false">IF(OR(AU28="",BH28="",AU28=0),"",(AU28-BH28)/AU28)</f>
        <v/>
      </c>
      <c r="BJ28" s="81"/>
      <c r="BK28" s="83"/>
      <c r="BL28" s="43" t="str">
        <f aca="false">IFERROR(INDEX(ЗАКАЗЫ!$N$3:$N$500,MATCH($A28,ЗАКАЗЫ!$F$3:$F$500,0)),"")</f>
        <v/>
      </c>
      <c r="BM28" s="8" t="str">
        <f aca="false">IF(BL28="","",IFERROR(VLOOKUP(BL28,'ТН ВЭД'!$A$4:$C$40,3,0),""))</f>
        <v/>
      </c>
      <c r="BN28" s="7" t="str">
        <f aca="false">IF(COUNTIF(ЗАКАЗЫ!$F$3:$F$500,$A28)=0,"",SUMIF(ЗАКАЗЫ!$F$3:$F$500,$A28,ЗАКАЗЫ!$J$3:$J$500))</f>
        <v/>
      </c>
      <c r="BO28" s="7" t="str">
        <f aca="false">IF(BN28="","",SUMIF(ЗАКАЗЫ!$F$3:$F$500,$A28,ЗАКАЗЫ!$AL$3:$AL$500))</f>
        <v/>
      </c>
      <c r="BP28" s="7" t="str">
        <f aca="false">IF(BN28="","",BN28-BO28)</f>
        <v/>
      </c>
      <c r="BQ28" s="55" t="str">
        <f aca="false">IF(BN28="","",IF(BO28&gt;=BN28,"На складе",IF(BO28&gt;0,"Частично","Ждём")))</f>
        <v/>
      </c>
      <c r="BR28" s="43"/>
      <c r="BS28" s="47" t="str">
        <f aca="false">IF(BN28="","",IF(_xlfn.MAXIFS(ЗАКАЗЫ!$AK$3:$AK$500,ЗАКАЗЫ!$F$3:$F$500,$A28)=0,"",_xlfn.MAXIFS(ЗАКАЗЫ!$AK$3:$AK$500,ЗАКАЗЫ!$F$3:$F$500,$A28)))</f>
        <v/>
      </c>
    </row>
    <row r="29" customFormat="false" ht="15.75" hidden="false" customHeight="true" outlineLevel="0" collapsed="false">
      <c r="A29" s="80" t="s">
        <v>1552</v>
      </c>
      <c r="B29" s="81"/>
      <c r="C29" s="81"/>
      <c r="D29" s="81"/>
      <c r="E29" s="83"/>
      <c r="F29" s="81"/>
      <c r="G29" s="83"/>
      <c r="H29" s="83"/>
      <c r="I29" s="84" t="str">
        <f aca="false">IF(E29="","",A29&amp;"_1.jpg")</f>
        <v/>
      </c>
      <c r="J29" s="84" t="str">
        <f aca="false">IF(E29="","",A29&amp;"_2.jpg; "&amp;A29&amp;"_3.jpg")</f>
        <v/>
      </c>
      <c r="K29" s="84" t="str">
        <f aca="false">IF(E29="","",A29&amp;"_schema.jpg")</f>
        <v/>
      </c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 t="s">
        <v>96</v>
      </c>
      <c r="W29" s="81"/>
      <c r="X29" s="81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6" t="str">
        <f aca="false">IF(SUM(Y29:AJ29)=0,"",SUM(Y29:AJ29))</f>
        <v/>
      </c>
      <c r="AL29" s="84" t="str">
        <f aca="false">MID(IF(N(Y29)&gt;0,", "&amp;Y$2,"")&amp;IF(N(Z29)&gt;0,", "&amp;Z$2,"")&amp;IF(N(AA29)&gt;0,", "&amp;AA$2,"")&amp;IF(N(AB29)&gt;0,", "&amp;AB$2,"")&amp;IF(N(AC29)&gt;0,", "&amp;AC$2,"")&amp;IF(N(AD29)&gt;0,", "&amp;AD$2,"")&amp;IF(N(AE29)&gt;0,", "&amp;AE$2,"")&amp;IF(N(AF29)&gt;0,", "&amp;AF$2,"")&amp;IF(N(AG29)&gt;0,", "&amp;AG$2,"")&amp;IF(N(AH29)&gt;0,", "&amp;AH$2,"")&amp;IF(N(AI29)&gt;0,", "&amp;AI$2,"")&amp;IF(N(AJ29)&gt;0,", "&amp;AJ$2,""),3,999)</f>
        <v/>
      </c>
      <c r="AM29" s="87" t="str">
        <f aca="false">IF(E29="","",MID(IF(N(Y29)&gt;0,", "&amp;A29&amp;"-"&amp;Y$2,"")&amp;IF(N(Z29)&gt;0,", "&amp;A29&amp;"-"&amp;Z$2,"")&amp;IF(N(AA29)&gt;0,", "&amp;A29&amp;"-"&amp;AA$2,"")&amp;IF(N(AB29)&gt;0,", "&amp;A29&amp;"-"&amp;AB$2,"")&amp;IF(N(AC29)&gt;0,", "&amp;A29&amp;"-"&amp;AC$2,"")&amp;IF(N(AD29)&gt;0,", "&amp;A29&amp;"-"&amp;AD$2,"")&amp;IF(N(AE29)&gt;0,", "&amp;A29&amp;"-"&amp;AE$2,"")&amp;IF(N(AF29)&gt;0,", "&amp;A29&amp;"-"&amp;AF$2,"")&amp;IF(N(AG29)&gt;0,", "&amp;A29&amp;"-"&amp;AG$2,"")&amp;IF(N(AH29)&gt;0,", "&amp;A29&amp;"-"&amp;AH$2,"")&amp;IF(N(AI29)&gt;0,", "&amp;A29&amp;"-"&amp;AI$2,"")&amp;IF(N(AJ29)&gt;0,", "&amp;A29&amp;"-"&amp;AJ$2,""),3,999))</f>
        <v/>
      </c>
      <c r="AN29" s="81"/>
      <c r="AO29" s="88"/>
      <c r="AP29" s="89" t="str">
        <f aca="false">IF(AO29="","",ROUND(AO29/(1+Справочники!$B$13),2))</f>
        <v/>
      </c>
      <c r="AQ29" s="90" t="str">
        <f aca="false" t="array" ref="AQ29:AQ29">IF(AP29="","",AP29*INDEX(Справочники!$B$4:$B$7,MATCH("RUB",Справочники!$A$4:$A$7,0)))</f>
        <v/>
      </c>
      <c r="AR29" s="90" t="str">
        <f aca="false">IF(AQ29="","",ROUND(AQ29*(1+Справочники!$B$12),0))</f>
        <v/>
      </c>
      <c r="AS29" s="90" t="str">
        <f aca="false">IF(AR29="","",ROUND(AR29*(1-Справочники!$B$11),0))</f>
        <v/>
      </c>
      <c r="AT29" s="88"/>
      <c r="AU29" s="90" t="str">
        <f aca="false">IF(AT29="","",ROUND(AT29/(1+Справочники!$B$12),0))</f>
        <v/>
      </c>
      <c r="AV29" s="90" t="str">
        <f aca="false">IF(AT29="","",ROUND(AT29*(1-Справочники!$B$15),0))</f>
        <v/>
      </c>
      <c r="AW29" s="90" t="str">
        <f aca="false">IF(AT29="","",ROUND(AT29*(1-Справочники!$B$16),0))</f>
        <v/>
      </c>
      <c r="AX29" s="90" t="str">
        <f aca="false">IF(AT29="","",ROUND(AT29*(1-Справочники!$B$17),0))</f>
        <v/>
      </c>
      <c r="AY29" s="90" t="str">
        <f aca="false">IF(AT29="","",ROUND(AT29*(1-Справочники!$B$18),0))</f>
        <v/>
      </c>
      <c r="AZ29" s="90" t="str">
        <f aca="false">IF(AT29="","",ROUND(AT29*(1-Справочники!$B$19),0))</f>
        <v/>
      </c>
      <c r="BA29" s="81"/>
      <c r="BB29" s="81"/>
      <c r="BC29" s="81"/>
      <c r="BD29" s="81"/>
      <c r="BE29" s="91"/>
      <c r="BF29" s="81" t="s">
        <v>103</v>
      </c>
      <c r="BG29" s="89" t="n">
        <f aca="false" t="array" ref="BG29:BG29">IF(BF29="","",IFERROR(INDEX(Справочники!$B$4:$B$7,MATCH(BF29,Справочники!$A$4:$A$7,0)),""))</f>
        <v>68.5</v>
      </c>
      <c r="BH29" s="90" t="str">
        <f aca="false">IF(N(BN29)&gt;0,ROUND(SUMIF(ЗАКАЗЫ!$F$3:$F$500,$A29,ЗАКАЗЫ!$Y$3:$Y$500)/BN29,0),IF(OR(BE29="",BG29=""),"",ROUND(BE29*BG29*(1+Справочники!$B$10),0)))</f>
        <v/>
      </c>
      <c r="BI29" s="92" t="str">
        <f aca="false">IF(OR(AU29="",BH29="",AU29=0),"",(AU29-BH29)/AU29)</f>
        <v/>
      </c>
      <c r="BJ29" s="81"/>
      <c r="BK29" s="83"/>
      <c r="BL29" s="43" t="str">
        <f aca="false">IFERROR(INDEX(ЗАКАЗЫ!$N$3:$N$500,MATCH($A29,ЗАКАЗЫ!$F$3:$F$500,0)),"")</f>
        <v/>
      </c>
      <c r="BM29" s="8" t="str">
        <f aca="false">IF(BL29="","",IFERROR(VLOOKUP(BL29,'ТН ВЭД'!$A$4:$C$40,3,0),""))</f>
        <v/>
      </c>
      <c r="BN29" s="7" t="str">
        <f aca="false">IF(COUNTIF(ЗАКАЗЫ!$F$3:$F$500,$A29)=0,"",SUMIF(ЗАКАЗЫ!$F$3:$F$500,$A29,ЗАКАЗЫ!$J$3:$J$500))</f>
        <v/>
      </c>
      <c r="BO29" s="7" t="str">
        <f aca="false">IF(BN29="","",SUMIF(ЗАКАЗЫ!$F$3:$F$500,$A29,ЗАКАЗЫ!$AL$3:$AL$500))</f>
        <v/>
      </c>
      <c r="BP29" s="7" t="str">
        <f aca="false">IF(BN29="","",BN29-BO29)</f>
        <v/>
      </c>
      <c r="BQ29" s="55" t="str">
        <f aca="false">IF(BN29="","",IF(BO29&gt;=BN29,"На складе",IF(BO29&gt;0,"Частично","Ждём")))</f>
        <v/>
      </c>
      <c r="BR29" s="43"/>
      <c r="BS29" s="47" t="str">
        <f aca="false">IF(BN29="","",IF(_xlfn.MAXIFS(ЗАКАЗЫ!$AK$3:$AK$500,ЗАКАЗЫ!$F$3:$F$500,$A29)=0,"",_xlfn.MAXIFS(ЗАКАЗЫ!$AK$3:$AK$500,ЗАКАЗЫ!$F$3:$F$500,$A29)))</f>
        <v/>
      </c>
    </row>
    <row r="30" customFormat="false" ht="15.75" hidden="false" customHeight="true" outlineLevel="0" collapsed="false">
      <c r="A30" s="80" t="s">
        <v>1553</v>
      </c>
      <c r="B30" s="81"/>
      <c r="C30" s="81"/>
      <c r="D30" s="81"/>
      <c r="E30" s="83"/>
      <c r="F30" s="81"/>
      <c r="G30" s="83"/>
      <c r="H30" s="83"/>
      <c r="I30" s="84" t="str">
        <f aca="false">IF(E30="","",A30&amp;"_1.jpg")</f>
        <v/>
      </c>
      <c r="J30" s="84" t="str">
        <f aca="false">IF(E30="","",A30&amp;"_2.jpg; "&amp;A30&amp;"_3.jpg")</f>
        <v/>
      </c>
      <c r="K30" s="84" t="str">
        <f aca="false">IF(E30="","",A30&amp;"_schema.jpg")</f>
        <v/>
      </c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 t="s">
        <v>96</v>
      </c>
      <c r="W30" s="81"/>
      <c r="X30" s="81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6" t="str">
        <f aca="false">IF(SUM(Y30:AJ30)=0,"",SUM(Y30:AJ30))</f>
        <v/>
      </c>
      <c r="AL30" s="84" t="str">
        <f aca="false">MID(IF(N(Y30)&gt;0,", "&amp;Y$2,"")&amp;IF(N(Z30)&gt;0,", "&amp;Z$2,"")&amp;IF(N(AA30)&gt;0,", "&amp;AA$2,"")&amp;IF(N(AB30)&gt;0,", "&amp;AB$2,"")&amp;IF(N(AC30)&gt;0,", "&amp;AC$2,"")&amp;IF(N(AD30)&gt;0,", "&amp;AD$2,"")&amp;IF(N(AE30)&gt;0,", "&amp;AE$2,"")&amp;IF(N(AF30)&gt;0,", "&amp;AF$2,"")&amp;IF(N(AG30)&gt;0,", "&amp;AG$2,"")&amp;IF(N(AH30)&gt;0,", "&amp;AH$2,"")&amp;IF(N(AI30)&gt;0,", "&amp;AI$2,"")&amp;IF(N(AJ30)&gt;0,", "&amp;AJ$2,""),3,999)</f>
        <v/>
      </c>
      <c r="AM30" s="87" t="str">
        <f aca="false">IF(E30="","",MID(IF(N(Y30)&gt;0,", "&amp;A30&amp;"-"&amp;Y$2,"")&amp;IF(N(Z30)&gt;0,", "&amp;A30&amp;"-"&amp;Z$2,"")&amp;IF(N(AA30)&gt;0,", "&amp;A30&amp;"-"&amp;AA$2,"")&amp;IF(N(AB30)&gt;0,", "&amp;A30&amp;"-"&amp;AB$2,"")&amp;IF(N(AC30)&gt;0,", "&amp;A30&amp;"-"&amp;AC$2,"")&amp;IF(N(AD30)&gt;0,", "&amp;A30&amp;"-"&amp;AD$2,"")&amp;IF(N(AE30)&gt;0,", "&amp;A30&amp;"-"&amp;AE$2,"")&amp;IF(N(AF30)&gt;0,", "&amp;A30&amp;"-"&amp;AF$2,"")&amp;IF(N(AG30)&gt;0,", "&amp;A30&amp;"-"&amp;AG$2,"")&amp;IF(N(AH30)&gt;0,", "&amp;A30&amp;"-"&amp;AH$2,"")&amp;IF(N(AI30)&gt;0,", "&amp;A30&amp;"-"&amp;AI$2,"")&amp;IF(N(AJ30)&gt;0,", "&amp;A30&amp;"-"&amp;AJ$2,""),3,999))</f>
        <v/>
      </c>
      <c r="AN30" s="81"/>
      <c r="AO30" s="88"/>
      <c r="AP30" s="89" t="str">
        <f aca="false">IF(AO30="","",ROUND(AO30/(1+Справочники!$B$13),2))</f>
        <v/>
      </c>
      <c r="AQ30" s="90" t="str">
        <f aca="false" t="array" ref="AQ30:AQ30">IF(AP30="","",AP30*INDEX(Справочники!$B$4:$B$7,MATCH("RUB",Справочники!$A$4:$A$7,0)))</f>
        <v/>
      </c>
      <c r="AR30" s="90" t="str">
        <f aca="false">IF(AQ30="","",ROUND(AQ30*(1+Справочники!$B$12),0))</f>
        <v/>
      </c>
      <c r="AS30" s="90" t="str">
        <f aca="false">IF(AR30="","",ROUND(AR30*(1-Справочники!$B$11),0))</f>
        <v/>
      </c>
      <c r="AT30" s="88"/>
      <c r="AU30" s="90" t="str">
        <f aca="false">IF(AT30="","",ROUND(AT30/(1+Справочники!$B$12),0))</f>
        <v/>
      </c>
      <c r="AV30" s="90" t="str">
        <f aca="false">IF(AT30="","",ROUND(AT30*(1-Справочники!$B$15),0))</f>
        <v/>
      </c>
      <c r="AW30" s="90" t="str">
        <f aca="false">IF(AT30="","",ROUND(AT30*(1-Справочники!$B$16),0))</f>
        <v/>
      </c>
      <c r="AX30" s="90" t="str">
        <f aca="false">IF(AT30="","",ROUND(AT30*(1-Справочники!$B$17),0))</f>
        <v/>
      </c>
      <c r="AY30" s="90" t="str">
        <f aca="false">IF(AT30="","",ROUND(AT30*(1-Справочники!$B$18),0))</f>
        <v/>
      </c>
      <c r="AZ30" s="90" t="str">
        <f aca="false">IF(AT30="","",ROUND(AT30*(1-Справочники!$B$19),0))</f>
        <v/>
      </c>
      <c r="BA30" s="81"/>
      <c r="BB30" s="81"/>
      <c r="BC30" s="81"/>
      <c r="BD30" s="81"/>
      <c r="BE30" s="91"/>
      <c r="BF30" s="81" t="s">
        <v>103</v>
      </c>
      <c r="BG30" s="89" t="n">
        <f aca="false" t="array" ref="BG30:BG30">IF(BF30="","",IFERROR(INDEX(Справочники!$B$4:$B$7,MATCH(BF30,Справочники!$A$4:$A$7,0)),""))</f>
        <v>68.5</v>
      </c>
      <c r="BH30" s="90" t="str">
        <f aca="false">IF(N(BN30)&gt;0,ROUND(SUMIF(ЗАКАЗЫ!$F$3:$F$500,$A30,ЗАКАЗЫ!$Y$3:$Y$500)/BN30,0),IF(OR(BE30="",BG30=""),"",ROUND(BE30*BG30*(1+Справочники!$B$10),0)))</f>
        <v/>
      </c>
      <c r="BI30" s="92" t="str">
        <f aca="false">IF(OR(AU30="",BH30="",AU30=0),"",(AU30-BH30)/AU30)</f>
        <v/>
      </c>
      <c r="BJ30" s="81"/>
      <c r="BK30" s="83"/>
      <c r="BL30" s="43" t="str">
        <f aca="false">IFERROR(INDEX(ЗАКАЗЫ!$N$3:$N$500,MATCH($A30,ЗАКАЗЫ!$F$3:$F$500,0)),"")</f>
        <v/>
      </c>
      <c r="BM30" s="8" t="str">
        <f aca="false">IF(BL30="","",IFERROR(VLOOKUP(BL30,'ТН ВЭД'!$A$4:$C$40,3,0),""))</f>
        <v/>
      </c>
      <c r="BN30" s="7" t="str">
        <f aca="false">IF(COUNTIF(ЗАКАЗЫ!$F$3:$F$500,$A30)=0,"",SUMIF(ЗАКАЗЫ!$F$3:$F$500,$A30,ЗАКАЗЫ!$J$3:$J$500))</f>
        <v/>
      </c>
      <c r="BO30" s="7" t="str">
        <f aca="false">IF(BN30="","",SUMIF(ЗАКАЗЫ!$F$3:$F$500,$A30,ЗАКАЗЫ!$AL$3:$AL$500))</f>
        <v/>
      </c>
      <c r="BP30" s="7" t="str">
        <f aca="false">IF(BN30="","",BN30-BO30)</f>
        <v/>
      </c>
      <c r="BQ30" s="55" t="str">
        <f aca="false">IF(BN30="","",IF(BO30&gt;=BN30,"На складе",IF(BO30&gt;0,"Частично","Ждём")))</f>
        <v/>
      </c>
      <c r="BR30" s="43"/>
      <c r="BS30" s="47" t="str">
        <f aca="false">IF(BN30="","",IF(_xlfn.MAXIFS(ЗАКАЗЫ!$AK$3:$AK$500,ЗАКАЗЫ!$F$3:$F$500,$A30)=0,"",_xlfn.MAXIFS(ЗАКАЗЫ!$AK$3:$AK$500,ЗАКАЗЫ!$F$3:$F$500,$A30)))</f>
        <v/>
      </c>
    </row>
    <row r="31" customFormat="false" ht="15.75" hidden="false" customHeight="true" outlineLevel="0" collapsed="false">
      <c r="A31" s="80" t="s">
        <v>1554</v>
      </c>
      <c r="B31" s="81"/>
      <c r="C31" s="81"/>
      <c r="D31" s="81"/>
      <c r="E31" s="83"/>
      <c r="F31" s="81"/>
      <c r="G31" s="83"/>
      <c r="H31" s="83"/>
      <c r="I31" s="84" t="str">
        <f aca="false">IF(E31="","",A31&amp;"_1.jpg")</f>
        <v/>
      </c>
      <c r="J31" s="84" t="str">
        <f aca="false">IF(E31="","",A31&amp;"_2.jpg; "&amp;A31&amp;"_3.jpg")</f>
        <v/>
      </c>
      <c r="K31" s="84" t="str">
        <f aca="false">IF(E31="","",A31&amp;"_schema.jpg")</f>
        <v/>
      </c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 t="s">
        <v>96</v>
      </c>
      <c r="W31" s="81"/>
      <c r="X31" s="81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6" t="str">
        <f aca="false">IF(SUM(Y31:AJ31)=0,"",SUM(Y31:AJ31))</f>
        <v/>
      </c>
      <c r="AL31" s="84" t="str">
        <f aca="false">MID(IF(N(Y31)&gt;0,", "&amp;Y$2,"")&amp;IF(N(Z31)&gt;0,", "&amp;Z$2,"")&amp;IF(N(AA31)&gt;0,", "&amp;AA$2,"")&amp;IF(N(AB31)&gt;0,", "&amp;AB$2,"")&amp;IF(N(AC31)&gt;0,", "&amp;AC$2,"")&amp;IF(N(AD31)&gt;0,", "&amp;AD$2,"")&amp;IF(N(AE31)&gt;0,", "&amp;AE$2,"")&amp;IF(N(AF31)&gt;0,", "&amp;AF$2,"")&amp;IF(N(AG31)&gt;0,", "&amp;AG$2,"")&amp;IF(N(AH31)&gt;0,", "&amp;AH$2,"")&amp;IF(N(AI31)&gt;0,", "&amp;AI$2,"")&amp;IF(N(AJ31)&gt;0,", "&amp;AJ$2,""),3,999)</f>
        <v/>
      </c>
      <c r="AM31" s="87" t="str">
        <f aca="false">IF(E31="","",MID(IF(N(Y31)&gt;0,", "&amp;A31&amp;"-"&amp;Y$2,"")&amp;IF(N(Z31)&gt;0,", "&amp;A31&amp;"-"&amp;Z$2,"")&amp;IF(N(AA31)&gt;0,", "&amp;A31&amp;"-"&amp;AA$2,"")&amp;IF(N(AB31)&gt;0,", "&amp;A31&amp;"-"&amp;AB$2,"")&amp;IF(N(AC31)&gt;0,", "&amp;A31&amp;"-"&amp;AC$2,"")&amp;IF(N(AD31)&gt;0,", "&amp;A31&amp;"-"&amp;AD$2,"")&amp;IF(N(AE31)&gt;0,", "&amp;A31&amp;"-"&amp;AE$2,"")&amp;IF(N(AF31)&gt;0,", "&amp;A31&amp;"-"&amp;AF$2,"")&amp;IF(N(AG31)&gt;0,", "&amp;A31&amp;"-"&amp;AG$2,"")&amp;IF(N(AH31)&gt;0,", "&amp;A31&amp;"-"&amp;AH$2,"")&amp;IF(N(AI31)&gt;0,", "&amp;A31&amp;"-"&amp;AI$2,"")&amp;IF(N(AJ31)&gt;0,", "&amp;A31&amp;"-"&amp;AJ$2,""),3,999))</f>
        <v/>
      </c>
      <c r="AN31" s="81"/>
      <c r="AO31" s="88"/>
      <c r="AP31" s="89" t="str">
        <f aca="false">IF(AO31="","",ROUND(AO31/(1+Справочники!$B$13),2))</f>
        <v/>
      </c>
      <c r="AQ31" s="90" t="str">
        <f aca="false" t="array" ref="AQ31:AQ31">IF(AP31="","",AP31*INDEX(Справочники!$B$4:$B$7,MATCH("RUB",Справочники!$A$4:$A$7,0)))</f>
        <v/>
      </c>
      <c r="AR31" s="90" t="str">
        <f aca="false">IF(AQ31="","",ROUND(AQ31*(1+Справочники!$B$12),0))</f>
        <v/>
      </c>
      <c r="AS31" s="90" t="str">
        <f aca="false">IF(AR31="","",ROUND(AR31*(1-Справочники!$B$11),0))</f>
        <v/>
      </c>
      <c r="AT31" s="88"/>
      <c r="AU31" s="90" t="str">
        <f aca="false">IF(AT31="","",ROUND(AT31/(1+Справочники!$B$12),0))</f>
        <v/>
      </c>
      <c r="AV31" s="90" t="str">
        <f aca="false">IF(AT31="","",ROUND(AT31*(1-Справочники!$B$15),0))</f>
        <v/>
      </c>
      <c r="AW31" s="90" t="str">
        <f aca="false">IF(AT31="","",ROUND(AT31*(1-Справочники!$B$16),0))</f>
        <v/>
      </c>
      <c r="AX31" s="90" t="str">
        <f aca="false">IF(AT31="","",ROUND(AT31*(1-Справочники!$B$17),0))</f>
        <v/>
      </c>
      <c r="AY31" s="90" t="str">
        <f aca="false">IF(AT31="","",ROUND(AT31*(1-Справочники!$B$18),0))</f>
        <v/>
      </c>
      <c r="AZ31" s="90" t="str">
        <f aca="false">IF(AT31="","",ROUND(AT31*(1-Справочники!$B$19),0))</f>
        <v/>
      </c>
      <c r="BA31" s="81"/>
      <c r="BB31" s="81"/>
      <c r="BC31" s="81"/>
      <c r="BD31" s="81"/>
      <c r="BE31" s="91"/>
      <c r="BF31" s="81" t="s">
        <v>103</v>
      </c>
      <c r="BG31" s="89" t="n">
        <f aca="false" t="array" ref="BG31:BG31">IF(BF31="","",IFERROR(INDEX(Справочники!$B$4:$B$7,MATCH(BF31,Справочники!$A$4:$A$7,0)),""))</f>
        <v>68.5</v>
      </c>
      <c r="BH31" s="90" t="str">
        <f aca="false">IF(N(BN31)&gt;0,ROUND(SUMIF(ЗАКАЗЫ!$F$3:$F$500,$A31,ЗАКАЗЫ!$Y$3:$Y$500)/BN31,0),IF(OR(BE31="",BG31=""),"",ROUND(BE31*BG31*(1+Справочники!$B$10),0)))</f>
        <v/>
      </c>
      <c r="BI31" s="92" t="str">
        <f aca="false">IF(OR(AU31="",BH31="",AU31=0),"",(AU31-BH31)/AU31)</f>
        <v/>
      </c>
      <c r="BJ31" s="81"/>
      <c r="BK31" s="83"/>
      <c r="BL31" s="43" t="str">
        <f aca="false">IFERROR(INDEX(ЗАКАЗЫ!$N$3:$N$500,MATCH($A31,ЗАКАЗЫ!$F$3:$F$500,0)),"")</f>
        <v/>
      </c>
      <c r="BM31" s="8" t="str">
        <f aca="false">IF(BL31="","",IFERROR(VLOOKUP(BL31,'ТН ВЭД'!$A$4:$C$40,3,0),""))</f>
        <v/>
      </c>
      <c r="BN31" s="7" t="str">
        <f aca="false">IF(COUNTIF(ЗАКАЗЫ!$F$3:$F$500,$A31)=0,"",SUMIF(ЗАКАЗЫ!$F$3:$F$500,$A31,ЗАКАЗЫ!$J$3:$J$500))</f>
        <v/>
      </c>
      <c r="BO31" s="7" t="str">
        <f aca="false">IF(BN31="","",SUMIF(ЗАКАЗЫ!$F$3:$F$500,$A31,ЗАКАЗЫ!$AL$3:$AL$500))</f>
        <v/>
      </c>
      <c r="BP31" s="7" t="str">
        <f aca="false">IF(BN31="","",BN31-BO31)</f>
        <v/>
      </c>
      <c r="BQ31" s="55" t="str">
        <f aca="false">IF(BN31="","",IF(BO31&gt;=BN31,"На складе",IF(BO31&gt;0,"Частично","Ждём")))</f>
        <v/>
      </c>
      <c r="BR31" s="43"/>
      <c r="BS31" s="47" t="str">
        <f aca="false">IF(BN31="","",IF(_xlfn.MAXIFS(ЗАКАЗЫ!$AK$3:$AK$500,ЗАКАЗЫ!$F$3:$F$500,$A31)=0,"",_xlfn.MAXIFS(ЗАКАЗЫ!$AK$3:$AK$500,ЗАКАЗЫ!$F$3:$F$500,$A31)))</f>
        <v/>
      </c>
    </row>
    <row r="32" customFormat="false" ht="15.75" hidden="false" customHeight="true" outlineLevel="0" collapsed="false">
      <c r="A32" s="80" t="s">
        <v>1555</v>
      </c>
      <c r="B32" s="81"/>
      <c r="C32" s="81"/>
      <c r="D32" s="81"/>
      <c r="E32" s="83"/>
      <c r="F32" s="81"/>
      <c r="G32" s="83"/>
      <c r="H32" s="83"/>
      <c r="I32" s="84" t="str">
        <f aca="false">IF(E32="","",A32&amp;"_1.jpg")</f>
        <v/>
      </c>
      <c r="J32" s="84" t="str">
        <f aca="false">IF(E32="","",A32&amp;"_2.jpg; "&amp;A32&amp;"_3.jpg")</f>
        <v/>
      </c>
      <c r="K32" s="84" t="str">
        <f aca="false">IF(E32="","",A32&amp;"_schema.jpg")</f>
        <v/>
      </c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 t="s">
        <v>96</v>
      </c>
      <c r="W32" s="81"/>
      <c r="X32" s="81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6" t="str">
        <f aca="false">IF(SUM(Y32:AJ32)=0,"",SUM(Y32:AJ32))</f>
        <v/>
      </c>
      <c r="AL32" s="84" t="str">
        <f aca="false">MID(IF(N(Y32)&gt;0,", "&amp;Y$2,"")&amp;IF(N(Z32)&gt;0,", "&amp;Z$2,"")&amp;IF(N(AA32)&gt;0,", "&amp;AA$2,"")&amp;IF(N(AB32)&gt;0,", "&amp;AB$2,"")&amp;IF(N(AC32)&gt;0,", "&amp;AC$2,"")&amp;IF(N(AD32)&gt;0,", "&amp;AD$2,"")&amp;IF(N(AE32)&gt;0,", "&amp;AE$2,"")&amp;IF(N(AF32)&gt;0,", "&amp;AF$2,"")&amp;IF(N(AG32)&gt;0,", "&amp;AG$2,"")&amp;IF(N(AH32)&gt;0,", "&amp;AH$2,"")&amp;IF(N(AI32)&gt;0,", "&amp;AI$2,"")&amp;IF(N(AJ32)&gt;0,", "&amp;AJ$2,""),3,999)</f>
        <v/>
      </c>
      <c r="AM32" s="87" t="str">
        <f aca="false">IF(E32="","",MID(IF(N(Y32)&gt;0,", "&amp;A32&amp;"-"&amp;Y$2,"")&amp;IF(N(Z32)&gt;0,", "&amp;A32&amp;"-"&amp;Z$2,"")&amp;IF(N(AA32)&gt;0,", "&amp;A32&amp;"-"&amp;AA$2,"")&amp;IF(N(AB32)&gt;0,", "&amp;A32&amp;"-"&amp;AB$2,"")&amp;IF(N(AC32)&gt;0,", "&amp;A32&amp;"-"&amp;AC$2,"")&amp;IF(N(AD32)&gt;0,", "&amp;A32&amp;"-"&amp;AD$2,"")&amp;IF(N(AE32)&gt;0,", "&amp;A32&amp;"-"&amp;AE$2,"")&amp;IF(N(AF32)&gt;0,", "&amp;A32&amp;"-"&amp;AF$2,"")&amp;IF(N(AG32)&gt;0,", "&amp;A32&amp;"-"&amp;AG$2,"")&amp;IF(N(AH32)&gt;0,", "&amp;A32&amp;"-"&amp;AH$2,"")&amp;IF(N(AI32)&gt;0,", "&amp;A32&amp;"-"&amp;AI$2,"")&amp;IF(N(AJ32)&gt;0,", "&amp;A32&amp;"-"&amp;AJ$2,""),3,999))</f>
        <v/>
      </c>
      <c r="AN32" s="81"/>
      <c r="AO32" s="88"/>
      <c r="AP32" s="89" t="str">
        <f aca="false">IF(AO32="","",ROUND(AO32/(1+Справочники!$B$13),2))</f>
        <v/>
      </c>
      <c r="AQ32" s="90" t="str">
        <f aca="false" t="array" ref="AQ32:AQ32">IF(AP32="","",AP32*INDEX(Справочники!$B$4:$B$7,MATCH("RUB",Справочники!$A$4:$A$7,0)))</f>
        <v/>
      </c>
      <c r="AR32" s="90" t="str">
        <f aca="false">IF(AQ32="","",ROUND(AQ32*(1+Справочники!$B$12),0))</f>
        <v/>
      </c>
      <c r="AS32" s="90" t="str">
        <f aca="false">IF(AR32="","",ROUND(AR32*(1-Справочники!$B$11),0))</f>
        <v/>
      </c>
      <c r="AT32" s="88"/>
      <c r="AU32" s="90" t="str">
        <f aca="false">IF(AT32="","",ROUND(AT32/(1+Справочники!$B$12),0))</f>
        <v/>
      </c>
      <c r="AV32" s="90" t="str">
        <f aca="false">IF(AT32="","",ROUND(AT32*(1-Справочники!$B$15),0))</f>
        <v/>
      </c>
      <c r="AW32" s="90" t="str">
        <f aca="false">IF(AT32="","",ROUND(AT32*(1-Справочники!$B$16),0))</f>
        <v/>
      </c>
      <c r="AX32" s="90" t="str">
        <f aca="false">IF(AT32="","",ROUND(AT32*(1-Справочники!$B$17),0))</f>
        <v/>
      </c>
      <c r="AY32" s="90" t="str">
        <f aca="false">IF(AT32="","",ROUND(AT32*(1-Справочники!$B$18),0))</f>
        <v/>
      </c>
      <c r="AZ32" s="90" t="str">
        <f aca="false">IF(AT32="","",ROUND(AT32*(1-Справочники!$B$19),0))</f>
        <v/>
      </c>
      <c r="BA32" s="81"/>
      <c r="BB32" s="81"/>
      <c r="BC32" s="81"/>
      <c r="BD32" s="81"/>
      <c r="BE32" s="91"/>
      <c r="BF32" s="81" t="s">
        <v>103</v>
      </c>
      <c r="BG32" s="89" t="n">
        <f aca="false" t="array" ref="BG32:BG32">IF(BF32="","",IFERROR(INDEX(Справочники!$B$4:$B$7,MATCH(BF32,Справочники!$A$4:$A$7,0)),""))</f>
        <v>68.5</v>
      </c>
      <c r="BH32" s="90" t="str">
        <f aca="false">IF(N(BN32)&gt;0,ROUND(SUMIF(ЗАКАЗЫ!$F$3:$F$500,$A32,ЗАКАЗЫ!$Y$3:$Y$500)/BN32,0),IF(OR(BE32="",BG32=""),"",ROUND(BE32*BG32*(1+Справочники!$B$10),0)))</f>
        <v/>
      </c>
      <c r="BI32" s="92" t="str">
        <f aca="false">IF(OR(AU32="",BH32="",AU32=0),"",(AU32-BH32)/AU32)</f>
        <v/>
      </c>
      <c r="BJ32" s="81"/>
      <c r="BK32" s="83"/>
      <c r="BL32" s="43" t="str">
        <f aca="false">IFERROR(INDEX(ЗАКАЗЫ!$N$3:$N$500,MATCH($A32,ЗАКАЗЫ!$F$3:$F$500,0)),"")</f>
        <v/>
      </c>
      <c r="BM32" s="8" t="str">
        <f aca="false">IF(BL32="","",IFERROR(VLOOKUP(BL32,'ТН ВЭД'!$A$4:$C$40,3,0),""))</f>
        <v/>
      </c>
      <c r="BN32" s="7" t="str">
        <f aca="false">IF(COUNTIF(ЗАКАЗЫ!$F$3:$F$500,$A32)=0,"",SUMIF(ЗАКАЗЫ!$F$3:$F$500,$A32,ЗАКАЗЫ!$J$3:$J$500))</f>
        <v/>
      </c>
      <c r="BO32" s="7" t="str">
        <f aca="false">IF(BN32="","",SUMIF(ЗАКАЗЫ!$F$3:$F$500,$A32,ЗАКАЗЫ!$AL$3:$AL$500))</f>
        <v/>
      </c>
      <c r="BP32" s="7" t="str">
        <f aca="false">IF(BN32="","",BN32-BO32)</f>
        <v/>
      </c>
      <c r="BQ32" s="55" t="str">
        <f aca="false">IF(BN32="","",IF(BO32&gt;=BN32,"На складе",IF(BO32&gt;0,"Частично","Ждём")))</f>
        <v/>
      </c>
      <c r="BR32" s="43"/>
      <c r="BS32" s="47" t="str">
        <f aca="false">IF(BN32="","",IF(_xlfn.MAXIFS(ЗАКАЗЫ!$AK$3:$AK$500,ЗАКАЗЫ!$F$3:$F$500,$A32)=0,"",_xlfn.MAXIFS(ЗАКАЗЫ!$AK$3:$AK$500,ЗАКАЗЫ!$F$3:$F$500,$A32)))</f>
        <v/>
      </c>
    </row>
    <row r="33" customFormat="false" ht="15.75" hidden="false" customHeight="true" outlineLevel="0" collapsed="false">
      <c r="A33" s="80" t="s">
        <v>1556</v>
      </c>
      <c r="B33" s="81"/>
      <c r="C33" s="81"/>
      <c r="D33" s="81"/>
      <c r="E33" s="83"/>
      <c r="F33" s="81"/>
      <c r="G33" s="83"/>
      <c r="H33" s="83"/>
      <c r="I33" s="84" t="str">
        <f aca="false">IF(E33="","",A33&amp;"_1.jpg")</f>
        <v/>
      </c>
      <c r="J33" s="84" t="str">
        <f aca="false">IF(E33="","",A33&amp;"_2.jpg; "&amp;A33&amp;"_3.jpg")</f>
        <v/>
      </c>
      <c r="K33" s="84" t="str">
        <f aca="false">IF(E33="","",A33&amp;"_schema.jpg")</f>
        <v/>
      </c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 t="s">
        <v>96</v>
      </c>
      <c r="W33" s="81"/>
      <c r="X33" s="81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6" t="str">
        <f aca="false">IF(SUM(Y33:AJ33)=0,"",SUM(Y33:AJ33))</f>
        <v/>
      </c>
      <c r="AL33" s="84" t="str">
        <f aca="false">MID(IF(N(Y33)&gt;0,", "&amp;Y$2,"")&amp;IF(N(Z33)&gt;0,", "&amp;Z$2,"")&amp;IF(N(AA33)&gt;0,", "&amp;AA$2,"")&amp;IF(N(AB33)&gt;0,", "&amp;AB$2,"")&amp;IF(N(AC33)&gt;0,", "&amp;AC$2,"")&amp;IF(N(AD33)&gt;0,", "&amp;AD$2,"")&amp;IF(N(AE33)&gt;0,", "&amp;AE$2,"")&amp;IF(N(AF33)&gt;0,", "&amp;AF$2,"")&amp;IF(N(AG33)&gt;0,", "&amp;AG$2,"")&amp;IF(N(AH33)&gt;0,", "&amp;AH$2,"")&amp;IF(N(AI33)&gt;0,", "&amp;AI$2,"")&amp;IF(N(AJ33)&gt;0,", "&amp;AJ$2,""),3,999)</f>
        <v/>
      </c>
      <c r="AM33" s="87" t="str">
        <f aca="false">IF(E33="","",MID(IF(N(Y33)&gt;0,", "&amp;A33&amp;"-"&amp;Y$2,"")&amp;IF(N(Z33)&gt;0,", "&amp;A33&amp;"-"&amp;Z$2,"")&amp;IF(N(AA33)&gt;0,", "&amp;A33&amp;"-"&amp;AA$2,"")&amp;IF(N(AB33)&gt;0,", "&amp;A33&amp;"-"&amp;AB$2,"")&amp;IF(N(AC33)&gt;0,", "&amp;A33&amp;"-"&amp;AC$2,"")&amp;IF(N(AD33)&gt;0,", "&amp;A33&amp;"-"&amp;AD$2,"")&amp;IF(N(AE33)&gt;0,", "&amp;A33&amp;"-"&amp;AE$2,"")&amp;IF(N(AF33)&gt;0,", "&amp;A33&amp;"-"&amp;AF$2,"")&amp;IF(N(AG33)&gt;0,", "&amp;A33&amp;"-"&amp;AG$2,"")&amp;IF(N(AH33)&gt;0,", "&amp;A33&amp;"-"&amp;AH$2,"")&amp;IF(N(AI33)&gt;0,", "&amp;A33&amp;"-"&amp;AI$2,"")&amp;IF(N(AJ33)&gt;0,", "&amp;A33&amp;"-"&amp;AJ$2,""),3,999))</f>
        <v/>
      </c>
      <c r="AN33" s="81"/>
      <c r="AO33" s="88"/>
      <c r="AP33" s="89" t="str">
        <f aca="false">IF(AO33="","",ROUND(AO33/(1+Справочники!$B$13),2))</f>
        <v/>
      </c>
      <c r="AQ33" s="90" t="str">
        <f aca="false" t="array" ref="AQ33:AQ33">IF(AP33="","",AP33*INDEX(Справочники!$B$4:$B$7,MATCH("RUB",Справочники!$A$4:$A$7,0)))</f>
        <v/>
      </c>
      <c r="AR33" s="90" t="str">
        <f aca="false">IF(AQ33="","",ROUND(AQ33*(1+Справочники!$B$12),0))</f>
        <v/>
      </c>
      <c r="AS33" s="90" t="str">
        <f aca="false">IF(AR33="","",ROUND(AR33*(1-Справочники!$B$11),0))</f>
        <v/>
      </c>
      <c r="AT33" s="88"/>
      <c r="AU33" s="90" t="str">
        <f aca="false">IF(AT33="","",ROUND(AT33/(1+Справочники!$B$12),0))</f>
        <v/>
      </c>
      <c r="AV33" s="90" t="str">
        <f aca="false">IF(AT33="","",ROUND(AT33*(1-Справочники!$B$15),0))</f>
        <v/>
      </c>
      <c r="AW33" s="90" t="str">
        <f aca="false">IF(AT33="","",ROUND(AT33*(1-Справочники!$B$16),0))</f>
        <v/>
      </c>
      <c r="AX33" s="90" t="str">
        <f aca="false">IF(AT33="","",ROUND(AT33*(1-Справочники!$B$17),0))</f>
        <v/>
      </c>
      <c r="AY33" s="90" t="str">
        <f aca="false">IF(AT33="","",ROUND(AT33*(1-Справочники!$B$18),0))</f>
        <v/>
      </c>
      <c r="AZ33" s="90" t="str">
        <f aca="false">IF(AT33="","",ROUND(AT33*(1-Справочники!$B$19),0))</f>
        <v/>
      </c>
      <c r="BA33" s="81"/>
      <c r="BB33" s="81"/>
      <c r="BC33" s="81"/>
      <c r="BD33" s="81"/>
      <c r="BE33" s="91"/>
      <c r="BF33" s="81" t="s">
        <v>103</v>
      </c>
      <c r="BG33" s="89" t="n">
        <f aca="false" t="array" ref="BG33:BG33">IF(BF33="","",IFERROR(INDEX(Справочники!$B$4:$B$7,MATCH(BF33,Справочники!$A$4:$A$7,0)),""))</f>
        <v>68.5</v>
      </c>
      <c r="BH33" s="90" t="str">
        <f aca="false">IF(N(BN33)&gt;0,ROUND(SUMIF(ЗАКАЗЫ!$F$3:$F$500,$A33,ЗАКАЗЫ!$Y$3:$Y$500)/BN33,0),IF(OR(BE33="",BG33=""),"",ROUND(BE33*BG33*(1+Справочники!$B$10),0)))</f>
        <v/>
      </c>
      <c r="BI33" s="92" t="str">
        <f aca="false">IF(OR(AU33="",BH33="",AU33=0),"",(AU33-BH33)/AU33)</f>
        <v/>
      </c>
      <c r="BJ33" s="81"/>
      <c r="BK33" s="83"/>
      <c r="BL33" s="43" t="str">
        <f aca="false">IFERROR(INDEX(ЗАКАЗЫ!$N$3:$N$500,MATCH($A33,ЗАКАЗЫ!$F$3:$F$500,0)),"")</f>
        <v/>
      </c>
      <c r="BM33" s="8" t="str">
        <f aca="false">IF(BL33="","",IFERROR(VLOOKUP(BL33,'ТН ВЭД'!$A$4:$C$40,3,0),""))</f>
        <v/>
      </c>
      <c r="BN33" s="7" t="str">
        <f aca="false">IF(COUNTIF(ЗАКАЗЫ!$F$3:$F$500,$A33)=0,"",SUMIF(ЗАКАЗЫ!$F$3:$F$500,$A33,ЗАКАЗЫ!$J$3:$J$500))</f>
        <v/>
      </c>
      <c r="BO33" s="7" t="str">
        <f aca="false">IF(BN33="","",SUMIF(ЗАКАЗЫ!$F$3:$F$500,$A33,ЗАКАЗЫ!$AL$3:$AL$500))</f>
        <v/>
      </c>
      <c r="BP33" s="7" t="str">
        <f aca="false">IF(BN33="","",BN33-BO33)</f>
        <v/>
      </c>
      <c r="BQ33" s="55" t="str">
        <f aca="false">IF(BN33="","",IF(BO33&gt;=BN33,"На складе",IF(BO33&gt;0,"Частично","Ждём")))</f>
        <v/>
      </c>
      <c r="BR33" s="43"/>
      <c r="BS33" s="47" t="str">
        <f aca="false">IF(BN33="","",IF(_xlfn.MAXIFS(ЗАКАЗЫ!$AK$3:$AK$500,ЗАКАЗЫ!$F$3:$F$500,$A33)=0,"",_xlfn.MAXIFS(ЗАКАЗЫ!$AK$3:$AK$500,ЗАКАЗЫ!$F$3:$F$500,$A33)))</f>
        <v/>
      </c>
    </row>
    <row r="34" customFormat="false" ht="15.75" hidden="false" customHeight="true" outlineLevel="0" collapsed="false">
      <c r="A34" s="80" t="s">
        <v>1557</v>
      </c>
      <c r="B34" s="81"/>
      <c r="C34" s="81"/>
      <c r="D34" s="81"/>
      <c r="E34" s="83"/>
      <c r="F34" s="81"/>
      <c r="G34" s="83"/>
      <c r="H34" s="83"/>
      <c r="I34" s="84" t="str">
        <f aca="false">IF(E34="","",A34&amp;"_1.jpg")</f>
        <v/>
      </c>
      <c r="J34" s="84" t="str">
        <f aca="false">IF(E34="","",A34&amp;"_2.jpg; "&amp;A34&amp;"_3.jpg")</f>
        <v/>
      </c>
      <c r="K34" s="84" t="str">
        <f aca="false">IF(E34="","",A34&amp;"_schema.jpg")</f>
        <v/>
      </c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 t="s">
        <v>96</v>
      </c>
      <c r="W34" s="81"/>
      <c r="X34" s="81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6" t="str">
        <f aca="false">IF(SUM(Y34:AJ34)=0,"",SUM(Y34:AJ34))</f>
        <v/>
      </c>
      <c r="AL34" s="84" t="str">
        <f aca="false">MID(IF(N(Y34)&gt;0,", "&amp;Y$2,"")&amp;IF(N(Z34)&gt;0,", "&amp;Z$2,"")&amp;IF(N(AA34)&gt;0,", "&amp;AA$2,"")&amp;IF(N(AB34)&gt;0,", "&amp;AB$2,"")&amp;IF(N(AC34)&gt;0,", "&amp;AC$2,"")&amp;IF(N(AD34)&gt;0,", "&amp;AD$2,"")&amp;IF(N(AE34)&gt;0,", "&amp;AE$2,"")&amp;IF(N(AF34)&gt;0,", "&amp;AF$2,"")&amp;IF(N(AG34)&gt;0,", "&amp;AG$2,"")&amp;IF(N(AH34)&gt;0,", "&amp;AH$2,"")&amp;IF(N(AI34)&gt;0,", "&amp;AI$2,"")&amp;IF(N(AJ34)&gt;0,", "&amp;AJ$2,""),3,999)</f>
        <v/>
      </c>
      <c r="AM34" s="87" t="str">
        <f aca="false">IF(E34="","",MID(IF(N(Y34)&gt;0,", "&amp;A34&amp;"-"&amp;Y$2,"")&amp;IF(N(Z34)&gt;0,", "&amp;A34&amp;"-"&amp;Z$2,"")&amp;IF(N(AA34)&gt;0,", "&amp;A34&amp;"-"&amp;AA$2,"")&amp;IF(N(AB34)&gt;0,", "&amp;A34&amp;"-"&amp;AB$2,"")&amp;IF(N(AC34)&gt;0,", "&amp;A34&amp;"-"&amp;AC$2,"")&amp;IF(N(AD34)&gt;0,", "&amp;A34&amp;"-"&amp;AD$2,"")&amp;IF(N(AE34)&gt;0,", "&amp;A34&amp;"-"&amp;AE$2,"")&amp;IF(N(AF34)&gt;0,", "&amp;A34&amp;"-"&amp;AF$2,"")&amp;IF(N(AG34)&gt;0,", "&amp;A34&amp;"-"&amp;AG$2,"")&amp;IF(N(AH34)&gt;0,", "&amp;A34&amp;"-"&amp;AH$2,"")&amp;IF(N(AI34)&gt;0,", "&amp;A34&amp;"-"&amp;AI$2,"")&amp;IF(N(AJ34)&gt;0,", "&amp;A34&amp;"-"&amp;AJ$2,""),3,999))</f>
        <v/>
      </c>
      <c r="AN34" s="81"/>
      <c r="AO34" s="88"/>
      <c r="AP34" s="89" t="str">
        <f aca="false">IF(AO34="","",ROUND(AO34/(1+Справочники!$B$13),2))</f>
        <v/>
      </c>
      <c r="AQ34" s="90" t="str">
        <f aca="false" t="array" ref="AQ34:AQ34">IF(AP34="","",AP34*INDEX(Справочники!$B$4:$B$7,MATCH("RUB",Справочники!$A$4:$A$7,0)))</f>
        <v/>
      </c>
      <c r="AR34" s="90" t="str">
        <f aca="false">IF(AQ34="","",ROUND(AQ34*(1+Справочники!$B$12),0))</f>
        <v/>
      </c>
      <c r="AS34" s="90" t="str">
        <f aca="false">IF(AR34="","",ROUND(AR34*(1-Справочники!$B$11),0))</f>
        <v/>
      </c>
      <c r="AT34" s="88"/>
      <c r="AU34" s="90" t="str">
        <f aca="false">IF(AT34="","",ROUND(AT34/(1+Справочники!$B$12),0))</f>
        <v/>
      </c>
      <c r="AV34" s="90" t="str">
        <f aca="false">IF(AT34="","",ROUND(AT34*(1-Справочники!$B$15),0))</f>
        <v/>
      </c>
      <c r="AW34" s="90" t="str">
        <f aca="false">IF(AT34="","",ROUND(AT34*(1-Справочники!$B$16),0))</f>
        <v/>
      </c>
      <c r="AX34" s="90" t="str">
        <f aca="false">IF(AT34="","",ROUND(AT34*(1-Справочники!$B$17),0))</f>
        <v/>
      </c>
      <c r="AY34" s="90" t="str">
        <f aca="false">IF(AT34="","",ROUND(AT34*(1-Справочники!$B$18),0))</f>
        <v/>
      </c>
      <c r="AZ34" s="90" t="str">
        <f aca="false">IF(AT34="","",ROUND(AT34*(1-Справочники!$B$19),0))</f>
        <v/>
      </c>
      <c r="BA34" s="81"/>
      <c r="BB34" s="81"/>
      <c r="BC34" s="81"/>
      <c r="BD34" s="81"/>
      <c r="BE34" s="91"/>
      <c r="BF34" s="81" t="s">
        <v>103</v>
      </c>
      <c r="BG34" s="89" t="n">
        <f aca="false" t="array" ref="BG34:BG34">IF(BF34="","",IFERROR(INDEX(Справочники!$B$4:$B$7,MATCH(BF34,Справочники!$A$4:$A$7,0)),""))</f>
        <v>68.5</v>
      </c>
      <c r="BH34" s="90" t="str">
        <f aca="false">IF(N(BN34)&gt;0,ROUND(SUMIF(ЗАКАЗЫ!$F$3:$F$500,$A34,ЗАКАЗЫ!$Y$3:$Y$500)/BN34,0),IF(OR(BE34="",BG34=""),"",ROUND(BE34*BG34*(1+Справочники!$B$10),0)))</f>
        <v/>
      </c>
      <c r="BI34" s="92" t="str">
        <f aca="false">IF(OR(AU34="",BH34="",AU34=0),"",(AU34-BH34)/AU34)</f>
        <v/>
      </c>
      <c r="BJ34" s="81"/>
      <c r="BK34" s="83"/>
      <c r="BL34" s="43" t="str">
        <f aca="false">IFERROR(INDEX(ЗАКАЗЫ!$N$3:$N$500,MATCH($A34,ЗАКАЗЫ!$F$3:$F$500,0)),"")</f>
        <v/>
      </c>
      <c r="BM34" s="8" t="str">
        <f aca="false">IF(BL34="","",IFERROR(VLOOKUP(BL34,'ТН ВЭД'!$A$4:$C$40,3,0),""))</f>
        <v/>
      </c>
      <c r="BN34" s="7" t="str">
        <f aca="false">IF(COUNTIF(ЗАКАЗЫ!$F$3:$F$500,$A34)=0,"",SUMIF(ЗАКАЗЫ!$F$3:$F$500,$A34,ЗАКАЗЫ!$J$3:$J$500))</f>
        <v/>
      </c>
      <c r="BO34" s="7" t="str">
        <f aca="false">IF(BN34="","",SUMIF(ЗАКАЗЫ!$F$3:$F$500,$A34,ЗАКАЗЫ!$AL$3:$AL$500))</f>
        <v/>
      </c>
      <c r="BP34" s="7" t="str">
        <f aca="false">IF(BN34="","",BN34-BO34)</f>
        <v/>
      </c>
      <c r="BQ34" s="55" t="str">
        <f aca="false">IF(BN34="","",IF(BO34&gt;=BN34,"На складе",IF(BO34&gt;0,"Частично","Ждём")))</f>
        <v/>
      </c>
      <c r="BR34" s="43"/>
      <c r="BS34" s="47" t="str">
        <f aca="false">IF(BN34="","",IF(_xlfn.MAXIFS(ЗАКАЗЫ!$AK$3:$AK$500,ЗАКАЗЫ!$F$3:$F$500,$A34)=0,"",_xlfn.MAXIFS(ЗАКАЗЫ!$AK$3:$AK$500,ЗАКАЗЫ!$F$3:$F$500,$A34)))</f>
        <v/>
      </c>
    </row>
    <row r="35" customFormat="false" ht="15.75" hidden="false" customHeight="true" outlineLevel="0" collapsed="false">
      <c r="A35" s="80" t="s">
        <v>1558</v>
      </c>
      <c r="B35" s="81"/>
      <c r="C35" s="81"/>
      <c r="D35" s="81"/>
      <c r="E35" s="83"/>
      <c r="F35" s="81"/>
      <c r="G35" s="83"/>
      <c r="H35" s="83"/>
      <c r="I35" s="84" t="str">
        <f aca="false">IF(E35="","",A35&amp;"_1.jpg")</f>
        <v/>
      </c>
      <c r="J35" s="84" t="str">
        <f aca="false">IF(E35="","",A35&amp;"_2.jpg; "&amp;A35&amp;"_3.jpg")</f>
        <v/>
      </c>
      <c r="K35" s="84" t="str">
        <f aca="false">IF(E35="","",A35&amp;"_schema.jpg")</f>
        <v/>
      </c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 t="s">
        <v>96</v>
      </c>
      <c r="W35" s="81"/>
      <c r="X35" s="81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6" t="str">
        <f aca="false">IF(SUM(Y35:AJ35)=0,"",SUM(Y35:AJ35))</f>
        <v/>
      </c>
      <c r="AL35" s="84" t="str">
        <f aca="false">MID(IF(N(Y35)&gt;0,", "&amp;Y$2,"")&amp;IF(N(Z35)&gt;0,", "&amp;Z$2,"")&amp;IF(N(AA35)&gt;0,", "&amp;AA$2,"")&amp;IF(N(AB35)&gt;0,", "&amp;AB$2,"")&amp;IF(N(AC35)&gt;0,", "&amp;AC$2,"")&amp;IF(N(AD35)&gt;0,", "&amp;AD$2,"")&amp;IF(N(AE35)&gt;0,", "&amp;AE$2,"")&amp;IF(N(AF35)&gt;0,", "&amp;AF$2,"")&amp;IF(N(AG35)&gt;0,", "&amp;AG$2,"")&amp;IF(N(AH35)&gt;0,", "&amp;AH$2,"")&amp;IF(N(AI35)&gt;0,", "&amp;AI$2,"")&amp;IF(N(AJ35)&gt;0,", "&amp;AJ$2,""),3,999)</f>
        <v/>
      </c>
      <c r="AM35" s="87" t="str">
        <f aca="false">IF(E35="","",MID(IF(N(Y35)&gt;0,", "&amp;A35&amp;"-"&amp;Y$2,"")&amp;IF(N(Z35)&gt;0,", "&amp;A35&amp;"-"&amp;Z$2,"")&amp;IF(N(AA35)&gt;0,", "&amp;A35&amp;"-"&amp;AA$2,"")&amp;IF(N(AB35)&gt;0,", "&amp;A35&amp;"-"&amp;AB$2,"")&amp;IF(N(AC35)&gt;0,", "&amp;A35&amp;"-"&amp;AC$2,"")&amp;IF(N(AD35)&gt;0,", "&amp;A35&amp;"-"&amp;AD$2,"")&amp;IF(N(AE35)&gt;0,", "&amp;A35&amp;"-"&amp;AE$2,"")&amp;IF(N(AF35)&gt;0,", "&amp;A35&amp;"-"&amp;AF$2,"")&amp;IF(N(AG35)&gt;0,", "&amp;A35&amp;"-"&amp;AG$2,"")&amp;IF(N(AH35)&gt;0,", "&amp;A35&amp;"-"&amp;AH$2,"")&amp;IF(N(AI35)&gt;0,", "&amp;A35&amp;"-"&amp;AI$2,"")&amp;IF(N(AJ35)&gt;0,", "&amp;A35&amp;"-"&amp;AJ$2,""),3,999))</f>
        <v/>
      </c>
      <c r="AN35" s="81"/>
      <c r="AO35" s="88"/>
      <c r="AP35" s="89" t="str">
        <f aca="false">IF(AO35="","",ROUND(AO35/(1+Справочники!$B$13),2))</f>
        <v/>
      </c>
      <c r="AQ35" s="90" t="str">
        <f aca="false" t="array" ref="AQ35:AQ35">IF(AP35="","",AP35*INDEX(Справочники!$B$4:$B$7,MATCH("RUB",Справочники!$A$4:$A$7,0)))</f>
        <v/>
      </c>
      <c r="AR35" s="90" t="str">
        <f aca="false">IF(AQ35="","",ROUND(AQ35*(1+Справочники!$B$12),0))</f>
        <v/>
      </c>
      <c r="AS35" s="90" t="str">
        <f aca="false">IF(AR35="","",ROUND(AR35*(1-Справочники!$B$11),0))</f>
        <v/>
      </c>
      <c r="AT35" s="88"/>
      <c r="AU35" s="90" t="str">
        <f aca="false">IF(AT35="","",ROUND(AT35/(1+Справочники!$B$12),0))</f>
        <v/>
      </c>
      <c r="AV35" s="90" t="str">
        <f aca="false">IF(AT35="","",ROUND(AT35*(1-Справочники!$B$15),0))</f>
        <v/>
      </c>
      <c r="AW35" s="90" t="str">
        <f aca="false">IF(AT35="","",ROUND(AT35*(1-Справочники!$B$16),0))</f>
        <v/>
      </c>
      <c r="AX35" s="90" t="str">
        <f aca="false">IF(AT35="","",ROUND(AT35*(1-Справочники!$B$17),0))</f>
        <v/>
      </c>
      <c r="AY35" s="90" t="str">
        <f aca="false">IF(AT35="","",ROUND(AT35*(1-Справочники!$B$18),0))</f>
        <v/>
      </c>
      <c r="AZ35" s="90" t="str">
        <f aca="false">IF(AT35="","",ROUND(AT35*(1-Справочники!$B$19),0))</f>
        <v/>
      </c>
      <c r="BA35" s="81"/>
      <c r="BB35" s="81"/>
      <c r="BC35" s="81"/>
      <c r="BD35" s="81"/>
      <c r="BE35" s="91"/>
      <c r="BF35" s="81" t="s">
        <v>103</v>
      </c>
      <c r="BG35" s="89" t="n">
        <f aca="false" t="array" ref="BG35:BG35">IF(BF35="","",IFERROR(INDEX(Справочники!$B$4:$B$7,MATCH(BF35,Справочники!$A$4:$A$7,0)),""))</f>
        <v>68.5</v>
      </c>
      <c r="BH35" s="90" t="str">
        <f aca="false">IF(N(BN35)&gt;0,ROUND(SUMIF(ЗАКАЗЫ!$F$3:$F$500,$A35,ЗАКАЗЫ!$Y$3:$Y$500)/BN35,0),IF(OR(BE35="",BG35=""),"",ROUND(BE35*BG35*(1+Справочники!$B$10),0)))</f>
        <v/>
      </c>
      <c r="BI35" s="92" t="str">
        <f aca="false">IF(OR(AU35="",BH35="",AU35=0),"",(AU35-BH35)/AU35)</f>
        <v/>
      </c>
      <c r="BJ35" s="81"/>
      <c r="BK35" s="83"/>
      <c r="BL35" s="43" t="str">
        <f aca="false">IFERROR(INDEX(ЗАКАЗЫ!$N$3:$N$500,MATCH($A35,ЗАКАЗЫ!$F$3:$F$500,0)),"")</f>
        <v/>
      </c>
      <c r="BM35" s="8" t="str">
        <f aca="false">IF(BL35="","",IFERROR(VLOOKUP(BL35,'ТН ВЭД'!$A$4:$C$40,3,0),""))</f>
        <v/>
      </c>
      <c r="BN35" s="7" t="str">
        <f aca="false">IF(COUNTIF(ЗАКАЗЫ!$F$3:$F$500,$A35)=0,"",SUMIF(ЗАКАЗЫ!$F$3:$F$500,$A35,ЗАКАЗЫ!$J$3:$J$500))</f>
        <v/>
      </c>
      <c r="BO35" s="7" t="str">
        <f aca="false">IF(BN35="","",SUMIF(ЗАКАЗЫ!$F$3:$F$500,$A35,ЗАКАЗЫ!$AL$3:$AL$500))</f>
        <v/>
      </c>
      <c r="BP35" s="7" t="str">
        <f aca="false">IF(BN35="","",BN35-BO35)</f>
        <v/>
      </c>
      <c r="BQ35" s="55" t="str">
        <f aca="false">IF(BN35="","",IF(BO35&gt;=BN35,"На складе",IF(BO35&gt;0,"Частично","Ждём")))</f>
        <v/>
      </c>
      <c r="BR35" s="43"/>
      <c r="BS35" s="47" t="str">
        <f aca="false">IF(BN35="","",IF(_xlfn.MAXIFS(ЗАКАЗЫ!$AK$3:$AK$500,ЗАКАЗЫ!$F$3:$F$500,$A35)=0,"",_xlfn.MAXIFS(ЗАКАЗЫ!$AK$3:$AK$500,ЗАКАЗЫ!$F$3:$F$500,$A35)))</f>
        <v/>
      </c>
    </row>
    <row r="36" customFormat="false" ht="15.75" hidden="false" customHeight="true" outlineLevel="0" collapsed="false">
      <c r="A36" s="80" t="s">
        <v>1559</v>
      </c>
      <c r="B36" s="81"/>
      <c r="C36" s="81"/>
      <c r="D36" s="81"/>
      <c r="E36" s="83"/>
      <c r="F36" s="81"/>
      <c r="G36" s="83"/>
      <c r="H36" s="83"/>
      <c r="I36" s="84" t="str">
        <f aca="false">IF(E36="","",A36&amp;"_1.jpg")</f>
        <v/>
      </c>
      <c r="J36" s="84" t="str">
        <f aca="false">IF(E36="","",A36&amp;"_2.jpg; "&amp;A36&amp;"_3.jpg")</f>
        <v/>
      </c>
      <c r="K36" s="84" t="str">
        <f aca="false">IF(E36="","",A36&amp;"_schema.jpg")</f>
        <v/>
      </c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 t="s">
        <v>96</v>
      </c>
      <c r="W36" s="81"/>
      <c r="X36" s="81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6" t="str">
        <f aca="false">IF(SUM(Y36:AJ36)=0,"",SUM(Y36:AJ36))</f>
        <v/>
      </c>
      <c r="AL36" s="84" t="str">
        <f aca="false">MID(IF(N(Y36)&gt;0,", "&amp;Y$2,"")&amp;IF(N(Z36)&gt;0,", "&amp;Z$2,"")&amp;IF(N(AA36)&gt;0,", "&amp;AA$2,"")&amp;IF(N(AB36)&gt;0,", "&amp;AB$2,"")&amp;IF(N(AC36)&gt;0,", "&amp;AC$2,"")&amp;IF(N(AD36)&gt;0,", "&amp;AD$2,"")&amp;IF(N(AE36)&gt;0,", "&amp;AE$2,"")&amp;IF(N(AF36)&gt;0,", "&amp;AF$2,"")&amp;IF(N(AG36)&gt;0,", "&amp;AG$2,"")&amp;IF(N(AH36)&gt;0,", "&amp;AH$2,"")&amp;IF(N(AI36)&gt;0,", "&amp;AI$2,"")&amp;IF(N(AJ36)&gt;0,", "&amp;AJ$2,""),3,999)</f>
        <v/>
      </c>
      <c r="AM36" s="87" t="str">
        <f aca="false">IF(E36="","",MID(IF(N(Y36)&gt;0,", "&amp;A36&amp;"-"&amp;Y$2,"")&amp;IF(N(Z36)&gt;0,", "&amp;A36&amp;"-"&amp;Z$2,"")&amp;IF(N(AA36)&gt;0,", "&amp;A36&amp;"-"&amp;AA$2,"")&amp;IF(N(AB36)&gt;0,", "&amp;A36&amp;"-"&amp;AB$2,"")&amp;IF(N(AC36)&gt;0,", "&amp;A36&amp;"-"&amp;AC$2,"")&amp;IF(N(AD36)&gt;0,", "&amp;A36&amp;"-"&amp;AD$2,"")&amp;IF(N(AE36)&gt;0,", "&amp;A36&amp;"-"&amp;AE$2,"")&amp;IF(N(AF36)&gt;0,", "&amp;A36&amp;"-"&amp;AF$2,"")&amp;IF(N(AG36)&gt;0,", "&amp;A36&amp;"-"&amp;AG$2,"")&amp;IF(N(AH36)&gt;0,", "&amp;A36&amp;"-"&amp;AH$2,"")&amp;IF(N(AI36)&gt;0,", "&amp;A36&amp;"-"&amp;AI$2,"")&amp;IF(N(AJ36)&gt;0,", "&amp;A36&amp;"-"&amp;AJ$2,""),3,999))</f>
        <v/>
      </c>
      <c r="AN36" s="81"/>
      <c r="AO36" s="88"/>
      <c r="AP36" s="89" t="str">
        <f aca="false">IF(AO36="","",ROUND(AO36/(1+Справочники!$B$13),2))</f>
        <v/>
      </c>
      <c r="AQ36" s="90" t="str">
        <f aca="false" t="array" ref="AQ36:AQ36">IF(AP36="","",AP36*INDEX(Справочники!$B$4:$B$7,MATCH("RUB",Справочники!$A$4:$A$7,0)))</f>
        <v/>
      </c>
      <c r="AR36" s="90" t="str">
        <f aca="false">IF(AQ36="","",ROUND(AQ36*(1+Справочники!$B$12),0))</f>
        <v/>
      </c>
      <c r="AS36" s="90" t="str">
        <f aca="false">IF(AR36="","",ROUND(AR36*(1-Справочники!$B$11),0))</f>
        <v/>
      </c>
      <c r="AT36" s="88"/>
      <c r="AU36" s="90" t="str">
        <f aca="false">IF(AT36="","",ROUND(AT36/(1+Справочники!$B$12),0))</f>
        <v/>
      </c>
      <c r="AV36" s="90" t="str">
        <f aca="false">IF(AT36="","",ROUND(AT36*(1-Справочники!$B$15),0))</f>
        <v/>
      </c>
      <c r="AW36" s="90" t="str">
        <f aca="false">IF(AT36="","",ROUND(AT36*(1-Справочники!$B$16),0))</f>
        <v/>
      </c>
      <c r="AX36" s="90" t="str">
        <f aca="false">IF(AT36="","",ROUND(AT36*(1-Справочники!$B$17),0))</f>
        <v/>
      </c>
      <c r="AY36" s="90" t="str">
        <f aca="false">IF(AT36="","",ROUND(AT36*(1-Справочники!$B$18),0))</f>
        <v/>
      </c>
      <c r="AZ36" s="90" t="str">
        <f aca="false">IF(AT36="","",ROUND(AT36*(1-Справочники!$B$19),0))</f>
        <v/>
      </c>
      <c r="BA36" s="81"/>
      <c r="BB36" s="81"/>
      <c r="BC36" s="81"/>
      <c r="BD36" s="81"/>
      <c r="BE36" s="91"/>
      <c r="BF36" s="81" t="s">
        <v>103</v>
      </c>
      <c r="BG36" s="89" t="n">
        <f aca="false" t="array" ref="BG36:BG36">IF(BF36="","",IFERROR(INDEX(Справочники!$B$4:$B$7,MATCH(BF36,Справочники!$A$4:$A$7,0)),""))</f>
        <v>68.5</v>
      </c>
      <c r="BH36" s="90" t="str">
        <f aca="false">IF(N(BN36)&gt;0,ROUND(SUMIF(ЗАКАЗЫ!$F$3:$F$500,$A36,ЗАКАЗЫ!$Y$3:$Y$500)/BN36,0),IF(OR(BE36="",BG36=""),"",ROUND(BE36*BG36*(1+Справочники!$B$10),0)))</f>
        <v/>
      </c>
      <c r="BI36" s="92" t="str">
        <f aca="false">IF(OR(AU36="",BH36="",AU36=0),"",(AU36-BH36)/AU36)</f>
        <v/>
      </c>
      <c r="BJ36" s="81"/>
      <c r="BK36" s="83"/>
      <c r="BL36" s="43" t="str">
        <f aca="false">IFERROR(INDEX(ЗАКАЗЫ!$N$3:$N$500,MATCH($A36,ЗАКАЗЫ!$F$3:$F$500,0)),"")</f>
        <v/>
      </c>
      <c r="BM36" s="8" t="str">
        <f aca="false">IF(BL36="","",IFERROR(VLOOKUP(BL36,'ТН ВЭД'!$A$4:$C$40,3,0),""))</f>
        <v/>
      </c>
      <c r="BN36" s="7" t="str">
        <f aca="false">IF(COUNTIF(ЗАКАЗЫ!$F$3:$F$500,$A36)=0,"",SUMIF(ЗАКАЗЫ!$F$3:$F$500,$A36,ЗАКАЗЫ!$J$3:$J$500))</f>
        <v/>
      </c>
      <c r="BO36" s="7" t="str">
        <f aca="false">IF(BN36="","",SUMIF(ЗАКАЗЫ!$F$3:$F$500,$A36,ЗАКАЗЫ!$AL$3:$AL$500))</f>
        <v/>
      </c>
      <c r="BP36" s="7" t="str">
        <f aca="false">IF(BN36="","",BN36-BO36)</f>
        <v/>
      </c>
      <c r="BQ36" s="55" t="str">
        <f aca="false">IF(BN36="","",IF(BO36&gt;=BN36,"На складе",IF(BO36&gt;0,"Частично","Ждём")))</f>
        <v/>
      </c>
      <c r="BR36" s="43"/>
      <c r="BS36" s="47" t="str">
        <f aca="false">IF(BN36="","",IF(_xlfn.MAXIFS(ЗАКАЗЫ!$AK$3:$AK$500,ЗАКАЗЫ!$F$3:$F$500,$A36)=0,"",_xlfn.MAXIFS(ЗАКАЗЫ!$AK$3:$AK$500,ЗАКАЗЫ!$F$3:$F$500,$A36)))</f>
        <v/>
      </c>
    </row>
    <row r="37" customFormat="false" ht="15.75" hidden="false" customHeight="true" outlineLevel="0" collapsed="false">
      <c r="A37" s="80" t="s">
        <v>1560</v>
      </c>
      <c r="B37" s="81"/>
      <c r="C37" s="81"/>
      <c r="D37" s="81"/>
      <c r="E37" s="83"/>
      <c r="F37" s="81"/>
      <c r="G37" s="83"/>
      <c r="H37" s="83"/>
      <c r="I37" s="84" t="str">
        <f aca="false">IF(E37="","",A37&amp;"_1.jpg")</f>
        <v/>
      </c>
      <c r="J37" s="84" t="str">
        <f aca="false">IF(E37="","",A37&amp;"_2.jpg; "&amp;A37&amp;"_3.jpg")</f>
        <v/>
      </c>
      <c r="K37" s="84" t="str">
        <f aca="false">IF(E37="","",A37&amp;"_schema.jpg")</f>
        <v/>
      </c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 t="s">
        <v>96</v>
      </c>
      <c r="W37" s="81"/>
      <c r="X37" s="81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6" t="str">
        <f aca="false">IF(SUM(Y37:AJ37)=0,"",SUM(Y37:AJ37))</f>
        <v/>
      </c>
      <c r="AL37" s="84" t="str">
        <f aca="false">MID(IF(N(Y37)&gt;0,", "&amp;Y$2,"")&amp;IF(N(Z37)&gt;0,", "&amp;Z$2,"")&amp;IF(N(AA37)&gt;0,", "&amp;AA$2,"")&amp;IF(N(AB37)&gt;0,", "&amp;AB$2,"")&amp;IF(N(AC37)&gt;0,", "&amp;AC$2,"")&amp;IF(N(AD37)&gt;0,", "&amp;AD$2,"")&amp;IF(N(AE37)&gt;0,", "&amp;AE$2,"")&amp;IF(N(AF37)&gt;0,", "&amp;AF$2,"")&amp;IF(N(AG37)&gt;0,", "&amp;AG$2,"")&amp;IF(N(AH37)&gt;0,", "&amp;AH$2,"")&amp;IF(N(AI37)&gt;0,", "&amp;AI$2,"")&amp;IF(N(AJ37)&gt;0,", "&amp;AJ$2,""),3,999)</f>
        <v/>
      </c>
      <c r="AM37" s="87" t="str">
        <f aca="false">IF(E37="","",MID(IF(N(Y37)&gt;0,", "&amp;A37&amp;"-"&amp;Y$2,"")&amp;IF(N(Z37)&gt;0,", "&amp;A37&amp;"-"&amp;Z$2,"")&amp;IF(N(AA37)&gt;0,", "&amp;A37&amp;"-"&amp;AA$2,"")&amp;IF(N(AB37)&gt;0,", "&amp;A37&amp;"-"&amp;AB$2,"")&amp;IF(N(AC37)&gt;0,", "&amp;A37&amp;"-"&amp;AC$2,"")&amp;IF(N(AD37)&gt;0,", "&amp;A37&amp;"-"&amp;AD$2,"")&amp;IF(N(AE37)&gt;0,", "&amp;A37&amp;"-"&amp;AE$2,"")&amp;IF(N(AF37)&gt;0,", "&amp;A37&amp;"-"&amp;AF$2,"")&amp;IF(N(AG37)&gt;0,", "&amp;A37&amp;"-"&amp;AG$2,"")&amp;IF(N(AH37)&gt;0,", "&amp;A37&amp;"-"&amp;AH$2,"")&amp;IF(N(AI37)&gt;0,", "&amp;A37&amp;"-"&amp;AI$2,"")&amp;IF(N(AJ37)&gt;0,", "&amp;A37&amp;"-"&amp;AJ$2,""),3,999))</f>
        <v/>
      </c>
      <c r="AN37" s="81"/>
      <c r="AO37" s="88"/>
      <c r="AP37" s="89" t="str">
        <f aca="false">IF(AO37="","",ROUND(AO37/(1+Справочники!$B$13),2))</f>
        <v/>
      </c>
      <c r="AQ37" s="90" t="str">
        <f aca="false" t="array" ref="AQ37:AQ37">IF(AP37="","",AP37*INDEX(Справочники!$B$4:$B$7,MATCH("RUB",Справочники!$A$4:$A$7,0)))</f>
        <v/>
      </c>
      <c r="AR37" s="90" t="str">
        <f aca="false">IF(AQ37="","",ROUND(AQ37*(1+Справочники!$B$12),0))</f>
        <v/>
      </c>
      <c r="AS37" s="90" t="str">
        <f aca="false">IF(AR37="","",ROUND(AR37*(1-Справочники!$B$11),0))</f>
        <v/>
      </c>
      <c r="AT37" s="88"/>
      <c r="AU37" s="90" t="str">
        <f aca="false">IF(AT37="","",ROUND(AT37/(1+Справочники!$B$12),0))</f>
        <v/>
      </c>
      <c r="AV37" s="90" t="str">
        <f aca="false">IF(AT37="","",ROUND(AT37*(1-Справочники!$B$15),0))</f>
        <v/>
      </c>
      <c r="AW37" s="90" t="str">
        <f aca="false">IF(AT37="","",ROUND(AT37*(1-Справочники!$B$16),0))</f>
        <v/>
      </c>
      <c r="AX37" s="90" t="str">
        <f aca="false">IF(AT37="","",ROUND(AT37*(1-Справочники!$B$17),0))</f>
        <v/>
      </c>
      <c r="AY37" s="90" t="str">
        <f aca="false">IF(AT37="","",ROUND(AT37*(1-Справочники!$B$18),0))</f>
        <v/>
      </c>
      <c r="AZ37" s="90" t="str">
        <f aca="false">IF(AT37="","",ROUND(AT37*(1-Справочники!$B$19),0))</f>
        <v/>
      </c>
      <c r="BA37" s="81"/>
      <c r="BB37" s="81"/>
      <c r="BC37" s="81"/>
      <c r="BD37" s="81"/>
      <c r="BE37" s="91"/>
      <c r="BF37" s="81" t="s">
        <v>103</v>
      </c>
      <c r="BG37" s="89" t="n">
        <f aca="false" t="array" ref="BG37:BG37">IF(BF37="","",IFERROR(INDEX(Справочники!$B$4:$B$7,MATCH(BF37,Справочники!$A$4:$A$7,0)),""))</f>
        <v>68.5</v>
      </c>
      <c r="BH37" s="90" t="str">
        <f aca="false">IF(N(BN37)&gt;0,ROUND(SUMIF(ЗАКАЗЫ!$F$3:$F$500,$A37,ЗАКАЗЫ!$Y$3:$Y$500)/BN37,0),IF(OR(BE37="",BG37=""),"",ROUND(BE37*BG37*(1+Справочники!$B$10),0)))</f>
        <v/>
      </c>
      <c r="BI37" s="92" t="str">
        <f aca="false">IF(OR(AU37="",BH37="",AU37=0),"",(AU37-BH37)/AU37)</f>
        <v/>
      </c>
      <c r="BJ37" s="81"/>
      <c r="BK37" s="83"/>
      <c r="BL37" s="43" t="str">
        <f aca="false">IFERROR(INDEX(ЗАКАЗЫ!$N$3:$N$500,MATCH($A37,ЗАКАЗЫ!$F$3:$F$500,0)),"")</f>
        <v/>
      </c>
      <c r="BM37" s="8" t="str">
        <f aca="false">IF(BL37="","",IFERROR(VLOOKUP(BL37,'ТН ВЭД'!$A$4:$C$40,3,0),""))</f>
        <v/>
      </c>
      <c r="BN37" s="7" t="str">
        <f aca="false">IF(COUNTIF(ЗАКАЗЫ!$F$3:$F$500,$A37)=0,"",SUMIF(ЗАКАЗЫ!$F$3:$F$500,$A37,ЗАКАЗЫ!$J$3:$J$500))</f>
        <v/>
      </c>
      <c r="BO37" s="7" t="str">
        <f aca="false">IF(BN37="","",SUMIF(ЗАКАЗЫ!$F$3:$F$500,$A37,ЗАКАЗЫ!$AL$3:$AL$500))</f>
        <v/>
      </c>
      <c r="BP37" s="7" t="str">
        <f aca="false">IF(BN37="","",BN37-BO37)</f>
        <v/>
      </c>
      <c r="BQ37" s="55" t="str">
        <f aca="false">IF(BN37="","",IF(BO37&gt;=BN37,"На складе",IF(BO37&gt;0,"Частично","Ждём")))</f>
        <v/>
      </c>
      <c r="BR37" s="43"/>
      <c r="BS37" s="47" t="str">
        <f aca="false">IF(BN37="","",IF(_xlfn.MAXIFS(ЗАКАЗЫ!$AK$3:$AK$500,ЗАКАЗЫ!$F$3:$F$500,$A37)=0,"",_xlfn.MAXIFS(ЗАКАЗЫ!$AK$3:$AK$500,ЗАКАЗЫ!$F$3:$F$500,$A37)))</f>
        <v/>
      </c>
    </row>
    <row r="38" customFormat="false" ht="15.75" hidden="false" customHeight="true" outlineLevel="0" collapsed="false">
      <c r="A38" s="80" t="s">
        <v>1561</v>
      </c>
      <c r="B38" s="81"/>
      <c r="C38" s="81"/>
      <c r="D38" s="81"/>
      <c r="E38" s="83"/>
      <c r="F38" s="81"/>
      <c r="G38" s="83"/>
      <c r="H38" s="83"/>
      <c r="I38" s="84" t="str">
        <f aca="false">IF(E38="","",A38&amp;"_1.jpg")</f>
        <v/>
      </c>
      <c r="J38" s="84" t="str">
        <f aca="false">IF(E38="","",A38&amp;"_2.jpg; "&amp;A38&amp;"_3.jpg")</f>
        <v/>
      </c>
      <c r="K38" s="84" t="str">
        <f aca="false">IF(E38="","",A38&amp;"_schema.jpg")</f>
        <v/>
      </c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 t="s">
        <v>96</v>
      </c>
      <c r="W38" s="81"/>
      <c r="X38" s="81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6" t="str">
        <f aca="false">IF(SUM(Y38:AJ38)=0,"",SUM(Y38:AJ38))</f>
        <v/>
      </c>
      <c r="AL38" s="84" t="str">
        <f aca="false">MID(IF(N(Y38)&gt;0,", "&amp;Y$2,"")&amp;IF(N(Z38)&gt;0,", "&amp;Z$2,"")&amp;IF(N(AA38)&gt;0,", "&amp;AA$2,"")&amp;IF(N(AB38)&gt;0,", "&amp;AB$2,"")&amp;IF(N(AC38)&gt;0,", "&amp;AC$2,"")&amp;IF(N(AD38)&gt;0,", "&amp;AD$2,"")&amp;IF(N(AE38)&gt;0,", "&amp;AE$2,"")&amp;IF(N(AF38)&gt;0,", "&amp;AF$2,"")&amp;IF(N(AG38)&gt;0,", "&amp;AG$2,"")&amp;IF(N(AH38)&gt;0,", "&amp;AH$2,"")&amp;IF(N(AI38)&gt;0,", "&amp;AI$2,"")&amp;IF(N(AJ38)&gt;0,", "&amp;AJ$2,""),3,999)</f>
        <v/>
      </c>
      <c r="AM38" s="87" t="str">
        <f aca="false">IF(E38="","",MID(IF(N(Y38)&gt;0,", "&amp;A38&amp;"-"&amp;Y$2,"")&amp;IF(N(Z38)&gt;0,", "&amp;A38&amp;"-"&amp;Z$2,"")&amp;IF(N(AA38)&gt;0,", "&amp;A38&amp;"-"&amp;AA$2,"")&amp;IF(N(AB38)&gt;0,", "&amp;A38&amp;"-"&amp;AB$2,"")&amp;IF(N(AC38)&gt;0,", "&amp;A38&amp;"-"&amp;AC$2,"")&amp;IF(N(AD38)&gt;0,", "&amp;A38&amp;"-"&amp;AD$2,"")&amp;IF(N(AE38)&gt;0,", "&amp;A38&amp;"-"&amp;AE$2,"")&amp;IF(N(AF38)&gt;0,", "&amp;A38&amp;"-"&amp;AF$2,"")&amp;IF(N(AG38)&gt;0,", "&amp;A38&amp;"-"&amp;AG$2,"")&amp;IF(N(AH38)&gt;0,", "&amp;A38&amp;"-"&amp;AH$2,"")&amp;IF(N(AI38)&gt;0,", "&amp;A38&amp;"-"&amp;AI$2,"")&amp;IF(N(AJ38)&gt;0,", "&amp;A38&amp;"-"&amp;AJ$2,""),3,999))</f>
        <v/>
      </c>
      <c r="AN38" s="81"/>
      <c r="AO38" s="88"/>
      <c r="AP38" s="89" t="str">
        <f aca="false">IF(AO38="","",ROUND(AO38/(1+Справочники!$B$13),2))</f>
        <v/>
      </c>
      <c r="AQ38" s="90" t="str">
        <f aca="false" t="array" ref="AQ38:AQ38">IF(AP38="","",AP38*INDEX(Справочники!$B$4:$B$7,MATCH("RUB",Справочники!$A$4:$A$7,0)))</f>
        <v/>
      </c>
      <c r="AR38" s="90" t="str">
        <f aca="false">IF(AQ38="","",ROUND(AQ38*(1+Справочники!$B$12),0))</f>
        <v/>
      </c>
      <c r="AS38" s="90" t="str">
        <f aca="false">IF(AR38="","",ROUND(AR38*(1-Справочники!$B$11),0))</f>
        <v/>
      </c>
      <c r="AT38" s="88"/>
      <c r="AU38" s="90" t="str">
        <f aca="false">IF(AT38="","",ROUND(AT38/(1+Справочники!$B$12),0))</f>
        <v/>
      </c>
      <c r="AV38" s="90" t="str">
        <f aca="false">IF(AT38="","",ROUND(AT38*(1-Справочники!$B$15),0))</f>
        <v/>
      </c>
      <c r="AW38" s="90" t="str">
        <f aca="false">IF(AT38="","",ROUND(AT38*(1-Справочники!$B$16),0))</f>
        <v/>
      </c>
      <c r="AX38" s="90" t="str">
        <f aca="false">IF(AT38="","",ROUND(AT38*(1-Справочники!$B$17),0))</f>
        <v/>
      </c>
      <c r="AY38" s="90" t="str">
        <f aca="false">IF(AT38="","",ROUND(AT38*(1-Справочники!$B$18),0))</f>
        <v/>
      </c>
      <c r="AZ38" s="90" t="str">
        <f aca="false">IF(AT38="","",ROUND(AT38*(1-Справочники!$B$19),0))</f>
        <v/>
      </c>
      <c r="BA38" s="81"/>
      <c r="BB38" s="81"/>
      <c r="BC38" s="81"/>
      <c r="BD38" s="81"/>
      <c r="BE38" s="91"/>
      <c r="BF38" s="81" t="s">
        <v>103</v>
      </c>
      <c r="BG38" s="89" t="n">
        <f aca="false" t="array" ref="BG38:BG38">IF(BF38="","",IFERROR(INDEX(Справочники!$B$4:$B$7,MATCH(BF38,Справочники!$A$4:$A$7,0)),""))</f>
        <v>68.5</v>
      </c>
      <c r="BH38" s="90" t="str">
        <f aca="false">IF(N(BN38)&gt;0,ROUND(SUMIF(ЗАКАЗЫ!$F$3:$F$500,$A38,ЗАКАЗЫ!$Y$3:$Y$500)/BN38,0),IF(OR(BE38="",BG38=""),"",ROUND(BE38*BG38*(1+Справочники!$B$10),0)))</f>
        <v/>
      </c>
      <c r="BI38" s="92" t="str">
        <f aca="false">IF(OR(AU38="",BH38="",AU38=0),"",(AU38-BH38)/AU38)</f>
        <v/>
      </c>
      <c r="BJ38" s="81"/>
      <c r="BK38" s="83"/>
      <c r="BL38" s="43" t="str">
        <f aca="false">IFERROR(INDEX(ЗАКАЗЫ!$N$3:$N$500,MATCH($A38,ЗАКАЗЫ!$F$3:$F$500,0)),"")</f>
        <v/>
      </c>
      <c r="BM38" s="8" t="str">
        <f aca="false">IF(BL38="","",IFERROR(VLOOKUP(BL38,'ТН ВЭД'!$A$4:$C$40,3,0),""))</f>
        <v/>
      </c>
      <c r="BN38" s="7" t="str">
        <f aca="false">IF(COUNTIF(ЗАКАЗЫ!$F$3:$F$500,$A38)=0,"",SUMIF(ЗАКАЗЫ!$F$3:$F$500,$A38,ЗАКАЗЫ!$J$3:$J$500))</f>
        <v/>
      </c>
      <c r="BO38" s="7" t="str">
        <f aca="false">IF(BN38="","",SUMIF(ЗАКАЗЫ!$F$3:$F$500,$A38,ЗАКАЗЫ!$AL$3:$AL$500))</f>
        <v/>
      </c>
      <c r="BP38" s="7" t="str">
        <f aca="false">IF(BN38="","",BN38-BO38)</f>
        <v/>
      </c>
      <c r="BQ38" s="55" t="str">
        <f aca="false">IF(BN38="","",IF(BO38&gt;=BN38,"На складе",IF(BO38&gt;0,"Частично","Ждём")))</f>
        <v/>
      </c>
      <c r="BR38" s="43"/>
      <c r="BS38" s="47" t="str">
        <f aca="false">IF(BN38="","",IF(_xlfn.MAXIFS(ЗАКАЗЫ!$AK$3:$AK$500,ЗАКАЗЫ!$F$3:$F$500,$A38)=0,"",_xlfn.MAXIFS(ЗАКАЗЫ!$AK$3:$AK$500,ЗАКАЗЫ!$F$3:$F$500,$A38)))</f>
        <v/>
      </c>
    </row>
    <row r="39" customFormat="false" ht="15.75" hidden="false" customHeight="true" outlineLevel="0" collapsed="false">
      <c r="A39" s="80" t="s">
        <v>1562</v>
      </c>
      <c r="B39" s="81"/>
      <c r="C39" s="81"/>
      <c r="D39" s="81"/>
      <c r="E39" s="83"/>
      <c r="F39" s="81"/>
      <c r="G39" s="83"/>
      <c r="H39" s="83"/>
      <c r="I39" s="84" t="str">
        <f aca="false">IF(E39="","",A39&amp;"_1.jpg")</f>
        <v/>
      </c>
      <c r="J39" s="84" t="str">
        <f aca="false">IF(E39="","",A39&amp;"_2.jpg; "&amp;A39&amp;"_3.jpg")</f>
        <v/>
      </c>
      <c r="K39" s="84" t="str">
        <f aca="false">IF(E39="","",A39&amp;"_schema.jpg")</f>
        <v/>
      </c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 t="s">
        <v>96</v>
      </c>
      <c r="W39" s="81"/>
      <c r="X39" s="81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6" t="str">
        <f aca="false">IF(SUM(Y39:AJ39)=0,"",SUM(Y39:AJ39))</f>
        <v/>
      </c>
      <c r="AL39" s="84" t="str">
        <f aca="false">MID(IF(N(Y39)&gt;0,", "&amp;Y$2,"")&amp;IF(N(Z39)&gt;0,", "&amp;Z$2,"")&amp;IF(N(AA39)&gt;0,", "&amp;AA$2,"")&amp;IF(N(AB39)&gt;0,", "&amp;AB$2,"")&amp;IF(N(AC39)&gt;0,", "&amp;AC$2,"")&amp;IF(N(AD39)&gt;0,", "&amp;AD$2,"")&amp;IF(N(AE39)&gt;0,", "&amp;AE$2,"")&amp;IF(N(AF39)&gt;0,", "&amp;AF$2,"")&amp;IF(N(AG39)&gt;0,", "&amp;AG$2,"")&amp;IF(N(AH39)&gt;0,", "&amp;AH$2,"")&amp;IF(N(AI39)&gt;0,", "&amp;AI$2,"")&amp;IF(N(AJ39)&gt;0,", "&amp;AJ$2,""),3,999)</f>
        <v/>
      </c>
      <c r="AM39" s="87" t="str">
        <f aca="false">IF(E39="","",MID(IF(N(Y39)&gt;0,", "&amp;A39&amp;"-"&amp;Y$2,"")&amp;IF(N(Z39)&gt;0,", "&amp;A39&amp;"-"&amp;Z$2,"")&amp;IF(N(AA39)&gt;0,", "&amp;A39&amp;"-"&amp;AA$2,"")&amp;IF(N(AB39)&gt;0,", "&amp;A39&amp;"-"&amp;AB$2,"")&amp;IF(N(AC39)&gt;0,", "&amp;A39&amp;"-"&amp;AC$2,"")&amp;IF(N(AD39)&gt;0,", "&amp;A39&amp;"-"&amp;AD$2,"")&amp;IF(N(AE39)&gt;0,", "&amp;A39&amp;"-"&amp;AE$2,"")&amp;IF(N(AF39)&gt;0,", "&amp;A39&amp;"-"&amp;AF$2,"")&amp;IF(N(AG39)&gt;0,", "&amp;A39&amp;"-"&amp;AG$2,"")&amp;IF(N(AH39)&gt;0,", "&amp;A39&amp;"-"&amp;AH$2,"")&amp;IF(N(AI39)&gt;0,", "&amp;A39&amp;"-"&amp;AI$2,"")&amp;IF(N(AJ39)&gt;0,", "&amp;A39&amp;"-"&amp;AJ$2,""),3,999))</f>
        <v/>
      </c>
      <c r="AN39" s="81"/>
      <c r="AO39" s="88"/>
      <c r="AP39" s="89" t="str">
        <f aca="false">IF(AO39="","",ROUND(AO39/(1+Справочники!$B$13),2))</f>
        <v/>
      </c>
      <c r="AQ39" s="90" t="str">
        <f aca="false" t="array" ref="AQ39:AQ39">IF(AP39="","",AP39*INDEX(Справочники!$B$4:$B$7,MATCH("RUB",Справочники!$A$4:$A$7,0)))</f>
        <v/>
      </c>
      <c r="AR39" s="90" t="str">
        <f aca="false">IF(AQ39="","",ROUND(AQ39*(1+Справочники!$B$12),0))</f>
        <v/>
      </c>
      <c r="AS39" s="90" t="str">
        <f aca="false">IF(AR39="","",ROUND(AR39*(1-Справочники!$B$11),0))</f>
        <v/>
      </c>
      <c r="AT39" s="88"/>
      <c r="AU39" s="90" t="str">
        <f aca="false">IF(AT39="","",ROUND(AT39/(1+Справочники!$B$12),0))</f>
        <v/>
      </c>
      <c r="AV39" s="90" t="str">
        <f aca="false">IF(AT39="","",ROUND(AT39*(1-Справочники!$B$15),0))</f>
        <v/>
      </c>
      <c r="AW39" s="90" t="str">
        <f aca="false">IF(AT39="","",ROUND(AT39*(1-Справочники!$B$16),0))</f>
        <v/>
      </c>
      <c r="AX39" s="90" t="str">
        <f aca="false">IF(AT39="","",ROUND(AT39*(1-Справочники!$B$17),0))</f>
        <v/>
      </c>
      <c r="AY39" s="90" t="str">
        <f aca="false">IF(AT39="","",ROUND(AT39*(1-Справочники!$B$18),0))</f>
        <v/>
      </c>
      <c r="AZ39" s="90" t="str">
        <f aca="false">IF(AT39="","",ROUND(AT39*(1-Справочники!$B$19),0))</f>
        <v/>
      </c>
      <c r="BA39" s="81"/>
      <c r="BB39" s="81"/>
      <c r="BC39" s="81"/>
      <c r="BD39" s="81"/>
      <c r="BE39" s="91"/>
      <c r="BF39" s="81" t="s">
        <v>103</v>
      </c>
      <c r="BG39" s="89" t="n">
        <f aca="false" t="array" ref="BG39:BG39">IF(BF39="","",IFERROR(INDEX(Справочники!$B$4:$B$7,MATCH(BF39,Справочники!$A$4:$A$7,0)),""))</f>
        <v>68.5</v>
      </c>
      <c r="BH39" s="90" t="str">
        <f aca="false">IF(N(BN39)&gt;0,ROUND(SUMIF(ЗАКАЗЫ!$F$3:$F$500,$A39,ЗАКАЗЫ!$Y$3:$Y$500)/BN39,0),IF(OR(BE39="",BG39=""),"",ROUND(BE39*BG39*(1+Справочники!$B$10),0)))</f>
        <v/>
      </c>
      <c r="BI39" s="92" t="str">
        <f aca="false">IF(OR(AU39="",BH39="",AU39=0),"",(AU39-BH39)/AU39)</f>
        <v/>
      </c>
      <c r="BJ39" s="81"/>
      <c r="BK39" s="83"/>
      <c r="BL39" s="43" t="str">
        <f aca="false">IFERROR(INDEX(ЗАКАЗЫ!$N$3:$N$500,MATCH($A39,ЗАКАЗЫ!$F$3:$F$500,0)),"")</f>
        <v/>
      </c>
      <c r="BM39" s="8" t="str">
        <f aca="false">IF(BL39="","",IFERROR(VLOOKUP(BL39,'ТН ВЭД'!$A$4:$C$40,3,0),""))</f>
        <v/>
      </c>
      <c r="BN39" s="7" t="str">
        <f aca="false">IF(COUNTIF(ЗАКАЗЫ!$F$3:$F$500,$A39)=0,"",SUMIF(ЗАКАЗЫ!$F$3:$F$500,$A39,ЗАКАЗЫ!$J$3:$J$500))</f>
        <v/>
      </c>
      <c r="BO39" s="7" t="str">
        <f aca="false">IF(BN39="","",SUMIF(ЗАКАЗЫ!$F$3:$F$500,$A39,ЗАКАЗЫ!$AL$3:$AL$500))</f>
        <v/>
      </c>
      <c r="BP39" s="7" t="str">
        <f aca="false">IF(BN39="","",BN39-BO39)</f>
        <v/>
      </c>
      <c r="BQ39" s="55" t="str">
        <f aca="false">IF(BN39="","",IF(BO39&gt;=BN39,"На складе",IF(BO39&gt;0,"Частично","Ждём")))</f>
        <v/>
      </c>
      <c r="BR39" s="43"/>
      <c r="BS39" s="47" t="str">
        <f aca="false">IF(BN39="","",IF(_xlfn.MAXIFS(ЗАКАЗЫ!$AK$3:$AK$500,ЗАКАЗЫ!$F$3:$F$500,$A39)=0,"",_xlfn.MAXIFS(ЗАКАЗЫ!$AK$3:$AK$500,ЗАКАЗЫ!$F$3:$F$500,$A39)))</f>
        <v/>
      </c>
    </row>
    <row r="40" customFormat="false" ht="15.75" hidden="false" customHeight="true" outlineLevel="0" collapsed="false">
      <c r="A40" s="80" t="s">
        <v>1563</v>
      </c>
      <c r="B40" s="81"/>
      <c r="C40" s="81"/>
      <c r="D40" s="81"/>
      <c r="E40" s="83"/>
      <c r="F40" s="81"/>
      <c r="G40" s="83"/>
      <c r="H40" s="83"/>
      <c r="I40" s="84" t="str">
        <f aca="false">IF(E40="","",A40&amp;"_1.jpg")</f>
        <v/>
      </c>
      <c r="J40" s="84" t="str">
        <f aca="false">IF(E40="","",A40&amp;"_2.jpg; "&amp;A40&amp;"_3.jpg")</f>
        <v/>
      </c>
      <c r="K40" s="84" t="str">
        <f aca="false">IF(E40="","",A40&amp;"_schema.jpg")</f>
        <v/>
      </c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 t="s">
        <v>96</v>
      </c>
      <c r="W40" s="81"/>
      <c r="X40" s="81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6" t="str">
        <f aca="false">IF(SUM(Y40:AJ40)=0,"",SUM(Y40:AJ40))</f>
        <v/>
      </c>
      <c r="AL40" s="84" t="str">
        <f aca="false">MID(IF(N(Y40)&gt;0,", "&amp;Y$2,"")&amp;IF(N(Z40)&gt;0,", "&amp;Z$2,"")&amp;IF(N(AA40)&gt;0,", "&amp;AA$2,"")&amp;IF(N(AB40)&gt;0,", "&amp;AB$2,"")&amp;IF(N(AC40)&gt;0,", "&amp;AC$2,"")&amp;IF(N(AD40)&gt;0,", "&amp;AD$2,"")&amp;IF(N(AE40)&gt;0,", "&amp;AE$2,"")&amp;IF(N(AF40)&gt;0,", "&amp;AF$2,"")&amp;IF(N(AG40)&gt;0,", "&amp;AG$2,"")&amp;IF(N(AH40)&gt;0,", "&amp;AH$2,"")&amp;IF(N(AI40)&gt;0,", "&amp;AI$2,"")&amp;IF(N(AJ40)&gt;0,", "&amp;AJ$2,""),3,999)</f>
        <v/>
      </c>
      <c r="AM40" s="87" t="str">
        <f aca="false">IF(E40="","",MID(IF(N(Y40)&gt;0,", "&amp;A40&amp;"-"&amp;Y$2,"")&amp;IF(N(Z40)&gt;0,", "&amp;A40&amp;"-"&amp;Z$2,"")&amp;IF(N(AA40)&gt;0,", "&amp;A40&amp;"-"&amp;AA$2,"")&amp;IF(N(AB40)&gt;0,", "&amp;A40&amp;"-"&amp;AB$2,"")&amp;IF(N(AC40)&gt;0,", "&amp;A40&amp;"-"&amp;AC$2,"")&amp;IF(N(AD40)&gt;0,", "&amp;A40&amp;"-"&amp;AD$2,"")&amp;IF(N(AE40)&gt;0,", "&amp;A40&amp;"-"&amp;AE$2,"")&amp;IF(N(AF40)&gt;0,", "&amp;A40&amp;"-"&amp;AF$2,"")&amp;IF(N(AG40)&gt;0,", "&amp;A40&amp;"-"&amp;AG$2,"")&amp;IF(N(AH40)&gt;0,", "&amp;A40&amp;"-"&amp;AH$2,"")&amp;IF(N(AI40)&gt;0,", "&amp;A40&amp;"-"&amp;AI$2,"")&amp;IF(N(AJ40)&gt;0,", "&amp;A40&amp;"-"&amp;AJ$2,""),3,999))</f>
        <v/>
      </c>
      <c r="AN40" s="81"/>
      <c r="AO40" s="88"/>
      <c r="AP40" s="89" t="str">
        <f aca="false">IF(AO40="","",ROUND(AO40/(1+Справочники!$B$13),2))</f>
        <v/>
      </c>
      <c r="AQ40" s="90" t="str">
        <f aca="false" t="array" ref="AQ40:AQ40">IF(AP40="","",AP40*INDEX(Справочники!$B$4:$B$7,MATCH("RUB",Справочники!$A$4:$A$7,0)))</f>
        <v/>
      </c>
      <c r="AR40" s="90" t="str">
        <f aca="false">IF(AQ40="","",ROUND(AQ40*(1+Справочники!$B$12),0))</f>
        <v/>
      </c>
      <c r="AS40" s="90" t="str">
        <f aca="false">IF(AR40="","",ROUND(AR40*(1-Справочники!$B$11),0))</f>
        <v/>
      </c>
      <c r="AT40" s="88"/>
      <c r="AU40" s="90" t="str">
        <f aca="false">IF(AT40="","",ROUND(AT40/(1+Справочники!$B$12),0))</f>
        <v/>
      </c>
      <c r="AV40" s="90" t="str">
        <f aca="false">IF(AT40="","",ROUND(AT40*(1-Справочники!$B$15),0))</f>
        <v/>
      </c>
      <c r="AW40" s="90" t="str">
        <f aca="false">IF(AT40="","",ROUND(AT40*(1-Справочники!$B$16),0))</f>
        <v/>
      </c>
      <c r="AX40" s="90" t="str">
        <f aca="false">IF(AT40="","",ROUND(AT40*(1-Справочники!$B$17),0))</f>
        <v/>
      </c>
      <c r="AY40" s="90" t="str">
        <f aca="false">IF(AT40="","",ROUND(AT40*(1-Справочники!$B$18),0))</f>
        <v/>
      </c>
      <c r="AZ40" s="90" t="str">
        <f aca="false">IF(AT40="","",ROUND(AT40*(1-Справочники!$B$19),0))</f>
        <v/>
      </c>
      <c r="BA40" s="81"/>
      <c r="BB40" s="81"/>
      <c r="BC40" s="81"/>
      <c r="BD40" s="81"/>
      <c r="BE40" s="91"/>
      <c r="BF40" s="81" t="s">
        <v>103</v>
      </c>
      <c r="BG40" s="89" t="n">
        <f aca="false" t="array" ref="BG40:BG40">IF(BF40="","",IFERROR(INDEX(Справочники!$B$4:$B$7,MATCH(BF40,Справочники!$A$4:$A$7,0)),""))</f>
        <v>68.5</v>
      </c>
      <c r="BH40" s="90" t="str">
        <f aca="false">IF(N(BN40)&gt;0,ROUND(SUMIF(ЗАКАЗЫ!$F$3:$F$500,$A40,ЗАКАЗЫ!$Y$3:$Y$500)/BN40,0),IF(OR(BE40="",BG40=""),"",ROUND(BE40*BG40*(1+Справочники!$B$10),0)))</f>
        <v/>
      </c>
      <c r="BI40" s="92" t="str">
        <f aca="false">IF(OR(AU40="",BH40="",AU40=0),"",(AU40-BH40)/AU40)</f>
        <v/>
      </c>
      <c r="BJ40" s="81"/>
      <c r="BK40" s="83"/>
      <c r="BL40" s="43" t="str">
        <f aca="false">IFERROR(INDEX(ЗАКАЗЫ!$N$3:$N$500,MATCH($A40,ЗАКАЗЫ!$F$3:$F$500,0)),"")</f>
        <v/>
      </c>
      <c r="BM40" s="8" t="str">
        <f aca="false">IF(BL40="","",IFERROR(VLOOKUP(BL40,'ТН ВЭД'!$A$4:$C$40,3,0),""))</f>
        <v/>
      </c>
      <c r="BN40" s="7" t="str">
        <f aca="false">IF(COUNTIF(ЗАКАЗЫ!$F$3:$F$500,$A40)=0,"",SUMIF(ЗАКАЗЫ!$F$3:$F$500,$A40,ЗАКАЗЫ!$J$3:$J$500))</f>
        <v/>
      </c>
      <c r="BO40" s="7" t="str">
        <f aca="false">IF(BN40="","",SUMIF(ЗАКАЗЫ!$F$3:$F$500,$A40,ЗАКАЗЫ!$AL$3:$AL$500))</f>
        <v/>
      </c>
      <c r="BP40" s="7" t="str">
        <f aca="false">IF(BN40="","",BN40-BO40)</f>
        <v/>
      </c>
      <c r="BQ40" s="55" t="str">
        <f aca="false">IF(BN40="","",IF(BO40&gt;=BN40,"На складе",IF(BO40&gt;0,"Частично","Ждём")))</f>
        <v/>
      </c>
      <c r="BR40" s="43"/>
      <c r="BS40" s="47" t="str">
        <f aca="false">IF(BN40="","",IF(_xlfn.MAXIFS(ЗАКАЗЫ!$AK$3:$AK$500,ЗАКАЗЫ!$F$3:$F$500,$A40)=0,"",_xlfn.MAXIFS(ЗАКАЗЫ!$AK$3:$AK$500,ЗАКАЗЫ!$F$3:$F$500,$A40)))</f>
        <v/>
      </c>
    </row>
    <row r="41" customFormat="false" ht="15.75" hidden="false" customHeight="true" outlineLevel="0" collapsed="false">
      <c r="A41" s="80" t="s">
        <v>1564</v>
      </c>
      <c r="B41" s="81"/>
      <c r="C41" s="81"/>
      <c r="D41" s="81"/>
      <c r="E41" s="83"/>
      <c r="F41" s="81"/>
      <c r="G41" s="83"/>
      <c r="H41" s="83"/>
      <c r="I41" s="84" t="str">
        <f aca="false">IF(E41="","",A41&amp;"_1.jpg")</f>
        <v/>
      </c>
      <c r="J41" s="84" t="str">
        <f aca="false">IF(E41="","",A41&amp;"_2.jpg; "&amp;A41&amp;"_3.jpg")</f>
        <v/>
      </c>
      <c r="K41" s="84" t="str">
        <f aca="false">IF(E41="","",A41&amp;"_schema.jpg")</f>
        <v/>
      </c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 t="s">
        <v>96</v>
      </c>
      <c r="W41" s="81"/>
      <c r="X41" s="81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6" t="str">
        <f aca="false">IF(SUM(Y41:AJ41)=0,"",SUM(Y41:AJ41))</f>
        <v/>
      </c>
      <c r="AL41" s="84" t="str">
        <f aca="false">MID(IF(N(Y41)&gt;0,", "&amp;Y$2,"")&amp;IF(N(Z41)&gt;0,", "&amp;Z$2,"")&amp;IF(N(AA41)&gt;0,", "&amp;AA$2,"")&amp;IF(N(AB41)&gt;0,", "&amp;AB$2,"")&amp;IF(N(AC41)&gt;0,", "&amp;AC$2,"")&amp;IF(N(AD41)&gt;0,", "&amp;AD$2,"")&amp;IF(N(AE41)&gt;0,", "&amp;AE$2,"")&amp;IF(N(AF41)&gt;0,", "&amp;AF$2,"")&amp;IF(N(AG41)&gt;0,", "&amp;AG$2,"")&amp;IF(N(AH41)&gt;0,", "&amp;AH$2,"")&amp;IF(N(AI41)&gt;0,", "&amp;AI$2,"")&amp;IF(N(AJ41)&gt;0,", "&amp;AJ$2,""),3,999)</f>
        <v/>
      </c>
      <c r="AM41" s="87" t="str">
        <f aca="false">IF(E41="","",MID(IF(N(Y41)&gt;0,", "&amp;A41&amp;"-"&amp;Y$2,"")&amp;IF(N(Z41)&gt;0,", "&amp;A41&amp;"-"&amp;Z$2,"")&amp;IF(N(AA41)&gt;0,", "&amp;A41&amp;"-"&amp;AA$2,"")&amp;IF(N(AB41)&gt;0,", "&amp;A41&amp;"-"&amp;AB$2,"")&amp;IF(N(AC41)&gt;0,", "&amp;A41&amp;"-"&amp;AC$2,"")&amp;IF(N(AD41)&gt;0,", "&amp;A41&amp;"-"&amp;AD$2,"")&amp;IF(N(AE41)&gt;0,", "&amp;A41&amp;"-"&amp;AE$2,"")&amp;IF(N(AF41)&gt;0,", "&amp;A41&amp;"-"&amp;AF$2,"")&amp;IF(N(AG41)&gt;0,", "&amp;A41&amp;"-"&amp;AG$2,"")&amp;IF(N(AH41)&gt;0,", "&amp;A41&amp;"-"&amp;AH$2,"")&amp;IF(N(AI41)&gt;0,", "&amp;A41&amp;"-"&amp;AI$2,"")&amp;IF(N(AJ41)&gt;0,", "&amp;A41&amp;"-"&amp;AJ$2,""),3,999))</f>
        <v/>
      </c>
      <c r="AN41" s="81"/>
      <c r="AO41" s="88"/>
      <c r="AP41" s="89" t="str">
        <f aca="false">IF(AO41="","",ROUND(AO41/(1+Справочники!$B$13),2))</f>
        <v/>
      </c>
      <c r="AQ41" s="90" t="str">
        <f aca="false" t="array" ref="AQ41:AQ41">IF(AP41="","",AP41*INDEX(Справочники!$B$4:$B$7,MATCH("RUB",Справочники!$A$4:$A$7,0)))</f>
        <v/>
      </c>
      <c r="AR41" s="90" t="str">
        <f aca="false">IF(AQ41="","",ROUND(AQ41*(1+Справочники!$B$12),0))</f>
        <v/>
      </c>
      <c r="AS41" s="90" t="str">
        <f aca="false">IF(AR41="","",ROUND(AR41*(1-Справочники!$B$11),0))</f>
        <v/>
      </c>
      <c r="AT41" s="88"/>
      <c r="AU41" s="90" t="str">
        <f aca="false">IF(AT41="","",ROUND(AT41/(1+Справочники!$B$12),0))</f>
        <v/>
      </c>
      <c r="AV41" s="90" t="str">
        <f aca="false">IF(AT41="","",ROUND(AT41*(1-Справочники!$B$15),0))</f>
        <v/>
      </c>
      <c r="AW41" s="90" t="str">
        <f aca="false">IF(AT41="","",ROUND(AT41*(1-Справочники!$B$16),0))</f>
        <v/>
      </c>
      <c r="AX41" s="90" t="str">
        <f aca="false">IF(AT41="","",ROUND(AT41*(1-Справочники!$B$17),0))</f>
        <v/>
      </c>
      <c r="AY41" s="90" t="str">
        <f aca="false">IF(AT41="","",ROUND(AT41*(1-Справочники!$B$18),0))</f>
        <v/>
      </c>
      <c r="AZ41" s="90" t="str">
        <f aca="false">IF(AT41="","",ROUND(AT41*(1-Справочники!$B$19),0))</f>
        <v/>
      </c>
      <c r="BA41" s="81"/>
      <c r="BB41" s="81"/>
      <c r="BC41" s="81"/>
      <c r="BD41" s="81"/>
      <c r="BE41" s="91"/>
      <c r="BF41" s="81" t="s">
        <v>103</v>
      </c>
      <c r="BG41" s="89" t="n">
        <f aca="false" t="array" ref="BG41:BG41">IF(BF41="","",IFERROR(INDEX(Справочники!$B$4:$B$7,MATCH(BF41,Справочники!$A$4:$A$7,0)),""))</f>
        <v>68.5</v>
      </c>
      <c r="BH41" s="90" t="str">
        <f aca="false">IF(N(BN41)&gt;0,ROUND(SUMIF(ЗАКАЗЫ!$F$3:$F$500,$A41,ЗАКАЗЫ!$Y$3:$Y$500)/BN41,0),IF(OR(BE41="",BG41=""),"",ROUND(BE41*BG41*(1+Справочники!$B$10),0)))</f>
        <v/>
      </c>
      <c r="BI41" s="92" t="str">
        <f aca="false">IF(OR(AU41="",BH41="",AU41=0),"",(AU41-BH41)/AU41)</f>
        <v/>
      </c>
      <c r="BJ41" s="81"/>
      <c r="BK41" s="83"/>
      <c r="BL41" s="43" t="str">
        <f aca="false">IFERROR(INDEX(ЗАКАЗЫ!$N$3:$N$500,MATCH($A41,ЗАКАЗЫ!$F$3:$F$500,0)),"")</f>
        <v/>
      </c>
      <c r="BM41" s="8" t="str">
        <f aca="false">IF(BL41="","",IFERROR(VLOOKUP(BL41,'ТН ВЭД'!$A$4:$C$40,3,0),""))</f>
        <v/>
      </c>
      <c r="BN41" s="7" t="str">
        <f aca="false">IF(COUNTIF(ЗАКАЗЫ!$F$3:$F$500,$A41)=0,"",SUMIF(ЗАКАЗЫ!$F$3:$F$500,$A41,ЗАКАЗЫ!$J$3:$J$500))</f>
        <v/>
      </c>
      <c r="BO41" s="7" t="str">
        <f aca="false">IF(BN41="","",SUMIF(ЗАКАЗЫ!$F$3:$F$500,$A41,ЗАКАЗЫ!$AL$3:$AL$500))</f>
        <v/>
      </c>
      <c r="BP41" s="7" t="str">
        <f aca="false">IF(BN41="","",BN41-BO41)</f>
        <v/>
      </c>
      <c r="BQ41" s="55" t="str">
        <f aca="false">IF(BN41="","",IF(BO41&gt;=BN41,"На складе",IF(BO41&gt;0,"Частично","Ждём")))</f>
        <v/>
      </c>
      <c r="BR41" s="43"/>
      <c r="BS41" s="47" t="str">
        <f aca="false">IF(BN41="","",IF(_xlfn.MAXIFS(ЗАКАЗЫ!$AK$3:$AK$500,ЗАКАЗЫ!$F$3:$F$500,$A41)=0,"",_xlfn.MAXIFS(ЗАКАЗЫ!$AK$3:$AK$500,ЗАКАЗЫ!$F$3:$F$500,$A41)))</f>
        <v/>
      </c>
    </row>
    <row r="42" customFormat="false" ht="15.75" hidden="false" customHeight="true" outlineLevel="0" collapsed="false">
      <c r="A42" s="80" t="s">
        <v>1565</v>
      </c>
      <c r="B42" s="81"/>
      <c r="C42" s="81"/>
      <c r="D42" s="81"/>
      <c r="E42" s="83"/>
      <c r="F42" s="81"/>
      <c r="G42" s="83"/>
      <c r="H42" s="83"/>
      <c r="I42" s="84" t="str">
        <f aca="false">IF(E42="","",A42&amp;"_1.jpg")</f>
        <v/>
      </c>
      <c r="J42" s="84" t="str">
        <f aca="false">IF(E42="","",A42&amp;"_2.jpg; "&amp;A42&amp;"_3.jpg")</f>
        <v/>
      </c>
      <c r="K42" s="84" t="str">
        <f aca="false">IF(E42="","",A42&amp;"_schema.jpg")</f>
        <v/>
      </c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 t="s">
        <v>96</v>
      </c>
      <c r="W42" s="81"/>
      <c r="X42" s="81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6" t="str">
        <f aca="false">IF(SUM(Y42:AJ42)=0,"",SUM(Y42:AJ42))</f>
        <v/>
      </c>
      <c r="AL42" s="84" t="str">
        <f aca="false">MID(IF(N(Y42)&gt;0,", "&amp;Y$2,"")&amp;IF(N(Z42)&gt;0,", "&amp;Z$2,"")&amp;IF(N(AA42)&gt;0,", "&amp;AA$2,"")&amp;IF(N(AB42)&gt;0,", "&amp;AB$2,"")&amp;IF(N(AC42)&gt;0,", "&amp;AC$2,"")&amp;IF(N(AD42)&gt;0,", "&amp;AD$2,"")&amp;IF(N(AE42)&gt;0,", "&amp;AE$2,"")&amp;IF(N(AF42)&gt;0,", "&amp;AF$2,"")&amp;IF(N(AG42)&gt;0,", "&amp;AG$2,"")&amp;IF(N(AH42)&gt;0,", "&amp;AH$2,"")&amp;IF(N(AI42)&gt;0,", "&amp;AI$2,"")&amp;IF(N(AJ42)&gt;0,", "&amp;AJ$2,""),3,999)</f>
        <v/>
      </c>
      <c r="AM42" s="87" t="str">
        <f aca="false">IF(E42="","",MID(IF(N(Y42)&gt;0,", "&amp;A42&amp;"-"&amp;Y$2,"")&amp;IF(N(Z42)&gt;0,", "&amp;A42&amp;"-"&amp;Z$2,"")&amp;IF(N(AA42)&gt;0,", "&amp;A42&amp;"-"&amp;AA$2,"")&amp;IF(N(AB42)&gt;0,", "&amp;A42&amp;"-"&amp;AB$2,"")&amp;IF(N(AC42)&gt;0,", "&amp;A42&amp;"-"&amp;AC$2,"")&amp;IF(N(AD42)&gt;0,", "&amp;A42&amp;"-"&amp;AD$2,"")&amp;IF(N(AE42)&gt;0,", "&amp;A42&amp;"-"&amp;AE$2,"")&amp;IF(N(AF42)&gt;0,", "&amp;A42&amp;"-"&amp;AF$2,"")&amp;IF(N(AG42)&gt;0,", "&amp;A42&amp;"-"&amp;AG$2,"")&amp;IF(N(AH42)&gt;0,", "&amp;A42&amp;"-"&amp;AH$2,"")&amp;IF(N(AI42)&gt;0,", "&amp;A42&amp;"-"&amp;AI$2,"")&amp;IF(N(AJ42)&gt;0,", "&amp;A42&amp;"-"&amp;AJ$2,""),3,999))</f>
        <v/>
      </c>
      <c r="AN42" s="81"/>
      <c r="AO42" s="88"/>
      <c r="AP42" s="89" t="str">
        <f aca="false">IF(AO42="","",ROUND(AO42/(1+Справочники!$B$13),2))</f>
        <v/>
      </c>
      <c r="AQ42" s="90" t="str">
        <f aca="false" t="array" ref="AQ42:AQ42">IF(AP42="","",AP42*INDEX(Справочники!$B$4:$B$7,MATCH("RUB",Справочники!$A$4:$A$7,0)))</f>
        <v/>
      </c>
      <c r="AR42" s="90" t="str">
        <f aca="false">IF(AQ42="","",ROUND(AQ42*(1+Справочники!$B$12),0))</f>
        <v/>
      </c>
      <c r="AS42" s="90" t="str">
        <f aca="false">IF(AR42="","",ROUND(AR42*(1-Справочники!$B$11),0))</f>
        <v/>
      </c>
      <c r="AT42" s="88"/>
      <c r="AU42" s="90" t="str">
        <f aca="false">IF(AT42="","",ROUND(AT42/(1+Справочники!$B$12),0))</f>
        <v/>
      </c>
      <c r="AV42" s="90" t="str">
        <f aca="false">IF(AT42="","",ROUND(AT42*(1-Справочники!$B$15),0))</f>
        <v/>
      </c>
      <c r="AW42" s="90" t="str">
        <f aca="false">IF(AT42="","",ROUND(AT42*(1-Справочники!$B$16),0))</f>
        <v/>
      </c>
      <c r="AX42" s="90" t="str">
        <f aca="false">IF(AT42="","",ROUND(AT42*(1-Справочники!$B$17),0))</f>
        <v/>
      </c>
      <c r="AY42" s="90" t="str">
        <f aca="false">IF(AT42="","",ROUND(AT42*(1-Справочники!$B$18),0))</f>
        <v/>
      </c>
      <c r="AZ42" s="90" t="str">
        <f aca="false">IF(AT42="","",ROUND(AT42*(1-Справочники!$B$19),0))</f>
        <v/>
      </c>
      <c r="BA42" s="81"/>
      <c r="BB42" s="81"/>
      <c r="BC42" s="81"/>
      <c r="BD42" s="81"/>
      <c r="BE42" s="91"/>
      <c r="BF42" s="81" t="s">
        <v>103</v>
      </c>
      <c r="BG42" s="89" t="n">
        <f aca="false" t="array" ref="BG42:BG42">IF(BF42="","",IFERROR(INDEX(Справочники!$B$4:$B$7,MATCH(BF42,Справочники!$A$4:$A$7,0)),""))</f>
        <v>68.5</v>
      </c>
      <c r="BH42" s="90" t="str">
        <f aca="false">IF(N(BN42)&gt;0,ROUND(SUMIF(ЗАКАЗЫ!$F$3:$F$500,$A42,ЗАКАЗЫ!$Y$3:$Y$500)/BN42,0),IF(OR(BE42="",BG42=""),"",ROUND(BE42*BG42*(1+Справочники!$B$10),0)))</f>
        <v/>
      </c>
      <c r="BI42" s="92" t="str">
        <f aca="false">IF(OR(AU42="",BH42="",AU42=0),"",(AU42-BH42)/AU42)</f>
        <v/>
      </c>
      <c r="BJ42" s="81"/>
      <c r="BK42" s="83"/>
      <c r="BL42" s="43" t="str">
        <f aca="false">IFERROR(INDEX(ЗАКАЗЫ!$N$3:$N$500,MATCH($A42,ЗАКАЗЫ!$F$3:$F$500,0)),"")</f>
        <v/>
      </c>
      <c r="BM42" s="8" t="str">
        <f aca="false">IF(BL42="","",IFERROR(VLOOKUP(BL42,'ТН ВЭД'!$A$4:$C$40,3,0),""))</f>
        <v/>
      </c>
      <c r="BN42" s="7" t="str">
        <f aca="false">IF(COUNTIF(ЗАКАЗЫ!$F$3:$F$500,$A42)=0,"",SUMIF(ЗАКАЗЫ!$F$3:$F$500,$A42,ЗАКАЗЫ!$J$3:$J$500))</f>
        <v/>
      </c>
      <c r="BO42" s="7" t="str">
        <f aca="false">IF(BN42="","",SUMIF(ЗАКАЗЫ!$F$3:$F$500,$A42,ЗАКАЗЫ!$AL$3:$AL$500))</f>
        <v/>
      </c>
      <c r="BP42" s="7" t="str">
        <f aca="false">IF(BN42="","",BN42-BO42)</f>
        <v/>
      </c>
      <c r="BQ42" s="55" t="str">
        <f aca="false">IF(BN42="","",IF(BO42&gt;=BN42,"На складе",IF(BO42&gt;0,"Частично","Ждём")))</f>
        <v/>
      </c>
      <c r="BR42" s="43"/>
      <c r="BS42" s="47" t="str">
        <f aca="false">IF(BN42="","",IF(_xlfn.MAXIFS(ЗАКАЗЫ!$AK$3:$AK$500,ЗАКАЗЫ!$F$3:$F$500,$A42)=0,"",_xlfn.MAXIFS(ЗАКАЗЫ!$AK$3:$AK$500,ЗАКАЗЫ!$F$3:$F$500,$A42)))</f>
        <v/>
      </c>
    </row>
    <row r="43" customFormat="false" ht="15.75" hidden="false" customHeight="true" outlineLevel="0" collapsed="false">
      <c r="A43" s="80" t="s">
        <v>1566</v>
      </c>
      <c r="B43" s="81"/>
      <c r="C43" s="81"/>
      <c r="D43" s="81"/>
      <c r="E43" s="83"/>
      <c r="F43" s="81"/>
      <c r="G43" s="83"/>
      <c r="H43" s="83"/>
      <c r="I43" s="84" t="str">
        <f aca="false">IF(E43="","",A43&amp;"_1.jpg")</f>
        <v/>
      </c>
      <c r="J43" s="84" t="str">
        <f aca="false">IF(E43="","",A43&amp;"_2.jpg; "&amp;A43&amp;"_3.jpg")</f>
        <v/>
      </c>
      <c r="K43" s="84" t="str">
        <f aca="false">IF(E43="","",A43&amp;"_schema.jpg")</f>
        <v/>
      </c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 t="s">
        <v>96</v>
      </c>
      <c r="W43" s="81"/>
      <c r="X43" s="81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6" t="str">
        <f aca="false">IF(SUM(Y43:AJ43)=0,"",SUM(Y43:AJ43))</f>
        <v/>
      </c>
      <c r="AL43" s="84" t="str">
        <f aca="false">MID(IF(N(Y43)&gt;0,", "&amp;Y$2,"")&amp;IF(N(Z43)&gt;0,", "&amp;Z$2,"")&amp;IF(N(AA43)&gt;0,", "&amp;AA$2,"")&amp;IF(N(AB43)&gt;0,", "&amp;AB$2,"")&amp;IF(N(AC43)&gt;0,", "&amp;AC$2,"")&amp;IF(N(AD43)&gt;0,", "&amp;AD$2,"")&amp;IF(N(AE43)&gt;0,", "&amp;AE$2,"")&amp;IF(N(AF43)&gt;0,", "&amp;AF$2,"")&amp;IF(N(AG43)&gt;0,", "&amp;AG$2,"")&amp;IF(N(AH43)&gt;0,", "&amp;AH$2,"")&amp;IF(N(AI43)&gt;0,", "&amp;AI$2,"")&amp;IF(N(AJ43)&gt;0,", "&amp;AJ$2,""),3,999)</f>
        <v/>
      </c>
      <c r="AM43" s="87" t="str">
        <f aca="false">IF(E43="","",MID(IF(N(Y43)&gt;0,", "&amp;A43&amp;"-"&amp;Y$2,"")&amp;IF(N(Z43)&gt;0,", "&amp;A43&amp;"-"&amp;Z$2,"")&amp;IF(N(AA43)&gt;0,", "&amp;A43&amp;"-"&amp;AA$2,"")&amp;IF(N(AB43)&gt;0,", "&amp;A43&amp;"-"&amp;AB$2,"")&amp;IF(N(AC43)&gt;0,", "&amp;A43&amp;"-"&amp;AC$2,"")&amp;IF(N(AD43)&gt;0,", "&amp;A43&amp;"-"&amp;AD$2,"")&amp;IF(N(AE43)&gt;0,", "&amp;A43&amp;"-"&amp;AE$2,"")&amp;IF(N(AF43)&gt;0,", "&amp;A43&amp;"-"&amp;AF$2,"")&amp;IF(N(AG43)&gt;0,", "&amp;A43&amp;"-"&amp;AG$2,"")&amp;IF(N(AH43)&gt;0,", "&amp;A43&amp;"-"&amp;AH$2,"")&amp;IF(N(AI43)&gt;0,", "&amp;A43&amp;"-"&amp;AI$2,"")&amp;IF(N(AJ43)&gt;0,", "&amp;A43&amp;"-"&amp;AJ$2,""),3,999))</f>
        <v/>
      </c>
      <c r="AN43" s="81"/>
      <c r="AO43" s="88"/>
      <c r="AP43" s="89" t="str">
        <f aca="false">IF(AO43="","",ROUND(AO43/(1+Справочники!$B$13),2))</f>
        <v/>
      </c>
      <c r="AQ43" s="90" t="str">
        <f aca="false" t="array" ref="AQ43:AQ43">IF(AP43="","",AP43*INDEX(Справочники!$B$4:$B$7,MATCH("RUB",Справочники!$A$4:$A$7,0)))</f>
        <v/>
      </c>
      <c r="AR43" s="90" t="str">
        <f aca="false">IF(AQ43="","",ROUND(AQ43*(1+Справочники!$B$12),0))</f>
        <v/>
      </c>
      <c r="AS43" s="90" t="str">
        <f aca="false">IF(AR43="","",ROUND(AR43*(1-Справочники!$B$11),0))</f>
        <v/>
      </c>
      <c r="AT43" s="88"/>
      <c r="AU43" s="90" t="str">
        <f aca="false">IF(AT43="","",ROUND(AT43/(1+Справочники!$B$12),0))</f>
        <v/>
      </c>
      <c r="AV43" s="90" t="str">
        <f aca="false">IF(AT43="","",ROUND(AT43*(1-Справочники!$B$15),0))</f>
        <v/>
      </c>
      <c r="AW43" s="90" t="str">
        <f aca="false">IF(AT43="","",ROUND(AT43*(1-Справочники!$B$16),0))</f>
        <v/>
      </c>
      <c r="AX43" s="90" t="str">
        <f aca="false">IF(AT43="","",ROUND(AT43*(1-Справочники!$B$17),0))</f>
        <v/>
      </c>
      <c r="AY43" s="90" t="str">
        <f aca="false">IF(AT43="","",ROUND(AT43*(1-Справочники!$B$18),0))</f>
        <v/>
      </c>
      <c r="AZ43" s="90" t="str">
        <f aca="false">IF(AT43="","",ROUND(AT43*(1-Справочники!$B$19),0))</f>
        <v/>
      </c>
      <c r="BA43" s="81"/>
      <c r="BB43" s="81"/>
      <c r="BC43" s="81"/>
      <c r="BD43" s="81"/>
      <c r="BE43" s="91"/>
      <c r="BF43" s="81" t="s">
        <v>103</v>
      </c>
      <c r="BG43" s="89" t="n">
        <f aca="false" t="array" ref="BG43:BG43">IF(BF43="","",IFERROR(INDEX(Справочники!$B$4:$B$7,MATCH(BF43,Справочники!$A$4:$A$7,0)),""))</f>
        <v>68.5</v>
      </c>
      <c r="BH43" s="90" t="str">
        <f aca="false">IF(N(BN43)&gt;0,ROUND(SUMIF(ЗАКАЗЫ!$F$3:$F$500,$A43,ЗАКАЗЫ!$Y$3:$Y$500)/BN43,0),IF(OR(BE43="",BG43=""),"",ROUND(BE43*BG43*(1+Справочники!$B$10),0)))</f>
        <v/>
      </c>
      <c r="BI43" s="92" t="str">
        <f aca="false">IF(OR(AU43="",BH43="",AU43=0),"",(AU43-BH43)/AU43)</f>
        <v/>
      </c>
      <c r="BJ43" s="81"/>
      <c r="BK43" s="83"/>
      <c r="BL43" s="43" t="str">
        <f aca="false">IFERROR(INDEX(ЗАКАЗЫ!$N$3:$N$500,MATCH($A43,ЗАКАЗЫ!$F$3:$F$500,0)),"")</f>
        <v/>
      </c>
      <c r="BM43" s="8" t="str">
        <f aca="false">IF(BL43="","",IFERROR(VLOOKUP(BL43,'ТН ВЭД'!$A$4:$C$40,3,0),""))</f>
        <v/>
      </c>
      <c r="BN43" s="7" t="str">
        <f aca="false">IF(COUNTIF(ЗАКАЗЫ!$F$3:$F$500,$A43)=0,"",SUMIF(ЗАКАЗЫ!$F$3:$F$500,$A43,ЗАКАЗЫ!$J$3:$J$500))</f>
        <v/>
      </c>
      <c r="BO43" s="7" t="str">
        <f aca="false">IF(BN43="","",SUMIF(ЗАКАЗЫ!$F$3:$F$500,$A43,ЗАКАЗЫ!$AL$3:$AL$500))</f>
        <v/>
      </c>
      <c r="BP43" s="7" t="str">
        <f aca="false">IF(BN43="","",BN43-BO43)</f>
        <v/>
      </c>
      <c r="BQ43" s="55" t="str">
        <f aca="false">IF(BN43="","",IF(BO43&gt;=BN43,"На складе",IF(BO43&gt;0,"Частично","Ждём")))</f>
        <v/>
      </c>
      <c r="BR43" s="43"/>
      <c r="BS43" s="47" t="str">
        <f aca="false">IF(BN43="","",IF(_xlfn.MAXIFS(ЗАКАЗЫ!$AK$3:$AK$500,ЗАКАЗЫ!$F$3:$F$500,$A43)=0,"",_xlfn.MAXIFS(ЗАКАЗЫ!$AK$3:$AK$500,ЗАКАЗЫ!$F$3:$F$500,$A43)))</f>
        <v/>
      </c>
    </row>
    <row r="44" customFormat="false" ht="15.75" hidden="false" customHeight="true" outlineLevel="0" collapsed="false">
      <c r="A44" s="80" t="s">
        <v>1567</v>
      </c>
      <c r="B44" s="81"/>
      <c r="C44" s="81"/>
      <c r="D44" s="81"/>
      <c r="E44" s="83"/>
      <c r="F44" s="81"/>
      <c r="G44" s="83"/>
      <c r="H44" s="83"/>
      <c r="I44" s="84" t="str">
        <f aca="false">IF(E44="","",A44&amp;"_1.jpg")</f>
        <v/>
      </c>
      <c r="J44" s="84" t="str">
        <f aca="false">IF(E44="","",A44&amp;"_2.jpg; "&amp;A44&amp;"_3.jpg")</f>
        <v/>
      </c>
      <c r="K44" s="84" t="str">
        <f aca="false">IF(E44="","",A44&amp;"_schema.jpg")</f>
        <v/>
      </c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 t="s">
        <v>96</v>
      </c>
      <c r="W44" s="81"/>
      <c r="X44" s="81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6" t="str">
        <f aca="false">IF(SUM(Y44:AJ44)=0,"",SUM(Y44:AJ44))</f>
        <v/>
      </c>
      <c r="AL44" s="84" t="str">
        <f aca="false">MID(IF(N(Y44)&gt;0,", "&amp;Y$2,"")&amp;IF(N(Z44)&gt;0,", "&amp;Z$2,"")&amp;IF(N(AA44)&gt;0,", "&amp;AA$2,"")&amp;IF(N(AB44)&gt;0,", "&amp;AB$2,"")&amp;IF(N(AC44)&gt;0,", "&amp;AC$2,"")&amp;IF(N(AD44)&gt;0,", "&amp;AD$2,"")&amp;IF(N(AE44)&gt;0,", "&amp;AE$2,"")&amp;IF(N(AF44)&gt;0,", "&amp;AF$2,"")&amp;IF(N(AG44)&gt;0,", "&amp;AG$2,"")&amp;IF(N(AH44)&gt;0,", "&amp;AH$2,"")&amp;IF(N(AI44)&gt;0,", "&amp;AI$2,"")&amp;IF(N(AJ44)&gt;0,", "&amp;AJ$2,""),3,999)</f>
        <v/>
      </c>
      <c r="AM44" s="87" t="str">
        <f aca="false">IF(E44="","",MID(IF(N(Y44)&gt;0,", "&amp;A44&amp;"-"&amp;Y$2,"")&amp;IF(N(Z44)&gt;0,", "&amp;A44&amp;"-"&amp;Z$2,"")&amp;IF(N(AA44)&gt;0,", "&amp;A44&amp;"-"&amp;AA$2,"")&amp;IF(N(AB44)&gt;0,", "&amp;A44&amp;"-"&amp;AB$2,"")&amp;IF(N(AC44)&gt;0,", "&amp;A44&amp;"-"&amp;AC$2,"")&amp;IF(N(AD44)&gt;0,", "&amp;A44&amp;"-"&amp;AD$2,"")&amp;IF(N(AE44)&gt;0,", "&amp;A44&amp;"-"&amp;AE$2,"")&amp;IF(N(AF44)&gt;0,", "&amp;A44&amp;"-"&amp;AF$2,"")&amp;IF(N(AG44)&gt;0,", "&amp;A44&amp;"-"&amp;AG$2,"")&amp;IF(N(AH44)&gt;0,", "&amp;A44&amp;"-"&amp;AH$2,"")&amp;IF(N(AI44)&gt;0,", "&amp;A44&amp;"-"&amp;AI$2,"")&amp;IF(N(AJ44)&gt;0,", "&amp;A44&amp;"-"&amp;AJ$2,""),3,999))</f>
        <v/>
      </c>
      <c r="AN44" s="81"/>
      <c r="AO44" s="88"/>
      <c r="AP44" s="89" t="str">
        <f aca="false">IF(AO44="","",ROUND(AO44/(1+Справочники!$B$13),2))</f>
        <v/>
      </c>
      <c r="AQ44" s="90" t="str">
        <f aca="false" t="array" ref="AQ44:AQ44">IF(AP44="","",AP44*INDEX(Справочники!$B$4:$B$7,MATCH("RUB",Справочники!$A$4:$A$7,0)))</f>
        <v/>
      </c>
      <c r="AR44" s="90" t="str">
        <f aca="false">IF(AQ44="","",ROUND(AQ44*(1+Справочники!$B$12),0))</f>
        <v/>
      </c>
      <c r="AS44" s="90" t="str">
        <f aca="false">IF(AR44="","",ROUND(AR44*(1-Справочники!$B$11),0))</f>
        <v/>
      </c>
      <c r="AT44" s="88"/>
      <c r="AU44" s="90" t="str">
        <f aca="false">IF(AT44="","",ROUND(AT44/(1+Справочники!$B$12),0))</f>
        <v/>
      </c>
      <c r="AV44" s="90" t="str">
        <f aca="false">IF(AT44="","",ROUND(AT44*(1-Справочники!$B$15),0))</f>
        <v/>
      </c>
      <c r="AW44" s="90" t="str">
        <f aca="false">IF(AT44="","",ROUND(AT44*(1-Справочники!$B$16),0))</f>
        <v/>
      </c>
      <c r="AX44" s="90" t="str">
        <f aca="false">IF(AT44="","",ROUND(AT44*(1-Справочники!$B$17),0))</f>
        <v/>
      </c>
      <c r="AY44" s="90" t="str">
        <f aca="false">IF(AT44="","",ROUND(AT44*(1-Справочники!$B$18),0))</f>
        <v/>
      </c>
      <c r="AZ44" s="90" t="str">
        <f aca="false">IF(AT44="","",ROUND(AT44*(1-Справочники!$B$19),0))</f>
        <v/>
      </c>
      <c r="BA44" s="81"/>
      <c r="BB44" s="81"/>
      <c r="BC44" s="81"/>
      <c r="BD44" s="81"/>
      <c r="BE44" s="91"/>
      <c r="BF44" s="81" t="s">
        <v>103</v>
      </c>
      <c r="BG44" s="89" t="n">
        <f aca="false" t="array" ref="BG44:BG44">IF(BF44="","",IFERROR(INDEX(Справочники!$B$4:$B$7,MATCH(BF44,Справочники!$A$4:$A$7,0)),""))</f>
        <v>68.5</v>
      </c>
      <c r="BH44" s="90" t="str">
        <f aca="false">IF(N(BN44)&gt;0,ROUND(SUMIF(ЗАКАЗЫ!$F$3:$F$500,$A44,ЗАКАЗЫ!$Y$3:$Y$500)/BN44,0),IF(OR(BE44="",BG44=""),"",ROUND(BE44*BG44*(1+Справочники!$B$10),0)))</f>
        <v/>
      </c>
      <c r="BI44" s="92" t="str">
        <f aca="false">IF(OR(AU44="",BH44="",AU44=0),"",(AU44-BH44)/AU44)</f>
        <v/>
      </c>
      <c r="BJ44" s="81"/>
      <c r="BK44" s="83"/>
      <c r="BL44" s="43" t="str">
        <f aca="false">IFERROR(INDEX(ЗАКАЗЫ!$N$3:$N$500,MATCH($A44,ЗАКАЗЫ!$F$3:$F$500,0)),"")</f>
        <v/>
      </c>
      <c r="BM44" s="8" t="str">
        <f aca="false">IF(BL44="","",IFERROR(VLOOKUP(BL44,'ТН ВЭД'!$A$4:$C$40,3,0),""))</f>
        <v/>
      </c>
      <c r="BN44" s="7" t="str">
        <f aca="false">IF(COUNTIF(ЗАКАЗЫ!$F$3:$F$500,$A44)=0,"",SUMIF(ЗАКАЗЫ!$F$3:$F$500,$A44,ЗАКАЗЫ!$J$3:$J$500))</f>
        <v/>
      </c>
      <c r="BO44" s="7" t="str">
        <f aca="false">IF(BN44="","",SUMIF(ЗАКАЗЫ!$F$3:$F$500,$A44,ЗАКАЗЫ!$AL$3:$AL$500))</f>
        <v/>
      </c>
      <c r="BP44" s="7" t="str">
        <f aca="false">IF(BN44="","",BN44-BO44)</f>
        <v/>
      </c>
      <c r="BQ44" s="55" t="str">
        <f aca="false">IF(BN44="","",IF(BO44&gt;=BN44,"На складе",IF(BO44&gt;0,"Частично","Ждём")))</f>
        <v/>
      </c>
      <c r="BR44" s="43"/>
      <c r="BS44" s="47" t="str">
        <f aca="false">IF(BN44="","",IF(_xlfn.MAXIFS(ЗАКАЗЫ!$AK$3:$AK$500,ЗАКАЗЫ!$F$3:$F$500,$A44)=0,"",_xlfn.MAXIFS(ЗАКАЗЫ!$AK$3:$AK$500,ЗАКАЗЫ!$F$3:$F$500,$A44)))</f>
        <v/>
      </c>
    </row>
    <row r="45" customFormat="false" ht="15.75" hidden="false" customHeight="true" outlineLevel="0" collapsed="false">
      <c r="A45" s="80" t="s">
        <v>1568</v>
      </c>
      <c r="B45" s="81"/>
      <c r="C45" s="81"/>
      <c r="D45" s="81"/>
      <c r="E45" s="83"/>
      <c r="F45" s="81"/>
      <c r="G45" s="83"/>
      <c r="H45" s="83"/>
      <c r="I45" s="84" t="str">
        <f aca="false">IF(E45="","",A45&amp;"_1.jpg")</f>
        <v/>
      </c>
      <c r="J45" s="84" t="str">
        <f aca="false">IF(E45="","",A45&amp;"_2.jpg; "&amp;A45&amp;"_3.jpg")</f>
        <v/>
      </c>
      <c r="K45" s="84" t="str">
        <f aca="false">IF(E45="","",A45&amp;"_schema.jpg")</f>
        <v/>
      </c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 t="s">
        <v>96</v>
      </c>
      <c r="W45" s="81"/>
      <c r="X45" s="81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6" t="str">
        <f aca="false">IF(SUM(Y45:AJ45)=0,"",SUM(Y45:AJ45))</f>
        <v/>
      </c>
      <c r="AL45" s="84" t="str">
        <f aca="false">MID(IF(N(Y45)&gt;0,", "&amp;Y$2,"")&amp;IF(N(Z45)&gt;0,", "&amp;Z$2,"")&amp;IF(N(AA45)&gt;0,", "&amp;AA$2,"")&amp;IF(N(AB45)&gt;0,", "&amp;AB$2,"")&amp;IF(N(AC45)&gt;0,", "&amp;AC$2,"")&amp;IF(N(AD45)&gt;0,", "&amp;AD$2,"")&amp;IF(N(AE45)&gt;0,", "&amp;AE$2,"")&amp;IF(N(AF45)&gt;0,", "&amp;AF$2,"")&amp;IF(N(AG45)&gt;0,", "&amp;AG$2,"")&amp;IF(N(AH45)&gt;0,", "&amp;AH$2,"")&amp;IF(N(AI45)&gt;0,", "&amp;AI$2,"")&amp;IF(N(AJ45)&gt;0,", "&amp;AJ$2,""),3,999)</f>
        <v/>
      </c>
      <c r="AM45" s="87" t="str">
        <f aca="false">IF(E45="","",MID(IF(N(Y45)&gt;0,", "&amp;A45&amp;"-"&amp;Y$2,"")&amp;IF(N(Z45)&gt;0,", "&amp;A45&amp;"-"&amp;Z$2,"")&amp;IF(N(AA45)&gt;0,", "&amp;A45&amp;"-"&amp;AA$2,"")&amp;IF(N(AB45)&gt;0,", "&amp;A45&amp;"-"&amp;AB$2,"")&amp;IF(N(AC45)&gt;0,", "&amp;A45&amp;"-"&amp;AC$2,"")&amp;IF(N(AD45)&gt;0,", "&amp;A45&amp;"-"&amp;AD$2,"")&amp;IF(N(AE45)&gt;0,", "&amp;A45&amp;"-"&amp;AE$2,"")&amp;IF(N(AF45)&gt;0,", "&amp;A45&amp;"-"&amp;AF$2,"")&amp;IF(N(AG45)&gt;0,", "&amp;A45&amp;"-"&amp;AG$2,"")&amp;IF(N(AH45)&gt;0,", "&amp;A45&amp;"-"&amp;AH$2,"")&amp;IF(N(AI45)&gt;0,", "&amp;A45&amp;"-"&amp;AI$2,"")&amp;IF(N(AJ45)&gt;0,", "&amp;A45&amp;"-"&amp;AJ$2,""),3,999))</f>
        <v/>
      </c>
      <c r="AN45" s="81"/>
      <c r="AO45" s="88"/>
      <c r="AP45" s="89" t="str">
        <f aca="false">IF(AO45="","",ROUND(AO45/(1+Справочники!$B$13),2))</f>
        <v/>
      </c>
      <c r="AQ45" s="90" t="str">
        <f aca="false" t="array" ref="AQ45:AQ45">IF(AP45="","",AP45*INDEX(Справочники!$B$4:$B$7,MATCH("RUB",Справочники!$A$4:$A$7,0)))</f>
        <v/>
      </c>
      <c r="AR45" s="90" t="str">
        <f aca="false">IF(AQ45="","",ROUND(AQ45*(1+Справочники!$B$12),0))</f>
        <v/>
      </c>
      <c r="AS45" s="90" t="str">
        <f aca="false">IF(AR45="","",ROUND(AR45*(1-Справочники!$B$11),0))</f>
        <v/>
      </c>
      <c r="AT45" s="88"/>
      <c r="AU45" s="90" t="str">
        <f aca="false">IF(AT45="","",ROUND(AT45/(1+Справочники!$B$12),0))</f>
        <v/>
      </c>
      <c r="AV45" s="90" t="str">
        <f aca="false">IF(AT45="","",ROUND(AT45*(1-Справочники!$B$15),0))</f>
        <v/>
      </c>
      <c r="AW45" s="90" t="str">
        <f aca="false">IF(AT45="","",ROUND(AT45*(1-Справочники!$B$16),0))</f>
        <v/>
      </c>
      <c r="AX45" s="90" t="str">
        <f aca="false">IF(AT45="","",ROUND(AT45*(1-Справочники!$B$17),0))</f>
        <v/>
      </c>
      <c r="AY45" s="90" t="str">
        <f aca="false">IF(AT45="","",ROUND(AT45*(1-Справочники!$B$18),0))</f>
        <v/>
      </c>
      <c r="AZ45" s="90" t="str">
        <f aca="false">IF(AT45="","",ROUND(AT45*(1-Справочники!$B$19),0))</f>
        <v/>
      </c>
      <c r="BA45" s="81"/>
      <c r="BB45" s="81"/>
      <c r="BC45" s="81"/>
      <c r="BD45" s="81"/>
      <c r="BE45" s="91"/>
      <c r="BF45" s="81" t="s">
        <v>103</v>
      </c>
      <c r="BG45" s="89" t="n">
        <f aca="false" t="array" ref="BG45:BG45">IF(BF45="","",IFERROR(INDEX(Справочники!$B$4:$B$7,MATCH(BF45,Справочники!$A$4:$A$7,0)),""))</f>
        <v>68.5</v>
      </c>
      <c r="BH45" s="90" t="str">
        <f aca="false">IF(N(BN45)&gt;0,ROUND(SUMIF(ЗАКАЗЫ!$F$3:$F$500,$A45,ЗАКАЗЫ!$Y$3:$Y$500)/BN45,0),IF(OR(BE45="",BG45=""),"",ROUND(BE45*BG45*(1+Справочники!$B$10),0)))</f>
        <v/>
      </c>
      <c r="BI45" s="92" t="str">
        <f aca="false">IF(OR(AU45="",BH45="",AU45=0),"",(AU45-BH45)/AU45)</f>
        <v/>
      </c>
      <c r="BJ45" s="81"/>
      <c r="BK45" s="83"/>
      <c r="BL45" s="43" t="str">
        <f aca="false">IFERROR(INDEX(ЗАКАЗЫ!$N$3:$N$500,MATCH($A45,ЗАКАЗЫ!$F$3:$F$500,0)),"")</f>
        <v/>
      </c>
      <c r="BM45" s="8" t="str">
        <f aca="false">IF(BL45="","",IFERROR(VLOOKUP(BL45,'ТН ВЭД'!$A$4:$C$40,3,0),""))</f>
        <v/>
      </c>
      <c r="BN45" s="7" t="str">
        <f aca="false">IF(COUNTIF(ЗАКАЗЫ!$F$3:$F$500,$A45)=0,"",SUMIF(ЗАКАЗЫ!$F$3:$F$500,$A45,ЗАКАЗЫ!$J$3:$J$500))</f>
        <v/>
      </c>
      <c r="BO45" s="7" t="str">
        <f aca="false">IF(BN45="","",SUMIF(ЗАКАЗЫ!$F$3:$F$500,$A45,ЗАКАЗЫ!$AL$3:$AL$500))</f>
        <v/>
      </c>
      <c r="BP45" s="7" t="str">
        <f aca="false">IF(BN45="","",BN45-BO45)</f>
        <v/>
      </c>
      <c r="BQ45" s="55" t="str">
        <f aca="false">IF(BN45="","",IF(BO45&gt;=BN45,"На складе",IF(BO45&gt;0,"Частично","Ждём")))</f>
        <v/>
      </c>
      <c r="BR45" s="43"/>
      <c r="BS45" s="47" t="str">
        <f aca="false">IF(BN45="","",IF(_xlfn.MAXIFS(ЗАКАЗЫ!$AK$3:$AK$500,ЗАКАЗЫ!$F$3:$F$500,$A45)=0,"",_xlfn.MAXIFS(ЗАКАЗЫ!$AK$3:$AK$500,ЗАКАЗЫ!$F$3:$F$500,$A45)))</f>
        <v/>
      </c>
    </row>
    <row r="46" customFormat="false" ht="15.75" hidden="false" customHeight="true" outlineLevel="0" collapsed="false">
      <c r="A46" s="80" t="s">
        <v>1569</v>
      </c>
      <c r="B46" s="81"/>
      <c r="C46" s="81"/>
      <c r="D46" s="81"/>
      <c r="E46" s="83"/>
      <c r="F46" s="81"/>
      <c r="G46" s="83"/>
      <c r="H46" s="83"/>
      <c r="I46" s="84" t="str">
        <f aca="false">IF(E46="","",A46&amp;"_1.jpg")</f>
        <v/>
      </c>
      <c r="J46" s="84" t="str">
        <f aca="false">IF(E46="","",A46&amp;"_2.jpg; "&amp;A46&amp;"_3.jpg")</f>
        <v/>
      </c>
      <c r="K46" s="84" t="str">
        <f aca="false">IF(E46="","",A46&amp;"_schema.jpg")</f>
        <v/>
      </c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 t="s">
        <v>96</v>
      </c>
      <c r="W46" s="81"/>
      <c r="X46" s="81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6" t="str">
        <f aca="false">IF(SUM(Y46:AJ46)=0,"",SUM(Y46:AJ46))</f>
        <v/>
      </c>
      <c r="AL46" s="84" t="str">
        <f aca="false">MID(IF(N(Y46)&gt;0,", "&amp;Y$2,"")&amp;IF(N(Z46)&gt;0,", "&amp;Z$2,"")&amp;IF(N(AA46)&gt;0,", "&amp;AA$2,"")&amp;IF(N(AB46)&gt;0,", "&amp;AB$2,"")&amp;IF(N(AC46)&gt;0,", "&amp;AC$2,"")&amp;IF(N(AD46)&gt;0,", "&amp;AD$2,"")&amp;IF(N(AE46)&gt;0,", "&amp;AE$2,"")&amp;IF(N(AF46)&gt;0,", "&amp;AF$2,"")&amp;IF(N(AG46)&gt;0,", "&amp;AG$2,"")&amp;IF(N(AH46)&gt;0,", "&amp;AH$2,"")&amp;IF(N(AI46)&gt;0,", "&amp;AI$2,"")&amp;IF(N(AJ46)&gt;0,", "&amp;AJ$2,""),3,999)</f>
        <v/>
      </c>
      <c r="AM46" s="87" t="str">
        <f aca="false">IF(E46="","",MID(IF(N(Y46)&gt;0,", "&amp;A46&amp;"-"&amp;Y$2,"")&amp;IF(N(Z46)&gt;0,", "&amp;A46&amp;"-"&amp;Z$2,"")&amp;IF(N(AA46)&gt;0,", "&amp;A46&amp;"-"&amp;AA$2,"")&amp;IF(N(AB46)&gt;0,", "&amp;A46&amp;"-"&amp;AB$2,"")&amp;IF(N(AC46)&gt;0,", "&amp;A46&amp;"-"&amp;AC$2,"")&amp;IF(N(AD46)&gt;0,", "&amp;A46&amp;"-"&amp;AD$2,"")&amp;IF(N(AE46)&gt;0,", "&amp;A46&amp;"-"&amp;AE$2,"")&amp;IF(N(AF46)&gt;0,", "&amp;A46&amp;"-"&amp;AF$2,"")&amp;IF(N(AG46)&gt;0,", "&amp;A46&amp;"-"&amp;AG$2,"")&amp;IF(N(AH46)&gt;0,", "&amp;A46&amp;"-"&amp;AH$2,"")&amp;IF(N(AI46)&gt;0,", "&amp;A46&amp;"-"&amp;AI$2,"")&amp;IF(N(AJ46)&gt;0,", "&amp;A46&amp;"-"&amp;AJ$2,""),3,999))</f>
        <v/>
      </c>
      <c r="AN46" s="81"/>
      <c r="AO46" s="88"/>
      <c r="AP46" s="89" t="str">
        <f aca="false">IF(AO46="","",ROUND(AO46/(1+Справочники!$B$13),2))</f>
        <v/>
      </c>
      <c r="AQ46" s="90" t="str">
        <f aca="false" t="array" ref="AQ46:AQ46">IF(AP46="","",AP46*INDEX(Справочники!$B$4:$B$7,MATCH("RUB",Справочники!$A$4:$A$7,0)))</f>
        <v/>
      </c>
      <c r="AR46" s="90" t="str">
        <f aca="false">IF(AQ46="","",ROUND(AQ46*(1+Справочники!$B$12),0))</f>
        <v/>
      </c>
      <c r="AS46" s="90" t="str">
        <f aca="false">IF(AR46="","",ROUND(AR46*(1-Справочники!$B$11),0))</f>
        <v/>
      </c>
      <c r="AT46" s="88"/>
      <c r="AU46" s="90" t="str">
        <f aca="false">IF(AT46="","",ROUND(AT46/(1+Справочники!$B$12),0))</f>
        <v/>
      </c>
      <c r="AV46" s="90" t="str">
        <f aca="false">IF(AT46="","",ROUND(AT46*(1-Справочники!$B$15),0))</f>
        <v/>
      </c>
      <c r="AW46" s="90" t="str">
        <f aca="false">IF(AT46="","",ROUND(AT46*(1-Справочники!$B$16),0))</f>
        <v/>
      </c>
      <c r="AX46" s="90" t="str">
        <f aca="false">IF(AT46="","",ROUND(AT46*(1-Справочники!$B$17),0))</f>
        <v/>
      </c>
      <c r="AY46" s="90" t="str">
        <f aca="false">IF(AT46="","",ROUND(AT46*(1-Справочники!$B$18),0))</f>
        <v/>
      </c>
      <c r="AZ46" s="90" t="str">
        <f aca="false">IF(AT46="","",ROUND(AT46*(1-Справочники!$B$19),0))</f>
        <v/>
      </c>
      <c r="BA46" s="81"/>
      <c r="BB46" s="81"/>
      <c r="BC46" s="81"/>
      <c r="BD46" s="81"/>
      <c r="BE46" s="91"/>
      <c r="BF46" s="81" t="s">
        <v>103</v>
      </c>
      <c r="BG46" s="89" t="n">
        <f aca="false" t="array" ref="BG46:BG46">IF(BF46="","",IFERROR(INDEX(Справочники!$B$4:$B$7,MATCH(BF46,Справочники!$A$4:$A$7,0)),""))</f>
        <v>68.5</v>
      </c>
      <c r="BH46" s="90" t="str">
        <f aca="false">IF(N(BN46)&gt;0,ROUND(SUMIF(ЗАКАЗЫ!$F$3:$F$500,$A46,ЗАКАЗЫ!$Y$3:$Y$500)/BN46,0),IF(OR(BE46="",BG46=""),"",ROUND(BE46*BG46*(1+Справочники!$B$10),0)))</f>
        <v/>
      </c>
      <c r="BI46" s="92" t="str">
        <f aca="false">IF(OR(AU46="",BH46="",AU46=0),"",(AU46-BH46)/AU46)</f>
        <v/>
      </c>
      <c r="BJ46" s="81"/>
      <c r="BK46" s="83"/>
      <c r="BL46" s="43" t="str">
        <f aca="false">IFERROR(INDEX(ЗАКАЗЫ!$N$3:$N$500,MATCH($A46,ЗАКАЗЫ!$F$3:$F$500,0)),"")</f>
        <v/>
      </c>
      <c r="BM46" s="8" t="str">
        <f aca="false">IF(BL46="","",IFERROR(VLOOKUP(BL46,'ТН ВЭД'!$A$4:$C$40,3,0),""))</f>
        <v/>
      </c>
      <c r="BN46" s="7" t="str">
        <f aca="false">IF(COUNTIF(ЗАКАЗЫ!$F$3:$F$500,$A46)=0,"",SUMIF(ЗАКАЗЫ!$F$3:$F$500,$A46,ЗАКАЗЫ!$J$3:$J$500))</f>
        <v/>
      </c>
      <c r="BO46" s="7" t="str">
        <f aca="false">IF(BN46="","",SUMIF(ЗАКАЗЫ!$F$3:$F$500,$A46,ЗАКАЗЫ!$AL$3:$AL$500))</f>
        <v/>
      </c>
      <c r="BP46" s="7" t="str">
        <f aca="false">IF(BN46="","",BN46-BO46)</f>
        <v/>
      </c>
      <c r="BQ46" s="55" t="str">
        <f aca="false">IF(BN46="","",IF(BO46&gt;=BN46,"На складе",IF(BO46&gt;0,"Частично","Ждём")))</f>
        <v/>
      </c>
      <c r="BR46" s="43"/>
      <c r="BS46" s="47" t="str">
        <f aca="false">IF(BN46="","",IF(_xlfn.MAXIFS(ЗАКАЗЫ!$AK$3:$AK$500,ЗАКАЗЫ!$F$3:$F$500,$A46)=0,"",_xlfn.MAXIFS(ЗАКАЗЫ!$AK$3:$AK$500,ЗАКАЗЫ!$F$3:$F$500,$A46)))</f>
        <v/>
      </c>
    </row>
    <row r="47" customFormat="false" ht="15.75" hidden="false" customHeight="true" outlineLevel="0" collapsed="false">
      <c r="A47" s="80" t="s">
        <v>1570</v>
      </c>
      <c r="B47" s="81"/>
      <c r="C47" s="81"/>
      <c r="D47" s="81"/>
      <c r="E47" s="83"/>
      <c r="F47" s="81"/>
      <c r="G47" s="83"/>
      <c r="H47" s="83"/>
      <c r="I47" s="84" t="str">
        <f aca="false">IF(E47="","",A47&amp;"_1.jpg")</f>
        <v/>
      </c>
      <c r="J47" s="84" t="str">
        <f aca="false">IF(E47="","",A47&amp;"_2.jpg; "&amp;A47&amp;"_3.jpg")</f>
        <v/>
      </c>
      <c r="K47" s="84" t="str">
        <f aca="false">IF(E47="","",A47&amp;"_schema.jpg")</f>
        <v/>
      </c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 t="s">
        <v>96</v>
      </c>
      <c r="W47" s="81"/>
      <c r="X47" s="81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6" t="str">
        <f aca="false">IF(SUM(Y47:AJ47)=0,"",SUM(Y47:AJ47))</f>
        <v/>
      </c>
      <c r="AL47" s="84" t="str">
        <f aca="false">MID(IF(N(Y47)&gt;0,", "&amp;Y$2,"")&amp;IF(N(Z47)&gt;0,", "&amp;Z$2,"")&amp;IF(N(AA47)&gt;0,", "&amp;AA$2,"")&amp;IF(N(AB47)&gt;0,", "&amp;AB$2,"")&amp;IF(N(AC47)&gt;0,", "&amp;AC$2,"")&amp;IF(N(AD47)&gt;0,", "&amp;AD$2,"")&amp;IF(N(AE47)&gt;0,", "&amp;AE$2,"")&amp;IF(N(AF47)&gt;0,", "&amp;AF$2,"")&amp;IF(N(AG47)&gt;0,", "&amp;AG$2,"")&amp;IF(N(AH47)&gt;0,", "&amp;AH$2,"")&amp;IF(N(AI47)&gt;0,", "&amp;AI$2,"")&amp;IF(N(AJ47)&gt;0,", "&amp;AJ$2,""),3,999)</f>
        <v/>
      </c>
      <c r="AM47" s="87" t="str">
        <f aca="false">IF(E47="","",MID(IF(N(Y47)&gt;0,", "&amp;A47&amp;"-"&amp;Y$2,"")&amp;IF(N(Z47)&gt;0,", "&amp;A47&amp;"-"&amp;Z$2,"")&amp;IF(N(AA47)&gt;0,", "&amp;A47&amp;"-"&amp;AA$2,"")&amp;IF(N(AB47)&gt;0,", "&amp;A47&amp;"-"&amp;AB$2,"")&amp;IF(N(AC47)&gt;0,", "&amp;A47&amp;"-"&amp;AC$2,"")&amp;IF(N(AD47)&gt;0,", "&amp;A47&amp;"-"&amp;AD$2,"")&amp;IF(N(AE47)&gt;0,", "&amp;A47&amp;"-"&amp;AE$2,"")&amp;IF(N(AF47)&gt;0,", "&amp;A47&amp;"-"&amp;AF$2,"")&amp;IF(N(AG47)&gt;0,", "&amp;A47&amp;"-"&amp;AG$2,"")&amp;IF(N(AH47)&gt;0,", "&amp;A47&amp;"-"&amp;AH$2,"")&amp;IF(N(AI47)&gt;0,", "&amp;A47&amp;"-"&amp;AI$2,"")&amp;IF(N(AJ47)&gt;0,", "&amp;A47&amp;"-"&amp;AJ$2,""),3,999))</f>
        <v/>
      </c>
      <c r="AN47" s="81"/>
      <c r="AO47" s="88"/>
      <c r="AP47" s="89" t="str">
        <f aca="false">IF(AO47="","",ROUND(AO47/(1+Справочники!$B$13),2))</f>
        <v/>
      </c>
      <c r="AQ47" s="90" t="str">
        <f aca="false" t="array" ref="AQ47:AQ47">IF(AP47="","",AP47*INDEX(Справочники!$B$4:$B$7,MATCH("RUB",Справочники!$A$4:$A$7,0)))</f>
        <v/>
      </c>
      <c r="AR47" s="90" t="str">
        <f aca="false">IF(AQ47="","",ROUND(AQ47*(1+Справочники!$B$12),0))</f>
        <v/>
      </c>
      <c r="AS47" s="90" t="str">
        <f aca="false">IF(AR47="","",ROUND(AR47*(1-Справочники!$B$11),0))</f>
        <v/>
      </c>
      <c r="AT47" s="88"/>
      <c r="AU47" s="90" t="str">
        <f aca="false">IF(AT47="","",ROUND(AT47/(1+Справочники!$B$12),0))</f>
        <v/>
      </c>
      <c r="AV47" s="90" t="str">
        <f aca="false">IF(AT47="","",ROUND(AT47*(1-Справочники!$B$15),0))</f>
        <v/>
      </c>
      <c r="AW47" s="90" t="str">
        <f aca="false">IF(AT47="","",ROUND(AT47*(1-Справочники!$B$16),0))</f>
        <v/>
      </c>
      <c r="AX47" s="90" t="str">
        <f aca="false">IF(AT47="","",ROUND(AT47*(1-Справочники!$B$17),0))</f>
        <v/>
      </c>
      <c r="AY47" s="90" t="str">
        <f aca="false">IF(AT47="","",ROUND(AT47*(1-Справочники!$B$18),0))</f>
        <v/>
      </c>
      <c r="AZ47" s="90" t="str">
        <f aca="false">IF(AT47="","",ROUND(AT47*(1-Справочники!$B$19),0))</f>
        <v/>
      </c>
      <c r="BA47" s="81"/>
      <c r="BB47" s="81"/>
      <c r="BC47" s="81"/>
      <c r="BD47" s="81"/>
      <c r="BE47" s="91"/>
      <c r="BF47" s="81" t="s">
        <v>103</v>
      </c>
      <c r="BG47" s="89" t="n">
        <f aca="false" t="array" ref="BG47:BG47">IF(BF47="","",IFERROR(INDEX(Справочники!$B$4:$B$7,MATCH(BF47,Справочники!$A$4:$A$7,0)),""))</f>
        <v>68.5</v>
      </c>
      <c r="BH47" s="90" t="str">
        <f aca="false">IF(N(BN47)&gt;0,ROUND(SUMIF(ЗАКАЗЫ!$F$3:$F$500,$A47,ЗАКАЗЫ!$Y$3:$Y$500)/BN47,0),IF(OR(BE47="",BG47=""),"",ROUND(BE47*BG47*(1+Справочники!$B$10),0)))</f>
        <v/>
      </c>
      <c r="BI47" s="92" t="str">
        <f aca="false">IF(OR(AU47="",BH47="",AU47=0),"",(AU47-BH47)/AU47)</f>
        <v/>
      </c>
      <c r="BJ47" s="81"/>
      <c r="BK47" s="83"/>
      <c r="BL47" s="43" t="str">
        <f aca="false">IFERROR(INDEX(ЗАКАЗЫ!$N$3:$N$500,MATCH($A47,ЗАКАЗЫ!$F$3:$F$500,0)),"")</f>
        <v/>
      </c>
      <c r="BM47" s="8" t="str">
        <f aca="false">IF(BL47="","",IFERROR(VLOOKUP(BL47,'ТН ВЭД'!$A$4:$C$40,3,0),""))</f>
        <v/>
      </c>
      <c r="BN47" s="7" t="str">
        <f aca="false">IF(COUNTIF(ЗАКАЗЫ!$F$3:$F$500,$A47)=0,"",SUMIF(ЗАКАЗЫ!$F$3:$F$500,$A47,ЗАКАЗЫ!$J$3:$J$500))</f>
        <v/>
      </c>
      <c r="BO47" s="7" t="str">
        <f aca="false">IF(BN47="","",SUMIF(ЗАКАЗЫ!$F$3:$F$500,$A47,ЗАКАЗЫ!$AL$3:$AL$500))</f>
        <v/>
      </c>
      <c r="BP47" s="7" t="str">
        <f aca="false">IF(BN47="","",BN47-BO47)</f>
        <v/>
      </c>
      <c r="BQ47" s="55" t="str">
        <f aca="false">IF(BN47="","",IF(BO47&gt;=BN47,"На складе",IF(BO47&gt;0,"Частично","Ждём")))</f>
        <v/>
      </c>
      <c r="BR47" s="43"/>
      <c r="BS47" s="47" t="str">
        <f aca="false">IF(BN47="","",IF(_xlfn.MAXIFS(ЗАКАЗЫ!$AK$3:$AK$500,ЗАКАЗЫ!$F$3:$F$500,$A47)=0,"",_xlfn.MAXIFS(ЗАКАЗЫ!$AK$3:$AK$500,ЗАКАЗЫ!$F$3:$F$500,$A47)))</f>
        <v/>
      </c>
    </row>
    <row r="48" customFormat="false" ht="15.75" hidden="false" customHeight="true" outlineLevel="0" collapsed="false">
      <c r="A48" s="80" t="s">
        <v>1571</v>
      </c>
      <c r="B48" s="81"/>
      <c r="C48" s="81"/>
      <c r="D48" s="81"/>
      <c r="E48" s="83"/>
      <c r="F48" s="81"/>
      <c r="G48" s="83"/>
      <c r="H48" s="83"/>
      <c r="I48" s="84" t="str">
        <f aca="false">IF(E48="","",A48&amp;"_1.jpg")</f>
        <v/>
      </c>
      <c r="J48" s="84" t="str">
        <f aca="false">IF(E48="","",A48&amp;"_2.jpg; "&amp;A48&amp;"_3.jpg")</f>
        <v/>
      </c>
      <c r="K48" s="84" t="str">
        <f aca="false">IF(E48="","",A48&amp;"_schema.jpg")</f>
        <v/>
      </c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 t="s">
        <v>96</v>
      </c>
      <c r="W48" s="81"/>
      <c r="X48" s="81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6" t="str">
        <f aca="false">IF(SUM(Y48:AJ48)=0,"",SUM(Y48:AJ48))</f>
        <v/>
      </c>
      <c r="AL48" s="84" t="str">
        <f aca="false">MID(IF(N(Y48)&gt;0,", "&amp;Y$2,"")&amp;IF(N(Z48)&gt;0,", "&amp;Z$2,"")&amp;IF(N(AA48)&gt;0,", "&amp;AA$2,"")&amp;IF(N(AB48)&gt;0,", "&amp;AB$2,"")&amp;IF(N(AC48)&gt;0,", "&amp;AC$2,"")&amp;IF(N(AD48)&gt;0,", "&amp;AD$2,"")&amp;IF(N(AE48)&gt;0,", "&amp;AE$2,"")&amp;IF(N(AF48)&gt;0,", "&amp;AF$2,"")&amp;IF(N(AG48)&gt;0,", "&amp;AG$2,"")&amp;IF(N(AH48)&gt;0,", "&amp;AH$2,"")&amp;IF(N(AI48)&gt;0,", "&amp;AI$2,"")&amp;IF(N(AJ48)&gt;0,", "&amp;AJ$2,""),3,999)</f>
        <v/>
      </c>
      <c r="AM48" s="87" t="str">
        <f aca="false">IF(E48="","",MID(IF(N(Y48)&gt;0,", "&amp;A48&amp;"-"&amp;Y$2,"")&amp;IF(N(Z48)&gt;0,", "&amp;A48&amp;"-"&amp;Z$2,"")&amp;IF(N(AA48)&gt;0,", "&amp;A48&amp;"-"&amp;AA$2,"")&amp;IF(N(AB48)&gt;0,", "&amp;A48&amp;"-"&amp;AB$2,"")&amp;IF(N(AC48)&gt;0,", "&amp;A48&amp;"-"&amp;AC$2,"")&amp;IF(N(AD48)&gt;0,", "&amp;A48&amp;"-"&amp;AD$2,"")&amp;IF(N(AE48)&gt;0,", "&amp;A48&amp;"-"&amp;AE$2,"")&amp;IF(N(AF48)&gt;0,", "&amp;A48&amp;"-"&amp;AF$2,"")&amp;IF(N(AG48)&gt;0,", "&amp;A48&amp;"-"&amp;AG$2,"")&amp;IF(N(AH48)&gt;0,", "&amp;A48&amp;"-"&amp;AH$2,"")&amp;IF(N(AI48)&gt;0,", "&amp;A48&amp;"-"&amp;AI$2,"")&amp;IF(N(AJ48)&gt;0,", "&amp;A48&amp;"-"&amp;AJ$2,""),3,999))</f>
        <v/>
      </c>
      <c r="AN48" s="81"/>
      <c r="AO48" s="88"/>
      <c r="AP48" s="89" t="str">
        <f aca="false">IF(AO48="","",ROUND(AO48/(1+Справочники!$B$13),2))</f>
        <v/>
      </c>
      <c r="AQ48" s="90" t="str">
        <f aca="false" t="array" ref="AQ48:AQ48">IF(AP48="","",AP48*INDEX(Справочники!$B$4:$B$7,MATCH("RUB",Справочники!$A$4:$A$7,0)))</f>
        <v/>
      </c>
      <c r="AR48" s="90" t="str">
        <f aca="false">IF(AQ48="","",ROUND(AQ48*(1+Справочники!$B$12),0))</f>
        <v/>
      </c>
      <c r="AS48" s="90" t="str">
        <f aca="false">IF(AR48="","",ROUND(AR48*(1-Справочники!$B$11),0))</f>
        <v/>
      </c>
      <c r="AT48" s="88"/>
      <c r="AU48" s="90" t="str">
        <f aca="false">IF(AT48="","",ROUND(AT48/(1+Справочники!$B$12),0))</f>
        <v/>
      </c>
      <c r="AV48" s="90" t="str">
        <f aca="false">IF(AT48="","",ROUND(AT48*(1-Справочники!$B$15),0))</f>
        <v/>
      </c>
      <c r="AW48" s="90" t="str">
        <f aca="false">IF(AT48="","",ROUND(AT48*(1-Справочники!$B$16),0))</f>
        <v/>
      </c>
      <c r="AX48" s="90" t="str">
        <f aca="false">IF(AT48="","",ROUND(AT48*(1-Справочники!$B$17),0))</f>
        <v/>
      </c>
      <c r="AY48" s="90" t="str">
        <f aca="false">IF(AT48="","",ROUND(AT48*(1-Справочники!$B$18),0))</f>
        <v/>
      </c>
      <c r="AZ48" s="90" t="str">
        <f aca="false">IF(AT48="","",ROUND(AT48*(1-Справочники!$B$19),0))</f>
        <v/>
      </c>
      <c r="BA48" s="81"/>
      <c r="BB48" s="81"/>
      <c r="BC48" s="81"/>
      <c r="BD48" s="81"/>
      <c r="BE48" s="91"/>
      <c r="BF48" s="81" t="s">
        <v>103</v>
      </c>
      <c r="BG48" s="89" t="n">
        <f aca="false" t="array" ref="BG48:BG48">IF(BF48="","",IFERROR(INDEX(Справочники!$B$4:$B$7,MATCH(BF48,Справочники!$A$4:$A$7,0)),""))</f>
        <v>68.5</v>
      </c>
      <c r="BH48" s="90" t="str">
        <f aca="false">IF(N(BN48)&gt;0,ROUND(SUMIF(ЗАКАЗЫ!$F$3:$F$500,$A48,ЗАКАЗЫ!$Y$3:$Y$500)/BN48,0),IF(OR(BE48="",BG48=""),"",ROUND(BE48*BG48*(1+Справочники!$B$10),0)))</f>
        <v/>
      </c>
      <c r="BI48" s="92" t="str">
        <f aca="false">IF(OR(AU48="",BH48="",AU48=0),"",(AU48-BH48)/AU48)</f>
        <v/>
      </c>
      <c r="BJ48" s="81"/>
      <c r="BK48" s="83"/>
      <c r="BL48" s="43" t="str">
        <f aca="false">IFERROR(INDEX(ЗАКАЗЫ!$N$3:$N$500,MATCH($A48,ЗАКАЗЫ!$F$3:$F$500,0)),"")</f>
        <v/>
      </c>
      <c r="BM48" s="8" t="str">
        <f aca="false">IF(BL48="","",IFERROR(VLOOKUP(BL48,'ТН ВЭД'!$A$4:$C$40,3,0),""))</f>
        <v/>
      </c>
      <c r="BN48" s="7" t="str">
        <f aca="false">IF(COUNTIF(ЗАКАЗЫ!$F$3:$F$500,$A48)=0,"",SUMIF(ЗАКАЗЫ!$F$3:$F$500,$A48,ЗАКАЗЫ!$J$3:$J$500))</f>
        <v/>
      </c>
      <c r="BO48" s="7" t="str">
        <f aca="false">IF(BN48="","",SUMIF(ЗАКАЗЫ!$F$3:$F$500,$A48,ЗАКАЗЫ!$AL$3:$AL$500))</f>
        <v/>
      </c>
      <c r="BP48" s="7" t="str">
        <f aca="false">IF(BN48="","",BN48-BO48)</f>
        <v/>
      </c>
      <c r="BQ48" s="55" t="str">
        <f aca="false">IF(BN48="","",IF(BO48&gt;=BN48,"На складе",IF(BO48&gt;0,"Частично","Ждём")))</f>
        <v/>
      </c>
      <c r="BR48" s="43"/>
      <c r="BS48" s="47" t="str">
        <f aca="false">IF(BN48="","",IF(_xlfn.MAXIFS(ЗАКАЗЫ!$AK$3:$AK$500,ЗАКАЗЫ!$F$3:$F$500,$A48)=0,"",_xlfn.MAXIFS(ЗАКАЗЫ!$AK$3:$AK$500,ЗАКАЗЫ!$F$3:$F$500,$A48)))</f>
        <v/>
      </c>
    </row>
    <row r="49" customFormat="false" ht="15.75" hidden="false" customHeight="true" outlineLevel="0" collapsed="false">
      <c r="A49" s="80" t="s">
        <v>1572</v>
      </c>
      <c r="B49" s="81"/>
      <c r="C49" s="81"/>
      <c r="D49" s="81"/>
      <c r="E49" s="83"/>
      <c r="F49" s="81"/>
      <c r="G49" s="83"/>
      <c r="H49" s="83"/>
      <c r="I49" s="84" t="str">
        <f aca="false">IF(E49="","",A49&amp;"_1.jpg")</f>
        <v/>
      </c>
      <c r="J49" s="84" t="str">
        <f aca="false">IF(E49="","",A49&amp;"_2.jpg; "&amp;A49&amp;"_3.jpg")</f>
        <v/>
      </c>
      <c r="K49" s="84" t="str">
        <f aca="false">IF(E49="","",A49&amp;"_schema.jpg")</f>
        <v/>
      </c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 t="s">
        <v>96</v>
      </c>
      <c r="W49" s="81"/>
      <c r="X49" s="81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6" t="str">
        <f aca="false">IF(SUM(Y49:AJ49)=0,"",SUM(Y49:AJ49))</f>
        <v/>
      </c>
      <c r="AL49" s="84" t="str">
        <f aca="false">MID(IF(N(Y49)&gt;0,", "&amp;Y$2,"")&amp;IF(N(Z49)&gt;0,", "&amp;Z$2,"")&amp;IF(N(AA49)&gt;0,", "&amp;AA$2,"")&amp;IF(N(AB49)&gt;0,", "&amp;AB$2,"")&amp;IF(N(AC49)&gt;0,", "&amp;AC$2,"")&amp;IF(N(AD49)&gt;0,", "&amp;AD$2,"")&amp;IF(N(AE49)&gt;0,", "&amp;AE$2,"")&amp;IF(N(AF49)&gt;0,", "&amp;AF$2,"")&amp;IF(N(AG49)&gt;0,", "&amp;AG$2,"")&amp;IF(N(AH49)&gt;0,", "&amp;AH$2,"")&amp;IF(N(AI49)&gt;0,", "&amp;AI$2,"")&amp;IF(N(AJ49)&gt;0,", "&amp;AJ$2,""),3,999)</f>
        <v/>
      </c>
      <c r="AM49" s="87" t="str">
        <f aca="false">IF(E49="","",MID(IF(N(Y49)&gt;0,", "&amp;A49&amp;"-"&amp;Y$2,"")&amp;IF(N(Z49)&gt;0,", "&amp;A49&amp;"-"&amp;Z$2,"")&amp;IF(N(AA49)&gt;0,", "&amp;A49&amp;"-"&amp;AA$2,"")&amp;IF(N(AB49)&gt;0,", "&amp;A49&amp;"-"&amp;AB$2,"")&amp;IF(N(AC49)&gt;0,", "&amp;A49&amp;"-"&amp;AC$2,"")&amp;IF(N(AD49)&gt;0,", "&amp;A49&amp;"-"&amp;AD$2,"")&amp;IF(N(AE49)&gt;0,", "&amp;A49&amp;"-"&amp;AE$2,"")&amp;IF(N(AF49)&gt;0,", "&amp;A49&amp;"-"&amp;AF$2,"")&amp;IF(N(AG49)&gt;0,", "&amp;A49&amp;"-"&amp;AG$2,"")&amp;IF(N(AH49)&gt;0,", "&amp;A49&amp;"-"&amp;AH$2,"")&amp;IF(N(AI49)&gt;0,", "&amp;A49&amp;"-"&amp;AI$2,"")&amp;IF(N(AJ49)&gt;0,", "&amp;A49&amp;"-"&amp;AJ$2,""),3,999))</f>
        <v/>
      </c>
      <c r="AN49" s="81"/>
      <c r="AO49" s="88"/>
      <c r="AP49" s="89" t="str">
        <f aca="false">IF(AO49="","",ROUND(AO49/(1+Справочники!$B$13),2))</f>
        <v/>
      </c>
      <c r="AQ49" s="90" t="str">
        <f aca="false" t="array" ref="AQ49:AQ49">IF(AP49="","",AP49*INDEX(Справочники!$B$4:$B$7,MATCH("RUB",Справочники!$A$4:$A$7,0)))</f>
        <v/>
      </c>
      <c r="AR49" s="90" t="str">
        <f aca="false">IF(AQ49="","",ROUND(AQ49*(1+Справочники!$B$12),0))</f>
        <v/>
      </c>
      <c r="AS49" s="90" t="str">
        <f aca="false">IF(AR49="","",ROUND(AR49*(1-Справочники!$B$11),0))</f>
        <v/>
      </c>
      <c r="AT49" s="88"/>
      <c r="AU49" s="90" t="str">
        <f aca="false">IF(AT49="","",ROUND(AT49/(1+Справочники!$B$12),0))</f>
        <v/>
      </c>
      <c r="AV49" s="90" t="str">
        <f aca="false">IF(AT49="","",ROUND(AT49*(1-Справочники!$B$15),0))</f>
        <v/>
      </c>
      <c r="AW49" s="90" t="str">
        <f aca="false">IF(AT49="","",ROUND(AT49*(1-Справочники!$B$16),0))</f>
        <v/>
      </c>
      <c r="AX49" s="90" t="str">
        <f aca="false">IF(AT49="","",ROUND(AT49*(1-Справочники!$B$17),0))</f>
        <v/>
      </c>
      <c r="AY49" s="90" t="str">
        <f aca="false">IF(AT49="","",ROUND(AT49*(1-Справочники!$B$18),0))</f>
        <v/>
      </c>
      <c r="AZ49" s="90" t="str">
        <f aca="false">IF(AT49="","",ROUND(AT49*(1-Справочники!$B$19),0))</f>
        <v/>
      </c>
      <c r="BA49" s="81"/>
      <c r="BB49" s="81"/>
      <c r="BC49" s="81"/>
      <c r="BD49" s="81"/>
      <c r="BE49" s="91"/>
      <c r="BF49" s="81" t="s">
        <v>103</v>
      </c>
      <c r="BG49" s="89" t="n">
        <f aca="false" t="array" ref="BG49:BG49">IF(BF49="","",IFERROR(INDEX(Справочники!$B$4:$B$7,MATCH(BF49,Справочники!$A$4:$A$7,0)),""))</f>
        <v>68.5</v>
      </c>
      <c r="BH49" s="90" t="str">
        <f aca="false">IF(N(BN49)&gt;0,ROUND(SUMIF(ЗАКАЗЫ!$F$3:$F$500,$A49,ЗАКАЗЫ!$Y$3:$Y$500)/BN49,0),IF(OR(BE49="",BG49=""),"",ROUND(BE49*BG49*(1+Справочники!$B$10),0)))</f>
        <v/>
      </c>
      <c r="BI49" s="92" t="str">
        <f aca="false">IF(OR(AU49="",BH49="",AU49=0),"",(AU49-BH49)/AU49)</f>
        <v/>
      </c>
      <c r="BJ49" s="81"/>
      <c r="BK49" s="83"/>
      <c r="BL49" s="43" t="str">
        <f aca="false">IFERROR(INDEX(ЗАКАЗЫ!$N$3:$N$500,MATCH($A49,ЗАКАЗЫ!$F$3:$F$500,0)),"")</f>
        <v/>
      </c>
      <c r="BM49" s="8" t="str">
        <f aca="false">IF(BL49="","",IFERROR(VLOOKUP(BL49,'ТН ВЭД'!$A$4:$C$40,3,0),""))</f>
        <v/>
      </c>
      <c r="BN49" s="7" t="str">
        <f aca="false">IF(COUNTIF(ЗАКАЗЫ!$F$3:$F$500,$A49)=0,"",SUMIF(ЗАКАЗЫ!$F$3:$F$500,$A49,ЗАКАЗЫ!$J$3:$J$500))</f>
        <v/>
      </c>
      <c r="BO49" s="7" t="str">
        <f aca="false">IF(BN49="","",SUMIF(ЗАКАЗЫ!$F$3:$F$500,$A49,ЗАКАЗЫ!$AL$3:$AL$500))</f>
        <v/>
      </c>
      <c r="BP49" s="7" t="str">
        <f aca="false">IF(BN49="","",BN49-BO49)</f>
        <v/>
      </c>
      <c r="BQ49" s="55" t="str">
        <f aca="false">IF(BN49="","",IF(BO49&gt;=BN49,"На складе",IF(BO49&gt;0,"Частично","Ждём")))</f>
        <v/>
      </c>
      <c r="BR49" s="43"/>
      <c r="BS49" s="47" t="str">
        <f aca="false">IF(BN49="","",IF(_xlfn.MAXIFS(ЗАКАЗЫ!$AK$3:$AK$500,ЗАКАЗЫ!$F$3:$F$500,$A49)=0,"",_xlfn.MAXIFS(ЗАКАЗЫ!$AK$3:$AK$500,ЗАКАЗЫ!$F$3:$F$500,$A49)))</f>
        <v/>
      </c>
    </row>
    <row r="50" customFormat="false" ht="15.75" hidden="false" customHeight="true" outlineLevel="0" collapsed="false">
      <c r="A50" s="80" t="s">
        <v>1573</v>
      </c>
      <c r="B50" s="81"/>
      <c r="C50" s="81"/>
      <c r="D50" s="81"/>
      <c r="E50" s="83"/>
      <c r="F50" s="81"/>
      <c r="G50" s="83"/>
      <c r="H50" s="83"/>
      <c r="I50" s="84" t="str">
        <f aca="false">IF(E50="","",A50&amp;"_1.jpg")</f>
        <v/>
      </c>
      <c r="J50" s="84" t="str">
        <f aca="false">IF(E50="","",A50&amp;"_2.jpg; "&amp;A50&amp;"_3.jpg")</f>
        <v/>
      </c>
      <c r="K50" s="84" t="str">
        <f aca="false">IF(E50="","",A50&amp;"_schema.jpg")</f>
        <v/>
      </c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 t="s">
        <v>96</v>
      </c>
      <c r="W50" s="81"/>
      <c r="X50" s="81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6" t="str">
        <f aca="false">IF(SUM(Y50:AJ50)=0,"",SUM(Y50:AJ50))</f>
        <v/>
      </c>
      <c r="AL50" s="84" t="str">
        <f aca="false">MID(IF(N(Y50)&gt;0,", "&amp;Y$2,"")&amp;IF(N(Z50)&gt;0,", "&amp;Z$2,"")&amp;IF(N(AA50)&gt;0,", "&amp;AA$2,"")&amp;IF(N(AB50)&gt;0,", "&amp;AB$2,"")&amp;IF(N(AC50)&gt;0,", "&amp;AC$2,"")&amp;IF(N(AD50)&gt;0,", "&amp;AD$2,"")&amp;IF(N(AE50)&gt;0,", "&amp;AE$2,"")&amp;IF(N(AF50)&gt;0,", "&amp;AF$2,"")&amp;IF(N(AG50)&gt;0,", "&amp;AG$2,"")&amp;IF(N(AH50)&gt;0,", "&amp;AH$2,"")&amp;IF(N(AI50)&gt;0,", "&amp;AI$2,"")&amp;IF(N(AJ50)&gt;0,", "&amp;AJ$2,""),3,999)</f>
        <v/>
      </c>
      <c r="AM50" s="87" t="str">
        <f aca="false">IF(E50="","",MID(IF(N(Y50)&gt;0,", "&amp;A50&amp;"-"&amp;Y$2,"")&amp;IF(N(Z50)&gt;0,", "&amp;A50&amp;"-"&amp;Z$2,"")&amp;IF(N(AA50)&gt;0,", "&amp;A50&amp;"-"&amp;AA$2,"")&amp;IF(N(AB50)&gt;0,", "&amp;A50&amp;"-"&amp;AB$2,"")&amp;IF(N(AC50)&gt;0,", "&amp;A50&amp;"-"&amp;AC$2,"")&amp;IF(N(AD50)&gt;0,", "&amp;A50&amp;"-"&amp;AD$2,"")&amp;IF(N(AE50)&gt;0,", "&amp;A50&amp;"-"&amp;AE$2,"")&amp;IF(N(AF50)&gt;0,", "&amp;A50&amp;"-"&amp;AF$2,"")&amp;IF(N(AG50)&gt;0,", "&amp;A50&amp;"-"&amp;AG$2,"")&amp;IF(N(AH50)&gt;0,", "&amp;A50&amp;"-"&amp;AH$2,"")&amp;IF(N(AI50)&gt;0,", "&amp;A50&amp;"-"&amp;AI$2,"")&amp;IF(N(AJ50)&gt;0,", "&amp;A50&amp;"-"&amp;AJ$2,""),3,999))</f>
        <v/>
      </c>
      <c r="AN50" s="81"/>
      <c r="AO50" s="88"/>
      <c r="AP50" s="89" t="str">
        <f aca="false">IF(AO50="","",ROUND(AO50/(1+Справочники!$B$13),2))</f>
        <v/>
      </c>
      <c r="AQ50" s="90" t="str">
        <f aca="false" t="array" ref="AQ50:AQ50">IF(AP50="","",AP50*INDEX(Справочники!$B$4:$B$7,MATCH("RUB",Справочники!$A$4:$A$7,0)))</f>
        <v/>
      </c>
      <c r="AR50" s="90" t="str">
        <f aca="false">IF(AQ50="","",ROUND(AQ50*(1+Справочники!$B$12),0))</f>
        <v/>
      </c>
      <c r="AS50" s="90" t="str">
        <f aca="false">IF(AR50="","",ROUND(AR50*(1-Справочники!$B$11),0))</f>
        <v/>
      </c>
      <c r="AT50" s="88"/>
      <c r="AU50" s="90" t="str">
        <f aca="false">IF(AT50="","",ROUND(AT50/(1+Справочники!$B$12),0))</f>
        <v/>
      </c>
      <c r="AV50" s="90" t="str">
        <f aca="false">IF(AT50="","",ROUND(AT50*(1-Справочники!$B$15),0))</f>
        <v/>
      </c>
      <c r="AW50" s="90" t="str">
        <f aca="false">IF(AT50="","",ROUND(AT50*(1-Справочники!$B$16),0))</f>
        <v/>
      </c>
      <c r="AX50" s="90" t="str">
        <f aca="false">IF(AT50="","",ROUND(AT50*(1-Справочники!$B$17),0))</f>
        <v/>
      </c>
      <c r="AY50" s="90" t="str">
        <f aca="false">IF(AT50="","",ROUND(AT50*(1-Справочники!$B$18),0))</f>
        <v/>
      </c>
      <c r="AZ50" s="90" t="str">
        <f aca="false">IF(AT50="","",ROUND(AT50*(1-Справочники!$B$19),0))</f>
        <v/>
      </c>
      <c r="BA50" s="81"/>
      <c r="BB50" s="81"/>
      <c r="BC50" s="81"/>
      <c r="BD50" s="81"/>
      <c r="BE50" s="91"/>
      <c r="BF50" s="81" t="s">
        <v>103</v>
      </c>
      <c r="BG50" s="89" t="n">
        <f aca="false" t="array" ref="BG50:BG50">IF(BF50="","",IFERROR(INDEX(Справочники!$B$4:$B$7,MATCH(BF50,Справочники!$A$4:$A$7,0)),""))</f>
        <v>68.5</v>
      </c>
      <c r="BH50" s="90" t="str">
        <f aca="false">IF(N(BN50)&gt;0,ROUND(SUMIF(ЗАКАЗЫ!$F$3:$F$500,$A50,ЗАКАЗЫ!$Y$3:$Y$500)/BN50,0),IF(OR(BE50="",BG50=""),"",ROUND(BE50*BG50*(1+Справочники!$B$10),0)))</f>
        <v/>
      </c>
      <c r="BI50" s="92" t="str">
        <f aca="false">IF(OR(AU50="",BH50="",AU50=0),"",(AU50-BH50)/AU50)</f>
        <v/>
      </c>
      <c r="BJ50" s="81"/>
      <c r="BK50" s="83"/>
      <c r="BL50" s="43" t="str">
        <f aca="false">IFERROR(INDEX(ЗАКАЗЫ!$N$3:$N$500,MATCH($A50,ЗАКАЗЫ!$F$3:$F$500,0)),"")</f>
        <v/>
      </c>
      <c r="BM50" s="8" t="str">
        <f aca="false">IF(BL50="","",IFERROR(VLOOKUP(BL50,'ТН ВЭД'!$A$4:$C$40,3,0),""))</f>
        <v/>
      </c>
      <c r="BN50" s="7" t="str">
        <f aca="false">IF(COUNTIF(ЗАКАЗЫ!$F$3:$F$500,$A50)=0,"",SUMIF(ЗАКАЗЫ!$F$3:$F$500,$A50,ЗАКАЗЫ!$J$3:$J$500))</f>
        <v/>
      </c>
      <c r="BO50" s="7" t="str">
        <f aca="false">IF(BN50="","",SUMIF(ЗАКАЗЫ!$F$3:$F$500,$A50,ЗАКАЗЫ!$AL$3:$AL$500))</f>
        <v/>
      </c>
      <c r="BP50" s="7" t="str">
        <f aca="false">IF(BN50="","",BN50-BO50)</f>
        <v/>
      </c>
      <c r="BQ50" s="55" t="str">
        <f aca="false">IF(BN50="","",IF(BO50&gt;=BN50,"На складе",IF(BO50&gt;0,"Частично","Ждём")))</f>
        <v/>
      </c>
      <c r="BR50" s="43"/>
      <c r="BS50" s="47" t="str">
        <f aca="false">IF(BN50="","",IF(_xlfn.MAXIFS(ЗАКАЗЫ!$AK$3:$AK$500,ЗАКАЗЫ!$F$3:$F$500,$A50)=0,"",_xlfn.MAXIFS(ЗАКАЗЫ!$AK$3:$AK$500,ЗАКАЗЫ!$F$3:$F$500,$A50)))</f>
        <v/>
      </c>
    </row>
    <row r="51" customFormat="false" ht="15.75" hidden="false" customHeight="true" outlineLevel="0" collapsed="false">
      <c r="A51" s="80" t="s">
        <v>1574</v>
      </c>
      <c r="B51" s="81"/>
      <c r="C51" s="81"/>
      <c r="D51" s="81"/>
      <c r="E51" s="83"/>
      <c r="F51" s="81"/>
      <c r="G51" s="83"/>
      <c r="H51" s="83"/>
      <c r="I51" s="84" t="str">
        <f aca="false">IF(E51="","",A51&amp;"_1.jpg")</f>
        <v/>
      </c>
      <c r="J51" s="84" t="str">
        <f aca="false">IF(E51="","",A51&amp;"_2.jpg; "&amp;A51&amp;"_3.jpg")</f>
        <v/>
      </c>
      <c r="K51" s="84" t="str">
        <f aca="false">IF(E51="","",A51&amp;"_schema.jpg")</f>
        <v/>
      </c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 t="s">
        <v>96</v>
      </c>
      <c r="W51" s="81"/>
      <c r="X51" s="81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6" t="str">
        <f aca="false">IF(SUM(Y51:AJ51)=0,"",SUM(Y51:AJ51))</f>
        <v/>
      </c>
      <c r="AL51" s="84" t="str">
        <f aca="false">MID(IF(N(Y51)&gt;0,", "&amp;Y$2,"")&amp;IF(N(Z51)&gt;0,", "&amp;Z$2,"")&amp;IF(N(AA51)&gt;0,", "&amp;AA$2,"")&amp;IF(N(AB51)&gt;0,", "&amp;AB$2,"")&amp;IF(N(AC51)&gt;0,", "&amp;AC$2,"")&amp;IF(N(AD51)&gt;0,", "&amp;AD$2,"")&amp;IF(N(AE51)&gt;0,", "&amp;AE$2,"")&amp;IF(N(AF51)&gt;0,", "&amp;AF$2,"")&amp;IF(N(AG51)&gt;0,", "&amp;AG$2,"")&amp;IF(N(AH51)&gt;0,", "&amp;AH$2,"")&amp;IF(N(AI51)&gt;0,", "&amp;AI$2,"")&amp;IF(N(AJ51)&gt;0,", "&amp;AJ$2,""),3,999)</f>
        <v/>
      </c>
      <c r="AM51" s="87" t="str">
        <f aca="false">IF(E51="","",MID(IF(N(Y51)&gt;0,", "&amp;A51&amp;"-"&amp;Y$2,"")&amp;IF(N(Z51)&gt;0,", "&amp;A51&amp;"-"&amp;Z$2,"")&amp;IF(N(AA51)&gt;0,", "&amp;A51&amp;"-"&amp;AA$2,"")&amp;IF(N(AB51)&gt;0,", "&amp;A51&amp;"-"&amp;AB$2,"")&amp;IF(N(AC51)&gt;0,", "&amp;A51&amp;"-"&amp;AC$2,"")&amp;IF(N(AD51)&gt;0,", "&amp;A51&amp;"-"&amp;AD$2,"")&amp;IF(N(AE51)&gt;0,", "&amp;A51&amp;"-"&amp;AE$2,"")&amp;IF(N(AF51)&gt;0,", "&amp;A51&amp;"-"&amp;AF$2,"")&amp;IF(N(AG51)&gt;0,", "&amp;A51&amp;"-"&amp;AG$2,"")&amp;IF(N(AH51)&gt;0,", "&amp;A51&amp;"-"&amp;AH$2,"")&amp;IF(N(AI51)&gt;0,", "&amp;A51&amp;"-"&amp;AI$2,"")&amp;IF(N(AJ51)&gt;0,", "&amp;A51&amp;"-"&amp;AJ$2,""),3,999))</f>
        <v/>
      </c>
      <c r="AN51" s="81"/>
      <c r="AO51" s="88"/>
      <c r="AP51" s="89" t="str">
        <f aca="false">IF(AO51="","",ROUND(AO51/(1+Справочники!$B$13),2))</f>
        <v/>
      </c>
      <c r="AQ51" s="90" t="str">
        <f aca="false" t="array" ref="AQ51:AQ51">IF(AP51="","",AP51*INDEX(Справочники!$B$4:$B$7,MATCH("RUB",Справочники!$A$4:$A$7,0)))</f>
        <v/>
      </c>
      <c r="AR51" s="90" t="str">
        <f aca="false">IF(AQ51="","",ROUND(AQ51*(1+Справочники!$B$12),0))</f>
        <v/>
      </c>
      <c r="AS51" s="90" t="str">
        <f aca="false">IF(AR51="","",ROUND(AR51*(1-Справочники!$B$11),0))</f>
        <v/>
      </c>
      <c r="AT51" s="88"/>
      <c r="AU51" s="90" t="str">
        <f aca="false">IF(AT51="","",ROUND(AT51/(1+Справочники!$B$12),0))</f>
        <v/>
      </c>
      <c r="AV51" s="90" t="str">
        <f aca="false">IF(AT51="","",ROUND(AT51*(1-Справочники!$B$15),0))</f>
        <v/>
      </c>
      <c r="AW51" s="90" t="str">
        <f aca="false">IF(AT51="","",ROUND(AT51*(1-Справочники!$B$16),0))</f>
        <v/>
      </c>
      <c r="AX51" s="90" t="str">
        <f aca="false">IF(AT51="","",ROUND(AT51*(1-Справочники!$B$17),0))</f>
        <v/>
      </c>
      <c r="AY51" s="90" t="str">
        <f aca="false">IF(AT51="","",ROUND(AT51*(1-Справочники!$B$18),0))</f>
        <v/>
      </c>
      <c r="AZ51" s="90" t="str">
        <f aca="false">IF(AT51="","",ROUND(AT51*(1-Справочники!$B$19),0))</f>
        <v/>
      </c>
      <c r="BA51" s="81"/>
      <c r="BB51" s="81"/>
      <c r="BC51" s="81"/>
      <c r="BD51" s="81"/>
      <c r="BE51" s="91"/>
      <c r="BF51" s="81" t="s">
        <v>103</v>
      </c>
      <c r="BG51" s="89" t="n">
        <f aca="false" t="array" ref="BG51:BG51">IF(BF51="","",IFERROR(INDEX(Справочники!$B$4:$B$7,MATCH(BF51,Справочники!$A$4:$A$7,0)),""))</f>
        <v>68.5</v>
      </c>
      <c r="BH51" s="90" t="str">
        <f aca="false">IF(N(BN51)&gt;0,ROUND(SUMIF(ЗАКАЗЫ!$F$3:$F$500,$A51,ЗАКАЗЫ!$Y$3:$Y$500)/BN51,0),IF(OR(BE51="",BG51=""),"",ROUND(BE51*BG51*(1+Справочники!$B$10),0)))</f>
        <v/>
      </c>
      <c r="BI51" s="92" t="str">
        <f aca="false">IF(OR(AU51="",BH51="",AU51=0),"",(AU51-BH51)/AU51)</f>
        <v/>
      </c>
      <c r="BJ51" s="81"/>
      <c r="BK51" s="83"/>
      <c r="BL51" s="43" t="str">
        <f aca="false">IFERROR(INDEX(ЗАКАЗЫ!$N$3:$N$500,MATCH($A51,ЗАКАЗЫ!$F$3:$F$500,0)),"")</f>
        <v/>
      </c>
      <c r="BM51" s="8" t="str">
        <f aca="false">IF(BL51="","",IFERROR(VLOOKUP(BL51,'ТН ВЭД'!$A$4:$C$40,3,0),""))</f>
        <v/>
      </c>
      <c r="BN51" s="7" t="str">
        <f aca="false">IF(COUNTIF(ЗАКАЗЫ!$F$3:$F$500,$A51)=0,"",SUMIF(ЗАКАЗЫ!$F$3:$F$500,$A51,ЗАКАЗЫ!$J$3:$J$500))</f>
        <v/>
      </c>
      <c r="BO51" s="7" t="str">
        <f aca="false">IF(BN51="","",SUMIF(ЗАКАЗЫ!$F$3:$F$500,$A51,ЗАКАЗЫ!$AL$3:$AL$500))</f>
        <v/>
      </c>
      <c r="BP51" s="7" t="str">
        <f aca="false">IF(BN51="","",BN51-BO51)</f>
        <v/>
      </c>
      <c r="BQ51" s="55" t="str">
        <f aca="false">IF(BN51="","",IF(BO51&gt;=BN51,"На складе",IF(BO51&gt;0,"Частично","Ждём")))</f>
        <v/>
      </c>
      <c r="BR51" s="43"/>
      <c r="BS51" s="47" t="str">
        <f aca="false">IF(BN51="","",IF(_xlfn.MAXIFS(ЗАКАЗЫ!$AK$3:$AK$500,ЗАКАЗЫ!$F$3:$F$500,$A51)=0,"",_xlfn.MAXIFS(ЗАКАЗЫ!$AK$3:$AK$500,ЗАКАЗЫ!$F$3:$F$500,$A51)))</f>
        <v/>
      </c>
    </row>
    <row r="52" customFormat="false" ht="15.75" hidden="false" customHeight="true" outlineLevel="0" collapsed="false">
      <c r="A52" s="80" t="s">
        <v>1575</v>
      </c>
      <c r="B52" s="81"/>
      <c r="C52" s="81"/>
      <c r="D52" s="81"/>
      <c r="E52" s="83"/>
      <c r="F52" s="81"/>
      <c r="G52" s="83"/>
      <c r="H52" s="83"/>
      <c r="I52" s="84" t="str">
        <f aca="false">IF(E52="","",A52&amp;"_1.jpg")</f>
        <v/>
      </c>
      <c r="J52" s="84" t="str">
        <f aca="false">IF(E52="","",A52&amp;"_2.jpg; "&amp;A52&amp;"_3.jpg")</f>
        <v/>
      </c>
      <c r="K52" s="84" t="str">
        <f aca="false">IF(E52="","",A52&amp;"_schema.jpg")</f>
        <v/>
      </c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 t="s">
        <v>96</v>
      </c>
      <c r="W52" s="81"/>
      <c r="X52" s="81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6" t="str">
        <f aca="false">IF(SUM(Y52:AJ52)=0,"",SUM(Y52:AJ52))</f>
        <v/>
      </c>
      <c r="AL52" s="84" t="str">
        <f aca="false">MID(IF(N(Y52)&gt;0,", "&amp;Y$2,"")&amp;IF(N(Z52)&gt;0,", "&amp;Z$2,"")&amp;IF(N(AA52)&gt;0,", "&amp;AA$2,"")&amp;IF(N(AB52)&gt;0,", "&amp;AB$2,"")&amp;IF(N(AC52)&gt;0,", "&amp;AC$2,"")&amp;IF(N(AD52)&gt;0,", "&amp;AD$2,"")&amp;IF(N(AE52)&gt;0,", "&amp;AE$2,"")&amp;IF(N(AF52)&gt;0,", "&amp;AF$2,"")&amp;IF(N(AG52)&gt;0,", "&amp;AG$2,"")&amp;IF(N(AH52)&gt;0,", "&amp;AH$2,"")&amp;IF(N(AI52)&gt;0,", "&amp;AI$2,"")&amp;IF(N(AJ52)&gt;0,", "&amp;AJ$2,""),3,999)</f>
        <v/>
      </c>
      <c r="AM52" s="87" t="str">
        <f aca="false">IF(E52="","",MID(IF(N(Y52)&gt;0,", "&amp;A52&amp;"-"&amp;Y$2,"")&amp;IF(N(Z52)&gt;0,", "&amp;A52&amp;"-"&amp;Z$2,"")&amp;IF(N(AA52)&gt;0,", "&amp;A52&amp;"-"&amp;AA$2,"")&amp;IF(N(AB52)&gt;0,", "&amp;A52&amp;"-"&amp;AB$2,"")&amp;IF(N(AC52)&gt;0,", "&amp;A52&amp;"-"&amp;AC$2,"")&amp;IF(N(AD52)&gt;0,", "&amp;A52&amp;"-"&amp;AD$2,"")&amp;IF(N(AE52)&gt;0,", "&amp;A52&amp;"-"&amp;AE$2,"")&amp;IF(N(AF52)&gt;0,", "&amp;A52&amp;"-"&amp;AF$2,"")&amp;IF(N(AG52)&gt;0,", "&amp;A52&amp;"-"&amp;AG$2,"")&amp;IF(N(AH52)&gt;0,", "&amp;A52&amp;"-"&amp;AH$2,"")&amp;IF(N(AI52)&gt;0,", "&amp;A52&amp;"-"&amp;AI$2,"")&amp;IF(N(AJ52)&gt;0,", "&amp;A52&amp;"-"&amp;AJ$2,""),3,999))</f>
        <v/>
      </c>
      <c r="AN52" s="81"/>
      <c r="AO52" s="88"/>
      <c r="AP52" s="89" t="str">
        <f aca="false">IF(AO52="","",ROUND(AO52/(1+Справочники!$B$13),2))</f>
        <v/>
      </c>
      <c r="AQ52" s="90" t="str">
        <f aca="false" t="array" ref="AQ52:AQ52">IF(AP52="","",AP52*INDEX(Справочники!$B$4:$B$7,MATCH("RUB",Справочники!$A$4:$A$7,0)))</f>
        <v/>
      </c>
      <c r="AR52" s="90" t="str">
        <f aca="false">IF(AQ52="","",ROUND(AQ52*(1+Справочники!$B$12),0))</f>
        <v/>
      </c>
      <c r="AS52" s="90" t="str">
        <f aca="false">IF(AR52="","",ROUND(AR52*(1-Справочники!$B$11),0))</f>
        <v/>
      </c>
      <c r="AT52" s="88"/>
      <c r="AU52" s="90" t="str">
        <f aca="false">IF(AT52="","",ROUND(AT52/(1+Справочники!$B$12),0))</f>
        <v/>
      </c>
      <c r="AV52" s="90" t="str">
        <f aca="false">IF(AT52="","",ROUND(AT52*(1-Справочники!$B$15),0))</f>
        <v/>
      </c>
      <c r="AW52" s="90" t="str">
        <f aca="false">IF(AT52="","",ROUND(AT52*(1-Справочники!$B$16),0))</f>
        <v/>
      </c>
      <c r="AX52" s="90" t="str">
        <f aca="false">IF(AT52="","",ROUND(AT52*(1-Справочники!$B$17),0))</f>
        <v/>
      </c>
      <c r="AY52" s="90" t="str">
        <f aca="false">IF(AT52="","",ROUND(AT52*(1-Справочники!$B$18),0))</f>
        <v/>
      </c>
      <c r="AZ52" s="90" t="str">
        <f aca="false">IF(AT52="","",ROUND(AT52*(1-Справочники!$B$19),0))</f>
        <v/>
      </c>
      <c r="BA52" s="81"/>
      <c r="BB52" s="81"/>
      <c r="BC52" s="81"/>
      <c r="BD52" s="81"/>
      <c r="BE52" s="91"/>
      <c r="BF52" s="81" t="s">
        <v>103</v>
      </c>
      <c r="BG52" s="89" t="n">
        <f aca="false" t="array" ref="BG52:BG52">IF(BF52="","",IFERROR(INDEX(Справочники!$B$4:$B$7,MATCH(BF52,Справочники!$A$4:$A$7,0)),""))</f>
        <v>68.5</v>
      </c>
      <c r="BH52" s="90" t="str">
        <f aca="false">IF(N(BN52)&gt;0,ROUND(SUMIF(ЗАКАЗЫ!$F$3:$F$500,$A52,ЗАКАЗЫ!$Y$3:$Y$500)/BN52,0),IF(OR(BE52="",BG52=""),"",ROUND(BE52*BG52*(1+Справочники!$B$10),0)))</f>
        <v/>
      </c>
      <c r="BI52" s="92" t="str">
        <f aca="false">IF(OR(AU52="",BH52="",AU52=0),"",(AU52-BH52)/AU52)</f>
        <v/>
      </c>
      <c r="BJ52" s="81"/>
      <c r="BK52" s="83"/>
      <c r="BL52" s="43" t="str">
        <f aca="false">IFERROR(INDEX(ЗАКАЗЫ!$N$3:$N$500,MATCH($A52,ЗАКАЗЫ!$F$3:$F$500,0)),"")</f>
        <v/>
      </c>
      <c r="BM52" s="8" t="str">
        <f aca="false">IF(BL52="","",IFERROR(VLOOKUP(BL52,'ТН ВЭД'!$A$4:$C$40,3,0),""))</f>
        <v/>
      </c>
      <c r="BN52" s="7" t="str">
        <f aca="false">IF(COUNTIF(ЗАКАЗЫ!$F$3:$F$500,$A52)=0,"",SUMIF(ЗАКАЗЫ!$F$3:$F$500,$A52,ЗАКАЗЫ!$J$3:$J$500))</f>
        <v/>
      </c>
      <c r="BO52" s="7" t="str">
        <f aca="false">IF(BN52="","",SUMIF(ЗАКАЗЫ!$F$3:$F$500,$A52,ЗАКАЗЫ!$AL$3:$AL$500))</f>
        <v/>
      </c>
      <c r="BP52" s="7" t="str">
        <f aca="false">IF(BN52="","",BN52-BO52)</f>
        <v/>
      </c>
      <c r="BQ52" s="55" t="str">
        <f aca="false">IF(BN52="","",IF(BO52&gt;=BN52,"На складе",IF(BO52&gt;0,"Частично","Ждём")))</f>
        <v/>
      </c>
      <c r="BR52" s="43"/>
      <c r="BS52" s="47" t="str">
        <f aca="false">IF(BN52="","",IF(_xlfn.MAXIFS(ЗАКАЗЫ!$AK$3:$AK$500,ЗАКАЗЫ!$F$3:$F$500,$A52)=0,"",_xlfn.MAXIFS(ЗАКАЗЫ!$AK$3:$AK$500,ЗАКАЗЫ!$F$3:$F$500,$A52)))</f>
        <v/>
      </c>
    </row>
    <row r="53" customFormat="false" ht="15.75" hidden="false" customHeight="true" outlineLevel="0" collapsed="false">
      <c r="A53" s="80" t="s">
        <v>1576</v>
      </c>
      <c r="B53" s="81"/>
      <c r="C53" s="81"/>
      <c r="D53" s="81"/>
      <c r="E53" s="83"/>
      <c r="F53" s="81"/>
      <c r="G53" s="83"/>
      <c r="H53" s="83"/>
      <c r="I53" s="84" t="str">
        <f aca="false">IF(E53="","",A53&amp;"_1.jpg")</f>
        <v/>
      </c>
      <c r="J53" s="84" t="str">
        <f aca="false">IF(E53="","",A53&amp;"_2.jpg; "&amp;A53&amp;"_3.jpg")</f>
        <v/>
      </c>
      <c r="K53" s="84" t="str">
        <f aca="false">IF(E53="","",A53&amp;"_schema.jpg")</f>
        <v/>
      </c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 t="s">
        <v>96</v>
      </c>
      <c r="W53" s="81"/>
      <c r="X53" s="81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6" t="str">
        <f aca="false">IF(SUM(Y53:AJ53)=0,"",SUM(Y53:AJ53))</f>
        <v/>
      </c>
      <c r="AL53" s="84" t="str">
        <f aca="false">MID(IF(N(Y53)&gt;0,", "&amp;Y$2,"")&amp;IF(N(Z53)&gt;0,", "&amp;Z$2,"")&amp;IF(N(AA53)&gt;0,", "&amp;AA$2,"")&amp;IF(N(AB53)&gt;0,", "&amp;AB$2,"")&amp;IF(N(AC53)&gt;0,", "&amp;AC$2,"")&amp;IF(N(AD53)&gt;0,", "&amp;AD$2,"")&amp;IF(N(AE53)&gt;0,", "&amp;AE$2,"")&amp;IF(N(AF53)&gt;0,", "&amp;AF$2,"")&amp;IF(N(AG53)&gt;0,", "&amp;AG$2,"")&amp;IF(N(AH53)&gt;0,", "&amp;AH$2,"")&amp;IF(N(AI53)&gt;0,", "&amp;AI$2,"")&amp;IF(N(AJ53)&gt;0,", "&amp;AJ$2,""),3,999)</f>
        <v/>
      </c>
      <c r="AM53" s="87" t="str">
        <f aca="false">IF(E53="","",MID(IF(N(Y53)&gt;0,", "&amp;A53&amp;"-"&amp;Y$2,"")&amp;IF(N(Z53)&gt;0,", "&amp;A53&amp;"-"&amp;Z$2,"")&amp;IF(N(AA53)&gt;0,", "&amp;A53&amp;"-"&amp;AA$2,"")&amp;IF(N(AB53)&gt;0,", "&amp;A53&amp;"-"&amp;AB$2,"")&amp;IF(N(AC53)&gt;0,", "&amp;A53&amp;"-"&amp;AC$2,"")&amp;IF(N(AD53)&gt;0,", "&amp;A53&amp;"-"&amp;AD$2,"")&amp;IF(N(AE53)&gt;0,", "&amp;A53&amp;"-"&amp;AE$2,"")&amp;IF(N(AF53)&gt;0,", "&amp;A53&amp;"-"&amp;AF$2,"")&amp;IF(N(AG53)&gt;0,", "&amp;A53&amp;"-"&amp;AG$2,"")&amp;IF(N(AH53)&gt;0,", "&amp;A53&amp;"-"&amp;AH$2,"")&amp;IF(N(AI53)&gt;0,", "&amp;A53&amp;"-"&amp;AI$2,"")&amp;IF(N(AJ53)&gt;0,", "&amp;A53&amp;"-"&amp;AJ$2,""),3,999))</f>
        <v/>
      </c>
      <c r="AN53" s="81"/>
      <c r="AO53" s="88"/>
      <c r="AP53" s="89" t="str">
        <f aca="false">IF(AO53="","",ROUND(AO53/(1+Справочники!$B$13),2))</f>
        <v/>
      </c>
      <c r="AQ53" s="90" t="str">
        <f aca="false" t="array" ref="AQ53:AQ53">IF(AP53="","",AP53*INDEX(Справочники!$B$4:$B$7,MATCH("RUB",Справочники!$A$4:$A$7,0)))</f>
        <v/>
      </c>
      <c r="AR53" s="90" t="str">
        <f aca="false">IF(AQ53="","",ROUND(AQ53*(1+Справочники!$B$12),0))</f>
        <v/>
      </c>
      <c r="AS53" s="90" t="str">
        <f aca="false">IF(AR53="","",ROUND(AR53*(1-Справочники!$B$11),0))</f>
        <v/>
      </c>
      <c r="AT53" s="88"/>
      <c r="AU53" s="90" t="str">
        <f aca="false">IF(AT53="","",ROUND(AT53/(1+Справочники!$B$12),0))</f>
        <v/>
      </c>
      <c r="AV53" s="90" t="str">
        <f aca="false">IF(AT53="","",ROUND(AT53*(1-Справочники!$B$15),0))</f>
        <v/>
      </c>
      <c r="AW53" s="90" t="str">
        <f aca="false">IF(AT53="","",ROUND(AT53*(1-Справочники!$B$16),0))</f>
        <v/>
      </c>
      <c r="AX53" s="90" t="str">
        <f aca="false">IF(AT53="","",ROUND(AT53*(1-Справочники!$B$17),0))</f>
        <v/>
      </c>
      <c r="AY53" s="90" t="str">
        <f aca="false">IF(AT53="","",ROUND(AT53*(1-Справочники!$B$18),0))</f>
        <v/>
      </c>
      <c r="AZ53" s="90" t="str">
        <f aca="false">IF(AT53="","",ROUND(AT53*(1-Справочники!$B$19),0))</f>
        <v/>
      </c>
      <c r="BA53" s="81"/>
      <c r="BB53" s="81"/>
      <c r="BC53" s="81"/>
      <c r="BD53" s="81"/>
      <c r="BE53" s="91"/>
      <c r="BF53" s="81" t="s">
        <v>103</v>
      </c>
      <c r="BG53" s="89" t="n">
        <f aca="false" t="array" ref="BG53:BG53">IF(BF53="","",IFERROR(INDEX(Справочники!$B$4:$B$7,MATCH(BF53,Справочники!$A$4:$A$7,0)),""))</f>
        <v>68.5</v>
      </c>
      <c r="BH53" s="90" t="str">
        <f aca="false">IF(N(BN53)&gt;0,ROUND(SUMIF(ЗАКАЗЫ!$F$3:$F$500,$A53,ЗАКАЗЫ!$Y$3:$Y$500)/BN53,0),IF(OR(BE53="",BG53=""),"",ROUND(BE53*BG53*(1+Справочники!$B$10),0)))</f>
        <v/>
      </c>
      <c r="BI53" s="92" t="str">
        <f aca="false">IF(OR(AU53="",BH53="",AU53=0),"",(AU53-BH53)/AU53)</f>
        <v/>
      </c>
      <c r="BJ53" s="81"/>
      <c r="BK53" s="83"/>
      <c r="BL53" s="43" t="str">
        <f aca="false">IFERROR(INDEX(ЗАКАЗЫ!$N$3:$N$500,MATCH($A53,ЗАКАЗЫ!$F$3:$F$500,0)),"")</f>
        <v/>
      </c>
      <c r="BM53" s="8" t="str">
        <f aca="false">IF(BL53="","",IFERROR(VLOOKUP(BL53,'ТН ВЭД'!$A$4:$C$40,3,0),""))</f>
        <v/>
      </c>
      <c r="BN53" s="7" t="str">
        <f aca="false">IF(COUNTIF(ЗАКАЗЫ!$F$3:$F$500,$A53)=0,"",SUMIF(ЗАКАЗЫ!$F$3:$F$500,$A53,ЗАКАЗЫ!$J$3:$J$500))</f>
        <v/>
      </c>
      <c r="BO53" s="7" t="str">
        <f aca="false">IF(BN53="","",SUMIF(ЗАКАЗЫ!$F$3:$F$500,$A53,ЗАКАЗЫ!$AL$3:$AL$500))</f>
        <v/>
      </c>
      <c r="BP53" s="7" t="str">
        <f aca="false">IF(BN53="","",BN53-BO53)</f>
        <v/>
      </c>
      <c r="BQ53" s="55" t="str">
        <f aca="false">IF(BN53="","",IF(BO53&gt;=BN53,"На складе",IF(BO53&gt;0,"Частично","Ждём")))</f>
        <v/>
      </c>
      <c r="BR53" s="43"/>
      <c r="BS53" s="47" t="str">
        <f aca="false">IF(BN53="","",IF(_xlfn.MAXIFS(ЗАКАЗЫ!$AK$3:$AK$500,ЗАКАЗЫ!$F$3:$F$500,$A53)=0,"",_xlfn.MAXIFS(ЗАКАЗЫ!$AK$3:$AK$500,ЗАКАЗЫ!$F$3:$F$500,$A53)))</f>
        <v/>
      </c>
    </row>
    <row r="54" customFormat="false" ht="15.75" hidden="false" customHeight="true" outlineLevel="0" collapsed="false">
      <c r="A54" s="80" t="s">
        <v>1577</v>
      </c>
      <c r="B54" s="81"/>
      <c r="C54" s="81"/>
      <c r="D54" s="81"/>
      <c r="E54" s="83"/>
      <c r="F54" s="81"/>
      <c r="G54" s="83"/>
      <c r="H54" s="83"/>
      <c r="I54" s="84" t="str">
        <f aca="false">IF(E54="","",A54&amp;"_1.jpg")</f>
        <v/>
      </c>
      <c r="J54" s="84" t="str">
        <f aca="false">IF(E54="","",A54&amp;"_2.jpg; "&amp;A54&amp;"_3.jpg")</f>
        <v/>
      </c>
      <c r="K54" s="84" t="str">
        <f aca="false">IF(E54="","",A54&amp;"_schema.jpg")</f>
        <v/>
      </c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 t="s">
        <v>96</v>
      </c>
      <c r="W54" s="81"/>
      <c r="X54" s="81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6" t="str">
        <f aca="false">IF(SUM(Y54:AJ54)=0,"",SUM(Y54:AJ54))</f>
        <v/>
      </c>
      <c r="AL54" s="84" t="str">
        <f aca="false">MID(IF(N(Y54)&gt;0,", "&amp;Y$2,"")&amp;IF(N(Z54)&gt;0,", "&amp;Z$2,"")&amp;IF(N(AA54)&gt;0,", "&amp;AA$2,"")&amp;IF(N(AB54)&gt;0,", "&amp;AB$2,"")&amp;IF(N(AC54)&gt;0,", "&amp;AC$2,"")&amp;IF(N(AD54)&gt;0,", "&amp;AD$2,"")&amp;IF(N(AE54)&gt;0,", "&amp;AE$2,"")&amp;IF(N(AF54)&gt;0,", "&amp;AF$2,"")&amp;IF(N(AG54)&gt;0,", "&amp;AG$2,"")&amp;IF(N(AH54)&gt;0,", "&amp;AH$2,"")&amp;IF(N(AI54)&gt;0,", "&amp;AI$2,"")&amp;IF(N(AJ54)&gt;0,", "&amp;AJ$2,""),3,999)</f>
        <v/>
      </c>
      <c r="AM54" s="87" t="str">
        <f aca="false">IF(E54="","",MID(IF(N(Y54)&gt;0,", "&amp;A54&amp;"-"&amp;Y$2,"")&amp;IF(N(Z54)&gt;0,", "&amp;A54&amp;"-"&amp;Z$2,"")&amp;IF(N(AA54)&gt;0,", "&amp;A54&amp;"-"&amp;AA$2,"")&amp;IF(N(AB54)&gt;0,", "&amp;A54&amp;"-"&amp;AB$2,"")&amp;IF(N(AC54)&gt;0,", "&amp;A54&amp;"-"&amp;AC$2,"")&amp;IF(N(AD54)&gt;0,", "&amp;A54&amp;"-"&amp;AD$2,"")&amp;IF(N(AE54)&gt;0,", "&amp;A54&amp;"-"&amp;AE$2,"")&amp;IF(N(AF54)&gt;0,", "&amp;A54&amp;"-"&amp;AF$2,"")&amp;IF(N(AG54)&gt;0,", "&amp;A54&amp;"-"&amp;AG$2,"")&amp;IF(N(AH54)&gt;0,", "&amp;A54&amp;"-"&amp;AH$2,"")&amp;IF(N(AI54)&gt;0,", "&amp;A54&amp;"-"&amp;AI$2,"")&amp;IF(N(AJ54)&gt;0,", "&amp;A54&amp;"-"&amp;AJ$2,""),3,999))</f>
        <v/>
      </c>
      <c r="AN54" s="81"/>
      <c r="AO54" s="88"/>
      <c r="AP54" s="89" t="str">
        <f aca="false">IF(AO54="","",ROUND(AO54/(1+Справочники!$B$13),2))</f>
        <v/>
      </c>
      <c r="AQ54" s="90" t="str">
        <f aca="false" t="array" ref="AQ54:AQ54">IF(AP54="","",AP54*INDEX(Справочники!$B$4:$B$7,MATCH("RUB",Справочники!$A$4:$A$7,0)))</f>
        <v/>
      </c>
      <c r="AR54" s="90" t="str">
        <f aca="false">IF(AQ54="","",ROUND(AQ54*(1+Справочники!$B$12),0))</f>
        <v/>
      </c>
      <c r="AS54" s="90" t="str">
        <f aca="false">IF(AR54="","",ROUND(AR54*(1-Справочники!$B$11),0))</f>
        <v/>
      </c>
      <c r="AT54" s="88"/>
      <c r="AU54" s="90" t="str">
        <f aca="false">IF(AT54="","",ROUND(AT54/(1+Справочники!$B$12),0))</f>
        <v/>
      </c>
      <c r="AV54" s="90" t="str">
        <f aca="false">IF(AT54="","",ROUND(AT54*(1-Справочники!$B$15),0))</f>
        <v/>
      </c>
      <c r="AW54" s="90" t="str">
        <f aca="false">IF(AT54="","",ROUND(AT54*(1-Справочники!$B$16),0))</f>
        <v/>
      </c>
      <c r="AX54" s="90" t="str">
        <f aca="false">IF(AT54="","",ROUND(AT54*(1-Справочники!$B$17),0))</f>
        <v/>
      </c>
      <c r="AY54" s="90" t="str">
        <f aca="false">IF(AT54="","",ROUND(AT54*(1-Справочники!$B$18),0))</f>
        <v/>
      </c>
      <c r="AZ54" s="90" t="str">
        <f aca="false">IF(AT54="","",ROUND(AT54*(1-Справочники!$B$19),0))</f>
        <v/>
      </c>
      <c r="BA54" s="81"/>
      <c r="BB54" s="81"/>
      <c r="BC54" s="81"/>
      <c r="BD54" s="81"/>
      <c r="BE54" s="91"/>
      <c r="BF54" s="81" t="s">
        <v>103</v>
      </c>
      <c r="BG54" s="89" t="n">
        <f aca="false" t="array" ref="BG54:BG54">IF(BF54="","",IFERROR(INDEX(Справочники!$B$4:$B$7,MATCH(BF54,Справочники!$A$4:$A$7,0)),""))</f>
        <v>68.5</v>
      </c>
      <c r="BH54" s="90" t="str">
        <f aca="false">IF(N(BN54)&gt;0,ROUND(SUMIF(ЗАКАЗЫ!$F$3:$F$500,$A54,ЗАКАЗЫ!$Y$3:$Y$500)/BN54,0),IF(OR(BE54="",BG54=""),"",ROUND(BE54*BG54*(1+Справочники!$B$10),0)))</f>
        <v/>
      </c>
      <c r="BI54" s="92" t="str">
        <f aca="false">IF(OR(AU54="",BH54="",AU54=0),"",(AU54-BH54)/AU54)</f>
        <v/>
      </c>
      <c r="BJ54" s="81"/>
      <c r="BK54" s="83"/>
      <c r="BL54" s="43" t="str">
        <f aca="false">IFERROR(INDEX(ЗАКАЗЫ!$N$3:$N$500,MATCH($A54,ЗАКАЗЫ!$F$3:$F$500,0)),"")</f>
        <v/>
      </c>
      <c r="BM54" s="8" t="str">
        <f aca="false">IF(BL54="","",IFERROR(VLOOKUP(BL54,'ТН ВЭД'!$A$4:$C$40,3,0),""))</f>
        <v/>
      </c>
      <c r="BN54" s="7" t="str">
        <f aca="false">IF(COUNTIF(ЗАКАЗЫ!$F$3:$F$500,$A54)=0,"",SUMIF(ЗАКАЗЫ!$F$3:$F$500,$A54,ЗАКАЗЫ!$J$3:$J$500))</f>
        <v/>
      </c>
      <c r="BO54" s="7" t="str">
        <f aca="false">IF(BN54="","",SUMIF(ЗАКАЗЫ!$F$3:$F$500,$A54,ЗАКАЗЫ!$AL$3:$AL$500))</f>
        <v/>
      </c>
      <c r="BP54" s="7" t="str">
        <f aca="false">IF(BN54="","",BN54-BO54)</f>
        <v/>
      </c>
      <c r="BQ54" s="55" t="str">
        <f aca="false">IF(BN54="","",IF(BO54&gt;=BN54,"На складе",IF(BO54&gt;0,"Частично","Ждём")))</f>
        <v/>
      </c>
      <c r="BR54" s="43"/>
      <c r="BS54" s="47" t="str">
        <f aca="false">IF(BN54="","",IF(_xlfn.MAXIFS(ЗАКАЗЫ!$AK$3:$AK$500,ЗАКАЗЫ!$F$3:$F$500,$A54)=0,"",_xlfn.MAXIFS(ЗАКАЗЫ!$AK$3:$AK$500,ЗАКАЗЫ!$F$3:$F$500,$A54)))</f>
        <v/>
      </c>
    </row>
    <row r="55" customFormat="false" ht="15.75" hidden="false" customHeight="true" outlineLevel="0" collapsed="false">
      <c r="A55" s="80" t="s">
        <v>1578</v>
      </c>
      <c r="B55" s="81"/>
      <c r="C55" s="81"/>
      <c r="D55" s="81"/>
      <c r="E55" s="83"/>
      <c r="F55" s="81"/>
      <c r="G55" s="83"/>
      <c r="H55" s="83"/>
      <c r="I55" s="84" t="str">
        <f aca="false">IF(E55="","",A55&amp;"_1.jpg")</f>
        <v/>
      </c>
      <c r="J55" s="84" t="str">
        <f aca="false">IF(E55="","",A55&amp;"_2.jpg; "&amp;A55&amp;"_3.jpg")</f>
        <v/>
      </c>
      <c r="K55" s="84" t="str">
        <f aca="false">IF(E55="","",A55&amp;"_schema.jpg")</f>
        <v/>
      </c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 t="s">
        <v>96</v>
      </c>
      <c r="W55" s="81"/>
      <c r="X55" s="81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6" t="str">
        <f aca="false">IF(SUM(Y55:AJ55)=0,"",SUM(Y55:AJ55))</f>
        <v/>
      </c>
      <c r="AL55" s="84" t="str">
        <f aca="false">MID(IF(N(Y55)&gt;0,", "&amp;Y$2,"")&amp;IF(N(Z55)&gt;0,", "&amp;Z$2,"")&amp;IF(N(AA55)&gt;0,", "&amp;AA$2,"")&amp;IF(N(AB55)&gt;0,", "&amp;AB$2,"")&amp;IF(N(AC55)&gt;0,", "&amp;AC$2,"")&amp;IF(N(AD55)&gt;0,", "&amp;AD$2,"")&amp;IF(N(AE55)&gt;0,", "&amp;AE$2,"")&amp;IF(N(AF55)&gt;0,", "&amp;AF$2,"")&amp;IF(N(AG55)&gt;0,", "&amp;AG$2,"")&amp;IF(N(AH55)&gt;0,", "&amp;AH$2,"")&amp;IF(N(AI55)&gt;0,", "&amp;AI$2,"")&amp;IF(N(AJ55)&gt;0,", "&amp;AJ$2,""),3,999)</f>
        <v/>
      </c>
      <c r="AM55" s="87" t="str">
        <f aca="false">IF(E55="","",MID(IF(N(Y55)&gt;0,", "&amp;A55&amp;"-"&amp;Y$2,"")&amp;IF(N(Z55)&gt;0,", "&amp;A55&amp;"-"&amp;Z$2,"")&amp;IF(N(AA55)&gt;0,", "&amp;A55&amp;"-"&amp;AA$2,"")&amp;IF(N(AB55)&gt;0,", "&amp;A55&amp;"-"&amp;AB$2,"")&amp;IF(N(AC55)&gt;0,", "&amp;A55&amp;"-"&amp;AC$2,"")&amp;IF(N(AD55)&gt;0,", "&amp;A55&amp;"-"&amp;AD$2,"")&amp;IF(N(AE55)&gt;0,", "&amp;A55&amp;"-"&amp;AE$2,"")&amp;IF(N(AF55)&gt;0,", "&amp;A55&amp;"-"&amp;AF$2,"")&amp;IF(N(AG55)&gt;0,", "&amp;A55&amp;"-"&amp;AG$2,"")&amp;IF(N(AH55)&gt;0,", "&amp;A55&amp;"-"&amp;AH$2,"")&amp;IF(N(AI55)&gt;0,", "&amp;A55&amp;"-"&amp;AI$2,"")&amp;IF(N(AJ55)&gt;0,", "&amp;A55&amp;"-"&amp;AJ$2,""),3,999))</f>
        <v/>
      </c>
      <c r="AN55" s="81"/>
      <c r="AO55" s="88"/>
      <c r="AP55" s="89" t="str">
        <f aca="false">IF(AO55="","",ROUND(AO55/(1+Справочники!$B$13),2))</f>
        <v/>
      </c>
      <c r="AQ55" s="90" t="str">
        <f aca="false" t="array" ref="AQ55:AQ55">IF(AP55="","",AP55*INDEX(Справочники!$B$4:$B$7,MATCH("RUB",Справочники!$A$4:$A$7,0)))</f>
        <v/>
      </c>
      <c r="AR55" s="90" t="str">
        <f aca="false">IF(AQ55="","",ROUND(AQ55*(1+Справочники!$B$12),0))</f>
        <v/>
      </c>
      <c r="AS55" s="90" t="str">
        <f aca="false">IF(AR55="","",ROUND(AR55*(1-Справочники!$B$11),0))</f>
        <v/>
      </c>
      <c r="AT55" s="88"/>
      <c r="AU55" s="90" t="str">
        <f aca="false">IF(AT55="","",ROUND(AT55/(1+Справочники!$B$12),0))</f>
        <v/>
      </c>
      <c r="AV55" s="90" t="str">
        <f aca="false">IF(AT55="","",ROUND(AT55*(1-Справочники!$B$15),0))</f>
        <v/>
      </c>
      <c r="AW55" s="90" t="str">
        <f aca="false">IF(AT55="","",ROUND(AT55*(1-Справочники!$B$16),0))</f>
        <v/>
      </c>
      <c r="AX55" s="90" t="str">
        <f aca="false">IF(AT55="","",ROUND(AT55*(1-Справочники!$B$17),0))</f>
        <v/>
      </c>
      <c r="AY55" s="90" t="str">
        <f aca="false">IF(AT55="","",ROUND(AT55*(1-Справочники!$B$18),0))</f>
        <v/>
      </c>
      <c r="AZ55" s="90" t="str">
        <f aca="false">IF(AT55="","",ROUND(AT55*(1-Справочники!$B$19),0))</f>
        <v/>
      </c>
      <c r="BA55" s="81"/>
      <c r="BB55" s="81"/>
      <c r="BC55" s="81"/>
      <c r="BD55" s="81"/>
      <c r="BE55" s="91"/>
      <c r="BF55" s="81" t="s">
        <v>103</v>
      </c>
      <c r="BG55" s="89" t="n">
        <f aca="false" t="array" ref="BG55:BG55">IF(BF55="","",IFERROR(INDEX(Справочники!$B$4:$B$7,MATCH(BF55,Справочники!$A$4:$A$7,0)),""))</f>
        <v>68.5</v>
      </c>
      <c r="BH55" s="90" t="str">
        <f aca="false">IF(N(BN55)&gt;0,ROUND(SUMIF(ЗАКАЗЫ!$F$3:$F$500,$A55,ЗАКАЗЫ!$Y$3:$Y$500)/BN55,0),IF(OR(BE55="",BG55=""),"",ROUND(BE55*BG55*(1+Справочники!$B$10),0)))</f>
        <v/>
      </c>
      <c r="BI55" s="92" t="str">
        <f aca="false">IF(OR(AU55="",BH55="",AU55=0),"",(AU55-BH55)/AU55)</f>
        <v/>
      </c>
      <c r="BJ55" s="81"/>
      <c r="BK55" s="83"/>
      <c r="BL55" s="43" t="str">
        <f aca="false">IFERROR(INDEX(ЗАКАЗЫ!$N$3:$N$500,MATCH($A55,ЗАКАЗЫ!$F$3:$F$500,0)),"")</f>
        <v/>
      </c>
      <c r="BM55" s="8" t="str">
        <f aca="false">IF(BL55="","",IFERROR(VLOOKUP(BL55,'ТН ВЭД'!$A$4:$C$40,3,0),""))</f>
        <v/>
      </c>
      <c r="BN55" s="7" t="str">
        <f aca="false">IF(COUNTIF(ЗАКАЗЫ!$F$3:$F$500,$A55)=0,"",SUMIF(ЗАКАЗЫ!$F$3:$F$500,$A55,ЗАКАЗЫ!$J$3:$J$500))</f>
        <v/>
      </c>
      <c r="BO55" s="7" t="str">
        <f aca="false">IF(BN55="","",SUMIF(ЗАКАЗЫ!$F$3:$F$500,$A55,ЗАКАЗЫ!$AL$3:$AL$500))</f>
        <v/>
      </c>
      <c r="BP55" s="7" t="str">
        <f aca="false">IF(BN55="","",BN55-BO55)</f>
        <v/>
      </c>
      <c r="BQ55" s="55" t="str">
        <f aca="false">IF(BN55="","",IF(BO55&gt;=BN55,"На складе",IF(BO55&gt;0,"Частично","Ждём")))</f>
        <v/>
      </c>
      <c r="BR55" s="43"/>
      <c r="BS55" s="47" t="str">
        <f aca="false">IF(BN55="","",IF(_xlfn.MAXIFS(ЗАКАЗЫ!$AK$3:$AK$500,ЗАКАЗЫ!$F$3:$F$500,$A55)=0,"",_xlfn.MAXIFS(ЗАКАЗЫ!$AK$3:$AK$500,ЗАКАЗЫ!$F$3:$F$500,$A55)))</f>
        <v/>
      </c>
    </row>
    <row r="56" customFormat="false" ht="15.75" hidden="false" customHeight="true" outlineLevel="0" collapsed="false">
      <c r="A56" s="80" t="s">
        <v>1579</v>
      </c>
      <c r="B56" s="81"/>
      <c r="C56" s="81"/>
      <c r="D56" s="81"/>
      <c r="E56" s="83"/>
      <c r="F56" s="81"/>
      <c r="G56" s="83"/>
      <c r="H56" s="83"/>
      <c r="I56" s="84" t="str">
        <f aca="false">IF(E56="","",A56&amp;"_1.jpg")</f>
        <v/>
      </c>
      <c r="J56" s="84" t="str">
        <f aca="false">IF(E56="","",A56&amp;"_2.jpg; "&amp;A56&amp;"_3.jpg")</f>
        <v/>
      </c>
      <c r="K56" s="84" t="str">
        <f aca="false">IF(E56="","",A56&amp;"_schema.jpg")</f>
        <v/>
      </c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 t="s">
        <v>96</v>
      </c>
      <c r="W56" s="81"/>
      <c r="X56" s="81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6" t="str">
        <f aca="false">IF(SUM(Y56:AJ56)=0,"",SUM(Y56:AJ56))</f>
        <v/>
      </c>
      <c r="AL56" s="84" t="str">
        <f aca="false">MID(IF(N(Y56)&gt;0,", "&amp;Y$2,"")&amp;IF(N(Z56)&gt;0,", "&amp;Z$2,"")&amp;IF(N(AA56)&gt;0,", "&amp;AA$2,"")&amp;IF(N(AB56)&gt;0,", "&amp;AB$2,"")&amp;IF(N(AC56)&gt;0,", "&amp;AC$2,"")&amp;IF(N(AD56)&gt;0,", "&amp;AD$2,"")&amp;IF(N(AE56)&gt;0,", "&amp;AE$2,"")&amp;IF(N(AF56)&gt;0,", "&amp;AF$2,"")&amp;IF(N(AG56)&gt;0,", "&amp;AG$2,"")&amp;IF(N(AH56)&gt;0,", "&amp;AH$2,"")&amp;IF(N(AI56)&gt;0,", "&amp;AI$2,"")&amp;IF(N(AJ56)&gt;0,", "&amp;AJ$2,""),3,999)</f>
        <v/>
      </c>
      <c r="AM56" s="87" t="str">
        <f aca="false">IF(E56="","",MID(IF(N(Y56)&gt;0,", "&amp;A56&amp;"-"&amp;Y$2,"")&amp;IF(N(Z56)&gt;0,", "&amp;A56&amp;"-"&amp;Z$2,"")&amp;IF(N(AA56)&gt;0,", "&amp;A56&amp;"-"&amp;AA$2,"")&amp;IF(N(AB56)&gt;0,", "&amp;A56&amp;"-"&amp;AB$2,"")&amp;IF(N(AC56)&gt;0,", "&amp;A56&amp;"-"&amp;AC$2,"")&amp;IF(N(AD56)&gt;0,", "&amp;A56&amp;"-"&amp;AD$2,"")&amp;IF(N(AE56)&gt;0,", "&amp;A56&amp;"-"&amp;AE$2,"")&amp;IF(N(AF56)&gt;0,", "&amp;A56&amp;"-"&amp;AF$2,"")&amp;IF(N(AG56)&gt;0,", "&amp;A56&amp;"-"&amp;AG$2,"")&amp;IF(N(AH56)&gt;0,", "&amp;A56&amp;"-"&amp;AH$2,"")&amp;IF(N(AI56)&gt;0,", "&amp;A56&amp;"-"&amp;AI$2,"")&amp;IF(N(AJ56)&gt;0,", "&amp;A56&amp;"-"&amp;AJ$2,""),3,999))</f>
        <v/>
      </c>
      <c r="AN56" s="81"/>
      <c r="AO56" s="88"/>
      <c r="AP56" s="89" t="str">
        <f aca="false">IF(AO56="","",ROUND(AO56/(1+Справочники!$B$13),2))</f>
        <v/>
      </c>
      <c r="AQ56" s="90" t="str">
        <f aca="false" t="array" ref="AQ56:AQ56">IF(AP56="","",AP56*INDEX(Справочники!$B$4:$B$7,MATCH("RUB",Справочники!$A$4:$A$7,0)))</f>
        <v/>
      </c>
      <c r="AR56" s="90" t="str">
        <f aca="false">IF(AQ56="","",ROUND(AQ56*(1+Справочники!$B$12),0))</f>
        <v/>
      </c>
      <c r="AS56" s="90" t="str">
        <f aca="false">IF(AR56="","",ROUND(AR56*(1-Справочники!$B$11),0))</f>
        <v/>
      </c>
      <c r="AT56" s="88"/>
      <c r="AU56" s="90" t="str">
        <f aca="false">IF(AT56="","",ROUND(AT56/(1+Справочники!$B$12),0))</f>
        <v/>
      </c>
      <c r="AV56" s="90" t="str">
        <f aca="false">IF(AT56="","",ROUND(AT56*(1-Справочники!$B$15),0))</f>
        <v/>
      </c>
      <c r="AW56" s="90" t="str">
        <f aca="false">IF(AT56="","",ROUND(AT56*(1-Справочники!$B$16),0))</f>
        <v/>
      </c>
      <c r="AX56" s="90" t="str">
        <f aca="false">IF(AT56="","",ROUND(AT56*(1-Справочники!$B$17),0))</f>
        <v/>
      </c>
      <c r="AY56" s="90" t="str">
        <f aca="false">IF(AT56="","",ROUND(AT56*(1-Справочники!$B$18),0))</f>
        <v/>
      </c>
      <c r="AZ56" s="90" t="str">
        <f aca="false">IF(AT56="","",ROUND(AT56*(1-Справочники!$B$19),0))</f>
        <v/>
      </c>
      <c r="BA56" s="81"/>
      <c r="BB56" s="81"/>
      <c r="BC56" s="81"/>
      <c r="BD56" s="81"/>
      <c r="BE56" s="91"/>
      <c r="BF56" s="81" t="s">
        <v>103</v>
      </c>
      <c r="BG56" s="89" t="n">
        <f aca="false" t="array" ref="BG56:BG56">IF(BF56="","",IFERROR(INDEX(Справочники!$B$4:$B$7,MATCH(BF56,Справочники!$A$4:$A$7,0)),""))</f>
        <v>68.5</v>
      </c>
      <c r="BH56" s="90" t="str">
        <f aca="false">IF(N(BN56)&gt;0,ROUND(SUMIF(ЗАКАЗЫ!$F$3:$F$500,$A56,ЗАКАЗЫ!$Y$3:$Y$500)/BN56,0),IF(OR(BE56="",BG56=""),"",ROUND(BE56*BG56*(1+Справочники!$B$10),0)))</f>
        <v/>
      </c>
      <c r="BI56" s="92" t="str">
        <f aca="false">IF(OR(AU56="",BH56="",AU56=0),"",(AU56-BH56)/AU56)</f>
        <v/>
      </c>
      <c r="BJ56" s="81"/>
      <c r="BK56" s="83"/>
      <c r="BL56" s="43" t="str">
        <f aca="false">IFERROR(INDEX(ЗАКАЗЫ!$N$3:$N$500,MATCH($A56,ЗАКАЗЫ!$F$3:$F$500,0)),"")</f>
        <v/>
      </c>
      <c r="BM56" s="8" t="str">
        <f aca="false">IF(BL56="","",IFERROR(VLOOKUP(BL56,'ТН ВЭД'!$A$4:$C$40,3,0),""))</f>
        <v/>
      </c>
      <c r="BN56" s="7" t="str">
        <f aca="false">IF(COUNTIF(ЗАКАЗЫ!$F$3:$F$500,$A56)=0,"",SUMIF(ЗАКАЗЫ!$F$3:$F$500,$A56,ЗАКАЗЫ!$J$3:$J$500))</f>
        <v/>
      </c>
      <c r="BO56" s="7" t="str">
        <f aca="false">IF(BN56="","",SUMIF(ЗАКАЗЫ!$F$3:$F$500,$A56,ЗАКАЗЫ!$AL$3:$AL$500))</f>
        <v/>
      </c>
      <c r="BP56" s="7" t="str">
        <f aca="false">IF(BN56="","",BN56-BO56)</f>
        <v/>
      </c>
      <c r="BQ56" s="55" t="str">
        <f aca="false">IF(BN56="","",IF(BO56&gt;=BN56,"На складе",IF(BO56&gt;0,"Частично","Ждём")))</f>
        <v/>
      </c>
      <c r="BR56" s="43"/>
      <c r="BS56" s="47" t="str">
        <f aca="false">IF(BN56="","",IF(_xlfn.MAXIFS(ЗАКАЗЫ!$AK$3:$AK$500,ЗАКАЗЫ!$F$3:$F$500,$A56)=0,"",_xlfn.MAXIFS(ЗАКАЗЫ!$AK$3:$AK$500,ЗАКАЗЫ!$F$3:$F$500,$A56)))</f>
        <v/>
      </c>
    </row>
    <row r="57" customFormat="false" ht="15.75" hidden="false" customHeight="true" outlineLevel="0" collapsed="false">
      <c r="A57" s="80" t="s">
        <v>1580</v>
      </c>
      <c r="B57" s="81"/>
      <c r="C57" s="81"/>
      <c r="D57" s="81"/>
      <c r="E57" s="83"/>
      <c r="F57" s="81"/>
      <c r="G57" s="83"/>
      <c r="H57" s="83"/>
      <c r="I57" s="84" t="str">
        <f aca="false">IF(E57="","",A57&amp;"_1.jpg")</f>
        <v/>
      </c>
      <c r="J57" s="84" t="str">
        <f aca="false">IF(E57="","",A57&amp;"_2.jpg; "&amp;A57&amp;"_3.jpg")</f>
        <v/>
      </c>
      <c r="K57" s="84" t="str">
        <f aca="false">IF(E57="","",A57&amp;"_schema.jpg")</f>
        <v/>
      </c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 t="s">
        <v>96</v>
      </c>
      <c r="W57" s="81"/>
      <c r="X57" s="81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6" t="str">
        <f aca="false">IF(SUM(Y57:AJ57)=0,"",SUM(Y57:AJ57))</f>
        <v/>
      </c>
      <c r="AL57" s="84" t="str">
        <f aca="false">MID(IF(N(Y57)&gt;0,", "&amp;Y$2,"")&amp;IF(N(Z57)&gt;0,", "&amp;Z$2,"")&amp;IF(N(AA57)&gt;0,", "&amp;AA$2,"")&amp;IF(N(AB57)&gt;0,", "&amp;AB$2,"")&amp;IF(N(AC57)&gt;0,", "&amp;AC$2,"")&amp;IF(N(AD57)&gt;0,", "&amp;AD$2,"")&amp;IF(N(AE57)&gt;0,", "&amp;AE$2,"")&amp;IF(N(AF57)&gt;0,", "&amp;AF$2,"")&amp;IF(N(AG57)&gt;0,", "&amp;AG$2,"")&amp;IF(N(AH57)&gt;0,", "&amp;AH$2,"")&amp;IF(N(AI57)&gt;0,", "&amp;AI$2,"")&amp;IF(N(AJ57)&gt;0,", "&amp;AJ$2,""),3,999)</f>
        <v/>
      </c>
      <c r="AM57" s="87" t="str">
        <f aca="false">IF(E57="","",MID(IF(N(Y57)&gt;0,", "&amp;A57&amp;"-"&amp;Y$2,"")&amp;IF(N(Z57)&gt;0,", "&amp;A57&amp;"-"&amp;Z$2,"")&amp;IF(N(AA57)&gt;0,", "&amp;A57&amp;"-"&amp;AA$2,"")&amp;IF(N(AB57)&gt;0,", "&amp;A57&amp;"-"&amp;AB$2,"")&amp;IF(N(AC57)&gt;0,", "&amp;A57&amp;"-"&amp;AC$2,"")&amp;IF(N(AD57)&gt;0,", "&amp;A57&amp;"-"&amp;AD$2,"")&amp;IF(N(AE57)&gt;0,", "&amp;A57&amp;"-"&amp;AE$2,"")&amp;IF(N(AF57)&gt;0,", "&amp;A57&amp;"-"&amp;AF$2,"")&amp;IF(N(AG57)&gt;0,", "&amp;A57&amp;"-"&amp;AG$2,"")&amp;IF(N(AH57)&gt;0,", "&amp;A57&amp;"-"&amp;AH$2,"")&amp;IF(N(AI57)&gt;0,", "&amp;A57&amp;"-"&amp;AI$2,"")&amp;IF(N(AJ57)&gt;0,", "&amp;A57&amp;"-"&amp;AJ$2,""),3,999))</f>
        <v/>
      </c>
      <c r="AN57" s="81"/>
      <c r="AO57" s="88"/>
      <c r="AP57" s="89" t="str">
        <f aca="false">IF(AO57="","",ROUND(AO57/(1+Справочники!$B$13),2))</f>
        <v/>
      </c>
      <c r="AQ57" s="90" t="str">
        <f aca="false" t="array" ref="AQ57:AQ57">IF(AP57="","",AP57*INDEX(Справочники!$B$4:$B$7,MATCH("RUB",Справочники!$A$4:$A$7,0)))</f>
        <v/>
      </c>
      <c r="AR57" s="90" t="str">
        <f aca="false">IF(AQ57="","",ROUND(AQ57*(1+Справочники!$B$12),0))</f>
        <v/>
      </c>
      <c r="AS57" s="90" t="str">
        <f aca="false">IF(AR57="","",ROUND(AR57*(1-Справочники!$B$11),0))</f>
        <v/>
      </c>
      <c r="AT57" s="88"/>
      <c r="AU57" s="90" t="str">
        <f aca="false">IF(AT57="","",ROUND(AT57/(1+Справочники!$B$12),0))</f>
        <v/>
      </c>
      <c r="AV57" s="90" t="str">
        <f aca="false">IF(AT57="","",ROUND(AT57*(1-Справочники!$B$15),0))</f>
        <v/>
      </c>
      <c r="AW57" s="90" t="str">
        <f aca="false">IF(AT57="","",ROUND(AT57*(1-Справочники!$B$16),0))</f>
        <v/>
      </c>
      <c r="AX57" s="90" t="str">
        <f aca="false">IF(AT57="","",ROUND(AT57*(1-Справочники!$B$17),0))</f>
        <v/>
      </c>
      <c r="AY57" s="90" t="str">
        <f aca="false">IF(AT57="","",ROUND(AT57*(1-Справочники!$B$18),0))</f>
        <v/>
      </c>
      <c r="AZ57" s="90" t="str">
        <f aca="false">IF(AT57="","",ROUND(AT57*(1-Справочники!$B$19),0))</f>
        <v/>
      </c>
      <c r="BA57" s="81"/>
      <c r="BB57" s="81"/>
      <c r="BC57" s="81"/>
      <c r="BD57" s="81"/>
      <c r="BE57" s="91"/>
      <c r="BF57" s="81" t="s">
        <v>103</v>
      </c>
      <c r="BG57" s="89" t="n">
        <f aca="false" t="array" ref="BG57:BG57">IF(BF57="","",IFERROR(INDEX(Справочники!$B$4:$B$7,MATCH(BF57,Справочники!$A$4:$A$7,0)),""))</f>
        <v>68.5</v>
      </c>
      <c r="BH57" s="90" t="str">
        <f aca="false">IF(N(BN57)&gt;0,ROUND(SUMIF(ЗАКАЗЫ!$F$3:$F$500,$A57,ЗАКАЗЫ!$Y$3:$Y$500)/BN57,0),IF(OR(BE57="",BG57=""),"",ROUND(BE57*BG57*(1+Справочники!$B$10),0)))</f>
        <v/>
      </c>
      <c r="BI57" s="92" t="str">
        <f aca="false">IF(OR(AU57="",BH57="",AU57=0),"",(AU57-BH57)/AU57)</f>
        <v/>
      </c>
      <c r="BJ57" s="81"/>
      <c r="BK57" s="83"/>
      <c r="BL57" s="43" t="str">
        <f aca="false">IFERROR(INDEX(ЗАКАЗЫ!$N$3:$N$500,MATCH($A57,ЗАКАЗЫ!$F$3:$F$500,0)),"")</f>
        <v/>
      </c>
      <c r="BM57" s="8" t="str">
        <f aca="false">IF(BL57="","",IFERROR(VLOOKUP(BL57,'ТН ВЭД'!$A$4:$C$40,3,0),""))</f>
        <v/>
      </c>
      <c r="BN57" s="7" t="str">
        <f aca="false">IF(COUNTIF(ЗАКАЗЫ!$F$3:$F$500,$A57)=0,"",SUMIF(ЗАКАЗЫ!$F$3:$F$500,$A57,ЗАКАЗЫ!$J$3:$J$500))</f>
        <v/>
      </c>
      <c r="BO57" s="7" t="str">
        <f aca="false">IF(BN57="","",SUMIF(ЗАКАЗЫ!$F$3:$F$500,$A57,ЗАКАЗЫ!$AL$3:$AL$500))</f>
        <v/>
      </c>
      <c r="BP57" s="7" t="str">
        <f aca="false">IF(BN57="","",BN57-BO57)</f>
        <v/>
      </c>
      <c r="BQ57" s="55" t="str">
        <f aca="false">IF(BN57="","",IF(BO57&gt;=BN57,"На складе",IF(BO57&gt;0,"Частично","Ждём")))</f>
        <v/>
      </c>
      <c r="BR57" s="43"/>
      <c r="BS57" s="47" t="str">
        <f aca="false">IF(BN57="","",IF(_xlfn.MAXIFS(ЗАКАЗЫ!$AK$3:$AK$500,ЗАКАЗЫ!$F$3:$F$500,$A57)=0,"",_xlfn.MAXIFS(ЗАКАЗЫ!$AK$3:$AK$500,ЗАКАЗЫ!$F$3:$F$500,$A57)))</f>
        <v/>
      </c>
    </row>
    <row r="58" customFormat="false" ht="15.75" hidden="false" customHeight="true" outlineLevel="0" collapsed="false">
      <c r="A58" s="80" t="s">
        <v>1581</v>
      </c>
      <c r="B58" s="81"/>
      <c r="C58" s="81"/>
      <c r="D58" s="81"/>
      <c r="E58" s="83"/>
      <c r="F58" s="81"/>
      <c r="G58" s="83"/>
      <c r="H58" s="83"/>
      <c r="I58" s="84" t="str">
        <f aca="false">IF(E58="","",A58&amp;"_1.jpg")</f>
        <v/>
      </c>
      <c r="J58" s="84" t="str">
        <f aca="false">IF(E58="","",A58&amp;"_2.jpg; "&amp;A58&amp;"_3.jpg")</f>
        <v/>
      </c>
      <c r="K58" s="84" t="str">
        <f aca="false">IF(E58="","",A58&amp;"_schema.jpg")</f>
        <v/>
      </c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 t="s">
        <v>96</v>
      </c>
      <c r="W58" s="81"/>
      <c r="X58" s="81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6" t="str">
        <f aca="false">IF(SUM(Y58:AJ58)=0,"",SUM(Y58:AJ58))</f>
        <v/>
      </c>
      <c r="AL58" s="84" t="str">
        <f aca="false">MID(IF(N(Y58)&gt;0,", "&amp;Y$2,"")&amp;IF(N(Z58)&gt;0,", "&amp;Z$2,"")&amp;IF(N(AA58)&gt;0,", "&amp;AA$2,"")&amp;IF(N(AB58)&gt;0,", "&amp;AB$2,"")&amp;IF(N(AC58)&gt;0,", "&amp;AC$2,"")&amp;IF(N(AD58)&gt;0,", "&amp;AD$2,"")&amp;IF(N(AE58)&gt;0,", "&amp;AE$2,"")&amp;IF(N(AF58)&gt;0,", "&amp;AF$2,"")&amp;IF(N(AG58)&gt;0,", "&amp;AG$2,"")&amp;IF(N(AH58)&gt;0,", "&amp;AH$2,"")&amp;IF(N(AI58)&gt;0,", "&amp;AI$2,"")&amp;IF(N(AJ58)&gt;0,", "&amp;AJ$2,""),3,999)</f>
        <v/>
      </c>
      <c r="AM58" s="87" t="str">
        <f aca="false">IF(E58="","",MID(IF(N(Y58)&gt;0,", "&amp;A58&amp;"-"&amp;Y$2,"")&amp;IF(N(Z58)&gt;0,", "&amp;A58&amp;"-"&amp;Z$2,"")&amp;IF(N(AA58)&gt;0,", "&amp;A58&amp;"-"&amp;AA$2,"")&amp;IF(N(AB58)&gt;0,", "&amp;A58&amp;"-"&amp;AB$2,"")&amp;IF(N(AC58)&gt;0,", "&amp;A58&amp;"-"&amp;AC$2,"")&amp;IF(N(AD58)&gt;0,", "&amp;A58&amp;"-"&amp;AD$2,"")&amp;IF(N(AE58)&gt;0,", "&amp;A58&amp;"-"&amp;AE$2,"")&amp;IF(N(AF58)&gt;0,", "&amp;A58&amp;"-"&amp;AF$2,"")&amp;IF(N(AG58)&gt;0,", "&amp;A58&amp;"-"&amp;AG$2,"")&amp;IF(N(AH58)&gt;0,", "&amp;A58&amp;"-"&amp;AH$2,"")&amp;IF(N(AI58)&gt;0,", "&amp;A58&amp;"-"&amp;AI$2,"")&amp;IF(N(AJ58)&gt;0,", "&amp;A58&amp;"-"&amp;AJ$2,""),3,999))</f>
        <v/>
      </c>
      <c r="AN58" s="81"/>
      <c r="AO58" s="88"/>
      <c r="AP58" s="89" t="str">
        <f aca="false">IF(AO58="","",ROUND(AO58/(1+Справочники!$B$13),2))</f>
        <v/>
      </c>
      <c r="AQ58" s="90" t="str">
        <f aca="false" t="array" ref="AQ58:AQ58">IF(AP58="","",AP58*INDEX(Справочники!$B$4:$B$7,MATCH("RUB",Справочники!$A$4:$A$7,0)))</f>
        <v/>
      </c>
      <c r="AR58" s="90" t="str">
        <f aca="false">IF(AQ58="","",ROUND(AQ58*(1+Справочники!$B$12),0))</f>
        <v/>
      </c>
      <c r="AS58" s="90" t="str">
        <f aca="false">IF(AR58="","",ROUND(AR58*(1-Справочники!$B$11),0))</f>
        <v/>
      </c>
      <c r="AT58" s="88"/>
      <c r="AU58" s="90" t="str">
        <f aca="false">IF(AT58="","",ROUND(AT58/(1+Справочники!$B$12),0))</f>
        <v/>
      </c>
      <c r="AV58" s="90" t="str">
        <f aca="false">IF(AT58="","",ROUND(AT58*(1-Справочники!$B$15),0))</f>
        <v/>
      </c>
      <c r="AW58" s="90" t="str">
        <f aca="false">IF(AT58="","",ROUND(AT58*(1-Справочники!$B$16),0))</f>
        <v/>
      </c>
      <c r="AX58" s="90" t="str">
        <f aca="false">IF(AT58="","",ROUND(AT58*(1-Справочники!$B$17),0))</f>
        <v/>
      </c>
      <c r="AY58" s="90" t="str">
        <f aca="false">IF(AT58="","",ROUND(AT58*(1-Справочники!$B$18),0))</f>
        <v/>
      </c>
      <c r="AZ58" s="90" t="str">
        <f aca="false">IF(AT58="","",ROUND(AT58*(1-Справочники!$B$19),0))</f>
        <v/>
      </c>
      <c r="BA58" s="81"/>
      <c r="BB58" s="81"/>
      <c r="BC58" s="81"/>
      <c r="BD58" s="81"/>
      <c r="BE58" s="91"/>
      <c r="BF58" s="81" t="s">
        <v>103</v>
      </c>
      <c r="BG58" s="89" t="n">
        <f aca="false" t="array" ref="BG58:BG58">IF(BF58="","",IFERROR(INDEX(Справочники!$B$4:$B$7,MATCH(BF58,Справочники!$A$4:$A$7,0)),""))</f>
        <v>68.5</v>
      </c>
      <c r="BH58" s="90" t="str">
        <f aca="false">IF(N(BN58)&gt;0,ROUND(SUMIF(ЗАКАЗЫ!$F$3:$F$500,$A58,ЗАКАЗЫ!$Y$3:$Y$500)/BN58,0),IF(OR(BE58="",BG58=""),"",ROUND(BE58*BG58*(1+Справочники!$B$10),0)))</f>
        <v/>
      </c>
      <c r="BI58" s="92" t="str">
        <f aca="false">IF(OR(AU58="",BH58="",AU58=0),"",(AU58-BH58)/AU58)</f>
        <v/>
      </c>
      <c r="BJ58" s="81"/>
      <c r="BK58" s="83"/>
      <c r="BL58" s="43" t="str">
        <f aca="false">IFERROR(INDEX(ЗАКАЗЫ!$N$3:$N$500,MATCH($A58,ЗАКАЗЫ!$F$3:$F$500,0)),"")</f>
        <v/>
      </c>
      <c r="BM58" s="8" t="str">
        <f aca="false">IF(BL58="","",IFERROR(VLOOKUP(BL58,'ТН ВЭД'!$A$4:$C$40,3,0),""))</f>
        <v/>
      </c>
      <c r="BN58" s="7" t="str">
        <f aca="false">IF(COUNTIF(ЗАКАЗЫ!$F$3:$F$500,$A58)=0,"",SUMIF(ЗАКАЗЫ!$F$3:$F$500,$A58,ЗАКАЗЫ!$J$3:$J$500))</f>
        <v/>
      </c>
      <c r="BO58" s="7" t="str">
        <f aca="false">IF(BN58="","",SUMIF(ЗАКАЗЫ!$F$3:$F$500,$A58,ЗАКАЗЫ!$AL$3:$AL$500))</f>
        <v/>
      </c>
      <c r="BP58" s="7" t="str">
        <f aca="false">IF(BN58="","",BN58-BO58)</f>
        <v/>
      </c>
      <c r="BQ58" s="55" t="str">
        <f aca="false">IF(BN58="","",IF(BO58&gt;=BN58,"На складе",IF(BO58&gt;0,"Частично","Ждём")))</f>
        <v/>
      </c>
      <c r="BR58" s="43"/>
      <c r="BS58" s="47" t="str">
        <f aca="false">IF(BN58="","",IF(_xlfn.MAXIFS(ЗАКАЗЫ!$AK$3:$AK$500,ЗАКАЗЫ!$F$3:$F$500,$A58)=0,"",_xlfn.MAXIFS(ЗАКАЗЫ!$AK$3:$AK$500,ЗАКАЗЫ!$F$3:$F$500,$A58)))</f>
        <v/>
      </c>
    </row>
    <row r="59" customFormat="false" ht="15.75" hidden="false" customHeight="true" outlineLevel="0" collapsed="false">
      <c r="A59" s="80" t="s">
        <v>1582</v>
      </c>
      <c r="B59" s="81"/>
      <c r="C59" s="81"/>
      <c r="D59" s="81"/>
      <c r="E59" s="83"/>
      <c r="F59" s="81"/>
      <c r="G59" s="83"/>
      <c r="H59" s="83"/>
      <c r="I59" s="84" t="str">
        <f aca="false">IF(E59="","",A59&amp;"_1.jpg")</f>
        <v/>
      </c>
      <c r="J59" s="84" t="str">
        <f aca="false">IF(E59="","",A59&amp;"_2.jpg; "&amp;A59&amp;"_3.jpg")</f>
        <v/>
      </c>
      <c r="K59" s="84" t="str">
        <f aca="false">IF(E59="","",A59&amp;"_schema.jpg")</f>
        <v/>
      </c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 t="s">
        <v>96</v>
      </c>
      <c r="W59" s="81"/>
      <c r="X59" s="81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6" t="str">
        <f aca="false">IF(SUM(Y59:AJ59)=0,"",SUM(Y59:AJ59))</f>
        <v/>
      </c>
      <c r="AL59" s="84" t="str">
        <f aca="false">MID(IF(N(Y59)&gt;0,", "&amp;Y$2,"")&amp;IF(N(Z59)&gt;0,", "&amp;Z$2,"")&amp;IF(N(AA59)&gt;0,", "&amp;AA$2,"")&amp;IF(N(AB59)&gt;0,", "&amp;AB$2,"")&amp;IF(N(AC59)&gt;0,", "&amp;AC$2,"")&amp;IF(N(AD59)&gt;0,", "&amp;AD$2,"")&amp;IF(N(AE59)&gt;0,", "&amp;AE$2,"")&amp;IF(N(AF59)&gt;0,", "&amp;AF$2,"")&amp;IF(N(AG59)&gt;0,", "&amp;AG$2,"")&amp;IF(N(AH59)&gt;0,", "&amp;AH$2,"")&amp;IF(N(AI59)&gt;0,", "&amp;AI$2,"")&amp;IF(N(AJ59)&gt;0,", "&amp;AJ$2,""),3,999)</f>
        <v/>
      </c>
      <c r="AM59" s="87" t="str">
        <f aca="false">IF(E59="","",MID(IF(N(Y59)&gt;0,", "&amp;A59&amp;"-"&amp;Y$2,"")&amp;IF(N(Z59)&gt;0,", "&amp;A59&amp;"-"&amp;Z$2,"")&amp;IF(N(AA59)&gt;0,", "&amp;A59&amp;"-"&amp;AA$2,"")&amp;IF(N(AB59)&gt;0,", "&amp;A59&amp;"-"&amp;AB$2,"")&amp;IF(N(AC59)&gt;0,", "&amp;A59&amp;"-"&amp;AC$2,"")&amp;IF(N(AD59)&gt;0,", "&amp;A59&amp;"-"&amp;AD$2,"")&amp;IF(N(AE59)&gt;0,", "&amp;A59&amp;"-"&amp;AE$2,"")&amp;IF(N(AF59)&gt;0,", "&amp;A59&amp;"-"&amp;AF$2,"")&amp;IF(N(AG59)&gt;0,", "&amp;A59&amp;"-"&amp;AG$2,"")&amp;IF(N(AH59)&gt;0,", "&amp;A59&amp;"-"&amp;AH$2,"")&amp;IF(N(AI59)&gt;0,", "&amp;A59&amp;"-"&amp;AI$2,"")&amp;IF(N(AJ59)&gt;0,", "&amp;A59&amp;"-"&amp;AJ$2,""),3,999))</f>
        <v/>
      </c>
      <c r="AN59" s="81"/>
      <c r="AO59" s="88"/>
      <c r="AP59" s="89" t="str">
        <f aca="false">IF(AO59="","",ROUND(AO59/(1+Справочники!$B$13),2))</f>
        <v/>
      </c>
      <c r="AQ59" s="90" t="str">
        <f aca="false" t="array" ref="AQ59:AQ59">IF(AP59="","",AP59*INDEX(Справочники!$B$4:$B$7,MATCH("RUB",Справочники!$A$4:$A$7,0)))</f>
        <v/>
      </c>
      <c r="AR59" s="90" t="str">
        <f aca="false">IF(AQ59="","",ROUND(AQ59*(1+Справочники!$B$12),0))</f>
        <v/>
      </c>
      <c r="AS59" s="90" t="str">
        <f aca="false">IF(AR59="","",ROUND(AR59*(1-Справочники!$B$11),0))</f>
        <v/>
      </c>
      <c r="AT59" s="88"/>
      <c r="AU59" s="90" t="str">
        <f aca="false">IF(AT59="","",ROUND(AT59/(1+Справочники!$B$12),0))</f>
        <v/>
      </c>
      <c r="AV59" s="90" t="str">
        <f aca="false">IF(AT59="","",ROUND(AT59*(1-Справочники!$B$15),0))</f>
        <v/>
      </c>
      <c r="AW59" s="90" t="str">
        <f aca="false">IF(AT59="","",ROUND(AT59*(1-Справочники!$B$16),0))</f>
        <v/>
      </c>
      <c r="AX59" s="90" t="str">
        <f aca="false">IF(AT59="","",ROUND(AT59*(1-Справочники!$B$17),0))</f>
        <v/>
      </c>
      <c r="AY59" s="90" t="str">
        <f aca="false">IF(AT59="","",ROUND(AT59*(1-Справочники!$B$18),0))</f>
        <v/>
      </c>
      <c r="AZ59" s="90" t="str">
        <f aca="false">IF(AT59="","",ROUND(AT59*(1-Справочники!$B$19),0))</f>
        <v/>
      </c>
      <c r="BA59" s="81"/>
      <c r="BB59" s="81"/>
      <c r="BC59" s="81"/>
      <c r="BD59" s="81"/>
      <c r="BE59" s="91"/>
      <c r="BF59" s="81" t="s">
        <v>103</v>
      </c>
      <c r="BG59" s="89" t="n">
        <f aca="false" t="array" ref="BG59:BG59">IF(BF59="","",IFERROR(INDEX(Справочники!$B$4:$B$7,MATCH(BF59,Справочники!$A$4:$A$7,0)),""))</f>
        <v>68.5</v>
      </c>
      <c r="BH59" s="90" t="str">
        <f aca="false">IF(N(BN59)&gt;0,ROUND(SUMIF(ЗАКАЗЫ!$F$3:$F$500,$A59,ЗАКАЗЫ!$Y$3:$Y$500)/BN59,0),IF(OR(BE59="",BG59=""),"",ROUND(BE59*BG59*(1+Справочники!$B$10),0)))</f>
        <v/>
      </c>
      <c r="BI59" s="92" t="str">
        <f aca="false">IF(OR(AU59="",BH59="",AU59=0),"",(AU59-BH59)/AU59)</f>
        <v/>
      </c>
      <c r="BJ59" s="81"/>
      <c r="BK59" s="83"/>
      <c r="BL59" s="43" t="str">
        <f aca="false">IFERROR(INDEX(ЗАКАЗЫ!$N$3:$N$500,MATCH($A59,ЗАКАЗЫ!$F$3:$F$500,0)),"")</f>
        <v/>
      </c>
      <c r="BM59" s="8" t="str">
        <f aca="false">IF(BL59="","",IFERROR(VLOOKUP(BL59,'ТН ВЭД'!$A$4:$C$40,3,0),""))</f>
        <v/>
      </c>
      <c r="BN59" s="7" t="str">
        <f aca="false">IF(COUNTIF(ЗАКАЗЫ!$F$3:$F$500,$A59)=0,"",SUMIF(ЗАКАЗЫ!$F$3:$F$500,$A59,ЗАКАЗЫ!$J$3:$J$500))</f>
        <v/>
      </c>
      <c r="BO59" s="7" t="str">
        <f aca="false">IF(BN59="","",SUMIF(ЗАКАЗЫ!$F$3:$F$500,$A59,ЗАКАЗЫ!$AL$3:$AL$500))</f>
        <v/>
      </c>
      <c r="BP59" s="7" t="str">
        <f aca="false">IF(BN59="","",BN59-BO59)</f>
        <v/>
      </c>
      <c r="BQ59" s="55" t="str">
        <f aca="false">IF(BN59="","",IF(BO59&gt;=BN59,"На складе",IF(BO59&gt;0,"Частично","Ждём")))</f>
        <v/>
      </c>
      <c r="BR59" s="43"/>
      <c r="BS59" s="47" t="str">
        <f aca="false">IF(BN59="","",IF(_xlfn.MAXIFS(ЗАКАЗЫ!$AK$3:$AK$500,ЗАКАЗЫ!$F$3:$F$500,$A59)=0,"",_xlfn.MAXIFS(ЗАКАЗЫ!$AK$3:$AK$500,ЗАКАЗЫ!$F$3:$F$500,$A59)))</f>
        <v/>
      </c>
    </row>
    <row r="60" customFormat="false" ht="15.75" hidden="false" customHeight="true" outlineLevel="0" collapsed="false">
      <c r="A60" s="80" t="s">
        <v>1583</v>
      </c>
      <c r="B60" s="81"/>
      <c r="C60" s="81"/>
      <c r="D60" s="81"/>
      <c r="E60" s="83"/>
      <c r="F60" s="81"/>
      <c r="G60" s="83"/>
      <c r="H60" s="83"/>
      <c r="I60" s="84" t="str">
        <f aca="false">IF(E60="","",A60&amp;"_1.jpg")</f>
        <v/>
      </c>
      <c r="J60" s="84" t="str">
        <f aca="false">IF(E60="","",A60&amp;"_2.jpg; "&amp;A60&amp;"_3.jpg")</f>
        <v/>
      </c>
      <c r="K60" s="84" t="str">
        <f aca="false">IF(E60="","",A60&amp;"_schema.jpg")</f>
        <v/>
      </c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 t="s">
        <v>96</v>
      </c>
      <c r="W60" s="81"/>
      <c r="X60" s="81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6" t="str">
        <f aca="false">IF(SUM(Y60:AJ60)=0,"",SUM(Y60:AJ60))</f>
        <v/>
      </c>
      <c r="AL60" s="84" t="str">
        <f aca="false">MID(IF(N(Y60)&gt;0,", "&amp;Y$2,"")&amp;IF(N(Z60)&gt;0,", "&amp;Z$2,"")&amp;IF(N(AA60)&gt;0,", "&amp;AA$2,"")&amp;IF(N(AB60)&gt;0,", "&amp;AB$2,"")&amp;IF(N(AC60)&gt;0,", "&amp;AC$2,"")&amp;IF(N(AD60)&gt;0,", "&amp;AD$2,"")&amp;IF(N(AE60)&gt;0,", "&amp;AE$2,"")&amp;IF(N(AF60)&gt;0,", "&amp;AF$2,"")&amp;IF(N(AG60)&gt;0,", "&amp;AG$2,"")&amp;IF(N(AH60)&gt;0,", "&amp;AH$2,"")&amp;IF(N(AI60)&gt;0,", "&amp;AI$2,"")&amp;IF(N(AJ60)&gt;0,", "&amp;AJ$2,""),3,999)</f>
        <v/>
      </c>
      <c r="AM60" s="87" t="str">
        <f aca="false">IF(E60="","",MID(IF(N(Y60)&gt;0,", "&amp;A60&amp;"-"&amp;Y$2,"")&amp;IF(N(Z60)&gt;0,", "&amp;A60&amp;"-"&amp;Z$2,"")&amp;IF(N(AA60)&gt;0,", "&amp;A60&amp;"-"&amp;AA$2,"")&amp;IF(N(AB60)&gt;0,", "&amp;A60&amp;"-"&amp;AB$2,"")&amp;IF(N(AC60)&gt;0,", "&amp;A60&amp;"-"&amp;AC$2,"")&amp;IF(N(AD60)&gt;0,", "&amp;A60&amp;"-"&amp;AD$2,"")&amp;IF(N(AE60)&gt;0,", "&amp;A60&amp;"-"&amp;AE$2,"")&amp;IF(N(AF60)&gt;0,", "&amp;A60&amp;"-"&amp;AF$2,"")&amp;IF(N(AG60)&gt;0,", "&amp;A60&amp;"-"&amp;AG$2,"")&amp;IF(N(AH60)&gt;0,", "&amp;A60&amp;"-"&amp;AH$2,"")&amp;IF(N(AI60)&gt;0,", "&amp;A60&amp;"-"&amp;AI$2,"")&amp;IF(N(AJ60)&gt;0,", "&amp;A60&amp;"-"&amp;AJ$2,""),3,999))</f>
        <v/>
      </c>
      <c r="AN60" s="81"/>
      <c r="AO60" s="88"/>
      <c r="AP60" s="89" t="str">
        <f aca="false">IF(AO60="","",ROUND(AO60/(1+Справочники!$B$13),2))</f>
        <v/>
      </c>
      <c r="AQ60" s="90" t="str">
        <f aca="false" t="array" ref="AQ60:AQ60">IF(AP60="","",AP60*INDEX(Справочники!$B$4:$B$7,MATCH("RUB",Справочники!$A$4:$A$7,0)))</f>
        <v/>
      </c>
      <c r="AR60" s="90" t="str">
        <f aca="false">IF(AQ60="","",ROUND(AQ60*(1+Справочники!$B$12),0))</f>
        <v/>
      </c>
      <c r="AS60" s="90" t="str">
        <f aca="false">IF(AR60="","",ROUND(AR60*(1-Справочники!$B$11),0))</f>
        <v/>
      </c>
      <c r="AT60" s="88"/>
      <c r="AU60" s="90" t="str">
        <f aca="false">IF(AT60="","",ROUND(AT60/(1+Справочники!$B$12),0))</f>
        <v/>
      </c>
      <c r="AV60" s="90" t="str">
        <f aca="false">IF(AT60="","",ROUND(AT60*(1-Справочники!$B$15),0))</f>
        <v/>
      </c>
      <c r="AW60" s="90" t="str">
        <f aca="false">IF(AT60="","",ROUND(AT60*(1-Справочники!$B$16),0))</f>
        <v/>
      </c>
      <c r="AX60" s="90" t="str">
        <f aca="false">IF(AT60="","",ROUND(AT60*(1-Справочники!$B$17),0))</f>
        <v/>
      </c>
      <c r="AY60" s="90" t="str">
        <f aca="false">IF(AT60="","",ROUND(AT60*(1-Справочники!$B$18),0))</f>
        <v/>
      </c>
      <c r="AZ60" s="90" t="str">
        <f aca="false">IF(AT60="","",ROUND(AT60*(1-Справочники!$B$19),0))</f>
        <v/>
      </c>
      <c r="BA60" s="81"/>
      <c r="BB60" s="81"/>
      <c r="BC60" s="81"/>
      <c r="BD60" s="81"/>
      <c r="BE60" s="91"/>
      <c r="BF60" s="81" t="s">
        <v>103</v>
      </c>
      <c r="BG60" s="89" t="n">
        <f aca="false" t="array" ref="BG60:BG60">IF(BF60="","",IFERROR(INDEX(Справочники!$B$4:$B$7,MATCH(BF60,Справочники!$A$4:$A$7,0)),""))</f>
        <v>68.5</v>
      </c>
      <c r="BH60" s="90" t="str">
        <f aca="false">IF(N(BN60)&gt;0,ROUND(SUMIF(ЗАКАЗЫ!$F$3:$F$500,$A60,ЗАКАЗЫ!$Y$3:$Y$500)/BN60,0),IF(OR(BE60="",BG60=""),"",ROUND(BE60*BG60*(1+Справочники!$B$10),0)))</f>
        <v/>
      </c>
      <c r="BI60" s="92" t="str">
        <f aca="false">IF(OR(AU60="",BH60="",AU60=0),"",(AU60-BH60)/AU60)</f>
        <v/>
      </c>
      <c r="BJ60" s="81"/>
      <c r="BK60" s="83"/>
      <c r="BL60" s="43" t="str">
        <f aca="false">IFERROR(INDEX(ЗАКАЗЫ!$N$3:$N$500,MATCH($A60,ЗАКАЗЫ!$F$3:$F$500,0)),"")</f>
        <v/>
      </c>
      <c r="BM60" s="8" t="str">
        <f aca="false">IF(BL60="","",IFERROR(VLOOKUP(BL60,'ТН ВЭД'!$A$4:$C$40,3,0),""))</f>
        <v/>
      </c>
      <c r="BN60" s="7" t="str">
        <f aca="false">IF(COUNTIF(ЗАКАЗЫ!$F$3:$F$500,$A60)=0,"",SUMIF(ЗАКАЗЫ!$F$3:$F$500,$A60,ЗАКАЗЫ!$J$3:$J$500))</f>
        <v/>
      </c>
      <c r="BO60" s="7" t="str">
        <f aca="false">IF(BN60="","",SUMIF(ЗАКАЗЫ!$F$3:$F$500,$A60,ЗАКАЗЫ!$AL$3:$AL$500))</f>
        <v/>
      </c>
      <c r="BP60" s="7" t="str">
        <f aca="false">IF(BN60="","",BN60-BO60)</f>
        <v/>
      </c>
      <c r="BQ60" s="55" t="str">
        <f aca="false">IF(BN60="","",IF(BO60&gt;=BN60,"На складе",IF(BO60&gt;0,"Частично","Ждём")))</f>
        <v/>
      </c>
      <c r="BR60" s="43"/>
      <c r="BS60" s="47" t="str">
        <f aca="false">IF(BN60="","",IF(_xlfn.MAXIFS(ЗАКАЗЫ!$AK$3:$AK$500,ЗАКАЗЫ!$F$3:$F$500,$A60)=0,"",_xlfn.MAXIFS(ЗАКАЗЫ!$AK$3:$AK$500,ЗАКАЗЫ!$F$3:$F$500,$A60)))</f>
        <v/>
      </c>
    </row>
    <row r="61" customFormat="false" ht="15.75" hidden="false" customHeight="true" outlineLevel="0" collapsed="false">
      <c r="A61" s="80" t="s">
        <v>1584</v>
      </c>
      <c r="B61" s="81"/>
      <c r="C61" s="81"/>
      <c r="D61" s="81"/>
      <c r="E61" s="83"/>
      <c r="F61" s="81"/>
      <c r="G61" s="83"/>
      <c r="H61" s="83"/>
      <c r="I61" s="84" t="str">
        <f aca="false">IF(E61="","",A61&amp;"_1.jpg")</f>
        <v/>
      </c>
      <c r="J61" s="84" t="str">
        <f aca="false">IF(E61="","",A61&amp;"_2.jpg; "&amp;A61&amp;"_3.jpg")</f>
        <v/>
      </c>
      <c r="K61" s="84" t="str">
        <f aca="false">IF(E61="","",A61&amp;"_schema.jpg")</f>
        <v/>
      </c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 t="s">
        <v>96</v>
      </c>
      <c r="W61" s="81"/>
      <c r="X61" s="81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6" t="str">
        <f aca="false">IF(SUM(Y61:AJ61)=0,"",SUM(Y61:AJ61))</f>
        <v/>
      </c>
      <c r="AL61" s="84" t="str">
        <f aca="false">MID(IF(N(Y61)&gt;0,", "&amp;Y$2,"")&amp;IF(N(Z61)&gt;0,", "&amp;Z$2,"")&amp;IF(N(AA61)&gt;0,", "&amp;AA$2,"")&amp;IF(N(AB61)&gt;0,", "&amp;AB$2,"")&amp;IF(N(AC61)&gt;0,", "&amp;AC$2,"")&amp;IF(N(AD61)&gt;0,", "&amp;AD$2,"")&amp;IF(N(AE61)&gt;0,", "&amp;AE$2,"")&amp;IF(N(AF61)&gt;0,", "&amp;AF$2,"")&amp;IF(N(AG61)&gt;0,", "&amp;AG$2,"")&amp;IF(N(AH61)&gt;0,", "&amp;AH$2,"")&amp;IF(N(AI61)&gt;0,", "&amp;AI$2,"")&amp;IF(N(AJ61)&gt;0,", "&amp;AJ$2,""),3,999)</f>
        <v/>
      </c>
      <c r="AM61" s="87" t="str">
        <f aca="false">IF(E61="","",MID(IF(N(Y61)&gt;0,", "&amp;A61&amp;"-"&amp;Y$2,"")&amp;IF(N(Z61)&gt;0,", "&amp;A61&amp;"-"&amp;Z$2,"")&amp;IF(N(AA61)&gt;0,", "&amp;A61&amp;"-"&amp;AA$2,"")&amp;IF(N(AB61)&gt;0,", "&amp;A61&amp;"-"&amp;AB$2,"")&amp;IF(N(AC61)&gt;0,", "&amp;A61&amp;"-"&amp;AC$2,"")&amp;IF(N(AD61)&gt;0,", "&amp;A61&amp;"-"&amp;AD$2,"")&amp;IF(N(AE61)&gt;0,", "&amp;A61&amp;"-"&amp;AE$2,"")&amp;IF(N(AF61)&gt;0,", "&amp;A61&amp;"-"&amp;AF$2,"")&amp;IF(N(AG61)&gt;0,", "&amp;A61&amp;"-"&amp;AG$2,"")&amp;IF(N(AH61)&gt;0,", "&amp;A61&amp;"-"&amp;AH$2,"")&amp;IF(N(AI61)&gt;0,", "&amp;A61&amp;"-"&amp;AI$2,"")&amp;IF(N(AJ61)&gt;0,", "&amp;A61&amp;"-"&amp;AJ$2,""),3,999))</f>
        <v/>
      </c>
      <c r="AN61" s="81"/>
      <c r="AO61" s="88"/>
      <c r="AP61" s="89" t="str">
        <f aca="false">IF(AO61="","",ROUND(AO61/(1+Справочники!$B$13),2))</f>
        <v/>
      </c>
      <c r="AQ61" s="90" t="str">
        <f aca="false" t="array" ref="AQ61:AQ61">IF(AP61="","",AP61*INDEX(Справочники!$B$4:$B$7,MATCH("RUB",Справочники!$A$4:$A$7,0)))</f>
        <v/>
      </c>
      <c r="AR61" s="90" t="str">
        <f aca="false">IF(AQ61="","",ROUND(AQ61*(1+Справочники!$B$12),0))</f>
        <v/>
      </c>
      <c r="AS61" s="90" t="str">
        <f aca="false">IF(AR61="","",ROUND(AR61*(1-Справочники!$B$11),0))</f>
        <v/>
      </c>
      <c r="AT61" s="88"/>
      <c r="AU61" s="90" t="str">
        <f aca="false">IF(AT61="","",ROUND(AT61/(1+Справочники!$B$12),0))</f>
        <v/>
      </c>
      <c r="AV61" s="90" t="str">
        <f aca="false">IF(AT61="","",ROUND(AT61*(1-Справочники!$B$15),0))</f>
        <v/>
      </c>
      <c r="AW61" s="90" t="str">
        <f aca="false">IF(AT61="","",ROUND(AT61*(1-Справочники!$B$16),0))</f>
        <v/>
      </c>
      <c r="AX61" s="90" t="str">
        <f aca="false">IF(AT61="","",ROUND(AT61*(1-Справочники!$B$17),0))</f>
        <v/>
      </c>
      <c r="AY61" s="90" t="str">
        <f aca="false">IF(AT61="","",ROUND(AT61*(1-Справочники!$B$18),0))</f>
        <v/>
      </c>
      <c r="AZ61" s="90" t="str">
        <f aca="false">IF(AT61="","",ROUND(AT61*(1-Справочники!$B$19),0))</f>
        <v/>
      </c>
      <c r="BA61" s="81"/>
      <c r="BB61" s="81"/>
      <c r="BC61" s="81"/>
      <c r="BD61" s="81"/>
      <c r="BE61" s="91"/>
      <c r="BF61" s="81" t="s">
        <v>103</v>
      </c>
      <c r="BG61" s="89" t="n">
        <f aca="false" t="array" ref="BG61:BG61">IF(BF61="","",IFERROR(INDEX(Справочники!$B$4:$B$7,MATCH(BF61,Справочники!$A$4:$A$7,0)),""))</f>
        <v>68.5</v>
      </c>
      <c r="BH61" s="90" t="str">
        <f aca="false">IF(N(BN61)&gt;0,ROUND(SUMIF(ЗАКАЗЫ!$F$3:$F$500,$A61,ЗАКАЗЫ!$Y$3:$Y$500)/BN61,0),IF(OR(BE61="",BG61=""),"",ROUND(BE61*BG61*(1+Справочники!$B$10),0)))</f>
        <v/>
      </c>
      <c r="BI61" s="92" t="str">
        <f aca="false">IF(OR(AU61="",BH61="",AU61=0),"",(AU61-BH61)/AU61)</f>
        <v/>
      </c>
      <c r="BJ61" s="81"/>
      <c r="BK61" s="83"/>
      <c r="BL61" s="43" t="str">
        <f aca="false">IFERROR(INDEX(ЗАКАЗЫ!$N$3:$N$500,MATCH($A61,ЗАКАЗЫ!$F$3:$F$500,0)),"")</f>
        <v/>
      </c>
      <c r="BM61" s="8" t="str">
        <f aca="false">IF(BL61="","",IFERROR(VLOOKUP(BL61,'ТН ВЭД'!$A$4:$C$40,3,0),""))</f>
        <v/>
      </c>
      <c r="BN61" s="7" t="str">
        <f aca="false">IF(COUNTIF(ЗАКАЗЫ!$F$3:$F$500,$A61)=0,"",SUMIF(ЗАКАЗЫ!$F$3:$F$500,$A61,ЗАКАЗЫ!$J$3:$J$500))</f>
        <v/>
      </c>
      <c r="BO61" s="7" t="str">
        <f aca="false">IF(BN61="","",SUMIF(ЗАКАЗЫ!$F$3:$F$500,$A61,ЗАКАЗЫ!$AL$3:$AL$500))</f>
        <v/>
      </c>
      <c r="BP61" s="7" t="str">
        <f aca="false">IF(BN61="","",BN61-BO61)</f>
        <v/>
      </c>
      <c r="BQ61" s="55" t="str">
        <f aca="false">IF(BN61="","",IF(BO61&gt;=BN61,"На складе",IF(BO61&gt;0,"Частично","Ждём")))</f>
        <v/>
      </c>
      <c r="BR61" s="43"/>
      <c r="BS61" s="47" t="str">
        <f aca="false">IF(BN61="","",IF(_xlfn.MAXIFS(ЗАКАЗЫ!$AK$3:$AK$500,ЗАКАЗЫ!$F$3:$F$500,$A61)=0,"",_xlfn.MAXIFS(ЗАКАЗЫ!$AK$3:$AK$500,ЗАКАЗЫ!$F$3:$F$500,$A61)))</f>
        <v/>
      </c>
    </row>
    <row r="62" customFormat="false" ht="15.75" hidden="false" customHeight="true" outlineLevel="0" collapsed="false">
      <c r="A62" s="80" t="s">
        <v>1585</v>
      </c>
      <c r="B62" s="81"/>
      <c r="C62" s="81"/>
      <c r="D62" s="81"/>
      <c r="E62" s="83"/>
      <c r="F62" s="81"/>
      <c r="G62" s="83"/>
      <c r="H62" s="83"/>
      <c r="I62" s="84" t="str">
        <f aca="false">IF(E62="","",A62&amp;"_1.jpg")</f>
        <v/>
      </c>
      <c r="J62" s="84" t="str">
        <f aca="false">IF(E62="","",A62&amp;"_2.jpg; "&amp;A62&amp;"_3.jpg")</f>
        <v/>
      </c>
      <c r="K62" s="84" t="str">
        <f aca="false">IF(E62="","",A62&amp;"_schema.jpg")</f>
        <v/>
      </c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 t="s">
        <v>96</v>
      </c>
      <c r="W62" s="81"/>
      <c r="X62" s="81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6" t="str">
        <f aca="false">IF(SUM(Y62:AJ62)=0,"",SUM(Y62:AJ62))</f>
        <v/>
      </c>
      <c r="AL62" s="84" t="str">
        <f aca="false">MID(IF(N(Y62)&gt;0,", "&amp;Y$2,"")&amp;IF(N(Z62)&gt;0,", "&amp;Z$2,"")&amp;IF(N(AA62)&gt;0,", "&amp;AA$2,"")&amp;IF(N(AB62)&gt;0,", "&amp;AB$2,"")&amp;IF(N(AC62)&gt;0,", "&amp;AC$2,"")&amp;IF(N(AD62)&gt;0,", "&amp;AD$2,"")&amp;IF(N(AE62)&gt;0,", "&amp;AE$2,"")&amp;IF(N(AF62)&gt;0,", "&amp;AF$2,"")&amp;IF(N(AG62)&gt;0,", "&amp;AG$2,"")&amp;IF(N(AH62)&gt;0,", "&amp;AH$2,"")&amp;IF(N(AI62)&gt;0,", "&amp;AI$2,"")&amp;IF(N(AJ62)&gt;0,", "&amp;AJ$2,""),3,999)</f>
        <v/>
      </c>
      <c r="AM62" s="87" t="str">
        <f aca="false">IF(E62="","",MID(IF(N(Y62)&gt;0,", "&amp;A62&amp;"-"&amp;Y$2,"")&amp;IF(N(Z62)&gt;0,", "&amp;A62&amp;"-"&amp;Z$2,"")&amp;IF(N(AA62)&gt;0,", "&amp;A62&amp;"-"&amp;AA$2,"")&amp;IF(N(AB62)&gt;0,", "&amp;A62&amp;"-"&amp;AB$2,"")&amp;IF(N(AC62)&gt;0,", "&amp;A62&amp;"-"&amp;AC$2,"")&amp;IF(N(AD62)&gt;0,", "&amp;A62&amp;"-"&amp;AD$2,"")&amp;IF(N(AE62)&gt;0,", "&amp;A62&amp;"-"&amp;AE$2,"")&amp;IF(N(AF62)&gt;0,", "&amp;A62&amp;"-"&amp;AF$2,"")&amp;IF(N(AG62)&gt;0,", "&amp;A62&amp;"-"&amp;AG$2,"")&amp;IF(N(AH62)&gt;0,", "&amp;A62&amp;"-"&amp;AH$2,"")&amp;IF(N(AI62)&gt;0,", "&amp;A62&amp;"-"&amp;AI$2,"")&amp;IF(N(AJ62)&gt;0,", "&amp;A62&amp;"-"&amp;AJ$2,""),3,999))</f>
        <v/>
      </c>
      <c r="AN62" s="81"/>
      <c r="AO62" s="88"/>
      <c r="AP62" s="89" t="str">
        <f aca="false">IF(AO62="","",ROUND(AO62/(1+Справочники!$B$13),2))</f>
        <v/>
      </c>
      <c r="AQ62" s="90" t="str">
        <f aca="false" t="array" ref="AQ62:AQ62">IF(AP62="","",AP62*INDEX(Справочники!$B$4:$B$7,MATCH("RUB",Справочники!$A$4:$A$7,0)))</f>
        <v/>
      </c>
      <c r="AR62" s="90" t="str">
        <f aca="false">IF(AQ62="","",ROUND(AQ62*(1+Справочники!$B$12),0))</f>
        <v/>
      </c>
      <c r="AS62" s="90" t="str">
        <f aca="false">IF(AR62="","",ROUND(AR62*(1-Справочники!$B$11),0))</f>
        <v/>
      </c>
      <c r="AT62" s="88"/>
      <c r="AU62" s="90" t="str">
        <f aca="false">IF(AT62="","",ROUND(AT62/(1+Справочники!$B$12),0))</f>
        <v/>
      </c>
      <c r="AV62" s="90" t="str">
        <f aca="false">IF(AT62="","",ROUND(AT62*(1-Справочники!$B$15),0))</f>
        <v/>
      </c>
      <c r="AW62" s="90" t="str">
        <f aca="false">IF(AT62="","",ROUND(AT62*(1-Справочники!$B$16),0))</f>
        <v/>
      </c>
      <c r="AX62" s="90" t="str">
        <f aca="false">IF(AT62="","",ROUND(AT62*(1-Справочники!$B$17),0))</f>
        <v/>
      </c>
      <c r="AY62" s="90" t="str">
        <f aca="false">IF(AT62="","",ROUND(AT62*(1-Справочники!$B$18),0))</f>
        <v/>
      </c>
      <c r="AZ62" s="90" t="str">
        <f aca="false">IF(AT62="","",ROUND(AT62*(1-Справочники!$B$19),0))</f>
        <v/>
      </c>
      <c r="BA62" s="81"/>
      <c r="BB62" s="81"/>
      <c r="BC62" s="81"/>
      <c r="BD62" s="81"/>
      <c r="BE62" s="91"/>
      <c r="BF62" s="81" t="s">
        <v>103</v>
      </c>
      <c r="BG62" s="89" t="n">
        <f aca="false" t="array" ref="BG62:BG62">IF(BF62="","",IFERROR(INDEX(Справочники!$B$4:$B$7,MATCH(BF62,Справочники!$A$4:$A$7,0)),""))</f>
        <v>68.5</v>
      </c>
      <c r="BH62" s="90" t="str">
        <f aca="false">IF(N(BN62)&gt;0,ROUND(SUMIF(ЗАКАЗЫ!$F$3:$F$500,$A62,ЗАКАЗЫ!$Y$3:$Y$500)/BN62,0),IF(OR(BE62="",BG62=""),"",ROUND(BE62*BG62*(1+Справочники!$B$10),0)))</f>
        <v/>
      </c>
      <c r="BI62" s="92" t="str">
        <f aca="false">IF(OR(AU62="",BH62="",AU62=0),"",(AU62-BH62)/AU62)</f>
        <v/>
      </c>
      <c r="BJ62" s="81"/>
      <c r="BK62" s="83"/>
      <c r="BL62" s="43" t="str">
        <f aca="false">IFERROR(INDEX(ЗАКАЗЫ!$N$3:$N$500,MATCH($A62,ЗАКАЗЫ!$F$3:$F$500,0)),"")</f>
        <v/>
      </c>
      <c r="BM62" s="8" t="str">
        <f aca="false">IF(BL62="","",IFERROR(VLOOKUP(BL62,'ТН ВЭД'!$A$4:$C$40,3,0),""))</f>
        <v/>
      </c>
      <c r="BN62" s="7" t="str">
        <f aca="false">IF(COUNTIF(ЗАКАЗЫ!$F$3:$F$500,$A62)=0,"",SUMIF(ЗАКАЗЫ!$F$3:$F$500,$A62,ЗАКАЗЫ!$J$3:$J$500))</f>
        <v/>
      </c>
      <c r="BO62" s="7" t="str">
        <f aca="false">IF(BN62="","",SUMIF(ЗАКАЗЫ!$F$3:$F$500,$A62,ЗАКАЗЫ!$AL$3:$AL$500))</f>
        <v/>
      </c>
      <c r="BP62" s="7" t="str">
        <f aca="false">IF(BN62="","",BN62-BO62)</f>
        <v/>
      </c>
      <c r="BQ62" s="55" t="str">
        <f aca="false">IF(BN62="","",IF(BO62&gt;=BN62,"На складе",IF(BO62&gt;0,"Частично","Ждём")))</f>
        <v/>
      </c>
      <c r="BR62" s="43"/>
      <c r="BS62" s="47" t="str">
        <f aca="false">IF(BN62="","",IF(_xlfn.MAXIFS(ЗАКАЗЫ!$AK$3:$AK$500,ЗАКАЗЫ!$F$3:$F$500,$A62)=0,"",_xlfn.MAXIFS(ЗАКАЗЫ!$AK$3:$AK$500,ЗАКАЗЫ!$F$3:$F$500,$A62)))</f>
        <v/>
      </c>
    </row>
    <row r="63" customFormat="false" ht="15.75" hidden="false" customHeight="true" outlineLevel="0" collapsed="false">
      <c r="A63" s="80" t="s">
        <v>1586</v>
      </c>
      <c r="B63" s="81"/>
      <c r="C63" s="81"/>
      <c r="D63" s="81"/>
      <c r="E63" s="83"/>
      <c r="F63" s="81"/>
      <c r="G63" s="83"/>
      <c r="H63" s="83"/>
      <c r="I63" s="84" t="str">
        <f aca="false">IF(E63="","",A63&amp;"_1.jpg")</f>
        <v/>
      </c>
      <c r="J63" s="84" t="str">
        <f aca="false">IF(E63="","",A63&amp;"_2.jpg; "&amp;A63&amp;"_3.jpg")</f>
        <v/>
      </c>
      <c r="K63" s="84" t="str">
        <f aca="false">IF(E63="","",A63&amp;"_schema.jpg")</f>
        <v/>
      </c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 t="s">
        <v>96</v>
      </c>
      <c r="W63" s="81"/>
      <c r="X63" s="81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6" t="str">
        <f aca="false">IF(SUM(Y63:AJ63)=0,"",SUM(Y63:AJ63))</f>
        <v/>
      </c>
      <c r="AL63" s="84" t="str">
        <f aca="false">MID(IF(N(Y63)&gt;0,", "&amp;Y$2,"")&amp;IF(N(Z63)&gt;0,", "&amp;Z$2,"")&amp;IF(N(AA63)&gt;0,", "&amp;AA$2,"")&amp;IF(N(AB63)&gt;0,", "&amp;AB$2,"")&amp;IF(N(AC63)&gt;0,", "&amp;AC$2,"")&amp;IF(N(AD63)&gt;0,", "&amp;AD$2,"")&amp;IF(N(AE63)&gt;0,", "&amp;AE$2,"")&amp;IF(N(AF63)&gt;0,", "&amp;AF$2,"")&amp;IF(N(AG63)&gt;0,", "&amp;AG$2,"")&amp;IF(N(AH63)&gt;0,", "&amp;AH$2,"")&amp;IF(N(AI63)&gt;0,", "&amp;AI$2,"")&amp;IF(N(AJ63)&gt;0,", "&amp;AJ$2,""),3,999)</f>
        <v/>
      </c>
      <c r="AM63" s="87" t="str">
        <f aca="false">IF(E63="","",MID(IF(N(Y63)&gt;0,", "&amp;A63&amp;"-"&amp;Y$2,"")&amp;IF(N(Z63)&gt;0,", "&amp;A63&amp;"-"&amp;Z$2,"")&amp;IF(N(AA63)&gt;0,", "&amp;A63&amp;"-"&amp;AA$2,"")&amp;IF(N(AB63)&gt;0,", "&amp;A63&amp;"-"&amp;AB$2,"")&amp;IF(N(AC63)&gt;0,", "&amp;A63&amp;"-"&amp;AC$2,"")&amp;IF(N(AD63)&gt;0,", "&amp;A63&amp;"-"&amp;AD$2,"")&amp;IF(N(AE63)&gt;0,", "&amp;A63&amp;"-"&amp;AE$2,"")&amp;IF(N(AF63)&gt;0,", "&amp;A63&amp;"-"&amp;AF$2,"")&amp;IF(N(AG63)&gt;0,", "&amp;A63&amp;"-"&amp;AG$2,"")&amp;IF(N(AH63)&gt;0,", "&amp;A63&amp;"-"&amp;AH$2,"")&amp;IF(N(AI63)&gt;0,", "&amp;A63&amp;"-"&amp;AI$2,"")&amp;IF(N(AJ63)&gt;0,", "&amp;A63&amp;"-"&amp;AJ$2,""),3,999))</f>
        <v/>
      </c>
      <c r="AN63" s="81"/>
      <c r="AO63" s="88"/>
      <c r="AP63" s="89" t="str">
        <f aca="false">IF(AO63="","",ROUND(AO63/(1+Справочники!$B$13),2))</f>
        <v/>
      </c>
      <c r="AQ63" s="90" t="str">
        <f aca="false" t="array" ref="AQ63:AQ63">IF(AP63="","",AP63*INDEX(Справочники!$B$4:$B$7,MATCH("RUB",Справочники!$A$4:$A$7,0)))</f>
        <v/>
      </c>
      <c r="AR63" s="90" t="str">
        <f aca="false">IF(AQ63="","",ROUND(AQ63*(1+Справочники!$B$12),0))</f>
        <v/>
      </c>
      <c r="AS63" s="90" t="str">
        <f aca="false">IF(AR63="","",ROUND(AR63*(1-Справочники!$B$11),0))</f>
        <v/>
      </c>
      <c r="AT63" s="88"/>
      <c r="AU63" s="90" t="str">
        <f aca="false">IF(AT63="","",ROUND(AT63/(1+Справочники!$B$12),0))</f>
        <v/>
      </c>
      <c r="AV63" s="90" t="str">
        <f aca="false">IF(AT63="","",ROUND(AT63*(1-Справочники!$B$15),0))</f>
        <v/>
      </c>
      <c r="AW63" s="90" t="str">
        <f aca="false">IF(AT63="","",ROUND(AT63*(1-Справочники!$B$16),0))</f>
        <v/>
      </c>
      <c r="AX63" s="90" t="str">
        <f aca="false">IF(AT63="","",ROUND(AT63*(1-Справочники!$B$17),0))</f>
        <v/>
      </c>
      <c r="AY63" s="90" t="str">
        <f aca="false">IF(AT63="","",ROUND(AT63*(1-Справочники!$B$18),0))</f>
        <v/>
      </c>
      <c r="AZ63" s="90" t="str">
        <f aca="false">IF(AT63="","",ROUND(AT63*(1-Справочники!$B$19),0))</f>
        <v/>
      </c>
      <c r="BA63" s="81"/>
      <c r="BB63" s="81"/>
      <c r="BC63" s="81"/>
      <c r="BD63" s="81"/>
      <c r="BE63" s="91"/>
      <c r="BF63" s="81" t="s">
        <v>103</v>
      </c>
      <c r="BG63" s="89" t="n">
        <f aca="false" t="array" ref="BG63:BG63">IF(BF63="","",IFERROR(INDEX(Справочники!$B$4:$B$7,MATCH(BF63,Справочники!$A$4:$A$7,0)),""))</f>
        <v>68.5</v>
      </c>
      <c r="BH63" s="90" t="str">
        <f aca="false">IF(N(BN63)&gt;0,ROUND(SUMIF(ЗАКАЗЫ!$F$3:$F$500,$A63,ЗАКАЗЫ!$Y$3:$Y$500)/BN63,0),IF(OR(BE63="",BG63=""),"",ROUND(BE63*BG63*(1+Справочники!$B$10),0)))</f>
        <v/>
      </c>
      <c r="BI63" s="92" t="str">
        <f aca="false">IF(OR(AU63="",BH63="",AU63=0),"",(AU63-BH63)/AU63)</f>
        <v/>
      </c>
      <c r="BJ63" s="81"/>
      <c r="BK63" s="83"/>
      <c r="BL63" s="43" t="str">
        <f aca="false">IFERROR(INDEX(ЗАКАЗЫ!$N$3:$N$500,MATCH($A63,ЗАКАЗЫ!$F$3:$F$500,0)),"")</f>
        <v/>
      </c>
      <c r="BM63" s="8" t="str">
        <f aca="false">IF(BL63="","",IFERROR(VLOOKUP(BL63,'ТН ВЭД'!$A$4:$C$40,3,0),""))</f>
        <v/>
      </c>
      <c r="BN63" s="7" t="str">
        <f aca="false">IF(COUNTIF(ЗАКАЗЫ!$F$3:$F$500,$A63)=0,"",SUMIF(ЗАКАЗЫ!$F$3:$F$500,$A63,ЗАКАЗЫ!$J$3:$J$500))</f>
        <v/>
      </c>
      <c r="BO63" s="7" t="str">
        <f aca="false">IF(BN63="","",SUMIF(ЗАКАЗЫ!$F$3:$F$500,$A63,ЗАКАЗЫ!$AL$3:$AL$500))</f>
        <v/>
      </c>
      <c r="BP63" s="7" t="str">
        <f aca="false">IF(BN63="","",BN63-BO63)</f>
        <v/>
      </c>
      <c r="BQ63" s="55" t="str">
        <f aca="false">IF(BN63="","",IF(BO63&gt;=BN63,"На складе",IF(BO63&gt;0,"Частично","Ждём")))</f>
        <v/>
      </c>
      <c r="BR63" s="43"/>
      <c r="BS63" s="47" t="str">
        <f aca="false">IF(BN63="","",IF(_xlfn.MAXIFS(ЗАКАЗЫ!$AK$3:$AK$500,ЗАКАЗЫ!$F$3:$F$500,$A63)=0,"",_xlfn.MAXIFS(ЗАКАЗЫ!$AK$3:$AK$500,ЗАКАЗЫ!$F$3:$F$500,$A63)))</f>
        <v/>
      </c>
    </row>
    <row r="64" customFormat="false" ht="15.75" hidden="false" customHeight="true" outlineLevel="0" collapsed="false">
      <c r="A64" s="80" t="s">
        <v>1587</v>
      </c>
      <c r="B64" s="81"/>
      <c r="C64" s="81"/>
      <c r="D64" s="81"/>
      <c r="E64" s="83"/>
      <c r="F64" s="81"/>
      <c r="G64" s="83"/>
      <c r="H64" s="83"/>
      <c r="I64" s="84" t="str">
        <f aca="false">IF(E64="","",A64&amp;"_1.jpg")</f>
        <v/>
      </c>
      <c r="J64" s="84" t="str">
        <f aca="false">IF(E64="","",A64&amp;"_2.jpg; "&amp;A64&amp;"_3.jpg")</f>
        <v/>
      </c>
      <c r="K64" s="84" t="str">
        <f aca="false">IF(E64="","",A64&amp;"_schema.jpg")</f>
        <v/>
      </c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 t="s">
        <v>96</v>
      </c>
      <c r="W64" s="81"/>
      <c r="X64" s="81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6" t="str">
        <f aca="false">IF(SUM(Y64:AJ64)=0,"",SUM(Y64:AJ64))</f>
        <v/>
      </c>
      <c r="AL64" s="84" t="str">
        <f aca="false">MID(IF(N(Y64)&gt;0,", "&amp;Y$2,"")&amp;IF(N(Z64)&gt;0,", "&amp;Z$2,"")&amp;IF(N(AA64)&gt;0,", "&amp;AA$2,"")&amp;IF(N(AB64)&gt;0,", "&amp;AB$2,"")&amp;IF(N(AC64)&gt;0,", "&amp;AC$2,"")&amp;IF(N(AD64)&gt;0,", "&amp;AD$2,"")&amp;IF(N(AE64)&gt;0,", "&amp;AE$2,"")&amp;IF(N(AF64)&gt;0,", "&amp;AF$2,"")&amp;IF(N(AG64)&gt;0,", "&amp;AG$2,"")&amp;IF(N(AH64)&gt;0,", "&amp;AH$2,"")&amp;IF(N(AI64)&gt;0,", "&amp;AI$2,"")&amp;IF(N(AJ64)&gt;0,", "&amp;AJ$2,""),3,999)</f>
        <v/>
      </c>
      <c r="AM64" s="87" t="str">
        <f aca="false">IF(E64="","",MID(IF(N(Y64)&gt;0,", "&amp;A64&amp;"-"&amp;Y$2,"")&amp;IF(N(Z64)&gt;0,", "&amp;A64&amp;"-"&amp;Z$2,"")&amp;IF(N(AA64)&gt;0,", "&amp;A64&amp;"-"&amp;AA$2,"")&amp;IF(N(AB64)&gt;0,", "&amp;A64&amp;"-"&amp;AB$2,"")&amp;IF(N(AC64)&gt;0,", "&amp;A64&amp;"-"&amp;AC$2,"")&amp;IF(N(AD64)&gt;0,", "&amp;A64&amp;"-"&amp;AD$2,"")&amp;IF(N(AE64)&gt;0,", "&amp;A64&amp;"-"&amp;AE$2,"")&amp;IF(N(AF64)&gt;0,", "&amp;A64&amp;"-"&amp;AF$2,"")&amp;IF(N(AG64)&gt;0,", "&amp;A64&amp;"-"&amp;AG$2,"")&amp;IF(N(AH64)&gt;0,", "&amp;A64&amp;"-"&amp;AH$2,"")&amp;IF(N(AI64)&gt;0,", "&amp;A64&amp;"-"&amp;AI$2,"")&amp;IF(N(AJ64)&gt;0,", "&amp;A64&amp;"-"&amp;AJ$2,""),3,999))</f>
        <v/>
      </c>
      <c r="AN64" s="81"/>
      <c r="AO64" s="88"/>
      <c r="AP64" s="89" t="str">
        <f aca="false">IF(AO64="","",ROUND(AO64/(1+Справочники!$B$13),2))</f>
        <v/>
      </c>
      <c r="AQ64" s="90" t="str">
        <f aca="false" t="array" ref="AQ64:AQ64">IF(AP64="","",AP64*INDEX(Справочники!$B$4:$B$7,MATCH("RUB",Справочники!$A$4:$A$7,0)))</f>
        <v/>
      </c>
      <c r="AR64" s="90" t="str">
        <f aca="false">IF(AQ64="","",ROUND(AQ64*(1+Справочники!$B$12),0))</f>
        <v/>
      </c>
      <c r="AS64" s="90" t="str">
        <f aca="false">IF(AR64="","",ROUND(AR64*(1-Справочники!$B$11),0))</f>
        <v/>
      </c>
      <c r="AT64" s="88"/>
      <c r="AU64" s="90" t="str">
        <f aca="false">IF(AT64="","",ROUND(AT64/(1+Справочники!$B$12),0))</f>
        <v/>
      </c>
      <c r="AV64" s="90" t="str">
        <f aca="false">IF(AT64="","",ROUND(AT64*(1-Справочники!$B$15),0))</f>
        <v/>
      </c>
      <c r="AW64" s="90" t="str">
        <f aca="false">IF(AT64="","",ROUND(AT64*(1-Справочники!$B$16),0))</f>
        <v/>
      </c>
      <c r="AX64" s="90" t="str">
        <f aca="false">IF(AT64="","",ROUND(AT64*(1-Справочники!$B$17),0))</f>
        <v/>
      </c>
      <c r="AY64" s="90" t="str">
        <f aca="false">IF(AT64="","",ROUND(AT64*(1-Справочники!$B$18),0))</f>
        <v/>
      </c>
      <c r="AZ64" s="90" t="str">
        <f aca="false">IF(AT64="","",ROUND(AT64*(1-Справочники!$B$19),0))</f>
        <v/>
      </c>
      <c r="BA64" s="81"/>
      <c r="BB64" s="81"/>
      <c r="BC64" s="81"/>
      <c r="BD64" s="81"/>
      <c r="BE64" s="91"/>
      <c r="BF64" s="81" t="s">
        <v>103</v>
      </c>
      <c r="BG64" s="89" t="n">
        <f aca="false" t="array" ref="BG64:BG64">IF(BF64="","",IFERROR(INDEX(Справочники!$B$4:$B$7,MATCH(BF64,Справочники!$A$4:$A$7,0)),""))</f>
        <v>68.5</v>
      </c>
      <c r="BH64" s="90" t="str">
        <f aca="false">IF(N(BN64)&gt;0,ROUND(SUMIF(ЗАКАЗЫ!$F$3:$F$500,$A64,ЗАКАЗЫ!$Y$3:$Y$500)/BN64,0),IF(OR(BE64="",BG64=""),"",ROUND(BE64*BG64*(1+Справочники!$B$10),0)))</f>
        <v/>
      </c>
      <c r="BI64" s="92" t="str">
        <f aca="false">IF(OR(AU64="",BH64="",AU64=0),"",(AU64-BH64)/AU64)</f>
        <v/>
      </c>
      <c r="BJ64" s="81"/>
      <c r="BK64" s="83"/>
      <c r="BL64" s="43" t="str">
        <f aca="false">IFERROR(INDEX(ЗАКАЗЫ!$N$3:$N$500,MATCH($A64,ЗАКАЗЫ!$F$3:$F$500,0)),"")</f>
        <v/>
      </c>
      <c r="BM64" s="8" t="str">
        <f aca="false">IF(BL64="","",IFERROR(VLOOKUP(BL64,'ТН ВЭД'!$A$4:$C$40,3,0),""))</f>
        <v/>
      </c>
      <c r="BN64" s="7" t="str">
        <f aca="false">IF(COUNTIF(ЗАКАЗЫ!$F$3:$F$500,$A64)=0,"",SUMIF(ЗАКАЗЫ!$F$3:$F$500,$A64,ЗАКАЗЫ!$J$3:$J$500))</f>
        <v/>
      </c>
      <c r="BO64" s="7" t="str">
        <f aca="false">IF(BN64="","",SUMIF(ЗАКАЗЫ!$F$3:$F$500,$A64,ЗАКАЗЫ!$AL$3:$AL$500))</f>
        <v/>
      </c>
      <c r="BP64" s="7" t="str">
        <f aca="false">IF(BN64="","",BN64-BO64)</f>
        <v/>
      </c>
      <c r="BQ64" s="55" t="str">
        <f aca="false">IF(BN64="","",IF(BO64&gt;=BN64,"На складе",IF(BO64&gt;0,"Частично","Ждём")))</f>
        <v/>
      </c>
      <c r="BR64" s="43"/>
      <c r="BS64" s="47" t="str">
        <f aca="false">IF(BN64="","",IF(_xlfn.MAXIFS(ЗАКАЗЫ!$AK$3:$AK$500,ЗАКАЗЫ!$F$3:$F$500,$A64)=0,"",_xlfn.MAXIFS(ЗАКАЗЫ!$AK$3:$AK$500,ЗАКАЗЫ!$F$3:$F$500,$A64)))</f>
        <v/>
      </c>
    </row>
    <row r="65" customFormat="false" ht="15.75" hidden="false" customHeight="true" outlineLevel="0" collapsed="false">
      <c r="A65" s="80" t="s">
        <v>1588</v>
      </c>
      <c r="B65" s="81"/>
      <c r="C65" s="81"/>
      <c r="D65" s="81"/>
      <c r="E65" s="83"/>
      <c r="F65" s="81"/>
      <c r="G65" s="83"/>
      <c r="H65" s="83"/>
      <c r="I65" s="84" t="str">
        <f aca="false">IF(E65="","",A65&amp;"_1.jpg")</f>
        <v/>
      </c>
      <c r="J65" s="84" t="str">
        <f aca="false">IF(E65="","",A65&amp;"_2.jpg; "&amp;A65&amp;"_3.jpg")</f>
        <v/>
      </c>
      <c r="K65" s="84" t="str">
        <f aca="false">IF(E65="","",A65&amp;"_schema.jpg")</f>
        <v/>
      </c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 t="s">
        <v>96</v>
      </c>
      <c r="W65" s="81"/>
      <c r="X65" s="81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6" t="str">
        <f aca="false">IF(SUM(Y65:AJ65)=0,"",SUM(Y65:AJ65))</f>
        <v/>
      </c>
      <c r="AL65" s="84" t="str">
        <f aca="false">MID(IF(N(Y65)&gt;0,", "&amp;Y$2,"")&amp;IF(N(Z65)&gt;0,", "&amp;Z$2,"")&amp;IF(N(AA65)&gt;0,", "&amp;AA$2,"")&amp;IF(N(AB65)&gt;0,", "&amp;AB$2,"")&amp;IF(N(AC65)&gt;0,", "&amp;AC$2,"")&amp;IF(N(AD65)&gt;0,", "&amp;AD$2,"")&amp;IF(N(AE65)&gt;0,", "&amp;AE$2,"")&amp;IF(N(AF65)&gt;0,", "&amp;AF$2,"")&amp;IF(N(AG65)&gt;0,", "&amp;AG$2,"")&amp;IF(N(AH65)&gt;0,", "&amp;AH$2,"")&amp;IF(N(AI65)&gt;0,", "&amp;AI$2,"")&amp;IF(N(AJ65)&gt;0,", "&amp;AJ$2,""),3,999)</f>
        <v/>
      </c>
      <c r="AM65" s="87" t="str">
        <f aca="false">IF(E65="","",MID(IF(N(Y65)&gt;0,", "&amp;A65&amp;"-"&amp;Y$2,"")&amp;IF(N(Z65)&gt;0,", "&amp;A65&amp;"-"&amp;Z$2,"")&amp;IF(N(AA65)&gt;0,", "&amp;A65&amp;"-"&amp;AA$2,"")&amp;IF(N(AB65)&gt;0,", "&amp;A65&amp;"-"&amp;AB$2,"")&amp;IF(N(AC65)&gt;0,", "&amp;A65&amp;"-"&amp;AC$2,"")&amp;IF(N(AD65)&gt;0,", "&amp;A65&amp;"-"&amp;AD$2,"")&amp;IF(N(AE65)&gt;0,", "&amp;A65&amp;"-"&amp;AE$2,"")&amp;IF(N(AF65)&gt;0,", "&amp;A65&amp;"-"&amp;AF$2,"")&amp;IF(N(AG65)&gt;0,", "&amp;A65&amp;"-"&amp;AG$2,"")&amp;IF(N(AH65)&gt;0,", "&amp;A65&amp;"-"&amp;AH$2,"")&amp;IF(N(AI65)&gt;0,", "&amp;A65&amp;"-"&amp;AI$2,"")&amp;IF(N(AJ65)&gt;0,", "&amp;A65&amp;"-"&amp;AJ$2,""),3,999))</f>
        <v/>
      </c>
      <c r="AN65" s="81"/>
      <c r="AO65" s="88"/>
      <c r="AP65" s="89" t="str">
        <f aca="false">IF(AO65="","",ROUND(AO65/(1+Справочники!$B$13),2))</f>
        <v/>
      </c>
      <c r="AQ65" s="90" t="str">
        <f aca="false" t="array" ref="AQ65:AQ65">IF(AP65="","",AP65*INDEX(Справочники!$B$4:$B$7,MATCH("RUB",Справочники!$A$4:$A$7,0)))</f>
        <v/>
      </c>
      <c r="AR65" s="90" t="str">
        <f aca="false">IF(AQ65="","",ROUND(AQ65*(1+Справочники!$B$12),0))</f>
        <v/>
      </c>
      <c r="AS65" s="90" t="str">
        <f aca="false">IF(AR65="","",ROUND(AR65*(1-Справочники!$B$11),0))</f>
        <v/>
      </c>
      <c r="AT65" s="88"/>
      <c r="AU65" s="90" t="str">
        <f aca="false">IF(AT65="","",ROUND(AT65/(1+Справочники!$B$12),0))</f>
        <v/>
      </c>
      <c r="AV65" s="90" t="str">
        <f aca="false">IF(AT65="","",ROUND(AT65*(1-Справочники!$B$15),0))</f>
        <v/>
      </c>
      <c r="AW65" s="90" t="str">
        <f aca="false">IF(AT65="","",ROUND(AT65*(1-Справочники!$B$16),0))</f>
        <v/>
      </c>
      <c r="AX65" s="90" t="str">
        <f aca="false">IF(AT65="","",ROUND(AT65*(1-Справочники!$B$17),0))</f>
        <v/>
      </c>
      <c r="AY65" s="90" t="str">
        <f aca="false">IF(AT65="","",ROUND(AT65*(1-Справочники!$B$18),0))</f>
        <v/>
      </c>
      <c r="AZ65" s="90" t="str">
        <f aca="false">IF(AT65="","",ROUND(AT65*(1-Справочники!$B$19),0))</f>
        <v/>
      </c>
      <c r="BA65" s="81"/>
      <c r="BB65" s="81"/>
      <c r="BC65" s="81"/>
      <c r="BD65" s="81"/>
      <c r="BE65" s="91"/>
      <c r="BF65" s="81" t="s">
        <v>103</v>
      </c>
      <c r="BG65" s="89" t="n">
        <f aca="false" t="array" ref="BG65:BG65">IF(BF65="","",IFERROR(INDEX(Справочники!$B$4:$B$7,MATCH(BF65,Справочники!$A$4:$A$7,0)),""))</f>
        <v>68.5</v>
      </c>
      <c r="BH65" s="90" t="str">
        <f aca="false">IF(N(BN65)&gt;0,ROUND(SUMIF(ЗАКАЗЫ!$F$3:$F$500,$A65,ЗАКАЗЫ!$Y$3:$Y$500)/BN65,0),IF(OR(BE65="",BG65=""),"",ROUND(BE65*BG65*(1+Справочники!$B$10),0)))</f>
        <v/>
      </c>
      <c r="BI65" s="92" t="str">
        <f aca="false">IF(OR(AU65="",BH65="",AU65=0),"",(AU65-BH65)/AU65)</f>
        <v/>
      </c>
      <c r="BJ65" s="81"/>
      <c r="BK65" s="83"/>
      <c r="BL65" s="43" t="str">
        <f aca="false">IFERROR(INDEX(ЗАКАЗЫ!$N$3:$N$500,MATCH($A65,ЗАКАЗЫ!$F$3:$F$500,0)),"")</f>
        <v/>
      </c>
      <c r="BM65" s="8" t="str">
        <f aca="false">IF(BL65="","",IFERROR(VLOOKUP(BL65,'ТН ВЭД'!$A$4:$C$40,3,0),""))</f>
        <v/>
      </c>
      <c r="BN65" s="7" t="str">
        <f aca="false">IF(COUNTIF(ЗАКАЗЫ!$F$3:$F$500,$A65)=0,"",SUMIF(ЗАКАЗЫ!$F$3:$F$500,$A65,ЗАКАЗЫ!$J$3:$J$500))</f>
        <v/>
      </c>
      <c r="BO65" s="7" t="str">
        <f aca="false">IF(BN65="","",SUMIF(ЗАКАЗЫ!$F$3:$F$500,$A65,ЗАКАЗЫ!$AL$3:$AL$500))</f>
        <v/>
      </c>
      <c r="BP65" s="7" t="str">
        <f aca="false">IF(BN65="","",BN65-BO65)</f>
        <v/>
      </c>
      <c r="BQ65" s="55" t="str">
        <f aca="false">IF(BN65="","",IF(BO65&gt;=BN65,"На складе",IF(BO65&gt;0,"Частично","Ждём")))</f>
        <v/>
      </c>
      <c r="BR65" s="43"/>
      <c r="BS65" s="47" t="str">
        <f aca="false">IF(BN65="","",IF(_xlfn.MAXIFS(ЗАКАЗЫ!$AK$3:$AK$500,ЗАКАЗЫ!$F$3:$F$500,$A65)=0,"",_xlfn.MAXIFS(ЗАКАЗЫ!$AK$3:$AK$500,ЗАКАЗЫ!$F$3:$F$500,$A65)))</f>
        <v/>
      </c>
    </row>
    <row r="66" customFormat="false" ht="15.75" hidden="false" customHeight="true" outlineLevel="0" collapsed="false">
      <c r="A66" s="80" t="s">
        <v>1589</v>
      </c>
      <c r="B66" s="81"/>
      <c r="C66" s="81"/>
      <c r="D66" s="81"/>
      <c r="E66" s="83"/>
      <c r="F66" s="81"/>
      <c r="G66" s="83"/>
      <c r="H66" s="83"/>
      <c r="I66" s="84" t="str">
        <f aca="false">IF(E66="","",A66&amp;"_1.jpg")</f>
        <v/>
      </c>
      <c r="J66" s="84" t="str">
        <f aca="false">IF(E66="","",A66&amp;"_2.jpg; "&amp;A66&amp;"_3.jpg")</f>
        <v/>
      </c>
      <c r="K66" s="84" t="str">
        <f aca="false">IF(E66="","",A66&amp;"_schema.jpg")</f>
        <v/>
      </c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 t="s">
        <v>96</v>
      </c>
      <c r="W66" s="81"/>
      <c r="X66" s="81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6" t="str">
        <f aca="false">IF(SUM(Y66:AJ66)=0,"",SUM(Y66:AJ66))</f>
        <v/>
      </c>
      <c r="AL66" s="84" t="str">
        <f aca="false">MID(IF(N(Y66)&gt;0,", "&amp;Y$2,"")&amp;IF(N(Z66)&gt;0,", "&amp;Z$2,"")&amp;IF(N(AA66)&gt;0,", "&amp;AA$2,"")&amp;IF(N(AB66)&gt;0,", "&amp;AB$2,"")&amp;IF(N(AC66)&gt;0,", "&amp;AC$2,"")&amp;IF(N(AD66)&gt;0,", "&amp;AD$2,"")&amp;IF(N(AE66)&gt;0,", "&amp;AE$2,"")&amp;IF(N(AF66)&gt;0,", "&amp;AF$2,"")&amp;IF(N(AG66)&gt;0,", "&amp;AG$2,"")&amp;IF(N(AH66)&gt;0,", "&amp;AH$2,"")&amp;IF(N(AI66)&gt;0,", "&amp;AI$2,"")&amp;IF(N(AJ66)&gt;0,", "&amp;AJ$2,""),3,999)</f>
        <v/>
      </c>
      <c r="AM66" s="87" t="str">
        <f aca="false">IF(E66="","",MID(IF(N(Y66)&gt;0,", "&amp;A66&amp;"-"&amp;Y$2,"")&amp;IF(N(Z66)&gt;0,", "&amp;A66&amp;"-"&amp;Z$2,"")&amp;IF(N(AA66)&gt;0,", "&amp;A66&amp;"-"&amp;AA$2,"")&amp;IF(N(AB66)&gt;0,", "&amp;A66&amp;"-"&amp;AB$2,"")&amp;IF(N(AC66)&gt;0,", "&amp;A66&amp;"-"&amp;AC$2,"")&amp;IF(N(AD66)&gt;0,", "&amp;A66&amp;"-"&amp;AD$2,"")&amp;IF(N(AE66)&gt;0,", "&amp;A66&amp;"-"&amp;AE$2,"")&amp;IF(N(AF66)&gt;0,", "&amp;A66&amp;"-"&amp;AF$2,"")&amp;IF(N(AG66)&gt;0,", "&amp;A66&amp;"-"&amp;AG$2,"")&amp;IF(N(AH66)&gt;0,", "&amp;A66&amp;"-"&amp;AH$2,"")&amp;IF(N(AI66)&gt;0,", "&amp;A66&amp;"-"&amp;AI$2,"")&amp;IF(N(AJ66)&gt;0,", "&amp;A66&amp;"-"&amp;AJ$2,""),3,999))</f>
        <v/>
      </c>
      <c r="AN66" s="81"/>
      <c r="AO66" s="88"/>
      <c r="AP66" s="89" t="str">
        <f aca="false">IF(AO66="","",ROUND(AO66/(1+Справочники!$B$13),2))</f>
        <v/>
      </c>
      <c r="AQ66" s="90" t="str">
        <f aca="false" t="array" ref="AQ66:AQ66">IF(AP66="","",AP66*INDEX(Справочники!$B$4:$B$7,MATCH("RUB",Справочники!$A$4:$A$7,0)))</f>
        <v/>
      </c>
      <c r="AR66" s="90" t="str">
        <f aca="false">IF(AQ66="","",ROUND(AQ66*(1+Справочники!$B$12),0))</f>
        <v/>
      </c>
      <c r="AS66" s="90" t="str">
        <f aca="false">IF(AR66="","",ROUND(AR66*(1-Справочники!$B$11),0))</f>
        <v/>
      </c>
      <c r="AT66" s="88"/>
      <c r="AU66" s="90" t="str">
        <f aca="false">IF(AT66="","",ROUND(AT66/(1+Справочники!$B$12),0))</f>
        <v/>
      </c>
      <c r="AV66" s="90" t="str">
        <f aca="false">IF(AT66="","",ROUND(AT66*(1-Справочники!$B$15),0))</f>
        <v/>
      </c>
      <c r="AW66" s="90" t="str">
        <f aca="false">IF(AT66="","",ROUND(AT66*(1-Справочники!$B$16),0))</f>
        <v/>
      </c>
      <c r="AX66" s="90" t="str">
        <f aca="false">IF(AT66="","",ROUND(AT66*(1-Справочники!$B$17),0))</f>
        <v/>
      </c>
      <c r="AY66" s="90" t="str">
        <f aca="false">IF(AT66="","",ROUND(AT66*(1-Справочники!$B$18),0))</f>
        <v/>
      </c>
      <c r="AZ66" s="90" t="str">
        <f aca="false">IF(AT66="","",ROUND(AT66*(1-Справочники!$B$19),0))</f>
        <v/>
      </c>
      <c r="BA66" s="81"/>
      <c r="BB66" s="81"/>
      <c r="BC66" s="81"/>
      <c r="BD66" s="81"/>
      <c r="BE66" s="91"/>
      <c r="BF66" s="81" t="s">
        <v>103</v>
      </c>
      <c r="BG66" s="89" t="n">
        <f aca="false" t="array" ref="BG66:BG66">IF(BF66="","",IFERROR(INDEX(Справочники!$B$4:$B$7,MATCH(BF66,Справочники!$A$4:$A$7,0)),""))</f>
        <v>68.5</v>
      </c>
      <c r="BH66" s="90" t="str">
        <f aca="false">IF(N(BN66)&gt;0,ROUND(SUMIF(ЗАКАЗЫ!$F$3:$F$500,$A66,ЗАКАЗЫ!$Y$3:$Y$500)/BN66,0),IF(OR(BE66="",BG66=""),"",ROUND(BE66*BG66*(1+Справочники!$B$10),0)))</f>
        <v/>
      </c>
      <c r="BI66" s="92" t="str">
        <f aca="false">IF(OR(AU66="",BH66="",AU66=0),"",(AU66-BH66)/AU66)</f>
        <v/>
      </c>
      <c r="BJ66" s="81"/>
      <c r="BK66" s="83"/>
      <c r="BL66" s="43" t="str">
        <f aca="false">IFERROR(INDEX(ЗАКАЗЫ!$N$3:$N$500,MATCH($A66,ЗАКАЗЫ!$F$3:$F$500,0)),"")</f>
        <v/>
      </c>
      <c r="BM66" s="8" t="str">
        <f aca="false">IF(BL66="","",IFERROR(VLOOKUP(BL66,'ТН ВЭД'!$A$4:$C$40,3,0),""))</f>
        <v/>
      </c>
      <c r="BN66" s="7" t="str">
        <f aca="false">IF(COUNTIF(ЗАКАЗЫ!$F$3:$F$500,$A66)=0,"",SUMIF(ЗАКАЗЫ!$F$3:$F$500,$A66,ЗАКАЗЫ!$J$3:$J$500))</f>
        <v/>
      </c>
      <c r="BO66" s="7" t="str">
        <f aca="false">IF(BN66="","",SUMIF(ЗАКАЗЫ!$F$3:$F$500,$A66,ЗАКАЗЫ!$AL$3:$AL$500))</f>
        <v/>
      </c>
      <c r="BP66" s="7" t="str">
        <f aca="false">IF(BN66="","",BN66-BO66)</f>
        <v/>
      </c>
      <c r="BQ66" s="55" t="str">
        <f aca="false">IF(BN66="","",IF(BO66&gt;=BN66,"На складе",IF(BO66&gt;0,"Частично","Ждём")))</f>
        <v/>
      </c>
      <c r="BR66" s="43"/>
      <c r="BS66" s="47" t="str">
        <f aca="false">IF(BN66="","",IF(_xlfn.MAXIFS(ЗАКАЗЫ!$AK$3:$AK$500,ЗАКАЗЫ!$F$3:$F$500,$A66)=0,"",_xlfn.MAXIFS(ЗАКАЗЫ!$AK$3:$AK$500,ЗАКАЗЫ!$F$3:$F$500,$A66)))</f>
        <v/>
      </c>
    </row>
    <row r="67" customFormat="false" ht="15.75" hidden="false" customHeight="true" outlineLevel="0" collapsed="false">
      <c r="A67" s="80" t="s">
        <v>1590</v>
      </c>
      <c r="B67" s="81"/>
      <c r="C67" s="81"/>
      <c r="D67" s="81"/>
      <c r="E67" s="83"/>
      <c r="F67" s="81"/>
      <c r="G67" s="83"/>
      <c r="H67" s="83"/>
      <c r="I67" s="84" t="str">
        <f aca="false">IF(E67="","",A67&amp;"_1.jpg")</f>
        <v/>
      </c>
      <c r="J67" s="84" t="str">
        <f aca="false">IF(E67="","",A67&amp;"_2.jpg; "&amp;A67&amp;"_3.jpg")</f>
        <v/>
      </c>
      <c r="K67" s="84" t="str">
        <f aca="false">IF(E67="","",A67&amp;"_schema.jpg")</f>
        <v/>
      </c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 t="s">
        <v>96</v>
      </c>
      <c r="W67" s="81"/>
      <c r="X67" s="81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6" t="str">
        <f aca="false">IF(SUM(Y67:AJ67)=0,"",SUM(Y67:AJ67))</f>
        <v/>
      </c>
      <c r="AL67" s="84" t="str">
        <f aca="false">MID(IF(N(Y67)&gt;0,", "&amp;Y$2,"")&amp;IF(N(Z67)&gt;0,", "&amp;Z$2,"")&amp;IF(N(AA67)&gt;0,", "&amp;AA$2,"")&amp;IF(N(AB67)&gt;0,", "&amp;AB$2,"")&amp;IF(N(AC67)&gt;0,", "&amp;AC$2,"")&amp;IF(N(AD67)&gt;0,", "&amp;AD$2,"")&amp;IF(N(AE67)&gt;0,", "&amp;AE$2,"")&amp;IF(N(AF67)&gt;0,", "&amp;AF$2,"")&amp;IF(N(AG67)&gt;0,", "&amp;AG$2,"")&amp;IF(N(AH67)&gt;0,", "&amp;AH$2,"")&amp;IF(N(AI67)&gt;0,", "&amp;AI$2,"")&amp;IF(N(AJ67)&gt;0,", "&amp;AJ$2,""),3,999)</f>
        <v/>
      </c>
      <c r="AM67" s="87" t="str">
        <f aca="false">IF(E67="","",MID(IF(N(Y67)&gt;0,", "&amp;A67&amp;"-"&amp;Y$2,"")&amp;IF(N(Z67)&gt;0,", "&amp;A67&amp;"-"&amp;Z$2,"")&amp;IF(N(AA67)&gt;0,", "&amp;A67&amp;"-"&amp;AA$2,"")&amp;IF(N(AB67)&gt;0,", "&amp;A67&amp;"-"&amp;AB$2,"")&amp;IF(N(AC67)&gt;0,", "&amp;A67&amp;"-"&amp;AC$2,"")&amp;IF(N(AD67)&gt;0,", "&amp;A67&amp;"-"&amp;AD$2,"")&amp;IF(N(AE67)&gt;0,", "&amp;A67&amp;"-"&amp;AE$2,"")&amp;IF(N(AF67)&gt;0,", "&amp;A67&amp;"-"&amp;AF$2,"")&amp;IF(N(AG67)&gt;0,", "&amp;A67&amp;"-"&amp;AG$2,"")&amp;IF(N(AH67)&gt;0,", "&amp;A67&amp;"-"&amp;AH$2,"")&amp;IF(N(AI67)&gt;0,", "&amp;A67&amp;"-"&amp;AI$2,"")&amp;IF(N(AJ67)&gt;0,", "&amp;A67&amp;"-"&amp;AJ$2,""),3,999))</f>
        <v/>
      </c>
      <c r="AN67" s="81"/>
      <c r="AO67" s="88"/>
      <c r="AP67" s="89" t="str">
        <f aca="false">IF(AO67="","",ROUND(AO67/(1+Справочники!$B$13),2))</f>
        <v/>
      </c>
      <c r="AQ67" s="90" t="str">
        <f aca="false" t="array" ref="AQ67:AQ67">IF(AP67="","",AP67*INDEX(Справочники!$B$4:$B$7,MATCH("RUB",Справочники!$A$4:$A$7,0)))</f>
        <v/>
      </c>
      <c r="AR67" s="90" t="str">
        <f aca="false">IF(AQ67="","",ROUND(AQ67*(1+Справочники!$B$12),0))</f>
        <v/>
      </c>
      <c r="AS67" s="90" t="str">
        <f aca="false">IF(AR67="","",ROUND(AR67*(1-Справочники!$B$11),0))</f>
        <v/>
      </c>
      <c r="AT67" s="88"/>
      <c r="AU67" s="90" t="str">
        <f aca="false">IF(AT67="","",ROUND(AT67/(1+Справочники!$B$12),0))</f>
        <v/>
      </c>
      <c r="AV67" s="90" t="str">
        <f aca="false">IF(AT67="","",ROUND(AT67*(1-Справочники!$B$15),0))</f>
        <v/>
      </c>
      <c r="AW67" s="90" t="str">
        <f aca="false">IF(AT67="","",ROUND(AT67*(1-Справочники!$B$16),0))</f>
        <v/>
      </c>
      <c r="AX67" s="90" t="str">
        <f aca="false">IF(AT67="","",ROUND(AT67*(1-Справочники!$B$17),0))</f>
        <v/>
      </c>
      <c r="AY67" s="90" t="str">
        <f aca="false">IF(AT67="","",ROUND(AT67*(1-Справочники!$B$18),0))</f>
        <v/>
      </c>
      <c r="AZ67" s="90" t="str">
        <f aca="false">IF(AT67="","",ROUND(AT67*(1-Справочники!$B$19),0))</f>
        <v/>
      </c>
      <c r="BA67" s="81"/>
      <c r="BB67" s="81"/>
      <c r="BC67" s="81"/>
      <c r="BD67" s="81"/>
      <c r="BE67" s="91"/>
      <c r="BF67" s="81" t="s">
        <v>103</v>
      </c>
      <c r="BG67" s="89" t="n">
        <f aca="false" t="array" ref="BG67:BG67">IF(BF67="","",IFERROR(INDEX(Справочники!$B$4:$B$7,MATCH(BF67,Справочники!$A$4:$A$7,0)),""))</f>
        <v>68.5</v>
      </c>
      <c r="BH67" s="90" t="str">
        <f aca="false">IF(N(BN67)&gt;0,ROUND(SUMIF(ЗАКАЗЫ!$F$3:$F$500,$A67,ЗАКАЗЫ!$Y$3:$Y$500)/BN67,0),IF(OR(BE67="",BG67=""),"",ROUND(BE67*BG67*(1+Справочники!$B$10),0)))</f>
        <v/>
      </c>
      <c r="BI67" s="92" t="str">
        <f aca="false">IF(OR(AU67="",BH67="",AU67=0),"",(AU67-BH67)/AU67)</f>
        <v/>
      </c>
      <c r="BJ67" s="81"/>
      <c r="BK67" s="83"/>
      <c r="BL67" s="43" t="str">
        <f aca="false">IFERROR(INDEX(ЗАКАЗЫ!$N$3:$N$500,MATCH($A67,ЗАКАЗЫ!$F$3:$F$500,0)),"")</f>
        <v/>
      </c>
      <c r="BM67" s="8" t="str">
        <f aca="false">IF(BL67="","",IFERROR(VLOOKUP(BL67,'ТН ВЭД'!$A$4:$C$40,3,0),""))</f>
        <v/>
      </c>
      <c r="BN67" s="7" t="str">
        <f aca="false">IF(COUNTIF(ЗАКАЗЫ!$F$3:$F$500,$A67)=0,"",SUMIF(ЗАКАЗЫ!$F$3:$F$500,$A67,ЗАКАЗЫ!$J$3:$J$500))</f>
        <v/>
      </c>
      <c r="BO67" s="7" t="str">
        <f aca="false">IF(BN67="","",SUMIF(ЗАКАЗЫ!$F$3:$F$500,$A67,ЗАКАЗЫ!$AL$3:$AL$500))</f>
        <v/>
      </c>
      <c r="BP67" s="7" t="str">
        <f aca="false">IF(BN67="","",BN67-BO67)</f>
        <v/>
      </c>
      <c r="BQ67" s="55" t="str">
        <f aca="false">IF(BN67="","",IF(BO67&gt;=BN67,"На складе",IF(BO67&gt;0,"Частично","Ждём")))</f>
        <v/>
      </c>
      <c r="BR67" s="43"/>
      <c r="BS67" s="47" t="str">
        <f aca="false">IF(BN67="","",IF(_xlfn.MAXIFS(ЗАКАЗЫ!$AK$3:$AK$500,ЗАКАЗЫ!$F$3:$F$500,$A67)=0,"",_xlfn.MAXIFS(ЗАКАЗЫ!$AK$3:$AK$500,ЗАКАЗЫ!$F$3:$F$500,$A67)))</f>
        <v/>
      </c>
    </row>
    <row r="68" customFormat="false" ht="15.75" hidden="false" customHeight="true" outlineLevel="0" collapsed="false">
      <c r="A68" s="80" t="s">
        <v>1591</v>
      </c>
      <c r="B68" s="81"/>
      <c r="C68" s="81"/>
      <c r="D68" s="81"/>
      <c r="E68" s="83"/>
      <c r="F68" s="81"/>
      <c r="G68" s="83"/>
      <c r="H68" s="83"/>
      <c r="I68" s="84" t="str">
        <f aca="false">IF(E68="","",A68&amp;"_1.jpg")</f>
        <v/>
      </c>
      <c r="J68" s="84" t="str">
        <f aca="false">IF(E68="","",A68&amp;"_2.jpg; "&amp;A68&amp;"_3.jpg")</f>
        <v/>
      </c>
      <c r="K68" s="84" t="str">
        <f aca="false">IF(E68="","",A68&amp;"_schema.jpg")</f>
        <v/>
      </c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 t="s">
        <v>96</v>
      </c>
      <c r="W68" s="81"/>
      <c r="X68" s="81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6" t="str">
        <f aca="false">IF(SUM(Y68:AJ68)=0,"",SUM(Y68:AJ68))</f>
        <v/>
      </c>
      <c r="AL68" s="84" t="str">
        <f aca="false">MID(IF(N(Y68)&gt;0,", "&amp;Y$2,"")&amp;IF(N(Z68)&gt;0,", "&amp;Z$2,"")&amp;IF(N(AA68)&gt;0,", "&amp;AA$2,"")&amp;IF(N(AB68)&gt;0,", "&amp;AB$2,"")&amp;IF(N(AC68)&gt;0,", "&amp;AC$2,"")&amp;IF(N(AD68)&gt;0,", "&amp;AD$2,"")&amp;IF(N(AE68)&gt;0,", "&amp;AE$2,"")&amp;IF(N(AF68)&gt;0,", "&amp;AF$2,"")&amp;IF(N(AG68)&gt;0,", "&amp;AG$2,"")&amp;IF(N(AH68)&gt;0,", "&amp;AH$2,"")&amp;IF(N(AI68)&gt;0,", "&amp;AI$2,"")&amp;IF(N(AJ68)&gt;0,", "&amp;AJ$2,""),3,999)</f>
        <v/>
      </c>
      <c r="AM68" s="87" t="str">
        <f aca="false">IF(E68="","",MID(IF(N(Y68)&gt;0,", "&amp;A68&amp;"-"&amp;Y$2,"")&amp;IF(N(Z68)&gt;0,", "&amp;A68&amp;"-"&amp;Z$2,"")&amp;IF(N(AA68)&gt;0,", "&amp;A68&amp;"-"&amp;AA$2,"")&amp;IF(N(AB68)&gt;0,", "&amp;A68&amp;"-"&amp;AB$2,"")&amp;IF(N(AC68)&gt;0,", "&amp;A68&amp;"-"&amp;AC$2,"")&amp;IF(N(AD68)&gt;0,", "&amp;A68&amp;"-"&amp;AD$2,"")&amp;IF(N(AE68)&gt;0,", "&amp;A68&amp;"-"&amp;AE$2,"")&amp;IF(N(AF68)&gt;0,", "&amp;A68&amp;"-"&amp;AF$2,"")&amp;IF(N(AG68)&gt;0,", "&amp;A68&amp;"-"&amp;AG$2,"")&amp;IF(N(AH68)&gt;0,", "&amp;A68&amp;"-"&amp;AH$2,"")&amp;IF(N(AI68)&gt;0,", "&amp;A68&amp;"-"&amp;AI$2,"")&amp;IF(N(AJ68)&gt;0,", "&amp;A68&amp;"-"&amp;AJ$2,""),3,999))</f>
        <v/>
      </c>
      <c r="AN68" s="81"/>
      <c r="AO68" s="88"/>
      <c r="AP68" s="89" t="str">
        <f aca="false">IF(AO68="","",ROUND(AO68/(1+Справочники!$B$13),2))</f>
        <v/>
      </c>
      <c r="AQ68" s="90" t="str">
        <f aca="false" t="array" ref="AQ68:AQ68">IF(AP68="","",AP68*INDEX(Справочники!$B$4:$B$7,MATCH("RUB",Справочники!$A$4:$A$7,0)))</f>
        <v/>
      </c>
      <c r="AR68" s="90" t="str">
        <f aca="false">IF(AQ68="","",ROUND(AQ68*(1+Справочники!$B$12),0))</f>
        <v/>
      </c>
      <c r="AS68" s="90" t="str">
        <f aca="false">IF(AR68="","",ROUND(AR68*(1-Справочники!$B$11),0))</f>
        <v/>
      </c>
      <c r="AT68" s="88"/>
      <c r="AU68" s="90" t="str">
        <f aca="false">IF(AT68="","",ROUND(AT68/(1+Справочники!$B$12),0))</f>
        <v/>
      </c>
      <c r="AV68" s="90" t="str">
        <f aca="false">IF(AT68="","",ROUND(AT68*(1-Справочники!$B$15),0))</f>
        <v/>
      </c>
      <c r="AW68" s="90" t="str">
        <f aca="false">IF(AT68="","",ROUND(AT68*(1-Справочники!$B$16),0))</f>
        <v/>
      </c>
      <c r="AX68" s="90" t="str">
        <f aca="false">IF(AT68="","",ROUND(AT68*(1-Справочники!$B$17),0))</f>
        <v/>
      </c>
      <c r="AY68" s="90" t="str">
        <f aca="false">IF(AT68="","",ROUND(AT68*(1-Справочники!$B$18),0))</f>
        <v/>
      </c>
      <c r="AZ68" s="90" t="str">
        <f aca="false">IF(AT68="","",ROUND(AT68*(1-Справочники!$B$19),0))</f>
        <v/>
      </c>
      <c r="BA68" s="81"/>
      <c r="BB68" s="81"/>
      <c r="BC68" s="81"/>
      <c r="BD68" s="81"/>
      <c r="BE68" s="91"/>
      <c r="BF68" s="81" t="s">
        <v>103</v>
      </c>
      <c r="BG68" s="89" t="n">
        <f aca="false" t="array" ref="BG68:BG68">IF(BF68="","",IFERROR(INDEX(Справочники!$B$4:$B$7,MATCH(BF68,Справочники!$A$4:$A$7,0)),""))</f>
        <v>68.5</v>
      </c>
      <c r="BH68" s="90" t="str">
        <f aca="false">IF(N(BN68)&gt;0,ROUND(SUMIF(ЗАКАЗЫ!$F$3:$F$500,$A68,ЗАКАЗЫ!$Y$3:$Y$500)/BN68,0),IF(OR(BE68="",BG68=""),"",ROUND(BE68*BG68*(1+Справочники!$B$10),0)))</f>
        <v/>
      </c>
      <c r="BI68" s="92" t="str">
        <f aca="false">IF(OR(AU68="",BH68="",AU68=0),"",(AU68-BH68)/AU68)</f>
        <v/>
      </c>
      <c r="BJ68" s="81"/>
      <c r="BK68" s="83"/>
      <c r="BL68" s="43" t="str">
        <f aca="false">IFERROR(INDEX(ЗАКАЗЫ!$N$3:$N$500,MATCH($A68,ЗАКАЗЫ!$F$3:$F$500,0)),"")</f>
        <v/>
      </c>
      <c r="BM68" s="8" t="str">
        <f aca="false">IF(BL68="","",IFERROR(VLOOKUP(BL68,'ТН ВЭД'!$A$4:$C$40,3,0),""))</f>
        <v/>
      </c>
      <c r="BN68" s="7" t="str">
        <f aca="false">IF(COUNTIF(ЗАКАЗЫ!$F$3:$F$500,$A68)=0,"",SUMIF(ЗАКАЗЫ!$F$3:$F$500,$A68,ЗАКАЗЫ!$J$3:$J$500))</f>
        <v/>
      </c>
      <c r="BO68" s="7" t="str">
        <f aca="false">IF(BN68="","",SUMIF(ЗАКАЗЫ!$F$3:$F$500,$A68,ЗАКАЗЫ!$AL$3:$AL$500))</f>
        <v/>
      </c>
      <c r="BP68" s="7" t="str">
        <f aca="false">IF(BN68="","",BN68-BO68)</f>
        <v/>
      </c>
      <c r="BQ68" s="55" t="str">
        <f aca="false">IF(BN68="","",IF(BO68&gt;=BN68,"На складе",IF(BO68&gt;0,"Частично","Ждём")))</f>
        <v/>
      </c>
      <c r="BR68" s="43"/>
      <c r="BS68" s="47" t="str">
        <f aca="false">IF(BN68="","",IF(_xlfn.MAXIFS(ЗАКАЗЫ!$AK$3:$AK$500,ЗАКАЗЫ!$F$3:$F$500,$A68)=0,"",_xlfn.MAXIFS(ЗАКАЗЫ!$AK$3:$AK$500,ЗАКАЗЫ!$F$3:$F$500,$A68)))</f>
        <v/>
      </c>
    </row>
    <row r="69" customFormat="false" ht="15.75" hidden="false" customHeight="true" outlineLevel="0" collapsed="false">
      <c r="A69" s="80" t="s">
        <v>1592</v>
      </c>
      <c r="B69" s="81"/>
      <c r="C69" s="81"/>
      <c r="D69" s="81"/>
      <c r="E69" s="83"/>
      <c r="F69" s="81"/>
      <c r="G69" s="83"/>
      <c r="H69" s="83"/>
      <c r="I69" s="84" t="str">
        <f aca="false">IF(E69="","",A69&amp;"_1.jpg")</f>
        <v/>
      </c>
      <c r="J69" s="84" t="str">
        <f aca="false">IF(E69="","",A69&amp;"_2.jpg; "&amp;A69&amp;"_3.jpg")</f>
        <v/>
      </c>
      <c r="K69" s="84" t="str">
        <f aca="false">IF(E69="","",A69&amp;"_schema.jpg")</f>
        <v/>
      </c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 t="s">
        <v>96</v>
      </c>
      <c r="W69" s="81"/>
      <c r="X69" s="81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6" t="str">
        <f aca="false">IF(SUM(Y69:AJ69)=0,"",SUM(Y69:AJ69))</f>
        <v/>
      </c>
      <c r="AL69" s="84" t="str">
        <f aca="false">MID(IF(N(Y69)&gt;0,", "&amp;Y$2,"")&amp;IF(N(Z69)&gt;0,", "&amp;Z$2,"")&amp;IF(N(AA69)&gt;0,", "&amp;AA$2,"")&amp;IF(N(AB69)&gt;0,", "&amp;AB$2,"")&amp;IF(N(AC69)&gt;0,", "&amp;AC$2,"")&amp;IF(N(AD69)&gt;0,", "&amp;AD$2,"")&amp;IF(N(AE69)&gt;0,", "&amp;AE$2,"")&amp;IF(N(AF69)&gt;0,", "&amp;AF$2,"")&amp;IF(N(AG69)&gt;0,", "&amp;AG$2,"")&amp;IF(N(AH69)&gt;0,", "&amp;AH$2,"")&amp;IF(N(AI69)&gt;0,", "&amp;AI$2,"")&amp;IF(N(AJ69)&gt;0,", "&amp;AJ$2,""),3,999)</f>
        <v/>
      </c>
      <c r="AM69" s="87" t="str">
        <f aca="false">IF(E69="","",MID(IF(N(Y69)&gt;0,", "&amp;A69&amp;"-"&amp;Y$2,"")&amp;IF(N(Z69)&gt;0,", "&amp;A69&amp;"-"&amp;Z$2,"")&amp;IF(N(AA69)&gt;0,", "&amp;A69&amp;"-"&amp;AA$2,"")&amp;IF(N(AB69)&gt;0,", "&amp;A69&amp;"-"&amp;AB$2,"")&amp;IF(N(AC69)&gt;0,", "&amp;A69&amp;"-"&amp;AC$2,"")&amp;IF(N(AD69)&gt;0,", "&amp;A69&amp;"-"&amp;AD$2,"")&amp;IF(N(AE69)&gt;0,", "&amp;A69&amp;"-"&amp;AE$2,"")&amp;IF(N(AF69)&gt;0,", "&amp;A69&amp;"-"&amp;AF$2,"")&amp;IF(N(AG69)&gt;0,", "&amp;A69&amp;"-"&amp;AG$2,"")&amp;IF(N(AH69)&gt;0,", "&amp;A69&amp;"-"&amp;AH$2,"")&amp;IF(N(AI69)&gt;0,", "&amp;A69&amp;"-"&amp;AI$2,"")&amp;IF(N(AJ69)&gt;0,", "&amp;A69&amp;"-"&amp;AJ$2,""),3,999))</f>
        <v/>
      </c>
      <c r="AN69" s="81"/>
      <c r="AO69" s="88"/>
      <c r="AP69" s="89" t="str">
        <f aca="false">IF(AO69="","",ROUND(AO69/(1+Справочники!$B$13),2))</f>
        <v/>
      </c>
      <c r="AQ69" s="90" t="str">
        <f aca="false" t="array" ref="AQ69:AQ69">IF(AP69="","",AP69*INDEX(Справочники!$B$4:$B$7,MATCH("RUB",Справочники!$A$4:$A$7,0)))</f>
        <v/>
      </c>
      <c r="AR69" s="90" t="str">
        <f aca="false">IF(AQ69="","",ROUND(AQ69*(1+Справочники!$B$12),0))</f>
        <v/>
      </c>
      <c r="AS69" s="90" t="str">
        <f aca="false">IF(AR69="","",ROUND(AR69*(1-Справочники!$B$11),0))</f>
        <v/>
      </c>
      <c r="AT69" s="88"/>
      <c r="AU69" s="90" t="str">
        <f aca="false">IF(AT69="","",ROUND(AT69/(1+Справочники!$B$12),0))</f>
        <v/>
      </c>
      <c r="AV69" s="90" t="str">
        <f aca="false">IF(AT69="","",ROUND(AT69*(1-Справочники!$B$15),0))</f>
        <v/>
      </c>
      <c r="AW69" s="90" t="str">
        <f aca="false">IF(AT69="","",ROUND(AT69*(1-Справочники!$B$16),0))</f>
        <v/>
      </c>
      <c r="AX69" s="90" t="str">
        <f aca="false">IF(AT69="","",ROUND(AT69*(1-Справочники!$B$17),0))</f>
        <v/>
      </c>
      <c r="AY69" s="90" t="str">
        <f aca="false">IF(AT69="","",ROUND(AT69*(1-Справочники!$B$18),0))</f>
        <v/>
      </c>
      <c r="AZ69" s="90" t="str">
        <f aca="false">IF(AT69="","",ROUND(AT69*(1-Справочники!$B$19),0))</f>
        <v/>
      </c>
      <c r="BA69" s="81"/>
      <c r="BB69" s="81"/>
      <c r="BC69" s="81"/>
      <c r="BD69" s="81"/>
      <c r="BE69" s="91"/>
      <c r="BF69" s="81" t="s">
        <v>103</v>
      </c>
      <c r="BG69" s="89" t="n">
        <f aca="false" t="array" ref="BG69:BG69">IF(BF69="","",IFERROR(INDEX(Справочники!$B$4:$B$7,MATCH(BF69,Справочники!$A$4:$A$7,0)),""))</f>
        <v>68.5</v>
      </c>
      <c r="BH69" s="90" t="str">
        <f aca="false">IF(N(BN69)&gt;0,ROUND(SUMIF(ЗАКАЗЫ!$F$3:$F$500,$A69,ЗАКАЗЫ!$Y$3:$Y$500)/BN69,0),IF(OR(BE69="",BG69=""),"",ROUND(BE69*BG69*(1+Справочники!$B$10),0)))</f>
        <v/>
      </c>
      <c r="BI69" s="92" t="str">
        <f aca="false">IF(OR(AU69="",BH69="",AU69=0),"",(AU69-BH69)/AU69)</f>
        <v/>
      </c>
      <c r="BJ69" s="81"/>
      <c r="BK69" s="83"/>
      <c r="BL69" s="43" t="str">
        <f aca="false">IFERROR(INDEX(ЗАКАЗЫ!$N$3:$N$500,MATCH($A69,ЗАКАЗЫ!$F$3:$F$500,0)),"")</f>
        <v/>
      </c>
      <c r="BM69" s="8" t="str">
        <f aca="false">IF(BL69="","",IFERROR(VLOOKUP(BL69,'ТН ВЭД'!$A$4:$C$40,3,0),""))</f>
        <v/>
      </c>
      <c r="BN69" s="7" t="str">
        <f aca="false">IF(COUNTIF(ЗАКАЗЫ!$F$3:$F$500,$A69)=0,"",SUMIF(ЗАКАЗЫ!$F$3:$F$500,$A69,ЗАКАЗЫ!$J$3:$J$500))</f>
        <v/>
      </c>
      <c r="BO69" s="7" t="str">
        <f aca="false">IF(BN69="","",SUMIF(ЗАКАЗЫ!$F$3:$F$500,$A69,ЗАКАЗЫ!$AL$3:$AL$500))</f>
        <v/>
      </c>
      <c r="BP69" s="7" t="str">
        <f aca="false">IF(BN69="","",BN69-BO69)</f>
        <v/>
      </c>
      <c r="BQ69" s="55" t="str">
        <f aca="false">IF(BN69="","",IF(BO69&gt;=BN69,"На складе",IF(BO69&gt;0,"Частично","Ждём")))</f>
        <v/>
      </c>
      <c r="BR69" s="43"/>
      <c r="BS69" s="47" t="str">
        <f aca="false">IF(BN69="","",IF(_xlfn.MAXIFS(ЗАКАЗЫ!$AK$3:$AK$500,ЗАКАЗЫ!$F$3:$F$500,$A69)=0,"",_xlfn.MAXIFS(ЗАКАЗЫ!$AK$3:$AK$500,ЗАКАЗЫ!$F$3:$F$500,$A69)))</f>
        <v/>
      </c>
    </row>
    <row r="70" customFormat="false" ht="15.75" hidden="false" customHeight="true" outlineLevel="0" collapsed="false">
      <c r="A70" s="80" t="s">
        <v>1593</v>
      </c>
      <c r="B70" s="81"/>
      <c r="C70" s="81"/>
      <c r="D70" s="81"/>
      <c r="E70" s="83"/>
      <c r="F70" s="81"/>
      <c r="G70" s="83"/>
      <c r="H70" s="83"/>
      <c r="I70" s="84" t="str">
        <f aca="false">IF(E70="","",A70&amp;"_1.jpg")</f>
        <v/>
      </c>
      <c r="J70" s="84" t="str">
        <f aca="false">IF(E70="","",A70&amp;"_2.jpg; "&amp;A70&amp;"_3.jpg")</f>
        <v/>
      </c>
      <c r="K70" s="84" t="str">
        <f aca="false">IF(E70="","",A70&amp;"_schema.jpg")</f>
        <v/>
      </c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 t="s">
        <v>96</v>
      </c>
      <c r="W70" s="81"/>
      <c r="X70" s="81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6" t="str">
        <f aca="false">IF(SUM(Y70:AJ70)=0,"",SUM(Y70:AJ70))</f>
        <v/>
      </c>
      <c r="AL70" s="84" t="str">
        <f aca="false">MID(IF(N(Y70)&gt;0,", "&amp;Y$2,"")&amp;IF(N(Z70)&gt;0,", "&amp;Z$2,"")&amp;IF(N(AA70)&gt;0,", "&amp;AA$2,"")&amp;IF(N(AB70)&gt;0,", "&amp;AB$2,"")&amp;IF(N(AC70)&gt;0,", "&amp;AC$2,"")&amp;IF(N(AD70)&gt;0,", "&amp;AD$2,"")&amp;IF(N(AE70)&gt;0,", "&amp;AE$2,"")&amp;IF(N(AF70)&gt;0,", "&amp;AF$2,"")&amp;IF(N(AG70)&gt;0,", "&amp;AG$2,"")&amp;IF(N(AH70)&gt;0,", "&amp;AH$2,"")&amp;IF(N(AI70)&gt;0,", "&amp;AI$2,"")&amp;IF(N(AJ70)&gt;0,", "&amp;AJ$2,""),3,999)</f>
        <v/>
      </c>
      <c r="AM70" s="87" t="str">
        <f aca="false">IF(E70="","",MID(IF(N(Y70)&gt;0,", "&amp;A70&amp;"-"&amp;Y$2,"")&amp;IF(N(Z70)&gt;0,", "&amp;A70&amp;"-"&amp;Z$2,"")&amp;IF(N(AA70)&gt;0,", "&amp;A70&amp;"-"&amp;AA$2,"")&amp;IF(N(AB70)&gt;0,", "&amp;A70&amp;"-"&amp;AB$2,"")&amp;IF(N(AC70)&gt;0,", "&amp;A70&amp;"-"&amp;AC$2,"")&amp;IF(N(AD70)&gt;0,", "&amp;A70&amp;"-"&amp;AD$2,"")&amp;IF(N(AE70)&gt;0,", "&amp;A70&amp;"-"&amp;AE$2,"")&amp;IF(N(AF70)&gt;0,", "&amp;A70&amp;"-"&amp;AF$2,"")&amp;IF(N(AG70)&gt;0,", "&amp;A70&amp;"-"&amp;AG$2,"")&amp;IF(N(AH70)&gt;0,", "&amp;A70&amp;"-"&amp;AH$2,"")&amp;IF(N(AI70)&gt;0,", "&amp;A70&amp;"-"&amp;AI$2,"")&amp;IF(N(AJ70)&gt;0,", "&amp;A70&amp;"-"&amp;AJ$2,""),3,999))</f>
        <v/>
      </c>
      <c r="AN70" s="81"/>
      <c r="AO70" s="88"/>
      <c r="AP70" s="89" t="str">
        <f aca="false">IF(AO70="","",ROUND(AO70/(1+Справочники!$B$13),2))</f>
        <v/>
      </c>
      <c r="AQ70" s="90" t="str">
        <f aca="false" t="array" ref="AQ70:AQ70">IF(AP70="","",AP70*INDEX(Справочники!$B$4:$B$7,MATCH("RUB",Справочники!$A$4:$A$7,0)))</f>
        <v/>
      </c>
      <c r="AR70" s="90" t="str">
        <f aca="false">IF(AQ70="","",ROUND(AQ70*(1+Справочники!$B$12),0))</f>
        <v/>
      </c>
      <c r="AS70" s="90" t="str">
        <f aca="false">IF(AR70="","",ROUND(AR70*(1-Справочники!$B$11),0))</f>
        <v/>
      </c>
      <c r="AT70" s="88"/>
      <c r="AU70" s="90" t="str">
        <f aca="false">IF(AT70="","",ROUND(AT70/(1+Справочники!$B$12),0))</f>
        <v/>
      </c>
      <c r="AV70" s="90" t="str">
        <f aca="false">IF(AT70="","",ROUND(AT70*(1-Справочники!$B$15),0))</f>
        <v/>
      </c>
      <c r="AW70" s="90" t="str">
        <f aca="false">IF(AT70="","",ROUND(AT70*(1-Справочники!$B$16),0))</f>
        <v/>
      </c>
      <c r="AX70" s="90" t="str">
        <f aca="false">IF(AT70="","",ROUND(AT70*(1-Справочники!$B$17),0))</f>
        <v/>
      </c>
      <c r="AY70" s="90" t="str">
        <f aca="false">IF(AT70="","",ROUND(AT70*(1-Справочники!$B$18),0))</f>
        <v/>
      </c>
      <c r="AZ70" s="90" t="str">
        <f aca="false">IF(AT70="","",ROUND(AT70*(1-Справочники!$B$19),0))</f>
        <v/>
      </c>
      <c r="BA70" s="81"/>
      <c r="BB70" s="81"/>
      <c r="BC70" s="81"/>
      <c r="BD70" s="81"/>
      <c r="BE70" s="91"/>
      <c r="BF70" s="81" t="s">
        <v>103</v>
      </c>
      <c r="BG70" s="89" t="n">
        <f aca="false" t="array" ref="BG70:BG70">IF(BF70="","",IFERROR(INDEX(Справочники!$B$4:$B$7,MATCH(BF70,Справочники!$A$4:$A$7,0)),""))</f>
        <v>68.5</v>
      </c>
      <c r="BH70" s="90" t="str">
        <f aca="false">IF(N(BN70)&gt;0,ROUND(SUMIF(ЗАКАЗЫ!$F$3:$F$500,$A70,ЗАКАЗЫ!$Y$3:$Y$500)/BN70,0),IF(OR(BE70="",BG70=""),"",ROUND(BE70*BG70*(1+Справочники!$B$10),0)))</f>
        <v/>
      </c>
      <c r="BI70" s="92" t="str">
        <f aca="false">IF(OR(AU70="",BH70="",AU70=0),"",(AU70-BH70)/AU70)</f>
        <v/>
      </c>
      <c r="BJ70" s="81"/>
      <c r="BK70" s="83"/>
      <c r="BL70" s="43" t="str">
        <f aca="false">IFERROR(INDEX(ЗАКАЗЫ!$N$3:$N$500,MATCH($A70,ЗАКАЗЫ!$F$3:$F$500,0)),"")</f>
        <v/>
      </c>
      <c r="BM70" s="8" t="str">
        <f aca="false">IF(BL70="","",IFERROR(VLOOKUP(BL70,'ТН ВЭД'!$A$4:$C$40,3,0),""))</f>
        <v/>
      </c>
      <c r="BN70" s="7" t="str">
        <f aca="false">IF(COUNTIF(ЗАКАЗЫ!$F$3:$F$500,$A70)=0,"",SUMIF(ЗАКАЗЫ!$F$3:$F$500,$A70,ЗАКАЗЫ!$J$3:$J$500))</f>
        <v/>
      </c>
      <c r="BO70" s="7" t="str">
        <f aca="false">IF(BN70="","",SUMIF(ЗАКАЗЫ!$F$3:$F$500,$A70,ЗАКАЗЫ!$AL$3:$AL$500))</f>
        <v/>
      </c>
      <c r="BP70" s="7" t="str">
        <f aca="false">IF(BN70="","",BN70-BO70)</f>
        <v/>
      </c>
      <c r="BQ70" s="55" t="str">
        <f aca="false">IF(BN70="","",IF(BO70&gt;=BN70,"На складе",IF(BO70&gt;0,"Частично","Ждём")))</f>
        <v/>
      </c>
      <c r="BR70" s="43"/>
      <c r="BS70" s="47" t="str">
        <f aca="false">IF(BN70="","",IF(_xlfn.MAXIFS(ЗАКАЗЫ!$AK$3:$AK$500,ЗАКАЗЫ!$F$3:$F$500,$A70)=0,"",_xlfn.MAXIFS(ЗАКАЗЫ!$AK$3:$AK$500,ЗАКАЗЫ!$F$3:$F$500,$A70)))</f>
        <v/>
      </c>
    </row>
    <row r="71" customFormat="false" ht="15.75" hidden="false" customHeight="true" outlineLevel="0" collapsed="false">
      <c r="A71" s="80" t="s">
        <v>1594</v>
      </c>
      <c r="B71" s="81"/>
      <c r="C71" s="81"/>
      <c r="D71" s="81"/>
      <c r="E71" s="83"/>
      <c r="F71" s="81"/>
      <c r="G71" s="83"/>
      <c r="H71" s="83"/>
      <c r="I71" s="84" t="str">
        <f aca="false">IF(E71="","",A71&amp;"_1.jpg")</f>
        <v/>
      </c>
      <c r="J71" s="84" t="str">
        <f aca="false">IF(E71="","",A71&amp;"_2.jpg; "&amp;A71&amp;"_3.jpg")</f>
        <v/>
      </c>
      <c r="K71" s="84" t="str">
        <f aca="false">IF(E71="","",A71&amp;"_schema.jpg")</f>
        <v/>
      </c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 t="s">
        <v>96</v>
      </c>
      <c r="W71" s="81"/>
      <c r="X71" s="81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6" t="str">
        <f aca="false">IF(SUM(Y71:AJ71)=0,"",SUM(Y71:AJ71))</f>
        <v/>
      </c>
      <c r="AL71" s="84" t="str">
        <f aca="false">MID(IF(N(Y71)&gt;0,", "&amp;Y$2,"")&amp;IF(N(Z71)&gt;0,", "&amp;Z$2,"")&amp;IF(N(AA71)&gt;0,", "&amp;AA$2,"")&amp;IF(N(AB71)&gt;0,", "&amp;AB$2,"")&amp;IF(N(AC71)&gt;0,", "&amp;AC$2,"")&amp;IF(N(AD71)&gt;0,", "&amp;AD$2,"")&amp;IF(N(AE71)&gt;0,", "&amp;AE$2,"")&amp;IF(N(AF71)&gt;0,", "&amp;AF$2,"")&amp;IF(N(AG71)&gt;0,", "&amp;AG$2,"")&amp;IF(N(AH71)&gt;0,", "&amp;AH$2,"")&amp;IF(N(AI71)&gt;0,", "&amp;AI$2,"")&amp;IF(N(AJ71)&gt;0,", "&amp;AJ$2,""),3,999)</f>
        <v/>
      </c>
      <c r="AM71" s="87" t="str">
        <f aca="false">IF(E71="","",MID(IF(N(Y71)&gt;0,", "&amp;A71&amp;"-"&amp;Y$2,"")&amp;IF(N(Z71)&gt;0,", "&amp;A71&amp;"-"&amp;Z$2,"")&amp;IF(N(AA71)&gt;0,", "&amp;A71&amp;"-"&amp;AA$2,"")&amp;IF(N(AB71)&gt;0,", "&amp;A71&amp;"-"&amp;AB$2,"")&amp;IF(N(AC71)&gt;0,", "&amp;A71&amp;"-"&amp;AC$2,"")&amp;IF(N(AD71)&gt;0,", "&amp;A71&amp;"-"&amp;AD$2,"")&amp;IF(N(AE71)&gt;0,", "&amp;A71&amp;"-"&amp;AE$2,"")&amp;IF(N(AF71)&gt;0,", "&amp;A71&amp;"-"&amp;AF$2,"")&amp;IF(N(AG71)&gt;0,", "&amp;A71&amp;"-"&amp;AG$2,"")&amp;IF(N(AH71)&gt;0,", "&amp;A71&amp;"-"&amp;AH$2,"")&amp;IF(N(AI71)&gt;0,", "&amp;A71&amp;"-"&amp;AI$2,"")&amp;IF(N(AJ71)&gt;0,", "&amp;A71&amp;"-"&amp;AJ$2,""),3,999))</f>
        <v/>
      </c>
      <c r="AN71" s="81"/>
      <c r="AO71" s="88"/>
      <c r="AP71" s="89" t="str">
        <f aca="false">IF(AO71="","",ROUND(AO71/(1+Справочники!$B$13),2))</f>
        <v/>
      </c>
      <c r="AQ71" s="90" t="str">
        <f aca="false" t="array" ref="AQ71:AQ71">IF(AP71="","",AP71*INDEX(Справочники!$B$4:$B$7,MATCH("RUB",Справочники!$A$4:$A$7,0)))</f>
        <v/>
      </c>
      <c r="AR71" s="90" t="str">
        <f aca="false">IF(AQ71="","",ROUND(AQ71*(1+Справочники!$B$12),0))</f>
        <v/>
      </c>
      <c r="AS71" s="90" t="str">
        <f aca="false">IF(AR71="","",ROUND(AR71*(1-Справочники!$B$11),0))</f>
        <v/>
      </c>
      <c r="AT71" s="88"/>
      <c r="AU71" s="90" t="str">
        <f aca="false">IF(AT71="","",ROUND(AT71/(1+Справочники!$B$12),0))</f>
        <v/>
      </c>
      <c r="AV71" s="90" t="str">
        <f aca="false">IF(AT71="","",ROUND(AT71*(1-Справочники!$B$15),0))</f>
        <v/>
      </c>
      <c r="AW71" s="90" t="str">
        <f aca="false">IF(AT71="","",ROUND(AT71*(1-Справочники!$B$16),0))</f>
        <v/>
      </c>
      <c r="AX71" s="90" t="str">
        <f aca="false">IF(AT71="","",ROUND(AT71*(1-Справочники!$B$17),0))</f>
        <v/>
      </c>
      <c r="AY71" s="90" t="str">
        <f aca="false">IF(AT71="","",ROUND(AT71*(1-Справочники!$B$18),0))</f>
        <v/>
      </c>
      <c r="AZ71" s="90" t="str">
        <f aca="false">IF(AT71="","",ROUND(AT71*(1-Справочники!$B$19),0))</f>
        <v/>
      </c>
      <c r="BA71" s="81"/>
      <c r="BB71" s="81"/>
      <c r="BC71" s="81"/>
      <c r="BD71" s="81"/>
      <c r="BE71" s="91"/>
      <c r="BF71" s="81" t="s">
        <v>103</v>
      </c>
      <c r="BG71" s="89" t="n">
        <f aca="false" t="array" ref="BG71:BG71">IF(BF71="","",IFERROR(INDEX(Справочники!$B$4:$B$7,MATCH(BF71,Справочники!$A$4:$A$7,0)),""))</f>
        <v>68.5</v>
      </c>
      <c r="BH71" s="90" t="str">
        <f aca="false">IF(N(BN71)&gt;0,ROUND(SUMIF(ЗАКАЗЫ!$F$3:$F$500,$A71,ЗАКАЗЫ!$Y$3:$Y$500)/BN71,0),IF(OR(BE71="",BG71=""),"",ROUND(BE71*BG71*(1+Справочники!$B$10),0)))</f>
        <v/>
      </c>
      <c r="BI71" s="92" t="str">
        <f aca="false">IF(OR(AU71="",BH71="",AU71=0),"",(AU71-BH71)/AU71)</f>
        <v/>
      </c>
      <c r="BJ71" s="81"/>
      <c r="BK71" s="83"/>
      <c r="BL71" s="43" t="str">
        <f aca="false">IFERROR(INDEX(ЗАКАЗЫ!$N$3:$N$500,MATCH($A71,ЗАКАЗЫ!$F$3:$F$500,0)),"")</f>
        <v/>
      </c>
      <c r="BM71" s="8" t="str">
        <f aca="false">IF(BL71="","",IFERROR(VLOOKUP(BL71,'ТН ВЭД'!$A$4:$C$40,3,0),""))</f>
        <v/>
      </c>
      <c r="BN71" s="7" t="str">
        <f aca="false">IF(COUNTIF(ЗАКАЗЫ!$F$3:$F$500,$A71)=0,"",SUMIF(ЗАКАЗЫ!$F$3:$F$500,$A71,ЗАКАЗЫ!$J$3:$J$500))</f>
        <v/>
      </c>
      <c r="BO71" s="7" t="str">
        <f aca="false">IF(BN71="","",SUMIF(ЗАКАЗЫ!$F$3:$F$500,$A71,ЗАКАЗЫ!$AL$3:$AL$500))</f>
        <v/>
      </c>
      <c r="BP71" s="7" t="str">
        <f aca="false">IF(BN71="","",BN71-BO71)</f>
        <v/>
      </c>
      <c r="BQ71" s="55" t="str">
        <f aca="false">IF(BN71="","",IF(BO71&gt;=BN71,"На складе",IF(BO71&gt;0,"Частично","Ждём")))</f>
        <v/>
      </c>
      <c r="BR71" s="43"/>
      <c r="BS71" s="47" t="str">
        <f aca="false">IF(BN71="","",IF(_xlfn.MAXIFS(ЗАКАЗЫ!$AK$3:$AK$500,ЗАКАЗЫ!$F$3:$F$500,$A71)=0,"",_xlfn.MAXIFS(ЗАКАЗЫ!$AK$3:$AK$500,ЗАКАЗЫ!$F$3:$F$500,$A71)))</f>
        <v/>
      </c>
    </row>
    <row r="72" customFormat="false" ht="15.75" hidden="false" customHeight="true" outlineLevel="0" collapsed="false">
      <c r="A72" s="80" t="s">
        <v>1595</v>
      </c>
      <c r="B72" s="81"/>
      <c r="C72" s="81"/>
      <c r="D72" s="81"/>
      <c r="E72" s="83"/>
      <c r="F72" s="81"/>
      <c r="G72" s="83"/>
      <c r="H72" s="83"/>
      <c r="I72" s="84" t="str">
        <f aca="false">IF(E72="","",A72&amp;"_1.jpg")</f>
        <v/>
      </c>
      <c r="J72" s="84" t="str">
        <f aca="false">IF(E72="","",A72&amp;"_2.jpg; "&amp;A72&amp;"_3.jpg")</f>
        <v/>
      </c>
      <c r="K72" s="84" t="str">
        <f aca="false">IF(E72="","",A72&amp;"_schema.jpg")</f>
        <v/>
      </c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 t="s">
        <v>96</v>
      </c>
      <c r="W72" s="81"/>
      <c r="X72" s="81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6" t="str">
        <f aca="false">IF(SUM(Y72:AJ72)=0,"",SUM(Y72:AJ72))</f>
        <v/>
      </c>
      <c r="AL72" s="84" t="str">
        <f aca="false">MID(IF(N(Y72)&gt;0,", "&amp;Y$2,"")&amp;IF(N(Z72)&gt;0,", "&amp;Z$2,"")&amp;IF(N(AA72)&gt;0,", "&amp;AA$2,"")&amp;IF(N(AB72)&gt;0,", "&amp;AB$2,"")&amp;IF(N(AC72)&gt;0,", "&amp;AC$2,"")&amp;IF(N(AD72)&gt;0,", "&amp;AD$2,"")&amp;IF(N(AE72)&gt;0,", "&amp;AE$2,"")&amp;IF(N(AF72)&gt;0,", "&amp;AF$2,"")&amp;IF(N(AG72)&gt;0,", "&amp;AG$2,"")&amp;IF(N(AH72)&gt;0,", "&amp;AH$2,"")&amp;IF(N(AI72)&gt;0,", "&amp;AI$2,"")&amp;IF(N(AJ72)&gt;0,", "&amp;AJ$2,""),3,999)</f>
        <v/>
      </c>
      <c r="AM72" s="87" t="str">
        <f aca="false">IF(E72="","",MID(IF(N(Y72)&gt;0,", "&amp;A72&amp;"-"&amp;Y$2,"")&amp;IF(N(Z72)&gt;0,", "&amp;A72&amp;"-"&amp;Z$2,"")&amp;IF(N(AA72)&gt;0,", "&amp;A72&amp;"-"&amp;AA$2,"")&amp;IF(N(AB72)&gt;0,", "&amp;A72&amp;"-"&amp;AB$2,"")&amp;IF(N(AC72)&gt;0,", "&amp;A72&amp;"-"&amp;AC$2,"")&amp;IF(N(AD72)&gt;0,", "&amp;A72&amp;"-"&amp;AD$2,"")&amp;IF(N(AE72)&gt;0,", "&amp;A72&amp;"-"&amp;AE$2,"")&amp;IF(N(AF72)&gt;0,", "&amp;A72&amp;"-"&amp;AF$2,"")&amp;IF(N(AG72)&gt;0,", "&amp;A72&amp;"-"&amp;AG$2,"")&amp;IF(N(AH72)&gt;0,", "&amp;A72&amp;"-"&amp;AH$2,"")&amp;IF(N(AI72)&gt;0,", "&amp;A72&amp;"-"&amp;AI$2,"")&amp;IF(N(AJ72)&gt;0,", "&amp;A72&amp;"-"&amp;AJ$2,""),3,999))</f>
        <v/>
      </c>
      <c r="AN72" s="81"/>
      <c r="AO72" s="88"/>
      <c r="AP72" s="89" t="str">
        <f aca="false">IF(AO72="","",ROUND(AO72/(1+Справочники!$B$13),2))</f>
        <v/>
      </c>
      <c r="AQ72" s="90" t="str">
        <f aca="false" t="array" ref="AQ72:AQ72">IF(AP72="","",AP72*INDEX(Справочники!$B$4:$B$7,MATCH("RUB",Справочники!$A$4:$A$7,0)))</f>
        <v/>
      </c>
      <c r="AR72" s="90" t="str">
        <f aca="false">IF(AQ72="","",ROUND(AQ72*(1+Справочники!$B$12),0))</f>
        <v/>
      </c>
      <c r="AS72" s="90" t="str">
        <f aca="false">IF(AR72="","",ROUND(AR72*(1-Справочники!$B$11),0))</f>
        <v/>
      </c>
      <c r="AT72" s="88"/>
      <c r="AU72" s="90" t="str">
        <f aca="false">IF(AT72="","",ROUND(AT72/(1+Справочники!$B$12),0))</f>
        <v/>
      </c>
      <c r="AV72" s="90" t="str">
        <f aca="false">IF(AT72="","",ROUND(AT72*(1-Справочники!$B$15),0))</f>
        <v/>
      </c>
      <c r="AW72" s="90" t="str">
        <f aca="false">IF(AT72="","",ROUND(AT72*(1-Справочники!$B$16),0))</f>
        <v/>
      </c>
      <c r="AX72" s="90" t="str">
        <f aca="false">IF(AT72="","",ROUND(AT72*(1-Справочники!$B$17),0))</f>
        <v/>
      </c>
      <c r="AY72" s="90" t="str">
        <f aca="false">IF(AT72="","",ROUND(AT72*(1-Справочники!$B$18),0))</f>
        <v/>
      </c>
      <c r="AZ72" s="90" t="str">
        <f aca="false">IF(AT72="","",ROUND(AT72*(1-Справочники!$B$19),0))</f>
        <v/>
      </c>
      <c r="BA72" s="81"/>
      <c r="BB72" s="81"/>
      <c r="BC72" s="81"/>
      <c r="BD72" s="81"/>
      <c r="BE72" s="91"/>
      <c r="BF72" s="81" t="s">
        <v>103</v>
      </c>
      <c r="BG72" s="89" t="n">
        <f aca="false" t="array" ref="BG72:BG72">IF(BF72="","",IFERROR(INDEX(Справочники!$B$4:$B$7,MATCH(BF72,Справочники!$A$4:$A$7,0)),""))</f>
        <v>68.5</v>
      </c>
      <c r="BH72" s="90" t="str">
        <f aca="false">IF(N(BN72)&gt;0,ROUND(SUMIF(ЗАКАЗЫ!$F$3:$F$500,$A72,ЗАКАЗЫ!$Y$3:$Y$500)/BN72,0),IF(OR(BE72="",BG72=""),"",ROUND(BE72*BG72*(1+Справочники!$B$10),0)))</f>
        <v/>
      </c>
      <c r="BI72" s="92" t="str">
        <f aca="false">IF(OR(AU72="",BH72="",AU72=0),"",(AU72-BH72)/AU72)</f>
        <v/>
      </c>
      <c r="BJ72" s="81"/>
      <c r="BK72" s="83"/>
      <c r="BL72" s="43" t="str">
        <f aca="false">IFERROR(INDEX(ЗАКАЗЫ!$N$3:$N$500,MATCH($A72,ЗАКАЗЫ!$F$3:$F$500,0)),"")</f>
        <v/>
      </c>
      <c r="BM72" s="8" t="str">
        <f aca="false">IF(BL72="","",IFERROR(VLOOKUP(BL72,'ТН ВЭД'!$A$4:$C$40,3,0),""))</f>
        <v/>
      </c>
      <c r="BN72" s="7" t="str">
        <f aca="false">IF(COUNTIF(ЗАКАЗЫ!$F$3:$F$500,$A72)=0,"",SUMIF(ЗАКАЗЫ!$F$3:$F$500,$A72,ЗАКАЗЫ!$J$3:$J$500))</f>
        <v/>
      </c>
      <c r="BO72" s="7" t="str">
        <f aca="false">IF(BN72="","",SUMIF(ЗАКАЗЫ!$F$3:$F$500,$A72,ЗАКАЗЫ!$AL$3:$AL$500))</f>
        <v/>
      </c>
      <c r="BP72" s="7" t="str">
        <f aca="false">IF(BN72="","",BN72-BO72)</f>
        <v/>
      </c>
      <c r="BQ72" s="55" t="str">
        <f aca="false">IF(BN72="","",IF(BO72&gt;=BN72,"На складе",IF(BO72&gt;0,"Частично","Ждём")))</f>
        <v/>
      </c>
      <c r="BR72" s="43"/>
      <c r="BS72" s="47" t="str">
        <f aca="false">IF(BN72="","",IF(_xlfn.MAXIFS(ЗАКАЗЫ!$AK$3:$AK$500,ЗАКАЗЫ!$F$3:$F$500,$A72)=0,"",_xlfn.MAXIFS(ЗАКАЗЫ!$AK$3:$AK$500,ЗАКАЗЫ!$F$3:$F$500,$A72)))</f>
        <v/>
      </c>
    </row>
    <row r="73" customFormat="false" ht="15.75" hidden="false" customHeight="true" outlineLevel="0" collapsed="false">
      <c r="A73" s="80" t="s">
        <v>1596</v>
      </c>
      <c r="B73" s="81"/>
      <c r="C73" s="81"/>
      <c r="D73" s="81"/>
      <c r="E73" s="83"/>
      <c r="F73" s="81"/>
      <c r="G73" s="83"/>
      <c r="H73" s="83"/>
      <c r="I73" s="84" t="str">
        <f aca="false">IF(E73="","",A73&amp;"_1.jpg")</f>
        <v/>
      </c>
      <c r="J73" s="84" t="str">
        <f aca="false">IF(E73="","",A73&amp;"_2.jpg; "&amp;A73&amp;"_3.jpg")</f>
        <v/>
      </c>
      <c r="K73" s="84" t="str">
        <f aca="false">IF(E73="","",A73&amp;"_schema.jpg")</f>
        <v/>
      </c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 t="s">
        <v>96</v>
      </c>
      <c r="W73" s="81"/>
      <c r="X73" s="81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6" t="str">
        <f aca="false">IF(SUM(Y73:AJ73)=0,"",SUM(Y73:AJ73))</f>
        <v/>
      </c>
      <c r="AL73" s="84" t="str">
        <f aca="false">MID(IF(N(Y73)&gt;0,", "&amp;Y$2,"")&amp;IF(N(Z73)&gt;0,", "&amp;Z$2,"")&amp;IF(N(AA73)&gt;0,", "&amp;AA$2,"")&amp;IF(N(AB73)&gt;0,", "&amp;AB$2,"")&amp;IF(N(AC73)&gt;0,", "&amp;AC$2,"")&amp;IF(N(AD73)&gt;0,", "&amp;AD$2,"")&amp;IF(N(AE73)&gt;0,", "&amp;AE$2,"")&amp;IF(N(AF73)&gt;0,", "&amp;AF$2,"")&amp;IF(N(AG73)&gt;0,", "&amp;AG$2,"")&amp;IF(N(AH73)&gt;0,", "&amp;AH$2,"")&amp;IF(N(AI73)&gt;0,", "&amp;AI$2,"")&amp;IF(N(AJ73)&gt;0,", "&amp;AJ$2,""),3,999)</f>
        <v/>
      </c>
      <c r="AM73" s="87" t="str">
        <f aca="false">IF(E73="","",MID(IF(N(Y73)&gt;0,", "&amp;A73&amp;"-"&amp;Y$2,"")&amp;IF(N(Z73)&gt;0,", "&amp;A73&amp;"-"&amp;Z$2,"")&amp;IF(N(AA73)&gt;0,", "&amp;A73&amp;"-"&amp;AA$2,"")&amp;IF(N(AB73)&gt;0,", "&amp;A73&amp;"-"&amp;AB$2,"")&amp;IF(N(AC73)&gt;0,", "&amp;A73&amp;"-"&amp;AC$2,"")&amp;IF(N(AD73)&gt;0,", "&amp;A73&amp;"-"&amp;AD$2,"")&amp;IF(N(AE73)&gt;0,", "&amp;A73&amp;"-"&amp;AE$2,"")&amp;IF(N(AF73)&gt;0,", "&amp;A73&amp;"-"&amp;AF$2,"")&amp;IF(N(AG73)&gt;0,", "&amp;A73&amp;"-"&amp;AG$2,"")&amp;IF(N(AH73)&gt;0,", "&amp;A73&amp;"-"&amp;AH$2,"")&amp;IF(N(AI73)&gt;0,", "&amp;A73&amp;"-"&amp;AI$2,"")&amp;IF(N(AJ73)&gt;0,", "&amp;A73&amp;"-"&amp;AJ$2,""),3,999))</f>
        <v/>
      </c>
      <c r="AN73" s="81"/>
      <c r="AO73" s="88"/>
      <c r="AP73" s="89" t="str">
        <f aca="false">IF(AO73="","",ROUND(AO73/(1+Справочники!$B$13),2))</f>
        <v/>
      </c>
      <c r="AQ73" s="90" t="str">
        <f aca="false" t="array" ref="AQ73:AQ73">IF(AP73="","",AP73*INDEX(Справочники!$B$4:$B$7,MATCH("RUB",Справочники!$A$4:$A$7,0)))</f>
        <v/>
      </c>
      <c r="AR73" s="90" t="str">
        <f aca="false">IF(AQ73="","",ROUND(AQ73*(1+Справочники!$B$12),0))</f>
        <v/>
      </c>
      <c r="AS73" s="90" t="str">
        <f aca="false">IF(AR73="","",ROUND(AR73*(1-Справочники!$B$11),0))</f>
        <v/>
      </c>
      <c r="AT73" s="88"/>
      <c r="AU73" s="90" t="str">
        <f aca="false">IF(AT73="","",ROUND(AT73/(1+Справочники!$B$12),0))</f>
        <v/>
      </c>
      <c r="AV73" s="90" t="str">
        <f aca="false">IF(AT73="","",ROUND(AT73*(1-Справочники!$B$15),0))</f>
        <v/>
      </c>
      <c r="AW73" s="90" t="str">
        <f aca="false">IF(AT73="","",ROUND(AT73*(1-Справочники!$B$16),0))</f>
        <v/>
      </c>
      <c r="AX73" s="90" t="str">
        <f aca="false">IF(AT73="","",ROUND(AT73*(1-Справочники!$B$17),0))</f>
        <v/>
      </c>
      <c r="AY73" s="90" t="str">
        <f aca="false">IF(AT73="","",ROUND(AT73*(1-Справочники!$B$18),0))</f>
        <v/>
      </c>
      <c r="AZ73" s="90" t="str">
        <f aca="false">IF(AT73="","",ROUND(AT73*(1-Справочники!$B$19),0))</f>
        <v/>
      </c>
      <c r="BA73" s="81"/>
      <c r="BB73" s="81"/>
      <c r="BC73" s="81"/>
      <c r="BD73" s="81"/>
      <c r="BE73" s="91"/>
      <c r="BF73" s="81" t="s">
        <v>103</v>
      </c>
      <c r="BG73" s="89" t="n">
        <f aca="false" t="array" ref="BG73:BG73">IF(BF73="","",IFERROR(INDEX(Справочники!$B$4:$B$7,MATCH(BF73,Справочники!$A$4:$A$7,0)),""))</f>
        <v>68.5</v>
      </c>
      <c r="BH73" s="90" t="str">
        <f aca="false">IF(N(BN73)&gt;0,ROUND(SUMIF(ЗАКАЗЫ!$F$3:$F$500,$A73,ЗАКАЗЫ!$Y$3:$Y$500)/BN73,0),IF(OR(BE73="",BG73=""),"",ROUND(BE73*BG73*(1+Справочники!$B$10),0)))</f>
        <v/>
      </c>
      <c r="BI73" s="92" t="str">
        <f aca="false">IF(OR(AU73="",BH73="",AU73=0),"",(AU73-BH73)/AU73)</f>
        <v/>
      </c>
      <c r="BJ73" s="81"/>
      <c r="BK73" s="83"/>
      <c r="BL73" s="43" t="str">
        <f aca="false">IFERROR(INDEX(ЗАКАЗЫ!$N$3:$N$500,MATCH($A73,ЗАКАЗЫ!$F$3:$F$500,0)),"")</f>
        <v/>
      </c>
      <c r="BM73" s="8" t="str">
        <f aca="false">IF(BL73="","",IFERROR(VLOOKUP(BL73,'ТН ВЭД'!$A$4:$C$40,3,0),""))</f>
        <v/>
      </c>
      <c r="BN73" s="7" t="str">
        <f aca="false">IF(COUNTIF(ЗАКАЗЫ!$F$3:$F$500,$A73)=0,"",SUMIF(ЗАКАЗЫ!$F$3:$F$500,$A73,ЗАКАЗЫ!$J$3:$J$500))</f>
        <v/>
      </c>
      <c r="BO73" s="7" t="str">
        <f aca="false">IF(BN73="","",SUMIF(ЗАКАЗЫ!$F$3:$F$500,$A73,ЗАКАЗЫ!$AL$3:$AL$500))</f>
        <v/>
      </c>
      <c r="BP73" s="7" t="str">
        <f aca="false">IF(BN73="","",BN73-BO73)</f>
        <v/>
      </c>
      <c r="BQ73" s="55" t="str">
        <f aca="false">IF(BN73="","",IF(BO73&gt;=BN73,"На складе",IF(BO73&gt;0,"Частично","Ждём")))</f>
        <v/>
      </c>
      <c r="BR73" s="43"/>
      <c r="BS73" s="47" t="str">
        <f aca="false">IF(BN73="","",IF(_xlfn.MAXIFS(ЗАКАЗЫ!$AK$3:$AK$500,ЗАКАЗЫ!$F$3:$F$500,$A73)=0,"",_xlfn.MAXIFS(ЗАКАЗЫ!$AK$3:$AK$500,ЗАКАЗЫ!$F$3:$F$500,$A73)))</f>
        <v/>
      </c>
    </row>
    <row r="74" customFormat="false" ht="15.75" hidden="false" customHeight="true" outlineLevel="0" collapsed="false">
      <c r="A74" s="80" t="s">
        <v>1597</v>
      </c>
      <c r="B74" s="81"/>
      <c r="C74" s="81"/>
      <c r="D74" s="81"/>
      <c r="E74" s="83"/>
      <c r="F74" s="81"/>
      <c r="G74" s="83"/>
      <c r="H74" s="83"/>
      <c r="I74" s="84" t="str">
        <f aca="false">IF(E74="","",A74&amp;"_1.jpg")</f>
        <v/>
      </c>
      <c r="J74" s="84" t="str">
        <f aca="false">IF(E74="","",A74&amp;"_2.jpg; "&amp;A74&amp;"_3.jpg")</f>
        <v/>
      </c>
      <c r="K74" s="84" t="str">
        <f aca="false">IF(E74="","",A74&amp;"_schema.jpg")</f>
        <v/>
      </c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 t="s">
        <v>96</v>
      </c>
      <c r="W74" s="81"/>
      <c r="X74" s="81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6" t="str">
        <f aca="false">IF(SUM(Y74:AJ74)=0,"",SUM(Y74:AJ74))</f>
        <v/>
      </c>
      <c r="AL74" s="84" t="str">
        <f aca="false">MID(IF(N(Y74)&gt;0,", "&amp;Y$2,"")&amp;IF(N(Z74)&gt;0,", "&amp;Z$2,"")&amp;IF(N(AA74)&gt;0,", "&amp;AA$2,"")&amp;IF(N(AB74)&gt;0,", "&amp;AB$2,"")&amp;IF(N(AC74)&gt;0,", "&amp;AC$2,"")&amp;IF(N(AD74)&gt;0,", "&amp;AD$2,"")&amp;IF(N(AE74)&gt;0,", "&amp;AE$2,"")&amp;IF(N(AF74)&gt;0,", "&amp;AF$2,"")&amp;IF(N(AG74)&gt;0,", "&amp;AG$2,"")&amp;IF(N(AH74)&gt;0,", "&amp;AH$2,"")&amp;IF(N(AI74)&gt;0,", "&amp;AI$2,"")&amp;IF(N(AJ74)&gt;0,", "&amp;AJ$2,""),3,999)</f>
        <v/>
      </c>
      <c r="AM74" s="87" t="str">
        <f aca="false">IF(E74="","",MID(IF(N(Y74)&gt;0,", "&amp;A74&amp;"-"&amp;Y$2,"")&amp;IF(N(Z74)&gt;0,", "&amp;A74&amp;"-"&amp;Z$2,"")&amp;IF(N(AA74)&gt;0,", "&amp;A74&amp;"-"&amp;AA$2,"")&amp;IF(N(AB74)&gt;0,", "&amp;A74&amp;"-"&amp;AB$2,"")&amp;IF(N(AC74)&gt;0,", "&amp;A74&amp;"-"&amp;AC$2,"")&amp;IF(N(AD74)&gt;0,", "&amp;A74&amp;"-"&amp;AD$2,"")&amp;IF(N(AE74)&gt;0,", "&amp;A74&amp;"-"&amp;AE$2,"")&amp;IF(N(AF74)&gt;0,", "&amp;A74&amp;"-"&amp;AF$2,"")&amp;IF(N(AG74)&gt;0,", "&amp;A74&amp;"-"&amp;AG$2,"")&amp;IF(N(AH74)&gt;0,", "&amp;A74&amp;"-"&amp;AH$2,"")&amp;IF(N(AI74)&gt;0,", "&amp;A74&amp;"-"&amp;AI$2,"")&amp;IF(N(AJ74)&gt;0,", "&amp;A74&amp;"-"&amp;AJ$2,""),3,999))</f>
        <v/>
      </c>
      <c r="AN74" s="81"/>
      <c r="AO74" s="88"/>
      <c r="AP74" s="89" t="str">
        <f aca="false">IF(AO74="","",ROUND(AO74/(1+Справочники!$B$13),2))</f>
        <v/>
      </c>
      <c r="AQ74" s="90" t="str">
        <f aca="false" t="array" ref="AQ74:AQ74">IF(AP74="","",AP74*INDEX(Справочники!$B$4:$B$7,MATCH("RUB",Справочники!$A$4:$A$7,0)))</f>
        <v/>
      </c>
      <c r="AR74" s="90" t="str">
        <f aca="false">IF(AQ74="","",ROUND(AQ74*(1+Справочники!$B$12),0))</f>
        <v/>
      </c>
      <c r="AS74" s="90" t="str">
        <f aca="false">IF(AR74="","",ROUND(AR74*(1-Справочники!$B$11),0))</f>
        <v/>
      </c>
      <c r="AT74" s="88"/>
      <c r="AU74" s="90" t="str">
        <f aca="false">IF(AT74="","",ROUND(AT74/(1+Справочники!$B$12),0))</f>
        <v/>
      </c>
      <c r="AV74" s="90" t="str">
        <f aca="false">IF(AT74="","",ROUND(AT74*(1-Справочники!$B$15),0))</f>
        <v/>
      </c>
      <c r="AW74" s="90" t="str">
        <f aca="false">IF(AT74="","",ROUND(AT74*(1-Справочники!$B$16),0))</f>
        <v/>
      </c>
      <c r="AX74" s="90" t="str">
        <f aca="false">IF(AT74="","",ROUND(AT74*(1-Справочники!$B$17),0))</f>
        <v/>
      </c>
      <c r="AY74" s="90" t="str">
        <f aca="false">IF(AT74="","",ROUND(AT74*(1-Справочники!$B$18),0))</f>
        <v/>
      </c>
      <c r="AZ74" s="90" t="str">
        <f aca="false">IF(AT74="","",ROUND(AT74*(1-Справочники!$B$19),0))</f>
        <v/>
      </c>
      <c r="BA74" s="81"/>
      <c r="BB74" s="81"/>
      <c r="BC74" s="81"/>
      <c r="BD74" s="81"/>
      <c r="BE74" s="91"/>
      <c r="BF74" s="81" t="s">
        <v>103</v>
      </c>
      <c r="BG74" s="89" t="n">
        <f aca="false" t="array" ref="BG74:BG74">IF(BF74="","",IFERROR(INDEX(Справочники!$B$4:$B$7,MATCH(BF74,Справочники!$A$4:$A$7,0)),""))</f>
        <v>68.5</v>
      </c>
      <c r="BH74" s="90" t="str">
        <f aca="false">IF(N(BN74)&gt;0,ROUND(SUMIF(ЗАКАЗЫ!$F$3:$F$500,$A74,ЗАКАЗЫ!$Y$3:$Y$500)/BN74,0),IF(OR(BE74="",BG74=""),"",ROUND(BE74*BG74*(1+Справочники!$B$10),0)))</f>
        <v/>
      </c>
      <c r="BI74" s="92" t="str">
        <f aca="false">IF(OR(AU74="",BH74="",AU74=0),"",(AU74-BH74)/AU74)</f>
        <v/>
      </c>
      <c r="BJ74" s="81"/>
      <c r="BK74" s="83"/>
      <c r="BL74" s="43" t="str">
        <f aca="false">IFERROR(INDEX(ЗАКАЗЫ!$N$3:$N$500,MATCH($A74,ЗАКАЗЫ!$F$3:$F$500,0)),"")</f>
        <v/>
      </c>
      <c r="BM74" s="8" t="str">
        <f aca="false">IF(BL74="","",IFERROR(VLOOKUP(BL74,'ТН ВЭД'!$A$4:$C$40,3,0),""))</f>
        <v/>
      </c>
      <c r="BN74" s="7" t="str">
        <f aca="false">IF(COUNTIF(ЗАКАЗЫ!$F$3:$F$500,$A74)=0,"",SUMIF(ЗАКАЗЫ!$F$3:$F$500,$A74,ЗАКАЗЫ!$J$3:$J$500))</f>
        <v/>
      </c>
      <c r="BO74" s="7" t="str">
        <f aca="false">IF(BN74="","",SUMIF(ЗАКАЗЫ!$F$3:$F$500,$A74,ЗАКАЗЫ!$AL$3:$AL$500))</f>
        <v/>
      </c>
      <c r="BP74" s="7" t="str">
        <f aca="false">IF(BN74="","",BN74-BO74)</f>
        <v/>
      </c>
      <c r="BQ74" s="55" t="str">
        <f aca="false">IF(BN74="","",IF(BO74&gt;=BN74,"На складе",IF(BO74&gt;0,"Частично","Ждём")))</f>
        <v/>
      </c>
      <c r="BR74" s="43"/>
      <c r="BS74" s="47" t="str">
        <f aca="false">IF(BN74="","",IF(_xlfn.MAXIFS(ЗАКАЗЫ!$AK$3:$AK$500,ЗАКАЗЫ!$F$3:$F$500,$A74)=0,"",_xlfn.MAXIFS(ЗАКАЗЫ!$AK$3:$AK$500,ЗАКАЗЫ!$F$3:$F$500,$A74)))</f>
        <v/>
      </c>
    </row>
    <row r="75" customFormat="false" ht="15.75" hidden="false" customHeight="true" outlineLevel="0" collapsed="false">
      <c r="A75" s="80" t="s">
        <v>1598</v>
      </c>
      <c r="B75" s="81"/>
      <c r="C75" s="81"/>
      <c r="D75" s="81"/>
      <c r="E75" s="83"/>
      <c r="F75" s="81"/>
      <c r="G75" s="83"/>
      <c r="H75" s="83"/>
      <c r="I75" s="84" t="str">
        <f aca="false">IF(E75="","",A75&amp;"_1.jpg")</f>
        <v/>
      </c>
      <c r="J75" s="84" t="str">
        <f aca="false">IF(E75="","",A75&amp;"_2.jpg; "&amp;A75&amp;"_3.jpg")</f>
        <v/>
      </c>
      <c r="K75" s="84" t="str">
        <f aca="false">IF(E75="","",A75&amp;"_schema.jpg")</f>
        <v/>
      </c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 t="s">
        <v>96</v>
      </c>
      <c r="W75" s="81"/>
      <c r="X75" s="81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6" t="str">
        <f aca="false">IF(SUM(Y75:AJ75)=0,"",SUM(Y75:AJ75))</f>
        <v/>
      </c>
      <c r="AL75" s="84" t="str">
        <f aca="false">MID(IF(N(Y75)&gt;0,", "&amp;Y$2,"")&amp;IF(N(Z75)&gt;0,", "&amp;Z$2,"")&amp;IF(N(AA75)&gt;0,", "&amp;AA$2,"")&amp;IF(N(AB75)&gt;0,", "&amp;AB$2,"")&amp;IF(N(AC75)&gt;0,", "&amp;AC$2,"")&amp;IF(N(AD75)&gt;0,", "&amp;AD$2,"")&amp;IF(N(AE75)&gt;0,", "&amp;AE$2,"")&amp;IF(N(AF75)&gt;0,", "&amp;AF$2,"")&amp;IF(N(AG75)&gt;0,", "&amp;AG$2,"")&amp;IF(N(AH75)&gt;0,", "&amp;AH$2,"")&amp;IF(N(AI75)&gt;0,", "&amp;AI$2,"")&amp;IF(N(AJ75)&gt;0,", "&amp;AJ$2,""),3,999)</f>
        <v/>
      </c>
      <c r="AM75" s="87" t="str">
        <f aca="false">IF(E75="","",MID(IF(N(Y75)&gt;0,", "&amp;A75&amp;"-"&amp;Y$2,"")&amp;IF(N(Z75)&gt;0,", "&amp;A75&amp;"-"&amp;Z$2,"")&amp;IF(N(AA75)&gt;0,", "&amp;A75&amp;"-"&amp;AA$2,"")&amp;IF(N(AB75)&gt;0,", "&amp;A75&amp;"-"&amp;AB$2,"")&amp;IF(N(AC75)&gt;0,", "&amp;A75&amp;"-"&amp;AC$2,"")&amp;IF(N(AD75)&gt;0,", "&amp;A75&amp;"-"&amp;AD$2,"")&amp;IF(N(AE75)&gt;0,", "&amp;A75&amp;"-"&amp;AE$2,"")&amp;IF(N(AF75)&gt;0,", "&amp;A75&amp;"-"&amp;AF$2,"")&amp;IF(N(AG75)&gt;0,", "&amp;A75&amp;"-"&amp;AG$2,"")&amp;IF(N(AH75)&gt;0,", "&amp;A75&amp;"-"&amp;AH$2,"")&amp;IF(N(AI75)&gt;0,", "&amp;A75&amp;"-"&amp;AI$2,"")&amp;IF(N(AJ75)&gt;0,", "&amp;A75&amp;"-"&amp;AJ$2,""),3,999))</f>
        <v/>
      </c>
      <c r="AN75" s="81"/>
      <c r="AO75" s="88"/>
      <c r="AP75" s="89" t="str">
        <f aca="false">IF(AO75="","",ROUND(AO75/(1+Справочники!$B$13),2))</f>
        <v/>
      </c>
      <c r="AQ75" s="90" t="str">
        <f aca="false" t="array" ref="AQ75:AQ75">IF(AP75="","",AP75*INDEX(Справочники!$B$4:$B$7,MATCH("RUB",Справочники!$A$4:$A$7,0)))</f>
        <v/>
      </c>
      <c r="AR75" s="90" t="str">
        <f aca="false">IF(AQ75="","",ROUND(AQ75*(1+Справочники!$B$12),0))</f>
        <v/>
      </c>
      <c r="AS75" s="90" t="str">
        <f aca="false">IF(AR75="","",ROUND(AR75*(1-Справочники!$B$11),0))</f>
        <v/>
      </c>
      <c r="AT75" s="88"/>
      <c r="AU75" s="90" t="str">
        <f aca="false">IF(AT75="","",ROUND(AT75/(1+Справочники!$B$12),0))</f>
        <v/>
      </c>
      <c r="AV75" s="90" t="str">
        <f aca="false">IF(AT75="","",ROUND(AT75*(1-Справочники!$B$15),0))</f>
        <v/>
      </c>
      <c r="AW75" s="90" t="str">
        <f aca="false">IF(AT75="","",ROUND(AT75*(1-Справочники!$B$16),0))</f>
        <v/>
      </c>
      <c r="AX75" s="90" t="str">
        <f aca="false">IF(AT75="","",ROUND(AT75*(1-Справочники!$B$17),0))</f>
        <v/>
      </c>
      <c r="AY75" s="90" t="str">
        <f aca="false">IF(AT75="","",ROUND(AT75*(1-Справочники!$B$18),0))</f>
        <v/>
      </c>
      <c r="AZ75" s="90" t="str">
        <f aca="false">IF(AT75="","",ROUND(AT75*(1-Справочники!$B$19),0))</f>
        <v/>
      </c>
      <c r="BA75" s="81"/>
      <c r="BB75" s="81"/>
      <c r="BC75" s="81"/>
      <c r="BD75" s="81"/>
      <c r="BE75" s="91"/>
      <c r="BF75" s="81" t="s">
        <v>103</v>
      </c>
      <c r="BG75" s="89" t="n">
        <f aca="false" t="array" ref="BG75:BG75">IF(BF75="","",IFERROR(INDEX(Справочники!$B$4:$B$7,MATCH(BF75,Справочники!$A$4:$A$7,0)),""))</f>
        <v>68.5</v>
      </c>
      <c r="BH75" s="90" t="str">
        <f aca="false">IF(N(BN75)&gt;0,ROUND(SUMIF(ЗАКАЗЫ!$F$3:$F$500,$A75,ЗАКАЗЫ!$Y$3:$Y$500)/BN75,0),IF(OR(BE75="",BG75=""),"",ROUND(BE75*BG75*(1+Справочники!$B$10),0)))</f>
        <v/>
      </c>
      <c r="BI75" s="92" t="str">
        <f aca="false">IF(OR(AU75="",BH75="",AU75=0),"",(AU75-BH75)/AU75)</f>
        <v/>
      </c>
      <c r="BJ75" s="81"/>
      <c r="BK75" s="83"/>
      <c r="BL75" s="43" t="str">
        <f aca="false">IFERROR(INDEX(ЗАКАЗЫ!$N$3:$N$500,MATCH($A75,ЗАКАЗЫ!$F$3:$F$500,0)),"")</f>
        <v/>
      </c>
      <c r="BM75" s="8" t="str">
        <f aca="false">IF(BL75="","",IFERROR(VLOOKUP(BL75,'ТН ВЭД'!$A$4:$C$40,3,0),""))</f>
        <v/>
      </c>
      <c r="BN75" s="7" t="str">
        <f aca="false">IF(COUNTIF(ЗАКАЗЫ!$F$3:$F$500,$A75)=0,"",SUMIF(ЗАКАЗЫ!$F$3:$F$500,$A75,ЗАКАЗЫ!$J$3:$J$500))</f>
        <v/>
      </c>
      <c r="BO75" s="7" t="str">
        <f aca="false">IF(BN75="","",SUMIF(ЗАКАЗЫ!$F$3:$F$500,$A75,ЗАКАЗЫ!$AL$3:$AL$500))</f>
        <v/>
      </c>
      <c r="BP75" s="7" t="str">
        <f aca="false">IF(BN75="","",BN75-BO75)</f>
        <v/>
      </c>
      <c r="BQ75" s="55" t="str">
        <f aca="false">IF(BN75="","",IF(BO75&gt;=BN75,"На складе",IF(BO75&gt;0,"Частично","Ждём")))</f>
        <v/>
      </c>
      <c r="BR75" s="43"/>
      <c r="BS75" s="47" t="str">
        <f aca="false">IF(BN75="","",IF(_xlfn.MAXIFS(ЗАКАЗЫ!$AK$3:$AK$500,ЗАКАЗЫ!$F$3:$F$500,$A75)=0,"",_xlfn.MAXIFS(ЗАКАЗЫ!$AK$3:$AK$500,ЗАКАЗЫ!$F$3:$F$500,$A75)))</f>
        <v/>
      </c>
    </row>
    <row r="76" customFormat="false" ht="15.75" hidden="false" customHeight="true" outlineLevel="0" collapsed="false">
      <c r="A76" s="80" t="s">
        <v>1599</v>
      </c>
      <c r="B76" s="81"/>
      <c r="C76" s="81"/>
      <c r="D76" s="81"/>
      <c r="E76" s="83"/>
      <c r="F76" s="81"/>
      <c r="G76" s="83"/>
      <c r="H76" s="83"/>
      <c r="I76" s="84" t="str">
        <f aca="false">IF(E76="","",A76&amp;"_1.jpg")</f>
        <v/>
      </c>
      <c r="J76" s="84" t="str">
        <f aca="false">IF(E76="","",A76&amp;"_2.jpg; "&amp;A76&amp;"_3.jpg")</f>
        <v/>
      </c>
      <c r="K76" s="84" t="str">
        <f aca="false">IF(E76="","",A76&amp;"_schema.jpg")</f>
        <v/>
      </c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 t="s">
        <v>96</v>
      </c>
      <c r="W76" s="81"/>
      <c r="X76" s="81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6" t="str">
        <f aca="false">IF(SUM(Y76:AJ76)=0,"",SUM(Y76:AJ76))</f>
        <v/>
      </c>
      <c r="AL76" s="84" t="str">
        <f aca="false">MID(IF(N(Y76)&gt;0,", "&amp;Y$2,"")&amp;IF(N(Z76)&gt;0,", "&amp;Z$2,"")&amp;IF(N(AA76)&gt;0,", "&amp;AA$2,"")&amp;IF(N(AB76)&gt;0,", "&amp;AB$2,"")&amp;IF(N(AC76)&gt;0,", "&amp;AC$2,"")&amp;IF(N(AD76)&gt;0,", "&amp;AD$2,"")&amp;IF(N(AE76)&gt;0,", "&amp;AE$2,"")&amp;IF(N(AF76)&gt;0,", "&amp;AF$2,"")&amp;IF(N(AG76)&gt;0,", "&amp;AG$2,"")&amp;IF(N(AH76)&gt;0,", "&amp;AH$2,"")&amp;IF(N(AI76)&gt;0,", "&amp;AI$2,"")&amp;IF(N(AJ76)&gt;0,", "&amp;AJ$2,""),3,999)</f>
        <v/>
      </c>
      <c r="AM76" s="87" t="str">
        <f aca="false">IF(E76="","",MID(IF(N(Y76)&gt;0,", "&amp;A76&amp;"-"&amp;Y$2,"")&amp;IF(N(Z76)&gt;0,", "&amp;A76&amp;"-"&amp;Z$2,"")&amp;IF(N(AA76)&gt;0,", "&amp;A76&amp;"-"&amp;AA$2,"")&amp;IF(N(AB76)&gt;0,", "&amp;A76&amp;"-"&amp;AB$2,"")&amp;IF(N(AC76)&gt;0,", "&amp;A76&amp;"-"&amp;AC$2,"")&amp;IF(N(AD76)&gt;0,", "&amp;A76&amp;"-"&amp;AD$2,"")&amp;IF(N(AE76)&gt;0,", "&amp;A76&amp;"-"&amp;AE$2,"")&amp;IF(N(AF76)&gt;0,", "&amp;A76&amp;"-"&amp;AF$2,"")&amp;IF(N(AG76)&gt;0,", "&amp;A76&amp;"-"&amp;AG$2,"")&amp;IF(N(AH76)&gt;0,", "&amp;A76&amp;"-"&amp;AH$2,"")&amp;IF(N(AI76)&gt;0,", "&amp;A76&amp;"-"&amp;AI$2,"")&amp;IF(N(AJ76)&gt;0,", "&amp;A76&amp;"-"&amp;AJ$2,""),3,999))</f>
        <v/>
      </c>
      <c r="AN76" s="81"/>
      <c r="AO76" s="88"/>
      <c r="AP76" s="89" t="str">
        <f aca="false">IF(AO76="","",ROUND(AO76/(1+Справочники!$B$13),2))</f>
        <v/>
      </c>
      <c r="AQ76" s="90" t="str">
        <f aca="false" t="array" ref="AQ76:AQ76">IF(AP76="","",AP76*INDEX(Справочники!$B$4:$B$7,MATCH("RUB",Справочники!$A$4:$A$7,0)))</f>
        <v/>
      </c>
      <c r="AR76" s="90" t="str">
        <f aca="false">IF(AQ76="","",ROUND(AQ76*(1+Справочники!$B$12),0))</f>
        <v/>
      </c>
      <c r="AS76" s="90" t="str">
        <f aca="false">IF(AR76="","",ROUND(AR76*(1-Справочники!$B$11),0))</f>
        <v/>
      </c>
      <c r="AT76" s="88"/>
      <c r="AU76" s="90" t="str">
        <f aca="false">IF(AT76="","",ROUND(AT76/(1+Справочники!$B$12),0))</f>
        <v/>
      </c>
      <c r="AV76" s="90" t="str">
        <f aca="false">IF(AT76="","",ROUND(AT76*(1-Справочники!$B$15),0))</f>
        <v/>
      </c>
      <c r="AW76" s="90" t="str">
        <f aca="false">IF(AT76="","",ROUND(AT76*(1-Справочники!$B$16),0))</f>
        <v/>
      </c>
      <c r="AX76" s="90" t="str">
        <f aca="false">IF(AT76="","",ROUND(AT76*(1-Справочники!$B$17),0))</f>
        <v/>
      </c>
      <c r="AY76" s="90" t="str">
        <f aca="false">IF(AT76="","",ROUND(AT76*(1-Справочники!$B$18),0))</f>
        <v/>
      </c>
      <c r="AZ76" s="90" t="str">
        <f aca="false">IF(AT76="","",ROUND(AT76*(1-Справочники!$B$19),0))</f>
        <v/>
      </c>
      <c r="BA76" s="81"/>
      <c r="BB76" s="81"/>
      <c r="BC76" s="81"/>
      <c r="BD76" s="81"/>
      <c r="BE76" s="91"/>
      <c r="BF76" s="81" t="s">
        <v>103</v>
      </c>
      <c r="BG76" s="89" t="n">
        <f aca="false" t="array" ref="BG76:BG76">IF(BF76="","",IFERROR(INDEX(Справочники!$B$4:$B$7,MATCH(BF76,Справочники!$A$4:$A$7,0)),""))</f>
        <v>68.5</v>
      </c>
      <c r="BH76" s="90" t="str">
        <f aca="false">IF(N(BN76)&gt;0,ROUND(SUMIF(ЗАКАЗЫ!$F$3:$F$500,$A76,ЗАКАЗЫ!$Y$3:$Y$500)/BN76,0),IF(OR(BE76="",BG76=""),"",ROUND(BE76*BG76*(1+Справочники!$B$10),0)))</f>
        <v/>
      </c>
      <c r="BI76" s="92" t="str">
        <f aca="false">IF(OR(AU76="",BH76="",AU76=0),"",(AU76-BH76)/AU76)</f>
        <v/>
      </c>
      <c r="BJ76" s="81"/>
      <c r="BK76" s="83"/>
      <c r="BL76" s="43" t="str">
        <f aca="false">IFERROR(INDEX(ЗАКАЗЫ!$N$3:$N$500,MATCH($A76,ЗАКАЗЫ!$F$3:$F$500,0)),"")</f>
        <v/>
      </c>
      <c r="BM76" s="8" t="str">
        <f aca="false">IF(BL76="","",IFERROR(VLOOKUP(BL76,'ТН ВЭД'!$A$4:$C$40,3,0),""))</f>
        <v/>
      </c>
      <c r="BN76" s="7" t="str">
        <f aca="false">IF(COUNTIF(ЗАКАЗЫ!$F$3:$F$500,$A76)=0,"",SUMIF(ЗАКАЗЫ!$F$3:$F$500,$A76,ЗАКАЗЫ!$J$3:$J$500))</f>
        <v/>
      </c>
      <c r="BO76" s="7" t="str">
        <f aca="false">IF(BN76="","",SUMIF(ЗАКАЗЫ!$F$3:$F$500,$A76,ЗАКАЗЫ!$AL$3:$AL$500))</f>
        <v/>
      </c>
      <c r="BP76" s="7" t="str">
        <f aca="false">IF(BN76="","",BN76-BO76)</f>
        <v/>
      </c>
      <c r="BQ76" s="55" t="str">
        <f aca="false">IF(BN76="","",IF(BO76&gt;=BN76,"На складе",IF(BO76&gt;0,"Частично","Ждём")))</f>
        <v/>
      </c>
      <c r="BR76" s="43"/>
      <c r="BS76" s="47" t="str">
        <f aca="false">IF(BN76="","",IF(_xlfn.MAXIFS(ЗАКАЗЫ!$AK$3:$AK$500,ЗАКАЗЫ!$F$3:$F$500,$A76)=0,"",_xlfn.MAXIFS(ЗАКАЗЫ!$AK$3:$AK$500,ЗАКАЗЫ!$F$3:$F$500,$A76)))</f>
        <v/>
      </c>
    </row>
    <row r="77" customFormat="false" ht="15.75" hidden="false" customHeight="true" outlineLevel="0" collapsed="false">
      <c r="A77" s="80" t="s">
        <v>1600</v>
      </c>
      <c r="B77" s="81"/>
      <c r="C77" s="81"/>
      <c r="D77" s="81"/>
      <c r="E77" s="83"/>
      <c r="F77" s="81"/>
      <c r="G77" s="83"/>
      <c r="H77" s="83"/>
      <c r="I77" s="84" t="str">
        <f aca="false">IF(E77="","",A77&amp;"_1.jpg")</f>
        <v/>
      </c>
      <c r="J77" s="84" t="str">
        <f aca="false">IF(E77="","",A77&amp;"_2.jpg; "&amp;A77&amp;"_3.jpg")</f>
        <v/>
      </c>
      <c r="K77" s="84" t="str">
        <f aca="false">IF(E77="","",A77&amp;"_schema.jpg")</f>
        <v/>
      </c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 t="s">
        <v>96</v>
      </c>
      <c r="W77" s="81"/>
      <c r="X77" s="81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6" t="str">
        <f aca="false">IF(SUM(Y77:AJ77)=0,"",SUM(Y77:AJ77))</f>
        <v/>
      </c>
      <c r="AL77" s="84" t="str">
        <f aca="false">MID(IF(N(Y77)&gt;0,", "&amp;Y$2,"")&amp;IF(N(Z77)&gt;0,", "&amp;Z$2,"")&amp;IF(N(AA77)&gt;0,", "&amp;AA$2,"")&amp;IF(N(AB77)&gt;0,", "&amp;AB$2,"")&amp;IF(N(AC77)&gt;0,", "&amp;AC$2,"")&amp;IF(N(AD77)&gt;0,", "&amp;AD$2,"")&amp;IF(N(AE77)&gt;0,", "&amp;AE$2,"")&amp;IF(N(AF77)&gt;0,", "&amp;AF$2,"")&amp;IF(N(AG77)&gt;0,", "&amp;AG$2,"")&amp;IF(N(AH77)&gt;0,", "&amp;AH$2,"")&amp;IF(N(AI77)&gt;0,", "&amp;AI$2,"")&amp;IF(N(AJ77)&gt;0,", "&amp;AJ$2,""),3,999)</f>
        <v/>
      </c>
      <c r="AM77" s="87" t="str">
        <f aca="false">IF(E77="","",MID(IF(N(Y77)&gt;0,", "&amp;A77&amp;"-"&amp;Y$2,"")&amp;IF(N(Z77)&gt;0,", "&amp;A77&amp;"-"&amp;Z$2,"")&amp;IF(N(AA77)&gt;0,", "&amp;A77&amp;"-"&amp;AA$2,"")&amp;IF(N(AB77)&gt;0,", "&amp;A77&amp;"-"&amp;AB$2,"")&amp;IF(N(AC77)&gt;0,", "&amp;A77&amp;"-"&amp;AC$2,"")&amp;IF(N(AD77)&gt;0,", "&amp;A77&amp;"-"&amp;AD$2,"")&amp;IF(N(AE77)&gt;0,", "&amp;A77&amp;"-"&amp;AE$2,"")&amp;IF(N(AF77)&gt;0,", "&amp;A77&amp;"-"&amp;AF$2,"")&amp;IF(N(AG77)&gt;0,", "&amp;A77&amp;"-"&amp;AG$2,"")&amp;IF(N(AH77)&gt;0,", "&amp;A77&amp;"-"&amp;AH$2,"")&amp;IF(N(AI77)&gt;0,", "&amp;A77&amp;"-"&amp;AI$2,"")&amp;IF(N(AJ77)&gt;0,", "&amp;A77&amp;"-"&amp;AJ$2,""),3,999))</f>
        <v/>
      </c>
      <c r="AN77" s="81"/>
      <c r="AO77" s="88"/>
      <c r="AP77" s="89" t="str">
        <f aca="false">IF(AO77="","",ROUND(AO77/(1+Справочники!$B$13),2))</f>
        <v/>
      </c>
      <c r="AQ77" s="90" t="str">
        <f aca="false" t="array" ref="AQ77:AQ77">IF(AP77="","",AP77*INDEX(Справочники!$B$4:$B$7,MATCH("RUB",Справочники!$A$4:$A$7,0)))</f>
        <v/>
      </c>
      <c r="AR77" s="90" t="str">
        <f aca="false">IF(AQ77="","",ROUND(AQ77*(1+Справочники!$B$12),0))</f>
        <v/>
      </c>
      <c r="AS77" s="90" t="str">
        <f aca="false">IF(AR77="","",ROUND(AR77*(1-Справочники!$B$11),0))</f>
        <v/>
      </c>
      <c r="AT77" s="88"/>
      <c r="AU77" s="90" t="str">
        <f aca="false">IF(AT77="","",ROUND(AT77/(1+Справочники!$B$12),0))</f>
        <v/>
      </c>
      <c r="AV77" s="90" t="str">
        <f aca="false">IF(AT77="","",ROUND(AT77*(1-Справочники!$B$15),0))</f>
        <v/>
      </c>
      <c r="AW77" s="90" t="str">
        <f aca="false">IF(AT77="","",ROUND(AT77*(1-Справочники!$B$16),0))</f>
        <v/>
      </c>
      <c r="AX77" s="90" t="str">
        <f aca="false">IF(AT77="","",ROUND(AT77*(1-Справочники!$B$17),0))</f>
        <v/>
      </c>
      <c r="AY77" s="90" t="str">
        <f aca="false">IF(AT77="","",ROUND(AT77*(1-Справочники!$B$18),0))</f>
        <v/>
      </c>
      <c r="AZ77" s="90" t="str">
        <f aca="false">IF(AT77="","",ROUND(AT77*(1-Справочники!$B$19),0))</f>
        <v/>
      </c>
      <c r="BA77" s="81"/>
      <c r="BB77" s="81"/>
      <c r="BC77" s="81"/>
      <c r="BD77" s="81"/>
      <c r="BE77" s="91"/>
      <c r="BF77" s="81" t="s">
        <v>103</v>
      </c>
      <c r="BG77" s="89" t="n">
        <f aca="false" t="array" ref="BG77:BG77">IF(BF77="","",IFERROR(INDEX(Справочники!$B$4:$B$7,MATCH(BF77,Справочники!$A$4:$A$7,0)),""))</f>
        <v>68.5</v>
      </c>
      <c r="BH77" s="90" t="str">
        <f aca="false">IF(N(BN77)&gt;0,ROUND(SUMIF(ЗАКАЗЫ!$F$3:$F$500,$A77,ЗАКАЗЫ!$Y$3:$Y$500)/BN77,0),IF(OR(BE77="",BG77=""),"",ROUND(BE77*BG77*(1+Справочники!$B$10),0)))</f>
        <v/>
      </c>
      <c r="BI77" s="92" t="str">
        <f aca="false">IF(OR(AU77="",BH77="",AU77=0),"",(AU77-BH77)/AU77)</f>
        <v/>
      </c>
      <c r="BJ77" s="81"/>
      <c r="BK77" s="83"/>
      <c r="BL77" s="43" t="str">
        <f aca="false">IFERROR(INDEX(ЗАКАЗЫ!$N$3:$N$500,MATCH($A77,ЗАКАЗЫ!$F$3:$F$500,0)),"")</f>
        <v/>
      </c>
      <c r="BM77" s="8" t="str">
        <f aca="false">IF(BL77="","",IFERROR(VLOOKUP(BL77,'ТН ВЭД'!$A$4:$C$40,3,0),""))</f>
        <v/>
      </c>
      <c r="BN77" s="7" t="str">
        <f aca="false">IF(COUNTIF(ЗАКАЗЫ!$F$3:$F$500,$A77)=0,"",SUMIF(ЗАКАЗЫ!$F$3:$F$500,$A77,ЗАКАЗЫ!$J$3:$J$500))</f>
        <v/>
      </c>
      <c r="BO77" s="7" t="str">
        <f aca="false">IF(BN77="","",SUMIF(ЗАКАЗЫ!$F$3:$F$500,$A77,ЗАКАЗЫ!$AL$3:$AL$500))</f>
        <v/>
      </c>
      <c r="BP77" s="7" t="str">
        <f aca="false">IF(BN77="","",BN77-BO77)</f>
        <v/>
      </c>
      <c r="BQ77" s="55" t="str">
        <f aca="false">IF(BN77="","",IF(BO77&gt;=BN77,"На складе",IF(BO77&gt;0,"Частично","Ждём")))</f>
        <v/>
      </c>
      <c r="BR77" s="43"/>
      <c r="BS77" s="47" t="str">
        <f aca="false">IF(BN77="","",IF(_xlfn.MAXIFS(ЗАКАЗЫ!$AK$3:$AK$500,ЗАКАЗЫ!$F$3:$F$500,$A77)=0,"",_xlfn.MAXIFS(ЗАКАЗЫ!$AK$3:$AK$500,ЗАКАЗЫ!$F$3:$F$500,$A77)))</f>
        <v/>
      </c>
    </row>
    <row r="78" customFormat="false" ht="15.75" hidden="false" customHeight="true" outlineLevel="0" collapsed="false">
      <c r="A78" s="80" t="s">
        <v>1601</v>
      </c>
      <c r="B78" s="81"/>
      <c r="C78" s="81"/>
      <c r="D78" s="81"/>
      <c r="E78" s="83"/>
      <c r="F78" s="81"/>
      <c r="G78" s="83"/>
      <c r="H78" s="83"/>
      <c r="I78" s="84" t="str">
        <f aca="false">IF(E78="","",A78&amp;"_1.jpg")</f>
        <v/>
      </c>
      <c r="J78" s="84" t="str">
        <f aca="false">IF(E78="","",A78&amp;"_2.jpg; "&amp;A78&amp;"_3.jpg")</f>
        <v/>
      </c>
      <c r="K78" s="84" t="str">
        <f aca="false">IF(E78="","",A78&amp;"_schema.jpg")</f>
        <v/>
      </c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 t="s">
        <v>96</v>
      </c>
      <c r="W78" s="81"/>
      <c r="X78" s="81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6" t="str">
        <f aca="false">IF(SUM(Y78:AJ78)=0,"",SUM(Y78:AJ78))</f>
        <v/>
      </c>
      <c r="AL78" s="84" t="str">
        <f aca="false">MID(IF(N(Y78)&gt;0,", "&amp;Y$2,"")&amp;IF(N(Z78)&gt;0,", "&amp;Z$2,"")&amp;IF(N(AA78)&gt;0,", "&amp;AA$2,"")&amp;IF(N(AB78)&gt;0,", "&amp;AB$2,"")&amp;IF(N(AC78)&gt;0,", "&amp;AC$2,"")&amp;IF(N(AD78)&gt;0,", "&amp;AD$2,"")&amp;IF(N(AE78)&gt;0,", "&amp;AE$2,"")&amp;IF(N(AF78)&gt;0,", "&amp;AF$2,"")&amp;IF(N(AG78)&gt;0,", "&amp;AG$2,"")&amp;IF(N(AH78)&gt;0,", "&amp;AH$2,"")&amp;IF(N(AI78)&gt;0,", "&amp;AI$2,"")&amp;IF(N(AJ78)&gt;0,", "&amp;AJ$2,""),3,999)</f>
        <v/>
      </c>
      <c r="AM78" s="87" t="str">
        <f aca="false">IF(E78="","",MID(IF(N(Y78)&gt;0,", "&amp;A78&amp;"-"&amp;Y$2,"")&amp;IF(N(Z78)&gt;0,", "&amp;A78&amp;"-"&amp;Z$2,"")&amp;IF(N(AA78)&gt;0,", "&amp;A78&amp;"-"&amp;AA$2,"")&amp;IF(N(AB78)&gt;0,", "&amp;A78&amp;"-"&amp;AB$2,"")&amp;IF(N(AC78)&gt;0,", "&amp;A78&amp;"-"&amp;AC$2,"")&amp;IF(N(AD78)&gt;0,", "&amp;A78&amp;"-"&amp;AD$2,"")&amp;IF(N(AE78)&gt;0,", "&amp;A78&amp;"-"&amp;AE$2,"")&amp;IF(N(AF78)&gt;0,", "&amp;A78&amp;"-"&amp;AF$2,"")&amp;IF(N(AG78)&gt;0,", "&amp;A78&amp;"-"&amp;AG$2,"")&amp;IF(N(AH78)&gt;0,", "&amp;A78&amp;"-"&amp;AH$2,"")&amp;IF(N(AI78)&gt;0,", "&amp;A78&amp;"-"&amp;AI$2,"")&amp;IF(N(AJ78)&gt;0,", "&amp;A78&amp;"-"&amp;AJ$2,""),3,999))</f>
        <v/>
      </c>
      <c r="AN78" s="81"/>
      <c r="AO78" s="88"/>
      <c r="AP78" s="89" t="str">
        <f aca="false">IF(AO78="","",ROUND(AO78/(1+Справочники!$B$13),2))</f>
        <v/>
      </c>
      <c r="AQ78" s="90" t="str">
        <f aca="false" t="array" ref="AQ78:AQ78">IF(AP78="","",AP78*INDEX(Справочники!$B$4:$B$7,MATCH("RUB",Справочники!$A$4:$A$7,0)))</f>
        <v/>
      </c>
      <c r="AR78" s="90" t="str">
        <f aca="false">IF(AQ78="","",ROUND(AQ78*(1+Справочники!$B$12),0))</f>
        <v/>
      </c>
      <c r="AS78" s="90" t="str">
        <f aca="false">IF(AR78="","",ROUND(AR78*(1-Справочники!$B$11),0))</f>
        <v/>
      </c>
      <c r="AT78" s="88"/>
      <c r="AU78" s="90" t="str">
        <f aca="false">IF(AT78="","",ROUND(AT78/(1+Справочники!$B$12),0))</f>
        <v/>
      </c>
      <c r="AV78" s="90" t="str">
        <f aca="false">IF(AT78="","",ROUND(AT78*(1-Справочники!$B$15),0))</f>
        <v/>
      </c>
      <c r="AW78" s="90" t="str">
        <f aca="false">IF(AT78="","",ROUND(AT78*(1-Справочники!$B$16),0))</f>
        <v/>
      </c>
      <c r="AX78" s="90" t="str">
        <f aca="false">IF(AT78="","",ROUND(AT78*(1-Справочники!$B$17),0))</f>
        <v/>
      </c>
      <c r="AY78" s="90" t="str">
        <f aca="false">IF(AT78="","",ROUND(AT78*(1-Справочники!$B$18),0))</f>
        <v/>
      </c>
      <c r="AZ78" s="90" t="str">
        <f aca="false">IF(AT78="","",ROUND(AT78*(1-Справочники!$B$19),0))</f>
        <v/>
      </c>
      <c r="BA78" s="81"/>
      <c r="BB78" s="81"/>
      <c r="BC78" s="81"/>
      <c r="BD78" s="81"/>
      <c r="BE78" s="91"/>
      <c r="BF78" s="81" t="s">
        <v>103</v>
      </c>
      <c r="BG78" s="89" t="n">
        <f aca="false" t="array" ref="BG78:BG78">IF(BF78="","",IFERROR(INDEX(Справочники!$B$4:$B$7,MATCH(BF78,Справочники!$A$4:$A$7,0)),""))</f>
        <v>68.5</v>
      </c>
      <c r="BH78" s="90" t="str">
        <f aca="false">IF(N(BN78)&gt;0,ROUND(SUMIF(ЗАКАЗЫ!$F$3:$F$500,$A78,ЗАКАЗЫ!$Y$3:$Y$500)/BN78,0),IF(OR(BE78="",BG78=""),"",ROUND(BE78*BG78*(1+Справочники!$B$10),0)))</f>
        <v/>
      </c>
      <c r="BI78" s="92" t="str">
        <f aca="false">IF(OR(AU78="",BH78="",AU78=0),"",(AU78-BH78)/AU78)</f>
        <v/>
      </c>
      <c r="BJ78" s="81"/>
      <c r="BK78" s="83"/>
      <c r="BL78" s="43" t="str">
        <f aca="false">IFERROR(INDEX(ЗАКАЗЫ!$N$3:$N$500,MATCH($A78,ЗАКАЗЫ!$F$3:$F$500,0)),"")</f>
        <v/>
      </c>
      <c r="BM78" s="8" t="str">
        <f aca="false">IF(BL78="","",IFERROR(VLOOKUP(BL78,'ТН ВЭД'!$A$4:$C$40,3,0),""))</f>
        <v/>
      </c>
      <c r="BN78" s="7" t="str">
        <f aca="false">IF(COUNTIF(ЗАКАЗЫ!$F$3:$F$500,$A78)=0,"",SUMIF(ЗАКАЗЫ!$F$3:$F$500,$A78,ЗАКАЗЫ!$J$3:$J$500))</f>
        <v/>
      </c>
      <c r="BO78" s="7" t="str">
        <f aca="false">IF(BN78="","",SUMIF(ЗАКАЗЫ!$F$3:$F$500,$A78,ЗАКАЗЫ!$AL$3:$AL$500))</f>
        <v/>
      </c>
      <c r="BP78" s="7" t="str">
        <f aca="false">IF(BN78="","",BN78-BO78)</f>
        <v/>
      </c>
      <c r="BQ78" s="55" t="str">
        <f aca="false">IF(BN78="","",IF(BO78&gt;=BN78,"На складе",IF(BO78&gt;0,"Частично","Ждём")))</f>
        <v/>
      </c>
      <c r="BR78" s="43"/>
      <c r="BS78" s="47" t="str">
        <f aca="false">IF(BN78="","",IF(_xlfn.MAXIFS(ЗАКАЗЫ!$AK$3:$AK$500,ЗАКАЗЫ!$F$3:$F$500,$A78)=0,"",_xlfn.MAXIFS(ЗАКАЗЫ!$AK$3:$AK$500,ЗАКАЗЫ!$F$3:$F$500,$A78)))</f>
        <v/>
      </c>
    </row>
    <row r="79" customFormat="false" ht="15.75" hidden="false" customHeight="true" outlineLevel="0" collapsed="false">
      <c r="A79" s="80" t="s">
        <v>1602</v>
      </c>
      <c r="B79" s="81"/>
      <c r="C79" s="81"/>
      <c r="D79" s="81"/>
      <c r="E79" s="83"/>
      <c r="F79" s="81"/>
      <c r="G79" s="83"/>
      <c r="H79" s="83"/>
      <c r="I79" s="84" t="str">
        <f aca="false">IF(E79="","",A79&amp;"_1.jpg")</f>
        <v/>
      </c>
      <c r="J79" s="84" t="str">
        <f aca="false">IF(E79="","",A79&amp;"_2.jpg; "&amp;A79&amp;"_3.jpg")</f>
        <v/>
      </c>
      <c r="K79" s="84" t="str">
        <f aca="false">IF(E79="","",A79&amp;"_schema.jpg")</f>
        <v/>
      </c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 t="s">
        <v>96</v>
      </c>
      <c r="W79" s="81"/>
      <c r="X79" s="81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6" t="str">
        <f aca="false">IF(SUM(Y79:AJ79)=0,"",SUM(Y79:AJ79))</f>
        <v/>
      </c>
      <c r="AL79" s="84" t="str">
        <f aca="false">MID(IF(N(Y79)&gt;0,", "&amp;Y$2,"")&amp;IF(N(Z79)&gt;0,", "&amp;Z$2,"")&amp;IF(N(AA79)&gt;0,", "&amp;AA$2,"")&amp;IF(N(AB79)&gt;0,", "&amp;AB$2,"")&amp;IF(N(AC79)&gt;0,", "&amp;AC$2,"")&amp;IF(N(AD79)&gt;0,", "&amp;AD$2,"")&amp;IF(N(AE79)&gt;0,", "&amp;AE$2,"")&amp;IF(N(AF79)&gt;0,", "&amp;AF$2,"")&amp;IF(N(AG79)&gt;0,", "&amp;AG$2,"")&amp;IF(N(AH79)&gt;0,", "&amp;AH$2,"")&amp;IF(N(AI79)&gt;0,", "&amp;AI$2,"")&amp;IF(N(AJ79)&gt;0,", "&amp;AJ$2,""),3,999)</f>
        <v/>
      </c>
      <c r="AM79" s="87" t="str">
        <f aca="false">IF(E79="","",MID(IF(N(Y79)&gt;0,", "&amp;A79&amp;"-"&amp;Y$2,"")&amp;IF(N(Z79)&gt;0,", "&amp;A79&amp;"-"&amp;Z$2,"")&amp;IF(N(AA79)&gt;0,", "&amp;A79&amp;"-"&amp;AA$2,"")&amp;IF(N(AB79)&gt;0,", "&amp;A79&amp;"-"&amp;AB$2,"")&amp;IF(N(AC79)&gt;0,", "&amp;A79&amp;"-"&amp;AC$2,"")&amp;IF(N(AD79)&gt;0,", "&amp;A79&amp;"-"&amp;AD$2,"")&amp;IF(N(AE79)&gt;0,", "&amp;A79&amp;"-"&amp;AE$2,"")&amp;IF(N(AF79)&gt;0,", "&amp;A79&amp;"-"&amp;AF$2,"")&amp;IF(N(AG79)&gt;0,", "&amp;A79&amp;"-"&amp;AG$2,"")&amp;IF(N(AH79)&gt;0,", "&amp;A79&amp;"-"&amp;AH$2,"")&amp;IF(N(AI79)&gt;0,", "&amp;A79&amp;"-"&amp;AI$2,"")&amp;IF(N(AJ79)&gt;0,", "&amp;A79&amp;"-"&amp;AJ$2,""),3,999))</f>
        <v/>
      </c>
      <c r="AN79" s="81"/>
      <c r="AO79" s="88"/>
      <c r="AP79" s="89" t="str">
        <f aca="false">IF(AO79="","",ROUND(AO79/(1+Справочники!$B$13),2))</f>
        <v/>
      </c>
      <c r="AQ79" s="90" t="str">
        <f aca="false" t="array" ref="AQ79:AQ79">IF(AP79="","",AP79*INDEX(Справочники!$B$4:$B$7,MATCH("RUB",Справочники!$A$4:$A$7,0)))</f>
        <v/>
      </c>
      <c r="AR79" s="90" t="str">
        <f aca="false">IF(AQ79="","",ROUND(AQ79*(1+Справочники!$B$12),0))</f>
        <v/>
      </c>
      <c r="AS79" s="90" t="str">
        <f aca="false">IF(AR79="","",ROUND(AR79*(1-Справочники!$B$11),0))</f>
        <v/>
      </c>
      <c r="AT79" s="88"/>
      <c r="AU79" s="90" t="str">
        <f aca="false">IF(AT79="","",ROUND(AT79/(1+Справочники!$B$12),0))</f>
        <v/>
      </c>
      <c r="AV79" s="90" t="str">
        <f aca="false">IF(AT79="","",ROUND(AT79*(1-Справочники!$B$15),0))</f>
        <v/>
      </c>
      <c r="AW79" s="90" t="str">
        <f aca="false">IF(AT79="","",ROUND(AT79*(1-Справочники!$B$16),0))</f>
        <v/>
      </c>
      <c r="AX79" s="90" t="str">
        <f aca="false">IF(AT79="","",ROUND(AT79*(1-Справочники!$B$17),0))</f>
        <v/>
      </c>
      <c r="AY79" s="90" t="str">
        <f aca="false">IF(AT79="","",ROUND(AT79*(1-Справочники!$B$18),0))</f>
        <v/>
      </c>
      <c r="AZ79" s="90" t="str">
        <f aca="false">IF(AT79="","",ROUND(AT79*(1-Справочники!$B$19),0))</f>
        <v/>
      </c>
      <c r="BA79" s="81"/>
      <c r="BB79" s="81"/>
      <c r="BC79" s="81"/>
      <c r="BD79" s="81"/>
      <c r="BE79" s="91"/>
      <c r="BF79" s="81" t="s">
        <v>103</v>
      </c>
      <c r="BG79" s="89" t="n">
        <f aca="false" t="array" ref="BG79:BG79">IF(BF79="","",IFERROR(INDEX(Справочники!$B$4:$B$7,MATCH(BF79,Справочники!$A$4:$A$7,0)),""))</f>
        <v>68.5</v>
      </c>
      <c r="BH79" s="90" t="str">
        <f aca="false">IF(N(BN79)&gt;0,ROUND(SUMIF(ЗАКАЗЫ!$F$3:$F$500,$A79,ЗАКАЗЫ!$Y$3:$Y$500)/BN79,0),IF(OR(BE79="",BG79=""),"",ROUND(BE79*BG79*(1+Справочники!$B$10),0)))</f>
        <v/>
      </c>
      <c r="BI79" s="92" t="str">
        <f aca="false">IF(OR(AU79="",BH79="",AU79=0),"",(AU79-BH79)/AU79)</f>
        <v/>
      </c>
      <c r="BJ79" s="81"/>
      <c r="BK79" s="83"/>
      <c r="BL79" s="43" t="str">
        <f aca="false">IFERROR(INDEX(ЗАКАЗЫ!$N$3:$N$500,MATCH($A79,ЗАКАЗЫ!$F$3:$F$500,0)),"")</f>
        <v/>
      </c>
      <c r="BM79" s="8" t="str">
        <f aca="false">IF(BL79="","",IFERROR(VLOOKUP(BL79,'ТН ВЭД'!$A$4:$C$40,3,0),""))</f>
        <v/>
      </c>
      <c r="BN79" s="7" t="str">
        <f aca="false">IF(COUNTIF(ЗАКАЗЫ!$F$3:$F$500,$A79)=0,"",SUMIF(ЗАКАЗЫ!$F$3:$F$500,$A79,ЗАКАЗЫ!$J$3:$J$500))</f>
        <v/>
      </c>
      <c r="BO79" s="7" t="str">
        <f aca="false">IF(BN79="","",SUMIF(ЗАКАЗЫ!$F$3:$F$500,$A79,ЗАКАЗЫ!$AL$3:$AL$500))</f>
        <v/>
      </c>
      <c r="BP79" s="7" t="str">
        <f aca="false">IF(BN79="","",BN79-BO79)</f>
        <v/>
      </c>
      <c r="BQ79" s="55" t="str">
        <f aca="false">IF(BN79="","",IF(BO79&gt;=BN79,"На складе",IF(BO79&gt;0,"Частично","Ждём")))</f>
        <v/>
      </c>
      <c r="BR79" s="43"/>
      <c r="BS79" s="47" t="str">
        <f aca="false">IF(BN79="","",IF(_xlfn.MAXIFS(ЗАКАЗЫ!$AK$3:$AK$500,ЗАКАЗЫ!$F$3:$F$500,$A79)=0,"",_xlfn.MAXIFS(ЗАКАЗЫ!$AK$3:$AK$500,ЗАКАЗЫ!$F$3:$F$500,$A79)))</f>
        <v/>
      </c>
    </row>
    <row r="80" customFormat="false" ht="15.75" hidden="false" customHeight="true" outlineLevel="0" collapsed="false">
      <c r="A80" s="80" t="s">
        <v>1603</v>
      </c>
      <c r="B80" s="81"/>
      <c r="C80" s="81"/>
      <c r="D80" s="81"/>
      <c r="E80" s="83"/>
      <c r="F80" s="81"/>
      <c r="G80" s="83"/>
      <c r="H80" s="83"/>
      <c r="I80" s="84" t="str">
        <f aca="false">IF(E80="","",A80&amp;"_1.jpg")</f>
        <v/>
      </c>
      <c r="J80" s="84" t="str">
        <f aca="false">IF(E80="","",A80&amp;"_2.jpg; "&amp;A80&amp;"_3.jpg")</f>
        <v/>
      </c>
      <c r="K80" s="84" t="str">
        <f aca="false">IF(E80="","",A80&amp;"_schema.jpg")</f>
        <v/>
      </c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 t="s">
        <v>96</v>
      </c>
      <c r="W80" s="81"/>
      <c r="X80" s="81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6" t="str">
        <f aca="false">IF(SUM(Y80:AJ80)=0,"",SUM(Y80:AJ80))</f>
        <v/>
      </c>
      <c r="AL80" s="84" t="str">
        <f aca="false">MID(IF(N(Y80)&gt;0,", "&amp;Y$2,"")&amp;IF(N(Z80)&gt;0,", "&amp;Z$2,"")&amp;IF(N(AA80)&gt;0,", "&amp;AA$2,"")&amp;IF(N(AB80)&gt;0,", "&amp;AB$2,"")&amp;IF(N(AC80)&gt;0,", "&amp;AC$2,"")&amp;IF(N(AD80)&gt;0,", "&amp;AD$2,"")&amp;IF(N(AE80)&gt;0,", "&amp;AE$2,"")&amp;IF(N(AF80)&gt;0,", "&amp;AF$2,"")&amp;IF(N(AG80)&gt;0,", "&amp;AG$2,"")&amp;IF(N(AH80)&gt;0,", "&amp;AH$2,"")&amp;IF(N(AI80)&gt;0,", "&amp;AI$2,"")&amp;IF(N(AJ80)&gt;0,", "&amp;AJ$2,""),3,999)</f>
        <v/>
      </c>
      <c r="AM80" s="87" t="str">
        <f aca="false">IF(E80="","",MID(IF(N(Y80)&gt;0,", "&amp;A80&amp;"-"&amp;Y$2,"")&amp;IF(N(Z80)&gt;0,", "&amp;A80&amp;"-"&amp;Z$2,"")&amp;IF(N(AA80)&gt;0,", "&amp;A80&amp;"-"&amp;AA$2,"")&amp;IF(N(AB80)&gt;0,", "&amp;A80&amp;"-"&amp;AB$2,"")&amp;IF(N(AC80)&gt;0,", "&amp;A80&amp;"-"&amp;AC$2,"")&amp;IF(N(AD80)&gt;0,", "&amp;A80&amp;"-"&amp;AD$2,"")&amp;IF(N(AE80)&gt;0,", "&amp;A80&amp;"-"&amp;AE$2,"")&amp;IF(N(AF80)&gt;0,", "&amp;A80&amp;"-"&amp;AF$2,"")&amp;IF(N(AG80)&gt;0,", "&amp;A80&amp;"-"&amp;AG$2,"")&amp;IF(N(AH80)&gt;0,", "&amp;A80&amp;"-"&amp;AH$2,"")&amp;IF(N(AI80)&gt;0,", "&amp;A80&amp;"-"&amp;AI$2,"")&amp;IF(N(AJ80)&gt;0,", "&amp;A80&amp;"-"&amp;AJ$2,""),3,999))</f>
        <v/>
      </c>
      <c r="AN80" s="81"/>
      <c r="AO80" s="88"/>
      <c r="AP80" s="89" t="str">
        <f aca="false">IF(AO80="","",ROUND(AO80/(1+Справочники!$B$13),2))</f>
        <v/>
      </c>
      <c r="AQ80" s="90" t="str">
        <f aca="false" t="array" ref="AQ80:AQ80">IF(AP80="","",AP80*INDEX(Справочники!$B$4:$B$7,MATCH("RUB",Справочники!$A$4:$A$7,0)))</f>
        <v/>
      </c>
      <c r="AR80" s="90" t="str">
        <f aca="false">IF(AQ80="","",ROUND(AQ80*(1+Справочники!$B$12),0))</f>
        <v/>
      </c>
      <c r="AS80" s="90" t="str">
        <f aca="false">IF(AR80="","",ROUND(AR80*(1-Справочники!$B$11),0))</f>
        <v/>
      </c>
      <c r="AT80" s="88"/>
      <c r="AU80" s="90" t="str">
        <f aca="false">IF(AT80="","",ROUND(AT80/(1+Справочники!$B$12),0))</f>
        <v/>
      </c>
      <c r="AV80" s="90" t="str">
        <f aca="false">IF(AT80="","",ROUND(AT80*(1-Справочники!$B$15),0))</f>
        <v/>
      </c>
      <c r="AW80" s="90" t="str">
        <f aca="false">IF(AT80="","",ROUND(AT80*(1-Справочники!$B$16),0))</f>
        <v/>
      </c>
      <c r="AX80" s="90" t="str">
        <f aca="false">IF(AT80="","",ROUND(AT80*(1-Справочники!$B$17),0))</f>
        <v/>
      </c>
      <c r="AY80" s="90" t="str">
        <f aca="false">IF(AT80="","",ROUND(AT80*(1-Справочники!$B$18),0))</f>
        <v/>
      </c>
      <c r="AZ80" s="90" t="str">
        <f aca="false">IF(AT80="","",ROUND(AT80*(1-Справочники!$B$19),0))</f>
        <v/>
      </c>
      <c r="BA80" s="81"/>
      <c r="BB80" s="81"/>
      <c r="BC80" s="81"/>
      <c r="BD80" s="81"/>
      <c r="BE80" s="91"/>
      <c r="BF80" s="81" t="s">
        <v>103</v>
      </c>
      <c r="BG80" s="89" t="n">
        <f aca="false" t="array" ref="BG80:BG80">IF(BF80="","",IFERROR(INDEX(Справочники!$B$4:$B$7,MATCH(BF80,Справочники!$A$4:$A$7,0)),""))</f>
        <v>68.5</v>
      </c>
      <c r="BH80" s="90" t="str">
        <f aca="false">IF(N(BN80)&gt;0,ROUND(SUMIF(ЗАКАЗЫ!$F$3:$F$500,$A80,ЗАКАЗЫ!$Y$3:$Y$500)/BN80,0),IF(OR(BE80="",BG80=""),"",ROUND(BE80*BG80*(1+Справочники!$B$10),0)))</f>
        <v/>
      </c>
      <c r="BI80" s="92" t="str">
        <f aca="false">IF(OR(AU80="",BH80="",AU80=0),"",(AU80-BH80)/AU80)</f>
        <v/>
      </c>
      <c r="BJ80" s="81"/>
      <c r="BK80" s="83"/>
      <c r="BL80" s="43" t="str">
        <f aca="false">IFERROR(INDEX(ЗАКАЗЫ!$N$3:$N$500,MATCH($A80,ЗАКАЗЫ!$F$3:$F$500,0)),"")</f>
        <v/>
      </c>
      <c r="BM80" s="8" t="str">
        <f aca="false">IF(BL80="","",IFERROR(VLOOKUP(BL80,'ТН ВЭД'!$A$4:$C$40,3,0),""))</f>
        <v/>
      </c>
      <c r="BN80" s="7" t="str">
        <f aca="false">IF(COUNTIF(ЗАКАЗЫ!$F$3:$F$500,$A80)=0,"",SUMIF(ЗАКАЗЫ!$F$3:$F$500,$A80,ЗАКАЗЫ!$J$3:$J$500))</f>
        <v/>
      </c>
      <c r="BO80" s="7" t="str">
        <f aca="false">IF(BN80="","",SUMIF(ЗАКАЗЫ!$F$3:$F$500,$A80,ЗАКАЗЫ!$AL$3:$AL$500))</f>
        <v/>
      </c>
      <c r="BP80" s="7" t="str">
        <f aca="false">IF(BN80="","",BN80-BO80)</f>
        <v/>
      </c>
      <c r="BQ80" s="55" t="str">
        <f aca="false">IF(BN80="","",IF(BO80&gt;=BN80,"На складе",IF(BO80&gt;0,"Частично","Ждём")))</f>
        <v/>
      </c>
      <c r="BR80" s="43"/>
      <c r="BS80" s="47" t="str">
        <f aca="false">IF(BN80="","",IF(_xlfn.MAXIFS(ЗАКАЗЫ!$AK$3:$AK$500,ЗАКАЗЫ!$F$3:$F$500,$A80)=0,"",_xlfn.MAXIFS(ЗАКАЗЫ!$AK$3:$AK$500,ЗАКАЗЫ!$F$3:$F$500,$A80)))</f>
        <v/>
      </c>
    </row>
    <row r="81" customFormat="false" ht="15.75" hidden="false" customHeight="true" outlineLevel="0" collapsed="false">
      <c r="A81" s="80" t="s">
        <v>1604</v>
      </c>
      <c r="B81" s="81"/>
      <c r="C81" s="81"/>
      <c r="D81" s="81"/>
      <c r="E81" s="83"/>
      <c r="F81" s="81"/>
      <c r="G81" s="83"/>
      <c r="H81" s="83"/>
      <c r="I81" s="84" t="str">
        <f aca="false">IF(E81="","",A81&amp;"_1.jpg")</f>
        <v/>
      </c>
      <c r="J81" s="84" t="str">
        <f aca="false">IF(E81="","",A81&amp;"_2.jpg; "&amp;A81&amp;"_3.jpg")</f>
        <v/>
      </c>
      <c r="K81" s="84" t="str">
        <f aca="false">IF(E81="","",A81&amp;"_schema.jpg")</f>
        <v/>
      </c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 t="s">
        <v>96</v>
      </c>
      <c r="W81" s="81"/>
      <c r="X81" s="81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6" t="str">
        <f aca="false">IF(SUM(Y81:AJ81)=0,"",SUM(Y81:AJ81))</f>
        <v/>
      </c>
      <c r="AL81" s="84" t="str">
        <f aca="false">MID(IF(N(Y81)&gt;0,", "&amp;Y$2,"")&amp;IF(N(Z81)&gt;0,", "&amp;Z$2,"")&amp;IF(N(AA81)&gt;0,", "&amp;AA$2,"")&amp;IF(N(AB81)&gt;0,", "&amp;AB$2,"")&amp;IF(N(AC81)&gt;0,", "&amp;AC$2,"")&amp;IF(N(AD81)&gt;0,", "&amp;AD$2,"")&amp;IF(N(AE81)&gt;0,", "&amp;AE$2,"")&amp;IF(N(AF81)&gt;0,", "&amp;AF$2,"")&amp;IF(N(AG81)&gt;0,", "&amp;AG$2,"")&amp;IF(N(AH81)&gt;0,", "&amp;AH$2,"")&amp;IF(N(AI81)&gt;0,", "&amp;AI$2,"")&amp;IF(N(AJ81)&gt;0,", "&amp;AJ$2,""),3,999)</f>
        <v/>
      </c>
      <c r="AM81" s="87" t="str">
        <f aca="false">IF(E81="","",MID(IF(N(Y81)&gt;0,", "&amp;A81&amp;"-"&amp;Y$2,"")&amp;IF(N(Z81)&gt;0,", "&amp;A81&amp;"-"&amp;Z$2,"")&amp;IF(N(AA81)&gt;0,", "&amp;A81&amp;"-"&amp;AA$2,"")&amp;IF(N(AB81)&gt;0,", "&amp;A81&amp;"-"&amp;AB$2,"")&amp;IF(N(AC81)&gt;0,", "&amp;A81&amp;"-"&amp;AC$2,"")&amp;IF(N(AD81)&gt;0,", "&amp;A81&amp;"-"&amp;AD$2,"")&amp;IF(N(AE81)&gt;0,", "&amp;A81&amp;"-"&amp;AE$2,"")&amp;IF(N(AF81)&gt;0,", "&amp;A81&amp;"-"&amp;AF$2,"")&amp;IF(N(AG81)&gt;0,", "&amp;A81&amp;"-"&amp;AG$2,"")&amp;IF(N(AH81)&gt;0,", "&amp;A81&amp;"-"&amp;AH$2,"")&amp;IF(N(AI81)&gt;0,", "&amp;A81&amp;"-"&amp;AI$2,"")&amp;IF(N(AJ81)&gt;0,", "&amp;A81&amp;"-"&amp;AJ$2,""),3,999))</f>
        <v/>
      </c>
      <c r="AN81" s="81"/>
      <c r="AO81" s="88"/>
      <c r="AP81" s="89" t="str">
        <f aca="false">IF(AO81="","",ROUND(AO81/(1+Справочники!$B$13),2))</f>
        <v/>
      </c>
      <c r="AQ81" s="90" t="str">
        <f aca="false" t="array" ref="AQ81:AQ81">IF(AP81="","",AP81*INDEX(Справочники!$B$4:$B$7,MATCH("RUB",Справочники!$A$4:$A$7,0)))</f>
        <v/>
      </c>
      <c r="AR81" s="90" t="str">
        <f aca="false">IF(AQ81="","",ROUND(AQ81*(1+Справочники!$B$12),0))</f>
        <v/>
      </c>
      <c r="AS81" s="90" t="str">
        <f aca="false">IF(AR81="","",ROUND(AR81*(1-Справочники!$B$11),0))</f>
        <v/>
      </c>
      <c r="AT81" s="88"/>
      <c r="AU81" s="90" t="str">
        <f aca="false">IF(AT81="","",ROUND(AT81/(1+Справочники!$B$12),0))</f>
        <v/>
      </c>
      <c r="AV81" s="90" t="str">
        <f aca="false">IF(AT81="","",ROUND(AT81*(1-Справочники!$B$15),0))</f>
        <v/>
      </c>
      <c r="AW81" s="90" t="str">
        <f aca="false">IF(AT81="","",ROUND(AT81*(1-Справочники!$B$16),0))</f>
        <v/>
      </c>
      <c r="AX81" s="90" t="str">
        <f aca="false">IF(AT81="","",ROUND(AT81*(1-Справочники!$B$17),0))</f>
        <v/>
      </c>
      <c r="AY81" s="90" t="str">
        <f aca="false">IF(AT81="","",ROUND(AT81*(1-Справочники!$B$18),0))</f>
        <v/>
      </c>
      <c r="AZ81" s="90" t="str">
        <f aca="false">IF(AT81="","",ROUND(AT81*(1-Справочники!$B$19),0))</f>
        <v/>
      </c>
      <c r="BA81" s="81"/>
      <c r="BB81" s="81"/>
      <c r="BC81" s="81"/>
      <c r="BD81" s="81"/>
      <c r="BE81" s="91"/>
      <c r="BF81" s="81" t="s">
        <v>103</v>
      </c>
      <c r="BG81" s="89" t="n">
        <f aca="false" t="array" ref="BG81:BG81">IF(BF81="","",IFERROR(INDEX(Справочники!$B$4:$B$7,MATCH(BF81,Справочники!$A$4:$A$7,0)),""))</f>
        <v>68.5</v>
      </c>
      <c r="BH81" s="90" t="str">
        <f aca="false">IF(N(BN81)&gt;0,ROUND(SUMIF(ЗАКАЗЫ!$F$3:$F$500,$A81,ЗАКАЗЫ!$Y$3:$Y$500)/BN81,0),IF(OR(BE81="",BG81=""),"",ROUND(BE81*BG81*(1+Справочники!$B$10),0)))</f>
        <v/>
      </c>
      <c r="BI81" s="92" t="str">
        <f aca="false">IF(OR(AU81="",BH81="",AU81=0),"",(AU81-BH81)/AU81)</f>
        <v/>
      </c>
      <c r="BJ81" s="81"/>
      <c r="BK81" s="83"/>
      <c r="BL81" s="43" t="str">
        <f aca="false">IFERROR(INDEX(ЗАКАЗЫ!$N$3:$N$500,MATCH($A81,ЗАКАЗЫ!$F$3:$F$500,0)),"")</f>
        <v/>
      </c>
      <c r="BM81" s="8" t="str">
        <f aca="false">IF(BL81="","",IFERROR(VLOOKUP(BL81,'ТН ВЭД'!$A$4:$C$40,3,0),""))</f>
        <v/>
      </c>
      <c r="BN81" s="7" t="str">
        <f aca="false">IF(COUNTIF(ЗАКАЗЫ!$F$3:$F$500,$A81)=0,"",SUMIF(ЗАКАЗЫ!$F$3:$F$500,$A81,ЗАКАЗЫ!$J$3:$J$500))</f>
        <v/>
      </c>
      <c r="BO81" s="7" t="str">
        <f aca="false">IF(BN81="","",SUMIF(ЗАКАЗЫ!$F$3:$F$500,$A81,ЗАКАЗЫ!$AL$3:$AL$500))</f>
        <v/>
      </c>
      <c r="BP81" s="7" t="str">
        <f aca="false">IF(BN81="","",BN81-BO81)</f>
        <v/>
      </c>
      <c r="BQ81" s="55" t="str">
        <f aca="false">IF(BN81="","",IF(BO81&gt;=BN81,"На складе",IF(BO81&gt;0,"Частично","Ждём")))</f>
        <v/>
      </c>
      <c r="BR81" s="43"/>
      <c r="BS81" s="47" t="str">
        <f aca="false">IF(BN81="","",IF(_xlfn.MAXIFS(ЗАКАЗЫ!$AK$3:$AK$500,ЗАКАЗЫ!$F$3:$F$500,$A81)=0,"",_xlfn.MAXIFS(ЗАКАЗЫ!$AK$3:$AK$500,ЗАКАЗЫ!$F$3:$F$500,$A81)))</f>
        <v/>
      </c>
    </row>
    <row r="82" customFormat="false" ht="15.75" hidden="false" customHeight="true" outlineLevel="0" collapsed="false">
      <c r="A82" s="80" t="s">
        <v>1605</v>
      </c>
      <c r="B82" s="81"/>
      <c r="C82" s="81"/>
      <c r="D82" s="81"/>
      <c r="E82" s="83"/>
      <c r="F82" s="81"/>
      <c r="G82" s="83"/>
      <c r="H82" s="83"/>
      <c r="I82" s="84" t="str">
        <f aca="false">IF(E82="","",A82&amp;"_1.jpg")</f>
        <v/>
      </c>
      <c r="J82" s="84" t="str">
        <f aca="false">IF(E82="","",A82&amp;"_2.jpg; "&amp;A82&amp;"_3.jpg")</f>
        <v/>
      </c>
      <c r="K82" s="84" t="str">
        <f aca="false">IF(E82="","",A82&amp;"_schema.jpg")</f>
        <v/>
      </c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 t="s">
        <v>96</v>
      </c>
      <c r="W82" s="81"/>
      <c r="X82" s="81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6" t="str">
        <f aca="false">IF(SUM(Y82:AJ82)=0,"",SUM(Y82:AJ82))</f>
        <v/>
      </c>
      <c r="AL82" s="84" t="str">
        <f aca="false">MID(IF(N(Y82)&gt;0,", "&amp;Y$2,"")&amp;IF(N(Z82)&gt;0,", "&amp;Z$2,"")&amp;IF(N(AA82)&gt;0,", "&amp;AA$2,"")&amp;IF(N(AB82)&gt;0,", "&amp;AB$2,"")&amp;IF(N(AC82)&gt;0,", "&amp;AC$2,"")&amp;IF(N(AD82)&gt;0,", "&amp;AD$2,"")&amp;IF(N(AE82)&gt;0,", "&amp;AE$2,"")&amp;IF(N(AF82)&gt;0,", "&amp;AF$2,"")&amp;IF(N(AG82)&gt;0,", "&amp;AG$2,"")&amp;IF(N(AH82)&gt;0,", "&amp;AH$2,"")&amp;IF(N(AI82)&gt;0,", "&amp;AI$2,"")&amp;IF(N(AJ82)&gt;0,", "&amp;AJ$2,""),3,999)</f>
        <v/>
      </c>
      <c r="AM82" s="87" t="str">
        <f aca="false">IF(E82="","",MID(IF(N(Y82)&gt;0,", "&amp;A82&amp;"-"&amp;Y$2,"")&amp;IF(N(Z82)&gt;0,", "&amp;A82&amp;"-"&amp;Z$2,"")&amp;IF(N(AA82)&gt;0,", "&amp;A82&amp;"-"&amp;AA$2,"")&amp;IF(N(AB82)&gt;0,", "&amp;A82&amp;"-"&amp;AB$2,"")&amp;IF(N(AC82)&gt;0,", "&amp;A82&amp;"-"&amp;AC$2,"")&amp;IF(N(AD82)&gt;0,", "&amp;A82&amp;"-"&amp;AD$2,"")&amp;IF(N(AE82)&gt;0,", "&amp;A82&amp;"-"&amp;AE$2,"")&amp;IF(N(AF82)&gt;0,", "&amp;A82&amp;"-"&amp;AF$2,"")&amp;IF(N(AG82)&gt;0,", "&amp;A82&amp;"-"&amp;AG$2,"")&amp;IF(N(AH82)&gt;0,", "&amp;A82&amp;"-"&amp;AH$2,"")&amp;IF(N(AI82)&gt;0,", "&amp;A82&amp;"-"&amp;AI$2,"")&amp;IF(N(AJ82)&gt;0,", "&amp;A82&amp;"-"&amp;AJ$2,""),3,999))</f>
        <v/>
      </c>
      <c r="AN82" s="81"/>
      <c r="AO82" s="88"/>
      <c r="AP82" s="89" t="str">
        <f aca="false">IF(AO82="","",ROUND(AO82/(1+Справочники!$B$13),2))</f>
        <v/>
      </c>
      <c r="AQ82" s="90" t="str">
        <f aca="false" t="array" ref="AQ82:AQ82">IF(AP82="","",AP82*INDEX(Справочники!$B$4:$B$7,MATCH("RUB",Справочники!$A$4:$A$7,0)))</f>
        <v/>
      </c>
      <c r="AR82" s="90" t="str">
        <f aca="false">IF(AQ82="","",ROUND(AQ82*(1+Справочники!$B$12),0))</f>
        <v/>
      </c>
      <c r="AS82" s="90" t="str">
        <f aca="false">IF(AR82="","",ROUND(AR82*(1-Справочники!$B$11),0))</f>
        <v/>
      </c>
      <c r="AT82" s="88"/>
      <c r="AU82" s="90" t="str">
        <f aca="false">IF(AT82="","",ROUND(AT82/(1+Справочники!$B$12),0))</f>
        <v/>
      </c>
      <c r="AV82" s="90" t="str">
        <f aca="false">IF(AT82="","",ROUND(AT82*(1-Справочники!$B$15),0))</f>
        <v/>
      </c>
      <c r="AW82" s="90" t="str">
        <f aca="false">IF(AT82="","",ROUND(AT82*(1-Справочники!$B$16),0))</f>
        <v/>
      </c>
      <c r="AX82" s="90" t="str">
        <f aca="false">IF(AT82="","",ROUND(AT82*(1-Справочники!$B$17),0))</f>
        <v/>
      </c>
      <c r="AY82" s="90" t="str">
        <f aca="false">IF(AT82="","",ROUND(AT82*(1-Справочники!$B$18),0))</f>
        <v/>
      </c>
      <c r="AZ82" s="90" t="str">
        <f aca="false">IF(AT82="","",ROUND(AT82*(1-Справочники!$B$19),0))</f>
        <v/>
      </c>
      <c r="BA82" s="81"/>
      <c r="BB82" s="81"/>
      <c r="BC82" s="81"/>
      <c r="BD82" s="81"/>
      <c r="BE82" s="91"/>
      <c r="BF82" s="81" t="s">
        <v>103</v>
      </c>
      <c r="BG82" s="89" t="n">
        <f aca="false" t="array" ref="BG82:BG82">IF(BF82="","",IFERROR(INDEX(Справочники!$B$4:$B$7,MATCH(BF82,Справочники!$A$4:$A$7,0)),""))</f>
        <v>68.5</v>
      </c>
      <c r="BH82" s="90" t="str">
        <f aca="false">IF(N(BN82)&gt;0,ROUND(SUMIF(ЗАКАЗЫ!$F$3:$F$500,$A82,ЗАКАЗЫ!$Y$3:$Y$500)/BN82,0),IF(OR(BE82="",BG82=""),"",ROUND(BE82*BG82*(1+Справочники!$B$10),0)))</f>
        <v/>
      </c>
      <c r="BI82" s="92" t="str">
        <f aca="false">IF(OR(AU82="",BH82="",AU82=0),"",(AU82-BH82)/AU82)</f>
        <v/>
      </c>
      <c r="BJ82" s="81"/>
      <c r="BK82" s="83"/>
      <c r="BL82" s="43" t="str">
        <f aca="false">IFERROR(INDEX(ЗАКАЗЫ!$N$3:$N$500,MATCH($A82,ЗАКАЗЫ!$F$3:$F$500,0)),"")</f>
        <v/>
      </c>
      <c r="BM82" s="8" t="str">
        <f aca="false">IF(BL82="","",IFERROR(VLOOKUP(BL82,'ТН ВЭД'!$A$4:$C$40,3,0),""))</f>
        <v/>
      </c>
      <c r="BN82" s="7" t="str">
        <f aca="false">IF(COUNTIF(ЗАКАЗЫ!$F$3:$F$500,$A82)=0,"",SUMIF(ЗАКАЗЫ!$F$3:$F$500,$A82,ЗАКАЗЫ!$J$3:$J$500))</f>
        <v/>
      </c>
      <c r="BO82" s="7" t="str">
        <f aca="false">IF(BN82="","",SUMIF(ЗАКАЗЫ!$F$3:$F$500,$A82,ЗАКАЗЫ!$AL$3:$AL$500))</f>
        <v/>
      </c>
      <c r="BP82" s="7" t="str">
        <f aca="false">IF(BN82="","",BN82-BO82)</f>
        <v/>
      </c>
      <c r="BQ82" s="55" t="str">
        <f aca="false">IF(BN82="","",IF(BO82&gt;=BN82,"На складе",IF(BO82&gt;0,"Частично","Ждём")))</f>
        <v/>
      </c>
      <c r="BR82" s="43"/>
      <c r="BS82" s="47" t="str">
        <f aca="false">IF(BN82="","",IF(_xlfn.MAXIFS(ЗАКАЗЫ!$AK$3:$AK$500,ЗАКАЗЫ!$F$3:$F$500,$A82)=0,"",_xlfn.MAXIFS(ЗАКАЗЫ!$AK$3:$AK$500,ЗАКАЗЫ!$F$3:$F$500,$A82)))</f>
        <v/>
      </c>
    </row>
    <row r="83" customFormat="false" ht="15.75" hidden="false" customHeight="true" outlineLevel="0" collapsed="false">
      <c r="A83" s="80" t="s">
        <v>1606</v>
      </c>
      <c r="B83" s="81"/>
      <c r="C83" s="81"/>
      <c r="D83" s="81"/>
      <c r="E83" s="83"/>
      <c r="F83" s="81"/>
      <c r="G83" s="83"/>
      <c r="H83" s="83"/>
      <c r="I83" s="84" t="str">
        <f aca="false">IF(E83="","",A83&amp;"_1.jpg")</f>
        <v/>
      </c>
      <c r="J83" s="84" t="str">
        <f aca="false">IF(E83="","",A83&amp;"_2.jpg; "&amp;A83&amp;"_3.jpg")</f>
        <v/>
      </c>
      <c r="K83" s="84" t="str">
        <f aca="false">IF(E83="","",A83&amp;"_schema.jpg")</f>
        <v/>
      </c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 t="s">
        <v>96</v>
      </c>
      <c r="W83" s="81"/>
      <c r="X83" s="81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6" t="str">
        <f aca="false">IF(SUM(Y83:AJ83)=0,"",SUM(Y83:AJ83))</f>
        <v/>
      </c>
      <c r="AL83" s="84" t="str">
        <f aca="false">MID(IF(N(Y83)&gt;0,", "&amp;Y$2,"")&amp;IF(N(Z83)&gt;0,", "&amp;Z$2,"")&amp;IF(N(AA83)&gt;0,", "&amp;AA$2,"")&amp;IF(N(AB83)&gt;0,", "&amp;AB$2,"")&amp;IF(N(AC83)&gt;0,", "&amp;AC$2,"")&amp;IF(N(AD83)&gt;0,", "&amp;AD$2,"")&amp;IF(N(AE83)&gt;0,", "&amp;AE$2,"")&amp;IF(N(AF83)&gt;0,", "&amp;AF$2,"")&amp;IF(N(AG83)&gt;0,", "&amp;AG$2,"")&amp;IF(N(AH83)&gt;0,", "&amp;AH$2,"")&amp;IF(N(AI83)&gt;0,", "&amp;AI$2,"")&amp;IF(N(AJ83)&gt;0,", "&amp;AJ$2,""),3,999)</f>
        <v/>
      </c>
      <c r="AM83" s="87" t="str">
        <f aca="false">IF(E83="","",MID(IF(N(Y83)&gt;0,", "&amp;A83&amp;"-"&amp;Y$2,"")&amp;IF(N(Z83)&gt;0,", "&amp;A83&amp;"-"&amp;Z$2,"")&amp;IF(N(AA83)&gt;0,", "&amp;A83&amp;"-"&amp;AA$2,"")&amp;IF(N(AB83)&gt;0,", "&amp;A83&amp;"-"&amp;AB$2,"")&amp;IF(N(AC83)&gt;0,", "&amp;A83&amp;"-"&amp;AC$2,"")&amp;IF(N(AD83)&gt;0,", "&amp;A83&amp;"-"&amp;AD$2,"")&amp;IF(N(AE83)&gt;0,", "&amp;A83&amp;"-"&amp;AE$2,"")&amp;IF(N(AF83)&gt;0,", "&amp;A83&amp;"-"&amp;AF$2,"")&amp;IF(N(AG83)&gt;0,", "&amp;A83&amp;"-"&amp;AG$2,"")&amp;IF(N(AH83)&gt;0,", "&amp;A83&amp;"-"&amp;AH$2,"")&amp;IF(N(AI83)&gt;0,", "&amp;A83&amp;"-"&amp;AI$2,"")&amp;IF(N(AJ83)&gt;0,", "&amp;A83&amp;"-"&amp;AJ$2,""),3,999))</f>
        <v/>
      </c>
      <c r="AN83" s="81"/>
      <c r="AO83" s="88"/>
      <c r="AP83" s="89" t="str">
        <f aca="false">IF(AO83="","",ROUND(AO83/(1+Справочники!$B$13),2))</f>
        <v/>
      </c>
      <c r="AQ83" s="90" t="str">
        <f aca="false" t="array" ref="AQ83:AQ83">IF(AP83="","",AP83*INDEX(Справочники!$B$4:$B$7,MATCH("RUB",Справочники!$A$4:$A$7,0)))</f>
        <v/>
      </c>
      <c r="AR83" s="90" t="str">
        <f aca="false">IF(AQ83="","",ROUND(AQ83*(1+Справочники!$B$12),0))</f>
        <v/>
      </c>
      <c r="AS83" s="90" t="str">
        <f aca="false">IF(AR83="","",ROUND(AR83*(1-Справочники!$B$11),0))</f>
        <v/>
      </c>
      <c r="AT83" s="88"/>
      <c r="AU83" s="90" t="str">
        <f aca="false">IF(AT83="","",ROUND(AT83/(1+Справочники!$B$12),0))</f>
        <v/>
      </c>
      <c r="AV83" s="90" t="str">
        <f aca="false">IF(AT83="","",ROUND(AT83*(1-Справочники!$B$15),0))</f>
        <v/>
      </c>
      <c r="AW83" s="90" t="str">
        <f aca="false">IF(AT83="","",ROUND(AT83*(1-Справочники!$B$16),0))</f>
        <v/>
      </c>
      <c r="AX83" s="90" t="str">
        <f aca="false">IF(AT83="","",ROUND(AT83*(1-Справочники!$B$17),0))</f>
        <v/>
      </c>
      <c r="AY83" s="90" t="str">
        <f aca="false">IF(AT83="","",ROUND(AT83*(1-Справочники!$B$18),0))</f>
        <v/>
      </c>
      <c r="AZ83" s="90" t="str">
        <f aca="false">IF(AT83="","",ROUND(AT83*(1-Справочники!$B$19),0))</f>
        <v/>
      </c>
      <c r="BA83" s="81"/>
      <c r="BB83" s="81"/>
      <c r="BC83" s="81"/>
      <c r="BD83" s="81"/>
      <c r="BE83" s="91"/>
      <c r="BF83" s="81" t="s">
        <v>103</v>
      </c>
      <c r="BG83" s="89" t="n">
        <f aca="false" t="array" ref="BG83:BG83">IF(BF83="","",IFERROR(INDEX(Справочники!$B$4:$B$7,MATCH(BF83,Справочники!$A$4:$A$7,0)),""))</f>
        <v>68.5</v>
      </c>
      <c r="BH83" s="90" t="str">
        <f aca="false">IF(N(BN83)&gt;0,ROUND(SUMIF(ЗАКАЗЫ!$F$3:$F$500,$A83,ЗАКАЗЫ!$Y$3:$Y$500)/BN83,0),IF(OR(BE83="",BG83=""),"",ROUND(BE83*BG83*(1+Справочники!$B$10),0)))</f>
        <v/>
      </c>
      <c r="BI83" s="92" t="str">
        <f aca="false">IF(OR(AU83="",BH83="",AU83=0),"",(AU83-BH83)/AU83)</f>
        <v/>
      </c>
      <c r="BJ83" s="81"/>
      <c r="BK83" s="83"/>
      <c r="BL83" s="43" t="str">
        <f aca="false">IFERROR(INDEX(ЗАКАЗЫ!$N$3:$N$500,MATCH($A83,ЗАКАЗЫ!$F$3:$F$500,0)),"")</f>
        <v/>
      </c>
      <c r="BM83" s="8" t="str">
        <f aca="false">IF(BL83="","",IFERROR(VLOOKUP(BL83,'ТН ВЭД'!$A$4:$C$40,3,0),""))</f>
        <v/>
      </c>
      <c r="BN83" s="7" t="str">
        <f aca="false">IF(COUNTIF(ЗАКАЗЫ!$F$3:$F$500,$A83)=0,"",SUMIF(ЗАКАЗЫ!$F$3:$F$500,$A83,ЗАКАЗЫ!$J$3:$J$500))</f>
        <v/>
      </c>
      <c r="BO83" s="7" t="str">
        <f aca="false">IF(BN83="","",SUMIF(ЗАКАЗЫ!$F$3:$F$500,$A83,ЗАКАЗЫ!$AL$3:$AL$500))</f>
        <v/>
      </c>
      <c r="BP83" s="7" t="str">
        <f aca="false">IF(BN83="","",BN83-BO83)</f>
        <v/>
      </c>
      <c r="BQ83" s="55" t="str">
        <f aca="false">IF(BN83="","",IF(BO83&gt;=BN83,"На складе",IF(BO83&gt;0,"Частично","Ждём")))</f>
        <v/>
      </c>
      <c r="BR83" s="43"/>
      <c r="BS83" s="47" t="str">
        <f aca="false">IF(BN83="","",IF(_xlfn.MAXIFS(ЗАКАЗЫ!$AK$3:$AK$500,ЗАКАЗЫ!$F$3:$F$500,$A83)=0,"",_xlfn.MAXIFS(ЗАКАЗЫ!$AK$3:$AK$500,ЗАКАЗЫ!$F$3:$F$500,$A83)))</f>
        <v/>
      </c>
    </row>
    <row r="84" customFormat="false" ht="15.75" hidden="false" customHeight="true" outlineLevel="0" collapsed="false">
      <c r="A84" s="80" t="s">
        <v>1607</v>
      </c>
      <c r="B84" s="81"/>
      <c r="C84" s="81"/>
      <c r="D84" s="81"/>
      <c r="E84" s="83"/>
      <c r="F84" s="81"/>
      <c r="G84" s="83"/>
      <c r="H84" s="83"/>
      <c r="I84" s="84" t="str">
        <f aca="false">IF(E84="","",A84&amp;"_1.jpg")</f>
        <v/>
      </c>
      <c r="J84" s="84" t="str">
        <f aca="false">IF(E84="","",A84&amp;"_2.jpg; "&amp;A84&amp;"_3.jpg")</f>
        <v/>
      </c>
      <c r="K84" s="84" t="str">
        <f aca="false">IF(E84="","",A84&amp;"_schema.jpg")</f>
        <v/>
      </c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 t="s">
        <v>96</v>
      </c>
      <c r="W84" s="81"/>
      <c r="X84" s="81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6" t="str">
        <f aca="false">IF(SUM(Y84:AJ84)=0,"",SUM(Y84:AJ84))</f>
        <v/>
      </c>
      <c r="AL84" s="84" t="str">
        <f aca="false">MID(IF(N(Y84)&gt;0,", "&amp;Y$2,"")&amp;IF(N(Z84)&gt;0,", "&amp;Z$2,"")&amp;IF(N(AA84)&gt;0,", "&amp;AA$2,"")&amp;IF(N(AB84)&gt;0,", "&amp;AB$2,"")&amp;IF(N(AC84)&gt;0,", "&amp;AC$2,"")&amp;IF(N(AD84)&gt;0,", "&amp;AD$2,"")&amp;IF(N(AE84)&gt;0,", "&amp;AE$2,"")&amp;IF(N(AF84)&gt;0,", "&amp;AF$2,"")&amp;IF(N(AG84)&gt;0,", "&amp;AG$2,"")&amp;IF(N(AH84)&gt;0,", "&amp;AH$2,"")&amp;IF(N(AI84)&gt;0,", "&amp;AI$2,"")&amp;IF(N(AJ84)&gt;0,", "&amp;AJ$2,""),3,999)</f>
        <v/>
      </c>
      <c r="AM84" s="87" t="str">
        <f aca="false">IF(E84="","",MID(IF(N(Y84)&gt;0,", "&amp;A84&amp;"-"&amp;Y$2,"")&amp;IF(N(Z84)&gt;0,", "&amp;A84&amp;"-"&amp;Z$2,"")&amp;IF(N(AA84)&gt;0,", "&amp;A84&amp;"-"&amp;AA$2,"")&amp;IF(N(AB84)&gt;0,", "&amp;A84&amp;"-"&amp;AB$2,"")&amp;IF(N(AC84)&gt;0,", "&amp;A84&amp;"-"&amp;AC$2,"")&amp;IF(N(AD84)&gt;0,", "&amp;A84&amp;"-"&amp;AD$2,"")&amp;IF(N(AE84)&gt;0,", "&amp;A84&amp;"-"&amp;AE$2,"")&amp;IF(N(AF84)&gt;0,", "&amp;A84&amp;"-"&amp;AF$2,"")&amp;IF(N(AG84)&gt;0,", "&amp;A84&amp;"-"&amp;AG$2,"")&amp;IF(N(AH84)&gt;0,", "&amp;A84&amp;"-"&amp;AH$2,"")&amp;IF(N(AI84)&gt;0,", "&amp;A84&amp;"-"&amp;AI$2,"")&amp;IF(N(AJ84)&gt;0,", "&amp;A84&amp;"-"&amp;AJ$2,""),3,999))</f>
        <v/>
      </c>
      <c r="AN84" s="81"/>
      <c r="AO84" s="88"/>
      <c r="AP84" s="89" t="str">
        <f aca="false">IF(AO84="","",ROUND(AO84/(1+Справочники!$B$13),2))</f>
        <v/>
      </c>
      <c r="AQ84" s="90" t="str">
        <f aca="false" t="array" ref="AQ84:AQ84">IF(AP84="","",AP84*INDEX(Справочники!$B$4:$B$7,MATCH("RUB",Справочники!$A$4:$A$7,0)))</f>
        <v/>
      </c>
      <c r="AR84" s="90" t="str">
        <f aca="false">IF(AQ84="","",ROUND(AQ84*(1+Справочники!$B$12),0))</f>
        <v/>
      </c>
      <c r="AS84" s="90" t="str">
        <f aca="false">IF(AR84="","",ROUND(AR84*(1-Справочники!$B$11),0))</f>
        <v/>
      </c>
      <c r="AT84" s="88"/>
      <c r="AU84" s="90" t="str">
        <f aca="false">IF(AT84="","",ROUND(AT84/(1+Справочники!$B$12),0))</f>
        <v/>
      </c>
      <c r="AV84" s="90" t="str">
        <f aca="false">IF(AT84="","",ROUND(AT84*(1-Справочники!$B$15),0))</f>
        <v/>
      </c>
      <c r="AW84" s="90" t="str">
        <f aca="false">IF(AT84="","",ROUND(AT84*(1-Справочники!$B$16),0))</f>
        <v/>
      </c>
      <c r="AX84" s="90" t="str">
        <f aca="false">IF(AT84="","",ROUND(AT84*(1-Справочники!$B$17),0))</f>
        <v/>
      </c>
      <c r="AY84" s="90" t="str">
        <f aca="false">IF(AT84="","",ROUND(AT84*(1-Справочники!$B$18),0))</f>
        <v/>
      </c>
      <c r="AZ84" s="90" t="str">
        <f aca="false">IF(AT84="","",ROUND(AT84*(1-Справочники!$B$19),0))</f>
        <v/>
      </c>
      <c r="BA84" s="81"/>
      <c r="BB84" s="81"/>
      <c r="BC84" s="81"/>
      <c r="BD84" s="81"/>
      <c r="BE84" s="91"/>
      <c r="BF84" s="81" t="s">
        <v>103</v>
      </c>
      <c r="BG84" s="89" t="n">
        <f aca="false" t="array" ref="BG84:BG84">IF(BF84="","",IFERROR(INDEX(Справочники!$B$4:$B$7,MATCH(BF84,Справочники!$A$4:$A$7,0)),""))</f>
        <v>68.5</v>
      </c>
      <c r="BH84" s="90" t="str">
        <f aca="false">IF(N(BN84)&gt;0,ROUND(SUMIF(ЗАКАЗЫ!$F$3:$F$500,$A84,ЗАКАЗЫ!$Y$3:$Y$500)/BN84,0),IF(OR(BE84="",BG84=""),"",ROUND(BE84*BG84*(1+Справочники!$B$10),0)))</f>
        <v/>
      </c>
      <c r="BI84" s="92" t="str">
        <f aca="false">IF(OR(AU84="",BH84="",AU84=0),"",(AU84-BH84)/AU84)</f>
        <v/>
      </c>
      <c r="BJ84" s="81"/>
      <c r="BK84" s="83"/>
      <c r="BL84" s="43" t="str">
        <f aca="false">IFERROR(INDEX(ЗАКАЗЫ!$N$3:$N$500,MATCH($A84,ЗАКАЗЫ!$F$3:$F$500,0)),"")</f>
        <v/>
      </c>
      <c r="BM84" s="8" t="str">
        <f aca="false">IF(BL84="","",IFERROR(VLOOKUP(BL84,'ТН ВЭД'!$A$4:$C$40,3,0),""))</f>
        <v/>
      </c>
      <c r="BN84" s="7" t="str">
        <f aca="false">IF(COUNTIF(ЗАКАЗЫ!$F$3:$F$500,$A84)=0,"",SUMIF(ЗАКАЗЫ!$F$3:$F$500,$A84,ЗАКАЗЫ!$J$3:$J$500))</f>
        <v/>
      </c>
      <c r="BO84" s="7" t="str">
        <f aca="false">IF(BN84="","",SUMIF(ЗАКАЗЫ!$F$3:$F$500,$A84,ЗАКАЗЫ!$AL$3:$AL$500))</f>
        <v/>
      </c>
      <c r="BP84" s="7" t="str">
        <f aca="false">IF(BN84="","",BN84-BO84)</f>
        <v/>
      </c>
      <c r="BQ84" s="55" t="str">
        <f aca="false">IF(BN84="","",IF(BO84&gt;=BN84,"На складе",IF(BO84&gt;0,"Частично","Ждём")))</f>
        <v/>
      </c>
      <c r="BR84" s="43"/>
      <c r="BS84" s="47" t="str">
        <f aca="false">IF(BN84="","",IF(_xlfn.MAXIFS(ЗАКАЗЫ!$AK$3:$AK$500,ЗАКАЗЫ!$F$3:$F$500,$A84)=0,"",_xlfn.MAXIFS(ЗАКАЗЫ!$AK$3:$AK$500,ЗАКАЗЫ!$F$3:$F$500,$A84)))</f>
        <v/>
      </c>
    </row>
    <row r="85" customFormat="false" ht="15.75" hidden="false" customHeight="true" outlineLevel="0" collapsed="false">
      <c r="A85" s="80" t="s">
        <v>1608</v>
      </c>
      <c r="B85" s="81"/>
      <c r="C85" s="81"/>
      <c r="D85" s="81"/>
      <c r="E85" s="83"/>
      <c r="F85" s="81"/>
      <c r="G85" s="83"/>
      <c r="H85" s="83"/>
      <c r="I85" s="84" t="str">
        <f aca="false">IF(E85="","",A85&amp;"_1.jpg")</f>
        <v/>
      </c>
      <c r="J85" s="84" t="str">
        <f aca="false">IF(E85="","",A85&amp;"_2.jpg; "&amp;A85&amp;"_3.jpg")</f>
        <v/>
      </c>
      <c r="K85" s="84" t="str">
        <f aca="false">IF(E85="","",A85&amp;"_schema.jpg")</f>
        <v/>
      </c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 t="s">
        <v>96</v>
      </c>
      <c r="W85" s="81"/>
      <c r="X85" s="81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6" t="str">
        <f aca="false">IF(SUM(Y85:AJ85)=0,"",SUM(Y85:AJ85))</f>
        <v/>
      </c>
      <c r="AL85" s="84" t="str">
        <f aca="false">MID(IF(N(Y85)&gt;0,", "&amp;Y$2,"")&amp;IF(N(Z85)&gt;0,", "&amp;Z$2,"")&amp;IF(N(AA85)&gt;0,", "&amp;AA$2,"")&amp;IF(N(AB85)&gt;0,", "&amp;AB$2,"")&amp;IF(N(AC85)&gt;0,", "&amp;AC$2,"")&amp;IF(N(AD85)&gt;0,", "&amp;AD$2,"")&amp;IF(N(AE85)&gt;0,", "&amp;AE$2,"")&amp;IF(N(AF85)&gt;0,", "&amp;AF$2,"")&amp;IF(N(AG85)&gt;0,", "&amp;AG$2,"")&amp;IF(N(AH85)&gt;0,", "&amp;AH$2,"")&amp;IF(N(AI85)&gt;0,", "&amp;AI$2,"")&amp;IF(N(AJ85)&gt;0,", "&amp;AJ$2,""),3,999)</f>
        <v/>
      </c>
      <c r="AM85" s="87" t="str">
        <f aca="false">IF(E85="","",MID(IF(N(Y85)&gt;0,", "&amp;A85&amp;"-"&amp;Y$2,"")&amp;IF(N(Z85)&gt;0,", "&amp;A85&amp;"-"&amp;Z$2,"")&amp;IF(N(AA85)&gt;0,", "&amp;A85&amp;"-"&amp;AA$2,"")&amp;IF(N(AB85)&gt;0,", "&amp;A85&amp;"-"&amp;AB$2,"")&amp;IF(N(AC85)&gt;0,", "&amp;A85&amp;"-"&amp;AC$2,"")&amp;IF(N(AD85)&gt;0,", "&amp;A85&amp;"-"&amp;AD$2,"")&amp;IF(N(AE85)&gt;0,", "&amp;A85&amp;"-"&amp;AE$2,"")&amp;IF(N(AF85)&gt;0,", "&amp;A85&amp;"-"&amp;AF$2,"")&amp;IF(N(AG85)&gt;0,", "&amp;A85&amp;"-"&amp;AG$2,"")&amp;IF(N(AH85)&gt;0,", "&amp;A85&amp;"-"&amp;AH$2,"")&amp;IF(N(AI85)&gt;0,", "&amp;A85&amp;"-"&amp;AI$2,"")&amp;IF(N(AJ85)&gt;0,", "&amp;A85&amp;"-"&amp;AJ$2,""),3,999))</f>
        <v/>
      </c>
      <c r="AN85" s="81"/>
      <c r="AO85" s="88"/>
      <c r="AP85" s="89" t="str">
        <f aca="false">IF(AO85="","",ROUND(AO85/(1+Справочники!$B$13),2))</f>
        <v/>
      </c>
      <c r="AQ85" s="90" t="str">
        <f aca="false" t="array" ref="AQ85:AQ85">IF(AP85="","",AP85*INDEX(Справочники!$B$4:$B$7,MATCH("RUB",Справочники!$A$4:$A$7,0)))</f>
        <v/>
      </c>
      <c r="AR85" s="90" t="str">
        <f aca="false">IF(AQ85="","",ROUND(AQ85*(1+Справочники!$B$12),0))</f>
        <v/>
      </c>
      <c r="AS85" s="90" t="str">
        <f aca="false">IF(AR85="","",ROUND(AR85*(1-Справочники!$B$11),0))</f>
        <v/>
      </c>
      <c r="AT85" s="88"/>
      <c r="AU85" s="90" t="str">
        <f aca="false">IF(AT85="","",ROUND(AT85/(1+Справочники!$B$12),0))</f>
        <v/>
      </c>
      <c r="AV85" s="90" t="str">
        <f aca="false">IF(AT85="","",ROUND(AT85*(1-Справочники!$B$15),0))</f>
        <v/>
      </c>
      <c r="AW85" s="90" t="str">
        <f aca="false">IF(AT85="","",ROUND(AT85*(1-Справочники!$B$16),0))</f>
        <v/>
      </c>
      <c r="AX85" s="90" t="str">
        <f aca="false">IF(AT85="","",ROUND(AT85*(1-Справочники!$B$17),0))</f>
        <v/>
      </c>
      <c r="AY85" s="90" t="str">
        <f aca="false">IF(AT85="","",ROUND(AT85*(1-Справочники!$B$18),0))</f>
        <v/>
      </c>
      <c r="AZ85" s="90" t="str">
        <f aca="false">IF(AT85="","",ROUND(AT85*(1-Справочники!$B$19),0))</f>
        <v/>
      </c>
      <c r="BA85" s="81"/>
      <c r="BB85" s="81"/>
      <c r="BC85" s="81"/>
      <c r="BD85" s="81"/>
      <c r="BE85" s="91"/>
      <c r="BF85" s="81" t="s">
        <v>103</v>
      </c>
      <c r="BG85" s="89" t="n">
        <f aca="false" t="array" ref="BG85:BG85">IF(BF85="","",IFERROR(INDEX(Справочники!$B$4:$B$7,MATCH(BF85,Справочники!$A$4:$A$7,0)),""))</f>
        <v>68.5</v>
      </c>
      <c r="BH85" s="90" t="str">
        <f aca="false">IF(N(BN85)&gt;0,ROUND(SUMIF(ЗАКАЗЫ!$F$3:$F$500,$A85,ЗАКАЗЫ!$Y$3:$Y$500)/BN85,0),IF(OR(BE85="",BG85=""),"",ROUND(BE85*BG85*(1+Справочники!$B$10),0)))</f>
        <v/>
      </c>
      <c r="BI85" s="92" t="str">
        <f aca="false">IF(OR(AU85="",BH85="",AU85=0),"",(AU85-BH85)/AU85)</f>
        <v/>
      </c>
      <c r="BJ85" s="81"/>
      <c r="BK85" s="83"/>
      <c r="BL85" s="43" t="str">
        <f aca="false">IFERROR(INDEX(ЗАКАЗЫ!$N$3:$N$500,MATCH($A85,ЗАКАЗЫ!$F$3:$F$500,0)),"")</f>
        <v/>
      </c>
      <c r="BM85" s="8" t="str">
        <f aca="false">IF(BL85="","",IFERROR(VLOOKUP(BL85,'ТН ВЭД'!$A$4:$C$40,3,0),""))</f>
        <v/>
      </c>
      <c r="BN85" s="7" t="str">
        <f aca="false">IF(COUNTIF(ЗАКАЗЫ!$F$3:$F$500,$A85)=0,"",SUMIF(ЗАКАЗЫ!$F$3:$F$500,$A85,ЗАКАЗЫ!$J$3:$J$500))</f>
        <v/>
      </c>
      <c r="BO85" s="7" t="str">
        <f aca="false">IF(BN85="","",SUMIF(ЗАКАЗЫ!$F$3:$F$500,$A85,ЗАКАЗЫ!$AL$3:$AL$500))</f>
        <v/>
      </c>
      <c r="BP85" s="7" t="str">
        <f aca="false">IF(BN85="","",BN85-BO85)</f>
        <v/>
      </c>
      <c r="BQ85" s="55" t="str">
        <f aca="false">IF(BN85="","",IF(BO85&gt;=BN85,"На складе",IF(BO85&gt;0,"Частично","Ждём")))</f>
        <v/>
      </c>
      <c r="BR85" s="43"/>
      <c r="BS85" s="47" t="str">
        <f aca="false">IF(BN85="","",IF(_xlfn.MAXIFS(ЗАКАЗЫ!$AK$3:$AK$500,ЗАКАЗЫ!$F$3:$F$500,$A85)=0,"",_xlfn.MAXIFS(ЗАКАЗЫ!$AK$3:$AK$500,ЗАКАЗЫ!$F$3:$F$500,$A85)))</f>
        <v/>
      </c>
    </row>
    <row r="86" customFormat="false" ht="15.75" hidden="false" customHeight="true" outlineLevel="0" collapsed="false">
      <c r="A86" s="80" t="s">
        <v>1609</v>
      </c>
      <c r="B86" s="81"/>
      <c r="C86" s="81"/>
      <c r="D86" s="81"/>
      <c r="E86" s="83"/>
      <c r="F86" s="81"/>
      <c r="G86" s="83"/>
      <c r="H86" s="83"/>
      <c r="I86" s="84" t="str">
        <f aca="false">IF(E86="","",A86&amp;"_1.jpg")</f>
        <v/>
      </c>
      <c r="J86" s="84" t="str">
        <f aca="false">IF(E86="","",A86&amp;"_2.jpg; "&amp;A86&amp;"_3.jpg")</f>
        <v/>
      </c>
      <c r="K86" s="84" t="str">
        <f aca="false">IF(E86="","",A86&amp;"_schema.jpg")</f>
        <v/>
      </c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 t="s">
        <v>96</v>
      </c>
      <c r="W86" s="81"/>
      <c r="X86" s="81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6" t="str">
        <f aca="false">IF(SUM(Y86:AJ86)=0,"",SUM(Y86:AJ86))</f>
        <v/>
      </c>
      <c r="AL86" s="84" t="str">
        <f aca="false">MID(IF(N(Y86)&gt;0,", "&amp;Y$2,"")&amp;IF(N(Z86)&gt;0,", "&amp;Z$2,"")&amp;IF(N(AA86)&gt;0,", "&amp;AA$2,"")&amp;IF(N(AB86)&gt;0,", "&amp;AB$2,"")&amp;IF(N(AC86)&gt;0,", "&amp;AC$2,"")&amp;IF(N(AD86)&gt;0,", "&amp;AD$2,"")&amp;IF(N(AE86)&gt;0,", "&amp;AE$2,"")&amp;IF(N(AF86)&gt;0,", "&amp;AF$2,"")&amp;IF(N(AG86)&gt;0,", "&amp;AG$2,"")&amp;IF(N(AH86)&gt;0,", "&amp;AH$2,"")&amp;IF(N(AI86)&gt;0,", "&amp;AI$2,"")&amp;IF(N(AJ86)&gt;0,", "&amp;AJ$2,""),3,999)</f>
        <v/>
      </c>
      <c r="AM86" s="87" t="str">
        <f aca="false">IF(E86="","",MID(IF(N(Y86)&gt;0,", "&amp;A86&amp;"-"&amp;Y$2,"")&amp;IF(N(Z86)&gt;0,", "&amp;A86&amp;"-"&amp;Z$2,"")&amp;IF(N(AA86)&gt;0,", "&amp;A86&amp;"-"&amp;AA$2,"")&amp;IF(N(AB86)&gt;0,", "&amp;A86&amp;"-"&amp;AB$2,"")&amp;IF(N(AC86)&gt;0,", "&amp;A86&amp;"-"&amp;AC$2,"")&amp;IF(N(AD86)&gt;0,", "&amp;A86&amp;"-"&amp;AD$2,"")&amp;IF(N(AE86)&gt;0,", "&amp;A86&amp;"-"&amp;AE$2,"")&amp;IF(N(AF86)&gt;0,", "&amp;A86&amp;"-"&amp;AF$2,"")&amp;IF(N(AG86)&gt;0,", "&amp;A86&amp;"-"&amp;AG$2,"")&amp;IF(N(AH86)&gt;0,", "&amp;A86&amp;"-"&amp;AH$2,"")&amp;IF(N(AI86)&gt;0,", "&amp;A86&amp;"-"&amp;AI$2,"")&amp;IF(N(AJ86)&gt;0,", "&amp;A86&amp;"-"&amp;AJ$2,""),3,999))</f>
        <v/>
      </c>
      <c r="AN86" s="81"/>
      <c r="AO86" s="88"/>
      <c r="AP86" s="89" t="str">
        <f aca="false">IF(AO86="","",ROUND(AO86/(1+Справочники!$B$13),2))</f>
        <v/>
      </c>
      <c r="AQ86" s="90" t="str">
        <f aca="false" t="array" ref="AQ86:AQ86">IF(AP86="","",AP86*INDEX(Справочники!$B$4:$B$7,MATCH("RUB",Справочники!$A$4:$A$7,0)))</f>
        <v/>
      </c>
      <c r="AR86" s="90" t="str">
        <f aca="false">IF(AQ86="","",ROUND(AQ86*(1+Справочники!$B$12),0))</f>
        <v/>
      </c>
      <c r="AS86" s="90" t="str">
        <f aca="false">IF(AR86="","",ROUND(AR86*(1-Справочники!$B$11),0))</f>
        <v/>
      </c>
      <c r="AT86" s="88"/>
      <c r="AU86" s="90" t="str">
        <f aca="false">IF(AT86="","",ROUND(AT86/(1+Справочники!$B$12),0))</f>
        <v/>
      </c>
      <c r="AV86" s="90" t="str">
        <f aca="false">IF(AT86="","",ROUND(AT86*(1-Справочники!$B$15),0))</f>
        <v/>
      </c>
      <c r="AW86" s="90" t="str">
        <f aca="false">IF(AT86="","",ROUND(AT86*(1-Справочники!$B$16),0))</f>
        <v/>
      </c>
      <c r="AX86" s="90" t="str">
        <f aca="false">IF(AT86="","",ROUND(AT86*(1-Справочники!$B$17),0))</f>
        <v/>
      </c>
      <c r="AY86" s="90" t="str">
        <f aca="false">IF(AT86="","",ROUND(AT86*(1-Справочники!$B$18),0))</f>
        <v/>
      </c>
      <c r="AZ86" s="90" t="str">
        <f aca="false">IF(AT86="","",ROUND(AT86*(1-Справочники!$B$19),0))</f>
        <v/>
      </c>
      <c r="BA86" s="81"/>
      <c r="BB86" s="81"/>
      <c r="BC86" s="81"/>
      <c r="BD86" s="81"/>
      <c r="BE86" s="91"/>
      <c r="BF86" s="81" t="s">
        <v>103</v>
      </c>
      <c r="BG86" s="89" t="n">
        <f aca="false" t="array" ref="BG86:BG86">IF(BF86="","",IFERROR(INDEX(Справочники!$B$4:$B$7,MATCH(BF86,Справочники!$A$4:$A$7,0)),""))</f>
        <v>68.5</v>
      </c>
      <c r="BH86" s="90" t="str">
        <f aca="false">IF(N(BN86)&gt;0,ROUND(SUMIF(ЗАКАЗЫ!$F$3:$F$500,$A86,ЗАКАЗЫ!$Y$3:$Y$500)/BN86,0),IF(OR(BE86="",BG86=""),"",ROUND(BE86*BG86*(1+Справочники!$B$10),0)))</f>
        <v/>
      </c>
      <c r="BI86" s="92" t="str">
        <f aca="false">IF(OR(AU86="",BH86="",AU86=0),"",(AU86-BH86)/AU86)</f>
        <v/>
      </c>
      <c r="BJ86" s="81"/>
      <c r="BK86" s="83"/>
      <c r="BL86" s="43" t="str">
        <f aca="false">IFERROR(INDEX(ЗАКАЗЫ!$N$3:$N$500,MATCH($A86,ЗАКАЗЫ!$F$3:$F$500,0)),"")</f>
        <v/>
      </c>
      <c r="BM86" s="8" t="str">
        <f aca="false">IF(BL86="","",IFERROR(VLOOKUP(BL86,'ТН ВЭД'!$A$4:$C$40,3,0),""))</f>
        <v/>
      </c>
      <c r="BN86" s="7" t="str">
        <f aca="false">IF(COUNTIF(ЗАКАЗЫ!$F$3:$F$500,$A86)=0,"",SUMIF(ЗАКАЗЫ!$F$3:$F$500,$A86,ЗАКАЗЫ!$J$3:$J$500))</f>
        <v/>
      </c>
      <c r="BO86" s="7" t="str">
        <f aca="false">IF(BN86="","",SUMIF(ЗАКАЗЫ!$F$3:$F$500,$A86,ЗАКАЗЫ!$AL$3:$AL$500))</f>
        <v/>
      </c>
      <c r="BP86" s="7" t="str">
        <f aca="false">IF(BN86="","",BN86-BO86)</f>
        <v/>
      </c>
      <c r="BQ86" s="55" t="str">
        <f aca="false">IF(BN86="","",IF(BO86&gt;=BN86,"На складе",IF(BO86&gt;0,"Частично","Ждём")))</f>
        <v/>
      </c>
      <c r="BR86" s="43"/>
      <c r="BS86" s="47" t="str">
        <f aca="false">IF(BN86="","",IF(_xlfn.MAXIFS(ЗАКАЗЫ!$AK$3:$AK$500,ЗАКАЗЫ!$F$3:$F$500,$A86)=0,"",_xlfn.MAXIFS(ЗАКАЗЫ!$AK$3:$AK$500,ЗАКАЗЫ!$F$3:$F$500,$A86)))</f>
        <v/>
      </c>
    </row>
    <row r="87" customFormat="false" ht="15.75" hidden="false" customHeight="true" outlineLevel="0" collapsed="false">
      <c r="A87" s="80" t="s">
        <v>1610</v>
      </c>
      <c r="B87" s="81"/>
      <c r="C87" s="81"/>
      <c r="D87" s="81"/>
      <c r="E87" s="83"/>
      <c r="F87" s="81"/>
      <c r="G87" s="83"/>
      <c r="H87" s="83"/>
      <c r="I87" s="84" t="str">
        <f aca="false">IF(E87="","",A87&amp;"_1.jpg")</f>
        <v/>
      </c>
      <c r="J87" s="84" t="str">
        <f aca="false">IF(E87="","",A87&amp;"_2.jpg; "&amp;A87&amp;"_3.jpg")</f>
        <v/>
      </c>
      <c r="K87" s="84" t="str">
        <f aca="false">IF(E87="","",A87&amp;"_schema.jpg")</f>
        <v/>
      </c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 t="s">
        <v>96</v>
      </c>
      <c r="W87" s="81"/>
      <c r="X87" s="81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6" t="str">
        <f aca="false">IF(SUM(Y87:AJ87)=0,"",SUM(Y87:AJ87))</f>
        <v/>
      </c>
      <c r="AL87" s="84" t="str">
        <f aca="false">MID(IF(N(Y87)&gt;0,", "&amp;Y$2,"")&amp;IF(N(Z87)&gt;0,", "&amp;Z$2,"")&amp;IF(N(AA87)&gt;0,", "&amp;AA$2,"")&amp;IF(N(AB87)&gt;0,", "&amp;AB$2,"")&amp;IF(N(AC87)&gt;0,", "&amp;AC$2,"")&amp;IF(N(AD87)&gt;0,", "&amp;AD$2,"")&amp;IF(N(AE87)&gt;0,", "&amp;AE$2,"")&amp;IF(N(AF87)&gt;0,", "&amp;AF$2,"")&amp;IF(N(AG87)&gt;0,", "&amp;AG$2,"")&amp;IF(N(AH87)&gt;0,", "&amp;AH$2,"")&amp;IF(N(AI87)&gt;0,", "&amp;AI$2,"")&amp;IF(N(AJ87)&gt;0,", "&amp;AJ$2,""),3,999)</f>
        <v/>
      </c>
      <c r="AM87" s="87" t="str">
        <f aca="false">IF(E87="","",MID(IF(N(Y87)&gt;0,", "&amp;A87&amp;"-"&amp;Y$2,"")&amp;IF(N(Z87)&gt;0,", "&amp;A87&amp;"-"&amp;Z$2,"")&amp;IF(N(AA87)&gt;0,", "&amp;A87&amp;"-"&amp;AA$2,"")&amp;IF(N(AB87)&gt;0,", "&amp;A87&amp;"-"&amp;AB$2,"")&amp;IF(N(AC87)&gt;0,", "&amp;A87&amp;"-"&amp;AC$2,"")&amp;IF(N(AD87)&gt;0,", "&amp;A87&amp;"-"&amp;AD$2,"")&amp;IF(N(AE87)&gt;0,", "&amp;A87&amp;"-"&amp;AE$2,"")&amp;IF(N(AF87)&gt;0,", "&amp;A87&amp;"-"&amp;AF$2,"")&amp;IF(N(AG87)&gt;0,", "&amp;A87&amp;"-"&amp;AG$2,"")&amp;IF(N(AH87)&gt;0,", "&amp;A87&amp;"-"&amp;AH$2,"")&amp;IF(N(AI87)&gt;0,", "&amp;A87&amp;"-"&amp;AI$2,"")&amp;IF(N(AJ87)&gt;0,", "&amp;A87&amp;"-"&amp;AJ$2,""),3,999))</f>
        <v/>
      </c>
      <c r="AN87" s="81"/>
      <c r="AO87" s="88"/>
      <c r="AP87" s="89" t="str">
        <f aca="false">IF(AO87="","",ROUND(AO87/(1+Справочники!$B$13),2))</f>
        <v/>
      </c>
      <c r="AQ87" s="90" t="str">
        <f aca="false" t="array" ref="AQ87:AQ87">IF(AP87="","",AP87*INDEX(Справочники!$B$4:$B$7,MATCH("RUB",Справочники!$A$4:$A$7,0)))</f>
        <v/>
      </c>
      <c r="AR87" s="90" t="str">
        <f aca="false">IF(AQ87="","",ROUND(AQ87*(1+Справочники!$B$12),0))</f>
        <v/>
      </c>
      <c r="AS87" s="90" t="str">
        <f aca="false">IF(AR87="","",ROUND(AR87*(1-Справочники!$B$11),0))</f>
        <v/>
      </c>
      <c r="AT87" s="88"/>
      <c r="AU87" s="90" t="str">
        <f aca="false">IF(AT87="","",ROUND(AT87/(1+Справочники!$B$12),0))</f>
        <v/>
      </c>
      <c r="AV87" s="90" t="str">
        <f aca="false">IF(AT87="","",ROUND(AT87*(1-Справочники!$B$15),0))</f>
        <v/>
      </c>
      <c r="AW87" s="90" t="str">
        <f aca="false">IF(AT87="","",ROUND(AT87*(1-Справочники!$B$16),0))</f>
        <v/>
      </c>
      <c r="AX87" s="90" t="str">
        <f aca="false">IF(AT87="","",ROUND(AT87*(1-Справочники!$B$17),0))</f>
        <v/>
      </c>
      <c r="AY87" s="90" t="str">
        <f aca="false">IF(AT87="","",ROUND(AT87*(1-Справочники!$B$18),0))</f>
        <v/>
      </c>
      <c r="AZ87" s="90" t="str">
        <f aca="false">IF(AT87="","",ROUND(AT87*(1-Справочники!$B$19),0))</f>
        <v/>
      </c>
      <c r="BA87" s="81"/>
      <c r="BB87" s="81"/>
      <c r="BC87" s="81"/>
      <c r="BD87" s="81"/>
      <c r="BE87" s="91"/>
      <c r="BF87" s="81" t="s">
        <v>103</v>
      </c>
      <c r="BG87" s="89" t="n">
        <f aca="false" t="array" ref="BG87:BG87">IF(BF87="","",IFERROR(INDEX(Справочники!$B$4:$B$7,MATCH(BF87,Справочники!$A$4:$A$7,0)),""))</f>
        <v>68.5</v>
      </c>
      <c r="BH87" s="90" t="str">
        <f aca="false">IF(N(BN87)&gt;0,ROUND(SUMIF(ЗАКАЗЫ!$F$3:$F$500,$A87,ЗАКАЗЫ!$Y$3:$Y$500)/BN87,0),IF(OR(BE87="",BG87=""),"",ROUND(BE87*BG87*(1+Справочники!$B$10),0)))</f>
        <v/>
      </c>
      <c r="BI87" s="92" t="str">
        <f aca="false">IF(OR(AU87="",BH87="",AU87=0),"",(AU87-BH87)/AU87)</f>
        <v/>
      </c>
      <c r="BJ87" s="81"/>
      <c r="BK87" s="83"/>
      <c r="BL87" s="43" t="str">
        <f aca="false">IFERROR(INDEX(ЗАКАЗЫ!$N$3:$N$500,MATCH($A87,ЗАКАЗЫ!$F$3:$F$500,0)),"")</f>
        <v/>
      </c>
      <c r="BM87" s="8" t="str">
        <f aca="false">IF(BL87="","",IFERROR(VLOOKUP(BL87,'ТН ВЭД'!$A$4:$C$40,3,0),""))</f>
        <v/>
      </c>
      <c r="BN87" s="7" t="str">
        <f aca="false">IF(COUNTIF(ЗАКАЗЫ!$F$3:$F$500,$A87)=0,"",SUMIF(ЗАКАЗЫ!$F$3:$F$500,$A87,ЗАКАЗЫ!$J$3:$J$500))</f>
        <v/>
      </c>
      <c r="BO87" s="7" t="str">
        <f aca="false">IF(BN87="","",SUMIF(ЗАКАЗЫ!$F$3:$F$500,$A87,ЗАКАЗЫ!$AL$3:$AL$500))</f>
        <v/>
      </c>
      <c r="BP87" s="7" t="str">
        <f aca="false">IF(BN87="","",BN87-BO87)</f>
        <v/>
      </c>
      <c r="BQ87" s="55" t="str">
        <f aca="false">IF(BN87="","",IF(BO87&gt;=BN87,"На складе",IF(BO87&gt;0,"Частично","Ждём")))</f>
        <v/>
      </c>
      <c r="BR87" s="43"/>
      <c r="BS87" s="47" t="str">
        <f aca="false">IF(BN87="","",IF(_xlfn.MAXIFS(ЗАКАЗЫ!$AK$3:$AK$500,ЗАКАЗЫ!$F$3:$F$500,$A87)=0,"",_xlfn.MAXIFS(ЗАКАЗЫ!$AK$3:$AK$500,ЗАКАЗЫ!$F$3:$F$500,$A87)))</f>
        <v/>
      </c>
    </row>
    <row r="88" customFormat="false" ht="15.75" hidden="false" customHeight="true" outlineLevel="0" collapsed="false">
      <c r="A88" s="80" t="s">
        <v>1611</v>
      </c>
      <c r="B88" s="81"/>
      <c r="C88" s="81"/>
      <c r="D88" s="81"/>
      <c r="E88" s="83"/>
      <c r="F88" s="81"/>
      <c r="G88" s="83"/>
      <c r="H88" s="83"/>
      <c r="I88" s="84" t="str">
        <f aca="false">IF(E88="","",A88&amp;"_1.jpg")</f>
        <v/>
      </c>
      <c r="J88" s="84" t="str">
        <f aca="false">IF(E88="","",A88&amp;"_2.jpg; "&amp;A88&amp;"_3.jpg")</f>
        <v/>
      </c>
      <c r="K88" s="84" t="str">
        <f aca="false">IF(E88="","",A88&amp;"_schema.jpg")</f>
        <v/>
      </c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 t="s">
        <v>96</v>
      </c>
      <c r="W88" s="81"/>
      <c r="X88" s="81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6" t="str">
        <f aca="false">IF(SUM(Y88:AJ88)=0,"",SUM(Y88:AJ88))</f>
        <v/>
      </c>
      <c r="AL88" s="84" t="str">
        <f aca="false">MID(IF(N(Y88)&gt;0,", "&amp;Y$2,"")&amp;IF(N(Z88)&gt;0,", "&amp;Z$2,"")&amp;IF(N(AA88)&gt;0,", "&amp;AA$2,"")&amp;IF(N(AB88)&gt;0,", "&amp;AB$2,"")&amp;IF(N(AC88)&gt;0,", "&amp;AC$2,"")&amp;IF(N(AD88)&gt;0,", "&amp;AD$2,"")&amp;IF(N(AE88)&gt;0,", "&amp;AE$2,"")&amp;IF(N(AF88)&gt;0,", "&amp;AF$2,"")&amp;IF(N(AG88)&gt;0,", "&amp;AG$2,"")&amp;IF(N(AH88)&gt;0,", "&amp;AH$2,"")&amp;IF(N(AI88)&gt;0,", "&amp;AI$2,"")&amp;IF(N(AJ88)&gt;0,", "&amp;AJ$2,""),3,999)</f>
        <v/>
      </c>
      <c r="AM88" s="87" t="str">
        <f aca="false">IF(E88="","",MID(IF(N(Y88)&gt;0,", "&amp;A88&amp;"-"&amp;Y$2,"")&amp;IF(N(Z88)&gt;0,", "&amp;A88&amp;"-"&amp;Z$2,"")&amp;IF(N(AA88)&gt;0,", "&amp;A88&amp;"-"&amp;AA$2,"")&amp;IF(N(AB88)&gt;0,", "&amp;A88&amp;"-"&amp;AB$2,"")&amp;IF(N(AC88)&gt;0,", "&amp;A88&amp;"-"&amp;AC$2,"")&amp;IF(N(AD88)&gt;0,", "&amp;A88&amp;"-"&amp;AD$2,"")&amp;IF(N(AE88)&gt;0,", "&amp;A88&amp;"-"&amp;AE$2,"")&amp;IF(N(AF88)&gt;0,", "&amp;A88&amp;"-"&amp;AF$2,"")&amp;IF(N(AG88)&gt;0,", "&amp;A88&amp;"-"&amp;AG$2,"")&amp;IF(N(AH88)&gt;0,", "&amp;A88&amp;"-"&amp;AH$2,"")&amp;IF(N(AI88)&gt;0,", "&amp;A88&amp;"-"&amp;AI$2,"")&amp;IF(N(AJ88)&gt;0,", "&amp;A88&amp;"-"&amp;AJ$2,""),3,999))</f>
        <v/>
      </c>
      <c r="AN88" s="81"/>
      <c r="AO88" s="88"/>
      <c r="AP88" s="89" t="str">
        <f aca="false">IF(AO88="","",ROUND(AO88/(1+Справочники!$B$13),2))</f>
        <v/>
      </c>
      <c r="AQ88" s="90" t="str">
        <f aca="false" t="array" ref="AQ88:AQ88">IF(AP88="","",AP88*INDEX(Справочники!$B$4:$B$7,MATCH("RUB",Справочники!$A$4:$A$7,0)))</f>
        <v/>
      </c>
      <c r="AR88" s="90" t="str">
        <f aca="false">IF(AQ88="","",ROUND(AQ88*(1+Справочники!$B$12),0))</f>
        <v/>
      </c>
      <c r="AS88" s="90" t="str">
        <f aca="false">IF(AR88="","",ROUND(AR88*(1-Справочники!$B$11),0))</f>
        <v/>
      </c>
      <c r="AT88" s="88"/>
      <c r="AU88" s="90" t="str">
        <f aca="false">IF(AT88="","",ROUND(AT88/(1+Справочники!$B$12),0))</f>
        <v/>
      </c>
      <c r="AV88" s="90" t="str">
        <f aca="false">IF(AT88="","",ROUND(AT88*(1-Справочники!$B$15),0))</f>
        <v/>
      </c>
      <c r="AW88" s="90" t="str">
        <f aca="false">IF(AT88="","",ROUND(AT88*(1-Справочники!$B$16),0))</f>
        <v/>
      </c>
      <c r="AX88" s="90" t="str">
        <f aca="false">IF(AT88="","",ROUND(AT88*(1-Справочники!$B$17),0))</f>
        <v/>
      </c>
      <c r="AY88" s="90" t="str">
        <f aca="false">IF(AT88="","",ROUND(AT88*(1-Справочники!$B$18),0))</f>
        <v/>
      </c>
      <c r="AZ88" s="90" t="str">
        <f aca="false">IF(AT88="","",ROUND(AT88*(1-Справочники!$B$19),0))</f>
        <v/>
      </c>
      <c r="BA88" s="81"/>
      <c r="BB88" s="81"/>
      <c r="BC88" s="81"/>
      <c r="BD88" s="81"/>
      <c r="BE88" s="91"/>
      <c r="BF88" s="81" t="s">
        <v>103</v>
      </c>
      <c r="BG88" s="89" t="n">
        <f aca="false" t="array" ref="BG88:BG88">IF(BF88="","",IFERROR(INDEX(Справочники!$B$4:$B$7,MATCH(BF88,Справочники!$A$4:$A$7,0)),""))</f>
        <v>68.5</v>
      </c>
      <c r="BH88" s="90" t="str">
        <f aca="false">IF(N(BN88)&gt;0,ROUND(SUMIF(ЗАКАЗЫ!$F$3:$F$500,$A88,ЗАКАЗЫ!$Y$3:$Y$500)/BN88,0),IF(OR(BE88="",BG88=""),"",ROUND(BE88*BG88*(1+Справочники!$B$10),0)))</f>
        <v/>
      </c>
      <c r="BI88" s="92" t="str">
        <f aca="false">IF(OR(AU88="",BH88="",AU88=0),"",(AU88-BH88)/AU88)</f>
        <v/>
      </c>
      <c r="BJ88" s="81"/>
      <c r="BK88" s="83"/>
      <c r="BL88" s="43" t="str">
        <f aca="false">IFERROR(INDEX(ЗАКАЗЫ!$N$3:$N$500,MATCH($A88,ЗАКАЗЫ!$F$3:$F$500,0)),"")</f>
        <v/>
      </c>
      <c r="BM88" s="8" t="str">
        <f aca="false">IF(BL88="","",IFERROR(VLOOKUP(BL88,'ТН ВЭД'!$A$4:$C$40,3,0),""))</f>
        <v/>
      </c>
      <c r="BN88" s="7" t="str">
        <f aca="false">IF(COUNTIF(ЗАКАЗЫ!$F$3:$F$500,$A88)=0,"",SUMIF(ЗАКАЗЫ!$F$3:$F$500,$A88,ЗАКАЗЫ!$J$3:$J$500))</f>
        <v/>
      </c>
      <c r="BO88" s="7" t="str">
        <f aca="false">IF(BN88="","",SUMIF(ЗАКАЗЫ!$F$3:$F$500,$A88,ЗАКАЗЫ!$AL$3:$AL$500))</f>
        <v/>
      </c>
      <c r="BP88" s="7" t="str">
        <f aca="false">IF(BN88="","",BN88-BO88)</f>
        <v/>
      </c>
      <c r="BQ88" s="55" t="str">
        <f aca="false">IF(BN88="","",IF(BO88&gt;=BN88,"На складе",IF(BO88&gt;0,"Частично","Ждём")))</f>
        <v/>
      </c>
      <c r="BR88" s="43"/>
      <c r="BS88" s="47" t="str">
        <f aca="false">IF(BN88="","",IF(_xlfn.MAXIFS(ЗАКАЗЫ!$AK$3:$AK$500,ЗАКАЗЫ!$F$3:$F$500,$A88)=0,"",_xlfn.MAXIFS(ЗАКАЗЫ!$AK$3:$AK$500,ЗАКАЗЫ!$F$3:$F$500,$A88)))</f>
        <v/>
      </c>
    </row>
    <row r="89" customFormat="false" ht="15.75" hidden="false" customHeight="true" outlineLevel="0" collapsed="false">
      <c r="A89" s="80" t="s">
        <v>1612</v>
      </c>
      <c r="B89" s="81"/>
      <c r="C89" s="81"/>
      <c r="D89" s="81"/>
      <c r="E89" s="83"/>
      <c r="F89" s="81"/>
      <c r="G89" s="83"/>
      <c r="H89" s="83"/>
      <c r="I89" s="84" t="str">
        <f aca="false">IF(E89="","",A89&amp;"_1.jpg")</f>
        <v/>
      </c>
      <c r="J89" s="84" t="str">
        <f aca="false">IF(E89="","",A89&amp;"_2.jpg; "&amp;A89&amp;"_3.jpg")</f>
        <v/>
      </c>
      <c r="K89" s="84" t="str">
        <f aca="false">IF(E89="","",A89&amp;"_schema.jpg")</f>
        <v/>
      </c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 t="s">
        <v>96</v>
      </c>
      <c r="W89" s="81"/>
      <c r="X89" s="81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6" t="str">
        <f aca="false">IF(SUM(Y89:AJ89)=0,"",SUM(Y89:AJ89))</f>
        <v/>
      </c>
      <c r="AL89" s="84" t="str">
        <f aca="false">MID(IF(N(Y89)&gt;0,", "&amp;Y$2,"")&amp;IF(N(Z89)&gt;0,", "&amp;Z$2,"")&amp;IF(N(AA89)&gt;0,", "&amp;AA$2,"")&amp;IF(N(AB89)&gt;0,", "&amp;AB$2,"")&amp;IF(N(AC89)&gt;0,", "&amp;AC$2,"")&amp;IF(N(AD89)&gt;0,", "&amp;AD$2,"")&amp;IF(N(AE89)&gt;0,", "&amp;AE$2,"")&amp;IF(N(AF89)&gt;0,", "&amp;AF$2,"")&amp;IF(N(AG89)&gt;0,", "&amp;AG$2,"")&amp;IF(N(AH89)&gt;0,", "&amp;AH$2,"")&amp;IF(N(AI89)&gt;0,", "&amp;AI$2,"")&amp;IF(N(AJ89)&gt;0,", "&amp;AJ$2,""),3,999)</f>
        <v/>
      </c>
      <c r="AM89" s="87" t="str">
        <f aca="false">IF(E89="","",MID(IF(N(Y89)&gt;0,", "&amp;A89&amp;"-"&amp;Y$2,"")&amp;IF(N(Z89)&gt;0,", "&amp;A89&amp;"-"&amp;Z$2,"")&amp;IF(N(AA89)&gt;0,", "&amp;A89&amp;"-"&amp;AA$2,"")&amp;IF(N(AB89)&gt;0,", "&amp;A89&amp;"-"&amp;AB$2,"")&amp;IF(N(AC89)&gt;0,", "&amp;A89&amp;"-"&amp;AC$2,"")&amp;IF(N(AD89)&gt;0,", "&amp;A89&amp;"-"&amp;AD$2,"")&amp;IF(N(AE89)&gt;0,", "&amp;A89&amp;"-"&amp;AE$2,"")&amp;IF(N(AF89)&gt;0,", "&amp;A89&amp;"-"&amp;AF$2,"")&amp;IF(N(AG89)&gt;0,", "&amp;A89&amp;"-"&amp;AG$2,"")&amp;IF(N(AH89)&gt;0,", "&amp;A89&amp;"-"&amp;AH$2,"")&amp;IF(N(AI89)&gt;0,", "&amp;A89&amp;"-"&amp;AI$2,"")&amp;IF(N(AJ89)&gt;0,", "&amp;A89&amp;"-"&amp;AJ$2,""),3,999))</f>
        <v/>
      </c>
      <c r="AN89" s="81"/>
      <c r="AO89" s="88"/>
      <c r="AP89" s="89" t="str">
        <f aca="false">IF(AO89="","",ROUND(AO89/(1+Справочники!$B$13),2))</f>
        <v/>
      </c>
      <c r="AQ89" s="90" t="str">
        <f aca="false" t="array" ref="AQ89:AQ89">IF(AP89="","",AP89*INDEX(Справочники!$B$4:$B$7,MATCH("RUB",Справочники!$A$4:$A$7,0)))</f>
        <v/>
      </c>
      <c r="AR89" s="90" t="str">
        <f aca="false">IF(AQ89="","",ROUND(AQ89*(1+Справочники!$B$12),0))</f>
        <v/>
      </c>
      <c r="AS89" s="90" t="str">
        <f aca="false">IF(AR89="","",ROUND(AR89*(1-Справочники!$B$11),0))</f>
        <v/>
      </c>
      <c r="AT89" s="88"/>
      <c r="AU89" s="90" t="str">
        <f aca="false">IF(AT89="","",ROUND(AT89/(1+Справочники!$B$12),0))</f>
        <v/>
      </c>
      <c r="AV89" s="90" t="str">
        <f aca="false">IF(AT89="","",ROUND(AT89*(1-Справочники!$B$15),0))</f>
        <v/>
      </c>
      <c r="AW89" s="90" t="str">
        <f aca="false">IF(AT89="","",ROUND(AT89*(1-Справочники!$B$16),0))</f>
        <v/>
      </c>
      <c r="AX89" s="90" t="str">
        <f aca="false">IF(AT89="","",ROUND(AT89*(1-Справочники!$B$17),0))</f>
        <v/>
      </c>
      <c r="AY89" s="90" t="str">
        <f aca="false">IF(AT89="","",ROUND(AT89*(1-Справочники!$B$18),0))</f>
        <v/>
      </c>
      <c r="AZ89" s="90" t="str">
        <f aca="false">IF(AT89="","",ROUND(AT89*(1-Справочники!$B$19),0))</f>
        <v/>
      </c>
      <c r="BA89" s="81"/>
      <c r="BB89" s="81"/>
      <c r="BC89" s="81"/>
      <c r="BD89" s="81"/>
      <c r="BE89" s="91"/>
      <c r="BF89" s="81" t="s">
        <v>103</v>
      </c>
      <c r="BG89" s="89" t="n">
        <f aca="false" t="array" ref="BG89:BG89">IF(BF89="","",IFERROR(INDEX(Справочники!$B$4:$B$7,MATCH(BF89,Справочники!$A$4:$A$7,0)),""))</f>
        <v>68.5</v>
      </c>
      <c r="BH89" s="90" t="str">
        <f aca="false">IF(N(BN89)&gt;0,ROUND(SUMIF(ЗАКАЗЫ!$F$3:$F$500,$A89,ЗАКАЗЫ!$Y$3:$Y$500)/BN89,0),IF(OR(BE89="",BG89=""),"",ROUND(BE89*BG89*(1+Справочники!$B$10),0)))</f>
        <v/>
      </c>
      <c r="BI89" s="92" t="str">
        <f aca="false">IF(OR(AU89="",BH89="",AU89=0),"",(AU89-BH89)/AU89)</f>
        <v/>
      </c>
      <c r="BJ89" s="81"/>
      <c r="BK89" s="83"/>
      <c r="BL89" s="43" t="str">
        <f aca="false">IFERROR(INDEX(ЗАКАЗЫ!$N$3:$N$500,MATCH($A89,ЗАКАЗЫ!$F$3:$F$500,0)),"")</f>
        <v/>
      </c>
      <c r="BM89" s="8" t="str">
        <f aca="false">IF(BL89="","",IFERROR(VLOOKUP(BL89,'ТН ВЭД'!$A$4:$C$40,3,0),""))</f>
        <v/>
      </c>
      <c r="BN89" s="7" t="str">
        <f aca="false">IF(COUNTIF(ЗАКАЗЫ!$F$3:$F$500,$A89)=0,"",SUMIF(ЗАКАЗЫ!$F$3:$F$500,$A89,ЗАКАЗЫ!$J$3:$J$500))</f>
        <v/>
      </c>
      <c r="BO89" s="7" t="str">
        <f aca="false">IF(BN89="","",SUMIF(ЗАКАЗЫ!$F$3:$F$500,$A89,ЗАКАЗЫ!$AL$3:$AL$500))</f>
        <v/>
      </c>
      <c r="BP89" s="7" t="str">
        <f aca="false">IF(BN89="","",BN89-BO89)</f>
        <v/>
      </c>
      <c r="BQ89" s="55" t="str">
        <f aca="false">IF(BN89="","",IF(BO89&gt;=BN89,"На складе",IF(BO89&gt;0,"Частично","Ждём")))</f>
        <v/>
      </c>
      <c r="BR89" s="43"/>
      <c r="BS89" s="47" t="str">
        <f aca="false">IF(BN89="","",IF(_xlfn.MAXIFS(ЗАКАЗЫ!$AK$3:$AK$500,ЗАКАЗЫ!$F$3:$F$500,$A89)=0,"",_xlfn.MAXIFS(ЗАКАЗЫ!$AK$3:$AK$500,ЗАКАЗЫ!$F$3:$F$500,$A89)))</f>
        <v/>
      </c>
    </row>
    <row r="90" customFormat="false" ht="15.75" hidden="false" customHeight="true" outlineLevel="0" collapsed="false">
      <c r="A90" s="80" t="s">
        <v>1613</v>
      </c>
      <c r="B90" s="81"/>
      <c r="C90" s="81"/>
      <c r="D90" s="81"/>
      <c r="E90" s="83"/>
      <c r="F90" s="81"/>
      <c r="G90" s="83"/>
      <c r="H90" s="83"/>
      <c r="I90" s="84" t="str">
        <f aca="false">IF(E90="","",A90&amp;"_1.jpg")</f>
        <v/>
      </c>
      <c r="J90" s="84" t="str">
        <f aca="false">IF(E90="","",A90&amp;"_2.jpg; "&amp;A90&amp;"_3.jpg")</f>
        <v/>
      </c>
      <c r="K90" s="84" t="str">
        <f aca="false">IF(E90="","",A90&amp;"_schema.jpg")</f>
        <v/>
      </c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 t="s">
        <v>96</v>
      </c>
      <c r="W90" s="81"/>
      <c r="X90" s="81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6" t="str">
        <f aca="false">IF(SUM(Y90:AJ90)=0,"",SUM(Y90:AJ90))</f>
        <v/>
      </c>
      <c r="AL90" s="84" t="str">
        <f aca="false">MID(IF(N(Y90)&gt;0,", "&amp;Y$2,"")&amp;IF(N(Z90)&gt;0,", "&amp;Z$2,"")&amp;IF(N(AA90)&gt;0,", "&amp;AA$2,"")&amp;IF(N(AB90)&gt;0,", "&amp;AB$2,"")&amp;IF(N(AC90)&gt;0,", "&amp;AC$2,"")&amp;IF(N(AD90)&gt;0,", "&amp;AD$2,"")&amp;IF(N(AE90)&gt;0,", "&amp;AE$2,"")&amp;IF(N(AF90)&gt;0,", "&amp;AF$2,"")&amp;IF(N(AG90)&gt;0,", "&amp;AG$2,"")&amp;IF(N(AH90)&gt;0,", "&amp;AH$2,"")&amp;IF(N(AI90)&gt;0,", "&amp;AI$2,"")&amp;IF(N(AJ90)&gt;0,", "&amp;AJ$2,""),3,999)</f>
        <v/>
      </c>
      <c r="AM90" s="87" t="str">
        <f aca="false">IF(E90="","",MID(IF(N(Y90)&gt;0,", "&amp;A90&amp;"-"&amp;Y$2,"")&amp;IF(N(Z90)&gt;0,", "&amp;A90&amp;"-"&amp;Z$2,"")&amp;IF(N(AA90)&gt;0,", "&amp;A90&amp;"-"&amp;AA$2,"")&amp;IF(N(AB90)&gt;0,", "&amp;A90&amp;"-"&amp;AB$2,"")&amp;IF(N(AC90)&gt;0,", "&amp;A90&amp;"-"&amp;AC$2,"")&amp;IF(N(AD90)&gt;0,", "&amp;A90&amp;"-"&amp;AD$2,"")&amp;IF(N(AE90)&gt;0,", "&amp;A90&amp;"-"&amp;AE$2,"")&amp;IF(N(AF90)&gt;0,", "&amp;A90&amp;"-"&amp;AF$2,"")&amp;IF(N(AG90)&gt;0,", "&amp;A90&amp;"-"&amp;AG$2,"")&amp;IF(N(AH90)&gt;0,", "&amp;A90&amp;"-"&amp;AH$2,"")&amp;IF(N(AI90)&gt;0,", "&amp;A90&amp;"-"&amp;AI$2,"")&amp;IF(N(AJ90)&gt;0,", "&amp;A90&amp;"-"&amp;AJ$2,""),3,999))</f>
        <v/>
      </c>
      <c r="AN90" s="81"/>
      <c r="AO90" s="88"/>
      <c r="AP90" s="89" t="str">
        <f aca="false">IF(AO90="","",ROUND(AO90/(1+Справочники!$B$13),2))</f>
        <v/>
      </c>
      <c r="AQ90" s="90" t="str">
        <f aca="false" t="array" ref="AQ90:AQ90">IF(AP90="","",AP90*INDEX(Справочники!$B$4:$B$7,MATCH("RUB",Справочники!$A$4:$A$7,0)))</f>
        <v/>
      </c>
      <c r="AR90" s="90" t="str">
        <f aca="false">IF(AQ90="","",ROUND(AQ90*(1+Справочники!$B$12),0))</f>
        <v/>
      </c>
      <c r="AS90" s="90" t="str">
        <f aca="false">IF(AR90="","",ROUND(AR90*(1-Справочники!$B$11),0))</f>
        <v/>
      </c>
      <c r="AT90" s="88"/>
      <c r="AU90" s="90" t="str">
        <f aca="false">IF(AT90="","",ROUND(AT90/(1+Справочники!$B$12),0))</f>
        <v/>
      </c>
      <c r="AV90" s="90" t="str">
        <f aca="false">IF(AT90="","",ROUND(AT90*(1-Справочники!$B$15),0))</f>
        <v/>
      </c>
      <c r="AW90" s="90" t="str">
        <f aca="false">IF(AT90="","",ROUND(AT90*(1-Справочники!$B$16),0))</f>
        <v/>
      </c>
      <c r="AX90" s="90" t="str">
        <f aca="false">IF(AT90="","",ROUND(AT90*(1-Справочники!$B$17),0))</f>
        <v/>
      </c>
      <c r="AY90" s="90" t="str">
        <f aca="false">IF(AT90="","",ROUND(AT90*(1-Справочники!$B$18),0))</f>
        <v/>
      </c>
      <c r="AZ90" s="90" t="str">
        <f aca="false">IF(AT90="","",ROUND(AT90*(1-Справочники!$B$19),0))</f>
        <v/>
      </c>
      <c r="BA90" s="81"/>
      <c r="BB90" s="81"/>
      <c r="BC90" s="81"/>
      <c r="BD90" s="81"/>
      <c r="BE90" s="91"/>
      <c r="BF90" s="81" t="s">
        <v>103</v>
      </c>
      <c r="BG90" s="89" t="n">
        <f aca="false" t="array" ref="BG90:BG90">IF(BF90="","",IFERROR(INDEX(Справочники!$B$4:$B$7,MATCH(BF90,Справочники!$A$4:$A$7,0)),""))</f>
        <v>68.5</v>
      </c>
      <c r="BH90" s="90" t="str">
        <f aca="false">IF(N(BN90)&gt;0,ROUND(SUMIF(ЗАКАЗЫ!$F$3:$F$500,$A90,ЗАКАЗЫ!$Y$3:$Y$500)/BN90,0),IF(OR(BE90="",BG90=""),"",ROUND(BE90*BG90*(1+Справочники!$B$10),0)))</f>
        <v/>
      </c>
      <c r="BI90" s="92" t="str">
        <f aca="false">IF(OR(AU90="",BH90="",AU90=0),"",(AU90-BH90)/AU90)</f>
        <v/>
      </c>
      <c r="BJ90" s="81"/>
      <c r="BK90" s="83"/>
      <c r="BL90" s="43" t="str">
        <f aca="false">IFERROR(INDEX(ЗАКАЗЫ!$N$3:$N$500,MATCH($A90,ЗАКАЗЫ!$F$3:$F$500,0)),"")</f>
        <v/>
      </c>
      <c r="BM90" s="8" t="str">
        <f aca="false">IF(BL90="","",IFERROR(VLOOKUP(BL90,'ТН ВЭД'!$A$4:$C$40,3,0),""))</f>
        <v/>
      </c>
      <c r="BN90" s="7" t="str">
        <f aca="false">IF(COUNTIF(ЗАКАЗЫ!$F$3:$F$500,$A90)=0,"",SUMIF(ЗАКАЗЫ!$F$3:$F$500,$A90,ЗАКАЗЫ!$J$3:$J$500))</f>
        <v/>
      </c>
      <c r="BO90" s="7" t="str">
        <f aca="false">IF(BN90="","",SUMIF(ЗАКАЗЫ!$F$3:$F$500,$A90,ЗАКАЗЫ!$AL$3:$AL$500))</f>
        <v/>
      </c>
      <c r="BP90" s="7" t="str">
        <f aca="false">IF(BN90="","",BN90-BO90)</f>
        <v/>
      </c>
      <c r="BQ90" s="55" t="str">
        <f aca="false">IF(BN90="","",IF(BO90&gt;=BN90,"На складе",IF(BO90&gt;0,"Частично","Ждём")))</f>
        <v/>
      </c>
      <c r="BR90" s="43"/>
      <c r="BS90" s="47" t="str">
        <f aca="false">IF(BN90="","",IF(_xlfn.MAXIFS(ЗАКАЗЫ!$AK$3:$AK$500,ЗАКАЗЫ!$F$3:$F$500,$A90)=0,"",_xlfn.MAXIFS(ЗАКАЗЫ!$AK$3:$AK$500,ЗАКАЗЫ!$F$3:$F$500,$A90)))</f>
        <v/>
      </c>
    </row>
    <row r="91" customFormat="false" ht="15.75" hidden="false" customHeight="true" outlineLevel="0" collapsed="false">
      <c r="A91" s="80" t="s">
        <v>1614</v>
      </c>
      <c r="B91" s="81"/>
      <c r="C91" s="81"/>
      <c r="D91" s="81"/>
      <c r="E91" s="83"/>
      <c r="F91" s="81"/>
      <c r="G91" s="83"/>
      <c r="H91" s="83"/>
      <c r="I91" s="84" t="str">
        <f aca="false">IF(E91="","",A91&amp;"_1.jpg")</f>
        <v/>
      </c>
      <c r="J91" s="84" t="str">
        <f aca="false">IF(E91="","",A91&amp;"_2.jpg; "&amp;A91&amp;"_3.jpg")</f>
        <v/>
      </c>
      <c r="K91" s="84" t="str">
        <f aca="false">IF(E91="","",A91&amp;"_schema.jpg")</f>
        <v/>
      </c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 t="s">
        <v>96</v>
      </c>
      <c r="W91" s="81"/>
      <c r="X91" s="81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6" t="str">
        <f aca="false">IF(SUM(Y91:AJ91)=0,"",SUM(Y91:AJ91))</f>
        <v/>
      </c>
      <c r="AL91" s="84" t="str">
        <f aca="false">MID(IF(N(Y91)&gt;0,", "&amp;Y$2,"")&amp;IF(N(Z91)&gt;0,", "&amp;Z$2,"")&amp;IF(N(AA91)&gt;0,", "&amp;AA$2,"")&amp;IF(N(AB91)&gt;0,", "&amp;AB$2,"")&amp;IF(N(AC91)&gt;0,", "&amp;AC$2,"")&amp;IF(N(AD91)&gt;0,", "&amp;AD$2,"")&amp;IF(N(AE91)&gt;0,", "&amp;AE$2,"")&amp;IF(N(AF91)&gt;0,", "&amp;AF$2,"")&amp;IF(N(AG91)&gt;0,", "&amp;AG$2,"")&amp;IF(N(AH91)&gt;0,", "&amp;AH$2,"")&amp;IF(N(AI91)&gt;0,", "&amp;AI$2,"")&amp;IF(N(AJ91)&gt;0,", "&amp;AJ$2,""),3,999)</f>
        <v/>
      </c>
      <c r="AM91" s="87" t="str">
        <f aca="false">IF(E91="","",MID(IF(N(Y91)&gt;0,", "&amp;A91&amp;"-"&amp;Y$2,"")&amp;IF(N(Z91)&gt;0,", "&amp;A91&amp;"-"&amp;Z$2,"")&amp;IF(N(AA91)&gt;0,", "&amp;A91&amp;"-"&amp;AA$2,"")&amp;IF(N(AB91)&gt;0,", "&amp;A91&amp;"-"&amp;AB$2,"")&amp;IF(N(AC91)&gt;0,", "&amp;A91&amp;"-"&amp;AC$2,"")&amp;IF(N(AD91)&gt;0,", "&amp;A91&amp;"-"&amp;AD$2,"")&amp;IF(N(AE91)&gt;0,", "&amp;A91&amp;"-"&amp;AE$2,"")&amp;IF(N(AF91)&gt;0,", "&amp;A91&amp;"-"&amp;AF$2,"")&amp;IF(N(AG91)&gt;0,", "&amp;A91&amp;"-"&amp;AG$2,"")&amp;IF(N(AH91)&gt;0,", "&amp;A91&amp;"-"&amp;AH$2,"")&amp;IF(N(AI91)&gt;0,", "&amp;A91&amp;"-"&amp;AI$2,"")&amp;IF(N(AJ91)&gt;0,", "&amp;A91&amp;"-"&amp;AJ$2,""),3,999))</f>
        <v/>
      </c>
      <c r="AN91" s="81"/>
      <c r="AO91" s="88"/>
      <c r="AP91" s="89" t="str">
        <f aca="false">IF(AO91="","",ROUND(AO91/(1+Справочники!$B$13),2))</f>
        <v/>
      </c>
      <c r="AQ91" s="90" t="str">
        <f aca="false" t="array" ref="AQ91:AQ91">IF(AP91="","",AP91*INDEX(Справочники!$B$4:$B$7,MATCH("RUB",Справочники!$A$4:$A$7,0)))</f>
        <v/>
      </c>
      <c r="AR91" s="90" t="str">
        <f aca="false">IF(AQ91="","",ROUND(AQ91*(1+Справочники!$B$12),0))</f>
        <v/>
      </c>
      <c r="AS91" s="90" t="str">
        <f aca="false">IF(AR91="","",ROUND(AR91*(1-Справочники!$B$11),0))</f>
        <v/>
      </c>
      <c r="AT91" s="88"/>
      <c r="AU91" s="90" t="str">
        <f aca="false">IF(AT91="","",ROUND(AT91/(1+Справочники!$B$12),0))</f>
        <v/>
      </c>
      <c r="AV91" s="90" t="str">
        <f aca="false">IF(AT91="","",ROUND(AT91*(1-Справочники!$B$15),0))</f>
        <v/>
      </c>
      <c r="AW91" s="90" t="str">
        <f aca="false">IF(AT91="","",ROUND(AT91*(1-Справочники!$B$16),0))</f>
        <v/>
      </c>
      <c r="AX91" s="90" t="str">
        <f aca="false">IF(AT91="","",ROUND(AT91*(1-Справочники!$B$17),0))</f>
        <v/>
      </c>
      <c r="AY91" s="90" t="str">
        <f aca="false">IF(AT91="","",ROUND(AT91*(1-Справочники!$B$18),0))</f>
        <v/>
      </c>
      <c r="AZ91" s="90" t="str">
        <f aca="false">IF(AT91="","",ROUND(AT91*(1-Справочники!$B$19),0))</f>
        <v/>
      </c>
      <c r="BA91" s="81"/>
      <c r="BB91" s="81"/>
      <c r="BC91" s="81"/>
      <c r="BD91" s="81"/>
      <c r="BE91" s="91"/>
      <c r="BF91" s="81" t="s">
        <v>103</v>
      </c>
      <c r="BG91" s="89" t="n">
        <f aca="false" t="array" ref="BG91:BG91">IF(BF91="","",IFERROR(INDEX(Справочники!$B$4:$B$7,MATCH(BF91,Справочники!$A$4:$A$7,0)),""))</f>
        <v>68.5</v>
      </c>
      <c r="BH91" s="90" t="str">
        <f aca="false">IF(N(BN91)&gt;0,ROUND(SUMIF(ЗАКАЗЫ!$F$3:$F$500,$A91,ЗАКАЗЫ!$Y$3:$Y$500)/BN91,0),IF(OR(BE91="",BG91=""),"",ROUND(BE91*BG91*(1+Справочники!$B$10),0)))</f>
        <v/>
      </c>
      <c r="BI91" s="92" t="str">
        <f aca="false">IF(OR(AU91="",BH91="",AU91=0),"",(AU91-BH91)/AU91)</f>
        <v/>
      </c>
      <c r="BJ91" s="81"/>
      <c r="BK91" s="83"/>
      <c r="BL91" s="43" t="str">
        <f aca="false">IFERROR(INDEX(ЗАКАЗЫ!$N$3:$N$500,MATCH($A91,ЗАКАЗЫ!$F$3:$F$500,0)),"")</f>
        <v/>
      </c>
      <c r="BM91" s="8" t="str">
        <f aca="false">IF(BL91="","",IFERROR(VLOOKUP(BL91,'ТН ВЭД'!$A$4:$C$40,3,0),""))</f>
        <v/>
      </c>
      <c r="BN91" s="7" t="str">
        <f aca="false">IF(COUNTIF(ЗАКАЗЫ!$F$3:$F$500,$A91)=0,"",SUMIF(ЗАКАЗЫ!$F$3:$F$500,$A91,ЗАКАЗЫ!$J$3:$J$500))</f>
        <v/>
      </c>
      <c r="BO91" s="7" t="str">
        <f aca="false">IF(BN91="","",SUMIF(ЗАКАЗЫ!$F$3:$F$500,$A91,ЗАКАЗЫ!$AL$3:$AL$500))</f>
        <v/>
      </c>
      <c r="BP91" s="7" t="str">
        <f aca="false">IF(BN91="","",BN91-BO91)</f>
        <v/>
      </c>
      <c r="BQ91" s="55" t="str">
        <f aca="false">IF(BN91="","",IF(BO91&gt;=BN91,"На складе",IF(BO91&gt;0,"Частично","Ждём")))</f>
        <v/>
      </c>
      <c r="BR91" s="43"/>
      <c r="BS91" s="47" t="str">
        <f aca="false">IF(BN91="","",IF(_xlfn.MAXIFS(ЗАКАЗЫ!$AK$3:$AK$500,ЗАКАЗЫ!$F$3:$F$500,$A91)=0,"",_xlfn.MAXIFS(ЗАКАЗЫ!$AK$3:$AK$500,ЗАКАЗЫ!$F$3:$F$500,$A91)))</f>
        <v/>
      </c>
    </row>
    <row r="92" customFormat="false" ht="15.75" hidden="false" customHeight="true" outlineLevel="0" collapsed="false">
      <c r="A92" s="80" t="s">
        <v>1615</v>
      </c>
      <c r="B92" s="81"/>
      <c r="C92" s="81"/>
      <c r="D92" s="81"/>
      <c r="E92" s="83"/>
      <c r="F92" s="81"/>
      <c r="G92" s="83"/>
      <c r="H92" s="83"/>
      <c r="I92" s="84" t="str">
        <f aca="false">IF(E92="","",A92&amp;"_1.jpg")</f>
        <v/>
      </c>
      <c r="J92" s="84" t="str">
        <f aca="false">IF(E92="","",A92&amp;"_2.jpg; "&amp;A92&amp;"_3.jpg")</f>
        <v/>
      </c>
      <c r="K92" s="84" t="str">
        <f aca="false">IF(E92="","",A92&amp;"_schema.jpg")</f>
        <v/>
      </c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 t="s">
        <v>96</v>
      </c>
      <c r="W92" s="81"/>
      <c r="X92" s="81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6" t="str">
        <f aca="false">IF(SUM(Y92:AJ92)=0,"",SUM(Y92:AJ92))</f>
        <v/>
      </c>
      <c r="AL92" s="84" t="str">
        <f aca="false">MID(IF(N(Y92)&gt;0,", "&amp;Y$2,"")&amp;IF(N(Z92)&gt;0,", "&amp;Z$2,"")&amp;IF(N(AA92)&gt;0,", "&amp;AA$2,"")&amp;IF(N(AB92)&gt;0,", "&amp;AB$2,"")&amp;IF(N(AC92)&gt;0,", "&amp;AC$2,"")&amp;IF(N(AD92)&gt;0,", "&amp;AD$2,"")&amp;IF(N(AE92)&gt;0,", "&amp;AE$2,"")&amp;IF(N(AF92)&gt;0,", "&amp;AF$2,"")&amp;IF(N(AG92)&gt;0,", "&amp;AG$2,"")&amp;IF(N(AH92)&gt;0,", "&amp;AH$2,"")&amp;IF(N(AI92)&gt;0,", "&amp;AI$2,"")&amp;IF(N(AJ92)&gt;0,", "&amp;AJ$2,""),3,999)</f>
        <v/>
      </c>
      <c r="AM92" s="87" t="str">
        <f aca="false">IF(E92="","",MID(IF(N(Y92)&gt;0,", "&amp;A92&amp;"-"&amp;Y$2,"")&amp;IF(N(Z92)&gt;0,", "&amp;A92&amp;"-"&amp;Z$2,"")&amp;IF(N(AA92)&gt;0,", "&amp;A92&amp;"-"&amp;AA$2,"")&amp;IF(N(AB92)&gt;0,", "&amp;A92&amp;"-"&amp;AB$2,"")&amp;IF(N(AC92)&gt;0,", "&amp;A92&amp;"-"&amp;AC$2,"")&amp;IF(N(AD92)&gt;0,", "&amp;A92&amp;"-"&amp;AD$2,"")&amp;IF(N(AE92)&gt;0,", "&amp;A92&amp;"-"&amp;AE$2,"")&amp;IF(N(AF92)&gt;0,", "&amp;A92&amp;"-"&amp;AF$2,"")&amp;IF(N(AG92)&gt;0,", "&amp;A92&amp;"-"&amp;AG$2,"")&amp;IF(N(AH92)&gt;0,", "&amp;A92&amp;"-"&amp;AH$2,"")&amp;IF(N(AI92)&gt;0,", "&amp;A92&amp;"-"&amp;AI$2,"")&amp;IF(N(AJ92)&gt;0,", "&amp;A92&amp;"-"&amp;AJ$2,""),3,999))</f>
        <v/>
      </c>
      <c r="AN92" s="81"/>
      <c r="AO92" s="88"/>
      <c r="AP92" s="89" t="str">
        <f aca="false">IF(AO92="","",ROUND(AO92/(1+Справочники!$B$13),2))</f>
        <v/>
      </c>
      <c r="AQ92" s="90" t="str">
        <f aca="false" t="array" ref="AQ92:AQ92">IF(AP92="","",AP92*INDEX(Справочники!$B$4:$B$7,MATCH("RUB",Справочники!$A$4:$A$7,0)))</f>
        <v/>
      </c>
      <c r="AR92" s="90" t="str">
        <f aca="false">IF(AQ92="","",ROUND(AQ92*(1+Справочники!$B$12),0))</f>
        <v/>
      </c>
      <c r="AS92" s="90" t="str">
        <f aca="false">IF(AR92="","",ROUND(AR92*(1-Справочники!$B$11),0))</f>
        <v/>
      </c>
      <c r="AT92" s="88"/>
      <c r="AU92" s="90" t="str">
        <f aca="false">IF(AT92="","",ROUND(AT92/(1+Справочники!$B$12),0))</f>
        <v/>
      </c>
      <c r="AV92" s="90" t="str">
        <f aca="false">IF(AT92="","",ROUND(AT92*(1-Справочники!$B$15),0))</f>
        <v/>
      </c>
      <c r="AW92" s="90" t="str">
        <f aca="false">IF(AT92="","",ROUND(AT92*(1-Справочники!$B$16),0))</f>
        <v/>
      </c>
      <c r="AX92" s="90" t="str">
        <f aca="false">IF(AT92="","",ROUND(AT92*(1-Справочники!$B$17),0))</f>
        <v/>
      </c>
      <c r="AY92" s="90" t="str">
        <f aca="false">IF(AT92="","",ROUND(AT92*(1-Справочники!$B$18),0))</f>
        <v/>
      </c>
      <c r="AZ92" s="90" t="str">
        <f aca="false">IF(AT92="","",ROUND(AT92*(1-Справочники!$B$19),0))</f>
        <v/>
      </c>
      <c r="BA92" s="81"/>
      <c r="BB92" s="81"/>
      <c r="BC92" s="81"/>
      <c r="BD92" s="81"/>
      <c r="BE92" s="91"/>
      <c r="BF92" s="81" t="s">
        <v>103</v>
      </c>
      <c r="BG92" s="89" t="n">
        <f aca="false" t="array" ref="BG92:BG92">IF(BF92="","",IFERROR(INDEX(Справочники!$B$4:$B$7,MATCH(BF92,Справочники!$A$4:$A$7,0)),""))</f>
        <v>68.5</v>
      </c>
      <c r="BH92" s="90" t="str">
        <f aca="false">IF(N(BN92)&gt;0,ROUND(SUMIF(ЗАКАЗЫ!$F$3:$F$500,$A92,ЗАКАЗЫ!$Y$3:$Y$500)/BN92,0),IF(OR(BE92="",BG92=""),"",ROUND(BE92*BG92*(1+Справочники!$B$10),0)))</f>
        <v/>
      </c>
      <c r="BI92" s="92" t="str">
        <f aca="false">IF(OR(AU92="",BH92="",AU92=0),"",(AU92-BH92)/AU92)</f>
        <v/>
      </c>
      <c r="BJ92" s="81"/>
      <c r="BK92" s="83"/>
      <c r="BL92" s="43" t="str">
        <f aca="false">IFERROR(INDEX(ЗАКАЗЫ!$N$3:$N$500,MATCH($A92,ЗАКАЗЫ!$F$3:$F$500,0)),"")</f>
        <v/>
      </c>
      <c r="BM92" s="8" t="str">
        <f aca="false">IF(BL92="","",IFERROR(VLOOKUP(BL92,'ТН ВЭД'!$A$4:$C$40,3,0),""))</f>
        <v/>
      </c>
      <c r="BN92" s="7" t="str">
        <f aca="false">IF(COUNTIF(ЗАКАЗЫ!$F$3:$F$500,$A92)=0,"",SUMIF(ЗАКАЗЫ!$F$3:$F$500,$A92,ЗАКАЗЫ!$J$3:$J$500))</f>
        <v/>
      </c>
      <c r="BO92" s="7" t="str">
        <f aca="false">IF(BN92="","",SUMIF(ЗАКАЗЫ!$F$3:$F$500,$A92,ЗАКАЗЫ!$AL$3:$AL$500))</f>
        <v/>
      </c>
      <c r="BP92" s="7" t="str">
        <f aca="false">IF(BN92="","",BN92-BO92)</f>
        <v/>
      </c>
      <c r="BQ92" s="55" t="str">
        <f aca="false">IF(BN92="","",IF(BO92&gt;=BN92,"На складе",IF(BO92&gt;0,"Частично","Ждём")))</f>
        <v/>
      </c>
      <c r="BR92" s="43"/>
      <c r="BS92" s="47" t="str">
        <f aca="false">IF(BN92="","",IF(_xlfn.MAXIFS(ЗАКАЗЫ!$AK$3:$AK$500,ЗАКАЗЫ!$F$3:$F$500,$A92)=0,"",_xlfn.MAXIFS(ЗАКАЗЫ!$AK$3:$AK$500,ЗАКАЗЫ!$F$3:$F$500,$A92)))</f>
        <v/>
      </c>
    </row>
    <row r="93" customFormat="false" ht="15.75" hidden="false" customHeight="true" outlineLevel="0" collapsed="false">
      <c r="A93" s="80" t="s">
        <v>1616</v>
      </c>
      <c r="B93" s="81"/>
      <c r="C93" s="81"/>
      <c r="D93" s="81"/>
      <c r="E93" s="83"/>
      <c r="F93" s="81"/>
      <c r="G93" s="83"/>
      <c r="H93" s="83"/>
      <c r="I93" s="84" t="str">
        <f aca="false">IF(E93="","",A93&amp;"_1.jpg")</f>
        <v/>
      </c>
      <c r="J93" s="84" t="str">
        <f aca="false">IF(E93="","",A93&amp;"_2.jpg; "&amp;A93&amp;"_3.jpg")</f>
        <v/>
      </c>
      <c r="K93" s="84" t="str">
        <f aca="false">IF(E93="","",A93&amp;"_schema.jpg")</f>
        <v/>
      </c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 t="s">
        <v>96</v>
      </c>
      <c r="W93" s="81"/>
      <c r="X93" s="81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6" t="str">
        <f aca="false">IF(SUM(Y93:AJ93)=0,"",SUM(Y93:AJ93))</f>
        <v/>
      </c>
      <c r="AL93" s="84" t="str">
        <f aca="false">MID(IF(N(Y93)&gt;0,", "&amp;Y$2,"")&amp;IF(N(Z93)&gt;0,", "&amp;Z$2,"")&amp;IF(N(AA93)&gt;0,", "&amp;AA$2,"")&amp;IF(N(AB93)&gt;0,", "&amp;AB$2,"")&amp;IF(N(AC93)&gt;0,", "&amp;AC$2,"")&amp;IF(N(AD93)&gt;0,", "&amp;AD$2,"")&amp;IF(N(AE93)&gt;0,", "&amp;AE$2,"")&amp;IF(N(AF93)&gt;0,", "&amp;AF$2,"")&amp;IF(N(AG93)&gt;0,", "&amp;AG$2,"")&amp;IF(N(AH93)&gt;0,", "&amp;AH$2,"")&amp;IF(N(AI93)&gt;0,", "&amp;AI$2,"")&amp;IF(N(AJ93)&gt;0,", "&amp;AJ$2,""),3,999)</f>
        <v/>
      </c>
      <c r="AM93" s="87" t="str">
        <f aca="false">IF(E93="","",MID(IF(N(Y93)&gt;0,", "&amp;A93&amp;"-"&amp;Y$2,"")&amp;IF(N(Z93)&gt;0,", "&amp;A93&amp;"-"&amp;Z$2,"")&amp;IF(N(AA93)&gt;0,", "&amp;A93&amp;"-"&amp;AA$2,"")&amp;IF(N(AB93)&gt;0,", "&amp;A93&amp;"-"&amp;AB$2,"")&amp;IF(N(AC93)&gt;0,", "&amp;A93&amp;"-"&amp;AC$2,"")&amp;IF(N(AD93)&gt;0,", "&amp;A93&amp;"-"&amp;AD$2,"")&amp;IF(N(AE93)&gt;0,", "&amp;A93&amp;"-"&amp;AE$2,"")&amp;IF(N(AF93)&gt;0,", "&amp;A93&amp;"-"&amp;AF$2,"")&amp;IF(N(AG93)&gt;0,", "&amp;A93&amp;"-"&amp;AG$2,"")&amp;IF(N(AH93)&gt;0,", "&amp;A93&amp;"-"&amp;AH$2,"")&amp;IF(N(AI93)&gt;0,", "&amp;A93&amp;"-"&amp;AI$2,"")&amp;IF(N(AJ93)&gt;0,", "&amp;A93&amp;"-"&amp;AJ$2,""),3,999))</f>
        <v/>
      </c>
      <c r="AN93" s="81"/>
      <c r="AO93" s="88"/>
      <c r="AP93" s="89" t="str">
        <f aca="false">IF(AO93="","",ROUND(AO93/(1+Справочники!$B$13),2))</f>
        <v/>
      </c>
      <c r="AQ93" s="90" t="str">
        <f aca="false" t="array" ref="AQ93:AQ93">IF(AP93="","",AP93*INDEX(Справочники!$B$4:$B$7,MATCH("RUB",Справочники!$A$4:$A$7,0)))</f>
        <v/>
      </c>
      <c r="AR93" s="90" t="str">
        <f aca="false">IF(AQ93="","",ROUND(AQ93*(1+Справочники!$B$12),0))</f>
        <v/>
      </c>
      <c r="AS93" s="90" t="str">
        <f aca="false">IF(AR93="","",ROUND(AR93*(1-Справочники!$B$11),0))</f>
        <v/>
      </c>
      <c r="AT93" s="88"/>
      <c r="AU93" s="90" t="str">
        <f aca="false">IF(AT93="","",ROUND(AT93/(1+Справочники!$B$12),0))</f>
        <v/>
      </c>
      <c r="AV93" s="90" t="str">
        <f aca="false">IF(AT93="","",ROUND(AT93*(1-Справочники!$B$15),0))</f>
        <v/>
      </c>
      <c r="AW93" s="90" t="str">
        <f aca="false">IF(AT93="","",ROUND(AT93*(1-Справочники!$B$16),0))</f>
        <v/>
      </c>
      <c r="AX93" s="90" t="str">
        <f aca="false">IF(AT93="","",ROUND(AT93*(1-Справочники!$B$17),0))</f>
        <v/>
      </c>
      <c r="AY93" s="90" t="str">
        <f aca="false">IF(AT93="","",ROUND(AT93*(1-Справочники!$B$18),0))</f>
        <v/>
      </c>
      <c r="AZ93" s="90" t="str">
        <f aca="false">IF(AT93="","",ROUND(AT93*(1-Справочники!$B$19),0))</f>
        <v/>
      </c>
      <c r="BA93" s="81"/>
      <c r="BB93" s="81"/>
      <c r="BC93" s="81"/>
      <c r="BD93" s="81"/>
      <c r="BE93" s="91"/>
      <c r="BF93" s="81" t="s">
        <v>103</v>
      </c>
      <c r="BG93" s="89" t="n">
        <f aca="false" t="array" ref="BG93:BG93">IF(BF93="","",IFERROR(INDEX(Справочники!$B$4:$B$7,MATCH(BF93,Справочники!$A$4:$A$7,0)),""))</f>
        <v>68.5</v>
      </c>
      <c r="BH93" s="90" t="str">
        <f aca="false">IF(N(BN93)&gt;0,ROUND(SUMIF(ЗАКАЗЫ!$F$3:$F$500,$A93,ЗАКАЗЫ!$Y$3:$Y$500)/BN93,0),IF(OR(BE93="",BG93=""),"",ROUND(BE93*BG93*(1+Справочники!$B$10),0)))</f>
        <v/>
      </c>
      <c r="BI93" s="92" t="str">
        <f aca="false">IF(OR(AU93="",BH93="",AU93=0),"",(AU93-BH93)/AU93)</f>
        <v/>
      </c>
      <c r="BJ93" s="81"/>
      <c r="BK93" s="83"/>
      <c r="BL93" s="43" t="str">
        <f aca="false">IFERROR(INDEX(ЗАКАЗЫ!$N$3:$N$500,MATCH($A93,ЗАКАЗЫ!$F$3:$F$500,0)),"")</f>
        <v/>
      </c>
      <c r="BM93" s="8" t="str">
        <f aca="false">IF(BL93="","",IFERROR(VLOOKUP(BL93,'ТН ВЭД'!$A$4:$C$40,3,0),""))</f>
        <v/>
      </c>
      <c r="BN93" s="7" t="str">
        <f aca="false">IF(COUNTIF(ЗАКАЗЫ!$F$3:$F$500,$A93)=0,"",SUMIF(ЗАКАЗЫ!$F$3:$F$500,$A93,ЗАКАЗЫ!$J$3:$J$500))</f>
        <v/>
      </c>
      <c r="BO93" s="7" t="str">
        <f aca="false">IF(BN93="","",SUMIF(ЗАКАЗЫ!$F$3:$F$500,$A93,ЗАКАЗЫ!$AL$3:$AL$500))</f>
        <v/>
      </c>
      <c r="BP93" s="7" t="str">
        <f aca="false">IF(BN93="","",BN93-BO93)</f>
        <v/>
      </c>
      <c r="BQ93" s="55" t="str">
        <f aca="false">IF(BN93="","",IF(BO93&gt;=BN93,"На складе",IF(BO93&gt;0,"Частично","Ждём")))</f>
        <v/>
      </c>
      <c r="BR93" s="43"/>
      <c r="BS93" s="47" t="str">
        <f aca="false">IF(BN93="","",IF(_xlfn.MAXIFS(ЗАКАЗЫ!$AK$3:$AK$500,ЗАКАЗЫ!$F$3:$F$500,$A93)=0,"",_xlfn.MAXIFS(ЗАКАЗЫ!$AK$3:$AK$500,ЗАКАЗЫ!$F$3:$F$500,$A93)))</f>
        <v/>
      </c>
    </row>
    <row r="94" customFormat="false" ht="15.75" hidden="false" customHeight="true" outlineLevel="0" collapsed="false">
      <c r="A94" s="80" t="s">
        <v>1617</v>
      </c>
      <c r="B94" s="81"/>
      <c r="C94" s="81"/>
      <c r="D94" s="81"/>
      <c r="E94" s="83"/>
      <c r="F94" s="81"/>
      <c r="G94" s="83"/>
      <c r="H94" s="83"/>
      <c r="I94" s="84" t="str">
        <f aca="false">IF(E94="","",A94&amp;"_1.jpg")</f>
        <v/>
      </c>
      <c r="J94" s="84" t="str">
        <f aca="false">IF(E94="","",A94&amp;"_2.jpg; "&amp;A94&amp;"_3.jpg")</f>
        <v/>
      </c>
      <c r="K94" s="84" t="str">
        <f aca="false">IF(E94="","",A94&amp;"_schema.jpg")</f>
        <v/>
      </c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 t="s">
        <v>96</v>
      </c>
      <c r="W94" s="81"/>
      <c r="X94" s="81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6" t="str">
        <f aca="false">IF(SUM(Y94:AJ94)=0,"",SUM(Y94:AJ94))</f>
        <v/>
      </c>
      <c r="AL94" s="84" t="str">
        <f aca="false">MID(IF(N(Y94)&gt;0,", "&amp;Y$2,"")&amp;IF(N(Z94)&gt;0,", "&amp;Z$2,"")&amp;IF(N(AA94)&gt;0,", "&amp;AA$2,"")&amp;IF(N(AB94)&gt;0,", "&amp;AB$2,"")&amp;IF(N(AC94)&gt;0,", "&amp;AC$2,"")&amp;IF(N(AD94)&gt;0,", "&amp;AD$2,"")&amp;IF(N(AE94)&gt;0,", "&amp;AE$2,"")&amp;IF(N(AF94)&gt;0,", "&amp;AF$2,"")&amp;IF(N(AG94)&gt;0,", "&amp;AG$2,"")&amp;IF(N(AH94)&gt;0,", "&amp;AH$2,"")&amp;IF(N(AI94)&gt;0,", "&amp;AI$2,"")&amp;IF(N(AJ94)&gt;0,", "&amp;AJ$2,""),3,999)</f>
        <v/>
      </c>
      <c r="AM94" s="87" t="str">
        <f aca="false">IF(E94="","",MID(IF(N(Y94)&gt;0,", "&amp;A94&amp;"-"&amp;Y$2,"")&amp;IF(N(Z94)&gt;0,", "&amp;A94&amp;"-"&amp;Z$2,"")&amp;IF(N(AA94)&gt;0,", "&amp;A94&amp;"-"&amp;AA$2,"")&amp;IF(N(AB94)&gt;0,", "&amp;A94&amp;"-"&amp;AB$2,"")&amp;IF(N(AC94)&gt;0,", "&amp;A94&amp;"-"&amp;AC$2,"")&amp;IF(N(AD94)&gt;0,", "&amp;A94&amp;"-"&amp;AD$2,"")&amp;IF(N(AE94)&gt;0,", "&amp;A94&amp;"-"&amp;AE$2,"")&amp;IF(N(AF94)&gt;0,", "&amp;A94&amp;"-"&amp;AF$2,"")&amp;IF(N(AG94)&gt;0,", "&amp;A94&amp;"-"&amp;AG$2,"")&amp;IF(N(AH94)&gt;0,", "&amp;A94&amp;"-"&amp;AH$2,"")&amp;IF(N(AI94)&gt;0,", "&amp;A94&amp;"-"&amp;AI$2,"")&amp;IF(N(AJ94)&gt;0,", "&amp;A94&amp;"-"&amp;AJ$2,""),3,999))</f>
        <v/>
      </c>
      <c r="AN94" s="81"/>
      <c r="AO94" s="88"/>
      <c r="AP94" s="89" t="str">
        <f aca="false">IF(AO94="","",ROUND(AO94/(1+Справочники!$B$13),2))</f>
        <v/>
      </c>
      <c r="AQ94" s="90" t="str">
        <f aca="false" t="array" ref="AQ94:AQ94">IF(AP94="","",AP94*INDEX(Справочники!$B$4:$B$7,MATCH("RUB",Справочники!$A$4:$A$7,0)))</f>
        <v/>
      </c>
      <c r="AR94" s="90" t="str">
        <f aca="false">IF(AQ94="","",ROUND(AQ94*(1+Справочники!$B$12),0))</f>
        <v/>
      </c>
      <c r="AS94" s="90" t="str">
        <f aca="false">IF(AR94="","",ROUND(AR94*(1-Справочники!$B$11),0))</f>
        <v/>
      </c>
      <c r="AT94" s="88"/>
      <c r="AU94" s="90" t="str">
        <f aca="false">IF(AT94="","",ROUND(AT94/(1+Справочники!$B$12),0))</f>
        <v/>
      </c>
      <c r="AV94" s="90" t="str">
        <f aca="false">IF(AT94="","",ROUND(AT94*(1-Справочники!$B$15),0))</f>
        <v/>
      </c>
      <c r="AW94" s="90" t="str">
        <f aca="false">IF(AT94="","",ROUND(AT94*(1-Справочники!$B$16),0))</f>
        <v/>
      </c>
      <c r="AX94" s="90" t="str">
        <f aca="false">IF(AT94="","",ROUND(AT94*(1-Справочники!$B$17),0))</f>
        <v/>
      </c>
      <c r="AY94" s="90" t="str">
        <f aca="false">IF(AT94="","",ROUND(AT94*(1-Справочники!$B$18),0))</f>
        <v/>
      </c>
      <c r="AZ94" s="90" t="str">
        <f aca="false">IF(AT94="","",ROUND(AT94*(1-Справочники!$B$19),0))</f>
        <v/>
      </c>
      <c r="BA94" s="81"/>
      <c r="BB94" s="81"/>
      <c r="BC94" s="81"/>
      <c r="BD94" s="81"/>
      <c r="BE94" s="91"/>
      <c r="BF94" s="81" t="s">
        <v>103</v>
      </c>
      <c r="BG94" s="89" t="n">
        <f aca="false" t="array" ref="BG94:BG94">IF(BF94="","",IFERROR(INDEX(Справочники!$B$4:$B$7,MATCH(BF94,Справочники!$A$4:$A$7,0)),""))</f>
        <v>68.5</v>
      </c>
      <c r="BH94" s="90" t="str">
        <f aca="false">IF(N(BN94)&gt;0,ROUND(SUMIF(ЗАКАЗЫ!$F$3:$F$500,$A94,ЗАКАЗЫ!$Y$3:$Y$500)/BN94,0),IF(OR(BE94="",BG94=""),"",ROUND(BE94*BG94*(1+Справочники!$B$10),0)))</f>
        <v/>
      </c>
      <c r="BI94" s="92" t="str">
        <f aca="false">IF(OR(AU94="",BH94="",AU94=0),"",(AU94-BH94)/AU94)</f>
        <v/>
      </c>
      <c r="BJ94" s="81"/>
      <c r="BK94" s="83"/>
      <c r="BL94" s="43" t="str">
        <f aca="false">IFERROR(INDEX(ЗАКАЗЫ!$N$3:$N$500,MATCH($A94,ЗАКАЗЫ!$F$3:$F$500,0)),"")</f>
        <v/>
      </c>
      <c r="BM94" s="8" t="str">
        <f aca="false">IF(BL94="","",IFERROR(VLOOKUP(BL94,'ТН ВЭД'!$A$4:$C$40,3,0),""))</f>
        <v/>
      </c>
      <c r="BN94" s="7" t="str">
        <f aca="false">IF(COUNTIF(ЗАКАЗЫ!$F$3:$F$500,$A94)=0,"",SUMIF(ЗАКАЗЫ!$F$3:$F$500,$A94,ЗАКАЗЫ!$J$3:$J$500))</f>
        <v/>
      </c>
      <c r="BO94" s="7" t="str">
        <f aca="false">IF(BN94="","",SUMIF(ЗАКАЗЫ!$F$3:$F$500,$A94,ЗАКАЗЫ!$AL$3:$AL$500))</f>
        <v/>
      </c>
      <c r="BP94" s="7" t="str">
        <f aca="false">IF(BN94="","",BN94-BO94)</f>
        <v/>
      </c>
      <c r="BQ94" s="55" t="str">
        <f aca="false">IF(BN94="","",IF(BO94&gt;=BN94,"На складе",IF(BO94&gt;0,"Частично","Ждём")))</f>
        <v/>
      </c>
      <c r="BR94" s="43"/>
      <c r="BS94" s="47" t="str">
        <f aca="false">IF(BN94="","",IF(_xlfn.MAXIFS(ЗАКАЗЫ!$AK$3:$AK$500,ЗАКАЗЫ!$F$3:$F$500,$A94)=0,"",_xlfn.MAXIFS(ЗАКАЗЫ!$AK$3:$AK$500,ЗАКАЗЫ!$F$3:$F$500,$A94)))</f>
        <v/>
      </c>
    </row>
    <row r="95" customFormat="false" ht="15.75" hidden="false" customHeight="true" outlineLevel="0" collapsed="false">
      <c r="A95" s="80" t="s">
        <v>1618</v>
      </c>
      <c r="B95" s="81"/>
      <c r="C95" s="81"/>
      <c r="D95" s="81"/>
      <c r="E95" s="83"/>
      <c r="F95" s="81"/>
      <c r="G95" s="83"/>
      <c r="H95" s="83"/>
      <c r="I95" s="84" t="str">
        <f aca="false">IF(E95="","",A95&amp;"_1.jpg")</f>
        <v/>
      </c>
      <c r="J95" s="84" t="str">
        <f aca="false">IF(E95="","",A95&amp;"_2.jpg; "&amp;A95&amp;"_3.jpg")</f>
        <v/>
      </c>
      <c r="K95" s="84" t="str">
        <f aca="false">IF(E95="","",A95&amp;"_schema.jpg")</f>
        <v/>
      </c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 t="s">
        <v>96</v>
      </c>
      <c r="W95" s="81"/>
      <c r="X95" s="81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6" t="str">
        <f aca="false">IF(SUM(Y95:AJ95)=0,"",SUM(Y95:AJ95))</f>
        <v/>
      </c>
      <c r="AL95" s="84" t="str">
        <f aca="false">MID(IF(N(Y95)&gt;0,", "&amp;Y$2,"")&amp;IF(N(Z95)&gt;0,", "&amp;Z$2,"")&amp;IF(N(AA95)&gt;0,", "&amp;AA$2,"")&amp;IF(N(AB95)&gt;0,", "&amp;AB$2,"")&amp;IF(N(AC95)&gt;0,", "&amp;AC$2,"")&amp;IF(N(AD95)&gt;0,", "&amp;AD$2,"")&amp;IF(N(AE95)&gt;0,", "&amp;AE$2,"")&amp;IF(N(AF95)&gt;0,", "&amp;AF$2,"")&amp;IF(N(AG95)&gt;0,", "&amp;AG$2,"")&amp;IF(N(AH95)&gt;0,", "&amp;AH$2,"")&amp;IF(N(AI95)&gt;0,", "&amp;AI$2,"")&amp;IF(N(AJ95)&gt;0,", "&amp;AJ$2,""),3,999)</f>
        <v/>
      </c>
      <c r="AM95" s="87" t="str">
        <f aca="false">IF(E95="","",MID(IF(N(Y95)&gt;0,", "&amp;A95&amp;"-"&amp;Y$2,"")&amp;IF(N(Z95)&gt;0,", "&amp;A95&amp;"-"&amp;Z$2,"")&amp;IF(N(AA95)&gt;0,", "&amp;A95&amp;"-"&amp;AA$2,"")&amp;IF(N(AB95)&gt;0,", "&amp;A95&amp;"-"&amp;AB$2,"")&amp;IF(N(AC95)&gt;0,", "&amp;A95&amp;"-"&amp;AC$2,"")&amp;IF(N(AD95)&gt;0,", "&amp;A95&amp;"-"&amp;AD$2,"")&amp;IF(N(AE95)&gt;0,", "&amp;A95&amp;"-"&amp;AE$2,"")&amp;IF(N(AF95)&gt;0,", "&amp;A95&amp;"-"&amp;AF$2,"")&amp;IF(N(AG95)&gt;0,", "&amp;A95&amp;"-"&amp;AG$2,"")&amp;IF(N(AH95)&gt;0,", "&amp;A95&amp;"-"&amp;AH$2,"")&amp;IF(N(AI95)&gt;0,", "&amp;A95&amp;"-"&amp;AI$2,"")&amp;IF(N(AJ95)&gt;0,", "&amp;A95&amp;"-"&amp;AJ$2,""),3,999))</f>
        <v/>
      </c>
      <c r="AN95" s="81"/>
      <c r="AO95" s="88"/>
      <c r="AP95" s="89" t="str">
        <f aca="false">IF(AO95="","",ROUND(AO95/(1+Справочники!$B$13),2))</f>
        <v/>
      </c>
      <c r="AQ95" s="90" t="str">
        <f aca="false" t="array" ref="AQ95:AQ95">IF(AP95="","",AP95*INDEX(Справочники!$B$4:$B$7,MATCH("RUB",Справочники!$A$4:$A$7,0)))</f>
        <v/>
      </c>
      <c r="AR95" s="90" t="str">
        <f aca="false">IF(AQ95="","",ROUND(AQ95*(1+Справочники!$B$12),0))</f>
        <v/>
      </c>
      <c r="AS95" s="90" t="str">
        <f aca="false">IF(AR95="","",ROUND(AR95*(1-Справочники!$B$11),0))</f>
        <v/>
      </c>
      <c r="AT95" s="88"/>
      <c r="AU95" s="90" t="str">
        <f aca="false">IF(AT95="","",ROUND(AT95/(1+Справочники!$B$12),0))</f>
        <v/>
      </c>
      <c r="AV95" s="90" t="str">
        <f aca="false">IF(AT95="","",ROUND(AT95*(1-Справочники!$B$15),0))</f>
        <v/>
      </c>
      <c r="AW95" s="90" t="str">
        <f aca="false">IF(AT95="","",ROUND(AT95*(1-Справочники!$B$16),0))</f>
        <v/>
      </c>
      <c r="AX95" s="90" t="str">
        <f aca="false">IF(AT95="","",ROUND(AT95*(1-Справочники!$B$17),0))</f>
        <v/>
      </c>
      <c r="AY95" s="90" t="str">
        <f aca="false">IF(AT95="","",ROUND(AT95*(1-Справочники!$B$18),0))</f>
        <v/>
      </c>
      <c r="AZ95" s="90" t="str">
        <f aca="false">IF(AT95="","",ROUND(AT95*(1-Справочники!$B$19),0))</f>
        <v/>
      </c>
      <c r="BA95" s="81"/>
      <c r="BB95" s="81"/>
      <c r="BC95" s="81"/>
      <c r="BD95" s="81"/>
      <c r="BE95" s="91"/>
      <c r="BF95" s="81" t="s">
        <v>103</v>
      </c>
      <c r="BG95" s="89" t="n">
        <f aca="false" t="array" ref="BG95:BG95">IF(BF95="","",IFERROR(INDEX(Справочники!$B$4:$B$7,MATCH(BF95,Справочники!$A$4:$A$7,0)),""))</f>
        <v>68.5</v>
      </c>
      <c r="BH95" s="90" t="str">
        <f aca="false">IF(N(BN95)&gt;0,ROUND(SUMIF(ЗАКАЗЫ!$F$3:$F$500,$A95,ЗАКАЗЫ!$Y$3:$Y$500)/BN95,0),IF(OR(BE95="",BG95=""),"",ROUND(BE95*BG95*(1+Справочники!$B$10),0)))</f>
        <v/>
      </c>
      <c r="BI95" s="92" t="str">
        <f aca="false">IF(OR(AU95="",BH95="",AU95=0),"",(AU95-BH95)/AU95)</f>
        <v/>
      </c>
      <c r="BJ95" s="81"/>
      <c r="BK95" s="83"/>
      <c r="BL95" s="43" t="str">
        <f aca="false">IFERROR(INDEX(ЗАКАЗЫ!$N$3:$N$500,MATCH($A95,ЗАКАЗЫ!$F$3:$F$500,0)),"")</f>
        <v/>
      </c>
      <c r="BM95" s="8" t="str">
        <f aca="false">IF(BL95="","",IFERROR(VLOOKUP(BL95,'ТН ВЭД'!$A$4:$C$40,3,0),""))</f>
        <v/>
      </c>
      <c r="BN95" s="7" t="str">
        <f aca="false">IF(COUNTIF(ЗАКАЗЫ!$F$3:$F$500,$A95)=0,"",SUMIF(ЗАКАЗЫ!$F$3:$F$500,$A95,ЗАКАЗЫ!$J$3:$J$500))</f>
        <v/>
      </c>
      <c r="BO95" s="7" t="str">
        <f aca="false">IF(BN95="","",SUMIF(ЗАКАЗЫ!$F$3:$F$500,$A95,ЗАКАЗЫ!$AL$3:$AL$500))</f>
        <v/>
      </c>
      <c r="BP95" s="7" t="str">
        <f aca="false">IF(BN95="","",BN95-BO95)</f>
        <v/>
      </c>
      <c r="BQ95" s="55" t="str">
        <f aca="false">IF(BN95="","",IF(BO95&gt;=BN95,"На складе",IF(BO95&gt;0,"Частично","Ждём")))</f>
        <v/>
      </c>
      <c r="BR95" s="43"/>
      <c r="BS95" s="47" t="str">
        <f aca="false">IF(BN95="","",IF(_xlfn.MAXIFS(ЗАКАЗЫ!$AK$3:$AK$500,ЗАКАЗЫ!$F$3:$F$500,$A95)=0,"",_xlfn.MAXIFS(ЗАКАЗЫ!$AK$3:$AK$500,ЗАКАЗЫ!$F$3:$F$500,$A95)))</f>
        <v/>
      </c>
    </row>
    <row r="96" customFormat="false" ht="15.75" hidden="false" customHeight="true" outlineLevel="0" collapsed="false">
      <c r="A96" s="80" t="s">
        <v>1619</v>
      </c>
      <c r="B96" s="81"/>
      <c r="C96" s="81"/>
      <c r="D96" s="81"/>
      <c r="E96" s="83"/>
      <c r="F96" s="81"/>
      <c r="G96" s="83"/>
      <c r="H96" s="83"/>
      <c r="I96" s="84" t="str">
        <f aca="false">IF(E96="","",A96&amp;"_1.jpg")</f>
        <v/>
      </c>
      <c r="J96" s="84" t="str">
        <f aca="false">IF(E96="","",A96&amp;"_2.jpg; "&amp;A96&amp;"_3.jpg")</f>
        <v/>
      </c>
      <c r="K96" s="84" t="str">
        <f aca="false">IF(E96="","",A96&amp;"_schema.jpg")</f>
        <v/>
      </c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 t="s">
        <v>96</v>
      </c>
      <c r="W96" s="81"/>
      <c r="X96" s="81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6" t="str">
        <f aca="false">IF(SUM(Y96:AJ96)=0,"",SUM(Y96:AJ96))</f>
        <v/>
      </c>
      <c r="AL96" s="84" t="str">
        <f aca="false">MID(IF(N(Y96)&gt;0,", "&amp;Y$2,"")&amp;IF(N(Z96)&gt;0,", "&amp;Z$2,"")&amp;IF(N(AA96)&gt;0,", "&amp;AA$2,"")&amp;IF(N(AB96)&gt;0,", "&amp;AB$2,"")&amp;IF(N(AC96)&gt;0,", "&amp;AC$2,"")&amp;IF(N(AD96)&gt;0,", "&amp;AD$2,"")&amp;IF(N(AE96)&gt;0,", "&amp;AE$2,"")&amp;IF(N(AF96)&gt;0,", "&amp;AF$2,"")&amp;IF(N(AG96)&gt;0,", "&amp;AG$2,"")&amp;IF(N(AH96)&gt;0,", "&amp;AH$2,"")&amp;IF(N(AI96)&gt;0,", "&amp;AI$2,"")&amp;IF(N(AJ96)&gt;0,", "&amp;AJ$2,""),3,999)</f>
        <v/>
      </c>
      <c r="AM96" s="87" t="str">
        <f aca="false">IF(E96="","",MID(IF(N(Y96)&gt;0,", "&amp;A96&amp;"-"&amp;Y$2,"")&amp;IF(N(Z96)&gt;0,", "&amp;A96&amp;"-"&amp;Z$2,"")&amp;IF(N(AA96)&gt;0,", "&amp;A96&amp;"-"&amp;AA$2,"")&amp;IF(N(AB96)&gt;0,", "&amp;A96&amp;"-"&amp;AB$2,"")&amp;IF(N(AC96)&gt;0,", "&amp;A96&amp;"-"&amp;AC$2,"")&amp;IF(N(AD96)&gt;0,", "&amp;A96&amp;"-"&amp;AD$2,"")&amp;IF(N(AE96)&gt;0,", "&amp;A96&amp;"-"&amp;AE$2,"")&amp;IF(N(AF96)&gt;0,", "&amp;A96&amp;"-"&amp;AF$2,"")&amp;IF(N(AG96)&gt;0,", "&amp;A96&amp;"-"&amp;AG$2,"")&amp;IF(N(AH96)&gt;0,", "&amp;A96&amp;"-"&amp;AH$2,"")&amp;IF(N(AI96)&gt;0,", "&amp;A96&amp;"-"&amp;AI$2,"")&amp;IF(N(AJ96)&gt;0,", "&amp;A96&amp;"-"&amp;AJ$2,""),3,999))</f>
        <v/>
      </c>
      <c r="AN96" s="81"/>
      <c r="AO96" s="88"/>
      <c r="AP96" s="89" t="str">
        <f aca="false">IF(AO96="","",ROUND(AO96/(1+Справочники!$B$13),2))</f>
        <v/>
      </c>
      <c r="AQ96" s="90" t="str">
        <f aca="false" t="array" ref="AQ96:AQ96">IF(AP96="","",AP96*INDEX(Справочники!$B$4:$B$7,MATCH("RUB",Справочники!$A$4:$A$7,0)))</f>
        <v/>
      </c>
      <c r="AR96" s="90" t="str">
        <f aca="false">IF(AQ96="","",ROUND(AQ96*(1+Справочники!$B$12),0))</f>
        <v/>
      </c>
      <c r="AS96" s="90" t="str">
        <f aca="false">IF(AR96="","",ROUND(AR96*(1-Справочники!$B$11),0))</f>
        <v/>
      </c>
      <c r="AT96" s="88"/>
      <c r="AU96" s="90" t="str">
        <f aca="false">IF(AT96="","",ROUND(AT96/(1+Справочники!$B$12),0))</f>
        <v/>
      </c>
      <c r="AV96" s="90" t="str">
        <f aca="false">IF(AT96="","",ROUND(AT96*(1-Справочники!$B$15),0))</f>
        <v/>
      </c>
      <c r="AW96" s="90" t="str">
        <f aca="false">IF(AT96="","",ROUND(AT96*(1-Справочники!$B$16),0))</f>
        <v/>
      </c>
      <c r="AX96" s="90" t="str">
        <f aca="false">IF(AT96="","",ROUND(AT96*(1-Справочники!$B$17),0))</f>
        <v/>
      </c>
      <c r="AY96" s="90" t="str">
        <f aca="false">IF(AT96="","",ROUND(AT96*(1-Справочники!$B$18),0))</f>
        <v/>
      </c>
      <c r="AZ96" s="90" t="str">
        <f aca="false">IF(AT96="","",ROUND(AT96*(1-Справочники!$B$19),0))</f>
        <v/>
      </c>
      <c r="BA96" s="81"/>
      <c r="BB96" s="81"/>
      <c r="BC96" s="81"/>
      <c r="BD96" s="81"/>
      <c r="BE96" s="91"/>
      <c r="BF96" s="81" t="s">
        <v>103</v>
      </c>
      <c r="BG96" s="89" t="n">
        <f aca="false" t="array" ref="BG96:BG96">IF(BF96="","",IFERROR(INDEX(Справочники!$B$4:$B$7,MATCH(BF96,Справочники!$A$4:$A$7,0)),""))</f>
        <v>68.5</v>
      </c>
      <c r="BH96" s="90" t="str">
        <f aca="false">IF(N(BN96)&gt;0,ROUND(SUMIF(ЗАКАЗЫ!$F$3:$F$500,$A96,ЗАКАЗЫ!$Y$3:$Y$500)/BN96,0),IF(OR(BE96="",BG96=""),"",ROUND(BE96*BG96*(1+Справочники!$B$10),0)))</f>
        <v/>
      </c>
      <c r="BI96" s="92" t="str">
        <f aca="false">IF(OR(AU96="",BH96="",AU96=0),"",(AU96-BH96)/AU96)</f>
        <v/>
      </c>
      <c r="BJ96" s="81"/>
      <c r="BK96" s="83"/>
      <c r="BL96" s="43" t="str">
        <f aca="false">IFERROR(INDEX(ЗАКАЗЫ!$N$3:$N$500,MATCH($A96,ЗАКАЗЫ!$F$3:$F$500,0)),"")</f>
        <v/>
      </c>
      <c r="BM96" s="8" t="str">
        <f aca="false">IF(BL96="","",IFERROR(VLOOKUP(BL96,'ТН ВЭД'!$A$4:$C$40,3,0),""))</f>
        <v/>
      </c>
      <c r="BN96" s="7" t="str">
        <f aca="false">IF(COUNTIF(ЗАКАЗЫ!$F$3:$F$500,$A96)=0,"",SUMIF(ЗАКАЗЫ!$F$3:$F$500,$A96,ЗАКАЗЫ!$J$3:$J$500))</f>
        <v/>
      </c>
      <c r="BO96" s="7" t="str">
        <f aca="false">IF(BN96="","",SUMIF(ЗАКАЗЫ!$F$3:$F$500,$A96,ЗАКАЗЫ!$AL$3:$AL$500))</f>
        <v/>
      </c>
      <c r="BP96" s="7" t="str">
        <f aca="false">IF(BN96="","",BN96-BO96)</f>
        <v/>
      </c>
      <c r="BQ96" s="55" t="str">
        <f aca="false">IF(BN96="","",IF(BO96&gt;=BN96,"На складе",IF(BO96&gt;0,"Частично","Ждём")))</f>
        <v/>
      </c>
      <c r="BR96" s="43"/>
      <c r="BS96" s="47" t="str">
        <f aca="false">IF(BN96="","",IF(_xlfn.MAXIFS(ЗАКАЗЫ!$AK$3:$AK$500,ЗАКАЗЫ!$F$3:$F$500,$A96)=0,"",_xlfn.MAXIFS(ЗАКАЗЫ!$AK$3:$AK$500,ЗАКАЗЫ!$F$3:$F$500,$A96)))</f>
        <v/>
      </c>
    </row>
    <row r="97" customFormat="false" ht="15.75" hidden="false" customHeight="true" outlineLevel="0" collapsed="false">
      <c r="A97" s="80" t="s">
        <v>1620</v>
      </c>
      <c r="B97" s="81"/>
      <c r="C97" s="81"/>
      <c r="D97" s="81"/>
      <c r="E97" s="83"/>
      <c r="F97" s="81"/>
      <c r="G97" s="83"/>
      <c r="H97" s="83"/>
      <c r="I97" s="84" t="str">
        <f aca="false">IF(E97="","",A97&amp;"_1.jpg")</f>
        <v/>
      </c>
      <c r="J97" s="84" t="str">
        <f aca="false">IF(E97="","",A97&amp;"_2.jpg; "&amp;A97&amp;"_3.jpg")</f>
        <v/>
      </c>
      <c r="K97" s="84" t="str">
        <f aca="false">IF(E97="","",A97&amp;"_schema.jpg")</f>
        <v/>
      </c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 t="s">
        <v>96</v>
      </c>
      <c r="W97" s="81"/>
      <c r="X97" s="81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6" t="str">
        <f aca="false">IF(SUM(Y97:AJ97)=0,"",SUM(Y97:AJ97))</f>
        <v/>
      </c>
      <c r="AL97" s="84" t="str">
        <f aca="false">MID(IF(N(Y97)&gt;0,", "&amp;Y$2,"")&amp;IF(N(Z97)&gt;0,", "&amp;Z$2,"")&amp;IF(N(AA97)&gt;0,", "&amp;AA$2,"")&amp;IF(N(AB97)&gt;0,", "&amp;AB$2,"")&amp;IF(N(AC97)&gt;0,", "&amp;AC$2,"")&amp;IF(N(AD97)&gt;0,", "&amp;AD$2,"")&amp;IF(N(AE97)&gt;0,", "&amp;AE$2,"")&amp;IF(N(AF97)&gt;0,", "&amp;AF$2,"")&amp;IF(N(AG97)&gt;0,", "&amp;AG$2,"")&amp;IF(N(AH97)&gt;0,", "&amp;AH$2,"")&amp;IF(N(AI97)&gt;0,", "&amp;AI$2,"")&amp;IF(N(AJ97)&gt;0,", "&amp;AJ$2,""),3,999)</f>
        <v/>
      </c>
      <c r="AM97" s="87" t="str">
        <f aca="false">IF(E97="","",MID(IF(N(Y97)&gt;0,", "&amp;A97&amp;"-"&amp;Y$2,"")&amp;IF(N(Z97)&gt;0,", "&amp;A97&amp;"-"&amp;Z$2,"")&amp;IF(N(AA97)&gt;0,", "&amp;A97&amp;"-"&amp;AA$2,"")&amp;IF(N(AB97)&gt;0,", "&amp;A97&amp;"-"&amp;AB$2,"")&amp;IF(N(AC97)&gt;0,", "&amp;A97&amp;"-"&amp;AC$2,"")&amp;IF(N(AD97)&gt;0,", "&amp;A97&amp;"-"&amp;AD$2,"")&amp;IF(N(AE97)&gt;0,", "&amp;A97&amp;"-"&amp;AE$2,"")&amp;IF(N(AF97)&gt;0,", "&amp;A97&amp;"-"&amp;AF$2,"")&amp;IF(N(AG97)&gt;0,", "&amp;A97&amp;"-"&amp;AG$2,"")&amp;IF(N(AH97)&gt;0,", "&amp;A97&amp;"-"&amp;AH$2,"")&amp;IF(N(AI97)&gt;0,", "&amp;A97&amp;"-"&amp;AI$2,"")&amp;IF(N(AJ97)&gt;0,", "&amp;A97&amp;"-"&amp;AJ$2,""),3,999))</f>
        <v/>
      </c>
      <c r="AN97" s="81"/>
      <c r="AO97" s="88"/>
      <c r="AP97" s="89" t="str">
        <f aca="false">IF(AO97="","",ROUND(AO97/(1+Справочники!$B$13),2))</f>
        <v/>
      </c>
      <c r="AQ97" s="90" t="str">
        <f aca="false" t="array" ref="AQ97:AQ97">IF(AP97="","",AP97*INDEX(Справочники!$B$4:$B$7,MATCH("RUB",Справочники!$A$4:$A$7,0)))</f>
        <v/>
      </c>
      <c r="AR97" s="90" t="str">
        <f aca="false">IF(AQ97="","",ROUND(AQ97*(1+Справочники!$B$12),0))</f>
        <v/>
      </c>
      <c r="AS97" s="90" t="str">
        <f aca="false">IF(AR97="","",ROUND(AR97*(1-Справочники!$B$11),0))</f>
        <v/>
      </c>
      <c r="AT97" s="88"/>
      <c r="AU97" s="90" t="str">
        <f aca="false">IF(AT97="","",ROUND(AT97/(1+Справочники!$B$12),0))</f>
        <v/>
      </c>
      <c r="AV97" s="90" t="str">
        <f aca="false">IF(AT97="","",ROUND(AT97*(1-Справочники!$B$15),0))</f>
        <v/>
      </c>
      <c r="AW97" s="90" t="str">
        <f aca="false">IF(AT97="","",ROUND(AT97*(1-Справочники!$B$16),0))</f>
        <v/>
      </c>
      <c r="AX97" s="90" t="str">
        <f aca="false">IF(AT97="","",ROUND(AT97*(1-Справочники!$B$17),0))</f>
        <v/>
      </c>
      <c r="AY97" s="90" t="str">
        <f aca="false">IF(AT97="","",ROUND(AT97*(1-Справочники!$B$18),0))</f>
        <v/>
      </c>
      <c r="AZ97" s="90" t="str">
        <f aca="false">IF(AT97="","",ROUND(AT97*(1-Справочники!$B$19),0))</f>
        <v/>
      </c>
      <c r="BA97" s="81"/>
      <c r="BB97" s="81"/>
      <c r="BC97" s="81"/>
      <c r="BD97" s="81"/>
      <c r="BE97" s="91"/>
      <c r="BF97" s="81" t="s">
        <v>103</v>
      </c>
      <c r="BG97" s="89" t="n">
        <f aca="false" t="array" ref="BG97:BG97">IF(BF97="","",IFERROR(INDEX(Справочники!$B$4:$B$7,MATCH(BF97,Справочники!$A$4:$A$7,0)),""))</f>
        <v>68.5</v>
      </c>
      <c r="BH97" s="90" t="str">
        <f aca="false">IF(N(BN97)&gt;0,ROUND(SUMIF(ЗАКАЗЫ!$F$3:$F$500,$A97,ЗАКАЗЫ!$Y$3:$Y$500)/BN97,0),IF(OR(BE97="",BG97=""),"",ROUND(BE97*BG97*(1+Справочники!$B$10),0)))</f>
        <v/>
      </c>
      <c r="BI97" s="92" t="str">
        <f aca="false">IF(OR(AU97="",BH97="",AU97=0),"",(AU97-BH97)/AU97)</f>
        <v/>
      </c>
      <c r="BJ97" s="81"/>
      <c r="BK97" s="83"/>
      <c r="BL97" s="43" t="str">
        <f aca="false">IFERROR(INDEX(ЗАКАЗЫ!$N$3:$N$500,MATCH($A97,ЗАКАЗЫ!$F$3:$F$500,0)),"")</f>
        <v/>
      </c>
      <c r="BM97" s="8" t="str">
        <f aca="false">IF(BL97="","",IFERROR(VLOOKUP(BL97,'ТН ВЭД'!$A$4:$C$40,3,0),""))</f>
        <v/>
      </c>
      <c r="BN97" s="7" t="str">
        <f aca="false">IF(COUNTIF(ЗАКАЗЫ!$F$3:$F$500,$A97)=0,"",SUMIF(ЗАКАЗЫ!$F$3:$F$500,$A97,ЗАКАЗЫ!$J$3:$J$500))</f>
        <v/>
      </c>
      <c r="BO97" s="7" t="str">
        <f aca="false">IF(BN97="","",SUMIF(ЗАКАЗЫ!$F$3:$F$500,$A97,ЗАКАЗЫ!$AL$3:$AL$500))</f>
        <v/>
      </c>
      <c r="BP97" s="7" t="str">
        <f aca="false">IF(BN97="","",BN97-BO97)</f>
        <v/>
      </c>
      <c r="BQ97" s="55" t="str">
        <f aca="false">IF(BN97="","",IF(BO97&gt;=BN97,"На складе",IF(BO97&gt;0,"Частично","Ждём")))</f>
        <v/>
      </c>
      <c r="BR97" s="43"/>
      <c r="BS97" s="47" t="str">
        <f aca="false">IF(BN97="","",IF(_xlfn.MAXIFS(ЗАКАЗЫ!$AK$3:$AK$500,ЗАКАЗЫ!$F$3:$F$500,$A97)=0,"",_xlfn.MAXIFS(ЗАКАЗЫ!$AK$3:$AK$500,ЗАКАЗЫ!$F$3:$F$500,$A97)))</f>
        <v/>
      </c>
    </row>
    <row r="98" customFormat="false" ht="15.75" hidden="false" customHeight="true" outlineLevel="0" collapsed="false">
      <c r="A98" s="80" t="s">
        <v>1621</v>
      </c>
      <c r="B98" s="81"/>
      <c r="C98" s="81"/>
      <c r="D98" s="81"/>
      <c r="E98" s="83"/>
      <c r="F98" s="81"/>
      <c r="G98" s="83"/>
      <c r="H98" s="83"/>
      <c r="I98" s="84" t="str">
        <f aca="false">IF(E98="","",A98&amp;"_1.jpg")</f>
        <v/>
      </c>
      <c r="J98" s="84" t="str">
        <f aca="false">IF(E98="","",A98&amp;"_2.jpg; "&amp;A98&amp;"_3.jpg")</f>
        <v/>
      </c>
      <c r="K98" s="84" t="str">
        <f aca="false">IF(E98="","",A98&amp;"_schema.jpg")</f>
        <v/>
      </c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 t="s">
        <v>96</v>
      </c>
      <c r="W98" s="81"/>
      <c r="X98" s="81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6" t="str">
        <f aca="false">IF(SUM(Y98:AJ98)=0,"",SUM(Y98:AJ98))</f>
        <v/>
      </c>
      <c r="AL98" s="84" t="str">
        <f aca="false">MID(IF(N(Y98)&gt;0,", "&amp;Y$2,"")&amp;IF(N(Z98)&gt;0,", "&amp;Z$2,"")&amp;IF(N(AA98)&gt;0,", "&amp;AA$2,"")&amp;IF(N(AB98)&gt;0,", "&amp;AB$2,"")&amp;IF(N(AC98)&gt;0,", "&amp;AC$2,"")&amp;IF(N(AD98)&gt;0,", "&amp;AD$2,"")&amp;IF(N(AE98)&gt;0,", "&amp;AE$2,"")&amp;IF(N(AF98)&gt;0,", "&amp;AF$2,"")&amp;IF(N(AG98)&gt;0,", "&amp;AG$2,"")&amp;IF(N(AH98)&gt;0,", "&amp;AH$2,"")&amp;IF(N(AI98)&gt;0,", "&amp;AI$2,"")&amp;IF(N(AJ98)&gt;0,", "&amp;AJ$2,""),3,999)</f>
        <v/>
      </c>
      <c r="AM98" s="87" t="str">
        <f aca="false">IF(E98="","",MID(IF(N(Y98)&gt;0,", "&amp;A98&amp;"-"&amp;Y$2,"")&amp;IF(N(Z98)&gt;0,", "&amp;A98&amp;"-"&amp;Z$2,"")&amp;IF(N(AA98)&gt;0,", "&amp;A98&amp;"-"&amp;AA$2,"")&amp;IF(N(AB98)&gt;0,", "&amp;A98&amp;"-"&amp;AB$2,"")&amp;IF(N(AC98)&gt;0,", "&amp;A98&amp;"-"&amp;AC$2,"")&amp;IF(N(AD98)&gt;0,", "&amp;A98&amp;"-"&amp;AD$2,"")&amp;IF(N(AE98)&gt;0,", "&amp;A98&amp;"-"&amp;AE$2,"")&amp;IF(N(AF98)&gt;0,", "&amp;A98&amp;"-"&amp;AF$2,"")&amp;IF(N(AG98)&gt;0,", "&amp;A98&amp;"-"&amp;AG$2,"")&amp;IF(N(AH98)&gt;0,", "&amp;A98&amp;"-"&amp;AH$2,"")&amp;IF(N(AI98)&gt;0,", "&amp;A98&amp;"-"&amp;AI$2,"")&amp;IF(N(AJ98)&gt;0,", "&amp;A98&amp;"-"&amp;AJ$2,""),3,999))</f>
        <v/>
      </c>
      <c r="AN98" s="81"/>
      <c r="AO98" s="88"/>
      <c r="AP98" s="89" t="str">
        <f aca="false">IF(AO98="","",ROUND(AO98/(1+Справочники!$B$13),2))</f>
        <v/>
      </c>
      <c r="AQ98" s="90" t="str">
        <f aca="false" t="array" ref="AQ98:AQ98">IF(AP98="","",AP98*INDEX(Справочники!$B$4:$B$7,MATCH("RUB",Справочники!$A$4:$A$7,0)))</f>
        <v/>
      </c>
      <c r="AR98" s="90" t="str">
        <f aca="false">IF(AQ98="","",ROUND(AQ98*(1+Справочники!$B$12),0))</f>
        <v/>
      </c>
      <c r="AS98" s="90" t="str">
        <f aca="false">IF(AR98="","",ROUND(AR98*(1-Справочники!$B$11),0))</f>
        <v/>
      </c>
      <c r="AT98" s="88"/>
      <c r="AU98" s="90" t="str">
        <f aca="false">IF(AT98="","",ROUND(AT98/(1+Справочники!$B$12),0))</f>
        <v/>
      </c>
      <c r="AV98" s="90" t="str">
        <f aca="false">IF(AT98="","",ROUND(AT98*(1-Справочники!$B$15),0))</f>
        <v/>
      </c>
      <c r="AW98" s="90" t="str">
        <f aca="false">IF(AT98="","",ROUND(AT98*(1-Справочники!$B$16),0))</f>
        <v/>
      </c>
      <c r="AX98" s="90" t="str">
        <f aca="false">IF(AT98="","",ROUND(AT98*(1-Справочники!$B$17),0))</f>
        <v/>
      </c>
      <c r="AY98" s="90" t="str">
        <f aca="false">IF(AT98="","",ROUND(AT98*(1-Справочники!$B$18),0))</f>
        <v/>
      </c>
      <c r="AZ98" s="90" t="str">
        <f aca="false">IF(AT98="","",ROUND(AT98*(1-Справочники!$B$19),0))</f>
        <v/>
      </c>
      <c r="BA98" s="81"/>
      <c r="BB98" s="81"/>
      <c r="BC98" s="81"/>
      <c r="BD98" s="81"/>
      <c r="BE98" s="91"/>
      <c r="BF98" s="81" t="s">
        <v>103</v>
      </c>
      <c r="BG98" s="89" t="n">
        <f aca="false" t="array" ref="BG98:BG98">IF(BF98="","",IFERROR(INDEX(Справочники!$B$4:$B$7,MATCH(BF98,Справочники!$A$4:$A$7,0)),""))</f>
        <v>68.5</v>
      </c>
      <c r="BH98" s="90" t="str">
        <f aca="false">IF(N(BN98)&gt;0,ROUND(SUMIF(ЗАКАЗЫ!$F$3:$F$500,$A98,ЗАКАЗЫ!$Y$3:$Y$500)/BN98,0),IF(OR(BE98="",BG98=""),"",ROUND(BE98*BG98*(1+Справочники!$B$10),0)))</f>
        <v/>
      </c>
      <c r="BI98" s="92" t="str">
        <f aca="false">IF(OR(AU98="",BH98="",AU98=0),"",(AU98-BH98)/AU98)</f>
        <v/>
      </c>
      <c r="BJ98" s="81"/>
      <c r="BK98" s="83"/>
      <c r="BL98" s="43" t="str">
        <f aca="false">IFERROR(INDEX(ЗАКАЗЫ!$N$3:$N$500,MATCH($A98,ЗАКАЗЫ!$F$3:$F$500,0)),"")</f>
        <v/>
      </c>
      <c r="BM98" s="8" t="str">
        <f aca="false">IF(BL98="","",IFERROR(VLOOKUP(BL98,'ТН ВЭД'!$A$4:$C$40,3,0),""))</f>
        <v/>
      </c>
      <c r="BN98" s="7" t="str">
        <f aca="false">IF(COUNTIF(ЗАКАЗЫ!$F$3:$F$500,$A98)=0,"",SUMIF(ЗАКАЗЫ!$F$3:$F$500,$A98,ЗАКАЗЫ!$J$3:$J$500))</f>
        <v/>
      </c>
      <c r="BO98" s="7" t="str">
        <f aca="false">IF(BN98="","",SUMIF(ЗАКАЗЫ!$F$3:$F$500,$A98,ЗАКАЗЫ!$AL$3:$AL$500))</f>
        <v/>
      </c>
      <c r="BP98" s="7" t="str">
        <f aca="false">IF(BN98="","",BN98-BO98)</f>
        <v/>
      </c>
      <c r="BQ98" s="55" t="str">
        <f aca="false">IF(BN98="","",IF(BO98&gt;=BN98,"На складе",IF(BO98&gt;0,"Частично","Ждём")))</f>
        <v/>
      </c>
      <c r="BR98" s="43"/>
      <c r="BS98" s="47" t="str">
        <f aca="false">IF(BN98="","",IF(_xlfn.MAXIFS(ЗАКАЗЫ!$AK$3:$AK$500,ЗАКАЗЫ!$F$3:$F$500,$A98)=0,"",_xlfn.MAXIFS(ЗАКАЗЫ!$AK$3:$AK$500,ЗАКАЗЫ!$F$3:$F$500,$A98)))</f>
        <v/>
      </c>
    </row>
    <row r="99" customFormat="false" ht="15.75" hidden="false" customHeight="true" outlineLevel="0" collapsed="false">
      <c r="A99" s="80" t="s">
        <v>1622</v>
      </c>
      <c r="B99" s="81"/>
      <c r="C99" s="81"/>
      <c r="D99" s="81"/>
      <c r="E99" s="83"/>
      <c r="F99" s="81"/>
      <c r="G99" s="83"/>
      <c r="H99" s="83"/>
      <c r="I99" s="84" t="str">
        <f aca="false">IF(E99="","",A99&amp;"_1.jpg")</f>
        <v/>
      </c>
      <c r="J99" s="84" t="str">
        <f aca="false">IF(E99="","",A99&amp;"_2.jpg; "&amp;A99&amp;"_3.jpg")</f>
        <v/>
      </c>
      <c r="K99" s="84" t="str">
        <f aca="false">IF(E99="","",A99&amp;"_schema.jpg")</f>
        <v/>
      </c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 t="s">
        <v>96</v>
      </c>
      <c r="W99" s="81"/>
      <c r="X99" s="81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6" t="str">
        <f aca="false">IF(SUM(Y99:AJ99)=0,"",SUM(Y99:AJ99))</f>
        <v/>
      </c>
      <c r="AL99" s="84" t="str">
        <f aca="false">MID(IF(N(Y99)&gt;0,", "&amp;Y$2,"")&amp;IF(N(Z99)&gt;0,", "&amp;Z$2,"")&amp;IF(N(AA99)&gt;0,", "&amp;AA$2,"")&amp;IF(N(AB99)&gt;0,", "&amp;AB$2,"")&amp;IF(N(AC99)&gt;0,", "&amp;AC$2,"")&amp;IF(N(AD99)&gt;0,", "&amp;AD$2,"")&amp;IF(N(AE99)&gt;0,", "&amp;AE$2,"")&amp;IF(N(AF99)&gt;0,", "&amp;AF$2,"")&amp;IF(N(AG99)&gt;0,", "&amp;AG$2,"")&amp;IF(N(AH99)&gt;0,", "&amp;AH$2,"")&amp;IF(N(AI99)&gt;0,", "&amp;AI$2,"")&amp;IF(N(AJ99)&gt;0,", "&amp;AJ$2,""),3,999)</f>
        <v/>
      </c>
      <c r="AM99" s="87" t="str">
        <f aca="false">IF(E99="","",MID(IF(N(Y99)&gt;0,", "&amp;A99&amp;"-"&amp;Y$2,"")&amp;IF(N(Z99)&gt;0,", "&amp;A99&amp;"-"&amp;Z$2,"")&amp;IF(N(AA99)&gt;0,", "&amp;A99&amp;"-"&amp;AA$2,"")&amp;IF(N(AB99)&gt;0,", "&amp;A99&amp;"-"&amp;AB$2,"")&amp;IF(N(AC99)&gt;0,", "&amp;A99&amp;"-"&amp;AC$2,"")&amp;IF(N(AD99)&gt;0,", "&amp;A99&amp;"-"&amp;AD$2,"")&amp;IF(N(AE99)&gt;0,", "&amp;A99&amp;"-"&amp;AE$2,"")&amp;IF(N(AF99)&gt;0,", "&amp;A99&amp;"-"&amp;AF$2,"")&amp;IF(N(AG99)&gt;0,", "&amp;A99&amp;"-"&amp;AG$2,"")&amp;IF(N(AH99)&gt;0,", "&amp;A99&amp;"-"&amp;AH$2,"")&amp;IF(N(AI99)&gt;0,", "&amp;A99&amp;"-"&amp;AI$2,"")&amp;IF(N(AJ99)&gt;0,", "&amp;A99&amp;"-"&amp;AJ$2,""),3,999))</f>
        <v/>
      </c>
      <c r="AN99" s="81"/>
      <c r="AO99" s="88"/>
      <c r="AP99" s="89" t="str">
        <f aca="false">IF(AO99="","",ROUND(AO99/(1+Справочники!$B$13),2))</f>
        <v/>
      </c>
      <c r="AQ99" s="90" t="str">
        <f aca="false" t="array" ref="AQ99:AQ99">IF(AP99="","",AP99*INDEX(Справочники!$B$4:$B$7,MATCH("RUB",Справочники!$A$4:$A$7,0)))</f>
        <v/>
      </c>
      <c r="AR99" s="90" t="str">
        <f aca="false">IF(AQ99="","",ROUND(AQ99*(1+Справочники!$B$12),0))</f>
        <v/>
      </c>
      <c r="AS99" s="90" t="str">
        <f aca="false">IF(AR99="","",ROUND(AR99*(1-Справочники!$B$11),0))</f>
        <v/>
      </c>
      <c r="AT99" s="88"/>
      <c r="AU99" s="90" t="str">
        <f aca="false">IF(AT99="","",ROUND(AT99/(1+Справочники!$B$12),0))</f>
        <v/>
      </c>
      <c r="AV99" s="90" t="str">
        <f aca="false">IF(AT99="","",ROUND(AT99*(1-Справочники!$B$15),0))</f>
        <v/>
      </c>
      <c r="AW99" s="90" t="str">
        <f aca="false">IF(AT99="","",ROUND(AT99*(1-Справочники!$B$16),0))</f>
        <v/>
      </c>
      <c r="AX99" s="90" t="str">
        <f aca="false">IF(AT99="","",ROUND(AT99*(1-Справочники!$B$17),0))</f>
        <v/>
      </c>
      <c r="AY99" s="90" t="str">
        <f aca="false">IF(AT99="","",ROUND(AT99*(1-Справочники!$B$18),0))</f>
        <v/>
      </c>
      <c r="AZ99" s="90" t="str">
        <f aca="false">IF(AT99="","",ROUND(AT99*(1-Справочники!$B$19),0))</f>
        <v/>
      </c>
      <c r="BA99" s="81"/>
      <c r="BB99" s="81"/>
      <c r="BC99" s="81"/>
      <c r="BD99" s="81"/>
      <c r="BE99" s="91"/>
      <c r="BF99" s="81" t="s">
        <v>103</v>
      </c>
      <c r="BG99" s="89" t="n">
        <f aca="false" t="array" ref="BG99:BG99">IF(BF99="","",IFERROR(INDEX(Справочники!$B$4:$B$7,MATCH(BF99,Справочники!$A$4:$A$7,0)),""))</f>
        <v>68.5</v>
      </c>
      <c r="BH99" s="90" t="str">
        <f aca="false">IF(N(BN99)&gt;0,ROUND(SUMIF(ЗАКАЗЫ!$F$3:$F$500,$A99,ЗАКАЗЫ!$Y$3:$Y$500)/BN99,0),IF(OR(BE99="",BG99=""),"",ROUND(BE99*BG99*(1+Справочники!$B$10),0)))</f>
        <v/>
      </c>
      <c r="BI99" s="92" t="str">
        <f aca="false">IF(OR(AU99="",BH99="",AU99=0),"",(AU99-BH99)/AU99)</f>
        <v/>
      </c>
      <c r="BJ99" s="81"/>
      <c r="BK99" s="83"/>
      <c r="BL99" s="43" t="str">
        <f aca="false">IFERROR(INDEX(ЗАКАЗЫ!$N$3:$N$500,MATCH($A99,ЗАКАЗЫ!$F$3:$F$500,0)),"")</f>
        <v/>
      </c>
      <c r="BM99" s="8" t="str">
        <f aca="false">IF(BL99="","",IFERROR(VLOOKUP(BL99,'ТН ВЭД'!$A$4:$C$40,3,0),""))</f>
        <v/>
      </c>
      <c r="BN99" s="7" t="str">
        <f aca="false">IF(COUNTIF(ЗАКАЗЫ!$F$3:$F$500,$A99)=0,"",SUMIF(ЗАКАЗЫ!$F$3:$F$500,$A99,ЗАКАЗЫ!$J$3:$J$500))</f>
        <v/>
      </c>
      <c r="BO99" s="7" t="str">
        <f aca="false">IF(BN99="","",SUMIF(ЗАКАЗЫ!$F$3:$F$500,$A99,ЗАКАЗЫ!$AL$3:$AL$500))</f>
        <v/>
      </c>
      <c r="BP99" s="7" t="str">
        <f aca="false">IF(BN99="","",BN99-BO99)</f>
        <v/>
      </c>
      <c r="BQ99" s="55" t="str">
        <f aca="false">IF(BN99="","",IF(BO99&gt;=BN99,"На складе",IF(BO99&gt;0,"Частично","Ждём")))</f>
        <v/>
      </c>
      <c r="BR99" s="43"/>
      <c r="BS99" s="47" t="str">
        <f aca="false">IF(BN99="","",IF(_xlfn.MAXIFS(ЗАКАЗЫ!$AK$3:$AK$500,ЗАКАЗЫ!$F$3:$F$500,$A99)=0,"",_xlfn.MAXIFS(ЗАКАЗЫ!$AK$3:$AK$500,ЗАКАЗЫ!$F$3:$F$500,$A99)))</f>
        <v/>
      </c>
    </row>
    <row r="100" customFormat="false" ht="15.75" hidden="false" customHeight="true" outlineLevel="0" collapsed="false">
      <c r="A100" s="80" t="s">
        <v>1623</v>
      </c>
      <c r="B100" s="81"/>
      <c r="C100" s="81"/>
      <c r="D100" s="81"/>
      <c r="E100" s="83"/>
      <c r="F100" s="81"/>
      <c r="G100" s="83"/>
      <c r="H100" s="83"/>
      <c r="I100" s="84" t="str">
        <f aca="false">IF(E100="","",A100&amp;"_1.jpg")</f>
        <v/>
      </c>
      <c r="J100" s="84" t="str">
        <f aca="false">IF(E100="","",A100&amp;"_2.jpg; "&amp;A100&amp;"_3.jpg")</f>
        <v/>
      </c>
      <c r="K100" s="84" t="str">
        <f aca="false">IF(E100="","",A100&amp;"_schema.jpg")</f>
        <v/>
      </c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 t="s">
        <v>96</v>
      </c>
      <c r="W100" s="81"/>
      <c r="X100" s="81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6" t="str">
        <f aca="false">IF(SUM(Y100:AJ100)=0,"",SUM(Y100:AJ100))</f>
        <v/>
      </c>
      <c r="AL100" s="84" t="str">
        <f aca="false">MID(IF(N(Y100)&gt;0,", "&amp;Y$2,"")&amp;IF(N(Z100)&gt;0,", "&amp;Z$2,"")&amp;IF(N(AA100)&gt;0,", "&amp;AA$2,"")&amp;IF(N(AB100)&gt;0,", "&amp;AB$2,"")&amp;IF(N(AC100)&gt;0,", "&amp;AC$2,"")&amp;IF(N(AD100)&gt;0,", "&amp;AD$2,"")&amp;IF(N(AE100)&gt;0,", "&amp;AE$2,"")&amp;IF(N(AF100)&gt;0,", "&amp;AF$2,"")&amp;IF(N(AG100)&gt;0,", "&amp;AG$2,"")&amp;IF(N(AH100)&gt;0,", "&amp;AH$2,"")&amp;IF(N(AI100)&gt;0,", "&amp;AI$2,"")&amp;IF(N(AJ100)&gt;0,", "&amp;AJ$2,""),3,999)</f>
        <v/>
      </c>
      <c r="AM100" s="87" t="str">
        <f aca="false">IF(E100="","",MID(IF(N(Y100)&gt;0,", "&amp;A100&amp;"-"&amp;Y$2,"")&amp;IF(N(Z100)&gt;0,", "&amp;A100&amp;"-"&amp;Z$2,"")&amp;IF(N(AA100)&gt;0,", "&amp;A100&amp;"-"&amp;AA$2,"")&amp;IF(N(AB100)&gt;0,", "&amp;A100&amp;"-"&amp;AB$2,"")&amp;IF(N(AC100)&gt;0,", "&amp;A100&amp;"-"&amp;AC$2,"")&amp;IF(N(AD100)&gt;0,", "&amp;A100&amp;"-"&amp;AD$2,"")&amp;IF(N(AE100)&gt;0,", "&amp;A100&amp;"-"&amp;AE$2,"")&amp;IF(N(AF100)&gt;0,", "&amp;A100&amp;"-"&amp;AF$2,"")&amp;IF(N(AG100)&gt;0,", "&amp;A100&amp;"-"&amp;AG$2,"")&amp;IF(N(AH100)&gt;0,", "&amp;A100&amp;"-"&amp;AH$2,"")&amp;IF(N(AI100)&gt;0,", "&amp;A100&amp;"-"&amp;AI$2,"")&amp;IF(N(AJ100)&gt;0,", "&amp;A100&amp;"-"&amp;AJ$2,""),3,999))</f>
        <v/>
      </c>
      <c r="AN100" s="81"/>
      <c r="AO100" s="88"/>
      <c r="AP100" s="89" t="str">
        <f aca="false">IF(AO100="","",ROUND(AO100/(1+Справочники!$B$13),2))</f>
        <v/>
      </c>
      <c r="AQ100" s="90" t="str">
        <f aca="false" t="array" ref="AQ100:AQ100">IF(AP100="","",AP100*INDEX(Справочники!$B$4:$B$7,MATCH("RUB",Справочники!$A$4:$A$7,0)))</f>
        <v/>
      </c>
      <c r="AR100" s="90" t="str">
        <f aca="false">IF(AQ100="","",ROUND(AQ100*(1+Справочники!$B$12),0))</f>
        <v/>
      </c>
      <c r="AS100" s="90" t="str">
        <f aca="false">IF(AR100="","",ROUND(AR100*(1-Справочники!$B$11),0))</f>
        <v/>
      </c>
      <c r="AT100" s="88"/>
      <c r="AU100" s="90" t="str">
        <f aca="false">IF(AT100="","",ROUND(AT100/(1+Справочники!$B$12),0))</f>
        <v/>
      </c>
      <c r="AV100" s="90" t="str">
        <f aca="false">IF(AT100="","",ROUND(AT100*(1-Справочники!$B$15),0))</f>
        <v/>
      </c>
      <c r="AW100" s="90" t="str">
        <f aca="false">IF(AT100="","",ROUND(AT100*(1-Справочники!$B$16),0))</f>
        <v/>
      </c>
      <c r="AX100" s="90" t="str">
        <f aca="false">IF(AT100="","",ROUND(AT100*(1-Справочники!$B$17),0))</f>
        <v/>
      </c>
      <c r="AY100" s="90" t="str">
        <f aca="false">IF(AT100="","",ROUND(AT100*(1-Справочники!$B$18),0))</f>
        <v/>
      </c>
      <c r="AZ100" s="90" t="str">
        <f aca="false">IF(AT100="","",ROUND(AT100*(1-Справочники!$B$19),0))</f>
        <v/>
      </c>
      <c r="BA100" s="81"/>
      <c r="BB100" s="81"/>
      <c r="BC100" s="81"/>
      <c r="BD100" s="81"/>
      <c r="BE100" s="91"/>
      <c r="BF100" s="81" t="s">
        <v>103</v>
      </c>
      <c r="BG100" s="89" t="n">
        <f aca="false" t="array" ref="BG100:BG100">IF(BF100="","",IFERROR(INDEX(Справочники!$B$4:$B$7,MATCH(BF100,Справочники!$A$4:$A$7,0)),""))</f>
        <v>68.5</v>
      </c>
      <c r="BH100" s="90" t="str">
        <f aca="false">IF(N(BN100)&gt;0,ROUND(SUMIF(ЗАКАЗЫ!$F$3:$F$500,$A100,ЗАКАЗЫ!$Y$3:$Y$500)/BN100,0),IF(OR(BE100="",BG100=""),"",ROUND(BE100*BG100*(1+Справочники!$B$10),0)))</f>
        <v/>
      </c>
      <c r="BI100" s="92" t="str">
        <f aca="false">IF(OR(AU100="",BH100="",AU100=0),"",(AU100-BH100)/AU100)</f>
        <v/>
      </c>
      <c r="BJ100" s="81"/>
      <c r="BK100" s="83"/>
      <c r="BL100" s="43" t="str">
        <f aca="false">IFERROR(INDEX(ЗАКАЗЫ!$N$3:$N$500,MATCH($A100,ЗАКАЗЫ!$F$3:$F$500,0)),"")</f>
        <v/>
      </c>
      <c r="BM100" s="8" t="str">
        <f aca="false">IF(BL100="","",IFERROR(VLOOKUP(BL100,'ТН ВЭД'!$A$4:$C$40,3,0),""))</f>
        <v/>
      </c>
      <c r="BN100" s="7" t="str">
        <f aca="false">IF(COUNTIF(ЗАКАЗЫ!$F$3:$F$500,$A100)=0,"",SUMIF(ЗАКАЗЫ!$F$3:$F$500,$A100,ЗАКАЗЫ!$J$3:$J$500))</f>
        <v/>
      </c>
      <c r="BO100" s="7" t="str">
        <f aca="false">IF(BN100="","",SUMIF(ЗАКАЗЫ!$F$3:$F$500,$A100,ЗАКАЗЫ!$AL$3:$AL$500))</f>
        <v/>
      </c>
      <c r="BP100" s="7" t="str">
        <f aca="false">IF(BN100="","",BN100-BO100)</f>
        <v/>
      </c>
      <c r="BQ100" s="55" t="str">
        <f aca="false">IF(BN100="","",IF(BO100&gt;=BN100,"На складе",IF(BO100&gt;0,"Частично","Ждём")))</f>
        <v/>
      </c>
      <c r="BR100" s="43"/>
      <c r="BS100" s="47" t="str">
        <f aca="false">IF(BN100="","",IF(_xlfn.MAXIFS(ЗАКАЗЫ!$AK$3:$AK$500,ЗАКАЗЫ!$F$3:$F$500,$A100)=0,"",_xlfn.MAXIFS(ЗАКАЗЫ!$AK$3:$AK$500,ЗАКАЗЫ!$F$3:$F$500,$A100)))</f>
        <v/>
      </c>
    </row>
    <row r="101" customFormat="false" ht="15.75" hidden="false" customHeight="true" outlineLevel="0" collapsed="false">
      <c r="A101" s="80" t="s">
        <v>1624</v>
      </c>
      <c r="B101" s="81"/>
      <c r="C101" s="81"/>
      <c r="D101" s="81"/>
      <c r="E101" s="83"/>
      <c r="F101" s="81"/>
      <c r="G101" s="83"/>
      <c r="H101" s="83"/>
      <c r="I101" s="84" t="str">
        <f aca="false">IF(E101="","",A101&amp;"_1.jpg")</f>
        <v/>
      </c>
      <c r="J101" s="84" t="str">
        <f aca="false">IF(E101="","",A101&amp;"_2.jpg; "&amp;A101&amp;"_3.jpg")</f>
        <v/>
      </c>
      <c r="K101" s="84" t="str">
        <f aca="false">IF(E101="","",A101&amp;"_schema.jpg")</f>
        <v/>
      </c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 t="s">
        <v>96</v>
      </c>
      <c r="W101" s="81"/>
      <c r="X101" s="81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6" t="str">
        <f aca="false">IF(SUM(Y101:AJ101)=0,"",SUM(Y101:AJ101))</f>
        <v/>
      </c>
      <c r="AL101" s="84" t="str">
        <f aca="false">MID(IF(N(Y101)&gt;0,", "&amp;Y$2,"")&amp;IF(N(Z101)&gt;0,", "&amp;Z$2,"")&amp;IF(N(AA101)&gt;0,", "&amp;AA$2,"")&amp;IF(N(AB101)&gt;0,", "&amp;AB$2,"")&amp;IF(N(AC101)&gt;0,", "&amp;AC$2,"")&amp;IF(N(AD101)&gt;0,", "&amp;AD$2,"")&amp;IF(N(AE101)&gt;0,", "&amp;AE$2,"")&amp;IF(N(AF101)&gt;0,", "&amp;AF$2,"")&amp;IF(N(AG101)&gt;0,", "&amp;AG$2,"")&amp;IF(N(AH101)&gt;0,", "&amp;AH$2,"")&amp;IF(N(AI101)&gt;0,", "&amp;AI$2,"")&amp;IF(N(AJ101)&gt;0,", "&amp;AJ$2,""),3,999)</f>
        <v/>
      </c>
      <c r="AM101" s="87" t="str">
        <f aca="false">IF(E101="","",MID(IF(N(Y101)&gt;0,", "&amp;A101&amp;"-"&amp;Y$2,"")&amp;IF(N(Z101)&gt;0,", "&amp;A101&amp;"-"&amp;Z$2,"")&amp;IF(N(AA101)&gt;0,", "&amp;A101&amp;"-"&amp;AA$2,"")&amp;IF(N(AB101)&gt;0,", "&amp;A101&amp;"-"&amp;AB$2,"")&amp;IF(N(AC101)&gt;0,", "&amp;A101&amp;"-"&amp;AC$2,"")&amp;IF(N(AD101)&gt;0,", "&amp;A101&amp;"-"&amp;AD$2,"")&amp;IF(N(AE101)&gt;0,", "&amp;A101&amp;"-"&amp;AE$2,"")&amp;IF(N(AF101)&gt;0,", "&amp;A101&amp;"-"&amp;AF$2,"")&amp;IF(N(AG101)&gt;0,", "&amp;A101&amp;"-"&amp;AG$2,"")&amp;IF(N(AH101)&gt;0,", "&amp;A101&amp;"-"&amp;AH$2,"")&amp;IF(N(AI101)&gt;0,", "&amp;A101&amp;"-"&amp;AI$2,"")&amp;IF(N(AJ101)&gt;0,", "&amp;A101&amp;"-"&amp;AJ$2,""),3,999))</f>
        <v/>
      </c>
      <c r="AN101" s="81"/>
      <c r="AO101" s="88"/>
      <c r="AP101" s="89" t="str">
        <f aca="false">IF(AO101="","",ROUND(AO101/(1+Справочники!$B$13),2))</f>
        <v/>
      </c>
      <c r="AQ101" s="90" t="str">
        <f aca="false" t="array" ref="AQ101:AQ101">IF(AP101="","",AP101*INDEX(Справочники!$B$4:$B$7,MATCH("RUB",Справочники!$A$4:$A$7,0)))</f>
        <v/>
      </c>
      <c r="AR101" s="90" t="str">
        <f aca="false">IF(AQ101="","",ROUND(AQ101*(1+Справочники!$B$12),0))</f>
        <v/>
      </c>
      <c r="AS101" s="90" t="str">
        <f aca="false">IF(AR101="","",ROUND(AR101*(1-Справочники!$B$11),0))</f>
        <v/>
      </c>
      <c r="AT101" s="88"/>
      <c r="AU101" s="90" t="str">
        <f aca="false">IF(AT101="","",ROUND(AT101/(1+Справочники!$B$12),0))</f>
        <v/>
      </c>
      <c r="AV101" s="90" t="str">
        <f aca="false">IF(AT101="","",ROUND(AT101*(1-Справочники!$B$15),0))</f>
        <v/>
      </c>
      <c r="AW101" s="90" t="str">
        <f aca="false">IF(AT101="","",ROUND(AT101*(1-Справочники!$B$16),0))</f>
        <v/>
      </c>
      <c r="AX101" s="90" t="str">
        <f aca="false">IF(AT101="","",ROUND(AT101*(1-Справочники!$B$17),0))</f>
        <v/>
      </c>
      <c r="AY101" s="90" t="str">
        <f aca="false">IF(AT101="","",ROUND(AT101*(1-Справочники!$B$18),0))</f>
        <v/>
      </c>
      <c r="AZ101" s="90" t="str">
        <f aca="false">IF(AT101="","",ROUND(AT101*(1-Справочники!$B$19),0))</f>
        <v/>
      </c>
      <c r="BA101" s="81"/>
      <c r="BB101" s="81"/>
      <c r="BC101" s="81"/>
      <c r="BD101" s="81"/>
      <c r="BE101" s="91"/>
      <c r="BF101" s="81" t="s">
        <v>103</v>
      </c>
      <c r="BG101" s="89" t="n">
        <f aca="false" t="array" ref="BG101:BG101">IF(BF101="","",IFERROR(INDEX(Справочники!$B$4:$B$7,MATCH(BF101,Справочники!$A$4:$A$7,0)),""))</f>
        <v>68.5</v>
      </c>
      <c r="BH101" s="90" t="str">
        <f aca="false">IF(N(BN101)&gt;0,ROUND(SUMIF(ЗАКАЗЫ!$F$3:$F$500,$A101,ЗАКАЗЫ!$Y$3:$Y$500)/BN101,0),IF(OR(BE101="",BG101=""),"",ROUND(BE101*BG101*(1+Справочники!$B$10),0)))</f>
        <v/>
      </c>
      <c r="BI101" s="92" t="str">
        <f aca="false">IF(OR(AU101="",BH101="",AU101=0),"",(AU101-BH101)/AU101)</f>
        <v/>
      </c>
      <c r="BJ101" s="81"/>
      <c r="BK101" s="83"/>
      <c r="BL101" s="43" t="str">
        <f aca="false">IFERROR(INDEX(ЗАКАЗЫ!$N$3:$N$500,MATCH($A101,ЗАКАЗЫ!$F$3:$F$500,0)),"")</f>
        <v/>
      </c>
      <c r="BM101" s="8" t="str">
        <f aca="false">IF(BL101="","",IFERROR(VLOOKUP(BL101,'ТН ВЭД'!$A$4:$C$40,3,0),""))</f>
        <v/>
      </c>
      <c r="BN101" s="7" t="str">
        <f aca="false">IF(COUNTIF(ЗАКАЗЫ!$F$3:$F$500,$A101)=0,"",SUMIF(ЗАКАЗЫ!$F$3:$F$500,$A101,ЗАКАЗЫ!$J$3:$J$500))</f>
        <v/>
      </c>
      <c r="BO101" s="7" t="str">
        <f aca="false">IF(BN101="","",SUMIF(ЗАКАЗЫ!$F$3:$F$500,$A101,ЗАКАЗЫ!$AL$3:$AL$500))</f>
        <v/>
      </c>
      <c r="BP101" s="7" t="str">
        <f aca="false">IF(BN101="","",BN101-BO101)</f>
        <v/>
      </c>
      <c r="BQ101" s="55" t="str">
        <f aca="false">IF(BN101="","",IF(BO101&gt;=BN101,"На складе",IF(BO101&gt;0,"Частично","Ждём")))</f>
        <v/>
      </c>
      <c r="BR101" s="43"/>
      <c r="BS101" s="47" t="str">
        <f aca="false">IF(BN101="","",IF(_xlfn.MAXIFS(ЗАКАЗЫ!$AK$3:$AK$500,ЗАКАЗЫ!$F$3:$F$500,$A101)=0,"",_xlfn.MAXIFS(ЗАКАЗЫ!$AK$3:$AK$500,ЗАКАЗЫ!$F$3:$F$500,$A101)))</f>
        <v/>
      </c>
    </row>
    <row r="102" customFormat="false" ht="15.75" hidden="false" customHeight="true" outlineLevel="0" collapsed="false">
      <c r="A102" s="80" t="s">
        <v>1625</v>
      </c>
      <c r="B102" s="81"/>
      <c r="C102" s="81"/>
      <c r="D102" s="81"/>
      <c r="E102" s="83"/>
      <c r="F102" s="81"/>
      <c r="G102" s="83"/>
      <c r="H102" s="83"/>
      <c r="I102" s="84" t="str">
        <f aca="false">IF(E102="","",A102&amp;"_1.jpg")</f>
        <v/>
      </c>
      <c r="J102" s="84" t="str">
        <f aca="false">IF(E102="","",A102&amp;"_2.jpg; "&amp;A102&amp;"_3.jpg")</f>
        <v/>
      </c>
      <c r="K102" s="84" t="str">
        <f aca="false">IF(E102="","",A102&amp;"_schema.jpg")</f>
        <v/>
      </c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 t="s">
        <v>96</v>
      </c>
      <c r="W102" s="81"/>
      <c r="X102" s="81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6" t="str">
        <f aca="false">IF(SUM(Y102:AJ102)=0,"",SUM(Y102:AJ102))</f>
        <v/>
      </c>
      <c r="AL102" s="84" t="str">
        <f aca="false">MID(IF(N(Y102)&gt;0,", "&amp;Y$2,"")&amp;IF(N(Z102)&gt;0,", "&amp;Z$2,"")&amp;IF(N(AA102)&gt;0,", "&amp;AA$2,"")&amp;IF(N(AB102)&gt;0,", "&amp;AB$2,"")&amp;IF(N(AC102)&gt;0,", "&amp;AC$2,"")&amp;IF(N(AD102)&gt;0,", "&amp;AD$2,"")&amp;IF(N(AE102)&gt;0,", "&amp;AE$2,"")&amp;IF(N(AF102)&gt;0,", "&amp;AF$2,"")&amp;IF(N(AG102)&gt;0,", "&amp;AG$2,"")&amp;IF(N(AH102)&gt;0,", "&amp;AH$2,"")&amp;IF(N(AI102)&gt;0,", "&amp;AI$2,"")&amp;IF(N(AJ102)&gt;0,", "&amp;AJ$2,""),3,999)</f>
        <v/>
      </c>
      <c r="AM102" s="87" t="str">
        <f aca="false">IF(E102="","",MID(IF(N(Y102)&gt;0,", "&amp;A102&amp;"-"&amp;Y$2,"")&amp;IF(N(Z102)&gt;0,", "&amp;A102&amp;"-"&amp;Z$2,"")&amp;IF(N(AA102)&gt;0,", "&amp;A102&amp;"-"&amp;AA$2,"")&amp;IF(N(AB102)&gt;0,", "&amp;A102&amp;"-"&amp;AB$2,"")&amp;IF(N(AC102)&gt;0,", "&amp;A102&amp;"-"&amp;AC$2,"")&amp;IF(N(AD102)&gt;0,", "&amp;A102&amp;"-"&amp;AD$2,"")&amp;IF(N(AE102)&gt;0,", "&amp;A102&amp;"-"&amp;AE$2,"")&amp;IF(N(AF102)&gt;0,", "&amp;A102&amp;"-"&amp;AF$2,"")&amp;IF(N(AG102)&gt;0,", "&amp;A102&amp;"-"&amp;AG$2,"")&amp;IF(N(AH102)&gt;0,", "&amp;A102&amp;"-"&amp;AH$2,"")&amp;IF(N(AI102)&gt;0,", "&amp;A102&amp;"-"&amp;AI$2,"")&amp;IF(N(AJ102)&gt;0,", "&amp;A102&amp;"-"&amp;AJ$2,""),3,999))</f>
        <v/>
      </c>
      <c r="AN102" s="81"/>
      <c r="AO102" s="88"/>
      <c r="AP102" s="89" t="str">
        <f aca="false">IF(AO102="","",ROUND(AO102/(1+Справочники!$B$13),2))</f>
        <v/>
      </c>
      <c r="AQ102" s="90" t="str">
        <f aca="false" t="array" ref="AQ102:AQ102">IF(AP102="","",AP102*INDEX(Справочники!$B$4:$B$7,MATCH("RUB",Справочники!$A$4:$A$7,0)))</f>
        <v/>
      </c>
      <c r="AR102" s="90" t="str">
        <f aca="false">IF(AQ102="","",ROUND(AQ102*(1+Справочники!$B$12),0))</f>
        <v/>
      </c>
      <c r="AS102" s="90" t="str">
        <f aca="false">IF(AR102="","",ROUND(AR102*(1-Справочники!$B$11),0))</f>
        <v/>
      </c>
      <c r="AT102" s="88"/>
      <c r="AU102" s="90" t="str">
        <f aca="false">IF(AT102="","",ROUND(AT102/(1+Справочники!$B$12),0))</f>
        <v/>
      </c>
      <c r="AV102" s="90" t="str">
        <f aca="false">IF(AT102="","",ROUND(AT102*(1-Справочники!$B$15),0))</f>
        <v/>
      </c>
      <c r="AW102" s="90" t="str">
        <f aca="false">IF(AT102="","",ROUND(AT102*(1-Справочники!$B$16),0))</f>
        <v/>
      </c>
      <c r="AX102" s="90" t="str">
        <f aca="false">IF(AT102="","",ROUND(AT102*(1-Справочники!$B$17),0))</f>
        <v/>
      </c>
      <c r="AY102" s="90" t="str">
        <f aca="false">IF(AT102="","",ROUND(AT102*(1-Справочники!$B$18),0))</f>
        <v/>
      </c>
      <c r="AZ102" s="90" t="str">
        <f aca="false">IF(AT102="","",ROUND(AT102*(1-Справочники!$B$19),0))</f>
        <v/>
      </c>
      <c r="BA102" s="81"/>
      <c r="BB102" s="81"/>
      <c r="BC102" s="81"/>
      <c r="BD102" s="81"/>
      <c r="BE102" s="91"/>
      <c r="BF102" s="81" t="s">
        <v>103</v>
      </c>
      <c r="BG102" s="89" t="n">
        <f aca="false" t="array" ref="BG102:BG102">IF(BF102="","",IFERROR(INDEX(Справочники!$B$4:$B$7,MATCH(BF102,Справочники!$A$4:$A$7,0)),""))</f>
        <v>68.5</v>
      </c>
      <c r="BH102" s="90" t="str">
        <f aca="false">IF(N(BN102)&gt;0,ROUND(SUMIF(ЗАКАЗЫ!$F$3:$F$500,$A102,ЗАКАЗЫ!$Y$3:$Y$500)/BN102,0),IF(OR(BE102="",BG102=""),"",ROUND(BE102*BG102*(1+Справочники!$B$10),0)))</f>
        <v/>
      </c>
      <c r="BI102" s="92" t="str">
        <f aca="false">IF(OR(AU102="",BH102="",AU102=0),"",(AU102-BH102)/AU102)</f>
        <v/>
      </c>
      <c r="BJ102" s="81"/>
      <c r="BK102" s="83"/>
      <c r="BL102" s="43" t="str">
        <f aca="false">IFERROR(INDEX(ЗАКАЗЫ!$N$3:$N$500,MATCH($A102,ЗАКАЗЫ!$F$3:$F$500,0)),"")</f>
        <v/>
      </c>
      <c r="BM102" s="8" t="str">
        <f aca="false">IF(BL102="","",IFERROR(VLOOKUP(BL102,'ТН ВЭД'!$A$4:$C$40,3,0),""))</f>
        <v/>
      </c>
      <c r="BN102" s="7" t="str">
        <f aca="false">IF(COUNTIF(ЗАКАЗЫ!$F$3:$F$500,$A102)=0,"",SUMIF(ЗАКАЗЫ!$F$3:$F$500,$A102,ЗАКАЗЫ!$J$3:$J$500))</f>
        <v/>
      </c>
      <c r="BO102" s="7" t="str">
        <f aca="false">IF(BN102="","",SUMIF(ЗАКАЗЫ!$F$3:$F$500,$A102,ЗАКАЗЫ!$AL$3:$AL$500))</f>
        <v/>
      </c>
      <c r="BP102" s="7" t="str">
        <f aca="false">IF(BN102="","",BN102-BO102)</f>
        <v/>
      </c>
      <c r="BQ102" s="55" t="str">
        <f aca="false">IF(BN102="","",IF(BO102&gt;=BN102,"На складе",IF(BO102&gt;0,"Частично","Ждём")))</f>
        <v/>
      </c>
      <c r="BR102" s="43"/>
      <c r="BS102" s="47" t="str">
        <f aca="false">IF(BN102="","",IF(_xlfn.MAXIFS(ЗАКАЗЫ!$AK$3:$AK$500,ЗАКАЗЫ!$F$3:$F$500,$A102)=0,"",_xlfn.MAXIFS(ЗАКАЗЫ!$AK$3:$AK$500,ЗАКАЗЫ!$F$3:$F$500,$A102)))</f>
        <v/>
      </c>
    </row>
    <row r="103" customFormat="false" ht="15.75" hidden="false" customHeight="true" outlineLevel="0" collapsed="false">
      <c r="A103" s="80" t="s">
        <v>1626</v>
      </c>
      <c r="B103" s="81"/>
      <c r="C103" s="81"/>
      <c r="D103" s="81"/>
      <c r="E103" s="83"/>
      <c r="F103" s="81"/>
      <c r="G103" s="83"/>
      <c r="H103" s="83"/>
      <c r="I103" s="84" t="str">
        <f aca="false">IF(E103="","",A103&amp;"_1.jpg")</f>
        <v/>
      </c>
      <c r="J103" s="84" t="str">
        <f aca="false">IF(E103="","",A103&amp;"_2.jpg; "&amp;A103&amp;"_3.jpg")</f>
        <v/>
      </c>
      <c r="K103" s="84" t="str">
        <f aca="false">IF(E103="","",A103&amp;"_schema.jpg")</f>
        <v/>
      </c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 t="s">
        <v>96</v>
      </c>
      <c r="W103" s="81"/>
      <c r="X103" s="81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6" t="str">
        <f aca="false">IF(SUM(Y103:AJ103)=0,"",SUM(Y103:AJ103))</f>
        <v/>
      </c>
      <c r="AL103" s="84" t="str">
        <f aca="false">MID(IF(N(Y103)&gt;0,", "&amp;Y$2,"")&amp;IF(N(Z103)&gt;0,", "&amp;Z$2,"")&amp;IF(N(AA103)&gt;0,", "&amp;AA$2,"")&amp;IF(N(AB103)&gt;0,", "&amp;AB$2,"")&amp;IF(N(AC103)&gt;0,", "&amp;AC$2,"")&amp;IF(N(AD103)&gt;0,", "&amp;AD$2,"")&amp;IF(N(AE103)&gt;0,", "&amp;AE$2,"")&amp;IF(N(AF103)&gt;0,", "&amp;AF$2,"")&amp;IF(N(AG103)&gt;0,", "&amp;AG$2,"")&amp;IF(N(AH103)&gt;0,", "&amp;AH$2,"")&amp;IF(N(AI103)&gt;0,", "&amp;AI$2,"")&amp;IF(N(AJ103)&gt;0,", "&amp;AJ$2,""),3,999)</f>
        <v/>
      </c>
      <c r="AM103" s="87" t="str">
        <f aca="false">IF(E103="","",MID(IF(N(Y103)&gt;0,", "&amp;A103&amp;"-"&amp;Y$2,"")&amp;IF(N(Z103)&gt;0,", "&amp;A103&amp;"-"&amp;Z$2,"")&amp;IF(N(AA103)&gt;0,", "&amp;A103&amp;"-"&amp;AA$2,"")&amp;IF(N(AB103)&gt;0,", "&amp;A103&amp;"-"&amp;AB$2,"")&amp;IF(N(AC103)&gt;0,", "&amp;A103&amp;"-"&amp;AC$2,"")&amp;IF(N(AD103)&gt;0,", "&amp;A103&amp;"-"&amp;AD$2,"")&amp;IF(N(AE103)&gt;0,", "&amp;A103&amp;"-"&amp;AE$2,"")&amp;IF(N(AF103)&gt;0,", "&amp;A103&amp;"-"&amp;AF$2,"")&amp;IF(N(AG103)&gt;0,", "&amp;A103&amp;"-"&amp;AG$2,"")&amp;IF(N(AH103)&gt;0,", "&amp;A103&amp;"-"&amp;AH$2,"")&amp;IF(N(AI103)&gt;0,", "&amp;A103&amp;"-"&amp;AI$2,"")&amp;IF(N(AJ103)&gt;0,", "&amp;A103&amp;"-"&amp;AJ$2,""),3,999))</f>
        <v/>
      </c>
      <c r="AN103" s="81"/>
      <c r="AO103" s="88"/>
      <c r="AP103" s="89" t="str">
        <f aca="false">IF(AO103="","",ROUND(AO103/(1+Справочники!$B$13),2))</f>
        <v/>
      </c>
      <c r="AQ103" s="90" t="str">
        <f aca="false" t="array" ref="AQ103:AQ103">IF(AP103="","",AP103*INDEX(Справочники!$B$4:$B$7,MATCH("RUB",Справочники!$A$4:$A$7,0)))</f>
        <v/>
      </c>
      <c r="AR103" s="90" t="str">
        <f aca="false">IF(AQ103="","",ROUND(AQ103*(1+Справочники!$B$12),0))</f>
        <v/>
      </c>
      <c r="AS103" s="90" t="str">
        <f aca="false">IF(AR103="","",ROUND(AR103*(1-Справочники!$B$11),0))</f>
        <v/>
      </c>
      <c r="AT103" s="88"/>
      <c r="AU103" s="90" t="str">
        <f aca="false">IF(AT103="","",ROUND(AT103/(1+Справочники!$B$12),0))</f>
        <v/>
      </c>
      <c r="AV103" s="90" t="str">
        <f aca="false">IF(AT103="","",ROUND(AT103*(1-Справочники!$B$15),0))</f>
        <v/>
      </c>
      <c r="AW103" s="90" t="str">
        <f aca="false">IF(AT103="","",ROUND(AT103*(1-Справочники!$B$16),0))</f>
        <v/>
      </c>
      <c r="AX103" s="90" t="str">
        <f aca="false">IF(AT103="","",ROUND(AT103*(1-Справочники!$B$17),0))</f>
        <v/>
      </c>
      <c r="AY103" s="90" t="str">
        <f aca="false">IF(AT103="","",ROUND(AT103*(1-Справочники!$B$18),0))</f>
        <v/>
      </c>
      <c r="AZ103" s="90" t="str">
        <f aca="false">IF(AT103="","",ROUND(AT103*(1-Справочники!$B$19),0))</f>
        <v/>
      </c>
      <c r="BA103" s="81"/>
      <c r="BB103" s="81"/>
      <c r="BC103" s="81"/>
      <c r="BD103" s="81"/>
      <c r="BE103" s="91"/>
      <c r="BF103" s="81" t="s">
        <v>103</v>
      </c>
      <c r="BG103" s="89" t="n">
        <f aca="false" t="array" ref="BG103:BG103">IF(BF103="","",IFERROR(INDEX(Справочники!$B$4:$B$7,MATCH(BF103,Справочники!$A$4:$A$7,0)),""))</f>
        <v>68.5</v>
      </c>
      <c r="BH103" s="90" t="str">
        <f aca="false">IF(N(BN103)&gt;0,ROUND(SUMIF(ЗАКАЗЫ!$F$3:$F$500,$A103,ЗАКАЗЫ!$Y$3:$Y$500)/BN103,0),IF(OR(BE103="",BG103=""),"",ROUND(BE103*BG103*(1+Справочники!$B$10),0)))</f>
        <v/>
      </c>
      <c r="BI103" s="92" t="str">
        <f aca="false">IF(OR(AU103="",BH103="",AU103=0),"",(AU103-BH103)/AU103)</f>
        <v/>
      </c>
      <c r="BJ103" s="81"/>
      <c r="BK103" s="83"/>
      <c r="BL103" s="43" t="str">
        <f aca="false">IFERROR(INDEX(ЗАКАЗЫ!$N$3:$N$500,MATCH($A103,ЗАКАЗЫ!$F$3:$F$500,0)),"")</f>
        <v/>
      </c>
      <c r="BM103" s="8" t="str">
        <f aca="false">IF(BL103="","",IFERROR(VLOOKUP(BL103,'ТН ВЭД'!$A$4:$C$40,3,0),""))</f>
        <v/>
      </c>
      <c r="BN103" s="7" t="str">
        <f aca="false">IF(COUNTIF(ЗАКАЗЫ!$F$3:$F$500,$A103)=0,"",SUMIF(ЗАКАЗЫ!$F$3:$F$500,$A103,ЗАКАЗЫ!$J$3:$J$500))</f>
        <v/>
      </c>
      <c r="BO103" s="7" t="str">
        <f aca="false">IF(BN103="","",SUMIF(ЗАКАЗЫ!$F$3:$F$500,$A103,ЗАКАЗЫ!$AL$3:$AL$500))</f>
        <v/>
      </c>
      <c r="BP103" s="7" t="str">
        <f aca="false">IF(BN103="","",BN103-BO103)</f>
        <v/>
      </c>
      <c r="BQ103" s="55" t="str">
        <f aca="false">IF(BN103="","",IF(BO103&gt;=BN103,"На складе",IF(BO103&gt;0,"Частично","Ждём")))</f>
        <v/>
      </c>
      <c r="BR103" s="43"/>
      <c r="BS103" s="47" t="str">
        <f aca="false">IF(BN103="","",IF(_xlfn.MAXIFS(ЗАКАЗЫ!$AK$3:$AK$500,ЗАКАЗЫ!$F$3:$F$500,$A103)=0,"",_xlfn.MAXIFS(ЗАКАЗЫ!$AK$3:$AK$500,ЗАКАЗЫ!$F$3:$F$500,$A103)))</f>
        <v/>
      </c>
    </row>
    <row r="104" customFormat="false" ht="15.75" hidden="false" customHeight="true" outlineLevel="0" collapsed="false">
      <c r="A104" s="80" t="s">
        <v>1627</v>
      </c>
      <c r="B104" s="81"/>
      <c r="C104" s="81"/>
      <c r="D104" s="81"/>
      <c r="E104" s="83"/>
      <c r="F104" s="81"/>
      <c r="G104" s="83"/>
      <c r="H104" s="83"/>
      <c r="I104" s="84" t="str">
        <f aca="false">IF(E104="","",A104&amp;"_1.jpg")</f>
        <v/>
      </c>
      <c r="J104" s="84" t="str">
        <f aca="false">IF(E104="","",A104&amp;"_2.jpg; "&amp;A104&amp;"_3.jpg")</f>
        <v/>
      </c>
      <c r="K104" s="84" t="str">
        <f aca="false">IF(E104="","",A104&amp;"_schema.jpg")</f>
        <v/>
      </c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 t="s">
        <v>96</v>
      </c>
      <c r="W104" s="81"/>
      <c r="X104" s="81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6" t="str">
        <f aca="false">IF(SUM(Y104:AJ104)=0,"",SUM(Y104:AJ104))</f>
        <v/>
      </c>
      <c r="AL104" s="84" t="str">
        <f aca="false">MID(IF(N(Y104)&gt;0,", "&amp;Y$2,"")&amp;IF(N(Z104)&gt;0,", "&amp;Z$2,"")&amp;IF(N(AA104)&gt;0,", "&amp;AA$2,"")&amp;IF(N(AB104)&gt;0,", "&amp;AB$2,"")&amp;IF(N(AC104)&gt;0,", "&amp;AC$2,"")&amp;IF(N(AD104)&gt;0,", "&amp;AD$2,"")&amp;IF(N(AE104)&gt;0,", "&amp;AE$2,"")&amp;IF(N(AF104)&gt;0,", "&amp;AF$2,"")&amp;IF(N(AG104)&gt;0,", "&amp;AG$2,"")&amp;IF(N(AH104)&gt;0,", "&amp;AH$2,"")&amp;IF(N(AI104)&gt;0,", "&amp;AI$2,"")&amp;IF(N(AJ104)&gt;0,", "&amp;AJ$2,""),3,999)</f>
        <v/>
      </c>
      <c r="AM104" s="87" t="str">
        <f aca="false">IF(E104="","",MID(IF(N(Y104)&gt;0,", "&amp;A104&amp;"-"&amp;Y$2,"")&amp;IF(N(Z104)&gt;0,", "&amp;A104&amp;"-"&amp;Z$2,"")&amp;IF(N(AA104)&gt;0,", "&amp;A104&amp;"-"&amp;AA$2,"")&amp;IF(N(AB104)&gt;0,", "&amp;A104&amp;"-"&amp;AB$2,"")&amp;IF(N(AC104)&gt;0,", "&amp;A104&amp;"-"&amp;AC$2,"")&amp;IF(N(AD104)&gt;0,", "&amp;A104&amp;"-"&amp;AD$2,"")&amp;IF(N(AE104)&gt;0,", "&amp;A104&amp;"-"&amp;AE$2,"")&amp;IF(N(AF104)&gt;0,", "&amp;A104&amp;"-"&amp;AF$2,"")&amp;IF(N(AG104)&gt;0,", "&amp;A104&amp;"-"&amp;AG$2,"")&amp;IF(N(AH104)&gt;0,", "&amp;A104&amp;"-"&amp;AH$2,"")&amp;IF(N(AI104)&gt;0,", "&amp;A104&amp;"-"&amp;AI$2,"")&amp;IF(N(AJ104)&gt;0,", "&amp;A104&amp;"-"&amp;AJ$2,""),3,999))</f>
        <v/>
      </c>
      <c r="AN104" s="81"/>
      <c r="AO104" s="88"/>
      <c r="AP104" s="89" t="str">
        <f aca="false">IF(AO104="","",ROUND(AO104/(1+Справочники!$B$13),2))</f>
        <v/>
      </c>
      <c r="AQ104" s="90" t="str">
        <f aca="false" t="array" ref="AQ104:AQ104">IF(AP104="","",AP104*INDEX(Справочники!$B$4:$B$7,MATCH("RUB",Справочники!$A$4:$A$7,0)))</f>
        <v/>
      </c>
      <c r="AR104" s="90" t="str">
        <f aca="false">IF(AQ104="","",ROUND(AQ104*(1+Справочники!$B$12),0))</f>
        <v/>
      </c>
      <c r="AS104" s="90" t="str">
        <f aca="false">IF(AR104="","",ROUND(AR104*(1-Справочники!$B$11),0))</f>
        <v/>
      </c>
      <c r="AT104" s="88"/>
      <c r="AU104" s="90" t="str">
        <f aca="false">IF(AT104="","",ROUND(AT104/(1+Справочники!$B$12),0))</f>
        <v/>
      </c>
      <c r="AV104" s="90" t="str">
        <f aca="false">IF(AT104="","",ROUND(AT104*(1-Справочники!$B$15),0))</f>
        <v/>
      </c>
      <c r="AW104" s="90" t="str">
        <f aca="false">IF(AT104="","",ROUND(AT104*(1-Справочники!$B$16),0))</f>
        <v/>
      </c>
      <c r="AX104" s="90" t="str">
        <f aca="false">IF(AT104="","",ROUND(AT104*(1-Справочники!$B$17),0))</f>
        <v/>
      </c>
      <c r="AY104" s="90" t="str">
        <f aca="false">IF(AT104="","",ROUND(AT104*(1-Справочники!$B$18),0))</f>
        <v/>
      </c>
      <c r="AZ104" s="90" t="str">
        <f aca="false">IF(AT104="","",ROUND(AT104*(1-Справочники!$B$19),0))</f>
        <v/>
      </c>
      <c r="BA104" s="81"/>
      <c r="BB104" s="81"/>
      <c r="BC104" s="81"/>
      <c r="BD104" s="81"/>
      <c r="BE104" s="91"/>
      <c r="BF104" s="81" t="s">
        <v>103</v>
      </c>
      <c r="BG104" s="89" t="n">
        <f aca="false" t="array" ref="BG104:BG104">IF(BF104="","",IFERROR(INDEX(Справочники!$B$4:$B$7,MATCH(BF104,Справочники!$A$4:$A$7,0)),""))</f>
        <v>68.5</v>
      </c>
      <c r="BH104" s="90" t="str">
        <f aca="false">IF(N(BN104)&gt;0,ROUND(SUMIF(ЗАКАЗЫ!$F$3:$F$500,$A104,ЗАКАЗЫ!$Y$3:$Y$500)/BN104,0),IF(OR(BE104="",BG104=""),"",ROUND(BE104*BG104*(1+Справочники!$B$10),0)))</f>
        <v/>
      </c>
      <c r="BI104" s="92" t="str">
        <f aca="false">IF(OR(AU104="",BH104="",AU104=0),"",(AU104-BH104)/AU104)</f>
        <v/>
      </c>
      <c r="BJ104" s="81"/>
      <c r="BK104" s="83"/>
      <c r="BL104" s="43" t="str">
        <f aca="false">IFERROR(INDEX(ЗАКАЗЫ!$N$3:$N$500,MATCH($A104,ЗАКАЗЫ!$F$3:$F$500,0)),"")</f>
        <v/>
      </c>
      <c r="BM104" s="8" t="str">
        <f aca="false">IF(BL104="","",IFERROR(VLOOKUP(BL104,'ТН ВЭД'!$A$4:$C$40,3,0),""))</f>
        <v/>
      </c>
      <c r="BN104" s="7" t="str">
        <f aca="false">IF(COUNTIF(ЗАКАЗЫ!$F$3:$F$500,$A104)=0,"",SUMIF(ЗАКАЗЫ!$F$3:$F$500,$A104,ЗАКАЗЫ!$J$3:$J$500))</f>
        <v/>
      </c>
      <c r="BO104" s="7" t="str">
        <f aca="false">IF(BN104="","",SUMIF(ЗАКАЗЫ!$F$3:$F$500,$A104,ЗАКАЗЫ!$AL$3:$AL$500))</f>
        <v/>
      </c>
      <c r="BP104" s="7" t="str">
        <f aca="false">IF(BN104="","",BN104-BO104)</f>
        <v/>
      </c>
      <c r="BQ104" s="55" t="str">
        <f aca="false">IF(BN104="","",IF(BO104&gt;=BN104,"На складе",IF(BO104&gt;0,"Частично","Ждём")))</f>
        <v/>
      </c>
      <c r="BR104" s="43"/>
      <c r="BS104" s="47" t="str">
        <f aca="false">IF(BN104="","",IF(_xlfn.MAXIFS(ЗАКАЗЫ!$AK$3:$AK$500,ЗАКАЗЫ!$F$3:$F$500,$A104)=0,"",_xlfn.MAXIFS(ЗАКАЗЫ!$AK$3:$AK$500,ЗАКАЗЫ!$F$3:$F$500,$A104)))</f>
        <v/>
      </c>
    </row>
    <row r="105" customFormat="false" ht="15.75" hidden="false" customHeight="true" outlineLevel="0" collapsed="false">
      <c r="A105" s="80" t="s">
        <v>1628</v>
      </c>
      <c r="B105" s="81"/>
      <c r="C105" s="81"/>
      <c r="D105" s="81"/>
      <c r="E105" s="83"/>
      <c r="F105" s="81"/>
      <c r="G105" s="83"/>
      <c r="H105" s="83"/>
      <c r="I105" s="84" t="str">
        <f aca="false">IF(E105="","",A105&amp;"_1.jpg")</f>
        <v/>
      </c>
      <c r="J105" s="84" t="str">
        <f aca="false">IF(E105="","",A105&amp;"_2.jpg; "&amp;A105&amp;"_3.jpg")</f>
        <v/>
      </c>
      <c r="K105" s="84" t="str">
        <f aca="false">IF(E105="","",A105&amp;"_schema.jpg")</f>
        <v/>
      </c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 t="s">
        <v>96</v>
      </c>
      <c r="W105" s="81"/>
      <c r="X105" s="81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6" t="str">
        <f aca="false">IF(SUM(Y105:AJ105)=0,"",SUM(Y105:AJ105))</f>
        <v/>
      </c>
      <c r="AL105" s="84" t="str">
        <f aca="false">MID(IF(N(Y105)&gt;0,", "&amp;Y$2,"")&amp;IF(N(Z105)&gt;0,", "&amp;Z$2,"")&amp;IF(N(AA105)&gt;0,", "&amp;AA$2,"")&amp;IF(N(AB105)&gt;0,", "&amp;AB$2,"")&amp;IF(N(AC105)&gt;0,", "&amp;AC$2,"")&amp;IF(N(AD105)&gt;0,", "&amp;AD$2,"")&amp;IF(N(AE105)&gt;0,", "&amp;AE$2,"")&amp;IF(N(AF105)&gt;0,", "&amp;AF$2,"")&amp;IF(N(AG105)&gt;0,", "&amp;AG$2,"")&amp;IF(N(AH105)&gt;0,", "&amp;AH$2,"")&amp;IF(N(AI105)&gt;0,", "&amp;AI$2,"")&amp;IF(N(AJ105)&gt;0,", "&amp;AJ$2,""),3,999)</f>
        <v/>
      </c>
      <c r="AM105" s="87" t="str">
        <f aca="false">IF(E105="","",MID(IF(N(Y105)&gt;0,", "&amp;A105&amp;"-"&amp;Y$2,"")&amp;IF(N(Z105)&gt;0,", "&amp;A105&amp;"-"&amp;Z$2,"")&amp;IF(N(AA105)&gt;0,", "&amp;A105&amp;"-"&amp;AA$2,"")&amp;IF(N(AB105)&gt;0,", "&amp;A105&amp;"-"&amp;AB$2,"")&amp;IF(N(AC105)&gt;0,", "&amp;A105&amp;"-"&amp;AC$2,"")&amp;IF(N(AD105)&gt;0,", "&amp;A105&amp;"-"&amp;AD$2,"")&amp;IF(N(AE105)&gt;0,", "&amp;A105&amp;"-"&amp;AE$2,"")&amp;IF(N(AF105)&gt;0,", "&amp;A105&amp;"-"&amp;AF$2,"")&amp;IF(N(AG105)&gt;0,", "&amp;A105&amp;"-"&amp;AG$2,"")&amp;IF(N(AH105)&gt;0,", "&amp;A105&amp;"-"&amp;AH$2,"")&amp;IF(N(AI105)&gt;0,", "&amp;A105&amp;"-"&amp;AI$2,"")&amp;IF(N(AJ105)&gt;0,", "&amp;A105&amp;"-"&amp;AJ$2,""),3,999))</f>
        <v/>
      </c>
      <c r="AN105" s="81"/>
      <c r="AO105" s="88"/>
      <c r="AP105" s="89" t="str">
        <f aca="false">IF(AO105="","",ROUND(AO105/(1+Справочники!$B$13),2))</f>
        <v/>
      </c>
      <c r="AQ105" s="90" t="str">
        <f aca="false" t="array" ref="AQ105:AQ105">IF(AP105="","",AP105*INDEX(Справочники!$B$4:$B$7,MATCH("RUB",Справочники!$A$4:$A$7,0)))</f>
        <v/>
      </c>
      <c r="AR105" s="90" t="str">
        <f aca="false">IF(AQ105="","",ROUND(AQ105*(1+Справочники!$B$12),0))</f>
        <v/>
      </c>
      <c r="AS105" s="90" t="str">
        <f aca="false">IF(AR105="","",ROUND(AR105*(1-Справочники!$B$11),0))</f>
        <v/>
      </c>
      <c r="AT105" s="88"/>
      <c r="AU105" s="90" t="str">
        <f aca="false">IF(AT105="","",ROUND(AT105/(1+Справочники!$B$12),0))</f>
        <v/>
      </c>
      <c r="AV105" s="90" t="str">
        <f aca="false">IF(AT105="","",ROUND(AT105*(1-Справочники!$B$15),0))</f>
        <v/>
      </c>
      <c r="AW105" s="90" t="str">
        <f aca="false">IF(AT105="","",ROUND(AT105*(1-Справочники!$B$16),0))</f>
        <v/>
      </c>
      <c r="AX105" s="90" t="str">
        <f aca="false">IF(AT105="","",ROUND(AT105*(1-Справочники!$B$17),0))</f>
        <v/>
      </c>
      <c r="AY105" s="90" t="str">
        <f aca="false">IF(AT105="","",ROUND(AT105*(1-Справочники!$B$18),0))</f>
        <v/>
      </c>
      <c r="AZ105" s="90" t="str">
        <f aca="false">IF(AT105="","",ROUND(AT105*(1-Справочники!$B$19),0))</f>
        <v/>
      </c>
      <c r="BA105" s="81"/>
      <c r="BB105" s="81"/>
      <c r="BC105" s="81"/>
      <c r="BD105" s="81"/>
      <c r="BE105" s="91"/>
      <c r="BF105" s="81" t="s">
        <v>103</v>
      </c>
      <c r="BG105" s="89" t="n">
        <f aca="false" t="array" ref="BG105:BG105">IF(BF105="","",IFERROR(INDEX(Справочники!$B$4:$B$7,MATCH(BF105,Справочники!$A$4:$A$7,0)),""))</f>
        <v>68.5</v>
      </c>
      <c r="BH105" s="90" t="str">
        <f aca="false">IF(N(BN105)&gt;0,ROUND(SUMIF(ЗАКАЗЫ!$F$3:$F$500,$A105,ЗАКАЗЫ!$Y$3:$Y$500)/BN105,0),IF(OR(BE105="",BG105=""),"",ROUND(BE105*BG105*(1+Справочники!$B$10),0)))</f>
        <v/>
      </c>
      <c r="BI105" s="92" t="str">
        <f aca="false">IF(OR(AU105="",BH105="",AU105=0),"",(AU105-BH105)/AU105)</f>
        <v/>
      </c>
      <c r="BJ105" s="81"/>
      <c r="BK105" s="83"/>
      <c r="BL105" s="43" t="str">
        <f aca="false">IFERROR(INDEX(ЗАКАЗЫ!$N$3:$N$500,MATCH($A105,ЗАКАЗЫ!$F$3:$F$500,0)),"")</f>
        <v/>
      </c>
      <c r="BM105" s="8" t="str">
        <f aca="false">IF(BL105="","",IFERROR(VLOOKUP(BL105,'ТН ВЭД'!$A$4:$C$40,3,0),""))</f>
        <v/>
      </c>
      <c r="BN105" s="7" t="str">
        <f aca="false">IF(COUNTIF(ЗАКАЗЫ!$F$3:$F$500,$A105)=0,"",SUMIF(ЗАКАЗЫ!$F$3:$F$500,$A105,ЗАКАЗЫ!$J$3:$J$500))</f>
        <v/>
      </c>
      <c r="BO105" s="7" t="str">
        <f aca="false">IF(BN105="","",SUMIF(ЗАКАЗЫ!$F$3:$F$500,$A105,ЗАКАЗЫ!$AL$3:$AL$500))</f>
        <v/>
      </c>
      <c r="BP105" s="7" t="str">
        <f aca="false">IF(BN105="","",BN105-BO105)</f>
        <v/>
      </c>
      <c r="BQ105" s="55" t="str">
        <f aca="false">IF(BN105="","",IF(BO105&gt;=BN105,"На складе",IF(BO105&gt;0,"Частично","Ждём")))</f>
        <v/>
      </c>
      <c r="BR105" s="43"/>
      <c r="BS105" s="47" t="str">
        <f aca="false">IF(BN105="","",IF(_xlfn.MAXIFS(ЗАКАЗЫ!$AK$3:$AK$500,ЗАКАЗЫ!$F$3:$F$500,$A105)=0,"",_xlfn.MAXIFS(ЗАКАЗЫ!$AK$3:$AK$500,ЗАКАЗЫ!$F$3:$F$500,$A105)))</f>
        <v/>
      </c>
    </row>
    <row r="106" customFormat="false" ht="15.75" hidden="false" customHeight="true" outlineLevel="0" collapsed="false">
      <c r="A106" s="80" t="s">
        <v>1629</v>
      </c>
      <c r="B106" s="81"/>
      <c r="C106" s="81"/>
      <c r="D106" s="81"/>
      <c r="E106" s="83"/>
      <c r="F106" s="81"/>
      <c r="G106" s="83"/>
      <c r="H106" s="83"/>
      <c r="I106" s="84" t="str">
        <f aca="false">IF(E106="","",A106&amp;"_1.jpg")</f>
        <v/>
      </c>
      <c r="J106" s="84" t="str">
        <f aca="false">IF(E106="","",A106&amp;"_2.jpg; "&amp;A106&amp;"_3.jpg")</f>
        <v/>
      </c>
      <c r="K106" s="84" t="str">
        <f aca="false">IF(E106="","",A106&amp;"_schema.jpg")</f>
        <v/>
      </c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 t="s">
        <v>96</v>
      </c>
      <c r="W106" s="81"/>
      <c r="X106" s="81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6" t="str">
        <f aca="false">IF(SUM(Y106:AJ106)=0,"",SUM(Y106:AJ106))</f>
        <v/>
      </c>
      <c r="AL106" s="84" t="str">
        <f aca="false">MID(IF(N(Y106)&gt;0,", "&amp;Y$2,"")&amp;IF(N(Z106)&gt;0,", "&amp;Z$2,"")&amp;IF(N(AA106)&gt;0,", "&amp;AA$2,"")&amp;IF(N(AB106)&gt;0,", "&amp;AB$2,"")&amp;IF(N(AC106)&gt;0,", "&amp;AC$2,"")&amp;IF(N(AD106)&gt;0,", "&amp;AD$2,"")&amp;IF(N(AE106)&gt;0,", "&amp;AE$2,"")&amp;IF(N(AF106)&gt;0,", "&amp;AF$2,"")&amp;IF(N(AG106)&gt;0,", "&amp;AG$2,"")&amp;IF(N(AH106)&gt;0,", "&amp;AH$2,"")&amp;IF(N(AI106)&gt;0,", "&amp;AI$2,"")&amp;IF(N(AJ106)&gt;0,", "&amp;AJ$2,""),3,999)</f>
        <v/>
      </c>
      <c r="AM106" s="87" t="str">
        <f aca="false">IF(E106="","",MID(IF(N(Y106)&gt;0,", "&amp;A106&amp;"-"&amp;Y$2,"")&amp;IF(N(Z106)&gt;0,", "&amp;A106&amp;"-"&amp;Z$2,"")&amp;IF(N(AA106)&gt;0,", "&amp;A106&amp;"-"&amp;AA$2,"")&amp;IF(N(AB106)&gt;0,", "&amp;A106&amp;"-"&amp;AB$2,"")&amp;IF(N(AC106)&gt;0,", "&amp;A106&amp;"-"&amp;AC$2,"")&amp;IF(N(AD106)&gt;0,", "&amp;A106&amp;"-"&amp;AD$2,"")&amp;IF(N(AE106)&gt;0,", "&amp;A106&amp;"-"&amp;AE$2,"")&amp;IF(N(AF106)&gt;0,", "&amp;A106&amp;"-"&amp;AF$2,"")&amp;IF(N(AG106)&gt;0,", "&amp;A106&amp;"-"&amp;AG$2,"")&amp;IF(N(AH106)&gt;0,", "&amp;A106&amp;"-"&amp;AH$2,"")&amp;IF(N(AI106)&gt;0,", "&amp;A106&amp;"-"&amp;AI$2,"")&amp;IF(N(AJ106)&gt;0,", "&amp;A106&amp;"-"&amp;AJ$2,""),3,999))</f>
        <v/>
      </c>
      <c r="AN106" s="81"/>
      <c r="AO106" s="88"/>
      <c r="AP106" s="89" t="str">
        <f aca="false">IF(AO106="","",ROUND(AO106/(1+Справочники!$B$13),2))</f>
        <v/>
      </c>
      <c r="AQ106" s="90" t="str">
        <f aca="false" t="array" ref="AQ106:AQ106">IF(AP106="","",AP106*INDEX(Справочники!$B$4:$B$7,MATCH("RUB",Справочники!$A$4:$A$7,0)))</f>
        <v/>
      </c>
      <c r="AR106" s="90" t="str">
        <f aca="false">IF(AQ106="","",ROUND(AQ106*(1+Справочники!$B$12),0))</f>
        <v/>
      </c>
      <c r="AS106" s="90" t="str">
        <f aca="false">IF(AR106="","",ROUND(AR106*(1-Справочники!$B$11),0))</f>
        <v/>
      </c>
      <c r="AT106" s="88"/>
      <c r="AU106" s="90" t="str">
        <f aca="false">IF(AT106="","",ROUND(AT106/(1+Справочники!$B$12),0))</f>
        <v/>
      </c>
      <c r="AV106" s="90" t="str">
        <f aca="false">IF(AT106="","",ROUND(AT106*(1-Справочники!$B$15),0))</f>
        <v/>
      </c>
      <c r="AW106" s="90" t="str">
        <f aca="false">IF(AT106="","",ROUND(AT106*(1-Справочники!$B$16),0))</f>
        <v/>
      </c>
      <c r="AX106" s="90" t="str">
        <f aca="false">IF(AT106="","",ROUND(AT106*(1-Справочники!$B$17),0))</f>
        <v/>
      </c>
      <c r="AY106" s="90" t="str">
        <f aca="false">IF(AT106="","",ROUND(AT106*(1-Справочники!$B$18),0))</f>
        <v/>
      </c>
      <c r="AZ106" s="90" t="str">
        <f aca="false">IF(AT106="","",ROUND(AT106*(1-Справочники!$B$19),0))</f>
        <v/>
      </c>
      <c r="BA106" s="81"/>
      <c r="BB106" s="81"/>
      <c r="BC106" s="81"/>
      <c r="BD106" s="81"/>
      <c r="BE106" s="91"/>
      <c r="BF106" s="81" t="s">
        <v>103</v>
      </c>
      <c r="BG106" s="89" t="n">
        <f aca="false" t="array" ref="BG106:BG106">IF(BF106="","",IFERROR(INDEX(Справочники!$B$4:$B$7,MATCH(BF106,Справочники!$A$4:$A$7,0)),""))</f>
        <v>68.5</v>
      </c>
      <c r="BH106" s="90" t="str">
        <f aca="false">IF(N(BN106)&gt;0,ROUND(SUMIF(ЗАКАЗЫ!$F$3:$F$500,$A106,ЗАКАЗЫ!$Y$3:$Y$500)/BN106,0),IF(OR(BE106="",BG106=""),"",ROUND(BE106*BG106*(1+Справочники!$B$10),0)))</f>
        <v/>
      </c>
      <c r="BI106" s="92" t="str">
        <f aca="false">IF(OR(AU106="",BH106="",AU106=0),"",(AU106-BH106)/AU106)</f>
        <v/>
      </c>
      <c r="BJ106" s="81"/>
      <c r="BK106" s="83"/>
      <c r="BL106" s="43" t="str">
        <f aca="false">IFERROR(INDEX(ЗАКАЗЫ!$N$3:$N$500,MATCH($A106,ЗАКАЗЫ!$F$3:$F$500,0)),"")</f>
        <v/>
      </c>
      <c r="BM106" s="8" t="str">
        <f aca="false">IF(BL106="","",IFERROR(VLOOKUP(BL106,'ТН ВЭД'!$A$4:$C$40,3,0),""))</f>
        <v/>
      </c>
      <c r="BN106" s="7" t="str">
        <f aca="false">IF(COUNTIF(ЗАКАЗЫ!$F$3:$F$500,$A106)=0,"",SUMIF(ЗАКАЗЫ!$F$3:$F$500,$A106,ЗАКАЗЫ!$J$3:$J$500))</f>
        <v/>
      </c>
      <c r="BO106" s="7" t="str">
        <f aca="false">IF(BN106="","",SUMIF(ЗАКАЗЫ!$F$3:$F$500,$A106,ЗАКАЗЫ!$AL$3:$AL$500))</f>
        <v/>
      </c>
      <c r="BP106" s="7" t="str">
        <f aca="false">IF(BN106="","",BN106-BO106)</f>
        <v/>
      </c>
      <c r="BQ106" s="55" t="str">
        <f aca="false">IF(BN106="","",IF(BO106&gt;=BN106,"На складе",IF(BO106&gt;0,"Частично","Ждём")))</f>
        <v/>
      </c>
      <c r="BR106" s="43"/>
      <c r="BS106" s="47" t="str">
        <f aca="false">IF(BN106="","",IF(_xlfn.MAXIFS(ЗАКАЗЫ!$AK$3:$AK$500,ЗАКАЗЫ!$F$3:$F$500,$A106)=0,"",_xlfn.MAXIFS(ЗАКАЗЫ!$AK$3:$AK$500,ЗАКАЗЫ!$F$3:$F$500,$A106)))</f>
        <v/>
      </c>
    </row>
    <row r="107" customFormat="false" ht="15.75" hidden="false" customHeight="true" outlineLevel="0" collapsed="false">
      <c r="A107" s="80" t="s">
        <v>1630</v>
      </c>
      <c r="B107" s="81"/>
      <c r="C107" s="81"/>
      <c r="D107" s="81"/>
      <c r="E107" s="83"/>
      <c r="F107" s="81"/>
      <c r="G107" s="83"/>
      <c r="H107" s="83"/>
      <c r="I107" s="84" t="str">
        <f aca="false">IF(E107="","",A107&amp;"_1.jpg")</f>
        <v/>
      </c>
      <c r="J107" s="84" t="str">
        <f aca="false">IF(E107="","",A107&amp;"_2.jpg; "&amp;A107&amp;"_3.jpg")</f>
        <v/>
      </c>
      <c r="K107" s="84" t="str">
        <f aca="false">IF(E107="","",A107&amp;"_schema.jpg")</f>
        <v/>
      </c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 t="s">
        <v>96</v>
      </c>
      <c r="W107" s="81"/>
      <c r="X107" s="81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6" t="str">
        <f aca="false">IF(SUM(Y107:AJ107)=0,"",SUM(Y107:AJ107))</f>
        <v/>
      </c>
      <c r="AL107" s="84" t="str">
        <f aca="false">MID(IF(N(Y107)&gt;0,", "&amp;Y$2,"")&amp;IF(N(Z107)&gt;0,", "&amp;Z$2,"")&amp;IF(N(AA107)&gt;0,", "&amp;AA$2,"")&amp;IF(N(AB107)&gt;0,", "&amp;AB$2,"")&amp;IF(N(AC107)&gt;0,", "&amp;AC$2,"")&amp;IF(N(AD107)&gt;0,", "&amp;AD$2,"")&amp;IF(N(AE107)&gt;0,", "&amp;AE$2,"")&amp;IF(N(AF107)&gt;0,", "&amp;AF$2,"")&amp;IF(N(AG107)&gt;0,", "&amp;AG$2,"")&amp;IF(N(AH107)&gt;0,", "&amp;AH$2,"")&amp;IF(N(AI107)&gt;0,", "&amp;AI$2,"")&amp;IF(N(AJ107)&gt;0,", "&amp;AJ$2,""),3,999)</f>
        <v/>
      </c>
      <c r="AM107" s="87" t="str">
        <f aca="false">IF(E107="","",MID(IF(N(Y107)&gt;0,", "&amp;A107&amp;"-"&amp;Y$2,"")&amp;IF(N(Z107)&gt;0,", "&amp;A107&amp;"-"&amp;Z$2,"")&amp;IF(N(AA107)&gt;0,", "&amp;A107&amp;"-"&amp;AA$2,"")&amp;IF(N(AB107)&gt;0,", "&amp;A107&amp;"-"&amp;AB$2,"")&amp;IF(N(AC107)&gt;0,", "&amp;A107&amp;"-"&amp;AC$2,"")&amp;IF(N(AD107)&gt;0,", "&amp;A107&amp;"-"&amp;AD$2,"")&amp;IF(N(AE107)&gt;0,", "&amp;A107&amp;"-"&amp;AE$2,"")&amp;IF(N(AF107)&gt;0,", "&amp;A107&amp;"-"&amp;AF$2,"")&amp;IF(N(AG107)&gt;0,", "&amp;A107&amp;"-"&amp;AG$2,"")&amp;IF(N(AH107)&gt;0,", "&amp;A107&amp;"-"&amp;AH$2,"")&amp;IF(N(AI107)&gt;0,", "&amp;A107&amp;"-"&amp;AI$2,"")&amp;IF(N(AJ107)&gt;0,", "&amp;A107&amp;"-"&amp;AJ$2,""),3,999))</f>
        <v/>
      </c>
      <c r="AN107" s="81"/>
      <c r="AO107" s="88"/>
      <c r="AP107" s="89" t="str">
        <f aca="false">IF(AO107="","",ROUND(AO107/(1+Справочники!$B$13),2))</f>
        <v/>
      </c>
      <c r="AQ107" s="90" t="str">
        <f aca="false" t="array" ref="AQ107:AQ107">IF(AP107="","",AP107*INDEX(Справочники!$B$4:$B$7,MATCH("RUB",Справочники!$A$4:$A$7,0)))</f>
        <v/>
      </c>
      <c r="AR107" s="90" t="str">
        <f aca="false">IF(AQ107="","",ROUND(AQ107*(1+Справочники!$B$12),0))</f>
        <v/>
      </c>
      <c r="AS107" s="90" t="str">
        <f aca="false">IF(AR107="","",ROUND(AR107*(1-Справочники!$B$11),0))</f>
        <v/>
      </c>
      <c r="AT107" s="88"/>
      <c r="AU107" s="90" t="str">
        <f aca="false">IF(AT107="","",ROUND(AT107/(1+Справочники!$B$12),0))</f>
        <v/>
      </c>
      <c r="AV107" s="90" t="str">
        <f aca="false">IF(AT107="","",ROUND(AT107*(1-Справочники!$B$15),0))</f>
        <v/>
      </c>
      <c r="AW107" s="90" t="str">
        <f aca="false">IF(AT107="","",ROUND(AT107*(1-Справочники!$B$16),0))</f>
        <v/>
      </c>
      <c r="AX107" s="90" t="str">
        <f aca="false">IF(AT107="","",ROUND(AT107*(1-Справочники!$B$17),0))</f>
        <v/>
      </c>
      <c r="AY107" s="90" t="str">
        <f aca="false">IF(AT107="","",ROUND(AT107*(1-Справочники!$B$18),0))</f>
        <v/>
      </c>
      <c r="AZ107" s="90" t="str">
        <f aca="false">IF(AT107="","",ROUND(AT107*(1-Справочники!$B$19),0))</f>
        <v/>
      </c>
      <c r="BA107" s="81"/>
      <c r="BB107" s="81"/>
      <c r="BC107" s="81"/>
      <c r="BD107" s="81"/>
      <c r="BE107" s="91"/>
      <c r="BF107" s="81" t="s">
        <v>103</v>
      </c>
      <c r="BG107" s="89" t="n">
        <f aca="false" t="array" ref="BG107:BG107">IF(BF107="","",IFERROR(INDEX(Справочники!$B$4:$B$7,MATCH(BF107,Справочники!$A$4:$A$7,0)),""))</f>
        <v>68.5</v>
      </c>
      <c r="BH107" s="90" t="str">
        <f aca="false">IF(N(BN107)&gt;0,ROUND(SUMIF(ЗАКАЗЫ!$F$3:$F$500,$A107,ЗАКАЗЫ!$Y$3:$Y$500)/BN107,0),IF(OR(BE107="",BG107=""),"",ROUND(BE107*BG107*(1+Справочники!$B$10),0)))</f>
        <v/>
      </c>
      <c r="BI107" s="92" t="str">
        <f aca="false">IF(OR(AU107="",BH107="",AU107=0),"",(AU107-BH107)/AU107)</f>
        <v/>
      </c>
      <c r="BJ107" s="81"/>
      <c r="BK107" s="83"/>
      <c r="BL107" s="43" t="str">
        <f aca="false">IFERROR(INDEX(ЗАКАЗЫ!$N$3:$N$500,MATCH($A107,ЗАКАЗЫ!$F$3:$F$500,0)),"")</f>
        <v/>
      </c>
      <c r="BM107" s="8" t="str">
        <f aca="false">IF(BL107="","",IFERROR(VLOOKUP(BL107,'ТН ВЭД'!$A$4:$C$40,3,0),""))</f>
        <v/>
      </c>
      <c r="BN107" s="7" t="str">
        <f aca="false">IF(COUNTIF(ЗАКАЗЫ!$F$3:$F$500,$A107)=0,"",SUMIF(ЗАКАЗЫ!$F$3:$F$500,$A107,ЗАКАЗЫ!$J$3:$J$500))</f>
        <v/>
      </c>
      <c r="BO107" s="7" t="str">
        <f aca="false">IF(BN107="","",SUMIF(ЗАКАЗЫ!$F$3:$F$500,$A107,ЗАКАЗЫ!$AL$3:$AL$500))</f>
        <v/>
      </c>
      <c r="BP107" s="7" t="str">
        <f aca="false">IF(BN107="","",BN107-BO107)</f>
        <v/>
      </c>
      <c r="BQ107" s="55" t="str">
        <f aca="false">IF(BN107="","",IF(BO107&gt;=BN107,"На складе",IF(BO107&gt;0,"Частично","Ждём")))</f>
        <v/>
      </c>
      <c r="BR107" s="43"/>
      <c r="BS107" s="47" t="str">
        <f aca="false">IF(BN107="","",IF(_xlfn.MAXIFS(ЗАКАЗЫ!$AK$3:$AK$500,ЗАКАЗЫ!$F$3:$F$500,$A107)=0,"",_xlfn.MAXIFS(ЗАКАЗЫ!$AK$3:$AK$500,ЗАКАЗЫ!$F$3:$F$500,$A107)))</f>
        <v/>
      </c>
    </row>
    <row r="108" customFormat="false" ht="15.75" hidden="false" customHeight="true" outlineLevel="0" collapsed="false">
      <c r="A108" s="80" t="s">
        <v>1631</v>
      </c>
      <c r="B108" s="81"/>
      <c r="C108" s="81"/>
      <c r="D108" s="81"/>
      <c r="E108" s="83"/>
      <c r="F108" s="81"/>
      <c r="G108" s="83"/>
      <c r="H108" s="83"/>
      <c r="I108" s="84" t="str">
        <f aca="false">IF(E108="","",A108&amp;"_1.jpg")</f>
        <v/>
      </c>
      <c r="J108" s="84" t="str">
        <f aca="false">IF(E108="","",A108&amp;"_2.jpg; "&amp;A108&amp;"_3.jpg")</f>
        <v/>
      </c>
      <c r="K108" s="84" t="str">
        <f aca="false">IF(E108="","",A108&amp;"_schema.jpg")</f>
        <v/>
      </c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 t="s">
        <v>96</v>
      </c>
      <c r="W108" s="81"/>
      <c r="X108" s="81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6" t="str">
        <f aca="false">IF(SUM(Y108:AJ108)=0,"",SUM(Y108:AJ108))</f>
        <v/>
      </c>
      <c r="AL108" s="84" t="str">
        <f aca="false">MID(IF(N(Y108)&gt;0,", "&amp;Y$2,"")&amp;IF(N(Z108)&gt;0,", "&amp;Z$2,"")&amp;IF(N(AA108)&gt;0,", "&amp;AA$2,"")&amp;IF(N(AB108)&gt;0,", "&amp;AB$2,"")&amp;IF(N(AC108)&gt;0,", "&amp;AC$2,"")&amp;IF(N(AD108)&gt;0,", "&amp;AD$2,"")&amp;IF(N(AE108)&gt;0,", "&amp;AE$2,"")&amp;IF(N(AF108)&gt;0,", "&amp;AF$2,"")&amp;IF(N(AG108)&gt;0,", "&amp;AG$2,"")&amp;IF(N(AH108)&gt;0,", "&amp;AH$2,"")&amp;IF(N(AI108)&gt;0,", "&amp;AI$2,"")&amp;IF(N(AJ108)&gt;0,", "&amp;AJ$2,""),3,999)</f>
        <v/>
      </c>
      <c r="AM108" s="87" t="str">
        <f aca="false">IF(E108="","",MID(IF(N(Y108)&gt;0,", "&amp;A108&amp;"-"&amp;Y$2,"")&amp;IF(N(Z108)&gt;0,", "&amp;A108&amp;"-"&amp;Z$2,"")&amp;IF(N(AA108)&gt;0,", "&amp;A108&amp;"-"&amp;AA$2,"")&amp;IF(N(AB108)&gt;0,", "&amp;A108&amp;"-"&amp;AB$2,"")&amp;IF(N(AC108)&gt;0,", "&amp;A108&amp;"-"&amp;AC$2,"")&amp;IF(N(AD108)&gt;0,", "&amp;A108&amp;"-"&amp;AD$2,"")&amp;IF(N(AE108)&gt;0,", "&amp;A108&amp;"-"&amp;AE$2,"")&amp;IF(N(AF108)&gt;0,", "&amp;A108&amp;"-"&amp;AF$2,"")&amp;IF(N(AG108)&gt;0,", "&amp;A108&amp;"-"&amp;AG$2,"")&amp;IF(N(AH108)&gt;0,", "&amp;A108&amp;"-"&amp;AH$2,"")&amp;IF(N(AI108)&gt;0,", "&amp;A108&amp;"-"&amp;AI$2,"")&amp;IF(N(AJ108)&gt;0,", "&amp;A108&amp;"-"&amp;AJ$2,""),3,999))</f>
        <v/>
      </c>
      <c r="AN108" s="81"/>
      <c r="AO108" s="88"/>
      <c r="AP108" s="89" t="str">
        <f aca="false">IF(AO108="","",ROUND(AO108/(1+Справочники!$B$13),2))</f>
        <v/>
      </c>
      <c r="AQ108" s="90" t="str">
        <f aca="false" t="array" ref="AQ108:AQ108">IF(AP108="","",AP108*INDEX(Справочники!$B$4:$B$7,MATCH("RUB",Справочники!$A$4:$A$7,0)))</f>
        <v/>
      </c>
      <c r="AR108" s="90" t="str">
        <f aca="false">IF(AQ108="","",ROUND(AQ108*(1+Справочники!$B$12),0))</f>
        <v/>
      </c>
      <c r="AS108" s="90" t="str">
        <f aca="false">IF(AR108="","",ROUND(AR108*(1-Справочники!$B$11),0))</f>
        <v/>
      </c>
      <c r="AT108" s="88"/>
      <c r="AU108" s="90" t="str">
        <f aca="false">IF(AT108="","",ROUND(AT108/(1+Справочники!$B$12),0))</f>
        <v/>
      </c>
      <c r="AV108" s="90" t="str">
        <f aca="false">IF(AT108="","",ROUND(AT108*(1-Справочники!$B$15),0))</f>
        <v/>
      </c>
      <c r="AW108" s="90" t="str">
        <f aca="false">IF(AT108="","",ROUND(AT108*(1-Справочники!$B$16),0))</f>
        <v/>
      </c>
      <c r="AX108" s="90" t="str">
        <f aca="false">IF(AT108="","",ROUND(AT108*(1-Справочники!$B$17),0))</f>
        <v/>
      </c>
      <c r="AY108" s="90" t="str">
        <f aca="false">IF(AT108="","",ROUND(AT108*(1-Справочники!$B$18),0))</f>
        <v/>
      </c>
      <c r="AZ108" s="90" t="str">
        <f aca="false">IF(AT108="","",ROUND(AT108*(1-Справочники!$B$19),0))</f>
        <v/>
      </c>
      <c r="BA108" s="81"/>
      <c r="BB108" s="81"/>
      <c r="BC108" s="81"/>
      <c r="BD108" s="81"/>
      <c r="BE108" s="91"/>
      <c r="BF108" s="81" t="s">
        <v>103</v>
      </c>
      <c r="BG108" s="89" t="n">
        <f aca="false" t="array" ref="BG108:BG108">IF(BF108="","",IFERROR(INDEX(Справочники!$B$4:$B$7,MATCH(BF108,Справочники!$A$4:$A$7,0)),""))</f>
        <v>68.5</v>
      </c>
      <c r="BH108" s="90" t="str">
        <f aca="false">IF(N(BN108)&gt;0,ROUND(SUMIF(ЗАКАЗЫ!$F$3:$F$500,$A108,ЗАКАЗЫ!$Y$3:$Y$500)/BN108,0),IF(OR(BE108="",BG108=""),"",ROUND(BE108*BG108*(1+Справочники!$B$10),0)))</f>
        <v/>
      </c>
      <c r="BI108" s="92" t="str">
        <f aca="false">IF(OR(AU108="",BH108="",AU108=0),"",(AU108-BH108)/AU108)</f>
        <v/>
      </c>
      <c r="BJ108" s="81"/>
      <c r="BK108" s="83"/>
      <c r="BL108" s="43" t="str">
        <f aca="false">IFERROR(INDEX(ЗАКАЗЫ!$N$3:$N$500,MATCH($A108,ЗАКАЗЫ!$F$3:$F$500,0)),"")</f>
        <v/>
      </c>
      <c r="BM108" s="8" t="str">
        <f aca="false">IF(BL108="","",IFERROR(VLOOKUP(BL108,'ТН ВЭД'!$A$4:$C$40,3,0),""))</f>
        <v/>
      </c>
      <c r="BN108" s="7" t="str">
        <f aca="false">IF(COUNTIF(ЗАКАЗЫ!$F$3:$F$500,$A108)=0,"",SUMIF(ЗАКАЗЫ!$F$3:$F$500,$A108,ЗАКАЗЫ!$J$3:$J$500))</f>
        <v/>
      </c>
      <c r="BO108" s="7" t="str">
        <f aca="false">IF(BN108="","",SUMIF(ЗАКАЗЫ!$F$3:$F$500,$A108,ЗАКАЗЫ!$AL$3:$AL$500))</f>
        <v/>
      </c>
      <c r="BP108" s="7" t="str">
        <f aca="false">IF(BN108="","",BN108-BO108)</f>
        <v/>
      </c>
      <c r="BQ108" s="55" t="str">
        <f aca="false">IF(BN108="","",IF(BO108&gt;=BN108,"На складе",IF(BO108&gt;0,"Частично","Ждём")))</f>
        <v/>
      </c>
      <c r="BR108" s="43"/>
      <c r="BS108" s="47" t="str">
        <f aca="false">IF(BN108="","",IF(_xlfn.MAXIFS(ЗАКАЗЫ!$AK$3:$AK$500,ЗАКАЗЫ!$F$3:$F$500,$A108)=0,"",_xlfn.MAXIFS(ЗАКАЗЫ!$AK$3:$AK$500,ЗАКАЗЫ!$F$3:$F$500,$A108)))</f>
        <v/>
      </c>
    </row>
    <row r="109" customFormat="false" ht="15.75" hidden="false" customHeight="true" outlineLevel="0" collapsed="false">
      <c r="A109" s="80" t="s">
        <v>1632</v>
      </c>
      <c r="B109" s="81"/>
      <c r="C109" s="81"/>
      <c r="D109" s="81"/>
      <c r="E109" s="83"/>
      <c r="F109" s="81"/>
      <c r="G109" s="83"/>
      <c r="H109" s="83"/>
      <c r="I109" s="84" t="str">
        <f aca="false">IF(E109="","",A109&amp;"_1.jpg")</f>
        <v/>
      </c>
      <c r="J109" s="84" t="str">
        <f aca="false">IF(E109="","",A109&amp;"_2.jpg; "&amp;A109&amp;"_3.jpg")</f>
        <v/>
      </c>
      <c r="K109" s="84" t="str">
        <f aca="false">IF(E109="","",A109&amp;"_schema.jpg")</f>
        <v/>
      </c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 t="s">
        <v>96</v>
      </c>
      <c r="W109" s="81"/>
      <c r="X109" s="81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6" t="str">
        <f aca="false">IF(SUM(Y109:AJ109)=0,"",SUM(Y109:AJ109))</f>
        <v/>
      </c>
      <c r="AL109" s="84" t="str">
        <f aca="false">MID(IF(N(Y109)&gt;0,", "&amp;Y$2,"")&amp;IF(N(Z109)&gt;0,", "&amp;Z$2,"")&amp;IF(N(AA109)&gt;0,", "&amp;AA$2,"")&amp;IF(N(AB109)&gt;0,", "&amp;AB$2,"")&amp;IF(N(AC109)&gt;0,", "&amp;AC$2,"")&amp;IF(N(AD109)&gt;0,", "&amp;AD$2,"")&amp;IF(N(AE109)&gt;0,", "&amp;AE$2,"")&amp;IF(N(AF109)&gt;0,", "&amp;AF$2,"")&amp;IF(N(AG109)&gt;0,", "&amp;AG$2,"")&amp;IF(N(AH109)&gt;0,", "&amp;AH$2,"")&amp;IF(N(AI109)&gt;0,", "&amp;AI$2,"")&amp;IF(N(AJ109)&gt;0,", "&amp;AJ$2,""),3,999)</f>
        <v/>
      </c>
      <c r="AM109" s="87" t="str">
        <f aca="false">IF(E109="","",MID(IF(N(Y109)&gt;0,", "&amp;A109&amp;"-"&amp;Y$2,"")&amp;IF(N(Z109)&gt;0,", "&amp;A109&amp;"-"&amp;Z$2,"")&amp;IF(N(AA109)&gt;0,", "&amp;A109&amp;"-"&amp;AA$2,"")&amp;IF(N(AB109)&gt;0,", "&amp;A109&amp;"-"&amp;AB$2,"")&amp;IF(N(AC109)&gt;0,", "&amp;A109&amp;"-"&amp;AC$2,"")&amp;IF(N(AD109)&gt;0,", "&amp;A109&amp;"-"&amp;AD$2,"")&amp;IF(N(AE109)&gt;0,", "&amp;A109&amp;"-"&amp;AE$2,"")&amp;IF(N(AF109)&gt;0,", "&amp;A109&amp;"-"&amp;AF$2,"")&amp;IF(N(AG109)&gt;0,", "&amp;A109&amp;"-"&amp;AG$2,"")&amp;IF(N(AH109)&gt;0,", "&amp;A109&amp;"-"&amp;AH$2,"")&amp;IF(N(AI109)&gt;0,", "&amp;A109&amp;"-"&amp;AI$2,"")&amp;IF(N(AJ109)&gt;0,", "&amp;A109&amp;"-"&amp;AJ$2,""),3,999))</f>
        <v/>
      </c>
      <c r="AN109" s="81"/>
      <c r="AO109" s="88"/>
      <c r="AP109" s="89" t="str">
        <f aca="false">IF(AO109="","",ROUND(AO109/(1+Справочники!$B$13),2))</f>
        <v/>
      </c>
      <c r="AQ109" s="90" t="str">
        <f aca="false" t="array" ref="AQ109:AQ109">IF(AP109="","",AP109*INDEX(Справочники!$B$4:$B$7,MATCH("RUB",Справочники!$A$4:$A$7,0)))</f>
        <v/>
      </c>
      <c r="AR109" s="90" t="str">
        <f aca="false">IF(AQ109="","",ROUND(AQ109*(1+Справочники!$B$12),0))</f>
        <v/>
      </c>
      <c r="AS109" s="90" t="str">
        <f aca="false">IF(AR109="","",ROUND(AR109*(1-Справочники!$B$11),0))</f>
        <v/>
      </c>
      <c r="AT109" s="88"/>
      <c r="AU109" s="90" t="str">
        <f aca="false">IF(AT109="","",ROUND(AT109/(1+Справочники!$B$12),0))</f>
        <v/>
      </c>
      <c r="AV109" s="90" t="str">
        <f aca="false">IF(AT109="","",ROUND(AT109*(1-Справочники!$B$15),0))</f>
        <v/>
      </c>
      <c r="AW109" s="90" t="str">
        <f aca="false">IF(AT109="","",ROUND(AT109*(1-Справочники!$B$16),0))</f>
        <v/>
      </c>
      <c r="AX109" s="90" t="str">
        <f aca="false">IF(AT109="","",ROUND(AT109*(1-Справочники!$B$17),0))</f>
        <v/>
      </c>
      <c r="AY109" s="90" t="str">
        <f aca="false">IF(AT109="","",ROUND(AT109*(1-Справочники!$B$18),0))</f>
        <v/>
      </c>
      <c r="AZ109" s="90" t="str">
        <f aca="false">IF(AT109="","",ROUND(AT109*(1-Справочники!$B$19),0))</f>
        <v/>
      </c>
      <c r="BA109" s="81"/>
      <c r="BB109" s="81"/>
      <c r="BC109" s="81"/>
      <c r="BD109" s="81"/>
      <c r="BE109" s="91"/>
      <c r="BF109" s="81" t="s">
        <v>103</v>
      </c>
      <c r="BG109" s="89" t="n">
        <f aca="false" t="array" ref="BG109:BG109">IF(BF109="","",IFERROR(INDEX(Справочники!$B$4:$B$7,MATCH(BF109,Справочники!$A$4:$A$7,0)),""))</f>
        <v>68.5</v>
      </c>
      <c r="BH109" s="90" t="str">
        <f aca="false">IF(N(BN109)&gt;0,ROUND(SUMIF(ЗАКАЗЫ!$F$3:$F$500,$A109,ЗАКАЗЫ!$Y$3:$Y$500)/BN109,0),IF(OR(BE109="",BG109=""),"",ROUND(BE109*BG109*(1+Справочники!$B$10),0)))</f>
        <v/>
      </c>
      <c r="BI109" s="92" t="str">
        <f aca="false">IF(OR(AU109="",BH109="",AU109=0),"",(AU109-BH109)/AU109)</f>
        <v/>
      </c>
      <c r="BJ109" s="81"/>
      <c r="BK109" s="83"/>
      <c r="BL109" s="43" t="str">
        <f aca="false">IFERROR(INDEX(ЗАКАЗЫ!$N$3:$N$500,MATCH($A109,ЗАКАЗЫ!$F$3:$F$500,0)),"")</f>
        <v/>
      </c>
      <c r="BM109" s="8" t="str">
        <f aca="false">IF(BL109="","",IFERROR(VLOOKUP(BL109,'ТН ВЭД'!$A$4:$C$40,3,0),""))</f>
        <v/>
      </c>
      <c r="BN109" s="7" t="str">
        <f aca="false">IF(COUNTIF(ЗАКАЗЫ!$F$3:$F$500,$A109)=0,"",SUMIF(ЗАКАЗЫ!$F$3:$F$500,$A109,ЗАКАЗЫ!$J$3:$J$500))</f>
        <v/>
      </c>
      <c r="BO109" s="7" t="str">
        <f aca="false">IF(BN109="","",SUMIF(ЗАКАЗЫ!$F$3:$F$500,$A109,ЗАКАЗЫ!$AL$3:$AL$500))</f>
        <v/>
      </c>
      <c r="BP109" s="7" t="str">
        <f aca="false">IF(BN109="","",BN109-BO109)</f>
        <v/>
      </c>
      <c r="BQ109" s="55" t="str">
        <f aca="false">IF(BN109="","",IF(BO109&gt;=BN109,"На складе",IF(BO109&gt;0,"Частично","Ждём")))</f>
        <v/>
      </c>
      <c r="BR109" s="43"/>
      <c r="BS109" s="47" t="str">
        <f aca="false">IF(BN109="","",IF(_xlfn.MAXIFS(ЗАКАЗЫ!$AK$3:$AK$500,ЗАКАЗЫ!$F$3:$F$500,$A109)=0,"",_xlfn.MAXIFS(ЗАКАЗЫ!$AK$3:$AK$500,ЗАКАЗЫ!$F$3:$F$500,$A109)))</f>
        <v/>
      </c>
    </row>
    <row r="110" customFormat="false" ht="15.75" hidden="false" customHeight="true" outlineLevel="0" collapsed="false">
      <c r="A110" s="80" t="s">
        <v>1633</v>
      </c>
      <c r="B110" s="81"/>
      <c r="C110" s="81"/>
      <c r="D110" s="81"/>
      <c r="E110" s="83"/>
      <c r="F110" s="81"/>
      <c r="G110" s="83"/>
      <c r="H110" s="83"/>
      <c r="I110" s="84" t="str">
        <f aca="false">IF(E110="","",A110&amp;"_1.jpg")</f>
        <v/>
      </c>
      <c r="J110" s="84" t="str">
        <f aca="false">IF(E110="","",A110&amp;"_2.jpg; "&amp;A110&amp;"_3.jpg")</f>
        <v/>
      </c>
      <c r="K110" s="84" t="str">
        <f aca="false">IF(E110="","",A110&amp;"_schema.jpg")</f>
        <v/>
      </c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 t="s">
        <v>96</v>
      </c>
      <c r="W110" s="81"/>
      <c r="X110" s="81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6" t="str">
        <f aca="false">IF(SUM(Y110:AJ110)=0,"",SUM(Y110:AJ110))</f>
        <v/>
      </c>
      <c r="AL110" s="84" t="str">
        <f aca="false">MID(IF(N(Y110)&gt;0,", "&amp;Y$2,"")&amp;IF(N(Z110)&gt;0,", "&amp;Z$2,"")&amp;IF(N(AA110)&gt;0,", "&amp;AA$2,"")&amp;IF(N(AB110)&gt;0,", "&amp;AB$2,"")&amp;IF(N(AC110)&gt;0,", "&amp;AC$2,"")&amp;IF(N(AD110)&gt;0,", "&amp;AD$2,"")&amp;IF(N(AE110)&gt;0,", "&amp;AE$2,"")&amp;IF(N(AF110)&gt;0,", "&amp;AF$2,"")&amp;IF(N(AG110)&gt;0,", "&amp;AG$2,"")&amp;IF(N(AH110)&gt;0,", "&amp;AH$2,"")&amp;IF(N(AI110)&gt;0,", "&amp;AI$2,"")&amp;IF(N(AJ110)&gt;0,", "&amp;AJ$2,""),3,999)</f>
        <v/>
      </c>
      <c r="AM110" s="87" t="str">
        <f aca="false">IF(E110="","",MID(IF(N(Y110)&gt;0,", "&amp;A110&amp;"-"&amp;Y$2,"")&amp;IF(N(Z110)&gt;0,", "&amp;A110&amp;"-"&amp;Z$2,"")&amp;IF(N(AA110)&gt;0,", "&amp;A110&amp;"-"&amp;AA$2,"")&amp;IF(N(AB110)&gt;0,", "&amp;A110&amp;"-"&amp;AB$2,"")&amp;IF(N(AC110)&gt;0,", "&amp;A110&amp;"-"&amp;AC$2,"")&amp;IF(N(AD110)&gt;0,", "&amp;A110&amp;"-"&amp;AD$2,"")&amp;IF(N(AE110)&gt;0,", "&amp;A110&amp;"-"&amp;AE$2,"")&amp;IF(N(AF110)&gt;0,", "&amp;A110&amp;"-"&amp;AF$2,"")&amp;IF(N(AG110)&gt;0,", "&amp;A110&amp;"-"&amp;AG$2,"")&amp;IF(N(AH110)&gt;0,", "&amp;A110&amp;"-"&amp;AH$2,"")&amp;IF(N(AI110)&gt;0,", "&amp;A110&amp;"-"&amp;AI$2,"")&amp;IF(N(AJ110)&gt;0,", "&amp;A110&amp;"-"&amp;AJ$2,""),3,999))</f>
        <v/>
      </c>
      <c r="AN110" s="81"/>
      <c r="AO110" s="88"/>
      <c r="AP110" s="89" t="str">
        <f aca="false">IF(AO110="","",ROUND(AO110/(1+Справочники!$B$13),2))</f>
        <v/>
      </c>
      <c r="AQ110" s="90" t="str">
        <f aca="false" t="array" ref="AQ110:AQ110">IF(AP110="","",AP110*INDEX(Справочники!$B$4:$B$7,MATCH("RUB",Справочники!$A$4:$A$7,0)))</f>
        <v/>
      </c>
      <c r="AR110" s="90" t="str">
        <f aca="false">IF(AQ110="","",ROUND(AQ110*(1+Справочники!$B$12),0))</f>
        <v/>
      </c>
      <c r="AS110" s="90" t="str">
        <f aca="false">IF(AR110="","",ROUND(AR110*(1-Справочники!$B$11),0))</f>
        <v/>
      </c>
      <c r="AT110" s="88"/>
      <c r="AU110" s="90" t="str">
        <f aca="false">IF(AT110="","",ROUND(AT110/(1+Справочники!$B$12),0))</f>
        <v/>
      </c>
      <c r="AV110" s="90" t="str">
        <f aca="false">IF(AT110="","",ROUND(AT110*(1-Справочники!$B$15),0))</f>
        <v/>
      </c>
      <c r="AW110" s="90" t="str">
        <f aca="false">IF(AT110="","",ROUND(AT110*(1-Справочники!$B$16),0))</f>
        <v/>
      </c>
      <c r="AX110" s="90" t="str">
        <f aca="false">IF(AT110="","",ROUND(AT110*(1-Справочники!$B$17),0))</f>
        <v/>
      </c>
      <c r="AY110" s="90" t="str">
        <f aca="false">IF(AT110="","",ROUND(AT110*(1-Справочники!$B$18),0))</f>
        <v/>
      </c>
      <c r="AZ110" s="90" t="str">
        <f aca="false">IF(AT110="","",ROUND(AT110*(1-Справочники!$B$19),0))</f>
        <v/>
      </c>
      <c r="BA110" s="81"/>
      <c r="BB110" s="81"/>
      <c r="BC110" s="81"/>
      <c r="BD110" s="81"/>
      <c r="BE110" s="91"/>
      <c r="BF110" s="81" t="s">
        <v>103</v>
      </c>
      <c r="BG110" s="89" t="n">
        <f aca="false" t="array" ref="BG110:BG110">IF(BF110="","",IFERROR(INDEX(Справочники!$B$4:$B$7,MATCH(BF110,Справочники!$A$4:$A$7,0)),""))</f>
        <v>68.5</v>
      </c>
      <c r="BH110" s="90" t="str">
        <f aca="false">IF(N(BN110)&gt;0,ROUND(SUMIF(ЗАКАЗЫ!$F$3:$F$500,$A110,ЗАКАЗЫ!$Y$3:$Y$500)/BN110,0),IF(OR(BE110="",BG110=""),"",ROUND(BE110*BG110*(1+Справочники!$B$10),0)))</f>
        <v/>
      </c>
      <c r="BI110" s="92" t="str">
        <f aca="false">IF(OR(AU110="",BH110="",AU110=0),"",(AU110-BH110)/AU110)</f>
        <v/>
      </c>
      <c r="BJ110" s="81"/>
      <c r="BK110" s="83"/>
      <c r="BL110" s="43" t="str">
        <f aca="false">IFERROR(INDEX(ЗАКАЗЫ!$N$3:$N$500,MATCH($A110,ЗАКАЗЫ!$F$3:$F$500,0)),"")</f>
        <v/>
      </c>
      <c r="BM110" s="8" t="str">
        <f aca="false">IF(BL110="","",IFERROR(VLOOKUP(BL110,'ТН ВЭД'!$A$4:$C$40,3,0),""))</f>
        <v/>
      </c>
      <c r="BN110" s="7" t="str">
        <f aca="false">IF(COUNTIF(ЗАКАЗЫ!$F$3:$F$500,$A110)=0,"",SUMIF(ЗАКАЗЫ!$F$3:$F$500,$A110,ЗАКАЗЫ!$J$3:$J$500))</f>
        <v/>
      </c>
      <c r="BO110" s="7" t="str">
        <f aca="false">IF(BN110="","",SUMIF(ЗАКАЗЫ!$F$3:$F$500,$A110,ЗАКАЗЫ!$AL$3:$AL$500))</f>
        <v/>
      </c>
      <c r="BP110" s="7" t="str">
        <f aca="false">IF(BN110="","",BN110-BO110)</f>
        <v/>
      </c>
      <c r="BQ110" s="55" t="str">
        <f aca="false">IF(BN110="","",IF(BO110&gt;=BN110,"На складе",IF(BO110&gt;0,"Частично","Ждём")))</f>
        <v/>
      </c>
      <c r="BR110" s="43"/>
      <c r="BS110" s="47" t="str">
        <f aca="false">IF(BN110="","",IF(_xlfn.MAXIFS(ЗАКАЗЫ!$AK$3:$AK$500,ЗАКАЗЫ!$F$3:$F$500,$A110)=0,"",_xlfn.MAXIFS(ЗАКАЗЫ!$AK$3:$AK$500,ЗАКАЗЫ!$F$3:$F$500,$A110)))</f>
        <v/>
      </c>
    </row>
    <row r="111" customFormat="false" ht="15.75" hidden="false" customHeight="true" outlineLevel="0" collapsed="false">
      <c r="A111" s="80" t="s">
        <v>1634</v>
      </c>
      <c r="B111" s="81"/>
      <c r="C111" s="81"/>
      <c r="D111" s="81"/>
      <c r="E111" s="83"/>
      <c r="F111" s="81"/>
      <c r="G111" s="83"/>
      <c r="H111" s="83"/>
      <c r="I111" s="84" t="str">
        <f aca="false">IF(E111="","",A111&amp;"_1.jpg")</f>
        <v/>
      </c>
      <c r="J111" s="84" t="str">
        <f aca="false">IF(E111="","",A111&amp;"_2.jpg; "&amp;A111&amp;"_3.jpg")</f>
        <v/>
      </c>
      <c r="K111" s="84" t="str">
        <f aca="false">IF(E111="","",A111&amp;"_schema.jpg")</f>
        <v/>
      </c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 t="s">
        <v>96</v>
      </c>
      <c r="W111" s="81"/>
      <c r="X111" s="81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6" t="str">
        <f aca="false">IF(SUM(Y111:AJ111)=0,"",SUM(Y111:AJ111))</f>
        <v/>
      </c>
      <c r="AL111" s="84" t="str">
        <f aca="false">MID(IF(N(Y111)&gt;0,", "&amp;Y$2,"")&amp;IF(N(Z111)&gt;0,", "&amp;Z$2,"")&amp;IF(N(AA111)&gt;0,", "&amp;AA$2,"")&amp;IF(N(AB111)&gt;0,", "&amp;AB$2,"")&amp;IF(N(AC111)&gt;0,", "&amp;AC$2,"")&amp;IF(N(AD111)&gt;0,", "&amp;AD$2,"")&amp;IF(N(AE111)&gt;0,", "&amp;AE$2,"")&amp;IF(N(AF111)&gt;0,", "&amp;AF$2,"")&amp;IF(N(AG111)&gt;0,", "&amp;AG$2,"")&amp;IF(N(AH111)&gt;0,", "&amp;AH$2,"")&amp;IF(N(AI111)&gt;0,", "&amp;AI$2,"")&amp;IF(N(AJ111)&gt;0,", "&amp;AJ$2,""),3,999)</f>
        <v/>
      </c>
      <c r="AM111" s="87" t="str">
        <f aca="false">IF(E111="","",MID(IF(N(Y111)&gt;0,", "&amp;A111&amp;"-"&amp;Y$2,"")&amp;IF(N(Z111)&gt;0,", "&amp;A111&amp;"-"&amp;Z$2,"")&amp;IF(N(AA111)&gt;0,", "&amp;A111&amp;"-"&amp;AA$2,"")&amp;IF(N(AB111)&gt;0,", "&amp;A111&amp;"-"&amp;AB$2,"")&amp;IF(N(AC111)&gt;0,", "&amp;A111&amp;"-"&amp;AC$2,"")&amp;IF(N(AD111)&gt;0,", "&amp;A111&amp;"-"&amp;AD$2,"")&amp;IF(N(AE111)&gt;0,", "&amp;A111&amp;"-"&amp;AE$2,"")&amp;IF(N(AF111)&gt;0,", "&amp;A111&amp;"-"&amp;AF$2,"")&amp;IF(N(AG111)&gt;0,", "&amp;A111&amp;"-"&amp;AG$2,"")&amp;IF(N(AH111)&gt;0,", "&amp;A111&amp;"-"&amp;AH$2,"")&amp;IF(N(AI111)&gt;0,", "&amp;A111&amp;"-"&amp;AI$2,"")&amp;IF(N(AJ111)&gt;0,", "&amp;A111&amp;"-"&amp;AJ$2,""),3,999))</f>
        <v/>
      </c>
      <c r="AN111" s="81"/>
      <c r="AO111" s="88"/>
      <c r="AP111" s="89" t="str">
        <f aca="false">IF(AO111="","",ROUND(AO111/(1+Справочники!$B$13),2))</f>
        <v/>
      </c>
      <c r="AQ111" s="90" t="str">
        <f aca="false" t="array" ref="AQ111:AQ111">IF(AP111="","",AP111*INDEX(Справочники!$B$4:$B$7,MATCH("RUB",Справочники!$A$4:$A$7,0)))</f>
        <v/>
      </c>
      <c r="AR111" s="90" t="str">
        <f aca="false">IF(AQ111="","",ROUND(AQ111*(1+Справочники!$B$12),0))</f>
        <v/>
      </c>
      <c r="AS111" s="90" t="str">
        <f aca="false">IF(AR111="","",ROUND(AR111*(1-Справочники!$B$11),0))</f>
        <v/>
      </c>
      <c r="AT111" s="88"/>
      <c r="AU111" s="90" t="str">
        <f aca="false">IF(AT111="","",ROUND(AT111/(1+Справочники!$B$12),0))</f>
        <v/>
      </c>
      <c r="AV111" s="90" t="str">
        <f aca="false">IF(AT111="","",ROUND(AT111*(1-Справочники!$B$15),0))</f>
        <v/>
      </c>
      <c r="AW111" s="90" t="str">
        <f aca="false">IF(AT111="","",ROUND(AT111*(1-Справочники!$B$16),0))</f>
        <v/>
      </c>
      <c r="AX111" s="90" t="str">
        <f aca="false">IF(AT111="","",ROUND(AT111*(1-Справочники!$B$17),0))</f>
        <v/>
      </c>
      <c r="AY111" s="90" t="str">
        <f aca="false">IF(AT111="","",ROUND(AT111*(1-Справочники!$B$18),0))</f>
        <v/>
      </c>
      <c r="AZ111" s="90" t="str">
        <f aca="false">IF(AT111="","",ROUND(AT111*(1-Справочники!$B$19),0))</f>
        <v/>
      </c>
      <c r="BA111" s="81"/>
      <c r="BB111" s="81"/>
      <c r="BC111" s="81"/>
      <c r="BD111" s="81"/>
      <c r="BE111" s="91"/>
      <c r="BF111" s="81" t="s">
        <v>103</v>
      </c>
      <c r="BG111" s="89" t="n">
        <f aca="false" t="array" ref="BG111:BG111">IF(BF111="","",IFERROR(INDEX(Справочники!$B$4:$B$7,MATCH(BF111,Справочники!$A$4:$A$7,0)),""))</f>
        <v>68.5</v>
      </c>
      <c r="BH111" s="90" t="str">
        <f aca="false">IF(N(BN111)&gt;0,ROUND(SUMIF(ЗАКАЗЫ!$F$3:$F$500,$A111,ЗАКАЗЫ!$Y$3:$Y$500)/BN111,0),IF(OR(BE111="",BG111=""),"",ROUND(BE111*BG111*(1+Справочники!$B$10),0)))</f>
        <v/>
      </c>
      <c r="BI111" s="92" t="str">
        <f aca="false">IF(OR(AU111="",BH111="",AU111=0),"",(AU111-BH111)/AU111)</f>
        <v/>
      </c>
      <c r="BJ111" s="81"/>
      <c r="BK111" s="83"/>
      <c r="BL111" s="43" t="str">
        <f aca="false">IFERROR(INDEX(ЗАКАЗЫ!$N$3:$N$500,MATCH($A111,ЗАКАЗЫ!$F$3:$F$500,0)),"")</f>
        <v/>
      </c>
      <c r="BM111" s="8" t="str">
        <f aca="false">IF(BL111="","",IFERROR(VLOOKUP(BL111,'ТН ВЭД'!$A$4:$C$40,3,0),""))</f>
        <v/>
      </c>
      <c r="BN111" s="7" t="str">
        <f aca="false">IF(COUNTIF(ЗАКАЗЫ!$F$3:$F$500,$A111)=0,"",SUMIF(ЗАКАЗЫ!$F$3:$F$500,$A111,ЗАКАЗЫ!$J$3:$J$500))</f>
        <v/>
      </c>
      <c r="BO111" s="7" t="str">
        <f aca="false">IF(BN111="","",SUMIF(ЗАКАЗЫ!$F$3:$F$500,$A111,ЗАКАЗЫ!$AL$3:$AL$500))</f>
        <v/>
      </c>
      <c r="BP111" s="7" t="str">
        <f aca="false">IF(BN111="","",BN111-BO111)</f>
        <v/>
      </c>
      <c r="BQ111" s="55" t="str">
        <f aca="false">IF(BN111="","",IF(BO111&gt;=BN111,"На складе",IF(BO111&gt;0,"Частично","Ждём")))</f>
        <v/>
      </c>
      <c r="BR111" s="43"/>
      <c r="BS111" s="47" t="str">
        <f aca="false">IF(BN111="","",IF(_xlfn.MAXIFS(ЗАКАЗЫ!$AK$3:$AK$500,ЗАКАЗЫ!$F$3:$F$500,$A111)=0,"",_xlfn.MAXIFS(ЗАКАЗЫ!$AK$3:$AK$500,ЗАКАЗЫ!$F$3:$F$500,$A111)))</f>
        <v/>
      </c>
    </row>
    <row r="112" customFormat="false" ht="15.75" hidden="false" customHeight="true" outlineLevel="0" collapsed="false">
      <c r="A112" s="80" t="s">
        <v>1635</v>
      </c>
      <c r="B112" s="81"/>
      <c r="C112" s="81"/>
      <c r="D112" s="81"/>
      <c r="E112" s="83"/>
      <c r="F112" s="81"/>
      <c r="G112" s="83"/>
      <c r="H112" s="83"/>
      <c r="I112" s="84" t="str">
        <f aca="false">IF(E112="","",A112&amp;"_1.jpg")</f>
        <v/>
      </c>
      <c r="J112" s="84" t="str">
        <f aca="false">IF(E112="","",A112&amp;"_2.jpg; "&amp;A112&amp;"_3.jpg")</f>
        <v/>
      </c>
      <c r="K112" s="84" t="str">
        <f aca="false">IF(E112="","",A112&amp;"_schema.jpg")</f>
        <v/>
      </c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 t="s">
        <v>96</v>
      </c>
      <c r="W112" s="81"/>
      <c r="X112" s="81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6" t="str">
        <f aca="false">IF(SUM(Y112:AJ112)=0,"",SUM(Y112:AJ112))</f>
        <v/>
      </c>
      <c r="AL112" s="84" t="str">
        <f aca="false">MID(IF(N(Y112)&gt;0,", "&amp;Y$2,"")&amp;IF(N(Z112)&gt;0,", "&amp;Z$2,"")&amp;IF(N(AA112)&gt;0,", "&amp;AA$2,"")&amp;IF(N(AB112)&gt;0,", "&amp;AB$2,"")&amp;IF(N(AC112)&gt;0,", "&amp;AC$2,"")&amp;IF(N(AD112)&gt;0,", "&amp;AD$2,"")&amp;IF(N(AE112)&gt;0,", "&amp;AE$2,"")&amp;IF(N(AF112)&gt;0,", "&amp;AF$2,"")&amp;IF(N(AG112)&gt;0,", "&amp;AG$2,"")&amp;IF(N(AH112)&gt;0,", "&amp;AH$2,"")&amp;IF(N(AI112)&gt;0,", "&amp;AI$2,"")&amp;IF(N(AJ112)&gt;0,", "&amp;AJ$2,""),3,999)</f>
        <v/>
      </c>
      <c r="AM112" s="87" t="str">
        <f aca="false">IF(E112="","",MID(IF(N(Y112)&gt;0,", "&amp;A112&amp;"-"&amp;Y$2,"")&amp;IF(N(Z112)&gt;0,", "&amp;A112&amp;"-"&amp;Z$2,"")&amp;IF(N(AA112)&gt;0,", "&amp;A112&amp;"-"&amp;AA$2,"")&amp;IF(N(AB112)&gt;0,", "&amp;A112&amp;"-"&amp;AB$2,"")&amp;IF(N(AC112)&gt;0,", "&amp;A112&amp;"-"&amp;AC$2,"")&amp;IF(N(AD112)&gt;0,", "&amp;A112&amp;"-"&amp;AD$2,"")&amp;IF(N(AE112)&gt;0,", "&amp;A112&amp;"-"&amp;AE$2,"")&amp;IF(N(AF112)&gt;0,", "&amp;A112&amp;"-"&amp;AF$2,"")&amp;IF(N(AG112)&gt;0,", "&amp;A112&amp;"-"&amp;AG$2,"")&amp;IF(N(AH112)&gt;0,", "&amp;A112&amp;"-"&amp;AH$2,"")&amp;IF(N(AI112)&gt;0,", "&amp;A112&amp;"-"&amp;AI$2,"")&amp;IF(N(AJ112)&gt;0,", "&amp;A112&amp;"-"&amp;AJ$2,""),3,999))</f>
        <v/>
      </c>
      <c r="AN112" s="81"/>
      <c r="AO112" s="88"/>
      <c r="AP112" s="89" t="str">
        <f aca="false">IF(AO112="","",ROUND(AO112/(1+Справочники!$B$13),2))</f>
        <v/>
      </c>
      <c r="AQ112" s="90" t="str">
        <f aca="false" t="array" ref="AQ112:AQ112">IF(AP112="","",AP112*INDEX(Справочники!$B$4:$B$7,MATCH("RUB",Справочники!$A$4:$A$7,0)))</f>
        <v/>
      </c>
      <c r="AR112" s="90" t="str">
        <f aca="false">IF(AQ112="","",ROUND(AQ112*(1+Справочники!$B$12),0))</f>
        <v/>
      </c>
      <c r="AS112" s="90" t="str">
        <f aca="false">IF(AR112="","",ROUND(AR112*(1-Справочники!$B$11),0))</f>
        <v/>
      </c>
      <c r="AT112" s="88"/>
      <c r="AU112" s="90" t="str">
        <f aca="false">IF(AT112="","",ROUND(AT112/(1+Справочники!$B$12),0))</f>
        <v/>
      </c>
      <c r="AV112" s="90" t="str">
        <f aca="false">IF(AT112="","",ROUND(AT112*(1-Справочники!$B$15),0))</f>
        <v/>
      </c>
      <c r="AW112" s="90" t="str">
        <f aca="false">IF(AT112="","",ROUND(AT112*(1-Справочники!$B$16),0))</f>
        <v/>
      </c>
      <c r="AX112" s="90" t="str">
        <f aca="false">IF(AT112="","",ROUND(AT112*(1-Справочники!$B$17),0))</f>
        <v/>
      </c>
      <c r="AY112" s="90" t="str">
        <f aca="false">IF(AT112="","",ROUND(AT112*(1-Справочники!$B$18),0))</f>
        <v/>
      </c>
      <c r="AZ112" s="90" t="str">
        <f aca="false">IF(AT112="","",ROUND(AT112*(1-Справочники!$B$19),0))</f>
        <v/>
      </c>
      <c r="BA112" s="81"/>
      <c r="BB112" s="81"/>
      <c r="BC112" s="81"/>
      <c r="BD112" s="81"/>
      <c r="BE112" s="91"/>
      <c r="BF112" s="81" t="s">
        <v>103</v>
      </c>
      <c r="BG112" s="89" t="n">
        <f aca="false" t="array" ref="BG112:BG112">IF(BF112="","",IFERROR(INDEX(Справочники!$B$4:$B$7,MATCH(BF112,Справочники!$A$4:$A$7,0)),""))</f>
        <v>68.5</v>
      </c>
      <c r="BH112" s="90" t="str">
        <f aca="false">IF(N(BN112)&gt;0,ROUND(SUMIF(ЗАКАЗЫ!$F$3:$F$500,$A112,ЗАКАЗЫ!$Y$3:$Y$500)/BN112,0),IF(OR(BE112="",BG112=""),"",ROUND(BE112*BG112*(1+Справочники!$B$10),0)))</f>
        <v/>
      </c>
      <c r="BI112" s="92" t="str">
        <f aca="false">IF(OR(AU112="",BH112="",AU112=0),"",(AU112-BH112)/AU112)</f>
        <v/>
      </c>
      <c r="BJ112" s="81"/>
      <c r="BK112" s="83"/>
      <c r="BL112" s="43" t="str">
        <f aca="false">IFERROR(INDEX(ЗАКАЗЫ!$N$3:$N$500,MATCH($A112,ЗАКАЗЫ!$F$3:$F$500,0)),"")</f>
        <v/>
      </c>
      <c r="BM112" s="8" t="str">
        <f aca="false">IF(BL112="","",IFERROR(VLOOKUP(BL112,'ТН ВЭД'!$A$4:$C$40,3,0),""))</f>
        <v/>
      </c>
      <c r="BN112" s="7" t="str">
        <f aca="false">IF(COUNTIF(ЗАКАЗЫ!$F$3:$F$500,$A112)=0,"",SUMIF(ЗАКАЗЫ!$F$3:$F$500,$A112,ЗАКАЗЫ!$J$3:$J$500))</f>
        <v/>
      </c>
      <c r="BO112" s="7" t="str">
        <f aca="false">IF(BN112="","",SUMIF(ЗАКАЗЫ!$F$3:$F$500,$A112,ЗАКАЗЫ!$AL$3:$AL$500))</f>
        <v/>
      </c>
      <c r="BP112" s="7" t="str">
        <f aca="false">IF(BN112="","",BN112-BO112)</f>
        <v/>
      </c>
      <c r="BQ112" s="55" t="str">
        <f aca="false">IF(BN112="","",IF(BO112&gt;=BN112,"На складе",IF(BO112&gt;0,"Частично","Ждём")))</f>
        <v/>
      </c>
      <c r="BR112" s="43"/>
      <c r="BS112" s="47" t="str">
        <f aca="false">IF(BN112="","",IF(_xlfn.MAXIFS(ЗАКАЗЫ!$AK$3:$AK$500,ЗАКАЗЫ!$F$3:$F$500,$A112)=0,"",_xlfn.MAXIFS(ЗАКАЗЫ!$AK$3:$AK$500,ЗАКАЗЫ!$F$3:$F$500,$A112)))</f>
        <v/>
      </c>
    </row>
    <row r="113" customFormat="false" ht="15.75" hidden="false" customHeight="true" outlineLevel="0" collapsed="false">
      <c r="A113" s="80" t="s">
        <v>1636</v>
      </c>
      <c r="B113" s="81"/>
      <c r="C113" s="81"/>
      <c r="D113" s="81"/>
      <c r="E113" s="83"/>
      <c r="F113" s="81"/>
      <c r="G113" s="83"/>
      <c r="H113" s="83"/>
      <c r="I113" s="84" t="str">
        <f aca="false">IF(E113="","",A113&amp;"_1.jpg")</f>
        <v/>
      </c>
      <c r="J113" s="84" t="str">
        <f aca="false">IF(E113="","",A113&amp;"_2.jpg; "&amp;A113&amp;"_3.jpg")</f>
        <v/>
      </c>
      <c r="K113" s="84" t="str">
        <f aca="false">IF(E113="","",A113&amp;"_schema.jpg")</f>
        <v/>
      </c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 t="s">
        <v>96</v>
      </c>
      <c r="W113" s="81"/>
      <c r="X113" s="81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6" t="str">
        <f aca="false">IF(SUM(Y113:AJ113)=0,"",SUM(Y113:AJ113))</f>
        <v/>
      </c>
      <c r="AL113" s="84" t="str">
        <f aca="false">MID(IF(N(Y113)&gt;0,", "&amp;Y$2,"")&amp;IF(N(Z113)&gt;0,", "&amp;Z$2,"")&amp;IF(N(AA113)&gt;0,", "&amp;AA$2,"")&amp;IF(N(AB113)&gt;0,", "&amp;AB$2,"")&amp;IF(N(AC113)&gt;0,", "&amp;AC$2,"")&amp;IF(N(AD113)&gt;0,", "&amp;AD$2,"")&amp;IF(N(AE113)&gt;0,", "&amp;AE$2,"")&amp;IF(N(AF113)&gt;0,", "&amp;AF$2,"")&amp;IF(N(AG113)&gt;0,", "&amp;AG$2,"")&amp;IF(N(AH113)&gt;0,", "&amp;AH$2,"")&amp;IF(N(AI113)&gt;0,", "&amp;AI$2,"")&amp;IF(N(AJ113)&gt;0,", "&amp;AJ$2,""),3,999)</f>
        <v/>
      </c>
      <c r="AM113" s="87" t="str">
        <f aca="false">IF(E113="","",MID(IF(N(Y113)&gt;0,", "&amp;A113&amp;"-"&amp;Y$2,"")&amp;IF(N(Z113)&gt;0,", "&amp;A113&amp;"-"&amp;Z$2,"")&amp;IF(N(AA113)&gt;0,", "&amp;A113&amp;"-"&amp;AA$2,"")&amp;IF(N(AB113)&gt;0,", "&amp;A113&amp;"-"&amp;AB$2,"")&amp;IF(N(AC113)&gt;0,", "&amp;A113&amp;"-"&amp;AC$2,"")&amp;IF(N(AD113)&gt;0,", "&amp;A113&amp;"-"&amp;AD$2,"")&amp;IF(N(AE113)&gt;0,", "&amp;A113&amp;"-"&amp;AE$2,"")&amp;IF(N(AF113)&gt;0,", "&amp;A113&amp;"-"&amp;AF$2,"")&amp;IF(N(AG113)&gt;0,", "&amp;A113&amp;"-"&amp;AG$2,"")&amp;IF(N(AH113)&gt;0,", "&amp;A113&amp;"-"&amp;AH$2,"")&amp;IF(N(AI113)&gt;0,", "&amp;A113&amp;"-"&amp;AI$2,"")&amp;IF(N(AJ113)&gt;0,", "&amp;A113&amp;"-"&amp;AJ$2,""),3,999))</f>
        <v/>
      </c>
      <c r="AN113" s="81"/>
      <c r="AO113" s="88"/>
      <c r="AP113" s="89" t="str">
        <f aca="false">IF(AO113="","",ROUND(AO113/(1+Справочники!$B$13),2))</f>
        <v/>
      </c>
      <c r="AQ113" s="90" t="str">
        <f aca="false" t="array" ref="AQ113:AQ113">IF(AP113="","",AP113*INDEX(Справочники!$B$4:$B$7,MATCH("RUB",Справочники!$A$4:$A$7,0)))</f>
        <v/>
      </c>
      <c r="AR113" s="90" t="str">
        <f aca="false">IF(AQ113="","",ROUND(AQ113*(1+Справочники!$B$12),0))</f>
        <v/>
      </c>
      <c r="AS113" s="90" t="str">
        <f aca="false">IF(AR113="","",ROUND(AR113*(1-Справочники!$B$11),0))</f>
        <v/>
      </c>
      <c r="AT113" s="88"/>
      <c r="AU113" s="90" t="str">
        <f aca="false">IF(AT113="","",ROUND(AT113/(1+Справочники!$B$12),0))</f>
        <v/>
      </c>
      <c r="AV113" s="90" t="str">
        <f aca="false">IF(AT113="","",ROUND(AT113*(1-Справочники!$B$15),0))</f>
        <v/>
      </c>
      <c r="AW113" s="90" t="str">
        <f aca="false">IF(AT113="","",ROUND(AT113*(1-Справочники!$B$16),0))</f>
        <v/>
      </c>
      <c r="AX113" s="90" t="str">
        <f aca="false">IF(AT113="","",ROUND(AT113*(1-Справочники!$B$17),0))</f>
        <v/>
      </c>
      <c r="AY113" s="90" t="str">
        <f aca="false">IF(AT113="","",ROUND(AT113*(1-Справочники!$B$18),0))</f>
        <v/>
      </c>
      <c r="AZ113" s="90" t="str">
        <f aca="false">IF(AT113="","",ROUND(AT113*(1-Справочники!$B$19),0))</f>
        <v/>
      </c>
      <c r="BA113" s="81"/>
      <c r="BB113" s="81"/>
      <c r="BC113" s="81"/>
      <c r="BD113" s="81"/>
      <c r="BE113" s="91"/>
      <c r="BF113" s="81" t="s">
        <v>103</v>
      </c>
      <c r="BG113" s="89" t="n">
        <f aca="false" t="array" ref="BG113:BG113">IF(BF113="","",IFERROR(INDEX(Справочники!$B$4:$B$7,MATCH(BF113,Справочники!$A$4:$A$7,0)),""))</f>
        <v>68.5</v>
      </c>
      <c r="BH113" s="90" t="str">
        <f aca="false">IF(N(BN113)&gt;0,ROUND(SUMIF(ЗАКАЗЫ!$F$3:$F$500,$A113,ЗАКАЗЫ!$Y$3:$Y$500)/BN113,0),IF(OR(BE113="",BG113=""),"",ROUND(BE113*BG113*(1+Справочники!$B$10),0)))</f>
        <v/>
      </c>
      <c r="BI113" s="92" t="str">
        <f aca="false">IF(OR(AU113="",BH113="",AU113=0),"",(AU113-BH113)/AU113)</f>
        <v/>
      </c>
      <c r="BJ113" s="81"/>
      <c r="BK113" s="83"/>
      <c r="BL113" s="43" t="str">
        <f aca="false">IFERROR(INDEX(ЗАКАЗЫ!$N$3:$N$500,MATCH($A113,ЗАКАЗЫ!$F$3:$F$500,0)),"")</f>
        <v/>
      </c>
      <c r="BM113" s="8" t="str">
        <f aca="false">IF(BL113="","",IFERROR(VLOOKUP(BL113,'ТН ВЭД'!$A$4:$C$40,3,0),""))</f>
        <v/>
      </c>
      <c r="BN113" s="7" t="str">
        <f aca="false">IF(COUNTIF(ЗАКАЗЫ!$F$3:$F$500,$A113)=0,"",SUMIF(ЗАКАЗЫ!$F$3:$F$500,$A113,ЗАКАЗЫ!$J$3:$J$500))</f>
        <v/>
      </c>
      <c r="BO113" s="7" t="str">
        <f aca="false">IF(BN113="","",SUMIF(ЗАКАЗЫ!$F$3:$F$500,$A113,ЗАКАЗЫ!$AL$3:$AL$500))</f>
        <v/>
      </c>
      <c r="BP113" s="7" t="str">
        <f aca="false">IF(BN113="","",BN113-BO113)</f>
        <v/>
      </c>
      <c r="BQ113" s="55" t="str">
        <f aca="false">IF(BN113="","",IF(BO113&gt;=BN113,"На складе",IF(BO113&gt;0,"Частично","Ждём")))</f>
        <v/>
      </c>
      <c r="BR113" s="43"/>
      <c r="BS113" s="47" t="str">
        <f aca="false">IF(BN113="","",IF(_xlfn.MAXIFS(ЗАКАЗЫ!$AK$3:$AK$500,ЗАКАЗЫ!$F$3:$F$500,$A113)=0,"",_xlfn.MAXIFS(ЗАКАЗЫ!$AK$3:$AK$500,ЗАКАЗЫ!$F$3:$F$500,$A113)))</f>
        <v/>
      </c>
    </row>
    <row r="114" customFormat="false" ht="15.75" hidden="false" customHeight="true" outlineLevel="0" collapsed="false">
      <c r="A114" s="80" t="s">
        <v>1637</v>
      </c>
      <c r="B114" s="81"/>
      <c r="C114" s="81"/>
      <c r="D114" s="81"/>
      <c r="E114" s="83"/>
      <c r="F114" s="81"/>
      <c r="G114" s="83"/>
      <c r="H114" s="83"/>
      <c r="I114" s="84" t="str">
        <f aca="false">IF(E114="","",A114&amp;"_1.jpg")</f>
        <v/>
      </c>
      <c r="J114" s="84" t="str">
        <f aca="false">IF(E114="","",A114&amp;"_2.jpg; "&amp;A114&amp;"_3.jpg")</f>
        <v/>
      </c>
      <c r="K114" s="84" t="str">
        <f aca="false">IF(E114="","",A114&amp;"_schema.jpg")</f>
        <v/>
      </c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 t="s">
        <v>96</v>
      </c>
      <c r="W114" s="81"/>
      <c r="X114" s="81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6" t="str">
        <f aca="false">IF(SUM(Y114:AJ114)=0,"",SUM(Y114:AJ114))</f>
        <v/>
      </c>
      <c r="AL114" s="84" t="str">
        <f aca="false">MID(IF(N(Y114)&gt;0,", "&amp;Y$2,"")&amp;IF(N(Z114)&gt;0,", "&amp;Z$2,"")&amp;IF(N(AA114)&gt;0,", "&amp;AA$2,"")&amp;IF(N(AB114)&gt;0,", "&amp;AB$2,"")&amp;IF(N(AC114)&gt;0,", "&amp;AC$2,"")&amp;IF(N(AD114)&gt;0,", "&amp;AD$2,"")&amp;IF(N(AE114)&gt;0,", "&amp;AE$2,"")&amp;IF(N(AF114)&gt;0,", "&amp;AF$2,"")&amp;IF(N(AG114)&gt;0,", "&amp;AG$2,"")&amp;IF(N(AH114)&gt;0,", "&amp;AH$2,"")&amp;IF(N(AI114)&gt;0,", "&amp;AI$2,"")&amp;IF(N(AJ114)&gt;0,", "&amp;AJ$2,""),3,999)</f>
        <v/>
      </c>
      <c r="AM114" s="87" t="str">
        <f aca="false">IF(E114="","",MID(IF(N(Y114)&gt;0,", "&amp;A114&amp;"-"&amp;Y$2,"")&amp;IF(N(Z114)&gt;0,", "&amp;A114&amp;"-"&amp;Z$2,"")&amp;IF(N(AA114)&gt;0,", "&amp;A114&amp;"-"&amp;AA$2,"")&amp;IF(N(AB114)&gt;0,", "&amp;A114&amp;"-"&amp;AB$2,"")&amp;IF(N(AC114)&gt;0,", "&amp;A114&amp;"-"&amp;AC$2,"")&amp;IF(N(AD114)&gt;0,", "&amp;A114&amp;"-"&amp;AD$2,"")&amp;IF(N(AE114)&gt;0,", "&amp;A114&amp;"-"&amp;AE$2,"")&amp;IF(N(AF114)&gt;0,", "&amp;A114&amp;"-"&amp;AF$2,"")&amp;IF(N(AG114)&gt;0,", "&amp;A114&amp;"-"&amp;AG$2,"")&amp;IF(N(AH114)&gt;0,", "&amp;A114&amp;"-"&amp;AH$2,"")&amp;IF(N(AI114)&gt;0,", "&amp;A114&amp;"-"&amp;AI$2,"")&amp;IF(N(AJ114)&gt;0,", "&amp;A114&amp;"-"&amp;AJ$2,""),3,999))</f>
        <v/>
      </c>
      <c r="AN114" s="81"/>
      <c r="AO114" s="88"/>
      <c r="AP114" s="89" t="str">
        <f aca="false">IF(AO114="","",ROUND(AO114/(1+Справочники!$B$13),2))</f>
        <v/>
      </c>
      <c r="AQ114" s="90" t="str">
        <f aca="false" t="array" ref="AQ114:AQ114">IF(AP114="","",AP114*INDEX(Справочники!$B$4:$B$7,MATCH("RUB",Справочники!$A$4:$A$7,0)))</f>
        <v/>
      </c>
      <c r="AR114" s="90" t="str">
        <f aca="false">IF(AQ114="","",ROUND(AQ114*(1+Справочники!$B$12),0))</f>
        <v/>
      </c>
      <c r="AS114" s="90" t="str">
        <f aca="false">IF(AR114="","",ROUND(AR114*(1-Справочники!$B$11),0))</f>
        <v/>
      </c>
      <c r="AT114" s="88"/>
      <c r="AU114" s="90" t="str">
        <f aca="false">IF(AT114="","",ROUND(AT114/(1+Справочники!$B$12),0))</f>
        <v/>
      </c>
      <c r="AV114" s="90" t="str">
        <f aca="false">IF(AT114="","",ROUND(AT114*(1-Справочники!$B$15),0))</f>
        <v/>
      </c>
      <c r="AW114" s="90" t="str">
        <f aca="false">IF(AT114="","",ROUND(AT114*(1-Справочники!$B$16),0))</f>
        <v/>
      </c>
      <c r="AX114" s="90" t="str">
        <f aca="false">IF(AT114="","",ROUND(AT114*(1-Справочники!$B$17),0))</f>
        <v/>
      </c>
      <c r="AY114" s="90" t="str">
        <f aca="false">IF(AT114="","",ROUND(AT114*(1-Справочники!$B$18),0))</f>
        <v/>
      </c>
      <c r="AZ114" s="90" t="str">
        <f aca="false">IF(AT114="","",ROUND(AT114*(1-Справочники!$B$19),0))</f>
        <v/>
      </c>
      <c r="BA114" s="81"/>
      <c r="BB114" s="81"/>
      <c r="BC114" s="81"/>
      <c r="BD114" s="81"/>
      <c r="BE114" s="91"/>
      <c r="BF114" s="81" t="s">
        <v>103</v>
      </c>
      <c r="BG114" s="89" t="n">
        <f aca="false" t="array" ref="BG114:BG114">IF(BF114="","",IFERROR(INDEX(Справочники!$B$4:$B$7,MATCH(BF114,Справочники!$A$4:$A$7,0)),""))</f>
        <v>68.5</v>
      </c>
      <c r="BH114" s="90" t="str">
        <f aca="false">IF(N(BN114)&gt;0,ROUND(SUMIF(ЗАКАЗЫ!$F$3:$F$500,$A114,ЗАКАЗЫ!$Y$3:$Y$500)/BN114,0),IF(OR(BE114="",BG114=""),"",ROUND(BE114*BG114*(1+Справочники!$B$10),0)))</f>
        <v/>
      </c>
      <c r="BI114" s="92" t="str">
        <f aca="false">IF(OR(AU114="",BH114="",AU114=0),"",(AU114-BH114)/AU114)</f>
        <v/>
      </c>
      <c r="BJ114" s="81"/>
      <c r="BK114" s="83"/>
      <c r="BL114" s="43" t="str">
        <f aca="false">IFERROR(INDEX(ЗАКАЗЫ!$N$3:$N$500,MATCH($A114,ЗАКАЗЫ!$F$3:$F$500,0)),"")</f>
        <v/>
      </c>
      <c r="BM114" s="8" t="str">
        <f aca="false">IF(BL114="","",IFERROR(VLOOKUP(BL114,'ТН ВЭД'!$A$4:$C$40,3,0),""))</f>
        <v/>
      </c>
      <c r="BN114" s="7" t="str">
        <f aca="false">IF(COUNTIF(ЗАКАЗЫ!$F$3:$F$500,$A114)=0,"",SUMIF(ЗАКАЗЫ!$F$3:$F$500,$A114,ЗАКАЗЫ!$J$3:$J$500))</f>
        <v/>
      </c>
      <c r="BO114" s="7" t="str">
        <f aca="false">IF(BN114="","",SUMIF(ЗАКАЗЫ!$F$3:$F$500,$A114,ЗАКАЗЫ!$AL$3:$AL$500))</f>
        <v/>
      </c>
      <c r="BP114" s="7" t="str">
        <f aca="false">IF(BN114="","",BN114-BO114)</f>
        <v/>
      </c>
      <c r="BQ114" s="55" t="str">
        <f aca="false">IF(BN114="","",IF(BO114&gt;=BN114,"На складе",IF(BO114&gt;0,"Частично","Ждём")))</f>
        <v/>
      </c>
      <c r="BR114" s="43"/>
      <c r="BS114" s="47" t="str">
        <f aca="false">IF(BN114="","",IF(_xlfn.MAXIFS(ЗАКАЗЫ!$AK$3:$AK$500,ЗАКАЗЫ!$F$3:$F$500,$A114)=0,"",_xlfn.MAXIFS(ЗАКАЗЫ!$AK$3:$AK$500,ЗАКАЗЫ!$F$3:$F$500,$A114)))</f>
        <v/>
      </c>
    </row>
    <row r="115" customFormat="false" ht="15.75" hidden="false" customHeight="true" outlineLevel="0" collapsed="false">
      <c r="A115" s="80" t="s">
        <v>1638</v>
      </c>
      <c r="B115" s="81"/>
      <c r="C115" s="81"/>
      <c r="D115" s="81"/>
      <c r="E115" s="83"/>
      <c r="F115" s="81"/>
      <c r="G115" s="83"/>
      <c r="H115" s="83"/>
      <c r="I115" s="84" t="str">
        <f aca="false">IF(E115="","",A115&amp;"_1.jpg")</f>
        <v/>
      </c>
      <c r="J115" s="84" t="str">
        <f aca="false">IF(E115="","",A115&amp;"_2.jpg; "&amp;A115&amp;"_3.jpg")</f>
        <v/>
      </c>
      <c r="K115" s="84" t="str">
        <f aca="false">IF(E115="","",A115&amp;"_schema.jpg")</f>
        <v/>
      </c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 t="s">
        <v>96</v>
      </c>
      <c r="W115" s="81"/>
      <c r="X115" s="81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6" t="str">
        <f aca="false">IF(SUM(Y115:AJ115)=0,"",SUM(Y115:AJ115))</f>
        <v/>
      </c>
      <c r="AL115" s="84" t="str">
        <f aca="false">MID(IF(N(Y115)&gt;0,", "&amp;Y$2,"")&amp;IF(N(Z115)&gt;0,", "&amp;Z$2,"")&amp;IF(N(AA115)&gt;0,", "&amp;AA$2,"")&amp;IF(N(AB115)&gt;0,", "&amp;AB$2,"")&amp;IF(N(AC115)&gt;0,", "&amp;AC$2,"")&amp;IF(N(AD115)&gt;0,", "&amp;AD$2,"")&amp;IF(N(AE115)&gt;0,", "&amp;AE$2,"")&amp;IF(N(AF115)&gt;0,", "&amp;AF$2,"")&amp;IF(N(AG115)&gt;0,", "&amp;AG$2,"")&amp;IF(N(AH115)&gt;0,", "&amp;AH$2,"")&amp;IF(N(AI115)&gt;0,", "&amp;AI$2,"")&amp;IF(N(AJ115)&gt;0,", "&amp;AJ$2,""),3,999)</f>
        <v/>
      </c>
      <c r="AM115" s="87" t="str">
        <f aca="false">IF(E115="","",MID(IF(N(Y115)&gt;0,", "&amp;A115&amp;"-"&amp;Y$2,"")&amp;IF(N(Z115)&gt;0,", "&amp;A115&amp;"-"&amp;Z$2,"")&amp;IF(N(AA115)&gt;0,", "&amp;A115&amp;"-"&amp;AA$2,"")&amp;IF(N(AB115)&gt;0,", "&amp;A115&amp;"-"&amp;AB$2,"")&amp;IF(N(AC115)&gt;0,", "&amp;A115&amp;"-"&amp;AC$2,"")&amp;IF(N(AD115)&gt;0,", "&amp;A115&amp;"-"&amp;AD$2,"")&amp;IF(N(AE115)&gt;0,", "&amp;A115&amp;"-"&amp;AE$2,"")&amp;IF(N(AF115)&gt;0,", "&amp;A115&amp;"-"&amp;AF$2,"")&amp;IF(N(AG115)&gt;0,", "&amp;A115&amp;"-"&amp;AG$2,"")&amp;IF(N(AH115)&gt;0,", "&amp;A115&amp;"-"&amp;AH$2,"")&amp;IF(N(AI115)&gt;0,", "&amp;A115&amp;"-"&amp;AI$2,"")&amp;IF(N(AJ115)&gt;0,", "&amp;A115&amp;"-"&amp;AJ$2,""),3,999))</f>
        <v/>
      </c>
      <c r="AN115" s="81"/>
      <c r="AO115" s="88"/>
      <c r="AP115" s="89" t="str">
        <f aca="false">IF(AO115="","",ROUND(AO115/(1+Справочники!$B$13),2))</f>
        <v/>
      </c>
      <c r="AQ115" s="90" t="str">
        <f aca="false" t="array" ref="AQ115:AQ115">IF(AP115="","",AP115*INDEX(Справочники!$B$4:$B$7,MATCH("RUB",Справочники!$A$4:$A$7,0)))</f>
        <v/>
      </c>
      <c r="AR115" s="90" t="str">
        <f aca="false">IF(AQ115="","",ROUND(AQ115*(1+Справочники!$B$12),0))</f>
        <v/>
      </c>
      <c r="AS115" s="90" t="str">
        <f aca="false">IF(AR115="","",ROUND(AR115*(1-Справочники!$B$11),0))</f>
        <v/>
      </c>
      <c r="AT115" s="88"/>
      <c r="AU115" s="90" t="str">
        <f aca="false">IF(AT115="","",ROUND(AT115/(1+Справочники!$B$12),0))</f>
        <v/>
      </c>
      <c r="AV115" s="90" t="str">
        <f aca="false">IF(AT115="","",ROUND(AT115*(1-Справочники!$B$15),0))</f>
        <v/>
      </c>
      <c r="AW115" s="90" t="str">
        <f aca="false">IF(AT115="","",ROUND(AT115*(1-Справочники!$B$16),0))</f>
        <v/>
      </c>
      <c r="AX115" s="90" t="str">
        <f aca="false">IF(AT115="","",ROUND(AT115*(1-Справочники!$B$17),0))</f>
        <v/>
      </c>
      <c r="AY115" s="90" t="str">
        <f aca="false">IF(AT115="","",ROUND(AT115*(1-Справочники!$B$18),0))</f>
        <v/>
      </c>
      <c r="AZ115" s="90" t="str">
        <f aca="false">IF(AT115="","",ROUND(AT115*(1-Справочники!$B$19),0))</f>
        <v/>
      </c>
      <c r="BA115" s="81"/>
      <c r="BB115" s="81"/>
      <c r="BC115" s="81"/>
      <c r="BD115" s="81"/>
      <c r="BE115" s="91"/>
      <c r="BF115" s="81" t="s">
        <v>103</v>
      </c>
      <c r="BG115" s="89" t="n">
        <f aca="false" t="array" ref="BG115:BG115">IF(BF115="","",IFERROR(INDEX(Справочники!$B$4:$B$7,MATCH(BF115,Справочники!$A$4:$A$7,0)),""))</f>
        <v>68.5</v>
      </c>
      <c r="BH115" s="90" t="str">
        <f aca="false">IF(N(BN115)&gt;0,ROUND(SUMIF(ЗАКАЗЫ!$F$3:$F$500,$A115,ЗАКАЗЫ!$Y$3:$Y$500)/BN115,0),IF(OR(BE115="",BG115=""),"",ROUND(BE115*BG115*(1+Справочники!$B$10),0)))</f>
        <v/>
      </c>
      <c r="BI115" s="92" t="str">
        <f aca="false">IF(OR(AU115="",BH115="",AU115=0),"",(AU115-BH115)/AU115)</f>
        <v/>
      </c>
      <c r="BJ115" s="81"/>
      <c r="BK115" s="83"/>
      <c r="BL115" s="43" t="str">
        <f aca="false">IFERROR(INDEX(ЗАКАЗЫ!$N$3:$N$500,MATCH($A115,ЗАКАЗЫ!$F$3:$F$500,0)),"")</f>
        <v/>
      </c>
      <c r="BM115" s="8" t="str">
        <f aca="false">IF(BL115="","",IFERROR(VLOOKUP(BL115,'ТН ВЭД'!$A$4:$C$40,3,0),""))</f>
        <v/>
      </c>
      <c r="BN115" s="7" t="str">
        <f aca="false">IF(COUNTIF(ЗАКАЗЫ!$F$3:$F$500,$A115)=0,"",SUMIF(ЗАКАЗЫ!$F$3:$F$500,$A115,ЗАКАЗЫ!$J$3:$J$500))</f>
        <v/>
      </c>
      <c r="BO115" s="7" t="str">
        <f aca="false">IF(BN115="","",SUMIF(ЗАКАЗЫ!$F$3:$F$500,$A115,ЗАКАЗЫ!$AL$3:$AL$500))</f>
        <v/>
      </c>
      <c r="BP115" s="7" t="str">
        <f aca="false">IF(BN115="","",BN115-BO115)</f>
        <v/>
      </c>
      <c r="BQ115" s="55" t="str">
        <f aca="false">IF(BN115="","",IF(BO115&gt;=BN115,"На складе",IF(BO115&gt;0,"Частично","Ждём")))</f>
        <v/>
      </c>
      <c r="BR115" s="43"/>
      <c r="BS115" s="47" t="str">
        <f aca="false">IF(BN115="","",IF(_xlfn.MAXIFS(ЗАКАЗЫ!$AK$3:$AK$500,ЗАКАЗЫ!$F$3:$F$500,$A115)=0,"",_xlfn.MAXIFS(ЗАКАЗЫ!$AK$3:$AK$500,ЗАКАЗЫ!$F$3:$F$500,$A115)))</f>
        <v/>
      </c>
    </row>
    <row r="116" customFormat="false" ht="15.75" hidden="false" customHeight="true" outlineLevel="0" collapsed="false">
      <c r="A116" s="80" t="s">
        <v>1639</v>
      </c>
      <c r="B116" s="81"/>
      <c r="C116" s="81"/>
      <c r="D116" s="81"/>
      <c r="E116" s="83"/>
      <c r="F116" s="81"/>
      <c r="G116" s="83"/>
      <c r="H116" s="83"/>
      <c r="I116" s="84" t="str">
        <f aca="false">IF(E116="","",A116&amp;"_1.jpg")</f>
        <v/>
      </c>
      <c r="J116" s="84" t="str">
        <f aca="false">IF(E116="","",A116&amp;"_2.jpg; "&amp;A116&amp;"_3.jpg")</f>
        <v/>
      </c>
      <c r="K116" s="84" t="str">
        <f aca="false">IF(E116="","",A116&amp;"_schema.jpg")</f>
        <v/>
      </c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 t="s">
        <v>96</v>
      </c>
      <c r="W116" s="81"/>
      <c r="X116" s="81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6" t="str">
        <f aca="false">IF(SUM(Y116:AJ116)=0,"",SUM(Y116:AJ116))</f>
        <v/>
      </c>
      <c r="AL116" s="84" t="str">
        <f aca="false">MID(IF(N(Y116)&gt;0,", "&amp;Y$2,"")&amp;IF(N(Z116)&gt;0,", "&amp;Z$2,"")&amp;IF(N(AA116)&gt;0,", "&amp;AA$2,"")&amp;IF(N(AB116)&gt;0,", "&amp;AB$2,"")&amp;IF(N(AC116)&gt;0,", "&amp;AC$2,"")&amp;IF(N(AD116)&gt;0,", "&amp;AD$2,"")&amp;IF(N(AE116)&gt;0,", "&amp;AE$2,"")&amp;IF(N(AF116)&gt;0,", "&amp;AF$2,"")&amp;IF(N(AG116)&gt;0,", "&amp;AG$2,"")&amp;IF(N(AH116)&gt;0,", "&amp;AH$2,"")&amp;IF(N(AI116)&gt;0,", "&amp;AI$2,"")&amp;IF(N(AJ116)&gt;0,", "&amp;AJ$2,""),3,999)</f>
        <v/>
      </c>
      <c r="AM116" s="87" t="str">
        <f aca="false">IF(E116="","",MID(IF(N(Y116)&gt;0,", "&amp;A116&amp;"-"&amp;Y$2,"")&amp;IF(N(Z116)&gt;0,", "&amp;A116&amp;"-"&amp;Z$2,"")&amp;IF(N(AA116)&gt;0,", "&amp;A116&amp;"-"&amp;AA$2,"")&amp;IF(N(AB116)&gt;0,", "&amp;A116&amp;"-"&amp;AB$2,"")&amp;IF(N(AC116)&gt;0,", "&amp;A116&amp;"-"&amp;AC$2,"")&amp;IF(N(AD116)&gt;0,", "&amp;A116&amp;"-"&amp;AD$2,"")&amp;IF(N(AE116)&gt;0,", "&amp;A116&amp;"-"&amp;AE$2,"")&amp;IF(N(AF116)&gt;0,", "&amp;A116&amp;"-"&amp;AF$2,"")&amp;IF(N(AG116)&gt;0,", "&amp;A116&amp;"-"&amp;AG$2,"")&amp;IF(N(AH116)&gt;0,", "&amp;A116&amp;"-"&amp;AH$2,"")&amp;IF(N(AI116)&gt;0,", "&amp;A116&amp;"-"&amp;AI$2,"")&amp;IF(N(AJ116)&gt;0,", "&amp;A116&amp;"-"&amp;AJ$2,""),3,999))</f>
        <v/>
      </c>
      <c r="AN116" s="81"/>
      <c r="AO116" s="88"/>
      <c r="AP116" s="89" t="str">
        <f aca="false">IF(AO116="","",ROUND(AO116/(1+Справочники!$B$13),2))</f>
        <v/>
      </c>
      <c r="AQ116" s="90" t="str">
        <f aca="false" t="array" ref="AQ116:AQ116">IF(AP116="","",AP116*INDEX(Справочники!$B$4:$B$7,MATCH("RUB",Справочники!$A$4:$A$7,0)))</f>
        <v/>
      </c>
      <c r="AR116" s="90" t="str">
        <f aca="false">IF(AQ116="","",ROUND(AQ116*(1+Справочники!$B$12),0))</f>
        <v/>
      </c>
      <c r="AS116" s="90" t="str">
        <f aca="false">IF(AR116="","",ROUND(AR116*(1-Справочники!$B$11),0))</f>
        <v/>
      </c>
      <c r="AT116" s="88"/>
      <c r="AU116" s="90" t="str">
        <f aca="false">IF(AT116="","",ROUND(AT116/(1+Справочники!$B$12),0))</f>
        <v/>
      </c>
      <c r="AV116" s="90" t="str">
        <f aca="false">IF(AT116="","",ROUND(AT116*(1-Справочники!$B$15),0))</f>
        <v/>
      </c>
      <c r="AW116" s="90" t="str">
        <f aca="false">IF(AT116="","",ROUND(AT116*(1-Справочники!$B$16),0))</f>
        <v/>
      </c>
      <c r="AX116" s="90" t="str">
        <f aca="false">IF(AT116="","",ROUND(AT116*(1-Справочники!$B$17),0))</f>
        <v/>
      </c>
      <c r="AY116" s="90" t="str">
        <f aca="false">IF(AT116="","",ROUND(AT116*(1-Справочники!$B$18),0))</f>
        <v/>
      </c>
      <c r="AZ116" s="90" t="str">
        <f aca="false">IF(AT116="","",ROUND(AT116*(1-Справочники!$B$19),0))</f>
        <v/>
      </c>
      <c r="BA116" s="81"/>
      <c r="BB116" s="81"/>
      <c r="BC116" s="81"/>
      <c r="BD116" s="81"/>
      <c r="BE116" s="91"/>
      <c r="BF116" s="81" t="s">
        <v>103</v>
      </c>
      <c r="BG116" s="89" t="n">
        <f aca="false" t="array" ref="BG116:BG116">IF(BF116="","",IFERROR(INDEX(Справочники!$B$4:$B$7,MATCH(BF116,Справочники!$A$4:$A$7,0)),""))</f>
        <v>68.5</v>
      </c>
      <c r="BH116" s="90" t="str">
        <f aca="false">IF(N(BN116)&gt;0,ROUND(SUMIF(ЗАКАЗЫ!$F$3:$F$500,$A116,ЗАКАЗЫ!$Y$3:$Y$500)/BN116,0),IF(OR(BE116="",BG116=""),"",ROUND(BE116*BG116*(1+Справочники!$B$10),0)))</f>
        <v/>
      </c>
      <c r="BI116" s="92" t="str">
        <f aca="false">IF(OR(AU116="",BH116="",AU116=0),"",(AU116-BH116)/AU116)</f>
        <v/>
      </c>
      <c r="BJ116" s="81"/>
      <c r="BK116" s="83"/>
      <c r="BL116" s="43" t="str">
        <f aca="false">IFERROR(INDEX(ЗАКАЗЫ!$N$3:$N$500,MATCH($A116,ЗАКАЗЫ!$F$3:$F$500,0)),"")</f>
        <v/>
      </c>
      <c r="BM116" s="8" t="str">
        <f aca="false">IF(BL116="","",IFERROR(VLOOKUP(BL116,'ТН ВЭД'!$A$4:$C$40,3,0),""))</f>
        <v/>
      </c>
      <c r="BN116" s="7" t="str">
        <f aca="false">IF(COUNTIF(ЗАКАЗЫ!$F$3:$F$500,$A116)=0,"",SUMIF(ЗАКАЗЫ!$F$3:$F$500,$A116,ЗАКАЗЫ!$J$3:$J$500))</f>
        <v/>
      </c>
      <c r="BO116" s="7" t="str">
        <f aca="false">IF(BN116="","",SUMIF(ЗАКАЗЫ!$F$3:$F$500,$A116,ЗАКАЗЫ!$AL$3:$AL$500))</f>
        <v/>
      </c>
      <c r="BP116" s="7" t="str">
        <f aca="false">IF(BN116="","",BN116-BO116)</f>
        <v/>
      </c>
      <c r="BQ116" s="55" t="str">
        <f aca="false">IF(BN116="","",IF(BO116&gt;=BN116,"На складе",IF(BO116&gt;0,"Частично","Ждём")))</f>
        <v/>
      </c>
      <c r="BR116" s="43"/>
      <c r="BS116" s="47" t="str">
        <f aca="false">IF(BN116="","",IF(_xlfn.MAXIFS(ЗАКАЗЫ!$AK$3:$AK$500,ЗАКАЗЫ!$F$3:$F$500,$A116)=0,"",_xlfn.MAXIFS(ЗАКАЗЫ!$AK$3:$AK$500,ЗАКАЗЫ!$F$3:$F$500,$A116)))</f>
        <v/>
      </c>
    </row>
    <row r="117" customFormat="false" ht="15.75" hidden="false" customHeight="true" outlineLevel="0" collapsed="false">
      <c r="A117" s="80" t="s">
        <v>1640</v>
      </c>
      <c r="B117" s="81"/>
      <c r="C117" s="81"/>
      <c r="D117" s="81"/>
      <c r="E117" s="83"/>
      <c r="F117" s="81"/>
      <c r="G117" s="83"/>
      <c r="H117" s="83"/>
      <c r="I117" s="84" t="str">
        <f aca="false">IF(E117="","",A117&amp;"_1.jpg")</f>
        <v/>
      </c>
      <c r="J117" s="84" t="str">
        <f aca="false">IF(E117="","",A117&amp;"_2.jpg; "&amp;A117&amp;"_3.jpg")</f>
        <v/>
      </c>
      <c r="K117" s="84" t="str">
        <f aca="false">IF(E117="","",A117&amp;"_schema.jpg")</f>
        <v/>
      </c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 t="s">
        <v>96</v>
      </c>
      <c r="W117" s="81"/>
      <c r="X117" s="81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6" t="str">
        <f aca="false">IF(SUM(Y117:AJ117)=0,"",SUM(Y117:AJ117))</f>
        <v/>
      </c>
      <c r="AL117" s="84" t="str">
        <f aca="false">MID(IF(N(Y117)&gt;0,", "&amp;Y$2,"")&amp;IF(N(Z117)&gt;0,", "&amp;Z$2,"")&amp;IF(N(AA117)&gt;0,", "&amp;AA$2,"")&amp;IF(N(AB117)&gt;0,", "&amp;AB$2,"")&amp;IF(N(AC117)&gt;0,", "&amp;AC$2,"")&amp;IF(N(AD117)&gt;0,", "&amp;AD$2,"")&amp;IF(N(AE117)&gt;0,", "&amp;AE$2,"")&amp;IF(N(AF117)&gt;0,", "&amp;AF$2,"")&amp;IF(N(AG117)&gt;0,", "&amp;AG$2,"")&amp;IF(N(AH117)&gt;0,", "&amp;AH$2,"")&amp;IF(N(AI117)&gt;0,", "&amp;AI$2,"")&amp;IF(N(AJ117)&gt;0,", "&amp;AJ$2,""),3,999)</f>
        <v/>
      </c>
      <c r="AM117" s="87" t="str">
        <f aca="false">IF(E117="","",MID(IF(N(Y117)&gt;0,", "&amp;A117&amp;"-"&amp;Y$2,"")&amp;IF(N(Z117)&gt;0,", "&amp;A117&amp;"-"&amp;Z$2,"")&amp;IF(N(AA117)&gt;0,", "&amp;A117&amp;"-"&amp;AA$2,"")&amp;IF(N(AB117)&gt;0,", "&amp;A117&amp;"-"&amp;AB$2,"")&amp;IF(N(AC117)&gt;0,", "&amp;A117&amp;"-"&amp;AC$2,"")&amp;IF(N(AD117)&gt;0,", "&amp;A117&amp;"-"&amp;AD$2,"")&amp;IF(N(AE117)&gt;0,", "&amp;A117&amp;"-"&amp;AE$2,"")&amp;IF(N(AF117)&gt;0,", "&amp;A117&amp;"-"&amp;AF$2,"")&amp;IF(N(AG117)&gt;0,", "&amp;A117&amp;"-"&amp;AG$2,"")&amp;IF(N(AH117)&gt;0,", "&amp;A117&amp;"-"&amp;AH$2,"")&amp;IF(N(AI117)&gt;0,", "&amp;A117&amp;"-"&amp;AI$2,"")&amp;IF(N(AJ117)&gt;0,", "&amp;A117&amp;"-"&amp;AJ$2,""),3,999))</f>
        <v/>
      </c>
      <c r="AN117" s="81"/>
      <c r="AO117" s="88"/>
      <c r="AP117" s="89" t="str">
        <f aca="false">IF(AO117="","",ROUND(AO117/(1+Справочники!$B$13),2))</f>
        <v/>
      </c>
      <c r="AQ117" s="90" t="str">
        <f aca="false" t="array" ref="AQ117:AQ117">IF(AP117="","",AP117*INDEX(Справочники!$B$4:$B$7,MATCH("RUB",Справочники!$A$4:$A$7,0)))</f>
        <v/>
      </c>
      <c r="AR117" s="90" t="str">
        <f aca="false">IF(AQ117="","",ROUND(AQ117*(1+Справочники!$B$12),0))</f>
        <v/>
      </c>
      <c r="AS117" s="90" t="str">
        <f aca="false">IF(AR117="","",ROUND(AR117*(1-Справочники!$B$11),0))</f>
        <v/>
      </c>
      <c r="AT117" s="88"/>
      <c r="AU117" s="90" t="str">
        <f aca="false">IF(AT117="","",ROUND(AT117/(1+Справочники!$B$12),0))</f>
        <v/>
      </c>
      <c r="AV117" s="90" t="str">
        <f aca="false">IF(AT117="","",ROUND(AT117*(1-Справочники!$B$15),0))</f>
        <v/>
      </c>
      <c r="AW117" s="90" t="str">
        <f aca="false">IF(AT117="","",ROUND(AT117*(1-Справочники!$B$16),0))</f>
        <v/>
      </c>
      <c r="AX117" s="90" t="str">
        <f aca="false">IF(AT117="","",ROUND(AT117*(1-Справочники!$B$17),0))</f>
        <v/>
      </c>
      <c r="AY117" s="90" t="str">
        <f aca="false">IF(AT117="","",ROUND(AT117*(1-Справочники!$B$18),0))</f>
        <v/>
      </c>
      <c r="AZ117" s="90" t="str">
        <f aca="false">IF(AT117="","",ROUND(AT117*(1-Справочники!$B$19),0))</f>
        <v/>
      </c>
      <c r="BA117" s="81"/>
      <c r="BB117" s="81"/>
      <c r="BC117" s="81"/>
      <c r="BD117" s="81"/>
      <c r="BE117" s="91"/>
      <c r="BF117" s="81" t="s">
        <v>103</v>
      </c>
      <c r="BG117" s="89" t="n">
        <f aca="false" t="array" ref="BG117:BG117">IF(BF117="","",IFERROR(INDEX(Справочники!$B$4:$B$7,MATCH(BF117,Справочники!$A$4:$A$7,0)),""))</f>
        <v>68.5</v>
      </c>
      <c r="BH117" s="90" t="str">
        <f aca="false">IF(N(BN117)&gt;0,ROUND(SUMIF(ЗАКАЗЫ!$F$3:$F$500,$A117,ЗАКАЗЫ!$Y$3:$Y$500)/BN117,0),IF(OR(BE117="",BG117=""),"",ROUND(BE117*BG117*(1+Справочники!$B$10),0)))</f>
        <v/>
      </c>
      <c r="BI117" s="92" t="str">
        <f aca="false">IF(OR(AU117="",BH117="",AU117=0),"",(AU117-BH117)/AU117)</f>
        <v/>
      </c>
      <c r="BJ117" s="81"/>
      <c r="BK117" s="83"/>
      <c r="BL117" s="43" t="str">
        <f aca="false">IFERROR(INDEX(ЗАКАЗЫ!$N$3:$N$500,MATCH($A117,ЗАКАЗЫ!$F$3:$F$500,0)),"")</f>
        <v/>
      </c>
      <c r="BM117" s="8" t="str">
        <f aca="false">IF(BL117="","",IFERROR(VLOOKUP(BL117,'ТН ВЭД'!$A$4:$C$40,3,0),""))</f>
        <v/>
      </c>
      <c r="BN117" s="7" t="str">
        <f aca="false">IF(COUNTIF(ЗАКАЗЫ!$F$3:$F$500,$A117)=0,"",SUMIF(ЗАКАЗЫ!$F$3:$F$500,$A117,ЗАКАЗЫ!$J$3:$J$500))</f>
        <v/>
      </c>
      <c r="BO117" s="7" t="str">
        <f aca="false">IF(BN117="","",SUMIF(ЗАКАЗЫ!$F$3:$F$500,$A117,ЗАКАЗЫ!$AL$3:$AL$500))</f>
        <v/>
      </c>
      <c r="BP117" s="7" t="str">
        <f aca="false">IF(BN117="","",BN117-BO117)</f>
        <v/>
      </c>
      <c r="BQ117" s="55" t="str">
        <f aca="false">IF(BN117="","",IF(BO117&gt;=BN117,"На складе",IF(BO117&gt;0,"Частично","Ждём")))</f>
        <v/>
      </c>
      <c r="BR117" s="43"/>
      <c r="BS117" s="47" t="str">
        <f aca="false">IF(BN117="","",IF(_xlfn.MAXIFS(ЗАКАЗЫ!$AK$3:$AK$500,ЗАКАЗЫ!$F$3:$F$500,$A117)=0,"",_xlfn.MAXIFS(ЗАКАЗЫ!$AK$3:$AK$500,ЗАКАЗЫ!$F$3:$F$500,$A117)))</f>
        <v/>
      </c>
    </row>
    <row r="118" customFormat="false" ht="15.75" hidden="false" customHeight="true" outlineLevel="0" collapsed="false">
      <c r="A118" s="80" t="s">
        <v>1641</v>
      </c>
      <c r="B118" s="81"/>
      <c r="C118" s="81"/>
      <c r="D118" s="81"/>
      <c r="E118" s="83"/>
      <c r="F118" s="81"/>
      <c r="G118" s="83"/>
      <c r="H118" s="83"/>
      <c r="I118" s="84" t="str">
        <f aca="false">IF(E118="","",A118&amp;"_1.jpg")</f>
        <v/>
      </c>
      <c r="J118" s="84" t="str">
        <f aca="false">IF(E118="","",A118&amp;"_2.jpg; "&amp;A118&amp;"_3.jpg")</f>
        <v/>
      </c>
      <c r="K118" s="84" t="str">
        <f aca="false">IF(E118="","",A118&amp;"_schema.jpg")</f>
        <v/>
      </c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 t="s">
        <v>96</v>
      </c>
      <c r="W118" s="81"/>
      <c r="X118" s="81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6" t="str">
        <f aca="false">IF(SUM(Y118:AJ118)=0,"",SUM(Y118:AJ118))</f>
        <v/>
      </c>
      <c r="AL118" s="84" t="str">
        <f aca="false">MID(IF(N(Y118)&gt;0,", "&amp;Y$2,"")&amp;IF(N(Z118)&gt;0,", "&amp;Z$2,"")&amp;IF(N(AA118)&gt;0,", "&amp;AA$2,"")&amp;IF(N(AB118)&gt;0,", "&amp;AB$2,"")&amp;IF(N(AC118)&gt;0,", "&amp;AC$2,"")&amp;IF(N(AD118)&gt;0,", "&amp;AD$2,"")&amp;IF(N(AE118)&gt;0,", "&amp;AE$2,"")&amp;IF(N(AF118)&gt;0,", "&amp;AF$2,"")&amp;IF(N(AG118)&gt;0,", "&amp;AG$2,"")&amp;IF(N(AH118)&gt;0,", "&amp;AH$2,"")&amp;IF(N(AI118)&gt;0,", "&amp;AI$2,"")&amp;IF(N(AJ118)&gt;0,", "&amp;AJ$2,""),3,999)</f>
        <v/>
      </c>
      <c r="AM118" s="87" t="str">
        <f aca="false">IF(E118="","",MID(IF(N(Y118)&gt;0,", "&amp;A118&amp;"-"&amp;Y$2,"")&amp;IF(N(Z118)&gt;0,", "&amp;A118&amp;"-"&amp;Z$2,"")&amp;IF(N(AA118)&gt;0,", "&amp;A118&amp;"-"&amp;AA$2,"")&amp;IF(N(AB118)&gt;0,", "&amp;A118&amp;"-"&amp;AB$2,"")&amp;IF(N(AC118)&gt;0,", "&amp;A118&amp;"-"&amp;AC$2,"")&amp;IF(N(AD118)&gt;0,", "&amp;A118&amp;"-"&amp;AD$2,"")&amp;IF(N(AE118)&gt;0,", "&amp;A118&amp;"-"&amp;AE$2,"")&amp;IF(N(AF118)&gt;0,", "&amp;A118&amp;"-"&amp;AF$2,"")&amp;IF(N(AG118)&gt;0,", "&amp;A118&amp;"-"&amp;AG$2,"")&amp;IF(N(AH118)&gt;0,", "&amp;A118&amp;"-"&amp;AH$2,"")&amp;IF(N(AI118)&gt;0,", "&amp;A118&amp;"-"&amp;AI$2,"")&amp;IF(N(AJ118)&gt;0,", "&amp;A118&amp;"-"&amp;AJ$2,""),3,999))</f>
        <v/>
      </c>
      <c r="AN118" s="81"/>
      <c r="AO118" s="88"/>
      <c r="AP118" s="89" t="str">
        <f aca="false">IF(AO118="","",ROUND(AO118/(1+Справочники!$B$13),2))</f>
        <v/>
      </c>
      <c r="AQ118" s="90" t="str">
        <f aca="false" t="array" ref="AQ118:AQ118">IF(AP118="","",AP118*INDEX(Справочники!$B$4:$B$7,MATCH("RUB",Справочники!$A$4:$A$7,0)))</f>
        <v/>
      </c>
      <c r="AR118" s="90" t="str">
        <f aca="false">IF(AQ118="","",ROUND(AQ118*(1+Справочники!$B$12),0))</f>
        <v/>
      </c>
      <c r="AS118" s="90" t="str">
        <f aca="false">IF(AR118="","",ROUND(AR118*(1-Справочники!$B$11),0))</f>
        <v/>
      </c>
      <c r="AT118" s="88"/>
      <c r="AU118" s="90" t="str">
        <f aca="false">IF(AT118="","",ROUND(AT118/(1+Справочники!$B$12),0))</f>
        <v/>
      </c>
      <c r="AV118" s="90" t="str">
        <f aca="false">IF(AT118="","",ROUND(AT118*(1-Справочники!$B$15),0))</f>
        <v/>
      </c>
      <c r="AW118" s="90" t="str">
        <f aca="false">IF(AT118="","",ROUND(AT118*(1-Справочники!$B$16),0))</f>
        <v/>
      </c>
      <c r="AX118" s="90" t="str">
        <f aca="false">IF(AT118="","",ROUND(AT118*(1-Справочники!$B$17),0))</f>
        <v/>
      </c>
      <c r="AY118" s="90" t="str">
        <f aca="false">IF(AT118="","",ROUND(AT118*(1-Справочники!$B$18),0))</f>
        <v/>
      </c>
      <c r="AZ118" s="90" t="str">
        <f aca="false">IF(AT118="","",ROUND(AT118*(1-Справочники!$B$19),0))</f>
        <v/>
      </c>
      <c r="BA118" s="81"/>
      <c r="BB118" s="81"/>
      <c r="BC118" s="81"/>
      <c r="BD118" s="81"/>
      <c r="BE118" s="91"/>
      <c r="BF118" s="81" t="s">
        <v>103</v>
      </c>
      <c r="BG118" s="89" t="n">
        <f aca="false" t="array" ref="BG118:BG118">IF(BF118="","",IFERROR(INDEX(Справочники!$B$4:$B$7,MATCH(BF118,Справочники!$A$4:$A$7,0)),""))</f>
        <v>68.5</v>
      </c>
      <c r="BH118" s="90" t="str">
        <f aca="false">IF(N(BN118)&gt;0,ROUND(SUMIF(ЗАКАЗЫ!$F$3:$F$500,$A118,ЗАКАЗЫ!$Y$3:$Y$500)/BN118,0),IF(OR(BE118="",BG118=""),"",ROUND(BE118*BG118*(1+Справочники!$B$10),0)))</f>
        <v/>
      </c>
      <c r="BI118" s="92" t="str">
        <f aca="false">IF(OR(AU118="",BH118="",AU118=0),"",(AU118-BH118)/AU118)</f>
        <v/>
      </c>
      <c r="BJ118" s="81"/>
      <c r="BK118" s="83"/>
      <c r="BL118" s="43" t="str">
        <f aca="false">IFERROR(INDEX(ЗАКАЗЫ!$N$3:$N$500,MATCH($A118,ЗАКАЗЫ!$F$3:$F$500,0)),"")</f>
        <v/>
      </c>
      <c r="BM118" s="8" t="str">
        <f aca="false">IF(BL118="","",IFERROR(VLOOKUP(BL118,'ТН ВЭД'!$A$4:$C$40,3,0),""))</f>
        <v/>
      </c>
      <c r="BN118" s="7" t="str">
        <f aca="false">IF(COUNTIF(ЗАКАЗЫ!$F$3:$F$500,$A118)=0,"",SUMIF(ЗАКАЗЫ!$F$3:$F$500,$A118,ЗАКАЗЫ!$J$3:$J$500))</f>
        <v/>
      </c>
      <c r="BO118" s="7" t="str">
        <f aca="false">IF(BN118="","",SUMIF(ЗАКАЗЫ!$F$3:$F$500,$A118,ЗАКАЗЫ!$AL$3:$AL$500))</f>
        <v/>
      </c>
      <c r="BP118" s="7" t="str">
        <f aca="false">IF(BN118="","",BN118-BO118)</f>
        <v/>
      </c>
      <c r="BQ118" s="55" t="str">
        <f aca="false">IF(BN118="","",IF(BO118&gt;=BN118,"На складе",IF(BO118&gt;0,"Частично","Ждём")))</f>
        <v/>
      </c>
      <c r="BR118" s="43"/>
      <c r="BS118" s="47" t="str">
        <f aca="false">IF(BN118="","",IF(_xlfn.MAXIFS(ЗАКАЗЫ!$AK$3:$AK$500,ЗАКАЗЫ!$F$3:$F$500,$A118)=0,"",_xlfn.MAXIFS(ЗАКАЗЫ!$AK$3:$AK$500,ЗАКАЗЫ!$F$3:$F$500,$A118)))</f>
        <v/>
      </c>
    </row>
    <row r="119" customFormat="false" ht="15.75" hidden="false" customHeight="true" outlineLevel="0" collapsed="false">
      <c r="A119" s="80" t="s">
        <v>1642</v>
      </c>
      <c r="B119" s="81"/>
      <c r="C119" s="81"/>
      <c r="D119" s="81"/>
      <c r="E119" s="83"/>
      <c r="F119" s="81"/>
      <c r="G119" s="83"/>
      <c r="H119" s="83"/>
      <c r="I119" s="84" t="str">
        <f aca="false">IF(E119="","",A119&amp;"_1.jpg")</f>
        <v/>
      </c>
      <c r="J119" s="84" t="str">
        <f aca="false">IF(E119="","",A119&amp;"_2.jpg; "&amp;A119&amp;"_3.jpg")</f>
        <v/>
      </c>
      <c r="K119" s="84" t="str">
        <f aca="false">IF(E119="","",A119&amp;"_schema.jpg")</f>
        <v/>
      </c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 t="s">
        <v>96</v>
      </c>
      <c r="W119" s="81"/>
      <c r="X119" s="81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6" t="str">
        <f aca="false">IF(SUM(Y119:AJ119)=0,"",SUM(Y119:AJ119))</f>
        <v/>
      </c>
      <c r="AL119" s="84" t="str">
        <f aca="false">MID(IF(N(Y119)&gt;0,", "&amp;Y$2,"")&amp;IF(N(Z119)&gt;0,", "&amp;Z$2,"")&amp;IF(N(AA119)&gt;0,", "&amp;AA$2,"")&amp;IF(N(AB119)&gt;0,", "&amp;AB$2,"")&amp;IF(N(AC119)&gt;0,", "&amp;AC$2,"")&amp;IF(N(AD119)&gt;0,", "&amp;AD$2,"")&amp;IF(N(AE119)&gt;0,", "&amp;AE$2,"")&amp;IF(N(AF119)&gt;0,", "&amp;AF$2,"")&amp;IF(N(AG119)&gt;0,", "&amp;AG$2,"")&amp;IF(N(AH119)&gt;0,", "&amp;AH$2,"")&amp;IF(N(AI119)&gt;0,", "&amp;AI$2,"")&amp;IF(N(AJ119)&gt;0,", "&amp;AJ$2,""),3,999)</f>
        <v/>
      </c>
      <c r="AM119" s="87" t="str">
        <f aca="false">IF(E119="","",MID(IF(N(Y119)&gt;0,", "&amp;A119&amp;"-"&amp;Y$2,"")&amp;IF(N(Z119)&gt;0,", "&amp;A119&amp;"-"&amp;Z$2,"")&amp;IF(N(AA119)&gt;0,", "&amp;A119&amp;"-"&amp;AA$2,"")&amp;IF(N(AB119)&gt;0,", "&amp;A119&amp;"-"&amp;AB$2,"")&amp;IF(N(AC119)&gt;0,", "&amp;A119&amp;"-"&amp;AC$2,"")&amp;IF(N(AD119)&gt;0,", "&amp;A119&amp;"-"&amp;AD$2,"")&amp;IF(N(AE119)&gt;0,", "&amp;A119&amp;"-"&amp;AE$2,"")&amp;IF(N(AF119)&gt;0,", "&amp;A119&amp;"-"&amp;AF$2,"")&amp;IF(N(AG119)&gt;0,", "&amp;A119&amp;"-"&amp;AG$2,"")&amp;IF(N(AH119)&gt;0,", "&amp;A119&amp;"-"&amp;AH$2,"")&amp;IF(N(AI119)&gt;0,", "&amp;A119&amp;"-"&amp;AI$2,"")&amp;IF(N(AJ119)&gt;0,", "&amp;A119&amp;"-"&amp;AJ$2,""),3,999))</f>
        <v/>
      </c>
      <c r="AN119" s="81"/>
      <c r="AO119" s="88"/>
      <c r="AP119" s="89" t="str">
        <f aca="false">IF(AO119="","",ROUND(AO119/(1+Справочники!$B$13),2))</f>
        <v/>
      </c>
      <c r="AQ119" s="90" t="str">
        <f aca="false" t="array" ref="AQ119:AQ119">IF(AP119="","",AP119*INDEX(Справочники!$B$4:$B$7,MATCH("RUB",Справочники!$A$4:$A$7,0)))</f>
        <v/>
      </c>
      <c r="AR119" s="90" t="str">
        <f aca="false">IF(AQ119="","",ROUND(AQ119*(1+Справочники!$B$12),0))</f>
        <v/>
      </c>
      <c r="AS119" s="90" t="str">
        <f aca="false">IF(AR119="","",ROUND(AR119*(1-Справочники!$B$11),0))</f>
        <v/>
      </c>
      <c r="AT119" s="88"/>
      <c r="AU119" s="90" t="str">
        <f aca="false">IF(AT119="","",ROUND(AT119/(1+Справочники!$B$12),0))</f>
        <v/>
      </c>
      <c r="AV119" s="90" t="str">
        <f aca="false">IF(AT119="","",ROUND(AT119*(1-Справочники!$B$15),0))</f>
        <v/>
      </c>
      <c r="AW119" s="90" t="str">
        <f aca="false">IF(AT119="","",ROUND(AT119*(1-Справочники!$B$16),0))</f>
        <v/>
      </c>
      <c r="AX119" s="90" t="str">
        <f aca="false">IF(AT119="","",ROUND(AT119*(1-Справочники!$B$17),0))</f>
        <v/>
      </c>
      <c r="AY119" s="90" t="str">
        <f aca="false">IF(AT119="","",ROUND(AT119*(1-Справочники!$B$18),0))</f>
        <v/>
      </c>
      <c r="AZ119" s="90" t="str">
        <f aca="false">IF(AT119="","",ROUND(AT119*(1-Справочники!$B$19),0))</f>
        <v/>
      </c>
      <c r="BA119" s="81"/>
      <c r="BB119" s="81"/>
      <c r="BC119" s="81"/>
      <c r="BD119" s="81"/>
      <c r="BE119" s="91"/>
      <c r="BF119" s="81" t="s">
        <v>103</v>
      </c>
      <c r="BG119" s="89" t="n">
        <f aca="false" t="array" ref="BG119:BG119">IF(BF119="","",IFERROR(INDEX(Справочники!$B$4:$B$7,MATCH(BF119,Справочники!$A$4:$A$7,0)),""))</f>
        <v>68.5</v>
      </c>
      <c r="BH119" s="90" t="str">
        <f aca="false">IF(N(BN119)&gt;0,ROUND(SUMIF(ЗАКАЗЫ!$F$3:$F$500,$A119,ЗАКАЗЫ!$Y$3:$Y$500)/BN119,0),IF(OR(BE119="",BG119=""),"",ROUND(BE119*BG119*(1+Справочники!$B$10),0)))</f>
        <v/>
      </c>
      <c r="BI119" s="92" t="str">
        <f aca="false">IF(OR(AU119="",BH119="",AU119=0),"",(AU119-BH119)/AU119)</f>
        <v/>
      </c>
      <c r="BJ119" s="81"/>
      <c r="BK119" s="83"/>
      <c r="BL119" s="43" t="str">
        <f aca="false">IFERROR(INDEX(ЗАКАЗЫ!$N$3:$N$500,MATCH($A119,ЗАКАЗЫ!$F$3:$F$500,0)),"")</f>
        <v/>
      </c>
      <c r="BM119" s="8" t="str">
        <f aca="false">IF(BL119="","",IFERROR(VLOOKUP(BL119,'ТН ВЭД'!$A$4:$C$40,3,0),""))</f>
        <v/>
      </c>
      <c r="BN119" s="7" t="str">
        <f aca="false">IF(COUNTIF(ЗАКАЗЫ!$F$3:$F$500,$A119)=0,"",SUMIF(ЗАКАЗЫ!$F$3:$F$500,$A119,ЗАКАЗЫ!$J$3:$J$500))</f>
        <v/>
      </c>
      <c r="BO119" s="7" t="str">
        <f aca="false">IF(BN119="","",SUMIF(ЗАКАЗЫ!$F$3:$F$500,$A119,ЗАКАЗЫ!$AL$3:$AL$500))</f>
        <v/>
      </c>
      <c r="BP119" s="7" t="str">
        <f aca="false">IF(BN119="","",BN119-BO119)</f>
        <v/>
      </c>
      <c r="BQ119" s="55" t="str">
        <f aca="false">IF(BN119="","",IF(BO119&gt;=BN119,"На складе",IF(BO119&gt;0,"Частично","Ждём")))</f>
        <v/>
      </c>
      <c r="BR119" s="43"/>
      <c r="BS119" s="47" t="str">
        <f aca="false">IF(BN119="","",IF(_xlfn.MAXIFS(ЗАКАЗЫ!$AK$3:$AK$500,ЗАКАЗЫ!$F$3:$F$500,$A119)=0,"",_xlfn.MAXIFS(ЗАКАЗЫ!$AK$3:$AK$500,ЗАКАЗЫ!$F$3:$F$500,$A119)))</f>
        <v/>
      </c>
    </row>
    <row r="120" customFormat="false" ht="15.75" hidden="false" customHeight="true" outlineLevel="0" collapsed="false">
      <c r="A120" s="80" t="s">
        <v>1643</v>
      </c>
      <c r="B120" s="81"/>
      <c r="C120" s="81"/>
      <c r="D120" s="81"/>
      <c r="E120" s="83"/>
      <c r="F120" s="81"/>
      <c r="G120" s="83"/>
      <c r="H120" s="83"/>
      <c r="I120" s="84" t="str">
        <f aca="false">IF(E120="","",A120&amp;"_1.jpg")</f>
        <v/>
      </c>
      <c r="J120" s="84" t="str">
        <f aca="false">IF(E120="","",A120&amp;"_2.jpg; "&amp;A120&amp;"_3.jpg")</f>
        <v/>
      </c>
      <c r="K120" s="84" t="str">
        <f aca="false">IF(E120="","",A120&amp;"_schema.jpg")</f>
        <v/>
      </c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 t="s">
        <v>96</v>
      </c>
      <c r="W120" s="81"/>
      <c r="X120" s="81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6" t="str">
        <f aca="false">IF(SUM(Y120:AJ120)=0,"",SUM(Y120:AJ120))</f>
        <v/>
      </c>
      <c r="AL120" s="84" t="str">
        <f aca="false">MID(IF(N(Y120)&gt;0,", "&amp;Y$2,"")&amp;IF(N(Z120)&gt;0,", "&amp;Z$2,"")&amp;IF(N(AA120)&gt;0,", "&amp;AA$2,"")&amp;IF(N(AB120)&gt;0,", "&amp;AB$2,"")&amp;IF(N(AC120)&gt;0,", "&amp;AC$2,"")&amp;IF(N(AD120)&gt;0,", "&amp;AD$2,"")&amp;IF(N(AE120)&gt;0,", "&amp;AE$2,"")&amp;IF(N(AF120)&gt;0,", "&amp;AF$2,"")&amp;IF(N(AG120)&gt;0,", "&amp;AG$2,"")&amp;IF(N(AH120)&gt;0,", "&amp;AH$2,"")&amp;IF(N(AI120)&gt;0,", "&amp;AI$2,"")&amp;IF(N(AJ120)&gt;0,", "&amp;AJ$2,""),3,999)</f>
        <v/>
      </c>
      <c r="AM120" s="87" t="str">
        <f aca="false">IF(E120="","",MID(IF(N(Y120)&gt;0,", "&amp;A120&amp;"-"&amp;Y$2,"")&amp;IF(N(Z120)&gt;0,", "&amp;A120&amp;"-"&amp;Z$2,"")&amp;IF(N(AA120)&gt;0,", "&amp;A120&amp;"-"&amp;AA$2,"")&amp;IF(N(AB120)&gt;0,", "&amp;A120&amp;"-"&amp;AB$2,"")&amp;IF(N(AC120)&gt;0,", "&amp;A120&amp;"-"&amp;AC$2,"")&amp;IF(N(AD120)&gt;0,", "&amp;A120&amp;"-"&amp;AD$2,"")&amp;IF(N(AE120)&gt;0,", "&amp;A120&amp;"-"&amp;AE$2,"")&amp;IF(N(AF120)&gt;0,", "&amp;A120&amp;"-"&amp;AF$2,"")&amp;IF(N(AG120)&gt;0,", "&amp;A120&amp;"-"&amp;AG$2,"")&amp;IF(N(AH120)&gt;0,", "&amp;A120&amp;"-"&amp;AH$2,"")&amp;IF(N(AI120)&gt;0,", "&amp;A120&amp;"-"&amp;AI$2,"")&amp;IF(N(AJ120)&gt;0,", "&amp;A120&amp;"-"&amp;AJ$2,""),3,999))</f>
        <v/>
      </c>
      <c r="AN120" s="81"/>
      <c r="AO120" s="88"/>
      <c r="AP120" s="89" t="str">
        <f aca="false">IF(AO120="","",ROUND(AO120/(1+Справочники!$B$13),2))</f>
        <v/>
      </c>
      <c r="AQ120" s="90" t="str">
        <f aca="false" t="array" ref="AQ120:AQ120">IF(AP120="","",AP120*INDEX(Справочники!$B$4:$B$7,MATCH("RUB",Справочники!$A$4:$A$7,0)))</f>
        <v/>
      </c>
      <c r="AR120" s="90" t="str">
        <f aca="false">IF(AQ120="","",ROUND(AQ120*(1+Справочники!$B$12),0))</f>
        <v/>
      </c>
      <c r="AS120" s="90" t="str">
        <f aca="false">IF(AR120="","",ROUND(AR120*(1-Справочники!$B$11),0))</f>
        <v/>
      </c>
      <c r="AT120" s="88"/>
      <c r="AU120" s="90" t="str">
        <f aca="false">IF(AT120="","",ROUND(AT120/(1+Справочники!$B$12),0))</f>
        <v/>
      </c>
      <c r="AV120" s="90" t="str">
        <f aca="false">IF(AT120="","",ROUND(AT120*(1-Справочники!$B$15),0))</f>
        <v/>
      </c>
      <c r="AW120" s="90" t="str">
        <f aca="false">IF(AT120="","",ROUND(AT120*(1-Справочники!$B$16),0))</f>
        <v/>
      </c>
      <c r="AX120" s="90" t="str">
        <f aca="false">IF(AT120="","",ROUND(AT120*(1-Справочники!$B$17),0))</f>
        <v/>
      </c>
      <c r="AY120" s="90" t="str">
        <f aca="false">IF(AT120="","",ROUND(AT120*(1-Справочники!$B$18),0))</f>
        <v/>
      </c>
      <c r="AZ120" s="90" t="str">
        <f aca="false">IF(AT120="","",ROUND(AT120*(1-Справочники!$B$19),0))</f>
        <v/>
      </c>
      <c r="BA120" s="81"/>
      <c r="BB120" s="81"/>
      <c r="BC120" s="81"/>
      <c r="BD120" s="81"/>
      <c r="BE120" s="91"/>
      <c r="BF120" s="81" t="s">
        <v>103</v>
      </c>
      <c r="BG120" s="89" t="n">
        <f aca="false" t="array" ref="BG120:BG120">IF(BF120="","",IFERROR(INDEX(Справочники!$B$4:$B$7,MATCH(BF120,Справочники!$A$4:$A$7,0)),""))</f>
        <v>68.5</v>
      </c>
      <c r="BH120" s="90" t="str">
        <f aca="false">IF(N(BN120)&gt;0,ROUND(SUMIF(ЗАКАЗЫ!$F$3:$F$500,$A120,ЗАКАЗЫ!$Y$3:$Y$500)/BN120,0),IF(OR(BE120="",BG120=""),"",ROUND(BE120*BG120*(1+Справочники!$B$10),0)))</f>
        <v/>
      </c>
      <c r="BI120" s="92" t="str">
        <f aca="false">IF(OR(AU120="",BH120="",AU120=0),"",(AU120-BH120)/AU120)</f>
        <v/>
      </c>
      <c r="BJ120" s="81"/>
      <c r="BK120" s="83"/>
      <c r="BL120" s="43" t="str">
        <f aca="false">IFERROR(INDEX(ЗАКАЗЫ!$N$3:$N$500,MATCH($A120,ЗАКАЗЫ!$F$3:$F$500,0)),"")</f>
        <v/>
      </c>
      <c r="BM120" s="8" t="str">
        <f aca="false">IF(BL120="","",IFERROR(VLOOKUP(BL120,'ТН ВЭД'!$A$4:$C$40,3,0),""))</f>
        <v/>
      </c>
      <c r="BN120" s="7" t="str">
        <f aca="false">IF(COUNTIF(ЗАКАЗЫ!$F$3:$F$500,$A120)=0,"",SUMIF(ЗАКАЗЫ!$F$3:$F$500,$A120,ЗАКАЗЫ!$J$3:$J$500))</f>
        <v/>
      </c>
      <c r="BO120" s="7" t="str">
        <f aca="false">IF(BN120="","",SUMIF(ЗАКАЗЫ!$F$3:$F$500,$A120,ЗАКАЗЫ!$AL$3:$AL$500))</f>
        <v/>
      </c>
      <c r="BP120" s="7" t="str">
        <f aca="false">IF(BN120="","",BN120-BO120)</f>
        <v/>
      </c>
      <c r="BQ120" s="55" t="str">
        <f aca="false">IF(BN120="","",IF(BO120&gt;=BN120,"На складе",IF(BO120&gt;0,"Частично","Ждём")))</f>
        <v/>
      </c>
      <c r="BR120" s="43"/>
      <c r="BS120" s="47" t="str">
        <f aca="false">IF(BN120="","",IF(_xlfn.MAXIFS(ЗАКАЗЫ!$AK$3:$AK$500,ЗАКАЗЫ!$F$3:$F$500,$A120)=0,"",_xlfn.MAXIFS(ЗАКАЗЫ!$AK$3:$AK$500,ЗАКАЗЫ!$F$3:$F$500,$A120)))</f>
        <v/>
      </c>
    </row>
    <row r="121" customFormat="false" ht="15.75" hidden="false" customHeight="true" outlineLevel="0" collapsed="false">
      <c r="A121" s="80" t="s">
        <v>1644</v>
      </c>
      <c r="B121" s="81"/>
      <c r="C121" s="81"/>
      <c r="D121" s="81"/>
      <c r="E121" s="83"/>
      <c r="F121" s="81"/>
      <c r="G121" s="83"/>
      <c r="H121" s="83"/>
      <c r="I121" s="84" t="str">
        <f aca="false">IF(E121="","",A121&amp;"_1.jpg")</f>
        <v/>
      </c>
      <c r="J121" s="84" t="str">
        <f aca="false">IF(E121="","",A121&amp;"_2.jpg; "&amp;A121&amp;"_3.jpg")</f>
        <v/>
      </c>
      <c r="K121" s="84" t="str">
        <f aca="false">IF(E121="","",A121&amp;"_schema.jpg")</f>
        <v/>
      </c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 t="s">
        <v>96</v>
      </c>
      <c r="W121" s="81"/>
      <c r="X121" s="81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6" t="str">
        <f aca="false">IF(SUM(Y121:AJ121)=0,"",SUM(Y121:AJ121))</f>
        <v/>
      </c>
      <c r="AL121" s="84" t="str">
        <f aca="false">MID(IF(N(Y121)&gt;0,", "&amp;Y$2,"")&amp;IF(N(Z121)&gt;0,", "&amp;Z$2,"")&amp;IF(N(AA121)&gt;0,", "&amp;AA$2,"")&amp;IF(N(AB121)&gt;0,", "&amp;AB$2,"")&amp;IF(N(AC121)&gt;0,", "&amp;AC$2,"")&amp;IF(N(AD121)&gt;0,", "&amp;AD$2,"")&amp;IF(N(AE121)&gt;0,", "&amp;AE$2,"")&amp;IF(N(AF121)&gt;0,", "&amp;AF$2,"")&amp;IF(N(AG121)&gt;0,", "&amp;AG$2,"")&amp;IF(N(AH121)&gt;0,", "&amp;AH$2,"")&amp;IF(N(AI121)&gt;0,", "&amp;AI$2,"")&amp;IF(N(AJ121)&gt;0,", "&amp;AJ$2,""),3,999)</f>
        <v/>
      </c>
      <c r="AM121" s="87" t="str">
        <f aca="false">IF(E121="","",MID(IF(N(Y121)&gt;0,", "&amp;A121&amp;"-"&amp;Y$2,"")&amp;IF(N(Z121)&gt;0,", "&amp;A121&amp;"-"&amp;Z$2,"")&amp;IF(N(AA121)&gt;0,", "&amp;A121&amp;"-"&amp;AA$2,"")&amp;IF(N(AB121)&gt;0,", "&amp;A121&amp;"-"&amp;AB$2,"")&amp;IF(N(AC121)&gt;0,", "&amp;A121&amp;"-"&amp;AC$2,"")&amp;IF(N(AD121)&gt;0,", "&amp;A121&amp;"-"&amp;AD$2,"")&amp;IF(N(AE121)&gt;0,", "&amp;A121&amp;"-"&amp;AE$2,"")&amp;IF(N(AF121)&gt;0,", "&amp;A121&amp;"-"&amp;AF$2,"")&amp;IF(N(AG121)&gt;0,", "&amp;A121&amp;"-"&amp;AG$2,"")&amp;IF(N(AH121)&gt;0,", "&amp;A121&amp;"-"&amp;AH$2,"")&amp;IF(N(AI121)&gt;0,", "&amp;A121&amp;"-"&amp;AI$2,"")&amp;IF(N(AJ121)&gt;0,", "&amp;A121&amp;"-"&amp;AJ$2,""),3,999))</f>
        <v/>
      </c>
      <c r="AN121" s="81"/>
      <c r="AO121" s="88"/>
      <c r="AP121" s="89" t="str">
        <f aca="false">IF(AO121="","",ROUND(AO121/(1+Справочники!$B$13),2))</f>
        <v/>
      </c>
      <c r="AQ121" s="90" t="str">
        <f aca="false" t="array" ref="AQ121:AQ121">IF(AP121="","",AP121*INDEX(Справочники!$B$4:$B$7,MATCH("RUB",Справочники!$A$4:$A$7,0)))</f>
        <v/>
      </c>
      <c r="AR121" s="90" t="str">
        <f aca="false">IF(AQ121="","",ROUND(AQ121*(1+Справочники!$B$12),0))</f>
        <v/>
      </c>
      <c r="AS121" s="90" t="str">
        <f aca="false">IF(AR121="","",ROUND(AR121*(1-Справочники!$B$11),0))</f>
        <v/>
      </c>
      <c r="AT121" s="88"/>
      <c r="AU121" s="90" t="str">
        <f aca="false">IF(AT121="","",ROUND(AT121/(1+Справочники!$B$12),0))</f>
        <v/>
      </c>
      <c r="AV121" s="90" t="str">
        <f aca="false">IF(AT121="","",ROUND(AT121*(1-Справочники!$B$15),0))</f>
        <v/>
      </c>
      <c r="AW121" s="90" t="str">
        <f aca="false">IF(AT121="","",ROUND(AT121*(1-Справочники!$B$16),0))</f>
        <v/>
      </c>
      <c r="AX121" s="90" t="str">
        <f aca="false">IF(AT121="","",ROUND(AT121*(1-Справочники!$B$17),0))</f>
        <v/>
      </c>
      <c r="AY121" s="90" t="str">
        <f aca="false">IF(AT121="","",ROUND(AT121*(1-Справочники!$B$18),0))</f>
        <v/>
      </c>
      <c r="AZ121" s="90" t="str">
        <f aca="false">IF(AT121="","",ROUND(AT121*(1-Справочники!$B$19),0))</f>
        <v/>
      </c>
      <c r="BA121" s="81"/>
      <c r="BB121" s="81"/>
      <c r="BC121" s="81"/>
      <c r="BD121" s="81"/>
      <c r="BE121" s="91"/>
      <c r="BF121" s="81" t="s">
        <v>103</v>
      </c>
      <c r="BG121" s="89" t="n">
        <f aca="false" t="array" ref="BG121:BG121">IF(BF121="","",IFERROR(INDEX(Справочники!$B$4:$B$7,MATCH(BF121,Справочники!$A$4:$A$7,0)),""))</f>
        <v>68.5</v>
      </c>
      <c r="BH121" s="90" t="str">
        <f aca="false">IF(N(BN121)&gt;0,ROUND(SUMIF(ЗАКАЗЫ!$F$3:$F$500,$A121,ЗАКАЗЫ!$Y$3:$Y$500)/BN121,0),IF(OR(BE121="",BG121=""),"",ROUND(BE121*BG121*(1+Справочники!$B$10),0)))</f>
        <v/>
      </c>
      <c r="BI121" s="92" t="str">
        <f aca="false">IF(OR(AU121="",BH121="",AU121=0),"",(AU121-BH121)/AU121)</f>
        <v/>
      </c>
      <c r="BJ121" s="81"/>
      <c r="BK121" s="83"/>
      <c r="BL121" s="43" t="str">
        <f aca="false">IFERROR(INDEX(ЗАКАЗЫ!$N$3:$N$500,MATCH($A121,ЗАКАЗЫ!$F$3:$F$500,0)),"")</f>
        <v/>
      </c>
      <c r="BM121" s="8" t="str">
        <f aca="false">IF(BL121="","",IFERROR(VLOOKUP(BL121,'ТН ВЭД'!$A$4:$C$40,3,0),""))</f>
        <v/>
      </c>
      <c r="BN121" s="7" t="str">
        <f aca="false">IF(COUNTIF(ЗАКАЗЫ!$F$3:$F$500,$A121)=0,"",SUMIF(ЗАКАЗЫ!$F$3:$F$500,$A121,ЗАКАЗЫ!$J$3:$J$500))</f>
        <v/>
      </c>
      <c r="BO121" s="7" t="str">
        <f aca="false">IF(BN121="","",SUMIF(ЗАКАЗЫ!$F$3:$F$500,$A121,ЗАКАЗЫ!$AL$3:$AL$500))</f>
        <v/>
      </c>
      <c r="BP121" s="7" t="str">
        <f aca="false">IF(BN121="","",BN121-BO121)</f>
        <v/>
      </c>
      <c r="BQ121" s="55" t="str">
        <f aca="false">IF(BN121="","",IF(BO121&gt;=BN121,"На складе",IF(BO121&gt;0,"Частично","Ждём")))</f>
        <v/>
      </c>
      <c r="BR121" s="43"/>
      <c r="BS121" s="47" t="str">
        <f aca="false">IF(BN121="","",IF(_xlfn.MAXIFS(ЗАКАЗЫ!$AK$3:$AK$500,ЗАКАЗЫ!$F$3:$F$500,$A121)=0,"",_xlfn.MAXIFS(ЗАКАЗЫ!$AK$3:$AK$500,ЗАКАЗЫ!$F$3:$F$500,$A121)))</f>
        <v/>
      </c>
    </row>
    <row r="122" customFormat="false" ht="15.75" hidden="false" customHeight="true" outlineLevel="0" collapsed="false">
      <c r="A122" s="80" t="s">
        <v>1645</v>
      </c>
      <c r="B122" s="81"/>
      <c r="C122" s="81"/>
      <c r="D122" s="81"/>
      <c r="E122" s="83"/>
      <c r="F122" s="81"/>
      <c r="G122" s="83"/>
      <c r="H122" s="83"/>
      <c r="I122" s="84" t="str">
        <f aca="false">IF(E122="","",A122&amp;"_1.jpg")</f>
        <v/>
      </c>
      <c r="J122" s="84" t="str">
        <f aca="false">IF(E122="","",A122&amp;"_2.jpg; "&amp;A122&amp;"_3.jpg")</f>
        <v/>
      </c>
      <c r="K122" s="84" t="str">
        <f aca="false">IF(E122="","",A122&amp;"_schema.jpg")</f>
        <v/>
      </c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 t="s">
        <v>96</v>
      </c>
      <c r="W122" s="81"/>
      <c r="X122" s="81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6" t="str">
        <f aca="false">IF(SUM(Y122:AJ122)=0,"",SUM(Y122:AJ122))</f>
        <v/>
      </c>
      <c r="AL122" s="84" t="str">
        <f aca="false">MID(IF(N(Y122)&gt;0,", "&amp;Y$2,"")&amp;IF(N(Z122)&gt;0,", "&amp;Z$2,"")&amp;IF(N(AA122)&gt;0,", "&amp;AA$2,"")&amp;IF(N(AB122)&gt;0,", "&amp;AB$2,"")&amp;IF(N(AC122)&gt;0,", "&amp;AC$2,"")&amp;IF(N(AD122)&gt;0,", "&amp;AD$2,"")&amp;IF(N(AE122)&gt;0,", "&amp;AE$2,"")&amp;IF(N(AF122)&gt;0,", "&amp;AF$2,"")&amp;IF(N(AG122)&gt;0,", "&amp;AG$2,"")&amp;IF(N(AH122)&gt;0,", "&amp;AH$2,"")&amp;IF(N(AI122)&gt;0,", "&amp;AI$2,"")&amp;IF(N(AJ122)&gt;0,", "&amp;AJ$2,""),3,999)</f>
        <v/>
      </c>
      <c r="AM122" s="87" t="str">
        <f aca="false">IF(E122="","",MID(IF(N(Y122)&gt;0,", "&amp;A122&amp;"-"&amp;Y$2,"")&amp;IF(N(Z122)&gt;0,", "&amp;A122&amp;"-"&amp;Z$2,"")&amp;IF(N(AA122)&gt;0,", "&amp;A122&amp;"-"&amp;AA$2,"")&amp;IF(N(AB122)&gt;0,", "&amp;A122&amp;"-"&amp;AB$2,"")&amp;IF(N(AC122)&gt;0,", "&amp;A122&amp;"-"&amp;AC$2,"")&amp;IF(N(AD122)&gt;0,", "&amp;A122&amp;"-"&amp;AD$2,"")&amp;IF(N(AE122)&gt;0,", "&amp;A122&amp;"-"&amp;AE$2,"")&amp;IF(N(AF122)&gt;0,", "&amp;A122&amp;"-"&amp;AF$2,"")&amp;IF(N(AG122)&gt;0,", "&amp;A122&amp;"-"&amp;AG$2,"")&amp;IF(N(AH122)&gt;0,", "&amp;A122&amp;"-"&amp;AH$2,"")&amp;IF(N(AI122)&gt;0,", "&amp;A122&amp;"-"&amp;AI$2,"")&amp;IF(N(AJ122)&gt;0,", "&amp;A122&amp;"-"&amp;AJ$2,""),3,999))</f>
        <v/>
      </c>
      <c r="AN122" s="81"/>
      <c r="AO122" s="88"/>
      <c r="AP122" s="89" t="str">
        <f aca="false">IF(AO122="","",ROUND(AO122/(1+Справочники!$B$13),2))</f>
        <v/>
      </c>
      <c r="AQ122" s="90" t="str">
        <f aca="false" t="array" ref="AQ122:AQ122">IF(AP122="","",AP122*INDEX(Справочники!$B$4:$B$7,MATCH("RUB",Справочники!$A$4:$A$7,0)))</f>
        <v/>
      </c>
      <c r="AR122" s="90" t="str">
        <f aca="false">IF(AQ122="","",ROUND(AQ122*(1+Справочники!$B$12),0))</f>
        <v/>
      </c>
      <c r="AS122" s="90" t="str">
        <f aca="false">IF(AR122="","",ROUND(AR122*(1-Справочники!$B$11),0))</f>
        <v/>
      </c>
      <c r="AT122" s="88"/>
      <c r="AU122" s="90" t="str">
        <f aca="false">IF(AT122="","",ROUND(AT122/(1+Справочники!$B$12),0))</f>
        <v/>
      </c>
      <c r="AV122" s="90" t="str">
        <f aca="false">IF(AT122="","",ROUND(AT122*(1-Справочники!$B$15),0))</f>
        <v/>
      </c>
      <c r="AW122" s="90" t="str">
        <f aca="false">IF(AT122="","",ROUND(AT122*(1-Справочники!$B$16),0))</f>
        <v/>
      </c>
      <c r="AX122" s="90" t="str">
        <f aca="false">IF(AT122="","",ROUND(AT122*(1-Справочники!$B$17),0))</f>
        <v/>
      </c>
      <c r="AY122" s="90" t="str">
        <f aca="false">IF(AT122="","",ROUND(AT122*(1-Справочники!$B$18),0))</f>
        <v/>
      </c>
      <c r="AZ122" s="90" t="str">
        <f aca="false">IF(AT122="","",ROUND(AT122*(1-Справочники!$B$19),0))</f>
        <v/>
      </c>
      <c r="BA122" s="81"/>
      <c r="BB122" s="81"/>
      <c r="BC122" s="81"/>
      <c r="BD122" s="81"/>
      <c r="BE122" s="91"/>
      <c r="BF122" s="81" t="s">
        <v>103</v>
      </c>
      <c r="BG122" s="89" t="n">
        <f aca="false" t="array" ref="BG122:BG122">IF(BF122="","",IFERROR(INDEX(Справочники!$B$4:$B$7,MATCH(BF122,Справочники!$A$4:$A$7,0)),""))</f>
        <v>68.5</v>
      </c>
      <c r="BH122" s="90" t="str">
        <f aca="false">IF(N(BN122)&gt;0,ROUND(SUMIF(ЗАКАЗЫ!$F$3:$F$500,$A122,ЗАКАЗЫ!$Y$3:$Y$500)/BN122,0),IF(OR(BE122="",BG122=""),"",ROUND(BE122*BG122*(1+Справочники!$B$10),0)))</f>
        <v/>
      </c>
      <c r="BI122" s="92" t="str">
        <f aca="false">IF(OR(AU122="",BH122="",AU122=0),"",(AU122-BH122)/AU122)</f>
        <v/>
      </c>
      <c r="BJ122" s="81"/>
      <c r="BK122" s="83"/>
      <c r="BL122" s="43" t="str">
        <f aca="false">IFERROR(INDEX(ЗАКАЗЫ!$N$3:$N$500,MATCH($A122,ЗАКАЗЫ!$F$3:$F$500,0)),"")</f>
        <v/>
      </c>
      <c r="BM122" s="8" t="str">
        <f aca="false">IF(BL122="","",IFERROR(VLOOKUP(BL122,'ТН ВЭД'!$A$4:$C$40,3,0),""))</f>
        <v/>
      </c>
      <c r="BN122" s="7" t="str">
        <f aca="false">IF(COUNTIF(ЗАКАЗЫ!$F$3:$F$500,$A122)=0,"",SUMIF(ЗАКАЗЫ!$F$3:$F$500,$A122,ЗАКАЗЫ!$J$3:$J$500))</f>
        <v/>
      </c>
      <c r="BO122" s="7" t="str">
        <f aca="false">IF(BN122="","",SUMIF(ЗАКАЗЫ!$F$3:$F$500,$A122,ЗАКАЗЫ!$AL$3:$AL$500))</f>
        <v/>
      </c>
      <c r="BP122" s="7" t="str">
        <f aca="false">IF(BN122="","",BN122-BO122)</f>
        <v/>
      </c>
      <c r="BQ122" s="55" t="str">
        <f aca="false">IF(BN122="","",IF(BO122&gt;=BN122,"На складе",IF(BO122&gt;0,"Частично","Ждём")))</f>
        <v/>
      </c>
      <c r="BR122" s="43"/>
      <c r="BS122" s="47" t="str">
        <f aca="false">IF(BN122="","",IF(_xlfn.MAXIFS(ЗАКАЗЫ!$AK$3:$AK$500,ЗАКАЗЫ!$F$3:$F$500,$A122)=0,"",_xlfn.MAXIFS(ЗАКАЗЫ!$AK$3:$AK$500,ЗАКАЗЫ!$F$3:$F$500,$A122)))</f>
        <v/>
      </c>
    </row>
    <row r="123" customFormat="false" ht="15.75" hidden="false" customHeight="true" outlineLevel="0" collapsed="false">
      <c r="A123" s="80" t="s">
        <v>1646</v>
      </c>
      <c r="B123" s="81"/>
      <c r="C123" s="81"/>
      <c r="D123" s="81"/>
      <c r="E123" s="83"/>
      <c r="F123" s="81"/>
      <c r="G123" s="83"/>
      <c r="H123" s="83"/>
      <c r="I123" s="84" t="str">
        <f aca="false">IF(E123="","",A123&amp;"_1.jpg")</f>
        <v/>
      </c>
      <c r="J123" s="84" t="str">
        <f aca="false">IF(E123="","",A123&amp;"_2.jpg; "&amp;A123&amp;"_3.jpg")</f>
        <v/>
      </c>
      <c r="K123" s="84" t="str">
        <f aca="false">IF(E123="","",A123&amp;"_schema.jpg")</f>
        <v/>
      </c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 t="s">
        <v>96</v>
      </c>
      <c r="W123" s="81"/>
      <c r="X123" s="81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6" t="str">
        <f aca="false">IF(SUM(Y123:AJ123)=0,"",SUM(Y123:AJ123))</f>
        <v/>
      </c>
      <c r="AL123" s="84" t="str">
        <f aca="false">MID(IF(N(Y123)&gt;0,", "&amp;Y$2,"")&amp;IF(N(Z123)&gt;0,", "&amp;Z$2,"")&amp;IF(N(AA123)&gt;0,", "&amp;AA$2,"")&amp;IF(N(AB123)&gt;0,", "&amp;AB$2,"")&amp;IF(N(AC123)&gt;0,", "&amp;AC$2,"")&amp;IF(N(AD123)&gt;0,", "&amp;AD$2,"")&amp;IF(N(AE123)&gt;0,", "&amp;AE$2,"")&amp;IF(N(AF123)&gt;0,", "&amp;AF$2,"")&amp;IF(N(AG123)&gt;0,", "&amp;AG$2,"")&amp;IF(N(AH123)&gt;0,", "&amp;AH$2,"")&amp;IF(N(AI123)&gt;0,", "&amp;AI$2,"")&amp;IF(N(AJ123)&gt;0,", "&amp;AJ$2,""),3,999)</f>
        <v/>
      </c>
      <c r="AM123" s="87" t="str">
        <f aca="false">IF(E123="","",MID(IF(N(Y123)&gt;0,", "&amp;A123&amp;"-"&amp;Y$2,"")&amp;IF(N(Z123)&gt;0,", "&amp;A123&amp;"-"&amp;Z$2,"")&amp;IF(N(AA123)&gt;0,", "&amp;A123&amp;"-"&amp;AA$2,"")&amp;IF(N(AB123)&gt;0,", "&amp;A123&amp;"-"&amp;AB$2,"")&amp;IF(N(AC123)&gt;0,", "&amp;A123&amp;"-"&amp;AC$2,"")&amp;IF(N(AD123)&gt;0,", "&amp;A123&amp;"-"&amp;AD$2,"")&amp;IF(N(AE123)&gt;0,", "&amp;A123&amp;"-"&amp;AE$2,"")&amp;IF(N(AF123)&gt;0,", "&amp;A123&amp;"-"&amp;AF$2,"")&amp;IF(N(AG123)&gt;0,", "&amp;A123&amp;"-"&amp;AG$2,"")&amp;IF(N(AH123)&gt;0,", "&amp;A123&amp;"-"&amp;AH$2,"")&amp;IF(N(AI123)&gt;0,", "&amp;A123&amp;"-"&amp;AI$2,"")&amp;IF(N(AJ123)&gt;0,", "&amp;A123&amp;"-"&amp;AJ$2,""),3,999))</f>
        <v/>
      </c>
      <c r="AN123" s="81"/>
      <c r="AO123" s="88"/>
      <c r="AP123" s="89" t="str">
        <f aca="false">IF(AO123="","",ROUND(AO123/(1+Справочники!$B$13),2))</f>
        <v/>
      </c>
      <c r="AQ123" s="90" t="str">
        <f aca="false" t="array" ref="AQ123:AQ123">IF(AP123="","",AP123*INDEX(Справочники!$B$4:$B$7,MATCH("RUB",Справочники!$A$4:$A$7,0)))</f>
        <v/>
      </c>
      <c r="AR123" s="90" t="str">
        <f aca="false">IF(AQ123="","",ROUND(AQ123*(1+Справочники!$B$12),0))</f>
        <v/>
      </c>
      <c r="AS123" s="90" t="str">
        <f aca="false">IF(AR123="","",ROUND(AR123*(1-Справочники!$B$11),0))</f>
        <v/>
      </c>
      <c r="AT123" s="88"/>
      <c r="AU123" s="90" t="str">
        <f aca="false">IF(AT123="","",ROUND(AT123/(1+Справочники!$B$12),0))</f>
        <v/>
      </c>
      <c r="AV123" s="90" t="str">
        <f aca="false">IF(AT123="","",ROUND(AT123*(1-Справочники!$B$15),0))</f>
        <v/>
      </c>
      <c r="AW123" s="90" t="str">
        <f aca="false">IF(AT123="","",ROUND(AT123*(1-Справочники!$B$16),0))</f>
        <v/>
      </c>
      <c r="AX123" s="90" t="str">
        <f aca="false">IF(AT123="","",ROUND(AT123*(1-Справочники!$B$17),0))</f>
        <v/>
      </c>
      <c r="AY123" s="90" t="str">
        <f aca="false">IF(AT123="","",ROUND(AT123*(1-Справочники!$B$18),0))</f>
        <v/>
      </c>
      <c r="AZ123" s="90" t="str">
        <f aca="false">IF(AT123="","",ROUND(AT123*(1-Справочники!$B$19),0))</f>
        <v/>
      </c>
      <c r="BA123" s="81"/>
      <c r="BB123" s="81"/>
      <c r="BC123" s="81"/>
      <c r="BD123" s="81"/>
      <c r="BE123" s="91"/>
      <c r="BF123" s="81" t="s">
        <v>103</v>
      </c>
      <c r="BG123" s="89" t="n">
        <f aca="false" t="array" ref="BG123:BG123">IF(BF123="","",IFERROR(INDEX(Справочники!$B$4:$B$7,MATCH(BF123,Справочники!$A$4:$A$7,0)),""))</f>
        <v>68.5</v>
      </c>
      <c r="BH123" s="90" t="str">
        <f aca="false">IF(N(BN123)&gt;0,ROUND(SUMIF(ЗАКАЗЫ!$F$3:$F$500,$A123,ЗАКАЗЫ!$Y$3:$Y$500)/BN123,0),IF(OR(BE123="",BG123=""),"",ROUND(BE123*BG123*(1+Справочники!$B$10),0)))</f>
        <v/>
      </c>
      <c r="BI123" s="92" t="str">
        <f aca="false">IF(OR(AU123="",BH123="",AU123=0),"",(AU123-BH123)/AU123)</f>
        <v/>
      </c>
      <c r="BJ123" s="81"/>
      <c r="BK123" s="83"/>
      <c r="BL123" s="43" t="str">
        <f aca="false">IFERROR(INDEX(ЗАКАЗЫ!$N$3:$N$500,MATCH($A123,ЗАКАЗЫ!$F$3:$F$500,0)),"")</f>
        <v/>
      </c>
      <c r="BM123" s="8" t="str">
        <f aca="false">IF(BL123="","",IFERROR(VLOOKUP(BL123,'ТН ВЭД'!$A$4:$C$40,3,0),""))</f>
        <v/>
      </c>
      <c r="BN123" s="7" t="str">
        <f aca="false">IF(COUNTIF(ЗАКАЗЫ!$F$3:$F$500,$A123)=0,"",SUMIF(ЗАКАЗЫ!$F$3:$F$500,$A123,ЗАКАЗЫ!$J$3:$J$500))</f>
        <v/>
      </c>
      <c r="BO123" s="7" t="str">
        <f aca="false">IF(BN123="","",SUMIF(ЗАКАЗЫ!$F$3:$F$500,$A123,ЗАКАЗЫ!$AL$3:$AL$500))</f>
        <v/>
      </c>
      <c r="BP123" s="7" t="str">
        <f aca="false">IF(BN123="","",BN123-BO123)</f>
        <v/>
      </c>
      <c r="BQ123" s="55" t="str">
        <f aca="false">IF(BN123="","",IF(BO123&gt;=BN123,"На складе",IF(BO123&gt;0,"Частично","Ждём")))</f>
        <v/>
      </c>
      <c r="BR123" s="43"/>
      <c r="BS123" s="47" t="str">
        <f aca="false">IF(BN123="","",IF(_xlfn.MAXIFS(ЗАКАЗЫ!$AK$3:$AK$500,ЗАКАЗЫ!$F$3:$F$500,$A123)=0,"",_xlfn.MAXIFS(ЗАКАЗЫ!$AK$3:$AK$500,ЗАКАЗЫ!$F$3:$F$500,$A123)))</f>
        <v/>
      </c>
    </row>
    <row r="124" customFormat="false" ht="15.75" hidden="false" customHeight="true" outlineLevel="0" collapsed="false">
      <c r="A124" s="80" t="s">
        <v>1647</v>
      </c>
      <c r="B124" s="81"/>
      <c r="C124" s="81"/>
      <c r="D124" s="81"/>
      <c r="E124" s="83"/>
      <c r="F124" s="81"/>
      <c r="G124" s="83"/>
      <c r="H124" s="83"/>
      <c r="I124" s="84" t="str">
        <f aca="false">IF(E124="","",A124&amp;"_1.jpg")</f>
        <v/>
      </c>
      <c r="J124" s="84" t="str">
        <f aca="false">IF(E124="","",A124&amp;"_2.jpg; "&amp;A124&amp;"_3.jpg")</f>
        <v/>
      </c>
      <c r="K124" s="84" t="str">
        <f aca="false">IF(E124="","",A124&amp;"_schema.jpg")</f>
        <v/>
      </c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 t="s">
        <v>96</v>
      </c>
      <c r="W124" s="81"/>
      <c r="X124" s="81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6" t="str">
        <f aca="false">IF(SUM(Y124:AJ124)=0,"",SUM(Y124:AJ124))</f>
        <v/>
      </c>
      <c r="AL124" s="84" t="str">
        <f aca="false">MID(IF(N(Y124)&gt;0,", "&amp;Y$2,"")&amp;IF(N(Z124)&gt;0,", "&amp;Z$2,"")&amp;IF(N(AA124)&gt;0,", "&amp;AA$2,"")&amp;IF(N(AB124)&gt;0,", "&amp;AB$2,"")&amp;IF(N(AC124)&gt;0,", "&amp;AC$2,"")&amp;IF(N(AD124)&gt;0,", "&amp;AD$2,"")&amp;IF(N(AE124)&gt;0,", "&amp;AE$2,"")&amp;IF(N(AF124)&gt;0,", "&amp;AF$2,"")&amp;IF(N(AG124)&gt;0,", "&amp;AG$2,"")&amp;IF(N(AH124)&gt;0,", "&amp;AH$2,"")&amp;IF(N(AI124)&gt;0,", "&amp;AI$2,"")&amp;IF(N(AJ124)&gt;0,", "&amp;AJ$2,""),3,999)</f>
        <v/>
      </c>
      <c r="AM124" s="87" t="str">
        <f aca="false">IF(E124="","",MID(IF(N(Y124)&gt;0,", "&amp;A124&amp;"-"&amp;Y$2,"")&amp;IF(N(Z124)&gt;0,", "&amp;A124&amp;"-"&amp;Z$2,"")&amp;IF(N(AA124)&gt;0,", "&amp;A124&amp;"-"&amp;AA$2,"")&amp;IF(N(AB124)&gt;0,", "&amp;A124&amp;"-"&amp;AB$2,"")&amp;IF(N(AC124)&gt;0,", "&amp;A124&amp;"-"&amp;AC$2,"")&amp;IF(N(AD124)&gt;0,", "&amp;A124&amp;"-"&amp;AD$2,"")&amp;IF(N(AE124)&gt;0,", "&amp;A124&amp;"-"&amp;AE$2,"")&amp;IF(N(AF124)&gt;0,", "&amp;A124&amp;"-"&amp;AF$2,"")&amp;IF(N(AG124)&gt;0,", "&amp;A124&amp;"-"&amp;AG$2,"")&amp;IF(N(AH124)&gt;0,", "&amp;A124&amp;"-"&amp;AH$2,"")&amp;IF(N(AI124)&gt;0,", "&amp;A124&amp;"-"&amp;AI$2,"")&amp;IF(N(AJ124)&gt;0,", "&amp;A124&amp;"-"&amp;AJ$2,""),3,999))</f>
        <v/>
      </c>
      <c r="AN124" s="81"/>
      <c r="AO124" s="88"/>
      <c r="AP124" s="89" t="str">
        <f aca="false">IF(AO124="","",ROUND(AO124/(1+Справочники!$B$13),2))</f>
        <v/>
      </c>
      <c r="AQ124" s="90" t="str">
        <f aca="false" t="array" ref="AQ124:AQ124">IF(AP124="","",AP124*INDEX(Справочники!$B$4:$B$7,MATCH("RUB",Справочники!$A$4:$A$7,0)))</f>
        <v/>
      </c>
      <c r="AR124" s="90" t="str">
        <f aca="false">IF(AQ124="","",ROUND(AQ124*(1+Справочники!$B$12),0))</f>
        <v/>
      </c>
      <c r="AS124" s="90" t="str">
        <f aca="false">IF(AR124="","",ROUND(AR124*(1-Справочники!$B$11),0))</f>
        <v/>
      </c>
      <c r="AT124" s="88"/>
      <c r="AU124" s="90" t="str">
        <f aca="false">IF(AT124="","",ROUND(AT124/(1+Справочники!$B$12),0))</f>
        <v/>
      </c>
      <c r="AV124" s="90" t="str">
        <f aca="false">IF(AT124="","",ROUND(AT124*(1-Справочники!$B$15),0))</f>
        <v/>
      </c>
      <c r="AW124" s="90" t="str">
        <f aca="false">IF(AT124="","",ROUND(AT124*(1-Справочники!$B$16),0))</f>
        <v/>
      </c>
      <c r="AX124" s="90" t="str">
        <f aca="false">IF(AT124="","",ROUND(AT124*(1-Справочники!$B$17),0))</f>
        <v/>
      </c>
      <c r="AY124" s="90" t="str">
        <f aca="false">IF(AT124="","",ROUND(AT124*(1-Справочники!$B$18),0))</f>
        <v/>
      </c>
      <c r="AZ124" s="90" t="str">
        <f aca="false">IF(AT124="","",ROUND(AT124*(1-Справочники!$B$19),0))</f>
        <v/>
      </c>
      <c r="BA124" s="81"/>
      <c r="BB124" s="81"/>
      <c r="BC124" s="81"/>
      <c r="BD124" s="81"/>
      <c r="BE124" s="91"/>
      <c r="BF124" s="81" t="s">
        <v>103</v>
      </c>
      <c r="BG124" s="89" t="n">
        <f aca="false" t="array" ref="BG124:BG124">IF(BF124="","",IFERROR(INDEX(Справочники!$B$4:$B$7,MATCH(BF124,Справочники!$A$4:$A$7,0)),""))</f>
        <v>68.5</v>
      </c>
      <c r="BH124" s="90" t="str">
        <f aca="false">IF(N(BN124)&gt;0,ROUND(SUMIF(ЗАКАЗЫ!$F$3:$F$500,$A124,ЗАКАЗЫ!$Y$3:$Y$500)/BN124,0),IF(OR(BE124="",BG124=""),"",ROUND(BE124*BG124*(1+Справочники!$B$10),0)))</f>
        <v/>
      </c>
      <c r="BI124" s="92" t="str">
        <f aca="false">IF(OR(AU124="",BH124="",AU124=0),"",(AU124-BH124)/AU124)</f>
        <v/>
      </c>
      <c r="BJ124" s="81"/>
      <c r="BK124" s="83"/>
      <c r="BL124" s="43" t="str">
        <f aca="false">IFERROR(INDEX(ЗАКАЗЫ!$N$3:$N$500,MATCH($A124,ЗАКАЗЫ!$F$3:$F$500,0)),"")</f>
        <v/>
      </c>
      <c r="BM124" s="8" t="str">
        <f aca="false">IF(BL124="","",IFERROR(VLOOKUP(BL124,'ТН ВЭД'!$A$4:$C$40,3,0),""))</f>
        <v/>
      </c>
      <c r="BN124" s="7" t="str">
        <f aca="false">IF(COUNTIF(ЗАКАЗЫ!$F$3:$F$500,$A124)=0,"",SUMIF(ЗАКАЗЫ!$F$3:$F$500,$A124,ЗАКАЗЫ!$J$3:$J$500))</f>
        <v/>
      </c>
      <c r="BO124" s="7" t="str">
        <f aca="false">IF(BN124="","",SUMIF(ЗАКАЗЫ!$F$3:$F$500,$A124,ЗАКАЗЫ!$AL$3:$AL$500))</f>
        <v/>
      </c>
      <c r="BP124" s="7" t="str">
        <f aca="false">IF(BN124="","",BN124-BO124)</f>
        <v/>
      </c>
      <c r="BQ124" s="55" t="str">
        <f aca="false">IF(BN124="","",IF(BO124&gt;=BN124,"На складе",IF(BO124&gt;0,"Частично","Ждём")))</f>
        <v/>
      </c>
      <c r="BR124" s="43"/>
      <c r="BS124" s="47" t="str">
        <f aca="false">IF(BN124="","",IF(_xlfn.MAXIFS(ЗАКАЗЫ!$AK$3:$AK$500,ЗАКАЗЫ!$F$3:$F$500,$A124)=0,"",_xlfn.MAXIFS(ЗАКАЗЫ!$AK$3:$AK$500,ЗАКАЗЫ!$F$3:$F$500,$A124)))</f>
        <v/>
      </c>
    </row>
    <row r="125" customFormat="false" ht="15.75" hidden="false" customHeight="true" outlineLevel="0" collapsed="false">
      <c r="A125" s="80" t="s">
        <v>1648</v>
      </c>
      <c r="B125" s="81"/>
      <c r="C125" s="81"/>
      <c r="D125" s="81"/>
      <c r="E125" s="83"/>
      <c r="F125" s="81"/>
      <c r="G125" s="83"/>
      <c r="H125" s="83"/>
      <c r="I125" s="84" t="str">
        <f aca="false">IF(E125="","",A125&amp;"_1.jpg")</f>
        <v/>
      </c>
      <c r="J125" s="84" t="str">
        <f aca="false">IF(E125="","",A125&amp;"_2.jpg; "&amp;A125&amp;"_3.jpg")</f>
        <v/>
      </c>
      <c r="K125" s="84" t="str">
        <f aca="false">IF(E125="","",A125&amp;"_schema.jpg")</f>
        <v/>
      </c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 t="s">
        <v>96</v>
      </c>
      <c r="W125" s="81"/>
      <c r="X125" s="81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6" t="str">
        <f aca="false">IF(SUM(Y125:AJ125)=0,"",SUM(Y125:AJ125))</f>
        <v/>
      </c>
      <c r="AL125" s="84" t="str">
        <f aca="false">MID(IF(N(Y125)&gt;0,", "&amp;Y$2,"")&amp;IF(N(Z125)&gt;0,", "&amp;Z$2,"")&amp;IF(N(AA125)&gt;0,", "&amp;AA$2,"")&amp;IF(N(AB125)&gt;0,", "&amp;AB$2,"")&amp;IF(N(AC125)&gt;0,", "&amp;AC$2,"")&amp;IF(N(AD125)&gt;0,", "&amp;AD$2,"")&amp;IF(N(AE125)&gt;0,", "&amp;AE$2,"")&amp;IF(N(AF125)&gt;0,", "&amp;AF$2,"")&amp;IF(N(AG125)&gt;0,", "&amp;AG$2,"")&amp;IF(N(AH125)&gt;0,", "&amp;AH$2,"")&amp;IF(N(AI125)&gt;0,", "&amp;AI$2,"")&amp;IF(N(AJ125)&gt;0,", "&amp;AJ$2,""),3,999)</f>
        <v/>
      </c>
      <c r="AM125" s="87" t="str">
        <f aca="false">IF(E125="","",MID(IF(N(Y125)&gt;0,", "&amp;A125&amp;"-"&amp;Y$2,"")&amp;IF(N(Z125)&gt;0,", "&amp;A125&amp;"-"&amp;Z$2,"")&amp;IF(N(AA125)&gt;0,", "&amp;A125&amp;"-"&amp;AA$2,"")&amp;IF(N(AB125)&gt;0,", "&amp;A125&amp;"-"&amp;AB$2,"")&amp;IF(N(AC125)&gt;0,", "&amp;A125&amp;"-"&amp;AC$2,"")&amp;IF(N(AD125)&gt;0,", "&amp;A125&amp;"-"&amp;AD$2,"")&amp;IF(N(AE125)&gt;0,", "&amp;A125&amp;"-"&amp;AE$2,"")&amp;IF(N(AF125)&gt;0,", "&amp;A125&amp;"-"&amp;AF$2,"")&amp;IF(N(AG125)&gt;0,", "&amp;A125&amp;"-"&amp;AG$2,"")&amp;IF(N(AH125)&gt;0,", "&amp;A125&amp;"-"&amp;AH$2,"")&amp;IF(N(AI125)&gt;0,", "&amp;A125&amp;"-"&amp;AI$2,"")&amp;IF(N(AJ125)&gt;0,", "&amp;A125&amp;"-"&amp;AJ$2,""),3,999))</f>
        <v/>
      </c>
      <c r="AN125" s="81"/>
      <c r="AO125" s="88"/>
      <c r="AP125" s="89" t="str">
        <f aca="false">IF(AO125="","",ROUND(AO125/(1+Справочники!$B$13),2))</f>
        <v/>
      </c>
      <c r="AQ125" s="90" t="str">
        <f aca="false" t="array" ref="AQ125:AQ125">IF(AP125="","",AP125*INDEX(Справочники!$B$4:$B$7,MATCH("RUB",Справочники!$A$4:$A$7,0)))</f>
        <v/>
      </c>
      <c r="AR125" s="90" t="str">
        <f aca="false">IF(AQ125="","",ROUND(AQ125*(1+Справочники!$B$12),0))</f>
        <v/>
      </c>
      <c r="AS125" s="90" t="str">
        <f aca="false">IF(AR125="","",ROUND(AR125*(1-Справочники!$B$11),0))</f>
        <v/>
      </c>
      <c r="AT125" s="88"/>
      <c r="AU125" s="90" t="str">
        <f aca="false">IF(AT125="","",ROUND(AT125/(1+Справочники!$B$12),0))</f>
        <v/>
      </c>
      <c r="AV125" s="90" t="str">
        <f aca="false">IF(AT125="","",ROUND(AT125*(1-Справочники!$B$15),0))</f>
        <v/>
      </c>
      <c r="AW125" s="90" t="str">
        <f aca="false">IF(AT125="","",ROUND(AT125*(1-Справочники!$B$16),0))</f>
        <v/>
      </c>
      <c r="AX125" s="90" t="str">
        <f aca="false">IF(AT125="","",ROUND(AT125*(1-Справочники!$B$17),0))</f>
        <v/>
      </c>
      <c r="AY125" s="90" t="str">
        <f aca="false">IF(AT125="","",ROUND(AT125*(1-Справочники!$B$18),0))</f>
        <v/>
      </c>
      <c r="AZ125" s="90" t="str">
        <f aca="false">IF(AT125="","",ROUND(AT125*(1-Справочники!$B$19),0))</f>
        <v/>
      </c>
      <c r="BA125" s="81"/>
      <c r="BB125" s="81"/>
      <c r="BC125" s="81"/>
      <c r="BD125" s="81"/>
      <c r="BE125" s="91"/>
      <c r="BF125" s="81" t="s">
        <v>103</v>
      </c>
      <c r="BG125" s="89" t="n">
        <f aca="false" t="array" ref="BG125:BG125">IF(BF125="","",IFERROR(INDEX(Справочники!$B$4:$B$7,MATCH(BF125,Справочники!$A$4:$A$7,0)),""))</f>
        <v>68.5</v>
      </c>
      <c r="BH125" s="90" t="str">
        <f aca="false">IF(N(BN125)&gt;0,ROUND(SUMIF(ЗАКАЗЫ!$F$3:$F$500,$A125,ЗАКАЗЫ!$Y$3:$Y$500)/BN125,0),IF(OR(BE125="",BG125=""),"",ROUND(BE125*BG125*(1+Справочники!$B$10),0)))</f>
        <v/>
      </c>
      <c r="BI125" s="92" t="str">
        <f aca="false">IF(OR(AU125="",BH125="",AU125=0),"",(AU125-BH125)/AU125)</f>
        <v/>
      </c>
      <c r="BJ125" s="81"/>
      <c r="BK125" s="83"/>
      <c r="BL125" s="43" t="str">
        <f aca="false">IFERROR(INDEX(ЗАКАЗЫ!$N$3:$N$500,MATCH($A125,ЗАКАЗЫ!$F$3:$F$500,0)),"")</f>
        <v/>
      </c>
      <c r="BM125" s="8" t="str">
        <f aca="false">IF(BL125="","",IFERROR(VLOOKUP(BL125,'ТН ВЭД'!$A$4:$C$40,3,0),""))</f>
        <v/>
      </c>
      <c r="BN125" s="7" t="str">
        <f aca="false">IF(COUNTIF(ЗАКАЗЫ!$F$3:$F$500,$A125)=0,"",SUMIF(ЗАКАЗЫ!$F$3:$F$500,$A125,ЗАКАЗЫ!$J$3:$J$500))</f>
        <v/>
      </c>
      <c r="BO125" s="7" t="str">
        <f aca="false">IF(BN125="","",SUMIF(ЗАКАЗЫ!$F$3:$F$500,$A125,ЗАКАЗЫ!$AL$3:$AL$500))</f>
        <v/>
      </c>
      <c r="BP125" s="7" t="str">
        <f aca="false">IF(BN125="","",BN125-BO125)</f>
        <v/>
      </c>
      <c r="BQ125" s="55" t="str">
        <f aca="false">IF(BN125="","",IF(BO125&gt;=BN125,"На складе",IF(BO125&gt;0,"Частично","Ждём")))</f>
        <v/>
      </c>
      <c r="BR125" s="43"/>
      <c r="BS125" s="47" t="str">
        <f aca="false">IF(BN125="","",IF(_xlfn.MAXIFS(ЗАКАЗЫ!$AK$3:$AK$500,ЗАКАЗЫ!$F$3:$F$500,$A125)=0,"",_xlfn.MAXIFS(ЗАКАЗЫ!$AK$3:$AK$500,ЗАКАЗЫ!$F$3:$F$500,$A125)))</f>
        <v/>
      </c>
    </row>
    <row r="126" customFormat="false" ht="15.75" hidden="false" customHeight="true" outlineLevel="0" collapsed="false">
      <c r="A126" s="80" t="s">
        <v>1649</v>
      </c>
      <c r="B126" s="81"/>
      <c r="C126" s="81"/>
      <c r="D126" s="81"/>
      <c r="E126" s="83"/>
      <c r="F126" s="81"/>
      <c r="G126" s="83"/>
      <c r="H126" s="83"/>
      <c r="I126" s="84" t="str">
        <f aca="false">IF(E126="","",A126&amp;"_1.jpg")</f>
        <v/>
      </c>
      <c r="J126" s="84" t="str">
        <f aca="false">IF(E126="","",A126&amp;"_2.jpg; "&amp;A126&amp;"_3.jpg")</f>
        <v/>
      </c>
      <c r="K126" s="84" t="str">
        <f aca="false">IF(E126="","",A126&amp;"_schema.jpg")</f>
        <v/>
      </c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 t="s">
        <v>96</v>
      </c>
      <c r="W126" s="81"/>
      <c r="X126" s="81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6" t="str">
        <f aca="false">IF(SUM(Y126:AJ126)=0,"",SUM(Y126:AJ126))</f>
        <v/>
      </c>
      <c r="AL126" s="84" t="str">
        <f aca="false">MID(IF(N(Y126)&gt;0,", "&amp;Y$2,"")&amp;IF(N(Z126)&gt;0,", "&amp;Z$2,"")&amp;IF(N(AA126)&gt;0,", "&amp;AA$2,"")&amp;IF(N(AB126)&gt;0,", "&amp;AB$2,"")&amp;IF(N(AC126)&gt;0,", "&amp;AC$2,"")&amp;IF(N(AD126)&gt;0,", "&amp;AD$2,"")&amp;IF(N(AE126)&gt;0,", "&amp;AE$2,"")&amp;IF(N(AF126)&gt;0,", "&amp;AF$2,"")&amp;IF(N(AG126)&gt;0,", "&amp;AG$2,"")&amp;IF(N(AH126)&gt;0,", "&amp;AH$2,"")&amp;IF(N(AI126)&gt;0,", "&amp;AI$2,"")&amp;IF(N(AJ126)&gt;0,", "&amp;AJ$2,""),3,999)</f>
        <v/>
      </c>
      <c r="AM126" s="87" t="str">
        <f aca="false">IF(E126="","",MID(IF(N(Y126)&gt;0,", "&amp;A126&amp;"-"&amp;Y$2,"")&amp;IF(N(Z126)&gt;0,", "&amp;A126&amp;"-"&amp;Z$2,"")&amp;IF(N(AA126)&gt;0,", "&amp;A126&amp;"-"&amp;AA$2,"")&amp;IF(N(AB126)&gt;0,", "&amp;A126&amp;"-"&amp;AB$2,"")&amp;IF(N(AC126)&gt;0,", "&amp;A126&amp;"-"&amp;AC$2,"")&amp;IF(N(AD126)&gt;0,", "&amp;A126&amp;"-"&amp;AD$2,"")&amp;IF(N(AE126)&gt;0,", "&amp;A126&amp;"-"&amp;AE$2,"")&amp;IF(N(AF126)&gt;0,", "&amp;A126&amp;"-"&amp;AF$2,"")&amp;IF(N(AG126)&gt;0,", "&amp;A126&amp;"-"&amp;AG$2,"")&amp;IF(N(AH126)&gt;0,", "&amp;A126&amp;"-"&amp;AH$2,"")&amp;IF(N(AI126)&gt;0,", "&amp;A126&amp;"-"&amp;AI$2,"")&amp;IF(N(AJ126)&gt;0,", "&amp;A126&amp;"-"&amp;AJ$2,""),3,999))</f>
        <v/>
      </c>
      <c r="AN126" s="81"/>
      <c r="AO126" s="88"/>
      <c r="AP126" s="89" t="str">
        <f aca="false">IF(AO126="","",ROUND(AO126/(1+Справочники!$B$13),2))</f>
        <v/>
      </c>
      <c r="AQ126" s="90" t="str">
        <f aca="false" t="array" ref="AQ126:AQ126">IF(AP126="","",AP126*INDEX(Справочники!$B$4:$B$7,MATCH("RUB",Справочники!$A$4:$A$7,0)))</f>
        <v/>
      </c>
      <c r="AR126" s="90" t="str">
        <f aca="false">IF(AQ126="","",ROUND(AQ126*(1+Справочники!$B$12),0))</f>
        <v/>
      </c>
      <c r="AS126" s="90" t="str">
        <f aca="false">IF(AR126="","",ROUND(AR126*(1-Справочники!$B$11),0))</f>
        <v/>
      </c>
      <c r="AT126" s="88"/>
      <c r="AU126" s="90" t="str">
        <f aca="false">IF(AT126="","",ROUND(AT126/(1+Справочники!$B$12),0))</f>
        <v/>
      </c>
      <c r="AV126" s="90" t="str">
        <f aca="false">IF(AT126="","",ROUND(AT126*(1-Справочники!$B$15),0))</f>
        <v/>
      </c>
      <c r="AW126" s="90" t="str">
        <f aca="false">IF(AT126="","",ROUND(AT126*(1-Справочники!$B$16),0))</f>
        <v/>
      </c>
      <c r="AX126" s="90" t="str">
        <f aca="false">IF(AT126="","",ROUND(AT126*(1-Справочники!$B$17),0))</f>
        <v/>
      </c>
      <c r="AY126" s="90" t="str">
        <f aca="false">IF(AT126="","",ROUND(AT126*(1-Справочники!$B$18),0))</f>
        <v/>
      </c>
      <c r="AZ126" s="90" t="str">
        <f aca="false">IF(AT126="","",ROUND(AT126*(1-Справочники!$B$19),0))</f>
        <v/>
      </c>
      <c r="BA126" s="81"/>
      <c r="BB126" s="81"/>
      <c r="BC126" s="81"/>
      <c r="BD126" s="81"/>
      <c r="BE126" s="91"/>
      <c r="BF126" s="81" t="s">
        <v>103</v>
      </c>
      <c r="BG126" s="89" t="n">
        <f aca="false" t="array" ref="BG126:BG126">IF(BF126="","",IFERROR(INDEX(Справочники!$B$4:$B$7,MATCH(BF126,Справочники!$A$4:$A$7,0)),""))</f>
        <v>68.5</v>
      </c>
      <c r="BH126" s="90" t="str">
        <f aca="false">IF(N(BN126)&gt;0,ROUND(SUMIF(ЗАКАЗЫ!$F$3:$F$500,$A126,ЗАКАЗЫ!$Y$3:$Y$500)/BN126,0),IF(OR(BE126="",BG126=""),"",ROUND(BE126*BG126*(1+Справочники!$B$10),0)))</f>
        <v/>
      </c>
      <c r="BI126" s="92" t="str">
        <f aca="false">IF(OR(AU126="",BH126="",AU126=0),"",(AU126-BH126)/AU126)</f>
        <v/>
      </c>
      <c r="BJ126" s="81"/>
      <c r="BK126" s="83"/>
      <c r="BL126" s="43" t="str">
        <f aca="false">IFERROR(INDEX(ЗАКАЗЫ!$N$3:$N$500,MATCH($A126,ЗАКАЗЫ!$F$3:$F$500,0)),"")</f>
        <v/>
      </c>
      <c r="BM126" s="8" t="str">
        <f aca="false">IF(BL126="","",IFERROR(VLOOKUP(BL126,'ТН ВЭД'!$A$4:$C$40,3,0),""))</f>
        <v/>
      </c>
      <c r="BN126" s="7" t="str">
        <f aca="false">IF(COUNTIF(ЗАКАЗЫ!$F$3:$F$500,$A126)=0,"",SUMIF(ЗАКАЗЫ!$F$3:$F$500,$A126,ЗАКАЗЫ!$J$3:$J$500))</f>
        <v/>
      </c>
      <c r="BO126" s="7" t="str">
        <f aca="false">IF(BN126="","",SUMIF(ЗАКАЗЫ!$F$3:$F$500,$A126,ЗАКАЗЫ!$AL$3:$AL$500))</f>
        <v/>
      </c>
      <c r="BP126" s="7" t="str">
        <f aca="false">IF(BN126="","",BN126-BO126)</f>
        <v/>
      </c>
      <c r="BQ126" s="55" t="str">
        <f aca="false">IF(BN126="","",IF(BO126&gt;=BN126,"На складе",IF(BO126&gt;0,"Частично","Ждём")))</f>
        <v/>
      </c>
      <c r="BR126" s="43"/>
      <c r="BS126" s="47" t="str">
        <f aca="false">IF(BN126="","",IF(_xlfn.MAXIFS(ЗАКАЗЫ!$AK$3:$AK$500,ЗАКАЗЫ!$F$3:$F$500,$A126)=0,"",_xlfn.MAXIFS(ЗАКАЗЫ!$AK$3:$AK$500,ЗАКАЗЫ!$F$3:$F$500,$A126)))</f>
        <v/>
      </c>
    </row>
    <row r="127" customFormat="false" ht="15.75" hidden="false" customHeight="true" outlineLevel="0" collapsed="false">
      <c r="A127" s="80" t="s">
        <v>1650</v>
      </c>
      <c r="B127" s="81"/>
      <c r="C127" s="81"/>
      <c r="D127" s="81"/>
      <c r="E127" s="83"/>
      <c r="F127" s="81"/>
      <c r="G127" s="83"/>
      <c r="H127" s="83"/>
      <c r="I127" s="84" t="str">
        <f aca="false">IF(E127="","",A127&amp;"_1.jpg")</f>
        <v/>
      </c>
      <c r="J127" s="84" t="str">
        <f aca="false">IF(E127="","",A127&amp;"_2.jpg; "&amp;A127&amp;"_3.jpg")</f>
        <v/>
      </c>
      <c r="K127" s="84" t="str">
        <f aca="false">IF(E127="","",A127&amp;"_schema.jpg")</f>
        <v/>
      </c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 t="s">
        <v>96</v>
      </c>
      <c r="W127" s="81"/>
      <c r="X127" s="81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6" t="str">
        <f aca="false">IF(SUM(Y127:AJ127)=0,"",SUM(Y127:AJ127))</f>
        <v/>
      </c>
      <c r="AL127" s="84" t="str">
        <f aca="false">MID(IF(N(Y127)&gt;0,", "&amp;Y$2,"")&amp;IF(N(Z127)&gt;0,", "&amp;Z$2,"")&amp;IF(N(AA127)&gt;0,", "&amp;AA$2,"")&amp;IF(N(AB127)&gt;0,", "&amp;AB$2,"")&amp;IF(N(AC127)&gt;0,", "&amp;AC$2,"")&amp;IF(N(AD127)&gt;0,", "&amp;AD$2,"")&amp;IF(N(AE127)&gt;0,", "&amp;AE$2,"")&amp;IF(N(AF127)&gt;0,", "&amp;AF$2,"")&amp;IF(N(AG127)&gt;0,", "&amp;AG$2,"")&amp;IF(N(AH127)&gt;0,", "&amp;AH$2,"")&amp;IF(N(AI127)&gt;0,", "&amp;AI$2,"")&amp;IF(N(AJ127)&gt;0,", "&amp;AJ$2,""),3,999)</f>
        <v/>
      </c>
      <c r="AM127" s="87" t="str">
        <f aca="false">IF(E127="","",MID(IF(N(Y127)&gt;0,", "&amp;A127&amp;"-"&amp;Y$2,"")&amp;IF(N(Z127)&gt;0,", "&amp;A127&amp;"-"&amp;Z$2,"")&amp;IF(N(AA127)&gt;0,", "&amp;A127&amp;"-"&amp;AA$2,"")&amp;IF(N(AB127)&gt;0,", "&amp;A127&amp;"-"&amp;AB$2,"")&amp;IF(N(AC127)&gt;0,", "&amp;A127&amp;"-"&amp;AC$2,"")&amp;IF(N(AD127)&gt;0,", "&amp;A127&amp;"-"&amp;AD$2,"")&amp;IF(N(AE127)&gt;0,", "&amp;A127&amp;"-"&amp;AE$2,"")&amp;IF(N(AF127)&gt;0,", "&amp;A127&amp;"-"&amp;AF$2,"")&amp;IF(N(AG127)&gt;0,", "&amp;A127&amp;"-"&amp;AG$2,"")&amp;IF(N(AH127)&gt;0,", "&amp;A127&amp;"-"&amp;AH$2,"")&amp;IF(N(AI127)&gt;0,", "&amp;A127&amp;"-"&amp;AI$2,"")&amp;IF(N(AJ127)&gt;0,", "&amp;A127&amp;"-"&amp;AJ$2,""),3,999))</f>
        <v/>
      </c>
      <c r="AN127" s="81"/>
      <c r="AO127" s="88"/>
      <c r="AP127" s="89" t="str">
        <f aca="false">IF(AO127="","",ROUND(AO127/(1+Справочники!$B$13),2))</f>
        <v/>
      </c>
      <c r="AQ127" s="90" t="str">
        <f aca="false" t="array" ref="AQ127:AQ127">IF(AP127="","",AP127*INDEX(Справочники!$B$4:$B$7,MATCH("RUB",Справочники!$A$4:$A$7,0)))</f>
        <v/>
      </c>
      <c r="AR127" s="90" t="str">
        <f aca="false">IF(AQ127="","",ROUND(AQ127*(1+Справочники!$B$12),0))</f>
        <v/>
      </c>
      <c r="AS127" s="90" t="str">
        <f aca="false">IF(AR127="","",ROUND(AR127*(1-Справочники!$B$11),0))</f>
        <v/>
      </c>
      <c r="AT127" s="88"/>
      <c r="AU127" s="90" t="str">
        <f aca="false">IF(AT127="","",ROUND(AT127/(1+Справочники!$B$12),0))</f>
        <v/>
      </c>
      <c r="AV127" s="90" t="str">
        <f aca="false">IF(AT127="","",ROUND(AT127*(1-Справочники!$B$15),0))</f>
        <v/>
      </c>
      <c r="AW127" s="90" t="str">
        <f aca="false">IF(AT127="","",ROUND(AT127*(1-Справочники!$B$16),0))</f>
        <v/>
      </c>
      <c r="AX127" s="90" t="str">
        <f aca="false">IF(AT127="","",ROUND(AT127*(1-Справочники!$B$17),0))</f>
        <v/>
      </c>
      <c r="AY127" s="90" t="str">
        <f aca="false">IF(AT127="","",ROUND(AT127*(1-Справочники!$B$18),0))</f>
        <v/>
      </c>
      <c r="AZ127" s="90" t="str">
        <f aca="false">IF(AT127="","",ROUND(AT127*(1-Справочники!$B$19),0))</f>
        <v/>
      </c>
      <c r="BA127" s="81"/>
      <c r="BB127" s="81"/>
      <c r="BC127" s="81"/>
      <c r="BD127" s="81"/>
      <c r="BE127" s="91"/>
      <c r="BF127" s="81" t="s">
        <v>103</v>
      </c>
      <c r="BG127" s="89" t="n">
        <f aca="false" t="array" ref="BG127:BG127">IF(BF127="","",IFERROR(INDEX(Справочники!$B$4:$B$7,MATCH(BF127,Справочники!$A$4:$A$7,0)),""))</f>
        <v>68.5</v>
      </c>
      <c r="BH127" s="90" t="str">
        <f aca="false">IF(N(BN127)&gt;0,ROUND(SUMIF(ЗАКАЗЫ!$F$3:$F$500,$A127,ЗАКАЗЫ!$Y$3:$Y$500)/BN127,0),IF(OR(BE127="",BG127=""),"",ROUND(BE127*BG127*(1+Справочники!$B$10),0)))</f>
        <v/>
      </c>
      <c r="BI127" s="92" t="str">
        <f aca="false">IF(OR(AU127="",BH127="",AU127=0),"",(AU127-BH127)/AU127)</f>
        <v/>
      </c>
      <c r="BJ127" s="81"/>
      <c r="BK127" s="83"/>
      <c r="BL127" s="43" t="str">
        <f aca="false">IFERROR(INDEX(ЗАКАЗЫ!$N$3:$N$500,MATCH($A127,ЗАКАЗЫ!$F$3:$F$500,0)),"")</f>
        <v/>
      </c>
      <c r="BM127" s="8" t="str">
        <f aca="false">IF(BL127="","",IFERROR(VLOOKUP(BL127,'ТН ВЭД'!$A$4:$C$40,3,0),""))</f>
        <v/>
      </c>
      <c r="BN127" s="7" t="str">
        <f aca="false">IF(COUNTIF(ЗАКАЗЫ!$F$3:$F$500,$A127)=0,"",SUMIF(ЗАКАЗЫ!$F$3:$F$500,$A127,ЗАКАЗЫ!$J$3:$J$500))</f>
        <v/>
      </c>
      <c r="BO127" s="7" t="str">
        <f aca="false">IF(BN127="","",SUMIF(ЗАКАЗЫ!$F$3:$F$500,$A127,ЗАКАЗЫ!$AL$3:$AL$500))</f>
        <v/>
      </c>
      <c r="BP127" s="7" t="str">
        <f aca="false">IF(BN127="","",BN127-BO127)</f>
        <v/>
      </c>
      <c r="BQ127" s="55" t="str">
        <f aca="false">IF(BN127="","",IF(BO127&gt;=BN127,"На складе",IF(BO127&gt;0,"Частично","Ждём")))</f>
        <v/>
      </c>
      <c r="BR127" s="43"/>
      <c r="BS127" s="47" t="str">
        <f aca="false">IF(BN127="","",IF(_xlfn.MAXIFS(ЗАКАЗЫ!$AK$3:$AK$500,ЗАКАЗЫ!$F$3:$F$500,$A127)=0,"",_xlfn.MAXIFS(ЗАКАЗЫ!$AK$3:$AK$500,ЗАКАЗЫ!$F$3:$F$500,$A127)))</f>
        <v/>
      </c>
    </row>
    <row r="128" customFormat="false" ht="15.75" hidden="false" customHeight="true" outlineLevel="0" collapsed="false">
      <c r="A128" s="80" t="s">
        <v>1651</v>
      </c>
      <c r="B128" s="81"/>
      <c r="C128" s="81"/>
      <c r="D128" s="81"/>
      <c r="E128" s="83"/>
      <c r="F128" s="81"/>
      <c r="G128" s="83"/>
      <c r="H128" s="83"/>
      <c r="I128" s="84" t="str">
        <f aca="false">IF(E128="","",A128&amp;"_1.jpg")</f>
        <v/>
      </c>
      <c r="J128" s="84" t="str">
        <f aca="false">IF(E128="","",A128&amp;"_2.jpg; "&amp;A128&amp;"_3.jpg")</f>
        <v/>
      </c>
      <c r="K128" s="84" t="str">
        <f aca="false">IF(E128="","",A128&amp;"_schema.jpg")</f>
        <v/>
      </c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 t="s">
        <v>96</v>
      </c>
      <c r="W128" s="81"/>
      <c r="X128" s="81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6" t="str">
        <f aca="false">IF(SUM(Y128:AJ128)=0,"",SUM(Y128:AJ128))</f>
        <v/>
      </c>
      <c r="AL128" s="84" t="str">
        <f aca="false">MID(IF(N(Y128)&gt;0,", "&amp;Y$2,"")&amp;IF(N(Z128)&gt;0,", "&amp;Z$2,"")&amp;IF(N(AA128)&gt;0,", "&amp;AA$2,"")&amp;IF(N(AB128)&gt;0,", "&amp;AB$2,"")&amp;IF(N(AC128)&gt;0,", "&amp;AC$2,"")&amp;IF(N(AD128)&gt;0,", "&amp;AD$2,"")&amp;IF(N(AE128)&gt;0,", "&amp;AE$2,"")&amp;IF(N(AF128)&gt;0,", "&amp;AF$2,"")&amp;IF(N(AG128)&gt;0,", "&amp;AG$2,"")&amp;IF(N(AH128)&gt;0,", "&amp;AH$2,"")&amp;IF(N(AI128)&gt;0,", "&amp;AI$2,"")&amp;IF(N(AJ128)&gt;0,", "&amp;AJ$2,""),3,999)</f>
        <v/>
      </c>
      <c r="AM128" s="87" t="str">
        <f aca="false">IF(E128="","",MID(IF(N(Y128)&gt;0,", "&amp;A128&amp;"-"&amp;Y$2,"")&amp;IF(N(Z128)&gt;0,", "&amp;A128&amp;"-"&amp;Z$2,"")&amp;IF(N(AA128)&gt;0,", "&amp;A128&amp;"-"&amp;AA$2,"")&amp;IF(N(AB128)&gt;0,", "&amp;A128&amp;"-"&amp;AB$2,"")&amp;IF(N(AC128)&gt;0,", "&amp;A128&amp;"-"&amp;AC$2,"")&amp;IF(N(AD128)&gt;0,", "&amp;A128&amp;"-"&amp;AD$2,"")&amp;IF(N(AE128)&gt;0,", "&amp;A128&amp;"-"&amp;AE$2,"")&amp;IF(N(AF128)&gt;0,", "&amp;A128&amp;"-"&amp;AF$2,"")&amp;IF(N(AG128)&gt;0,", "&amp;A128&amp;"-"&amp;AG$2,"")&amp;IF(N(AH128)&gt;0,", "&amp;A128&amp;"-"&amp;AH$2,"")&amp;IF(N(AI128)&gt;0,", "&amp;A128&amp;"-"&amp;AI$2,"")&amp;IF(N(AJ128)&gt;0,", "&amp;A128&amp;"-"&amp;AJ$2,""),3,999))</f>
        <v/>
      </c>
      <c r="AN128" s="81"/>
      <c r="AO128" s="88"/>
      <c r="AP128" s="89" t="str">
        <f aca="false">IF(AO128="","",ROUND(AO128/(1+Справочники!$B$13),2))</f>
        <v/>
      </c>
      <c r="AQ128" s="90" t="str">
        <f aca="false" t="array" ref="AQ128:AQ128">IF(AP128="","",AP128*INDEX(Справочники!$B$4:$B$7,MATCH("RUB",Справочники!$A$4:$A$7,0)))</f>
        <v/>
      </c>
      <c r="AR128" s="90" t="str">
        <f aca="false">IF(AQ128="","",ROUND(AQ128*(1+Справочники!$B$12),0))</f>
        <v/>
      </c>
      <c r="AS128" s="90" t="str">
        <f aca="false">IF(AR128="","",ROUND(AR128*(1-Справочники!$B$11),0))</f>
        <v/>
      </c>
      <c r="AT128" s="88"/>
      <c r="AU128" s="90" t="str">
        <f aca="false">IF(AT128="","",ROUND(AT128/(1+Справочники!$B$12),0))</f>
        <v/>
      </c>
      <c r="AV128" s="90" t="str">
        <f aca="false">IF(AT128="","",ROUND(AT128*(1-Справочники!$B$15),0))</f>
        <v/>
      </c>
      <c r="AW128" s="90" t="str">
        <f aca="false">IF(AT128="","",ROUND(AT128*(1-Справочники!$B$16),0))</f>
        <v/>
      </c>
      <c r="AX128" s="90" t="str">
        <f aca="false">IF(AT128="","",ROUND(AT128*(1-Справочники!$B$17),0))</f>
        <v/>
      </c>
      <c r="AY128" s="90" t="str">
        <f aca="false">IF(AT128="","",ROUND(AT128*(1-Справочники!$B$18),0))</f>
        <v/>
      </c>
      <c r="AZ128" s="90" t="str">
        <f aca="false">IF(AT128="","",ROUND(AT128*(1-Справочники!$B$19),0))</f>
        <v/>
      </c>
      <c r="BA128" s="81"/>
      <c r="BB128" s="81"/>
      <c r="BC128" s="81"/>
      <c r="BD128" s="81"/>
      <c r="BE128" s="91"/>
      <c r="BF128" s="81" t="s">
        <v>103</v>
      </c>
      <c r="BG128" s="89" t="n">
        <f aca="false" t="array" ref="BG128:BG128">IF(BF128="","",IFERROR(INDEX(Справочники!$B$4:$B$7,MATCH(BF128,Справочники!$A$4:$A$7,0)),""))</f>
        <v>68.5</v>
      </c>
      <c r="BH128" s="90" t="str">
        <f aca="false">IF(N(BN128)&gt;0,ROUND(SUMIF(ЗАКАЗЫ!$F$3:$F$500,$A128,ЗАКАЗЫ!$Y$3:$Y$500)/BN128,0),IF(OR(BE128="",BG128=""),"",ROUND(BE128*BG128*(1+Справочники!$B$10),0)))</f>
        <v/>
      </c>
      <c r="BI128" s="92" t="str">
        <f aca="false">IF(OR(AU128="",BH128="",AU128=0),"",(AU128-BH128)/AU128)</f>
        <v/>
      </c>
      <c r="BJ128" s="81"/>
      <c r="BK128" s="83"/>
      <c r="BL128" s="43" t="str">
        <f aca="false">IFERROR(INDEX(ЗАКАЗЫ!$N$3:$N$500,MATCH($A128,ЗАКАЗЫ!$F$3:$F$500,0)),"")</f>
        <v/>
      </c>
      <c r="BM128" s="8" t="str">
        <f aca="false">IF(BL128="","",IFERROR(VLOOKUP(BL128,'ТН ВЭД'!$A$4:$C$40,3,0),""))</f>
        <v/>
      </c>
      <c r="BN128" s="7" t="str">
        <f aca="false">IF(COUNTIF(ЗАКАЗЫ!$F$3:$F$500,$A128)=0,"",SUMIF(ЗАКАЗЫ!$F$3:$F$500,$A128,ЗАКАЗЫ!$J$3:$J$500))</f>
        <v/>
      </c>
      <c r="BO128" s="7" t="str">
        <f aca="false">IF(BN128="","",SUMIF(ЗАКАЗЫ!$F$3:$F$500,$A128,ЗАКАЗЫ!$AL$3:$AL$500))</f>
        <v/>
      </c>
      <c r="BP128" s="7" t="str">
        <f aca="false">IF(BN128="","",BN128-BO128)</f>
        <v/>
      </c>
      <c r="BQ128" s="55" t="str">
        <f aca="false">IF(BN128="","",IF(BO128&gt;=BN128,"На складе",IF(BO128&gt;0,"Частично","Ждём")))</f>
        <v/>
      </c>
      <c r="BR128" s="43"/>
      <c r="BS128" s="47" t="str">
        <f aca="false">IF(BN128="","",IF(_xlfn.MAXIFS(ЗАКАЗЫ!$AK$3:$AK$500,ЗАКАЗЫ!$F$3:$F$500,$A128)=0,"",_xlfn.MAXIFS(ЗАКАЗЫ!$AK$3:$AK$500,ЗАКАЗЫ!$F$3:$F$500,$A128)))</f>
        <v/>
      </c>
    </row>
    <row r="129" customFormat="false" ht="15.75" hidden="false" customHeight="true" outlineLevel="0" collapsed="false">
      <c r="A129" s="80" t="s">
        <v>1652</v>
      </c>
      <c r="B129" s="81"/>
      <c r="C129" s="81"/>
      <c r="D129" s="81"/>
      <c r="E129" s="83"/>
      <c r="F129" s="81"/>
      <c r="G129" s="83"/>
      <c r="H129" s="83"/>
      <c r="I129" s="84" t="str">
        <f aca="false">IF(E129="","",A129&amp;"_1.jpg")</f>
        <v/>
      </c>
      <c r="J129" s="84" t="str">
        <f aca="false">IF(E129="","",A129&amp;"_2.jpg; "&amp;A129&amp;"_3.jpg")</f>
        <v/>
      </c>
      <c r="K129" s="84" t="str">
        <f aca="false">IF(E129="","",A129&amp;"_schema.jpg")</f>
        <v/>
      </c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 t="s">
        <v>96</v>
      </c>
      <c r="W129" s="81"/>
      <c r="X129" s="81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6" t="str">
        <f aca="false">IF(SUM(Y129:AJ129)=0,"",SUM(Y129:AJ129))</f>
        <v/>
      </c>
      <c r="AL129" s="84" t="str">
        <f aca="false">MID(IF(N(Y129)&gt;0,", "&amp;Y$2,"")&amp;IF(N(Z129)&gt;0,", "&amp;Z$2,"")&amp;IF(N(AA129)&gt;0,", "&amp;AA$2,"")&amp;IF(N(AB129)&gt;0,", "&amp;AB$2,"")&amp;IF(N(AC129)&gt;0,", "&amp;AC$2,"")&amp;IF(N(AD129)&gt;0,", "&amp;AD$2,"")&amp;IF(N(AE129)&gt;0,", "&amp;AE$2,"")&amp;IF(N(AF129)&gt;0,", "&amp;AF$2,"")&amp;IF(N(AG129)&gt;0,", "&amp;AG$2,"")&amp;IF(N(AH129)&gt;0,", "&amp;AH$2,"")&amp;IF(N(AI129)&gt;0,", "&amp;AI$2,"")&amp;IF(N(AJ129)&gt;0,", "&amp;AJ$2,""),3,999)</f>
        <v/>
      </c>
      <c r="AM129" s="87" t="str">
        <f aca="false">IF(E129="","",MID(IF(N(Y129)&gt;0,", "&amp;A129&amp;"-"&amp;Y$2,"")&amp;IF(N(Z129)&gt;0,", "&amp;A129&amp;"-"&amp;Z$2,"")&amp;IF(N(AA129)&gt;0,", "&amp;A129&amp;"-"&amp;AA$2,"")&amp;IF(N(AB129)&gt;0,", "&amp;A129&amp;"-"&amp;AB$2,"")&amp;IF(N(AC129)&gt;0,", "&amp;A129&amp;"-"&amp;AC$2,"")&amp;IF(N(AD129)&gt;0,", "&amp;A129&amp;"-"&amp;AD$2,"")&amp;IF(N(AE129)&gt;0,", "&amp;A129&amp;"-"&amp;AE$2,"")&amp;IF(N(AF129)&gt;0,", "&amp;A129&amp;"-"&amp;AF$2,"")&amp;IF(N(AG129)&gt;0,", "&amp;A129&amp;"-"&amp;AG$2,"")&amp;IF(N(AH129)&gt;0,", "&amp;A129&amp;"-"&amp;AH$2,"")&amp;IF(N(AI129)&gt;0,", "&amp;A129&amp;"-"&amp;AI$2,"")&amp;IF(N(AJ129)&gt;0,", "&amp;A129&amp;"-"&amp;AJ$2,""),3,999))</f>
        <v/>
      </c>
      <c r="AN129" s="81"/>
      <c r="AO129" s="88"/>
      <c r="AP129" s="89" t="str">
        <f aca="false">IF(AO129="","",ROUND(AO129/(1+Справочники!$B$13),2))</f>
        <v/>
      </c>
      <c r="AQ129" s="90" t="str">
        <f aca="false" t="array" ref="AQ129:AQ129">IF(AP129="","",AP129*INDEX(Справочники!$B$4:$B$7,MATCH("RUB",Справочники!$A$4:$A$7,0)))</f>
        <v/>
      </c>
      <c r="AR129" s="90" t="str">
        <f aca="false">IF(AQ129="","",ROUND(AQ129*(1+Справочники!$B$12),0))</f>
        <v/>
      </c>
      <c r="AS129" s="90" t="str">
        <f aca="false">IF(AR129="","",ROUND(AR129*(1-Справочники!$B$11),0))</f>
        <v/>
      </c>
      <c r="AT129" s="88"/>
      <c r="AU129" s="90" t="str">
        <f aca="false">IF(AT129="","",ROUND(AT129/(1+Справочники!$B$12),0))</f>
        <v/>
      </c>
      <c r="AV129" s="90" t="str">
        <f aca="false">IF(AT129="","",ROUND(AT129*(1-Справочники!$B$15),0))</f>
        <v/>
      </c>
      <c r="AW129" s="90" t="str">
        <f aca="false">IF(AT129="","",ROUND(AT129*(1-Справочники!$B$16),0))</f>
        <v/>
      </c>
      <c r="AX129" s="90" t="str">
        <f aca="false">IF(AT129="","",ROUND(AT129*(1-Справочники!$B$17),0))</f>
        <v/>
      </c>
      <c r="AY129" s="90" t="str">
        <f aca="false">IF(AT129="","",ROUND(AT129*(1-Справочники!$B$18),0))</f>
        <v/>
      </c>
      <c r="AZ129" s="90" t="str">
        <f aca="false">IF(AT129="","",ROUND(AT129*(1-Справочники!$B$19),0))</f>
        <v/>
      </c>
      <c r="BA129" s="81"/>
      <c r="BB129" s="81"/>
      <c r="BC129" s="81"/>
      <c r="BD129" s="81"/>
      <c r="BE129" s="91"/>
      <c r="BF129" s="81" t="s">
        <v>103</v>
      </c>
      <c r="BG129" s="89" t="n">
        <f aca="false" t="array" ref="BG129:BG129">IF(BF129="","",IFERROR(INDEX(Справочники!$B$4:$B$7,MATCH(BF129,Справочники!$A$4:$A$7,0)),""))</f>
        <v>68.5</v>
      </c>
      <c r="BH129" s="90" t="str">
        <f aca="false">IF(N(BN129)&gt;0,ROUND(SUMIF(ЗАКАЗЫ!$F$3:$F$500,$A129,ЗАКАЗЫ!$Y$3:$Y$500)/BN129,0),IF(OR(BE129="",BG129=""),"",ROUND(BE129*BG129*(1+Справочники!$B$10),0)))</f>
        <v/>
      </c>
      <c r="BI129" s="92" t="str">
        <f aca="false">IF(OR(AU129="",BH129="",AU129=0),"",(AU129-BH129)/AU129)</f>
        <v/>
      </c>
      <c r="BJ129" s="81"/>
      <c r="BK129" s="83"/>
      <c r="BL129" s="43" t="str">
        <f aca="false">IFERROR(INDEX(ЗАКАЗЫ!$N$3:$N$500,MATCH($A129,ЗАКАЗЫ!$F$3:$F$500,0)),"")</f>
        <v/>
      </c>
      <c r="BM129" s="8" t="str">
        <f aca="false">IF(BL129="","",IFERROR(VLOOKUP(BL129,'ТН ВЭД'!$A$4:$C$40,3,0),""))</f>
        <v/>
      </c>
      <c r="BN129" s="7" t="str">
        <f aca="false">IF(COUNTIF(ЗАКАЗЫ!$F$3:$F$500,$A129)=0,"",SUMIF(ЗАКАЗЫ!$F$3:$F$500,$A129,ЗАКАЗЫ!$J$3:$J$500))</f>
        <v/>
      </c>
      <c r="BO129" s="7" t="str">
        <f aca="false">IF(BN129="","",SUMIF(ЗАКАЗЫ!$F$3:$F$500,$A129,ЗАКАЗЫ!$AL$3:$AL$500))</f>
        <v/>
      </c>
      <c r="BP129" s="7" t="str">
        <f aca="false">IF(BN129="","",BN129-BO129)</f>
        <v/>
      </c>
      <c r="BQ129" s="55" t="str">
        <f aca="false">IF(BN129="","",IF(BO129&gt;=BN129,"На складе",IF(BO129&gt;0,"Частично","Ждём")))</f>
        <v/>
      </c>
      <c r="BR129" s="43"/>
      <c r="BS129" s="47" t="str">
        <f aca="false">IF(BN129="","",IF(_xlfn.MAXIFS(ЗАКАЗЫ!$AK$3:$AK$500,ЗАКАЗЫ!$F$3:$F$500,$A129)=0,"",_xlfn.MAXIFS(ЗАКАЗЫ!$AK$3:$AK$500,ЗАКАЗЫ!$F$3:$F$500,$A129)))</f>
        <v/>
      </c>
    </row>
    <row r="130" customFormat="false" ht="15.75" hidden="false" customHeight="true" outlineLevel="0" collapsed="false">
      <c r="A130" s="80" t="s">
        <v>1653</v>
      </c>
      <c r="B130" s="81"/>
      <c r="C130" s="81"/>
      <c r="D130" s="81"/>
      <c r="E130" s="83"/>
      <c r="F130" s="81"/>
      <c r="G130" s="83"/>
      <c r="H130" s="83"/>
      <c r="I130" s="84" t="str">
        <f aca="false">IF(E130="","",A130&amp;"_1.jpg")</f>
        <v/>
      </c>
      <c r="J130" s="84" t="str">
        <f aca="false">IF(E130="","",A130&amp;"_2.jpg; "&amp;A130&amp;"_3.jpg")</f>
        <v/>
      </c>
      <c r="K130" s="84" t="str">
        <f aca="false">IF(E130="","",A130&amp;"_schema.jpg")</f>
        <v/>
      </c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 t="s">
        <v>96</v>
      </c>
      <c r="W130" s="81"/>
      <c r="X130" s="81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6" t="str">
        <f aca="false">IF(SUM(Y130:AJ130)=0,"",SUM(Y130:AJ130))</f>
        <v/>
      </c>
      <c r="AL130" s="84" t="str">
        <f aca="false">MID(IF(N(Y130)&gt;0,", "&amp;Y$2,"")&amp;IF(N(Z130)&gt;0,", "&amp;Z$2,"")&amp;IF(N(AA130)&gt;0,", "&amp;AA$2,"")&amp;IF(N(AB130)&gt;0,", "&amp;AB$2,"")&amp;IF(N(AC130)&gt;0,", "&amp;AC$2,"")&amp;IF(N(AD130)&gt;0,", "&amp;AD$2,"")&amp;IF(N(AE130)&gt;0,", "&amp;AE$2,"")&amp;IF(N(AF130)&gt;0,", "&amp;AF$2,"")&amp;IF(N(AG130)&gt;0,", "&amp;AG$2,"")&amp;IF(N(AH130)&gt;0,", "&amp;AH$2,"")&amp;IF(N(AI130)&gt;0,", "&amp;AI$2,"")&amp;IF(N(AJ130)&gt;0,", "&amp;AJ$2,""),3,999)</f>
        <v/>
      </c>
      <c r="AM130" s="87" t="str">
        <f aca="false">IF(E130="","",MID(IF(N(Y130)&gt;0,", "&amp;A130&amp;"-"&amp;Y$2,"")&amp;IF(N(Z130)&gt;0,", "&amp;A130&amp;"-"&amp;Z$2,"")&amp;IF(N(AA130)&gt;0,", "&amp;A130&amp;"-"&amp;AA$2,"")&amp;IF(N(AB130)&gt;0,", "&amp;A130&amp;"-"&amp;AB$2,"")&amp;IF(N(AC130)&gt;0,", "&amp;A130&amp;"-"&amp;AC$2,"")&amp;IF(N(AD130)&gt;0,", "&amp;A130&amp;"-"&amp;AD$2,"")&amp;IF(N(AE130)&gt;0,", "&amp;A130&amp;"-"&amp;AE$2,"")&amp;IF(N(AF130)&gt;0,", "&amp;A130&amp;"-"&amp;AF$2,"")&amp;IF(N(AG130)&gt;0,", "&amp;A130&amp;"-"&amp;AG$2,"")&amp;IF(N(AH130)&gt;0,", "&amp;A130&amp;"-"&amp;AH$2,"")&amp;IF(N(AI130)&gt;0,", "&amp;A130&amp;"-"&amp;AI$2,"")&amp;IF(N(AJ130)&gt;0,", "&amp;A130&amp;"-"&amp;AJ$2,""),3,999))</f>
        <v/>
      </c>
      <c r="AN130" s="81"/>
      <c r="AO130" s="88"/>
      <c r="AP130" s="89" t="str">
        <f aca="false">IF(AO130="","",ROUND(AO130/(1+Справочники!$B$13),2))</f>
        <v/>
      </c>
      <c r="AQ130" s="90" t="str">
        <f aca="false" t="array" ref="AQ130:AQ130">IF(AP130="","",AP130*INDEX(Справочники!$B$4:$B$7,MATCH("RUB",Справочники!$A$4:$A$7,0)))</f>
        <v/>
      </c>
      <c r="AR130" s="90" t="str">
        <f aca="false">IF(AQ130="","",ROUND(AQ130*(1+Справочники!$B$12),0))</f>
        <v/>
      </c>
      <c r="AS130" s="90" t="str">
        <f aca="false">IF(AR130="","",ROUND(AR130*(1-Справочники!$B$11),0))</f>
        <v/>
      </c>
      <c r="AT130" s="88"/>
      <c r="AU130" s="90" t="str">
        <f aca="false">IF(AT130="","",ROUND(AT130/(1+Справочники!$B$12),0))</f>
        <v/>
      </c>
      <c r="AV130" s="90" t="str">
        <f aca="false">IF(AT130="","",ROUND(AT130*(1-Справочники!$B$15),0))</f>
        <v/>
      </c>
      <c r="AW130" s="90" t="str">
        <f aca="false">IF(AT130="","",ROUND(AT130*(1-Справочники!$B$16),0))</f>
        <v/>
      </c>
      <c r="AX130" s="90" t="str">
        <f aca="false">IF(AT130="","",ROUND(AT130*(1-Справочники!$B$17),0))</f>
        <v/>
      </c>
      <c r="AY130" s="90" t="str">
        <f aca="false">IF(AT130="","",ROUND(AT130*(1-Справочники!$B$18),0))</f>
        <v/>
      </c>
      <c r="AZ130" s="90" t="str">
        <f aca="false">IF(AT130="","",ROUND(AT130*(1-Справочники!$B$19),0))</f>
        <v/>
      </c>
      <c r="BA130" s="81"/>
      <c r="BB130" s="81"/>
      <c r="BC130" s="81"/>
      <c r="BD130" s="81"/>
      <c r="BE130" s="91"/>
      <c r="BF130" s="81" t="s">
        <v>103</v>
      </c>
      <c r="BG130" s="89" t="n">
        <f aca="false" t="array" ref="BG130:BG130">IF(BF130="","",IFERROR(INDEX(Справочники!$B$4:$B$7,MATCH(BF130,Справочники!$A$4:$A$7,0)),""))</f>
        <v>68.5</v>
      </c>
      <c r="BH130" s="90" t="str">
        <f aca="false">IF(N(BN130)&gt;0,ROUND(SUMIF(ЗАКАЗЫ!$F$3:$F$500,$A130,ЗАКАЗЫ!$Y$3:$Y$500)/BN130,0),IF(OR(BE130="",BG130=""),"",ROUND(BE130*BG130*(1+Справочники!$B$10),0)))</f>
        <v/>
      </c>
      <c r="BI130" s="92" t="str">
        <f aca="false">IF(OR(AU130="",BH130="",AU130=0),"",(AU130-BH130)/AU130)</f>
        <v/>
      </c>
      <c r="BJ130" s="81"/>
      <c r="BK130" s="83"/>
      <c r="BL130" s="43" t="str">
        <f aca="false">IFERROR(INDEX(ЗАКАЗЫ!$N$3:$N$500,MATCH($A130,ЗАКАЗЫ!$F$3:$F$500,0)),"")</f>
        <v/>
      </c>
      <c r="BM130" s="8" t="str">
        <f aca="false">IF(BL130="","",IFERROR(VLOOKUP(BL130,'ТН ВЭД'!$A$4:$C$40,3,0),""))</f>
        <v/>
      </c>
      <c r="BN130" s="7" t="str">
        <f aca="false">IF(COUNTIF(ЗАКАЗЫ!$F$3:$F$500,$A130)=0,"",SUMIF(ЗАКАЗЫ!$F$3:$F$500,$A130,ЗАКАЗЫ!$J$3:$J$500))</f>
        <v/>
      </c>
      <c r="BO130" s="7" t="str">
        <f aca="false">IF(BN130="","",SUMIF(ЗАКАЗЫ!$F$3:$F$500,$A130,ЗАКАЗЫ!$AL$3:$AL$500))</f>
        <v/>
      </c>
      <c r="BP130" s="7" t="str">
        <f aca="false">IF(BN130="","",BN130-BO130)</f>
        <v/>
      </c>
      <c r="BQ130" s="55" t="str">
        <f aca="false">IF(BN130="","",IF(BO130&gt;=BN130,"На складе",IF(BO130&gt;0,"Частично","Ждём")))</f>
        <v/>
      </c>
      <c r="BR130" s="43"/>
      <c r="BS130" s="47" t="str">
        <f aca="false">IF(BN130="","",IF(_xlfn.MAXIFS(ЗАКАЗЫ!$AK$3:$AK$500,ЗАКАЗЫ!$F$3:$F$500,$A130)=0,"",_xlfn.MAXIFS(ЗАКАЗЫ!$AK$3:$AK$500,ЗАКАЗЫ!$F$3:$F$500,$A130)))</f>
        <v/>
      </c>
    </row>
    <row r="131" customFormat="false" ht="15.75" hidden="false" customHeight="true" outlineLevel="0" collapsed="false">
      <c r="A131" s="80" t="s">
        <v>1654</v>
      </c>
      <c r="B131" s="81"/>
      <c r="C131" s="81"/>
      <c r="D131" s="81"/>
      <c r="E131" s="83"/>
      <c r="F131" s="81"/>
      <c r="G131" s="83"/>
      <c r="H131" s="83"/>
      <c r="I131" s="84" t="str">
        <f aca="false">IF(E131="","",A131&amp;"_1.jpg")</f>
        <v/>
      </c>
      <c r="J131" s="84" t="str">
        <f aca="false">IF(E131="","",A131&amp;"_2.jpg; "&amp;A131&amp;"_3.jpg")</f>
        <v/>
      </c>
      <c r="K131" s="84" t="str">
        <f aca="false">IF(E131="","",A131&amp;"_schema.jpg")</f>
        <v/>
      </c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 t="s">
        <v>96</v>
      </c>
      <c r="W131" s="81"/>
      <c r="X131" s="81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6" t="str">
        <f aca="false">IF(SUM(Y131:AJ131)=0,"",SUM(Y131:AJ131))</f>
        <v/>
      </c>
      <c r="AL131" s="84" t="str">
        <f aca="false">MID(IF(N(Y131)&gt;0,", "&amp;Y$2,"")&amp;IF(N(Z131)&gt;0,", "&amp;Z$2,"")&amp;IF(N(AA131)&gt;0,", "&amp;AA$2,"")&amp;IF(N(AB131)&gt;0,", "&amp;AB$2,"")&amp;IF(N(AC131)&gt;0,", "&amp;AC$2,"")&amp;IF(N(AD131)&gt;0,", "&amp;AD$2,"")&amp;IF(N(AE131)&gt;0,", "&amp;AE$2,"")&amp;IF(N(AF131)&gt;0,", "&amp;AF$2,"")&amp;IF(N(AG131)&gt;0,", "&amp;AG$2,"")&amp;IF(N(AH131)&gt;0,", "&amp;AH$2,"")&amp;IF(N(AI131)&gt;0,", "&amp;AI$2,"")&amp;IF(N(AJ131)&gt;0,", "&amp;AJ$2,""),3,999)</f>
        <v/>
      </c>
      <c r="AM131" s="87" t="str">
        <f aca="false">IF(E131="","",MID(IF(N(Y131)&gt;0,", "&amp;A131&amp;"-"&amp;Y$2,"")&amp;IF(N(Z131)&gt;0,", "&amp;A131&amp;"-"&amp;Z$2,"")&amp;IF(N(AA131)&gt;0,", "&amp;A131&amp;"-"&amp;AA$2,"")&amp;IF(N(AB131)&gt;0,", "&amp;A131&amp;"-"&amp;AB$2,"")&amp;IF(N(AC131)&gt;0,", "&amp;A131&amp;"-"&amp;AC$2,"")&amp;IF(N(AD131)&gt;0,", "&amp;A131&amp;"-"&amp;AD$2,"")&amp;IF(N(AE131)&gt;0,", "&amp;A131&amp;"-"&amp;AE$2,"")&amp;IF(N(AF131)&gt;0,", "&amp;A131&amp;"-"&amp;AF$2,"")&amp;IF(N(AG131)&gt;0,", "&amp;A131&amp;"-"&amp;AG$2,"")&amp;IF(N(AH131)&gt;0,", "&amp;A131&amp;"-"&amp;AH$2,"")&amp;IF(N(AI131)&gt;0,", "&amp;A131&amp;"-"&amp;AI$2,"")&amp;IF(N(AJ131)&gt;0,", "&amp;A131&amp;"-"&amp;AJ$2,""),3,999))</f>
        <v/>
      </c>
      <c r="AN131" s="81"/>
      <c r="AO131" s="88"/>
      <c r="AP131" s="89" t="str">
        <f aca="false">IF(AO131="","",ROUND(AO131/(1+Справочники!$B$13),2))</f>
        <v/>
      </c>
      <c r="AQ131" s="90" t="str">
        <f aca="false" t="array" ref="AQ131:AQ131">IF(AP131="","",AP131*INDEX(Справочники!$B$4:$B$7,MATCH("RUB",Справочники!$A$4:$A$7,0)))</f>
        <v/>
      </c>
      <c r="AR131" s="90" t="str">
        <f aca="false">IF(AQ131="","",ROUND(AQ131*(1+Справочники!$B$12),0))</f>
        <v/>
      </c>
      <c r="AS131" s="90" t="str">
        <f aca="false">IF(AR131="","",ROUND(AR131*(1-Справочники!$B$11),0))</f>
        <v/>
      </c>
      <c r="AT131" s="88"/>
      <c r="AU131" s="90" t="str">
        <f aca="false">IF(AT131="","",ROUND(AT131/(1+Справочники!$B$12),0))</f>
        <v/>
      </c>
      <c r="AV131" s="90" t="str">
        <f aca="false">IF(AT131="","",ROUND(AT131*(1-Справочники!$B$15),0))</f>
        <v/>
      </c>
      <c r="AW131" s="90" t="str">
        <f aca="false">IF(AT131="","",ROUND(AT131*(1-Справочники!$B$16),0))</f>
        <v/>
      </c>
      <c r="AX131" s="90" t="str">
        <f aca="false">IF(AT131="","",ROUND(AT131*(1-Справочники!$B$17),0))</f>
        <v/>
      </c>
      <c r="AY131" s="90" t="str">
        <f aca="false">IF(AT131="","",ROUND(AT131*(1-Справочники!$B$18),0))</f>
        <v/>
      </c>
      <c r="AZ131" s="90" t="str">
        <f aca="false">IF(AT131="","",ROUND(AT131*(1-Справочники!$B$19),0))</f>
        <v/>
      </c>
      <c r="BA131" s="81"/>
      <c r="BB131" s="81"/>
      <c r="BC131" s="81"/>
      <c r="BD131" s="81"/>
      <c r="BE131" s="91"/>
      <c r="BF131" s="81" t="s">
        <v>103</v>
      </c>
      <c r="BG131" s="89" t="n">
        <f aca="false" t="array" ref="BG131:BG131">IF(BF131="","",IFERROR(INDEX(Справочники!$B$4:$B$7,MATCH(BF131,Справочники!$A$4:$A$7,0)),""))</f>
        <v>68.5</v>
      </c>
      <c r="BH131" s="90" t="str">
        <f aca="false">IF(N(BN131)&gt;0,ROUND(SUMIF(ЗАКАЗЫ!$F$3:$F$500,$A131,ЗАКАЗЫ!$Y$3:$Y$500)/BN131,0),IF(OR(BE131="",BG131=""),"",ROUND(BE131*BG131*(1+Справочники!$B$10),0)))</f>
        <v/>
      </c>
      <c r="BI131" s="92" t="str">
        <f aca="false">IF(OR(AU131="",BH131="",AU131=0),"",(AU131-BH131)/AU131)</f>
        <v/>
      </c>
      <c r="BJ131" s="81"/>
      <c r="BK131" s="83"/>
      <c r="BL131" s="43" t="str">
        <f aca="false">IFERROR(INDEX(ЗАКАЗЫ!$N$3:$N$500,MATCH($A131,ЗАКАЗЫ!$F$3:$F$500,0)),"")</f>
        <v/>
      </c>
      <c r="BM131" s="8" t="str">
        <f aca="false">IF(BL131="","",IFERROR(VLOOKUP(BL131,'ТН ВЭД'!$A$4:$C$40,3,0),""))</f>
        <v/>
      </c>
      <c r="BN131" s="7" t="str">
        <f aca="false">IF(COUNTIF(ЗАКАЗЫ!$F$3:$F$500,$A131)=0,"",SUMIF(ЗАКАЗЫ!$F$3:$F$500,$A131,ЗАКАЗЫ!$J$3:$J$500))</f>
        <v/>
      </c>
      <c r="BO131" s="7" t="str">
        <f aca="false">IF(BN131="","",SUMIF(ЗАКАЗЫ!$F$3:$F$500,$A131,ЗАКАЗЫ!$AL$3:$AL$500))</f>
        <v/>
      </c>
      <c r="BP131" s="7" t="str">
        <f aca="false">IF(BN131="","",BN131-BO131)</f>
        <v/>
      </c>
      <c r="BQ131" s="55" t="str">
        <f aca="false">IF(BN131="","",IF(BO131&gt;=BN131,"На складе",IF(BO131&gt;0,"Частично","Ждём")))</f>
        <v/>
      </c>
      <c r="BR131" s="43"/>
      <c r="BS131" s="47" t="str">
        <f aca="false">IF(BN131="","",IF(_xlfn.MAXIFS(ЗАКАЗЫ!$AK$3:$AK$500,ЗАКАЗЫ!$F$3:$F$500,$A131)=0,"",_xlfn.MAXIFS(ЗАКАЗЫ!$AK$3:$AK$500,ЗАКАЗЫ!$F$3:$F$500,$A131)))</f>
        <v/>
      </c>
    </row>
    <row r="132" customFormat="false" ht="15.75" hidden="false" customHeight="true" outlineLevel="0" collapsed="false">
      <c r="A132" s="80" t="s">
        <v>1655</v>
      </c>
      <c r="B132" s="81"/>
      <c r="C132" s="81"/>
      <c r="D132" s="81"/>
      <c r="E132" s="83"/>
      <c r="F132" s="81"/>
      <c r="G132" s="83"/>
      <c r="H132" s="83"/>
      <c r="I132" s="84" t="str">
        <f aca="false">IF(E132="","",A132&amp;"_1.jpg")</f>
        <v/>
      </c>
      <c r="J132" s="84" t="str">
        <f aca="false">IF(E132="","",A132&amp;"_2.jpg; "&amp;A132&amp;"_3.jpg")</f>
        <v/>
      </c>
      <c r="K132" s="84" t="str">
        <f aca="false">IF(E132="","",A132&amp;"_schema.jpg")</f>
        <v/>
      </c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 t="s">
        <v>96</v>
      </c>
      <c r="W132" s="81"/>
      <c r="X132" s="81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6" t="str">
        <f aca="false">IF(SUM(Y132:AJ132)=0,"",SUM(Y132:AJ132))</f>
        <v/>
      </c>
      <c r="AL132" s="84" t="str">
        <f aca="false">MID(IF(N(Y132)&gt;0,", "&amp;Y$2,"")&amp;IF(N(Z132)&gt;0,", "&amp;Z$2,"")&amp;IF(N(AA132)&gt;0,", "&amp;AA$2,"")&amp;IF(N(AB132)&gt;0,", "&amp;AB$2,"")&amp;IF(N(AC132)&gt;0,", "&amp;AC$2,"")&amp;IF(N(AD132)&gt;0,", "&amp;AD$2,"")&amp;IF(N(AE132)&gt;0,", "&amp;AE$2,"")&amp;IF(N(AF132)&gt;0,", "&amp;AF$2,"")&amp;IF(N(AG132)&gt;0,", "&amp;AG$2,"")&amp;IF(N(AH132)&gt;0,", "&amp;AH$2,"")&amp;IF(N(AI132)&gt;0,", "&amp;AI$2,"")&amp;IF(N(AJ132)&gt;0,", "&amp;AJ$2,""),3,999)</f>
        <v/>
      </c>
      <c r="AM132" s="87" t="str">
        <f aca="false">IF(E132="","",MID(IF(N(Y132)&gt;0,", "&amp;A132&amp;"-"&amp;Y$2,"")&amp;IF(N(Z132)&gt;0,", "&amp;A132&amp;"-"&amp;Z$2,"")&amp;IF(N(AA132)&gt;0,", "&amp;A132&amp;"-"&amp;AA$2,"")&amp;IF(N(AB132)&gt;0,", "&amp;A132&amp;"-"&amp;AB$2,"")&amp;IF(N(AC132)&gt;0,", "&amp;A132&amp;"-"&amp;AC$2,"")&amp;IF(N(AD132)&gt;0,", "&amp;A132&amp;"-"&amp;AD$2,"")&amp;IF(N(AE132)&gt;0,", "&amp;A132&amp;"-"&amp;AE$2,"")&amp;IF(N(AF132)&gt;0,", "&amp;A132&amp;"-"&amp;AF$2,"")&amp;IF(N(AG132)&gt;0,", "&amp;A132&amp;"-"&amp;AG$2,"")&amp;IF(N(AH132)&gt;0,", "&amp;A132&amp;"-"&amp;AH$2,"")&amp;IF(N(AI132)&gt;0,", "&amp;A132&amp;"-"&amp;AI$2,"")&amp;IF(N(AJ132)&gt;0,", "&amp;A132&amp;"-"&amp;AJ$2,""),3,999))</f>
        <v/>
      </c>
      <c r="AN132" s="81"/>
      <c r="AO132" s="88"/>
      <c r="AP132" s="89" t="str">
        <f aca="false">IF(AO132="","",ROUND(AO132/(1+Справочники!$B$13),2))</f>
        <v/>
      </c>
      <c r="AQ132" s="90" t="str">
        <f aca="false" t="array" ref="AQ132:AQ132">IF(AP132="","",AP132*INDEX(Справочники!$B$4:$B$7,MATCH("RUB",Справочники!$A$4:$A$7,0)))</f>
        <v/>
      </c>
      <c r="AR132" s="90" t="str">
        <f aca="false">IF(AQ132="","",ROUND(AQ132*(1+Справочники!$B$12),0))</f>
        <v/>
      </c>
      <c r="AS132" s="90" t="str">
        <f aca="false">IF(AR132="","",ROUND(AR132*(1-Справочники!$B$11),0))</f>
        <v/>
      </c>
      <c r="AT132" s="88"/>
      <c r="AU132" s="90" t="str">
        <f aca="false">IF(AT132="","",ROUND(AT132/(1+Справочники!$B$12),0))</f>
        <v/>
      </c>
      <c r="AV132" s="90" t="str">
        <f aca="false">IF(AT132="","",ROUND(AT132*(1-Справочники!$B$15),0))</f>
        <v/>
      </c>
      <c r="AW132" s="90" t="str">
        <f aca="false">IF(AT132="","",ROUND(AT132*(1-Справочники!$B$16),0))</f>
        <v/>
      </c>
      <c r="AX132" s="90" t="str">
        <f aca="false">IF(AT132="","",ROUND(AT132*(1-Справочники!$B$17),0))</f>
        <v/>
      </c>
      <c r="AY132" s="90" t="str">
        <f aca="false">IF(AT132="","",ROUND(AT132*(1-Справочники!$B$18),0))</f>
        <v/>
      </c>
      <c r="AZ132" s="90" t="str">
        <f aca="false">IF(AT132="","",ROUND(AT132*(1-Справочники!$B$19),0))</f>
        <v/>
      </c>
      <c r="BA132" s="81"/>
      <c r="BB132" s="81"/>
      <c r="BC132" s="81"/>
      <c r="BD132" s="81"/>
      <c r="BE132" s="91"/>
      <c r="BF132" s="81" t="s">
        <v>103</v>
      </c>
      <c r="BG132" s="89" t="n">
        <f aca="false" t="array" ref="BG132:BG132">IF(BF132="","",IFERROR(INDEX(Справочники!$B$4:$B$7,MATCH(BF132,Справочники!$A$4:$A$7,0)),""))</f>
        <v>68.5</v>
      </c>
      <c r="BH132" s="90" t="str">
        <f aca="false">IF(N(BN132)&gt;0,ROUND(SUMIF(ЗАКАЗЫ!$F$3:$F$500,$A132,ЗАКАЗЫ!$Y$3:$Y$500)/BN132,0),IF(OR(BE132="",BG132=""),"",ROUND(BE132*BG132*(1+Справочники!$B$10),0)))</f>
        <v/>
      </c>
      <c r="BI132" s="92" t="str">
        <f aca="false">IF(OR(AU132="",BH132="",AU132=0),"",(AU132-BH132)/AU132)</f>
        <v/>
      </c>
      <c r="BJ132" s="81"/>
      <c r="BK132" s="83"/>
      <c r="BL132" s="43" t="str">
        <f aca="false">IFERROR(INDEX(ЗАКАЗЫ!$N$3:$N$500,MATCH($A132,ЗАКАЗЫ!$F$3:$F$500,0)),"")</f>
        <v/>
      </c>
      <c r="BM132" s="8" t="str">
        <f aca="false">IF(BL132="","",IFERROR(VLOOKUP(BL132,'ТН ВЭД'!$A$4:$C$40,3,0),""))</f>
        <v/>
      </c>
      <c r="BN132" s="7" t="str">
        <f aca="false">IF(COUNTIF(ЗАКАЗЫ!$F$3:$F$500,$A132)=0,"",SUMIF(ЗАКАЗЫ!$F$3:$F$500,$A132,ЗАКАЗЫ!$J$3:$J$500))</f>
        <v/>
      </c>
      <c r="BO132" s="7" t="str">
        <f aca="false">IF(BN132="","",SUMIF(ЗАКАЗЫ!$F$3:$F$500,$A132,ЗАКАЗЫ!$AL$3:$AL$500))</f>
        <v/>
      </c>
      <c r="BP132" s="7" t="str">
        <f aca="false">IF(BN132="","",BN132-BO132)</f>
        <v/>
      </c>
      <c r="BQ132" s="55" t="str">
        <f aca="false">IF(BN132="","",IF(BO132&gt;=BN132,"На складе",IF(BO132&gt;0,"Частично","Ждём")))</f>
        <v/>
      </c>
      <c r="BR132" s="43"/>
      <c r="BS132" s="47" t="str">
        <f aca="false">IF(BN132="","",IF(_xlfn.MAXIFS(ЗАКАЗЫ!$AK$3:$AK$500,ЗАКАЗЫ!$F$3:$F$500,$A132)=0,"",_xlfn.MAXIFS(ЗАКАЗЫ!$AK$3:$AK$500,ЗАКАЗЫ!$F$3:$F$500,$A132)))</f>
        <v/>
      </c>
    </row>
    <row r="133" customFormat="false" ht="15.75" hidden="false" customHeight="true" outlineLevel="0" collapsed="false">
      <c r="A133" s="80" t="s">
        <v>1656</v>
      </c>
      <c r="B133" s="81"/>
      <c r="C133" s="81"/>
      <c r="D133" s="81"/>
      <c r="E133" s="83"/>
      <c r="F133" s="81"/>
      <c r="G133" s="83"/>
      <c r="H133" s="83"/>
      <c r="I133" s="84" t="str">
        <f aca="false">IF(E133="","",A133&amp;"_1.jpg")</f>
        <v/>
      </c>
      <c r="J133" s="84" t="str">
        <f aca="false">IF(E133="","",A133&amp;"_2.jpg; "&amp;A133&amp;"_3.jpg")</f>
        <v/>
      </c>
      <c r="K133" s="84" t="str">
        <f aca="false">IF(E133="","",A133&amp;"_schema.jpg")</f>
        <v/>
      </c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 t="s">
        <v>96</v>
      </c>
      <c r="W133" s="81"/>
      <c r="X133" s="81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6" t="str">
        <f aca="false">IF(SUM(Y133:AJ133)=0,"",SUM(Y133:AJ133))</f>
        <v/>
      </c>
      <c r="AL133" s="84" t="str">
        <f aca="false">MID(IF(N(Y133)&gt;0,", "&amp;Y$2,"")&amp;IF(N(Z133)&gt;0,", "&amp;Z$2,"")&amp;IF(N(AA133)&gt;0,", "&amp;AA$2,"")&amp;IF(N(AB133)&gt;0,", "&amp;AB$2,"")&amp;IF(N(AC133)&gt;0,", "&amp;AC$2,"")&amp;IF(N(AD133)&gt;0,", "&amp;AD$2,"")&amp;IF(N(AE133)&gt;0,", "&amp;AE$2,"")&amp;IF(N(AF133)&gt;0,", "&amp;AF$2,"")&amp;IF(N(AG133)&gt;0,", "&amp;AG$2,"")&amp;IF(N(AH133)&gt;0,", "&amp;AH$2,"")&amp;IF(N(AI133)&gt;0,", "&amp;AI$2,"")&amp;IF(N(AJ133)&gt;0,", "&amp;AJ$2,""),3,999)</f>
        <v/>
      </c>
      <c r="AM133" s="87" t="str">
        <f aca="false">IF(E133="","",MID(IF(N(Y133)&gt;0,", "&amp;A133&amp;"-"&amp;Y$2,"")&amp;IF(N(Z133)&gt;0,", "&amp;A133&amp;"-"&amp;Z$2,"")&amp;IF(N(AA133)&gt;0,", "&amp;A133&amp;"-"&amp;AA$2,"")&amp;IF(N(AB133)&gt;0,", "&amp;A133&amp;"-"&amp;AB$2,"")&amp;IF(N(AC133)&gt;0,", "&amp;A133&amp;"-"&amp;AC$2,"")&amp;IF(N(AD133)&gt;0,", "&amp;A133&amp;"-"&amp;AD$2,"")&amp;IF(N(AE133)&gt;0,", "&amp;A133&amp;"-"&amp;AE$2,"")&amp;IF(N(AF133)&gt;0,", "&amp;A133&amp;"-"&amp;AF$2,"")&amp;IF(N(AG133)&gt;0,", "&amp;A133&amp;"-"&amp;AG$2,"")&amp;IF(N(AH133)&gt;0,", "&amp;A133&amp;"-"&amp;AH$2,"")&amp;IF(N(AI133)&gt;0,", "&amp;A133&amp;"-"&amp;AI$2,"")&amp;IF(N(AJ133)&gt;0,", "&amp;A133&amp;"-"&amp;AJ$2,""),3,999))</f>
        <v/>
      </c>
      <c r="AN133" s="81"/>
      <c r="AO133" s="88"/>
      <c r="AP133" s="89" t="str">
        <f aca="false">IF(AO133="","",ROUND(AO133/(1+Справочники!$B$13),2))</f>
        <v/>
      </c>
      <c r="AQ133" s="90" t="str">
        <f aca="false" t="array" ref="AQ133:AQ133">IF(AP133="","",AP133*INDEX(Справочники!$B$4:$B$7,MATCH("RUB",Справочники!$A$4:$A$7,0)))</f>
        <v/>
      </c>
      <c r="AR133" s="90" t="str">
        <f aca="false">IF(AQ133="","",ROUND(AQ133*(1+Справочники!$B$12),0))</f>
        <v/>
      </c>
      <c r="AS133" s="90" t="str">
        <f aca="false">IF(AR133="","",ROUND(AR133*(1-Справочники!$B$11),0))</f>
        <v/>
      </c>
      <c r="AT133" s="88"/>
      <c r="AU133" s="90" t="str">
        <f aca="false">IF(AT133="","",ROUND(AT133/(1+Справочники!$B$12),0))</f>
        <v/>
      </c>
      <c r="AV133" s="90" t="str">
        <f aca="false">IF(AT133="","",ROUND(AT133*(1-Справочники!$B$15),0))</f>
        <v/>
      </c>
      <c r="AW133" s="90" t="str">
        <f aca="false">IF(AT133="","",ROUND(AT133*(1-Справочники!$B$16),0))</f>
        <v/>
      </c>
      <c r="AX133" s="90" t="str">
        <f aca="false">IF(AT133="","",ROUND(AT133*(1-Справочники!$B$17),0))</f>
        <v/>
      </c>
      <c r="AY133" s="90" t="str">
        <f aca="false">IF(AT133="","",ROUND(AT133*(1-Справочники!$B$18),0))</f>
        <v/>
      </c>
      <c r="AZ133" s="90" t="str">
        <f aca="false">IF(AT133="","",ROUND(AT133*(1-Справочники!$B$19),0))</f>
        <v/>
      </c>
      <c r="BA133" s="81"/>
      <c r="BB133" s="81"/>
      <c r="BC133" s="81"/>
      <c r="BD133" s="81"/>
      <c r="BE133" s="91"/>
      <c r="BF133" s="81" t="s">
        <v>103</v>
      </c>
      <c r="BG133" s="89" t="n">
        <f aca="false" t="array" ref="BG133:BG133">IF(BF133="","",IFERROR(INDEX(Справочники!$B$4:$B$7,MATCH(BF133,Справочники!$A$4:$A$7,0)),""))</f>
        <v>68.5</v>
      </c>
      <c r="BH133" s="90" t="str">
        <f aca="false">IF(N(BN133)&gt;0,ROUND(SUMIF(ЗАКАЗЫ!$F$3:$F$500,$A133,ЗАКАЗЫ!$Y$3:$Y$500)/BN133,0),IF(OR(BE133="",BG133=""),"",ROUND(BE133*BG133*(1+Справочники!$B$10),0)))</f>
        <v/>
      </c>
      <c r="BI133" s="92" t="str">
        <f aca="false">IF(OR(AU133="",BH133="",AU133=0),"",(AU133-BH133)/AU133)</f>
        <v/>
      </c>
      <c r="BJ133" s="81"/>
      <c r="BK133" s="83"/>
      <c r="BL133" s="43" t="str">
        <f aca="false">IFERROR(INDEX(ЗАКАЗЫ!$N$3:$N$500,MATCH($A133,ЗАКАЗЫ!$F$3:$F$500,0)),"")</f>
        <v/>
      </c>
      <c r="BM133" s="8" t="str">
        <f aca="false">IF(BL133="","",IFERROR(VLOOKUP(BL133,'ТН ВЭД'!$A$4:$C$40,3,0),""))</f>
        <v/>
      </c>
      <c r="BN133" s="7" t="str">
        <f aca="false">IF(COUNTIF(ЗАКАЗЫ!$F$3:$F$500,$A133)=0,"",SUMIF(ЗАКАЗЫ!$F$3:$F$500,$A133,ЗАКАЗЫ!$J$3:$J$500))</f>
        <v/>
      </c>
      <c r="BO133" s="7" t="str">
        <f aca="false">IF(BN133="","",SUMIF(ЗАКАЗЫ!$F$3:$F$500,$A133,ЗАКАЗЫ!$AL$3:$AL$500))</f>
        <v/>
      </c>
      <c r="BP133" s="7" t="str">
        <f aca="false">IF(BN133="","",BN133-BO133)</f>
        <v/>
      </c>
      <c r="BQ133" s="55" t="str">
        <f aca="false">IF(BN133="","",IF(BO133&gt;=BN133,"На складе",IF(BO133&gt;0,"Частично","Ждём")))</f>
        <v/>
      </c>
      <c r="BR133" s="43"/>
      <c r="BS133" s="47" t="str">
        <f aca="false">IF(BN133="","",IF(_xlfn.MAXIFS(ЗАКАЗЫ!$AK$3:$AK$500,ЗАКАЗЫ!$F$3:$F$500,$A133)=0,"",_xlfn.MAXIFS(ЗАКАЗЫ!$AK$3:$AK$500,ЗАКАЗЫ!$F$3:$F$500,$A133)))</f>
        <v/>
      </c>
    </row>
    <row r="134" customFormat="false" ht="15.75" hidden="false" customHeight="true" outlineLevel="0" collapsed="false">
      <c r="A134" s="80" t="s">
        <v>1657</v>
      </c>
      <c r="B134" s="81"/>
      <c r="C134" s="81"/>
      <c r="D134" s="81"/>
      <c r="E134" s="83"/>
      <c r="F134" s="81"/>
      <c r="G134" s="83"/>
      <c r="H134" s="83"/>
      <c r="I134" s="84" t="str">
        <f aca="false">IF(E134="","",A134&amp;"_1.jpg")</f>
        <v/>
      </c>
      <c r="J134" s="84" t="str">
        <f aca="false">IF(E134="","",A134&amp;"_2.jpg; "&amp;A134&amp;"_3.jpg")</f>
        <v/>
      </c>
      <c r="K134" s="84" t="str">
        <f aca="false">IF(E134="","",A134&amp;"_schema.jpg")</f>
        <v/>
      </c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 t="s">
        <v>96</v>
      </c>
      <c r="W134" s="81"/>
      <c r="X134" s="81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6" t="str">
        <f aca="false">IF(SUM(Y134:AJ134)=0,"",SUM(Y134:AJ134))</f>
        <v/>
      </c>
      <c r="AL134" s="84" t="str">
        <f aca="false">MID(IF(N(Y134)&gt;0,", "&amp;Y$2,"")&amp;IF(N(Z134)&gt;0,", "&amp;Z$2,"")&amp;IF(N(AA134)&gt;0,", "&amp;AA$2,"")&amp;IF(N(AB134)&gt;0,", "&amp;AB$2,"")&amp;IF(N(AC134)&gt;0,", "&amp;AC$2,"")&amp;IF(N(AD134)&gt;0,", "&amp;AD$2,"")&amp;IF(N(AE134)&gt;0,", "&amp;AE$2,"")&amp;IF(N(AF134)&gt;0,", "&amp;AF$2,"")&amp;IF(N(AG134)&gt;0,", "&amp;AG$2,"")&amp;IF(N(AH134)&gt;0,", "&amp;AH$2,"")&amp;IF(N(AI134)&gt;0,", "&amp;AI$2,"")&amp;IF(N(AJ134)&gt;0,", "&amp;AJ$2,""),3,999)</f>
        <v/>
      </c>
      <c r="AM134" s="87" t="str">
        <f aca="false">IF(E134="","",MID(IF(N(Y134)&gt;0,", "&amp;A134&amp;"-"&amp;Y$2,"")&amp;IF(N(Z134)&gt;0,", "&amp;A134&amp;"-"&amp;Z$2,"")&amp;IF(N(AA134)&gt;0,", "&amp;A134&amp;"-"&amp;AA$2,"")&amp;IF(N(AB134)&gt;0,", "&amp;A134&amp;"-"&amp;AB$2,"")&amp;IF(N(AC134)&gt;0,", "&amp;A134&amp;"-"&amp;AC$2,"")&amp;IF(N(AD134)&gt;0,", "&amp;A134&amp;"-"&amp;AD$2,"")&amp;IF(N(AE134)&gt;0,", "&amp;A134&amp;"-"&amp;AE$2,"")&amp;IF(N(AF134)&gt;0,", "&amp;A134&amp;"-"&amp;AF$2,"")&amp;IF(N(AG134)&gt;0,", "&amp;A134&amp;"-"&amp;AG$2,"")&amp;IF(N(AH134)&gt;0,", "&amp;A134&amp;"-"&amp;AH$2,"")&amp;IF(N(AI134)&gt;0,", "&amp;A134&amp;"-"&amp;AI$2,"")&amp;IF(N(AJ134)&gt;0,", "&amp;A134&amp;"-"&amp;AJ$2,""),3,999))</f>
        <v/>
      </c>
      <c r="AN134" s="81"/>
      <c r="AO134" s="88"/>
      <c r="AP134" s="89" t="str">
        <f aca="false">IF(AO134="","",ROUND(AO134/(1+Справочники!$B$13),2))</f>
        <v/>
      </c>
      <c r="AQ134" s="90" t="str">
        <f aca="false" t="array" ref="AQ134:AQ134">IF(AP134="","",AP134*INDEX(Справочники!$B$4:$B$7,MATCH("RUB",Справочники!$A$4:$A$7,0)))</f>
        <v/>
      </c>
      <c r="AR134" s="90" t="str">
        <f aca="false">IF(AQ134="","",ROUND(AQ134*(1+Справочники!$B$12),0))</f>
        <v/>
      </c>
      <c r="AS134" s="90" t="str">
        <f aca="false">IF(AR134="","",ROUND(AR134*(1-Справочники!$B$11),0))</f>
        <v/>
      </c>
      <c r="AT134" s="88"/>
      <c r="AU134" s="90" t="str">
        <f aca="false">IF(AT134="","",ROUND(AT134/(1+Справочники!$B$12),0))</f>
        <v/>
      </c>
      <c r="AV134" s="90" t="str">
        <f aca="false">IF(AT134="","",ROUND(AT134*(1-Справочники!$B$15),0))</f>
        <v/>
      </c>
      <c r="AW134" s="90" t="str">
        <f aca="false">IF(AT134="","",ROUND(AT134*(1-Справочники!$B$16),0))</f>
        <v/>
      </c>
      <c r="AX134" s="90" t="str">
        <f aca="false">IF(AT134="","",ROUND(AT134*(1-Справочники!$B$17),0))</f>
        <v/>
      </c>
      <c r="AY134" s="90" t="str">
        <f aca="false">IF(AT134="","",ROUND(AT134*(1-Справочники!$B$18),0))</f>
        <v/>
      </c>
      <c r="AZ134" s="90" t="str">
        <f aca="false">IF(AT134="","",ROUND(AT134*(1-Справочники!$B$19),0))</f>
        <v/>
      </c>
      <c r="BA134" s="81"/>
      <c r="BB134" s="81"/>
      <c r="BC134" s="81"/>
      <c r="BD134" s="81"/>
      <c r="BE134" s="91"/>
      <c r="BF134" s="81" t="s">
        <v>103</v>
      </c>
      <c r="BG134" s="89" t="n">
        <f aca="false" t="array" ref="BG134:BG134">IF(BF134="","",IFERROR(INDEX(Справочники!$B$4:$B$7,MATCH(BF134,Справочники!$A$4:$A$7,0)),""))</f>
        <v>68.5</v>
      </c>
      <c r="BH134" s="90" t="str">
        <f aca="false">IF(N(BN134)&gt;0,ROUND(SUMIF(ЗАКАЗЫ!$F$3:$F$500,$A134,ЗАКАЗЫ!$Y$3:$Y$500)/BN134,0),IF(OR(BE134="",BG134=""),"",ROUND(BE134*BG134*(1+Справочники!$B$10),0)))</f>
        <v/>
      </c>
      <c r="BI134" s="92" t="str">
        <f aca="false">IF(OR(AU134="",BH134="",AU134=0),"",(AU134-BH134)/AU134)</f>
        <v/>
      </c>
      <c r="BJ134" s="81"/>
      <c r="BK134" s="83"/>
      <c r="BL134" s="43" t="str">
        <f aca="false">IFERROR(INDEX(ЗАКАЗЫ!$N$3:$N$500,MATCH($A134,ЗАКАЗЫ!$F$3:$F$500,0)),"")</f>
        <v/>
      </c>
      <c r="BM134" s="8" t="str">
        <f aca="false">IF(BL134="","",IFERROR(VLOOKUP(BL134,'ТН ВЭД'!$A$4:$C$40,3,0),""))</f>
        <v/>
      </c>
      <c r="BN134" s="7" t="str">
        <f aca="false">IF(COUNTIF(ЗАКАЗЫ!$F$3:$F$500,$A134)=0,"",SUMIF(ЗАКАЗЫ!$F$3:$F$500,$A134,ЗАКАЗЫ!$J$3:$J$500))</f>
        <v/>
      </c>
      <c r="BO134" s="7" t="str">
        <f aca="false">IF(BN134="","",SUMIF(ЗАКАЗЫ!$F$3:$F$500,$A134,ЗАКАЗЫ!$AL$3:$AL$500))</f>
        <v/>
      </c>
      <c r="BP134" s="7" t="str">
        <f aca="false">IF(BN134="","",BN134-BO134)</f>
        <v/>
      </c>
      <c r="BQ134" s="55" t="str">
        <f aca="false">IF(BN134="","",IF(BO134&gt;=BN134,"На складе",IF(BO134&gt;0,"Частично","Ждём")))</f>
        <v/>
      </c>
      <c r="BR134" s="43"/>
      <c r="BS134" s="47" t="str">
        <f aca="false">IF(BN134="","",IF(_xlfn.MAXIFS(ЗАКАЗЫ!$AK$3:$AK$500,ЗАКАЗЫ!$F$3:$F$500,$A134)=0,"",_xlfn.MAXIFS(ЗАКАЗЫ!$AK$3:$AK$500,ЗАКАЗЫ!$F$3:$F$500,$A134)))</f>
        <v/>
      </c>
    </row>
    <row r="135" customFormat="false" ht="15.75" hidden="false" customHeight="true" outlineLevel="0" collapsed="false">
      <c r="A135" s="80" t="s">
        <v>1658</v>
      </c>
      <c r="B135" s="81"/>
      <c r="C135" s="81"/>
      <c r="D135" s="81"/>
      <c r="E135" s="83"/>
      <c r="F135" s="81"/>
      <c r="G135" s="83"/>
      <c r="H135" s="83"/>
      <c r="I135" s="84" t="str">
        <f aca="false">IF(E135="","",A135&amp;"_1.jpg")</f>
        <v/>
      </c>
      <c r="J135" s="84" t="str">
        <f aca="false">IF(E135="","",A135&amp;"_2.jpg; "&amp;A135&amp;"_3.jpg")</f>
        <v/>
      </c>
      <c r="K135" s="84" t="str">
        <f aca="false">IF(E135="","",A135&amp;"_schema.jpg")</f>
        <v/>
      </c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 t="s">
        <v>96</v>
      </c>
      <c r="W135" s="81"/>
      <c r="X135" s="81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6" t="str">
        <f aca="false">IF(SUM(Y135:AJ135)=0,"",SUM(Y135:AJ135))</f>
        <v/>
      </c>
      <c r="AL135" s="84" t="str">
        <f aca="false">MID(IF(N(Y135)&gt;0,", "&amp;Y$2,"")&amp;IF(N(Z135)&gt;0,", "&amp;Z$2,"")&amp;IF(N(AA135)&gt;0,", "&amp;AA$2,"")&amp;IF(N(AB135)&gt;0,", "&amp;AB$2,"")&amp;IF(N(AC135)&gt;0,", "&amp;AC$2,"")&amp;IF(N(AD135)&gt;0,", "&amp;AD$2,"")&amp;IF(N(AE135)&gt;0,", "&amp;AE$2,"")&amp;IF(N(AF135)&gt;0,", "&amp;AF$2,"")&amp;IF(N(AG135)&gt;0,", "&amp;AG$2,"")&amp;IF(N(AH135)&gt;0,", "&amp;AH$2,"")&amp;IF(N(AI135)&gt;0,", "&amp;AI$2,"")&amp;IF(N(AJ135)&gt;0,", "&amp;AJ$2,""),3,999)</f>
        <v/>
      </c>
      <c r="AM135" s="87" t="str">
        <f aca="false">IF(E135="","",MID(IF(N(Y135)&gt;0,", "&amp;A135&amp;"-"&amp;Y$2,"")&amp;IF(N(Z135)&gt;0,", "&amp;A135&amp;"-"&amp;Z$2,"")&amp;IF(N(AA135)&gt;0,", "&amp;A135&amp;"-"&amp;AA$2,"")&amp;IF(N(AB135)&gt;0,", "&amp;A135&amp;"-"&amp;AB$2,"")&amp;IF(N(AC135)&gt;0,", "&amp;A135&amp;"-"&amp;AC$2,"")&amp;IF(N(AD135)&gt;0,", "&amp;A135&amp;"-"&amp;AD$2,"")&amp;IF(N(AE135)&gt;0,", "&amp;A135&amp;"-"&amp;AE$2,"")&amp;IF(N(AF135)&gt;0,", "&amp;A135&amp;"-"&amp;AF$2,"")&amp;IF(N(AG135)&gt;0,", "&amp;A135&amp;"-"&amp;AG$2,"")&amp;IF(N(AH135)&gt;0,", "&amp;A135&amp;"-"&amp;AH$2,"")&amp;IF(N(AI135)&gt;0,", "&amp;A135&amp;"-"&amp;AI$2,"")&amp;IF(N(AJ135)&gt;0,", "&amp;A135&amp;"-"&amp;AJ$2,""),3,999))</f>
        <v/>
      </c>
      <c r="AN135" s="81"/>
      <c r="AO135" s="88"/>
      <c r="AP135" s="89" t="str">
        <f aca="false">IF(AO135="","",ROUND(AO135/(1+Справочники!$B$13),2))</f>
        <v/>
      </c>
      <c r="AQ135" s="90" t="str">
        <f aca="false" t="array" ref="AQ135:AQ135">IF(AP135="","",AP135*INDEX(Справочники!$B$4:$B$7,MATCH("RUB",Справочники!$A$4:$A$7,0)))</f>
        <v/>
      </c>
      <c r="AR135" s="90" t="str">
        <f aca="false">IF(AQ135="","",ROUND(AQ135*(1+Справочники!$B$12),0))</f>
        <v/>
      </c>
      <c r="AS135" s="90" t="str">
        <f aca="false">IF(AR135="","",ROUND(AR135*(1-Справочники!$B$11),0))</f>
        <v/>
      </c>
      <c r="AT135" s="88"/>
      <c r="AU135" s="90" t="str">
        <f aca="false">IF(AT135="","",ROUND(AT135/(1+Справочники!$B$12),0))</f>
        <v/>
      </c>
      <c r="AV135" s="90" t="str">
        <f aca="false">IF(AT135="","",ROUND(AT135*(1-Справочники!$B$15),0))</f>
        <v/>
      </c>
      <c r="AW135" s="90" t="str">
        <f aca="false">IF(AT135="","",ROUND(AT135*(1-Справочники!$B$16),0))</f>
        <v/>
      </c>
      <c r="AX135" s="90" t="str">
        <f aca="false">IF(AT135="","",ROUND(AT135*(1-Справочники!$B$17),0))</f>
        <v/>
      </c>
      <c r="AY135" s="90" t="str">
        <f aca="false">IF(AT135="","",ROUND(AT135*(1-Справочники!$B$18),0))</f>
        <v/>
      </c>
      <c r="AZ135" s="90" t="str">
        <f aca="false">IF(AT135="","",ROUND(AT135*(1-Справочники!$B$19),0))</f>
        <v/>
      </c>
      <c r="BA135" s="81"/>
      <c r="BB135" s="81"/>
      <c r="BC135" s="81"/>
      <c r="BD135" s="81"/>
      <c r="BE135" s="91"/>
      <c r="BF135" s="81" t="s">
        <v>103</v>
      </c>
      <c r="BG135" s="89" t="n">
        <f aca="false" t="array" ref="BG135:BG135">IF(BF135="","",IFERROR(INDEX(Справочники!$B$4:$B$7,MATCH(BF135,Справочники!$A$4:$A$7,0)),""))</f>
        <v>68.5</v>
      </c>
      <c r="BH135" s="90" t="str">
        <f aca="false">IF(N(BN135)&gt;0,ROUND(SUMIF(ЗАКАЗЫ!$F$3:$F$500,$A135,ЗАКАЗЫ!$Y$3:$Y$500)/BN135,0),IF(OR(BE135="",BG135=""),"",ROUND(BE135*BG135*(1+Справочники!$B$10),0)))</f>
        <v/>
      </c>
      <c r="BI135" s="92" t="str">
        <f aca="false">IF(OR(AU135="",BH135="",AU135=0),"",(AU135-BH135)/AU135)</f>
        <v/>
      </c>
      <c r="BJ135" s="81"/>
      <c r="BK135" s="83"/>
      <c r="BL135" s="43" t="str">
        <f aca="false">IFERROR(INDEX(ЗАКАЗЫ!$N$3:$N$500,MATCH($A135,ЗАКАЗЫ!$F$3:$F$500,0)),"")</f>
        <v/>
      </c>
      <c r="BM135" s="8" t="str">
        <f aca="false">IF(BL135="","",IFERROR(VLOOKUP(BL135,'ТН ВЭД'!$A$4:$C$40,3,0),""))</f>
        <v/>
      </c>
      <c r="BN135" s="7" t="str">
        <f aca="false">IF(COUNTIF(ЗАКАЗЫ!$F$3:$F$500,$A135)=0,"",SUMIF(ЗАКАЗЫ!$F$3:$F$500,$A135,ЗАКАЗЫ!$J$3:$J$500))</f>
        <v/>
      </c>
      <c r="BO135" s="7" t="str">
        <f aca="false">IF(BN135="","",SUMIF(ЗАКАЗЫ!$F$3:$F$500,$A135,ЗАКАЗЫ!$AL$3:$AL$500))</f>
        <v/>
      </c>
      <c r="BP135" s="7" t="str">
        <f aca="false">IF(BN135="","",BN135-BO135)</f>
        <v/>
      </c>
      <c r="BQ135" s="55" t="str">
        <f aca="false">IF(BN135="","",IF(BO135&gt;=BN135,"На складе",IF(BO135&gt;0,"Частично","Ждём")))</f>
        <v/>
      </c>
      <c r="BR135" s="43"/>
      <c r="BS135" s="47" t="str">
        <f aca="false">IF(BN135="","",IF(_xlfn.MAXIFS(ЗАКАЗЫ!$AK$3:$AK$500,ЗАКАЗЫ!$F$3:$F$500,$A135)=0,"",_xlfn.MAXIFS(ЗАКАЗЫ!$AK$3:$AK$500,ЗАКАЗЫ!$F$3:$F$500,$A135)))</f>
        <v/>
      </c>
    </row>
    <row r="136" customFormat="false" ht="15.75" hidden="false" customHeight="true" outlineLevel="0" collapsed="false">
      <c r="A136" s="80" t="s">
        <v>1659</v>
      </c>
      <c r="B136" s="81"/>
      <c r="C136" s="81"/>
      <c r="D136" s="81"/>
      <c r="E136" s="83"/>
      <c r="F136" s="81"/>
      <c r="G136" s="83"/>
      <c r="H136" s="83"/>
      <c r="I136" s="84" t="str">
        <f aca="false">IF(E136="","",A136&amp;"_1.jpg")</f>
        <v/>
      </c>
      <c r="J136" s="84" t="str">
        <f aca="false">IF(E136="","",A136&amp;"_2.jpg; "&amp;A136&amp;"_3.jpg")</f>
        <v/>
      </c>
      <c r="K136" s="84" t="str">
        <f aca="false">IF(E136="","",A136&amp;"_schema.jpg")</f>
        <v/>
      </c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 t="s">
        <v>96</v>
      </c>
      <c r="W136" s="81"/>
      <c r="X136" s="81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6" t="str">
        <f aca="false">IF(SUM(Y136:AJ136)=0,"",SUM(Y136:AJ136))</f>
        <v/>
      </c>
      <c r="AL136" s="84" t="str">
        <f aca="false">MID(IF(N(Y136)&gt;0,", "&amp;Y$2,"")&amp;IF(N(Z136)&gt;0,", "&amp;Z$2,"")&amp;IF(N(AA136)&gt;0,", "&amp;AA$2,"")&amp;IF(N(AB136)&gt;0,", "&amp;AB$2,"")&amp;IF(N(AC136)&gt;0,", "&amp;AC$2,"")&amp;IF(N(AD136)&gt;0,", "&amp;AD$2,"")&amp;IF(N(AE136)&gt;0,", "&amp;AE$2,"")&amp;IF(N(AF136)&gt;0,", "&amp;AF$2,"")&amp;IF(N(AG136)&gt;0,", "&amp;AG$2,"")&amp;IF(N(AH136)&gt;0,", "&amp;AH$2,"")&amp;IF(N(AI136)&gt;0,", "&amp;AI$2,"")&amp;IF(N(AJ136)&gt;0,", "&amp;AJ$2,""),3,999)</f>
        <v/>
      </c>
      <c r="AM136" s="87" t="str">
        <f aca="false">IF(E136="","",MID(IF(N(Y136)&gt;0,", "&amp;A136&amp;"-"&amp;Y$2,"")&amp;IF(N(Z136)&gt;0,", "&amp;A136&amp;"-"&amp;Z$2,"")&amp;IF(N(AA136)&gt;0,", "&amp;A136&amp;"-"&amp;AA$2,"")&amp;IF(N(AB136)&gt;0,", "&amp;A136&amp;"-"&amp;AB$2,"")&amp;IF(N(AC136)&gt;0,", "&amp;A136&amp;"-"&amp;AC$2,"")&amp;IF(N(AD136)&gt;0,", "&amp;A136&amp;"-"&amp;AD$2,"")&amp;IF(N(AE136)&gt;0,", "&amp;A136&amp;"-"&amp;AE$2,"")&amp;IF(N(AF136)&gt;0,", "&amp;A136&amp;"-"&amp;AF$2,"")&amp;IF(N(AG136)&gt;0,", "&amp;A136&amp;"-"&amp;AG$2,"")&amp;IF(N(AH136)&gt;0,", "&amp;A136&amp;"-"&amp;AH$2,"")&amp;IF(N(AI136)&gt;0,", "&amp;A136&amp;"-"&amp;AI$2,"")&amp;IF(N(AJ136)&gt;0,", "&amp;A136&amp;"-"&amp;AJ$2,""),3,999))</f>
        <v/>
      </c>
      <c r="AN136" s="81"/>
      <c r="AO136" s="88"/>
      <c r="AP136" s="89" t="str">
        <f aca="false">IF(AO136="","",ROUND(AO136/(1+Справочники!$B$13),2))</f>
        <v/>
      </c>
      <c r="AQ136" s="90" t="str">
        <f aca="false" t="array" ref="AQ136:AQ136">IF(AP136="","",AP136*INDEX(Справочники!$B$4:$B$7,MATCH("RUB",Справочники!$A$4:$A$7,0)))</f>
        <v/>
      </c>
      <c r="AR136" s="90" t="str">
        <f aca="false">IF(AQ136="","",ROUND(AQ136*(1+Справочники!$B$12),0))</f>
        <v/>
      </c>
      <c r="AS136" s="90" t="str">
        <f aca="false">IF(AR136="","",ROUND(AR136*(1-Справочники!$B$11),0))</f>
        <v/>
      </c>
      <c r="AT136" s="88"/>
      <c r="AU136" s="90" t="str">
        <f aca="false">IF(AT136="","",ROUND(AT136/(1+Справочники!$B$12),0))</f>
        <v/>
      </c>
      <c r="AV136" s="90" t="str">
        <f aca="false">IF(AT136="","",ROUND(AT136*(1-Справочники!$B$15),0))</f>
        <v/>
      </c>
      <c r="AW136" s="90" t="str">
        <f aca="false">IF(AT136="","",ROUND(AT136*(1-Справочники!$B$16),0))</f>
        <v/>
      </c>
      <c r="AX136" s="90" t="str">
        <f aca="false">IF(AT136="","",ROUND(AT136*(1-Справочники!$B$17),0))</f>
        <v/>
      </c>
      <c r="AY136" s="90" t="str">
        <f aca="false">IF(AT136="","",ROUND(AT136*(1-Справочники!$B$18),0))</f>
        <v/>
      </c>
      <c r="AZ136" s="90" t="str">
        <f aca="false">IF(AT136="","",ROUND(AT136*(1-Справочники!$B$19),0))</f>
        <v/>
      </c>
      <c r="BA136" s="81"/>
      <c r="BB136" s="81"/>
      <c r="BC136" s="81"/>
      <c r="BD136" s="81"/>
      <c r="BE136" s="91"/>
      <c r="BF136" s="81" t="s">
        <v>103</v>
      </c>
      <c r="BG136" s="89" t="n">
        <f aca="false" t="array" ref="BG136:BG136">IF(BF136="","",IFERROR(INDEX(Справочники!$B$4:$B$7,MATCH(BF136,Справочники!$A$4:$A$7,0)),""))</f>
        <v>68.5</v>
      </c>
      <c r="BH136" s="90" t="str">
        <f aca="false">IF(N(BN136)&gt;0,ROUND(SUMIF(ЗАКАЗЫ!$F$3:$F$500,$A136,ЗАКАЗЫ!$Y$3:$Y$500)/BN136,0),IF(OR(BE136="",BG136=""),"",ROUND(BE136*BG136*(1+Справочники!$B$10),0)))</f>
        <v/>
      </c>
      <c r="BI136" s="92" t="str">
        <f aca="false">IF(OR(AU136="",BH136="",AU136=0),"",(AU136-BH136)/AU136)</f>
        <v/>
      </c>
      <c r="BJ136" s="81"/>
      <c r="BK136" s="83"/>
      <c r="BL136" s="43" t="str">
        <f aca="false">IFERROR(INDEX(ЗАКАЗЫ!$N$3:$N$500,MATCH($A136,ЗАКАЗЫ!$F$3:$F$500,0)),"")</f>
        <v/>
      </c>
      <c r="BM136" s="8" t="str">
        <f aca="false">IF(BL136="","",IFERROR(VLOOKUP(BL136,'ТН ВЭД'!$A$4:$C$40,3,0),""))</f>
        <v/>
      </c>
      <c r="BN136" s="7" t="str">
        <f aca="false">IF(COUNTIF(ЗАКАЗЫ!$F$3:$F$500,$A136)=0,"",SUMIF(ЗАКАЗЫ!$F$3:$F$500,$A136,ЗАКАЗЫ!$J$3:$J$500))</f>
        <v/>
      </c>
      <c r="BO136" s="7" t="str">
        <f aca="false">IF(BN136="","",SUMIF(ЗАКАЗЫ!$F$3:$F$500,$A136,ЗАКАЗЫ!$AL$3:$AL$500))</f>
        <v/>
      </c>
      <c r="BP136" s="7" t="str">
        <f aca="false">IF(BN136="","",BN136-BO136)</f>
        <v/>
      </c>
      <c r="BQ136" s="55" t="str">
        <f aca="false">IF(BN136="","",IF(BO136&gt;=BN136,"На складе",IF(BO136&gt;0,"Частично","Ждём")))</f>
        <v/>
      </c>
      <c r="BR136" s="43"/>
      <c r="BS136" s="47" t="str">
        <f aca="false">IF(BN136="","",IF(_xlfn.MAXIFS(ЗАКАЗЫ!$AK$3:$AK$500,ЗАКАЗЫ!$F$3:$F$500,$A136)=0,"",_xlfn.MAXIFS(ЗАКАЗЫ!$AK$3:$AK$500,ЗАКАЗЫ!$F$3:$F$500,$A136)))</f>
        <v/>
      </c>
    </row>
    <row r="137" customFormat="false" ht="15.75" hidden="false" customHeight="true" outlineLevel="0" collapsed="false">
      <c r="A137" s="80" t="s">
        <v>1660</v>
      </c>
      <c r="B137" s="81"/>
      <c r="C137" s="81"/>
      <c r="D137" s="81"/>
      <c r="E137" s="83"/>
      <c r="F137" s="81"/>
      <c r="G137" s="83"/>
      <c r="H137" s="83"/>
      <c r="I137" s="84" t="str">
        <f aca="false">IF(E137="","",A137&amp;"_1.jpg")</f>
        <v/>
      </c>
      <c r="J137" s="84" t="str">
        <f aca="false">IF(E137="","",A137&amp;"_2.jpg; "&amp;A137&amp;"_3.jpg")</f>
        <v/>
      </c>
      <c r="K137" s="84" t="str">
        <f aca="false">IF(E137="","",A137&amp;"_schema.jpg")</f>
        <v/>
      </c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 t="s">
        <v>96</v>
      </c>
      <c r="W137" s="81"/>
      <c r="X137" s="81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6" t="str">
        <f aca="false">IF(SUM(Y137:AJ137)=0,"",SUM(Y137:AJ137))</f>
        <v/>
      </c>
      <c r="AL137" s="84" t="str">
        <f aca="false">MID(IF(N(Y137)&gt;0,", "&amp;Y$2,"")&amp;IF(N(Z137)&gt;0,", "&amp;Z$2,"")&amp;IF(N(AA137)&gt;0,", "&amp;AA$2,"")&amp;IF(N(AB137)&gt;0,", "&amp;AB$2,"")&amp;IF(N(AC137)&gt;0,", "&amp;AC$2,"")&amp;IF(N(AD137)&gt;0,", "&amp;AD$2,"")&amp;IF(N(AE137)&gt;0,", "&amp;AE$2,"")&amp;IF(N(AF137)&gt;0,", "&amp;AF$2,"")&amp;IF(N(AG137)&gt;0,", "&amp;AG$2,"")&amp;IF(N(AH137)&gt;0,", "&amp;AH$2,"")&amp;IF(N(AI137)&gt;0,", "&amp;AI$2,"")&amp;IF(N(AJ137)&gt;0,", "&amp;AJ$2,""),3,999)</f>
        <v/>
      </c>
      <c r="AM137" s="87" t="str">
        <f aca="false">IF(E137="","",MID(IF(N(Y137)&gt;0,", "&amp;A137&amp;"-"&amp;Y$2,"")&amp;IF(N(Z137)&gt;0,", "&amp;A137&amp;"-"&amp;Z$2,"")&amp;IF(N(AA137)&gt;0,", "&amp;A137&amp;"-"&amp;AA$2,"")&amp;IF(N(AB137)&gt;0,", "&amp;A137&amp;"-"&amp;AB$2,"")&amp;IF(N(AC137)&gt;0,", "&amp;A137&amp;"-"&amp;AC$2,"")&amp;IF(N(AD137)&gt;0,", "&amp;A137&amp;"-"&amp;AD$2,"")&amp;IF(N(AE137)&gt;0,", "&amp;A137&amp;"-"&amp;AE$2,"")&amp;IF(N(AF137)&gt;0,", "&amp;A137&amp;"-"&amp;AF$2,"")&amp;IF(N(AG137)&gt;0,", "&amp;A137&amp;"-"&amp;AG$2,"")&amp;IF(N(AH137)&gt;0,", "&amp;A137&amp;"-"&amp;AH$2,"")&amp;IF(N(AI137)&gt;0,", "&amp;A137&amp;"-"&amp;AI$2,"")&amp;IF(N(AJ137)&gt;0,", "&amp;A137&amp;"-"&amp;AJ$2,""),3,999))</f>
        <v/>
      </c>
      <c r="AN137" s="81"/>
      <c r="AO137" s="88"/>
      <c r="AP137" s="89" t="str">
        <f aca="false">IF(AO137="","",ROUND(AO137/(1+Справочники!$B$13),2))</f>
        <v/>
      </c>
      <c r="AQ137" s="90" t="str">
        <f aca="false" t="array" ref="AQ137:AQ137">IF(AP137="","",AP137*INDEX(Справочники!$B$4:$B$7,MATCH("RUB",Справочники!$A$4:$A$7,0)))</f>
        <v/>
      </c>
      <c r="AR137" s="90" t="str">
        <f aca="false">IF(AQ137="","",ROUND(AQ137*(1+Справочники!$B$12),0))</f>
        <v/>
      </c>
      <c r="AS137" s="90" t="str">
        <f aca="false">IF(AR137="","",ROUND(AR137*(1-Справочники!$B$11),0))</f>
        <v/>
      </c>
      <c r="AT137" s="88"/>
      <c r="AU137" s="90" t="str">
        <f aca="false">IF(AT137="","",ROUND(AT137/(1+Справочники!$B$12),0))</f>
        <v/>
      </c>
      <c r="AV137" s="90" t="str">
        <f aca="false">IF(AT137="","",ROUND(AT137*(1-Справочники!$B$15),0))</f>
        <v/>
      </c>
      <c r="AW137" s="90" t="str">
        <f aca="false">IF(AT137="","",ROUND(AT137*(1-Справочники!$B$16),0))</f>
        <v/>
      </c>
      <c r="AX137" s="90" t="str">
        <f aca="false">IF(AT137="","",ROUND(AT137*(1-Справочники!$B$17),0))</f>
        <v/>
      </c>
      <c r="AY137" s="90" t="str">
        <f aca="false">IF(AT137="","",ROUND(AT137*(1-Справочники!$B$18),0))</f>
        <v/>
      </c>
      <c r="AZ137" s="90" t="str">
        <f aca="false">IF(AT137="","",ROUND(AT137*(1-Справочники!$B$19),0))</f>
        <v/>
      </c>
      <c r="BA137" s="81"/>
      <c r="BB137" s="81"/>
      <c r="BC137" s="81"/>
      <c r="BD137" s="81"/>
      <c r="BE137" s="91"/>
      <c r="BF137" s="81" t="s">
        <v>103</v>
      </c>
      <c r="BG137" s="89" t="n">
        <f aca="false" t="array" ref="BG137:BG137">IF(BF137="","",IFERROR(INDEX(Справочники!$B$4:$B$7,MATCH(BF137,Справочники!$A$4:$A$7,0)),""))</f>
        <v>68.5</v>
      </c>
      <c r="BH137" s="90" t="str">
        <f aca="false">IF(N(BN137)&gt;0,ROUND(SUMIF(ЗАКАЗЫ!$F$3:$F$500,$A137,ЗАКАЗЫ!$Y$3:$Y$500)/BN137,0),IF(OR(BE137="",BG137=""),"",ROUND(BE137*BG137*(1+Справочники!$B$10),0)))</f>
        <v/>
      </c>
      <c r="BI137" s="92" t="str">
        <f aca="false">IF(OR(AU137="",BH137="",AU137=0),"",(AU137-BH137)/AU137)</f>
        <v/>
      </c>
      <c r="BJ137" s="81"/>
      <c r="BK137" s="83"/>
      <c r="BL137" s="43" t="str">
        <f aca="false">IFERROR(INDEX(ЗАКАЗЫ!$N$3:$N$500,MATCH($A137,ЗАКАЗЫ!$F$3:$F$500,0)),"")</f>
        <v/>
      </c>
      <c r="BM137" s="8" t="str">
        <f aca="false">IF(BL137="","",IFERROR(VLOOKUP(BL137,'ТН ВЭД'!$A$4:$C$40,3,0),""))</f>
        <v/>
      </c>
      <c r="BN137" s="7" t="str">
        <f aca="false">IF(COUNTIF(ЗАКАЗЫ!$F$3:$F$500,$A137)=0,"",SUMIF(ЗАКАЗЫ!$F$3:$F$500,$A137,ЗАКАЗЫ!$J$3:$J$500))</f>
        <v/>
      </c>
      <c r="BO137" s="7" t="str">
        <f aca="false">IF(BN137="","",SUMIF(ЗАКАЗЫ!$F$3:$F$500,$A137,ЗАКАЗЫ!$AL$3:$AL$500))</f>
        <v/>
      </c>
      <c r="BP137" s="7" t="str">
        <f aca="false">IF(BN137="","",BN137-BO137)</f>
        <v/>
      </c>
      <c r="BQ137" s="55" t="str">
        <f aca="false">IF(BN137="","",IF(BO137&gt;=BN137,"На складе",IF(BO137&gt;0,"Частично","Ждём")))</f>
        <v/>
      </c>
      <c r="BR137" s="43"/>
      <c r="BS137" s="47" t="str">
        <f aca="false">IF(BN137="","",IF(_xlfn.MAXIFS(ЗАКАЗЫ!$AK$3:$AK$500,ЗАКАЗЫ!$F$3:$F$500,$A137)=0,"",_xlfn.MAXIFS(ЗАКАЗЫ!$AK$3:$AK$500,ЗАКАЗЫ!$F$3:$F$500,$A137)))</f>
        <v/>
      </c>
    </row>
    <row r="138" customFormat="false" ht="15.75" hidden="false" customHeight="true" outlineLevel="0" collapsed="false">
      <c r="A138" s="80" t="s">
        <v>1661</v>
      </c>
      <c r="B138" s="81"/>
      <c r="C138" s="81"/>
      <c r="D138" s="81"/>
      <c r="E138" s="83"/>
      <c r="F138" s="81"/>
      <c r="G138" s="83"/>
      <c r="H138" s="83"/>
      <c r="I138" s="84" t="str">
        <f aca="false">IF(E138="","",A138&amp;"_1.jpg")</f>
        <v/>
      </c>
      <c r="J138" s="84" t="str">
        <f aca="false">IF(E138="","",A138&amp;"_2.jpg; "&amp;A138&amp;"_3.jpg")</f>
        <v/>
      </c>
      <c r="K138" s="84" t="str">
        <f aca="false">IF(E138="","",A138&amp;"_schema.jpg")</f>
        <v/>
      </c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 t="s">
        <v>96</v>
      </c>
      <c r="W138" s="81"/>
      <c r="X138" s="81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6" t="str">
        <f aca="false">IF(SUM(Y138:AJ138)=0,"",SUM(Y138:AJ138))</f>
        <v/>
      </c>
      <c r="AL138" s="84" t="str">
        <f aca="false">MID(IF(N(Y138)&gt;0,", "&amp;Y$2,"")&amp;IF(N(Z138)&gt;0,", "&amp;Z$2,"")&amp;IF(N(AA138)&gt;0,", "&amp;AA$2,"")&amp;IF(N(AB138)&gt;0,", "&amp;AB$2,"")&amp;IF(N(AC138)&gt;0,", "&amp;AC$2,"")&amp;IF(N(AD138)&gt;0,", "&amp;AD$2,"")&amp;IF(N(AE138)&gt;0,", "&amp;AE$2,"")&amp;IF(N(AF138)&gt;0,", "&amp;AF$2,"")&amp;IF(N(AG138)&gt;0,", "&amp;AG$2,"")&amp;IF(N(AH138)&gt;0,", "&amp;AH$2,"")&amp;IF(N(AI138)&gt;0,", "&amp;AI$2,"")&amp;IF(N(AJ138)&gt;0,", "&amp;AJ$2,""),3,999)</f>
        <v/>
      </c>
      <c r="AM138" s="87" t="str">
        <f aca="false">IF(E138="","",MID(IF(N(Y138)&gt;0,", "&amp;A138&amp;"-"&amp;Y$2,"")&amp;IF(N(Z138)&gt;0,", "&amp;A138&amp;"-"&amp;Z$2,"")&amp;IF(N(AA138)&gt;0,", "&amp;A138&amp;"-"&amp;AA$2,"")&amp;IF(N(AB138)&gt;0,", "&amp;A138&amp;"-"&amp;AB$2,"")&amp;IF(N(AC138)&gt;0,", "&amp;A138&amp;"-"&amp;AC$2,"")&amp;IF(N(AD138)&gt;0,", "&amp;A138&amp;"-"&amp;AD$2,"")&amp;IF(N(AE138)&gt;0,", "&amp;A138&amp;"-"&amp;AE$2,"")&amp;IF(N(AF138)&gt;0,", "&amp;A138&amp;"-"&amp;AF$2,"")&amp;IF(N(AG138)&gt;0,", "&amp;A138&amp;"-"&amp;AG$2,"")&amp;IF(N(AH138)&gt;0,", "&amp;A138&amp;"-"&amp;AH$2,"")&amp;IF(N(AI138)&gt;0,", "&amp;A138&amp;"-"&amp;AI$2,"")&amp;IF(N(AJ138)&gt;0,", "&amp;A138&amp;"-"&amp;AJ$2,""),3,999))</f>
        <v/>
      </c>
      <c r="AN138" s="81"/>
      <c r="AO138" s="88"/>
      <c r="AP138" s="89" t="str">
        <f aca="false">IF(AO138="","",ROUND(AO138/(1+Справочники!$B$13),2))</f>
        <v/>
      </c>
      <c r="AQ138" s="90" t="str">
        <f aca="false" t="array" ref="AQ138:AQ138">IF(AP138="","",AP138*INDEX(Справочники!$B$4:$B$7,MATCH("RUB",Справочники!$A$4:$A$7,0)))</f>
        <v/>
      </c>
      <c r="AR138" s="90" t="str">
        <f aca="false">IF(AQ138="","",ROUND(AQ138*(1+Справочники!$B$12),0))</f>
        <v/>
      </c>
      <c r="AS138" s="90" t="str">
        <f aca="false">IF(AR138="","",ROUND(AR138*(1-Справочники!$B$11),0))</f>
        <v/>
      </c>
      <c r="AT138" s="88"/>
      <c r="AU138" s="90" t="str">
        <f aca="false">IF(AT138="","",ROUND(AT138/(1+Справочники!$B$12),0))</f>
        <v/>
      </c>
      <c r="AV138" s="90" t="str">
        <f aca="false">IF(AT138="","",ROUND(AT138*(1-Справочники!$B$15),0))</f>
        <v/>
      </c>
      <c r="AW138" s="90" t="str">
        <f aca="false">IF(AT138="","",ROUND(AT138*(1-Справочники!$B$16),0))</f>
        <v/>
      </c>
      <c r="AX138" s="90" t="str">
        <f aca="false">IF(AT138="","",ROUND(AT138*(1-Справочники!$B$17),0))</f>
        <v/>
      </c>
      <c r="AY138" s="90" t="str">
        <f aca="false">IF(AT138="","",ROUND(AT138*(1-Справочники!$B$18),0))</f>
        <v/>
      </c>
      <c r="AZ138" s="90" t="str">
        <f aca="false">IF(AT138="","",ROUND(AT138*(1-Справочники!$B$19),0))</f>
        <v/>
      </c>
      <c r="BA138" s="81"/>
      <c r="BB138" s="81"/>
      <c r="BC138" s="81"/>
      <c r="BD138" s="81"/>
      <c r="BE138" s="91"/>
      <c r="BF138" s="81" t="s">
        <v>103</v>
      </c>
      <c r="BG138" s="89" t="n">
        <f aca="false" t="array" ref="BG138:BG138">IF(BF138="","",IFERROR(INDEX(Справочники!$B$4:$B$7,MATCH(BF138,Справочники!$A$4:$A$7,0)),""))</f>
        <v>68.5</v>
      </c>
      <c r="BH138" s="90" t="str">
        <f aca="false">IF(N(BN138)&gt;0,ROUND(SUMIF(ЗАКАЗЫ!$F$3:$F$500,$A138,ЗАКАЗЫ!$Y$3:$Y$500)/BN138,0),IF(OR(BE138="",BG138=""),"",ROUND(BE138*BG138*(1+Справочники!$B$10),0)))</f>
        <v/>
      </c>
      <c r="BI138" s="92" t="str">
        <f aca="false">IF(OR(AU138="",BH138="",AU138=0),"",(AU138-BH138)/AU138)</f>
        <v/>
      </c>
      <c r="BJ138" s="81"/>
      <c r="BK138" s="83"/>
      <c r="BL138" s="43" t="str">
        <f aca="false">IFERROR(INDEX(ЗАКАЗЫ!$N$3:$N$500,MATCH($A138,ЗАКАЗЫ!$F$3:$F$500,0)),"")</f>
        <v/>
      </c>
      <c r="BM138" s="8" t="str">
        <f aca="false">IF(BL138="","",IFERROR(VLOOKUP(BL138,'ТН ВЭД'!$A$4:$C$40,3,0),""))</f>
        <v/>
      </c>
      <c r="BN138" s="7" t="str">
        <f aca="false">IF(COUNTIF(ЗАКАЗЫ!$F$3:$F$500,$A138)=0,"",SUMIF(ЗАКАЗЫ!$F$3:$F$500,$A138,ЗАКАЗЫ!$J$3:$J$500))</f>
        <v/>
      </c>
      <c r="BO138" s="7" t="str">
        <f aca="false">IF(BN138="","",SUMIF(ЗАКАЗЫ!$F$3:$F$500,$A138,ЗАКАЗЫ!$AL$3:$AL$500))</f>
        <v/>
      </c>
      <c r="BP138" s="7" t="str">
        <f aca="false">IF(BN138="","",BN138-BO138)</f>
        <v/>
      </c>
      <c r="BQ138" s="55" t="str">
        <f aca="false">IF(BN138="","",IF(BO138&gt;=BN138,"На складе",IF(BO138&gt;0,"Частично","Ждём")))</f>
        <v/>
      </c>
      <c r="BR138" s="43"/>
      <c r="BS138" s="47" t="str">
        <f aca="false">IF(BN138="","",IF(_xlfn.MAXIFS(ЗАКАЗЫ!$AK$3:$AK$500,ЗАКАЗЫ!$F$3:$F$500,$A138)=0,"",_xlfn.MAXIFS(ЗАКАЗЫ!$AK$3:$AK$500,ЗАКАЗЫ!$F$3:$F$500,$A138)))</f>
        <v/>
      </c>
    </row>
    <row r="139" customFormat="false" ht="15.75" hidden="false" customHeight="true" outlineLevel="0" collapsed="false">
      <c r="A139" s="80" t="s">
        <v>1662</v>
      </c>
      <c r="B139" s="81"/>
      <c r="C139" s="81"/>
      <c r="D139" s="81"/>
      <c r="E139" s="83"/>
      <c r="F139" s="81"/>
      <c r="G139" s="83"/>
      <c r="H139" s="83"/>
      <c r="I139" s="84" t="str">
        <f aca="false">IF(E139="","",A139&amp;"_1.jpg")</f>
        <v/>
      </c>
      <c r="J139" s="84" t="str">
        <f aca="false">IF(E139="","",A139&amp;"_2.jpg; "&amp;A139&amp;"_3.jpg")</f>
        <v/>
      </c>
      <c r="K139" s="84" t="str">
        <f aca="false">IF(E139="","",A139&amp;"_schema.jpg")</f>
        <v/>
      </c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 t="s">
        <v>96</v>
      </c>
      <c r="W139" s="81"/>
      <c r="X139" s="81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6" t="str">
        <f aca="false">IF(SUM(Y139:AJ139)=0,"",SUM(Y139:AJ139))</f>
        <v/>
      </c>
      <c r="AL139" s="84" t="str">
        <f aca="false">MID(IF(N(Y139)&gt;0,", "&amp;Y$2,"")&amp;IF(N(Z139)&gt;0,", "&amp;Z$2,"")&amp;IF(N(AA139)&gt;0,", "&amp;AA$2,"")&amp;IF(N(AB139)&gt;0,", "&amp;AB$2,"")&amp;IF(N(AC139)&gt;0,", "&amp;AC$2,"")&amp;IF(N(AD139)&gt;0,", "&amp;AD$2,"")&amp;IF(N(AE139)&gt;0,", "&amp;AE$2,"")&amp;IF(N(AF139)&gt;0,", "&amp;AF$2,"")&amp;IF(N(AG139)&gt;0,", "&amp;AG$2,"")&amp;IF(N(AH139)&gt;0,", "&amp;AH$2,"")&amp;IF(N(AI139)&gt;0,", "&amp;AI$2,"")&amp;IF(N(AJ139)&gt;0,", "&amp;AJ$2,""),3,999)</f>
        <v/>
      </c>
      <c r="AM139" s="87" t="str">
        <f aca="false">IF(E139="","",MID(IF(N(Y139)&gt;0,", "&amp;A139&amp;"-"&amp;Y$2,"")&amp;IF(N(Z139)&gt;0,", "&amp;A139&amp;"-"&amp;Z$2,"")&amp;IF(N(AA139)&gt;0,", "&amp;A139&amp;"-"&amp;AA$2,"")&amp;IF(N(AB139)&gt;0,", "&amp;A139&amp;"-"&amp;AB$2,"")&amp;IF(N(AC139)&gt;0,", "&amp;A139&amp;"-"&amp;AC$2,"")&amp;IF(N(AD139)&gt;0,", "&amp;A139&amp;"-"&amp;AD$2,"")&amp;IF(N(AE139)&gt;0,", "&amp;A139&amp;"-"&amp;AE$2,"")&amp;IF(N(AF139)&gt;0,", "&amp;A139&amp;"-"&amp;AF$2,"")&amp;IF(N(AG139)&gt;0,", "&amp;A139&amp;"-"&amp;AG$2,"")&amp;IF(N(AH139)&gt;0,", "&amp;A139&amp;"-"&amp;AH$2,"")&amp;IF(N(AI139)&gt;0,", "&amp;A139&amp;"-"&amp;AI$2,"")&amp;IF(N(AJ139)&gt;0,", "&amp;A139&amp;"-"&amp;AJ$2,""),3,999))</f>
        <v/>
      </c>
      <c r="AN139" s="81"/>
      <c r="AO139" s="88"/>
      <c r="AP139" s="89" t="str">
        <f aca="false">IF(AO139="","",ROUND(AO139/(1+Справочники!$B$13),2))</f>
        <v/>
      </c>
      <c r="AQ139" s="90" t="str">
        <f aca="false" t="array" ref="AQ139:AQ139">IF(AP139="","",AP139*INDEX(Справочники!$B$4:$B$7,MATCH("RUB",Справочники!$A$4:$A$7,0)))</f>
        <v/>
      </c>
      <c r="AR139" s="90" t="str">
        <f aca="false">IF(AQ139="","",ROUND(AQ139*(1+Справочники!$B$12),0))</f>
        <v/>
      </c>
      <c r="AS139" s="90" t="str">
        <f aca="false">IF(AR139="","",ROUND(AR139*(1-Справочники!$B$11),0))</f>
        <v/>
      </c>
      <c r="AT139" s="88"/>
      <c r="AU139" s="90" t="str">
        <f aca="false">IF(AT139="","",ROUND(AT139/(1+Справочники!$B$12),0))</f>
        <v/>
      </c>
      <c r="AV139" s="90" t="str">
        <f aca="false">IF(AT139="","",ROUND(AT139*(1-Справочники!$B$15),0))</f>
        <v/>
      </c>
      <c r="AW139" s="90" t="str">
        <f aca="false">IF(AT139="","",ROUND(AT139*(1-Справочники!$B$16),0))</f>
        <v/>
      </c>
      <c r="AX139" s="90" t="str">
        <f aca="false">IF(AT139="","",ROUND(AT139*(1-Справочники!$B$17),0))</f>
        <v/>
      </c>
      <c r="AY139" s="90" t="str">
        <f aca="false">IF(AT139="","",ROUND(AT139*(1-Справочники!$B$18),0))</f>
        <v/>
      </c>
      <c r="AZ139" s="90" t="str">
        <f aca="false">IF(AT139="","",ROUND(AT139*(1-Справочники!$B$19),0))</f>
        <v/>
      </c>
      <c r="BA139" s="81"/>
      <c r="BB139" s="81"/>
      <c r="BC139" s="81"/>
      <c r="BD139" s="81"/>
      <c r="BE139" s="91"/>
      <c r="BF139" s="81" t="s">
        <v>103</v>
      </c>
      <c r="BG139" s="89" t="n">
        <f aca="false" t="array" ref="BG139:BG139">IF(BF139="","",IFERROR(INDEX(Справочники!$B$4:$B$7,MATCH(BF139,Справочники!$A$4:$A$7,0)),""))</f>
        <v>68.5</v>
      </c>
      <c r="BH139" s="90" t="str">
        <f aca="false">IF(N(BN139)&gt;0,ROUND(SUMIF(ЗАКАЗЫ!$F$3:$F$500,$A139,ЗАКАЗЫ!$Y$3:$Y$500)/BN139,0),IF(OR(BE139="",BG139=""),"",ROUND(BE139*BG139*(1+Справочники!$B$10),0)))</f>
        <v/>
      </c>
      <c r="BI139" s="92" t="str">
        <f aca="false">IF(OR(AU139="",BH139="",AU139=0),"",(AU139-BH139)/AU139)</f>
        <v/>
      </c>
      <c r="BJ139" s="81"/>
      <c r="BK139" s="83"/>
      <c r="BL139" s="43" t="str">
        <f aca="false">IFERROR(INDEX(ЗАКАЗЫ!$N$3:$N$500,MATCH($A139,ЗАКАЗЫ!$F$3:$F$500,0)),"")</f>
        <v/>
      </c>
      <c r="BM139" s="8" t="str">
        <f aca="false">IF(BL139="","",IFERROR(VLOOKUP(BL139,'ТН ВЭД'!$A$4:$C$40,3,0),""))</f>
        <v/>
      </c>
      <c r="BN139" s="7" t="str">
        <f aca="false">IF(COUNTIF(ЗАКАЗЫ!$F$3:$F$500,$A139)=0,"",SUMIF(ЗАКАЗЫ!$F$3:$F$500,$A139,ЗАКАЗЫ!$J$3:$J$500))</f>
        <v/>
      </c>
      <c r="BO139" s="7" t="str">
        <f aca="false">IF(BN139="","",SUMIF(ЗАКАЗЫ!$F$3:$F$500,$A139,ЗАКАЗЫ!$AL$3:$AL$500))</f>
        <v/>
      </c>
      <c r="BP139" s="7" t="str">
        <f aca="false">IF(BN139="","",BN139-BO139)</f>
        <v/>
      </c>
      <c r="BQ139" s="55" t="str">
        <f aca="false">IF(BN139="","",IF(BO139&gt;=BN139,"На складе",IF(BO139&gt;0,"Частично","Ждём")))</f>
        <v/>
      </c>
      <c r="BR139" s="43"/>
      <c r="BS139" s="47" t="str">
        <f aca="false">IF(BN139="","",IF(_xlfn.MAXIFS(ЗАКАЗЫ!$AK$3:$AK$500,ЗАКАЗЫ!$F$3:$F$500,$A139)=0,"",_xlfn.MAXIFS(ЗАКАЗЫ!$AK$3:$AK$500,ЗАКАЗЫ!$F$3:$F$500,$A139)))</f>
        <v/>
      </c>
    </row>
    <row r="140" customFormat="false" ht="15.75" hidden="false" customHeight="true" outlineLevel="0" collapsed="false">
      <c r="A140" s="80" t="s">
        <v>1663</v>
      </c>
      <c r="B140" s="81"/>
      <c r="C140" s="81"/>
      <c r="D140" s="81"/>
      <c r="E140" s="83"/>
      <c r="F140" s="81"/>
      <c r="G140" s="83"/>
      <c r="H140" s="83"/>
      <c r="I140" s="84" t="str">
        <f aca="false">IF(E140="","",A140&amp;"_1.jpg")</f>
        <v/>
      </c>
      <c r="J140" s="84" t="str">
        <f aca="false">IF(E140="","",A140&amp;"_2.jpg; "&amp;A140&amp;"_3.jpg")</f>
        <v/>
      </c>
      <c r="K140" s="84" t="str">
        <f aca="false">IF(E140="","",A140&amp;"_schema.jpg")</f>
        <v/>
      </c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 t="s">
        <v>96</v>
      </c>
      <c r="W140" s="81"/>
      <c r="X140" s="81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6" t="str">
        <f aca="false">IF(SUM(Y140:AJ140)=0,"",SUM(Y140:AJ140))</f>
        <v/>
      </c>
      <c r="AL140" s="84" t="str">
        <f aca="false">MID(IF(N(Y140)&gt;0,", "&amp;Y$2,"")&amp;IF(N(Z140)&gt;0,", "&amp;Z$2,"")&amp;IF(N(AA140)&gt;0,", "&amp;AA$2,"")&amp;IF(N(AB140)&gt;0,", "&amp;AB$2,"")&amp;IF(N(AC140)&gt;0,", "&amp;AC$2,"")&amp;IF(N(AD140)&gt;0,", "&amp;AD$2,"")&amp;IF(N(AE140)&gt;0,", "&amp;AE$2,"")&amp;IF(N(AF140)&gt;0,", "&amp;AF$2,"")&amp;IF(N(AG140)&gt;0,", "&amp;AG$2,"")&amp;IF(N(AH140)&gt;0,", "&amp;AH$2,"")&amp;IF(N(AI140)&gt;0,", "&amp;AI$2,"")&amp;IF(N(AJ140)&gt;0,", "&amp;AJ$2,""),3,999)</f>
        <v/>
      </c>
      <c r="AM140" s="87" t="str">
        <f aca="false">IF(E140="","",MID(IF(N(Y140)&gt;0,", "&amp;A140&amp;"-"&amp;Y$2,"")&amp;IF(N(Z140)&gt;0,", "&amp;A140&amp;"-"&amp;Z$2,"")&amp;IF(N(AA140)&gt;0,", "&amp;A140&amp;"-"&amp;AA$2,"")&amp;IF(N(AB140)&gt;0,", "&amp;A140&amp;"-"&amp;AB$2,"")&amp;IF(N(AC140)&gt;0,", "&amp;A140&amp;"-"&amp;AC$2,"")&amp;IF(N(AD140)&gt;0,", "&amp;A140&amp;"-"&amp;AD$2,"")&amp;IF(N(AE140)&gt;0,", "&amp;A140&amp;"-"&amp;AE$2,"")&amp;IF(N(AF140)&gt;0,", "&amp;A140&amp;"-"&amp;AF$2,"")&amp;IF(N(AG140)&gt;0,", "&amp;A140&amp;"-"&amp;AG$2,"")&amp;IF(N(AH140)&gt;0,", "&amp;A140&amp;"-"&amp;AH$2,"")&amp;IF(N(AI140)&gt;0,", "&amp;A140&amp;"-"&amp;AI$2,"")&amp;IF(N(AJ140)&gt;0,", "&amp;A140&amp;"-"&amp;AJ$2,""),3,999))</f>
        <v/>
      </c>
      <c r="AN140" s="81"/>
      <c r="AO140" s="88"/>
      <c r="AP140" s="89" t="str">
        <f aca="false">IF(AO140="","",ROUND(AO140/(1+Справочники!$B$13),2))</f>
        <v/>
      </c>
      <c r="AQ140" s="90" t="str">
        <f aca="false" t="array" ref="AQ140:AQ140">IF(AP140="","",AP140*INDEX(Справочники!$B$4:$B$7,MATCH("RUB",Справочники!$A$4:$A$7,0)))</f>
        <v/>
      </c>
      <c r="AR140" s="90" t="str">
        <f aca="false">IF(AQ140="","",ROUND(AQ140*(1+Справочники!$B$12),0))</f>
        <v/>
      </c>
      <c r="AS140" s="90" t="str">
        <f aca="false">IF(AR140="","",ROUND(AR140*(1-Справочники!$B$11),0))</f>
        <v/>
      </c>
      <c r="AT140" s="88"/>
      <c r="AU140" s="90" t="str">
        <f aca="false">IF(AT140="","",ROUND(AT140/(1+Справочники!$B$12),0))</f>
        <v/>
      </c>
      <c r="AV140" s="90" t="str">
        <f aca="false">IF(AT140="","",ROUND(AT140*(1-Справочники!$B$15),0))</f>
        <v/>
      </c>
      <c r="AW140" s="90" t="str">
        <f aca="false">IF(AT140="","",ROUND(AT140*(1-Справочники!$B$16),0))</f>
        <v/>
      </c>
      <c r="AX140" s="90" t="str">
        <f aca="false">IF(AT140="","",ROUND(AT140*(1-Справочники!$B$17),0))</f>
        <v/>
      </c>
      <c r="AY140" s="90" t="str">
        <f aca="false">IF(AT140="","",ROUND(AT140*(1-Справочники!$B$18),0))</f>
        <v/>
      </c>
      <c r="AZ140" s="90" t="str">
        <f aca="false">IF(AT140="","",ROUND(AT140*(1-Справочники!$B$19),0))</f>
        <v/>
      </c>
      <c r="BA140" s="81"/>
      <c r="BB140" s="81"/>
      <c r="BC140" s="81"/>
      <c r="BD140" s="81"/>
      <c r="BE140" s="91"/>
      <c r="BF140" s="81" t="s">
        <v>103</v>
      </c>
      <c r="BG140" s="89" t="n">
        <f aca="false" t="array" ref="BG140:BG140">IF(BF140="","",IFERROR(INDEX(Справочники!$B$4:$B$7,MATCH(BF140,Справочники!$A$4:$A$7,0)),""))</f>
        <v>68.5</v>
      </c>
      <c r="BH140" s="90" t="str">
        <f aca="false">IF(N(BN140)&gt;0,ROUND(SUMIF(ЗАКАЗЫ!$F$3:$F$500,$A140,ЗАКАЗЫ!$Y$3:$Y$500)/BN140,0),IF(OR(BE140="",BG140=""),"",ROUND(BE140*BG140*(1+Справочники!$B$10),0)))</f>
        <v/>
      </c>
      <c r="BI140" s="92" t="str">
        <f aca="false">IF(OR(AU140="",BH140="",AU140=0),"",(AU140-BH140)/AU140)</f>
        <v/>
      </c>
      <c r="BJ140" s="81"/>
      <c r="BK140" s="83"/>
      <c r="BL140" s="43" t="str">
        <f aca="false">IFERROR(INDEX(ЗАКАЗЫ!$N$3:$N$500,MATCH($A140,ЗАКАЗЫ!$F$3:$F$500,0)),"")</f>
        <v/>
      </c>
      <c r="BM140" s="8" t="str">
        <f aca="false">IF(BL140="","",IFERROR(VLOOKUP(BL140,'ТН ВЭД'!$A$4:$C$40,3,0),""))</f>
        <v/>
      </c>
      <c r="BN140" s="7" t="str">
        <f aca="false">IF(COUNTIF(ЗАКАЗЫ!$F$3:$F$500,$A140)=0,"",SUMIF(ЗАКАЗЫ!$F$3:$F$500,$A140,ЗАКАЗЫ!$J$3:$J$500))</f>
        <v/>
      </c>
      <c r="BO140" s="7" t="str">
        <f aca="false">IF(BN140="","",SUMIF(ЗАКАЗЫ!$F$3:$F$500,$A140,ЗАКАЗЫ!$AL$3:$AL$500))</f>
        <v/>
      </c>
      <c r="BP140" s="7" t="str">
        <f aca="false">IF(BN140="","",BN140-BO140)</f>
        <v/>
      </c>
      <c r="BQ140" s="55" t="str">
        <f aca="false">IF(BN140="","",IF(BO140&gt;=BN140,"На складе",IF(BO140&gt;0,"Частично","Ждём")))</f>
        <v/>
      </c>
      <c r="BR140" s="43"/>
      <c r="BS140" s="47" t="str">
        <f aca="false">IF(BN140="","",IF(_xlfn.MAXIFS(ЗАКАЗЫ!$AK$3:$AK$500,ЗАКАЗЫ!$F$3:$F$500,$A140)=0,"",_xlfn.MAXIFS(ЗАКАЗЫ!$AK$3:$AK$500,ЗАКАЗЫ!$F$3:$F$500,$A140)))</f>
        <v/>
      </c>
    </row>
    <row r="141" customFormat="false" ht="15.75" hidden="false" customHeight="true" outlineLevel="0" collapsed="false">
      <c r="A141" s="80" t="s">
        <v>1664</v>
      </c>
      <c r="B141" s="81"/>
      <c r="C141" s="81"/>
      <c r="D141" s="81"/>
      <c r="E141" s="83"/>
      <c r="F141" s="81"/>
      <c r="G141" s="83"/>
      <c r="H141" s="83"/>
      <c r="I141" s="84" t="str">
        <f aca="false">IF(E141="","",A141&amp;"_1.jpg")</f>
        <v/>
      </c>
      <c r="J141" s="84" t="str">
        <f aca="false">IF(E141="","",A141&amp;"_2.jpg; "&amp;A141&amp;"_3.jpg")</f>
        <v/>
      </c>
      <c r="K141" s="84" t="str">
        <f aca="false">IF(E141="","",A141&amp;"_schema.jpg")</f>
        <v/>
      </c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 t="s">
        <v>96</v>
      </c>
      <c r="W141" s="81"/>
      <c r="X141" s="81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6" t="str">
        <f aca="false">IF(SUM(Y141:AJ141)=0,"",SUM(Y141:AJ141))</f>
        <v/>
      </c>
      <c r="AL141" s="84" t="str">
        <f aca="false">MID(IF(N(Y141)&gt;0,", "&amp;Y$2,"")&amp;IF(N(Z141)&gt;0,", "&amp;Z$2,"")&amp;IF(N(AA141)&gt;0,", "&amp;AA$2,"")&amp;IF(N(AB141)&gt;0,", "&amp;AB$2,"")&amp;IF(N(AC141)&gt;0,", "&amp;AC$2,"")&amp;IF(N(AD141)&gt;0,", "&amp;AD$2,"")&amp;IF(N(AE141)&gt;0,", "&amp;AE$2,"")&amp;IF(N(AF141)&gt;0,", "&amp;AF$2,"")&amp;IF(N(AG141)&gt;0,", "&amp;AG$2,"")&amp;IF(N(AH141)&gt;0,", "&amp;AH$2,"")&amp;IF(N(AI141)&gt;0,", "&amp;AI$2,"")&amp;IF(N(AJ141)&gt;0,", "&amp;AJ$2,""),3,999)</f>
        <v/>
      </c>
      <c r="AM141" s="87" t="str">
        <f aca="false">IF(E141="","",MID(IF(N(Y141)&gt;0,", "&amp;A141&amp;"-"&amp;Y$2,"")&amp;IF(N(Z141)&gt;0,", "&amp;A141&amp;"-"&amp;Z$2,"")&amp;IF(N(AA141)&gt;0,", "&amp;A141&amp;"-"&amp;AA$2,"")&amp;IF(N(AB141)&gt;0,", "&amp;A141&amp;"-"&amp;AB$2,"")&amp;IF(N(AC141)&gt;0,", "&amp;A141&amp;"-"&amp;AC$2,"")&amp;IF(N(AD141)&gt;0,", "&amp;A141&amp;"-"&amp;AD$2,"")&amp;IF(N(AE141)&gt;0,", "&amp;A141&amp;"-"&amp;AE$2,"")&amp;IF(N(AF141)&gt;0,", "&amp;A141&amp;"-"&amp;AF$2,"")&amp;IF(N(AG141)&gt;0,", "&amp;A141&amp;"-"&amp;AG$2,"")&amp;IF(N(AH141)&gt;0,", "&amp;A141&amp;"-"&amp;AH$2,"")&amp;IF(N(AI141)&gt;0,", "&amp;A141&amp;"-"&amp;AI$2,"")&amp;IF(N(AJ141)&gt;0,", "&amp;A141&amp;"-"&amp;AJ$2,""),3,999))</f>
        <v/>
      </c>
      <c r="AN141" s="81"/>
      <c r="AO141" s="88"/>
      <c r="AP141" s="89" t="str">
        <f aca="false">IF(AO141="","",ROUND(AO141/(1+Справочники!$B$13),2))</f>
        <v/>
      </c>
      <c r="AQ141" s="90" t="str">
        <f aca="false" t="array" ref="AQ141:AQ141">IF(AP141="","",AP141*INDEX(Справочники!$B$4:$B$7,MATCH("RUB",Справочники!$A$4:$A$7,0)))</f>
        <v/>
      </c>
      <c r="AR141" s="90" t="str">
        <f aca="false">IF(AQ141="","",ROUND(AQ141*(1+Справочники!$B$12),0))</f>
        <v/>
      </c>
      <c r="AS141" s="90" t="str">
        <f aca="false">IF(AR141="","",ROUND(AR141*(1-Справочники!$B$11),0))</f>
        <v/>
      </c>
      <c r="AT141" s="88"/>
      <c r="AU141" s="90" t="str">
        <f aca="false">IF(AT141="","",ROUND(AT141/(1+Справочники!$B$12),0))</f>
        <v/>
      </c>
      <c r="AV141" s="90" t="str">
        <f aca="false">IF(AT141="","",ROUND(AT141*(1-Справочники!$B$15),0))</f>
        <v/>
      </c>
      <c r="AW141" s="90" t="str">
        <f aca="false">IF(AT141="","",ROUND(AT141*(1-Справочники!$B$16),0))</f>
        <v/>
      </c>
      <c r="AX141" s="90" t="str">
        <f aca="false">IF(AT141="","",ROUND(AT141*(1-Справочники!$B$17),0))</f>
        <v/>
      </c>
      <c r="AY141" s="90" t="str">
        <f aca="false">IF(AT141="","",ROUND(AT141*(1-Справочники!$B$18),0))</f>
        <v/>
      </c>
      <c r="AZ141" s="90" t="str">
        <f aca="false">IF(AT141="","",ROUND(AT141*(1-Справочники!$B$19),0))</f>
        <v/>
      </c>
      <c r="BA141" s="81"/>
      <c r="BB141" s="81"/>
      <c r="BC141" s="81"/>
      <c r="BD141" s="81"/>
      <c r="BE141" s="91"/>
      <c r="BF141" s="81" t="s">
        <v>103</v>
      </c>
      <c r="BG141" s="89" t="n">
        <f aca="false" t="array" ref="BG141:BG141">IF(BF141="","",IFERROR(INDEX(Справочники!$B$4:$B$7,MATCH(BF141,Справочники!$A$4:$A$7,0)),""))</f>
        <v>68.5</v>
      </c>
      <c r="BH141" s="90" t="str">
        <f aca="false">IF(N(BN141)&gt;0,ROUND(SUMIF(ЗАКАЗЫ!$F$3:$F$500,$A141,ЗАКАЗЫ!$Y$3:$Y$500)/BN141,0),IF(OR(BE141="",BG141=""),"",ROUND(BE141*BG141*(1+Справочники!$B$10),0)))</f>
        <v/>
      </c>
      <c r="BI141" s="92" t="str">
        <f aca="false">IF(OR(AU141="",BH141="",AU141=0),"",(AU141-BH141)/AU141)</f>
        <v/>
      </c>
      <c r="BJ141" s="81"/>
      <c r="BK141" s="83"/>
      <c r="BL141" s="43" t="str">
        <f aca="false">IFERROR(INDEX(ЗАКАЗЫ!$N$3:$N$500,MATCH($A141,ЗАКАЗЫ!$F$3:$F$500,0)),"")</f>
        <v/>
      </c>
      <c r="BM141" s="8" t="str">
        <f aca="false">IF(BL141="","",IFERROR(VLOOKUP(BL141,'ТН ВЭД'!$A$4:$C$40,3,0),""))</f>
        <v/>
      </c>
      <c r="BN141" s="7" t="str">
        <f aca="false">IF(COUNTIF(ЗАКАЗЫ!$F$3:$F$500,$A141)=0,"",SUMIF(ЗАКАЗЫ!$F$3:$F$500,$A141,ЗАКАЗЫ!$J$3:$J$500))</f>
        <v/>
      </c>
      <c r="BO141" s="7" t="str">
        <f aca="false">IF(BN141="","",SUMIF(ЗАКАЗЫ!$F$3:$F$500,$A141,ЗАКАЗЫ!$AL$3:$AL$500))</f>
        <v/>
      </c>
      <c r="BP141" s="7" t="str">
        <f aca="false">IF(BN141="","",BN141-BO141)</f>
        <v/>
      </c>
      <c r="BQ141" s="55" t="str">
        <f aca="false">IF(BN141="","",IF(BO141&gt;=BN141,"На складе",IF(BO141&gt;0,"Частично","Ждём")))</f>
        <v/>
      </c>
      <c r="BR141" s="43"/>
      <c r="BS141" s="47" t="str">
        <f aca="false">IF(BN141="","",IF(_xlfn.MAXIFS(ЗАКАЗЫ!$AK$3:$AK$500,ЗАКАЗЫ!$F$3:$F$500,$A141)=0,"",_xlfn.MAXIFS(ЗАКАЗЫ!$AK$3:$AK$500,ЗАКАЗЫ!$F$3:$F$500,$A141)))</f>
        <v/>
      </c>
    </row>
    <row r="142" customFormat="false" ht="15.75" hidden="false" customHeight="true" outlineLevel="0" collapsed="false">
      <c r="A142" s="80" t="s">
        <v>1665</v>
      </c>
      <c r="B142" s="81"/>
      <c r="C142" s="81"/>
      <c r="D142" s="81"/>
      <c r="E142" s="83"/>
      <c r="F142" s="81"/>
      <c r="G142" s="83"/>
      <c r="H142" s="83"/>
      <c r="I142" s="84" t="str">
        <f aca="false">IF(E142="","",A142&amp;"_1.jpg")</f>
        <v/>
      </c>
      <c r="J142" s="84" t="str">
        <f aca="false">IF(E142="","",A142&amp;"_2.jpg; "&amp;A142&amp;"_3.jpg")</f>
        <v/>
      </c>
      <c r="K142" s="84" t="str">
        <f aca="false">IF(E142="","",A142&amp;"_schema.jpg")</f>
        <v/>
      </c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 t="s">
        <v>96</v>
      </c>
      <c r="W142" s="81"/>
      <c r="X142" s="81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6" t="str">
        <f aca="false">IF(SUM(Y142:AJ142)=0,"",SUM(Y142:AJ142))</f>
        <v/>
      </c>
      <c r="AL142" s="84" t="str">
        <f aca="false">MID(IF(N(Y142)&gt;0,", "&amp;Y$2,"")&amp;IF(N(Z142)&gt;0,", "&amp;Z$2,"")&amp;IF(N(AA142)&gt;0,", "&amp;AA$2,"")&amp;IF(N(AB142)&gt;0,", "&amp;AB$2,"")&amp;IF(N(AC142)&gt;0,", "&amp;AC$2,"")&amp;IF(N(AD142)&gt;0,", "&amp;AD$2,"")&amp;IF(N(AE142)&gt;0,", "&amp;AE$2,"")&amp;IF(N(AF142)&gt;0,", "&amp;AF$2,"")&amp;IF(N(AG142)&gt;0,", "&amp;AG$2,"")&amp;IF(N(AH142)&gt;0,", "&amp;AH$2,"")&amp;IF(N(AI142)&gt;0,", "&amp;AI$2,"")&amp;IF(N(AJ142)&gt;0,", "&amp;AJ$2,""),3,999)</f>
        <v/>
      </c>
      <c r="AM142" s="87" t="str">
        <f aca="false">IF(E142="","",MID(IF(N(Y142)&gt;0,", "&amp;A142&amp;"-"&amp;Y$2,"")&amp;IF(N(Z142)&gt;0,", "&amp;A142&amp;"-"&amp;Z$2,"")&amp;IF(N(AA142)&gt;0,", "&amp;A142&amp;"-"&amp;AA$2,"")&amp;IF(N(AB142)&gt;0,", "&amp;A142&amp;"-"&amp;AB$2,"")&amp;IF(N(AC142)&gt;0,", "&amp;A142&amp;"-"&amp;AC$2,"")&amp;IF(N(AD142)&gt;0,", "&amp;A142&amp;"-"&amp;AD$2,"")&amp;IF(N(AE142)&gt;0,", "&amp;A142&amp;"-"&amp;AE$2,"")&amp;IF(N(AF142)&gt;0,", "&amp;A142&amp;"-"&amp;AF$2,"")&amp;IF(N(AG142)&gt;0,", "&amp;A142&amp;"-"&amp;AG$2,"")&amp;IF(N(AH142)&gt;0,", "&amp;A142&amp;"-"&amp;AH$2,"")&amp;IF(N(AI142)&gt;0,", "&amp;A142&amp;"-"&amp;AI$2,"")&amp;IF(N(AJ142)&gt;0,", "&amp;A142&amp;"-"&amp;AJ$2,""),3,999))</f>
        <v/>
      </c>
      <c r="AN142" s="81"/>
      <c r="AO142" s="88"/>
      <c r="AP142" s="89" t="str">
        <f aca="false">IF(AO142="","",ROUND(AO142/(1+Справочники!$B$13),2))</f>
        <v/>
      </c>
      <c r="AQ142" s="90" t="str">
        <f aca="false" t="array" ref="AQ142:AQ142">IF(AP142="","",AP142*INDEX(Справочники!$B$4:$B$7,MATCH("RUB",Справочники!$A$4:$A$7,0)))</f>
        <v/>
      </c>
      <c r="AR142" s="90" t="str">
        <f aca="false">IF(AQ142="","",ROUND(AQ142*(1+Справочники!$B$12),0))</f>
        <v/>
      </c>
      <c r="AS142" s="90" t="str">
        <f aca="false">IF(AR142="","",ROUND(AR142*(1-Справочники!$B$11),0))</f>
        <v/>
      </c>
      <c r="AT142" s="88"/>
      <c r="AU142" s="90" t="str">
        <f aca="false">IF(AT142="","",ROUND(AT142/(1+Справочники!$B$12),0))</f>
        <v/>
      </c>
      <c r="AV142" s="90" t="str">
        <f aca="false">IF(AT142="","",ROUND(AT142*(1-Справочники!$B$15),0))</f>
        <v/>
      </c>
      <c r="AW142" s="90" t="str">
        <f aca="false">IF(AT142="","",ROUND(AT142*(1-Справочники!$B$16),0))</f>
        <v/>
      </c>
      <c r="AX142" s="90" t="str">
        <f aca="false">IF(AT142="","",ROUND(AT142*(1-Справочники!$B$17),0))</f>
        <v/>
      </c>
      <c r="AY142" s="90" t="str">
        <f aca="false">IF(AT142="","",ROUND(AT142*(1-Справочники!$B$18),0))</f>
        <v/>
      </c>
      <c r="AZ142" s="90" t="str">
        <f aca="false">IF(AT142="","",ROUND(AT142*(1-Справочники!$B$19),0))</f>
        <v/>
      </c>
      <c r="BA142" s="81"/>
      <c r="BB142" s="81"/>
      <c r="BC142" s="81"/>
      <c r="BD142" s="81"/>
      <c r="BE142" s="91"/>
      <c r="BF142" s="81" t="s">
        <v>103</v>
      </c>
      <c r="BG142" s="89" t="n">
        <f aca="false" t="array" ref="BG142:BG142">IF(BF142="","",IFERROR(INDEX(Справочники!$B$4:$B$7,MATCH(BF142,Справочники!$A$4:$A$7,0)),""))</f>
        <v>68.5</v>
      </c>
      <c r="BH142" s="90" t="str">
        <f aca="false">IF(N(BN142)&gt;0,ROUND(SUMIF(ЗАКАЗЫ!$F$3:$F$500,$A142,ЗАКАЗЫ!$Y$3:$Y$500)/BN142,0),IF(OR(BE142="",BG142=""),"",ROUND(BE142*BG142*(1+Справочники!$B$10),0)))</f>
        <v/>
      </c>
      <c r="BI142" s="92" t="str">
        <f aca="false">IF(OR(AU142="",BH142="",AU142=0),"",(AU142-BH142)/AU142)</f>
        <v/>
      </c>
      <c r="BJ142" s="81"/>
      <c r="BK142" s="83"/>
      <c r="BL142" s="43" t="str">
        <f aca="false">IFERROR(INDEX(ЗАКАЗЫ!$N$3:$N$500,MATCH($A142,ЗАКАЗЫ!$F$3:$F$500,0)),"")</f>
        <v/>
      </c>
      <c r="BM142" s="8" t="str">
        <f aca="false">IF(BL142="","",IFERROR(VLOOKUP(BL142,'ТН ВЭД'!$A$4:$C$40,3,0),""))</f>
        <v/>
      </c>
      <c r="BN142" s="7" t="str">
        <f aca="false">IF(COUNTIF(ЗАКАЗЫ!$F$3:$F$500,$A142)=0,"",SUMIF(ЗАКАЗЫ!$F$3:$F$500,$A142,ЗАКАЗЫ!$J$3:$J$500))</f>
        <v/>
      </c>
      <c r="BO142" s="7" t="str">
        <f aca="false">IF(BN142="","",SUMIF(ЗАКАЗЫ!$F$3:$F$500,$A142,ЗАКАЗЫ!$AL$3:$AL$500))</f>
        <v/>
      </c>
      <c r="BP142" s="7" t="str">
        <f aca="false">IF(BN142="","",BN142-BO142)</f>
        <v/>
      </c>
      <c r="BQ142" s="55" t="str">
        <f aca="false">IF(BN142="","",IF(BO142&gt;=BN142,"На складе",IF(BO142&gt;0,"Частично","Ждём")))</f>
        <v/>
      </c>
      <c r="BR142" s="43"/>
      <c r="BS142" s="47" t="str">
        <f aca="false">IF(BN142="","",IF(_xlfn.MAXIFS(ЗАКАЗЫ!$AK$3:$AK$500,ЗАКАЗЫ!$F$3:$F$500,$A142)=0,"",_xlfn.MAXIFS(ЗАКАЗЫ!$AK$3:$AK$500,ЗАКАЗЫ!$F$3:$F$500,$A142)))</f>
        <v/>
      </c>
    </row>
    <row r="143" customFormat="false" ht="15.75" hidden="false" customHeight="true" outlineLevel="0" collapsed="false">
      <c r="A143" s="80" t="s">
        <v>1666</v>
      </c>
      <c r="B143" s="81"/>
      <c r="C143" s="81"/>
      <c r="D143" s="81"/>
      <c r="E143" s="83"/>
      <c r="F143" s="81"/>
      <c r="G143" s="83"/>
      <c r="H143" s="83"/>
      <c r="I143" s="84" t="str">
        <f aca="false">IF(E143="","",A143&amp;"_1.jpg")</f>
        <v/>
      </c>
      <c r="J143" s="84" t="str">
        <f aca="false">IF(E143="","",A143&amp;"_2.jpg; "&amp;A143&amp;"_3.jpg")</f>
        <v/>
      </c>
      <c r="K143" s="84" t="str">
        <f aca="false">IF(E143="","",A143&amp;"_schema.jpg")</f>
        <v/>
      </c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 t="s">
        <v>96</v>
      </c>
      <c r="W143" s="81"/>
      <c r="X143" s="81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6" t="str">
        <f aca="false">IF(SUM(Y143:AJ143)=0,"",SUM(Y143:AJ143))</f>
        <v/>
      </c>
      <c r="AL143" s="84" t="str">
        <f aca="false">MID(IF(N(Y143)&gt;0,", "&amp;Y$2,"")&amp;IF(N(Z143)&gt;0,", "&amp;Z$2,"")&amp;IF(N(AA143)&gt;0,", "&amp;AA$2,"")&amp;IF(N(AB143)&gt;0,", "&amp;AB$2,"")&amp;IF(N(AC143)&gt;0,", "&amp;AC$2,"")&amp;IF(N(AD143)&gt;0,", "&amp;AD$2,"")&amp;IF(N(AE143)&gt;0,", "&amp;AE$2,"")&amp;IF(N(AF143)&gt;0,", "&amp;AF$2,"")&amp;IF(N(AG143)&gt;0,", "&amp;AG$2,"")&amp;IF(N(AH143)&gt;0,", "&amp;AH$2,"")&amp;IF(N(AI143)&gt;0,", "&amp;AI$2,"")&amp;IF(N(AJ143)&gt;0,", "&amp;AJ$2,""),3,999)</f>
        <v/>
      </c>
      <c r="AM143" s="87" t="str">
        <f aca="false">IF(E143="","",MID(IF(N(Y143)&gt;0,", "&amp;A143&amp;"-"&amp;Y$2,"")&amp;IF(N(Z143)&gt;0,", "&amp;A143&amp;"-"&amp;Z$2,"")&amp;IF(N(AA143)&gt;0,", "&amp;A143&amp;"-"&amp;AA$2,"")&amp;IF(N(AB143)&gt;0,", "&amp;A143&amp;"-"&amp;AB$2,"")&amp;IF(N(AC143)&gt;0,", "&amp;A143&amp;"-"&amp;AC$2,"")&amp;IF(N(AD143)&gt;0,", "&amp;A143&amp;"-"&amp;AD$2,"")&amp;IF(N(AE143)&gt;0,", "&amp;A143&amp;"-"&amp;AE$2,"")&amp;IF(N(AF143)&gt;0,", "&amp;A143&amp;"-"&amp;AF$2,"")&amp;IF(N(AG143)&gt;0,", "&amp;A143&amp;"-"&amp;AG$2,"")&amp;IF(N(AH143)&gt;0,", "&amp;A143&amp;"-"&amp;AH$2,"")&amp;IF(N(AI143)&gt;0,", "&amp;A143&amp;"-"&amp;AI$2,"")&amp;IF(N(AJ143)&gt;0,", "&amp;A143&amp;"-"&amp;AJ$2,""),3,999))</f>
        <v/>
      </c>
      <c r="AN143" s="81"/>
      <c r="AO143" s="88"/>
      <c r="AP143" s="89" t="str">
        <f aca="false">IF(AO143="","",ROUND(AO143/(1+Справочники!$B$13),2))</f>
        <v/>
      </c>
      <c r="AQ143" s="90" t="str">
        <f aca="false" t="array" ref="AQ143:AQ143">IF(AP143="","",AP143*INDEX(Справочники!$B$4:$B$7,MATCH("RUB",Справочники!$A$4:$A$7,0)))</f>
        <v/>
      </c>
      <c r="AR143" s="90" t="str">
        <f aca="false">IF(AQ143="","",ROUND(AQ143*(1+Справочники!$B$12),0))</f>
        <v/>
      </c>
      <c r="AS143" s="90" t="str">
        <f aca="false">IF(AR143="","",ROUND(AR143*(1-Справочники!$B$11),0))</f>
        <v/>
      </c>
      <c r="AT143" s="88"/>
      <c r="AU143" s="90" t="str">
        <f aca="false">IF(AT143="","",ROUND(AT143/(1+Справочники!$B$12),0))</f>
        <v/>
      </c>
      <c r="AV143" s="90" t="str">
        <f aca="false">IF(AT143="","",ROUND(AT143*(1-Справочники!$B$15),0))</f>
        <v/>
      </c>
      <c r="AW143" s="90" t="str">
        <f aca="false">IF(AT143="","",ROUND(AT143*(1-Справочники!$B$16),0))</f>
        <v/>
      </c>
      <c r="AX143" s="90" t="str">
        <f aca="false">IF(AT143="","",ROUND(AT143*(1-Справочники!$B$17),0))</f>
        <v/>
      </c>
      <c r="AY143" s="90" t="str">
        <f aca="false">IF(AT143="","",ROUND(AT143*(1-Справочники!$B$18),0))</f>
        <v/>
      </c>
      <c r="AZ143" s="90" t="str">
        <f aca="false">IF(AT143="","",ROUND(AT143*(1-Справочники!$B$19),0))</f>
        <v/>
      </c>
      <c r="BA143" s="81"/>
      <c r="BB143" s="81"/>
      <c r="BC143" s="81"/>
      <c r="BD143" s="81"/>
      <c r="BE143" s="91"/>
      <c r="BF143" s="81" t="s">
        <v>103</v>
      </c>
      <c r="BG143" s="89" t="n">
        <f aca="false" t="array" ref="BG143:BG143">IF(BF143="","",IFERROR(INDEX(Справочники!$B$4:$B$7,MATCH(BF143,Справочники!$A$4:$A$7,0)),""))</f>
        <v>68.5</v>
      </c>
      <c r="BH143" s="90" t="str">
        <f aca="false">IF(N(BN143)&gt;0,ROUND(SUMIF(ЗАКАЗЫ!$F$3:$F$500,$A143,ЗАКАЗЫ!$Y$3:$Y$500)/BN143,0),IF(OR(BE143="",BG143=""),"",ROUND(BE143*BG143*(1+Справочники!$B$10),0)))</f>
        <v/>
      </c>
      <c r="BI143" s="92" t="str">
        <f aca="false">IF(OR(AU143="",BH143="",AU143=0),"",(AU143-BH143)/AU143)</f>
        <v/>
      </c>
      <c r="BJ143" s="81"/>
      <c r="BK143" s="83"/>
      <c r="BL143" s="43" t="str">
        <f aca="false">IFERROR(INDEX(ЗАКАЗЫ!$N$3:$N$500,MATCH($A143,ЗАКАЗЫ!$F$3:$F$500,0)),"")</f>
        <v/>
      </c>
      <c r="BM143" s="8" t="str">
        <f aca="false">IF(BL143="","",IFERROR(VLOOKUP(BL143,'ТН ВЭД'!$A$4:$C$40,3,0),""))</f>
        <v/>
      </c>
      <c r="BN143" s="7" t="str">
        <f aca="false">IF(COUNTIF(ЗАКАЗЫ!$F$3:$F$500,$A143)=0,"",SUMIF(ЗАКАЗЫ!$F$3:$F$500,$A143,ЗАКАЗЫ!$J$3:$J$500))</f>
        <v/>
      </c>
      <c r="BO143" s="7" t="str">
        <f aca="false">IF(BN143="","",SUMIF(ЗАКАЗЫ!$F$3:$F$500,$A143,ЗАКАЗЫ!$AL$3:$AL$500))</f>
        <v/>
      </c>
      <c r="BP143" s="7" t="str">
        <f aca="false">IF(BN143="","",BN143-BO143)</f>
        <v/>
      </c>
      <c r="BQ143" s="55" t="str">
        <f aca="false">IF(BN143="","",IF(BO143&gt;=BN143,"На складе",IF(BO143&gt;0,"Частично","Ждём")))</f>
        <v/>
      </c>
      <c r="BR143" s="43"/>
      <c r="BS143" s="47" t="str">
        <f aca="false">IF(BN143="","",IF(_xlfn.MAXIFS(ЗАКАЗЫ!$AK$3:$AK$500,ЗАКАЗЫ!$F$3:$F$500,$A143)=0,"",_xlfn.MAXIFS(ЗАКАЗЫ!$AK$3:$AK$500,ЗАКАЗЫ!$F$3:$F$500,$A143)))</f>
        <v/>
      </c>
    </row>
    <row r="144" customFormat="false" ht="15.75" hidden="false" customHeight="true" outlineLevel="0" collapsed="false">
      <c r="A144" s="80" t="s">
        <v>1667</v>
      </c>
      <c r="B144" s="81"/>
      <c r="C144" s="81"/>
      <c r="D144" s="81"/>
      <c r="E144" s="83"/>
      <c r="F144" s="81"/>
      <c r="G144" s="83"/>
      <c r="H144" s="83"/>
      <c r="I144" s="84" t="str">
        <f aca="false">IF(E144="","",A144&amp;"_1.jpg")</f>
        <v/>
      </c>
      <c r="J144" s="84" t="str">
        <f aca="false">IF(E144="","",A144&amp;"_2.jpg; "&amp;A144&amp;"_3.jpg")</f>
        <v/>
      </c>
      <c r="K144" s="84" t="str">
        <f aca="false">IF(E144="","",A144&amp;"_schema.jpg")</f>
        <v/>
      </c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 t="s">
        <v>96</v>
      </c>
      <c r="W144" s="81"/>
      <c r="X144" s="81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6" t="str">
        <f aca="false">IF(SUM(Y144:AJ144)=0,"",SUM(Y144:AJ144))</f>
        <v/>
      </c>
      <c r="AL144" s="84" t="str">
        <f aca="false">MID(IF(N(Y144)&gt;0,", "&amp;Y$2,"")&amp;IF(N(Z144)&gt;0,", "&amp;Z$2,"")&amp;IF(N(AA144)&gt;0,", "&amp;AA$2,"")&amp;IF(N(AB144)&gt;0,", "&amp;AB$2,"")&amp;IF(N(AC144)&gt;0,", "&amp;AC$2,"")&amp;IF(N(AD144)&gt;0,", "&amp;AD$2,"")&amp;IF(N(AE144)&gt;0,", "&amp;AE$2,"")&amp;IF(N(AF144)&gt;0,", "&amp;AF$2,"")&amp;IF(N(AG144)&gt;0,", "&amp;AG$2,"")&amp;IF(N(AH144)&gt;0,", "&amp;AH$2,"")&amp;IF(N(AI144)&gt;0,", "&amp;AI$2,"")&amp;IF(N(AJ144)&gt;0,", "&amp;AJ$2,""),3,999)</f>
        <v/>
      </c>
      <c r="AM144" s="87" t="str">
        <f aca="false">IF(E144="","",MID(IF(N(Y144)&gt;0,", "&amp;A144&amp;"-"&amp;Y$2,"")&amp;IF(N(Z144)&gt;0,", "&amp;A144&amp;"-"&amp;Z$2,"")&amp;IF(N(AA144)&gt;0,", "&amp;A144&amp;"-"&amp;AA$2,"")&amp;IF(N(AB144)&gt;0,", "&amp;A144&amp;"-"&amp;AB$2,"")&amp;IF(N(AC144)&gt;0,", "&amp;A144&amp;"-"&amp;AC$2,"")&amp;IF(N(AD144)&gt;0,", "&amp;A144&amp;"-"&amp;AD$2,"")&amp;IF(N(AE144)&gt;0,", "&amp;A144&amp;"-"&amp;AE$2,"")&amp;IF(N(AF144)&gt;0,", "&amp;A144&amp;"-"&amp;AF$2,"")&amp;IF(N(AG144)&gt;0,", "&amp;A144&amp;"-"&amp;AG$2,"")&amp;IF(N(AH144)&gt;0,", "&amp;A144&amp;"-"&amp;AH$2,"")&amp;IF(N(AI144)&gt;0,", "&amp;A144&amp;"-"&amp;AI$2,"")&amp;IF(N(AJ144)&gt;0,", "&amp;A144&amp;"-"&amp;AJ$2,""),3,999))</f>
        <v/>
      </c>
      <c r="AN144" s="81"/>
      <c r="AO144" s="88"/>
      <c r="AP144" s="89" t="str">
        <f aca="false">IF(AO144="","",ROUND(AO144/(1+Справочники!$B$13),2))</f>
        <v/>
      </c>
      <c r="AQ144" s="90" t="str">
        <f aca="false" t="array" ref="AQ144:AQ144">IF(AP144="","",AP144*INDEX(Справочники!$B$4:$B$7,MATCH("RUB",Справочники!$A$4:$A$7,0)))</f>
        <v/>
      </c>
      <c r="AR144" s="90" t="str">
        <f aca="false">IF(AQ144="","",ROUND(AQ144*(1+Справочники!$B$12),0))</f>
        <v/>
      </c>
      <c r="AS144" s="90" t="str">
        <f aca="false">IF(AR144="","",ROUND(AR144*(1-Справочники!$B$11),0))</f>
        <v/>
      </c>
      <c r="AT144" s="88"/>
      <c r="AU144" s="90" t="str">
        <f aca="false">IF(AT144="","",ROUND(AT144/(1+Справочники!$B$12),0))</f>
        <v/>
      </c>
      <c r="AV144" s="90" t="str">
        <f aca="false">IF(AT144="","",ROUND(AT144*(1-Справочники!$B$15),0))</f>
        <v/>
      </c>
      <c r="AW144" s="90" t="str">
        <f aca="false">IF(AT144="","",ROUND(AT144*(1-Справочники!$B$16),0))</f>
        <v/>
      </c>
      <c r="AX144" s="90" t="str">
        <f aca="false">IF(AT144="","",ROUND(AT144*(1-Справочники!$B$17),0))</f>
        <v/>
      </c>
      <c r="AY144" s="90" t="str">
        <f aca="false">IF(AT144="","",ROUND(AT144*(1-Справочники!$B$18),0))</f>
        <v/>
      </c>
      <c r="AZ144" s="90" t="str">
        <f aca="false">IF(AT144="","",ROUND(AT144*(1-Справочники!$B$19),0))</f>
        <v/>
      </c>
      <c r="BA144" s="81"/>
      <c r="BB144" s="81"/>
      <c r="BC144" s="81"/>
      <c r="BD144" s="81"/>
      <c r="BE144" s="91"/>
      <c r="BF144" s="81" t="s">
        <v>103</v>
      </c>
      <c r="BG144" s="89" t="n">
        <f aca="false" t="array" ref="BG144:BG144">IF(BF144="","",IFERROR(INDEX(Справочники!$B$4:$B$7,MATCH(BF144,Справочники!$A$4:$A$7,0)),""))</f>
        <v>68.5</v>
      </c>
      <c r="BH144" s="90" t="str">
        <f aca="false">IF(N(BN144)&gt;0,ROUND(SUMIF(ЗАКАЗЫ!$F$3:$F$500,$A144,ЗАКАЗЫ!$Y$3:$Y$500)/BN144,0),IF(OR(BE144="",BG144=""),"",ROUND(BE144*BG144*(1+Справочники!$B$10),0)))</f>
        <v/>
      </c>
      <c r="BI144" s="92" t="str">
        <f aca="false">IF(OR(AU144="",BH144="",AU144=0),"",(AU144-BH144)/AU144)</f>
        <v/>
      </c>
      <c r="BJ144" s="81"/>
      <c r="BK144" s="83"/>
      <c r="BL144" s="43" t="str">
        <f aca="false">IFERROR(INDEX(ЗАКАЗЫ!$N$3:$N$500,MATCH($A144,ЗАКАЗЫ!$F$3:$F$500,0)),"")</f>
        <v/>
      </c>
      <c r="BM144" s="8" t="str">
        <f aca="false">IF(BL144="","",IFERROR(VLOOKUP(BL144,'ТН ВЭД'!$A$4:$C$40,3,0),""))</f>
        <v/>
      </c>
      <c r="BN144" s="7" t="str">
        <f aca="false">IF(COUNTIF(ЗАКАЗЫ!$F$3:$F$500,$A144)=0,"",SUMIF(ЗАКАЗЫ!$F$3:$F$500,$A144,ЗАКАЗЫ!$J$3:$J$500))</f>
        <v/>
      </c>
      <c r="BO144" s="7" t="str">
        <f aca="false">IF(BN144="","",SUMIF(ЗАКАЗЫ!$F$3:$F$500,$A144,ЗАКАЗЫ!$AL$3:$AL$500))</f>
        <v/>
      </c>
      <c r="BP144" s="7" t="str">
        <f aca="false">IF(BN144="","",BN144-BO144)</f>
        <v/>
      </c>
      <c r="BQ144" s="55" t="str">
        <f aca="false">IF(BN144="","",IF(BO144&gt;=BN144,"На складе",IF(BO144&gt;0,"Частично","Ждём")))</f>
        <v/>
      </c>
      <c r="BR144" s="43"/>
      <c r="BS144" s="47" t="str">
        <f aca="false">IF(BN144="","",IF(_xlfn.MAXIFS(ЗАКАЗЫ!$AK$3:$AK$500,ЗАКАЗЫ!$F$3:$F$500,$A144)=0,"",_xlfn.MAXIFS(ЗАКАЗЫ!$AK$3:$AK$500,ЗАКАЗЫ!$F$3:$F$500,$A144)))</f>
        <v/>
      </c>
    </row>
    <row r="145" customFormat="false" ht="15.75" hidden="false" customHeight="true" outlineLevel="0" collapsed="false">
      <c r="A145" s="80" t="s">
        <v>1668</v>
      </c>
      <c r="B145" s="81"/>
      <c r="C145" s="81"/>
      <c r="D145" s="81"/>
      <c r="E145" s="83"/>
      <c r="F145" s="81"/>
      <c r="G145" s="83"/>
      <c r="H145" s="83"/>
      <c r="I145" s="84" t="str">
        <f aca="false">IF(E145="","",A145&amp;"_1.jpg")</f>
        <v/>
      </c>
      <c r="J145" s="84" t="str">
        <f aca="false">IF(E145="","",A145&amp;"_2.jpg; "&amp;A145&amp;"_3.jpg")</f>
        <v/>
      </c>
      <c r="K145" s="84" t="str">
        <f aca="false">IF(E145="","",A145&amp;"_schema.jpg")</f>
        <v/>
      </c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 t="s">
        <v>96</v>
      </c>
      <c r="W145" s="81"/>
      <c r="X145" s="81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6" t="str">
        <f aca="false">IF(SUM(Y145:AJ145)=0,"",SUM(Y145:AJ145))</f>
        <v/>
      </c>
      <c r="AL145" s="84" t="str">
        <f aca="false">MID(IF(N(Y145)&gt;0,", "&amp;Y$2,"")&amp;IF(N(Z145)&gt;0,", "&amp;Z$2,"")&amp;IF(N(AA145)&gt;0,", "&amp;AA$2,"")&amp;IF(N(AB145)&gt;0,", "&amp;AB$2,"")&amp;IF(N(AC145)&gt;0,", "&amp;AC$2,"")&amp;IF(N(AD145)&gt;0,", "&amp;AD$2,"")&amp;IF(N(AE145)&gt;0,", "&amp;AE$2,"")&amp;IF(N(AF145)&gt;0,", "&amp;AF$2,"")&amp;IF(N(AG145)&gt;0,", "&amp;AG$2,"")&amp;IF(N(AH145)&gt;0,", "&amp;AH$2,"")&amp;IF(N(AI145)&gt;0,", "&amp;AI$2,"")&amp;IF(N(AJ145)&gt;0,", "&amp;AJ$2,""),3,999)</f>
        <v/>
      </c>
      <c r="AM145" s="87" t="str">
        <f aca="false">IF(E145="","",MID(IF(N(Y145)&gt;0,", "&amp;A145&amp;"-"&amp;Y$2,"")&amp;IF(N(Z145)&gt;0,", "&amp;A145&amp;"-"&amp;Z$2,"")&amp;IF(N(AA145)&gt;0,", "&amp;A145&amp;"-"&amp;AA$2,"")&amp;IF(N(AB145)&gt;0,", "&amp;A145&amp;"-"&amp;AB$2,"")&amp;IF(N(AC145)&gt;0,", "&amp;A145&amp;"-"&amp;AC$2,"")&amp;IF(N(AD145)&gt;0,", "&amp;A145&amp;"-"&amp;AD$2,"")&amp;IF(N(AE145)&gt;0,", "&amp;A145&amp;"-"&amp;AE$2,"")&amp;IF(N(AF145)&gt;0,", "&amp;A145&amp;"-"&amp;AF$2,"")&amp;IF(N(AG145)&gt;0,", "&amp;A145&amp;"-"&amp;AG$2,"")&amp;IF(N(AH145)&gt;0,", "&amp;A145&amp;"-"&amp;AH$2,"")&amp;IF(N(AI145)&gt;0,", "&amp;A145&amp;"-"&amp;AI$2,"")&amp;IF(N(AJ145)&gt;0,", "&amp;A145&amp;"-"&amp;AJ$2,""),3,999))</f>
        <v/>
      </c>
      <c r="AN145" s="81"/>
      <c r="AO145" s="88"/>
      <c r="AP145" s="89" t="str">
        <f aca="false">IF(AO145="","",ROUND(AO145/(1+Справочники!$B$13),2))</f>
        <v/>
      </c>
      <c r="AQ145" s="90" t="str">
        <f aca="false" t="array" ref="AQ145:AQ145">IF(AP145="","",AP145*INDEX(Справочники!$B$4:$B$7,MATCH("RUB",Справочники!$A$4:$A$7,0)))</f>
        <v/>
      </c>
      <c r="AR145" s="90" t="str">
        <f aca="false">IF(AQ145="","",ROUND(AQ145*(1+Справочники!$B$12),0))</f>
        <v/>
      </c>
      <c r="AS145" s="90" t="str">
        <f aca="false">IF(AR145="","",ROUND(AR145*(1-Справочники!$B$11),0))</f>
        <v/>
      </c>
      <c r="AT145" s="88"/>
      <c r="AU145" s="90" t="str">
        <f aca="false">IF(AT145="","",ROUND(AT145/(1+Справочники!$B$12),0))</f>
        <v/>
      </c>
      <c r="AV145" s="90" t="str">
        <f aca="false">IF(AT145="","",ROUND(AT145*(1-Справочники!$B$15),0))</f>
        <v/>
      </c>
      <c r="AW145" s="90" t="str">
        <f aca="false">IF(AT145="","",ROUND(AT145*(1-Справочники!$B$16),0))</f>
        <v/>
      </c>
      <c r="AX145" s="90" t="str">
        <f aca="false">IF(AT145="","",ROUND(AT145*(1-Справочники!$B$17),0))</f>
        <v/>
      </c>
      <c r="AY145" s="90" t="str">
        <f aca="false">IF(AT145="","",ROUND(AT145*(1-Справочники!$B$18),0))</f>
        <v/>
      </c>
      <c r="AZ145" s="90" t="str">
        <f aca="false">IF(AT145="","",ROUND(AT145*(1-Справочники!$B$19),0))</f>
        <v/>
      </c>
      <c r="BA145" s="81"/>
      <c r="BB145" s="81"/>
      <c r="BC145" s="81"/>
      <c r="BD145" s="81"/>
      <c r="BE145" s="91"/>
      <c r="BF145" s="81" t="s">
        <v>103</v>
      </c>
      <c r="BG145" s="89" t="n">
        <f aca="false" t="array" ref="BG145:BG145">IF(BF145="","",IFERROR(INDEX(Справочники!$B$4:$B$7,MATCH(BF145,Справочники!$A$4:$A$7,0)),""))</f>
        <v>68.5</v>
      </c>
      <c r="BH145" s="90" t="str">
        <f aca="false">IF(N(BN145)&gt;0,ROUND(SUMIF(ЗАКАЗЫ!$F$3:$F$500,$A145,ЗАКАЗЫ!$Y$3:$Y$500)/BN145,0),IF(OR(BE145="",BG145=""),"",ROUND(BE145*BG145*(1+Справочники!$B$10),0)))</f>
        <v/>
      </c>
      <c r="BI145" s="92" t="str">
        <f aca="false">IF(OR(AU145="",BH145="",AU145=0),"",(AU145-BH145)/AU145)</f>
        <v/>
      </c>
      <c r="BJ145" s="81"/>
      <c r="BK145" s="83"/>
      <c r="BL145" s="43" t="str">
        <f aca="false">IFERROR(INDEX(ЗАКАЗЫ!$N$3:$N$500,MATCH($A145,ЗАКАЗЫ!$F$3:$F$500,0)),"")</f>
        <v/>
      </c>
      <c r="BM145" s="8" t="str">
        <f aca="false">IF(BL145="","",IFERROR(VLOOKUP(BL145,'ТН ВЭД'!$A$4:$C$40,3,0),""))</f>
        <v/>
      </c>
      <c r="BN145" s="7" t="str">
        <f aca="false">IF(COUNTIF(ЗАКАЗЫ!$F$3:$F$500,$A145)=0,"",SUMIF(ЗАКАЗЫ!$F$3:$F$500,$A145,ЗАКАЗЫ!$J$3:$J$500))</f>
        <v/>
      </c>
      <c r="BO145" s="7" t="str">
        <f aca="false">IF(BN145="","",SUMIF(ЗАКАЗЫ!$F$3:$F$500,$A145,ЗАКАЗЫ!$AL$3:$AL$500))</f>
        <v/>
      </c>
      <c r="BP145" s="7" t="str">
        <f aca="false">IF(BN145="","",BN145-BO145)</f>
        <v/>
      </c>
      <c r="BQ145" s="55" t="str">
        <f aca="false">IF(BN145="","",IF(BO145&gt;=BN145,"На складе",IF(BO145&gt;0,"Частично","Ждём")))</f>
        <v/>
      </c>
      <c r="BR145" s="43"/>
      <c r="BS145" s="47" t="str">
        <f aca="false">IF(BN145="","",IF(_xlfn.MAXIFS(ЗАКАЗЫ!$AK$3:$AK$500,ЗАКАЗЫ!$F$3:$F$500,$A145)=0,"",_xlfn.MAXIFS(ЗАКАЗЫ!$AK$3:$AK$500,ЗАКАЗЫ!$F$3:$F$500,$A145)))</f>
        <v/>
      </c>
    </row>
    <row r="146" customFormat="false" ht="15.75" hidden="false" customHeight="true" outlineLevel="0" collapsed="false">
      <c r="A146" s="80" t="s">
        <v>1669</v>
      </c>
      <c r="B146" s="81"/>
      <c r="C146" s="81"/>
      <c r="D146" s="81"/>
      <c r="E146" s="83"/>
      <c r="F146" s="81"/>
      <c r="G146" s="83"/>
      <c r="H146" s="83"/>
      <c r="I146" s="84" t="str">
        <f aca="false">IF(E146="","",A146&amp;"_1.jpg")</f>
        <v/>
      </c>
      <c r="J146" s="84" t="str">
        <f aca="false">IF(E146="","",A146&amp;"_2.jpg; "&amp;A146&amp;"_3.jpg")</f>
        <v/>
      </c>
      <c r="K146" s="84" t="str">
        <f aca="false">IF(E146="","",A146&amp;"_schema.jpg")</f>
        <v/>
      </c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 t="s">
        <v>96</v>
      </c>
      <c r="W146" s="81"/>
      <c r="X146" s="81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6" t="str">
        <f aca="false">IF(SUM(Y146:AJ146)=0,"",SUM(Y146:AJ146))</f>
        <v/>
      </c>
      <c r="AL146" s="84" t="str">
        <f aca="false">MID(IF(N(Y146)&gt;0,", "&amp;Y$2,"")&amp;IF(N(Z146)&gt;0,", "&amp;Z$2,"")&amp;IF(N(AA146)&gt;0,", "&amp;AA$2,"")&amp;IF(N(AB146)&gt;0,", "&amp;AB$2,"")&amp;IF(N(AC146)&gt;0,", "&amp;AC$2,"")&amp;IF(N(AD146)&gt;0,", "&amp;AD$2,"")&amp;IF(N(AE146)&gt;0,", "&amp;AE$2,"")&amp;IF(N(AF146)&gt;0,", "&amp;AF$2,"")&amp;IF(N(AG146)&gt;0,", "&amp;AG$2,"")&amp;IF(N(AH146)&gt;0,", "&amp;AH$2,"")&amp;IF(N(AI146)&gt;0,", "&amp;AI$2,"")&amp;IF(N(AJ146)&gt;0,", "&amp;AJ$2,""),3,999)</f>
        <v/>
      </c>
      <c r="AM146" s="87" t="str">
        <f aca="false">IF(E146="","",MID(IF(N(Y146)&gt;0,", "&amp;A146&amp;"-"&amp;Y$2,"")&amp;IF(N(Z146)&gt;0,", "&amp;A146&amp;"-"&amp;Z$2,"")&amp;IF(N(AA146)&gt;0,", "&amp;A146&amp;"-"&amp;AA$2,"")&amp;IF(N(AB146)&gt;0,", "&amp;A146&amp;"-"&amp;AB$2,"")&amp;IF(N(AC146)&gt;0,", "&amp;A146&amp;"-"&amp;AC$2,"")&amp;IF(N(AD146)&gt;0,", "&amp;A146&amp;"-"&amp;AD$2,"")&amp;IF(N(AE146)&gt;0,", "&amp;A146&amp;"-"&amp;AE$2,"")&amp;IF(N(AF146)&gt;0,", "&amp;A146&amp;"-"&amp;AF$2,"")&amp;IF(N(AG146)&gt;0,", "&amp;A146&amp;"-"&amp;AG$2,"")&amp;IF(N(AH146)&gt;0,", "&amp;A146&amp;"-"&amp;AH$2,"")&amp;IF(N(AI146)&gt;0,", "&amp;A146&amp;"-"&amp;AI$2,"")&amp;IF(N(AJ146)&gt;0,", "&amp;A146&amp;"-"&amp;AJ$2,""),3,999))</f>
        <v/>
      </c>
      <c r="AN146" s="81"/>
      <c r="AO146" s="88"/>
      <c r="AP146" s="89" t="str">
        <f aca="false">IF(AO146="","",ROUND(AO146/(1+Справочники!$B$13),2))</f>
        <v/>
      </c>
      <c r="AQ146" s="90" t="str">
        <f aca="false" t="array" ref="AQ146:AQ146">IF(AP146="","",AP146*INDEX(Справочники!$B$4:$B$7,MATCH("RUB",Справочники!$A$4:$A$7,0)))</f>
        <v/>
      </c>
      <c r="AR146" s="90" t="str">
        <f aca="false">IF(AQ146="","",ROUND(AQ146*(1+Справочники!$B$12),0))</f>
        <v/>
      </c>
      <c r="AS146" s="90" t="str">
        <f aca="false">IF(AR146="","",ROUND(AR146*(1-Справочники!$B$11),0))</f>
        <v/>
      </c>
      <c r="AT146" s="88"/>
      <c r="AU146" s="90" t="str">
        <f aca="false">IF(AT146="","",ROUND(AT146/(1+Справочники!$B$12),0))</f>
        <v/>
      </c>
      <c r="AV146" s="90" t="str">
        <f aca="false">IF(AT146="","",ROUND(AT146*(1-Справочники!$B$15),0))</f>
        <v/>
      </c>
      <c r="AW146" s="90" t="str">
        <f aca="false">IF(AT146="","",ROUND(AT146*(1-Справочники!$B$16),0))</f>
        <v/>
      </c>
      <c r="AX146" s="90" t="str">
        <f aca="false">IF(AT146="","",ROUND(AT146*(1-Справочники!$B$17),0))</f>
        <v/>
      </c>
      <c r="AY146" s="90" t="str">
        <f aca="false">IF(AT146="","",ROUND(AT146*(1-Справочники!$B$18),0))</f>
        <v/>
      </c>
      <c r="AZ146" s="90" t="str">
        <f aca="false">IF(AT146="","",ROUND(AT146*(1-Справочники!$B$19),0))</f>
        <v/>
      </c>
      <c r="BA146" s="81"/>
      <c r="BB146" s="81"/>
      <c r="BC146" s="81"/>
      <c r="BD146" s="81"/>
      <c r="BE146" s="91"/>
      <c r="BF146" s="81" t="s">
        <v>103</v>
      </c>
      <c r="BG146" s="89" t="n">
        <f aca="false" t="array" ref="BG146:BG146">IF(BF146="","",IFERROR(INDEX(Справочники!$B$4:$B$7,MATCH(BF146,Справочники!$A$4:$A$7,0)),""))</f>
        <v>68.5</v>
      </c>
      <c r="BH146" s="90" t="str">
        <f aca="false">IF(N(BN146)&gt;0,ROUND(SUMIF(ЗАКАЗЫ!$F$3:$F$500,$A146,ЗАКАЗЫ!$Y$3:$Y$500)/BN146,0),IF(OR(BE146="",BG146=""),"",ROUND(BE146*BG146*(1+Справочники!$B$10),0)))</f>
        <v/>
      </c>
      <c r="BI146" s="92" t="str">
        <f aca="false">IF(OR(AU146="",BH146="",AU146=0),"",(AU146-BH146)/AU146)</f>
        <v/>
      </c>
      <c r="BJ146" s="81"/>
      <c r="BK146" s="83"/>
      <c r="BL146" s="43" t="str">
        <f aca="false">IFERROR(INDEX(ЗАКАЗЫ!$N$3:$N$500,MATCH($A146,ЗАКАЗЫ!$F$3:$F$500,0)),"")</f>
        <v/>
      </c>
      <c r="BM146" s="8" t="str">
        <f aca="false">IF(BL146="","",IFERROR(VLOOKUP(BL146,'ТН ВЭД'!$A$4:$C$40,3,0),""))</f>
        <v/>
      </c>
      <c r="BN146" s="7" t="str">
        <f aca="false">IF(COUNTIF(ЗАКАЗЫ!$F$3:$F$500,$A146)=0,"",SUMIF(ЗАКАЗЫ!$F$3:$F$500,$A146,ЗАКАЗЫ!$J$3:$J$500))</f>
        <v/>
      </c>
      <c r="BO146" s="7" t="str">
        <f aca="false">IF(BN146="","",SUMIF(ЗАКАЗЫ!$F$3:$F$500,$A146,ЗАКАЗЫ!$AL$3:$AL$500))</f>
        <v/>
      </c>
      <c r="BP146" s="7" t="str">
        <f aca="false">IF(BN146="","",BN146-BO146)</f>
        <v/>
      </c>
      <c r="BQ146" s="55" t="str">
        <f aca="false">IF(BN146="","",IF(BO146&gt;=BN146,"На складе",IF(BO146&gt;0,"Частично","Ждём")))</f>
        <v/>
      </c>
      <c r="BR146" s="43"/>
      <c r="BS146" s="47" t="str">
        <f aca="false">IF(BN146="","",IF(_xlfn.MAXIFS(ЗАКАЗЫ!$AK$3:$AK$500,ЗАКАЗЫ!$F$3:$F$500,$A146)=0,"",_xlfn.MAXIFS(ЗАКАЗЫ!$AK$3:$AK$500,ЗАКАЗЫ!$F$3:$F$500,$A146)))</f>
        <v/>
      </c>
    </row>
    <row r="147" customFormat="false" ht="15.75" hidden="false" customHeight="true" outlineLevel="0" collapsed="false">
      <c r="A147" s="80" t="s">
        <v>1670</v>
      </c>
      <c r="B147" s="81"/>
      <c r="C147" s="81"/>
      <c r="D147" s="81"/>
      <c r="E147" s="83"/>
      <c r="F147" s="81"/>
      <c r="G147" s="83"/>
      <c r="H147" s="83"/>
      <c r="I147" s="84" t="str">
        <f aca="false">IF(E147="","",A147&amp;"_1.jpg")</f>
        <v/>
      </c>
      <c r="J147" s="84" t="str">
        <f aca="false">IF(E147="","",A147&amp;"_2.jpg; "&amp;A147&amp;"_3.jpg")</f>
        <v/>
      </c>
      <c r="K147" s="84" t="str">
        <f aca="false">IF(E147="","",A147&amp;"_schema.jpg")</f>
        <v/>
      </c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 t="s">
        <v>96</v>
      </c>
      <c r="W147" s="81"/>
      <c r="X147" s="81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6" t="str">
        <f aca="false">IF(SUM(Y147:AJ147)=0,"",SUM(Y147:AJ147))</f>
        <v/>
      </c>
      <c r="AL147" s="84" t="str">
        <f aca="false">MID(IF(N(Y147)&gt;0,", "&amp;Y$2,"")&amp;IF(N(Z147)&gt;0,", "&amp;Z$2,"")&amp;IF(N(AA147)&gt;0,", "&amp;AA$2,"")&amp;IF(N(AB147)&gt;0,", "&amp;AB$2,"")&amp;IF(N(AC147)&gt;0,", "&amp;AC$2,"")&amp;IF(N(AD147)&gt;0,", "&amp;AD$2,"")&amp;IF(N(AE147)&gt;0,", "&amp;AE$2,"")&amp;IF(N(AF147)&gt;0,", "&amp;AF$2,"")&amp;IF(N(AG147)&gt;0,", "&amp;AG$2,"")&amp;IF(N(AH147)&gt;0,", "&amp;AH$2,"")&amp;IF(N(AI147)&gt;0,", "&amp;AI$2,"")&amp;IF(N(AJ147)&gt;0,", "&amp;AJ$2,""),3,999)</f>
        <v/>
      </c>
      <c r="AM147" s="87" t="str">
        <f aca="false">IF(E147="","",MID(IF(N(Y147)&gt;0,", "&amp;A147&amp;"-"&amp;Y$2,"")&amp;IF(N(Z147)&gt;0,", "&amp;A147&amp;"-"&amp;Z$2,"")&amp;IF(N(AA147)&gt;0,", "&amp;A147&amp;"-"&amp;AA$2,"")&amp;IF(N(AB147)&gt;0,", "&amp;A147&amp;"-"&amp;AB$2,"")&amp;IF(N(AC147)&gt;0,", "&amp;A147&amp;"-"&amp;AC$2,"")&amp;IF(N(AD147)&gt;0,", "&amp;A147&amp;"-"&amp;AD$2,"")&amp;IF(N(AE147)&gt;0,", "&amp;A147&amp;"-"&amp;AE$2,"")&amp;IF(N(AF147)&gt;0,", "&amp;A147&amp;"-"&amp;AF$2,"")&amp;IF(N(AG147)&gt;0,", "&amp;A147&amp;"-"&amp;AG$2,"")&amp;IF(N(AH147)&gt;0,", "&amp;A147&amp;"-"&amp;AH$2,"")&amp;IF(N(AI147)&gt;0,", "&amp;A147&amp;"-"&amp;AI$2,"")&amp;IF(N(AJ147)&gt;0,", "&amp;A147&amp;"-"&amp;AJ$2,""),3,999))</f>
        <v/>
      </c>
      <c r="AN147" s="81"/>
      <c r="AO147" s="88"/>
      <c r="AP147" s="89" t="str">
        <f aca="false">IF(AO147="","",ROUND(AO147/(1+Справочники!$B$13),2))</f>
        <v/>
      </c>
      <c r="AQ147" s="90" t="str">
        <f aca="false" t="array" ref="AQ147:AQ147">IF(AP147="","",AP147*INDEX(Справочники!$B$4:$B$7,MATCH("RUB",Справочники!$A$4:$A$7,0)))</f>
        <v/>
      </c>
      <c r="AR147" s="90" t="str">
        <f aca="false">IF(AQ147="","",ROUND(AQ147*(1+Справочники!$B$12),0))</f>
        <v/>
      </c>
      <c r="AS147" s="90" t="str">
        <f aca="false">IF(AR147="","",ROUND(AR147*(1-Справочники!$B$11),0))</f>
        <v/>
      </c>
      <c r="AT147" s="88"/>
      <c r="AU147" s="90" t="str">
        <f aca="false">IF(AT147="","",ROUND(AT147/(1+Справочники!$B$12),0))</f>
        <v/>
      </c>
      <c r="AV147" s="90" t="str">
        <f aca="false">IF(AT147="","",ROUND(AT147*(1-Справочники!$B$15),0))</f>
        <v/>
      </c>
      <c r="AW147" s="90" t="str">
        <f aca="false">IF(AT147="","",ROUND(AT147*(1-Справочники!$B$16),0))</f>
        <v/>
      </c>
      <c r="AX147" s="90" t="str">
        <f aca="false">IF(AT147="","",ROUND(AT147*(1-Справочники!$B$17),0))</f>
        <v/>
      </c>
      <c r="AY147" s="90" t="str">
        <f aca="false">IF(AT147="","",ROUND(AT147*(1-Справочники!$B$18),0))</f>
        <v/>
      </c>
      <c r="AZ147" s="90" t="str">
        <f aca="false">IF(AT147="","",ROUND(AT147*(1-Справочники!$B$19),0))</f>
        <v/>
      </c>
      <c r="BA147" s="81"/>
      <c r="BB147" s="81"/>
      <c r="BC147" s="81"/>
      <c r="BD147" s="81"/>
      <c r="BE147" s="91"/>
      <c r="BF147" s="81" t="s">
        <v>103</v>
      </c>
      <c r="BG147" s="89" t="n">
        <f aca="false" t="array" ref="BG147:BG147">IF(BF147="","",IFERROR(INDEX(Справочники!$B$4:$B$7,MATCH(BF147,Справочники!$A$4:$A$7,0)),""))</f>
        <v>68.5</v>
      </c>
      <c r="BH147" s="90" t="str">
        <f aca="false">IF(N(BN147)&gt;0,ROUND(SUMIF(ЗАКАЗЫ!$F$3:$F$500,$A147,ЗАКАЗЫ!$Y$3:$Y$500)/BN147,0),IF(OR(BE147="",BG147=""),"",ROUND(BE147*BG147*(1+Справочники!$B$10),0)))</f>
        <v/>
      </c>
      <c r="BI147" s="92" t="str">
        <f aca="false">IF(OR(AU147="",BH147="",AU147=0),"",(AU147-BH147)/AU147)</f>
        <v/>
      </c>
      <c r="BJ147" s="81"/>
      <c r="BK147" s="83"/>
      <c r="BL147" s="43" t="str">
        <f aca="false">IFERROR(INDEX(ЗАКАЗЫ!$N$3:$N$500,MATCH($A147,ЗАКАЗЫ!$F$3:$F$500,0)),"")</f>
        <v/>
      </c>
      <c r="BM147" s="8" t="str">
        <f aca="false">IF(BL147="","",IFERROR(VLOOKUP(BL147,'ТН ВЭД'!$A$4:$C$40,3,0),""))</f>
        <v/>
      </c>
      <c r="BN147" s="7" t="str">
        <f aca="false">IF(COUNTIF(ЗАКАЗЫ!$F$3:$F$500,$A147)=0,"",SUMIF(ЗАКАЗЫ!$F$3:$F$500,$A147,ЗАКАЗЫ!$J$3:$J$500))</f>
        <v/>
      </c>
      <c r="BO147" s="7" t="str">
        <f aca="false">IF(BN147="","",SUMIF(ЗАКАЗЫ!$F$3:$F$500,$A147,ЗАКАЗЫ!$AL$3:$AL$500))</f>
        <v/>
      </c>
      <c r="BP147" s="7" t="str">
        <f aca="false">IF(BN147="","",BN147-BO147)</f>
        <v/>
      </c>
      <c r="BQ147" s="55" t="str">
        <f aca="false">IF(BN147="","",IF(BO147&gt;=BN147,"На складе",IF(BO147&gt;0,"Частично","Ждём")))</f>
        <v/>
      </c>
      <c r="BR147" s="43"/>
      <c r="BS147" s="47" t="str">
        <f aca="false">IF(BN147="","",IF(_xlfn.MAXIFS(ЗАКАЗЫ!$AK$3:$AK$500,ЗАКАЗЫ!$F$3:$F$500,$A147)=0,"",_xlfn.MAXIFS(ЗАКАЗЫ!$AK$3:$AK$500,ЗАКАЗЫ!$F$3:$F$500,$A147)))</f>
        <v/>
      </c>
    </row>
    <row r="148" customFormat="false" ht="15.75" hidden="false" customHeight="true" outlineLevel="0" collapsed="false">
      <c r="A148" s="80" t="s">
        <v>1671</v>
      </c>
      <c r="B148" s="81"/>
      <c r="C148" s="81"/>
      <c r="D148" s="81"/>
      <c r="E148" s="83"/>
      <c r="F148" s="81"/>
      <c r="G148" s="83"/>
      <c r="H148" s="83"/>
      <c r="I148" s="84" t="str">
        <f aca="false">IF(E148="","",A148&amp;"_1.jpg")</f>
        <v/>
      </c>
      <c r="J148" s="84" t="str">
        <f aca="false">IF(E148="","",A148&amp;"_2.jpg; "&amp;A148&amp;"_3.jpg")</f>
        <v/>
      </c>
      <c r="K148" s="84" t="str">
        <f aca="false">IF(E148="","",A148&amp;"_schema.jpg")</f>
        <v/>
      </c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 t="s">
        <v>96</v>
      </c>
      <c r="W148" s="81"/>
      <c r="X148" s="81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6" t="str">
        <f aca="false">IF(SUM(Y148:AJ148)=0,"",SUM(Y148:AJ148))</f>
        <v/>
      </c>
      <c r="AL148" s="84" t="str">
        <f aca="false">MID(IF(N(Y148)&gt;0,", "&amp;Y$2,"")&amp;IF(N(Z148)&gt;0,", "&amp;Z$2,"")&amp;IF(N(AA148)&gt;0,", "&amp;AA$2,"")&amp;IF(N(AB148)&gt;0,", "&amp;AB$2,"")&amp;IF(N(AC148)&gt;0,", "&amp;AC$2,"")&amp;IF(N(AD148)&gt;0,", "&amp;AD$2,"")&amp;IF(N(AE148)&gt;0,", "&amp;AE$2,"")&amp;IF(N(AF148)&gt;0,", "&amp;AF$2,"")&amp;IF(N(AG148)&gt;0,", "&amp;AG$2,"")&amp;IF(N(AH148)&gt;0,", "&amp;AH$2,"")&amp;IF(N(AI148)&gt;0,", "&amp;AI$2,"")&amp;IF(N(AJ148)&gt;0,", "&amp;AJ$2,""),3,999)</f>
        <v/>
      </c>
      <c r="AM148" s="87" t="str">
        <f aca="false">IF(E148="","",MID(IF(N(Y148)&gt;0,", "&amp;A148&amp;"-"&amp;Y$2,"")&amp;IF(N(Z148)&gt;0,", "&amp;A148&amp;"-"&amp;Z$2,"")&amp;IF(N(AA148)&gt;0,", "&amp;A148&amp;"-"&amp;AA$2,"")&amp;IF(N(AB148)&gt;0,", "&amp;A148&amp;"-"&amp;AB$2,"")&amp;IF(N(AC148)&gt;0,", "&amp;A148&amp;"-"&amp;AC$2,"")&amp;IF(N(AD148)&gt;0,", "&amp;A148&amp;"-"&amp;AD$2,"")&amp;IF(N(AE148)&gt;0,", "&amp;A148&amp;"-"&amp;AE$2,"")&amp;IF(N(AF148)&gt;0,", "&amp;A148&amp;"-"&amp;AF$2,"")&amp;IF(N(AG148)&gt;0,", "&amp;A148&amp;"-"&amp;AG$2,"")&amp;IF(N(AH148)&gt;0,", "&amp;A148&amp;"-"&amp;AH$2,"")&amp;IF(N(AI148)&gt;0,", "&amp;A148&amp;"-"&amp;AI$2,"")&amp;IF(N(AJ148)&gt;0,", "&amp;A148&amp;"-"&amp;AJ$2,""),3,999))</f>
        <v/>
      </c>
      <c r="AN148" s="81"/>
      <c r="AO148" s="88"/>
      <c r="AP148" s="89" t="str">
        <f aca="false">IF(AO148="","",ROUND(AO148/(1+Справочники!$B$13),2))</f>
        <v/>
      </c>
      <c r="AQ148" s="90" t="str">
        <f aca="false" t="array" ref="AQ148:AQ148">IF(AP148="","",AP148*INDEX(Справочники!$B$4:$B$7,MATCH("RUB",Справочники!$A$4:$A$7,0)))</f>
        <v/>
      </c>
      <c r="AR148" s="90" t="str">
        <f aca="false">IF(AQ148="","",ROUND(AQ148*(1+Справочники!$B$12),0))</f>
        <v/>
      </c>
      <c r="AS148" s="90" t="str">
        <f aca="false">IF(AR148="","",ROUND(AR148*(1-Справочники!$B$11),0))</f>
        <v/>
      </c>
      <c r="AT148" s="88"/>
      <c r="AU148" s="90" t="str">
        <f aca="false">IF(AT148="","",ROUND(AT148/(1+Справочники!$B$12),0))</f>
        <v/>
      </c>
      <c r="AV148" s="90" t="str">
        <f aca="false">IF(AT148="","",ROUND(AT148*(1-Справочники!$B$15),0))</f>
        <v/>
      </c>
      <c r="AW148" s="90" t="str">
        <f aca="false">IF(AT148="","",ROUND(AT148*(1-Справочники!$B$16),0))</f>
        <v/>
      </c>
      <c r="AX148" s="90" t="str">
        <f aca="false">IF(AT148="","",ROUND(AT148*(1-Справочники!$B$17),0))</f>
        <v/>
      </c>
      <c r="AY148" s="90" t="str">
        <f aca="false">IF(AT148="","",ROUND(AT148*(1-Справочники!$B$18),0))</f>
        <v/>
      </c>
      <c r="AZ148" s="90" t="str">
        <f aca="false">IF(AT148="","",ROUND(AT148*(1-Справочники!$B$19),0))</f>
        <v/>
      </c>
      <c r="BA148" s="81"/>
      <c r="BB148" s="81"/>
      <c r="BC148" s="81"/>
      <c r="BD148" s="81"/>
      <c r="BE148" s="91"/>
      <c r="BF148" s="81" t="s">
        <v>103</v>
      </c>
      <c r="BG148" s="89" t="n">
        <f aca="false" t="array" ref="BG148:BG148">IF(BF148="","",IFERROR(INDEX(Справочники!$B$4:$B$7,MATCH(BF148,Справочники!$A$4:$A$7,0)),""))</f>
        <v>68.5</v>
      </c>
      <c r="BH148" s="90" t="str">
        <f aca="false">IF(N(BN148)&gt;0,ROUND(SUMIF(ЗАКАЗЫ!$F$3:$F$500,$A148,ЗАКАЗЫ!$Y$3:$Y$500)/BN148,0),IF(OR(BE148="",BG148=""),"",ROUND(BE148*BG148*(1+Справочники!$B$10),0)))</f>
        <v/>
      </c>
      <c r="BI148" s="92" t="str">
        <f aca="false">IF(OR(AU148="",BH148="",AU148=0),"",(AU148-BH148)/AU148)</f>
        <v/>
      </c>
      <c r="BJ148" s="81"/>
      <c r="BK148" s="83"/>
      <c r="BL148" s="43" t="str">
        <f aca="false">IFERROR(INDEX(ЗАКАЗЫ!$N$3:$N$500,MATCH($A148,ЗАКАЗЫ!$F$3:$F$500,0)),"")</f>
        <v/>
      </c>
      <c r="BM148" s="8" t="str">
        <f aca="false">IF(BL148="","",IFERROR(VLOOKUP(BL148,'ТН ВЭД'!$A$4:$C$40,3,0),""))</f>
        <v/>
      </c>
      <c r="BN148" s="7" t="str">
        <f aca="false">IF(COUNTIF(ЗАКАЗЫ!$F$3:$F$500,$A148)=0,"",SUMIF(ЗАКАЗЫ!$F$3:$F$500,$A148,ЗАКАЗЫ!$J$3:$J$500))</f>
        <v/>
      </c>
      <c r="BO148" s="7" t="str">
        <f aca="false">IF(BN148="","",SUMIF(ЗАКАЗЫ!$F$3:$F$500,$A148,ЗАКАЗЫ!$AL$3:$AL$500))</f>
        <v/>
      </c>
      <c r="BP148" s="7" t="str">
        <f aca="false">IF(BN148="","",BN148-BO148)</f>
        <v/>
      </c>
      <c r="BQ148" s="55" t="str">
        <f aca="false">IF(BN148="","",IF(BO148&gt;=BN148,"На складе",IF(BO148&gt;0,"Частично","Ждём")))</f>
        <v/>
      </c>
      <c r="BR148" s="43"/>
      <c r="BS148" s="47" t="str">
        <f aca="false">IF(BN148="","",IF(_xlfn.MAXIFS(ЗАКАЗЫ!$AK$3:$AK$500,ЗАКАЗЫ!$F$3:$F$500,$A148)=0,"",_xlfn.MAXIFS(ЗАКАЗЫ!$AK$3:$AK$500,ЗАКАЗЫ!$F$3:$F$500,$A148)))</f>
        <v/>
      </c>
    </row>
    <row r="149" customFormat="false" ht="15.75" hidden="false" customHeight="true" outlineLevel="0" collapsed="false">
      <c r="A149" s="80" t="s">
        <v>1672</v>
      </c>
      <c r="B149" s="81"/>
      <c r="C149" s="81"/>
      <c r="D149" s="81"/>
      <c r="E149" s="83"/>
      <c r="F149" s="81"/>
      <c r="G149" s="83"/>
      <c r="H149" s="83"/>
      <c r="I149" s="84" t="str">
        <f aca="false">IF(E149="","",A149&amp;"_1.jpg")</f>
        <v/>
      </c>
      <c r="J149" s="84" t="str">
        <f aca="false">IF(E149="","",A149&amp;"_2.jpg; "&amp;A149&amp;"_3.jpg")</f>
        <v/>
      </c>
      <c r="K149" s="84" t="str">
        <f aca="false">IF(E149="","",A149&amp;"_schema.jpg")</f>
        <v/>
      </c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 t="s">
        <v>96</v>
      </c>
      <c r="W149" s="81"/>
      <c r="X149" s="81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6" t="str">
        <f aca="false">IF(SUM(Y149:AJ149)=0,"",SUM(Y149:AJ149))</f>
        <v/>
      </c>
      <c r="AL149" s="84" t="str">
        <f aca="false">MID(IF(N(Y149)&gt;0,", "&amp;Y$2,"")&amp;IF(N(Z149)&gt;0,", "&amp;Z$2,"")&amp;IF(N(AA149)&gt;0,", "&amp;AA$2,"")&amp;IF(N(AB149)&gt;0,", "&amp;AB$2,"")&amp;IF(N(AC149)&gt;0,", "&amp;AC$2,"")&amp;IF(N(AD149)&gt;0,", "&amp;AD$2,"")&amp;IF(N(AE149)&gt;0,", "&amp;AE$2,"")&amp;IF(N(AF149)&gt;0,", "&amp;AF$2,"")&amp;IF(N(AG149)&gt;0,", "&amp;AG$2,"")&amp;IF(N(AH149)&gt;0,", "&amp;AH$2,"")&amp;IF(N(AI149)&gt;0,", "&amp;AI$2,"")&amp;IF(N(AJ149)&gt;0,", "&amp;AJ$2,""),3,999)</f>
        <v/>
      </c>
      <c r="AM149" s="87" t="str">
        <f aca="false">IF(E149="","",MID(IF(N(Y149)&gt;0,", "&amp;A149&amp;"-"&amp;Y$2,"")&amp;IF(N(Z149)&gt;0,", "&amp;A149&amp;"-"&amp;Z$2,"")&amp;IF(N(AA149)&gt;0,", "&amp;A149&amp;"-"&amp;AA$2,"")&amp;IF(N(AB149)&gt;0,", "&amp;A149&amp;"-"&amp;AB$2,"")&amp;IF(N(AC149)&gt;0,", "&amp;A149&amp;"-"&amp;AC$2,"")&amp;IF(N(AD149)&gt;0,", "&amp;A149&amp;"-"&amp;AD$2,"")&amp;IF(N(AE149)&gt;0,", "&amp;A149&amp;"-"&amp;AE$2,"")&amp;IF(N(AF149)&gt;0,", "&amp;A149&amp;"-"&amp;AF$2,"")&amp;IF(N(AG149)&gt;0,", "&amp;A149&amp;"-"&amp;AG$2,"")&amp;IF(N(AH149)&gt;0,", "&amp;A149&amp;"-"&amp;AH$2,"")&amp;IF(N(AI149)&gt;0,", "&amp;A149&amp;"-"&amp;AI$2,"")&amp;IF(N(AJ149)&gt;0,", "&amp;A149&amp;"-"&amp;AJ$2,""),3,999))</f>
        <v/>
      </c>
      <c r="AN149" s="81"/>
      <c r="AO149" s="88"/>
      <c r="AP149" s="89" t="str">
        <f aca="false">IF(AO149="","",ROUND(AO149/(1+Справочники!$B$13),2))</f>
        <v/>
      </c>
      <c r="AQ149" s="90" t="str">
        <f aca="false" t="array" ref="AQ149:AQ149">IF(AP149="","",AP149*INDEX(Справочники!$B$4:$B$7,MATCH("RUB",Справочники!$A$4:$A$7,0)))</f>
        <v/>
      </c>
      <c r="AR149" s="90" t="str">
        <f aca="false">IF(AQ149="","",ROUND(AQ149*(1+Справочники!$B$12),0))</f>
        <v/>
      </c>
      <c r="AS149" s="90" t="str">
        <f aca="false">IF(AR149="","",ROUND(AR149*(1-Справочники!$B$11),0))</f>
        <v/>
      </c>
      <c r="AT149" s="88"/>
      <c r="AU149" s="90" t="str">
        <f aca="false">IF(AT149="","",ROUND(AT149/(1+Справочники!$B$12),0))</f>
        <v/>
      </c>
      <c r="AV149" s="90" t="str">
        <f aca="false">IF(AT149="","",ROUND(AT149*(1-Справочники!$B$15),0))</f>
        <v/>
      </c>
      <c r="AW149" s="90" t="str">
        <f aca="false">IF(AT149="","",ROUND(AT149*(1-Справочники!$B$16),0))</f>
        <v/>
      </c>
      <c r="AX149" s="90" t="str">
        <f aca="false">IF(AT149="","",ROUND(AT149*(1-Справочники!$B$17),0))</f>
        <v/>
      </c>
      <c r="AY149" s="90" t="str">
        <f aca="false">IF(AT149="","",ROUND(AT149*(1-Справочники!$B$18),0))</f>
        <v/>
      </c>
      <c r="AZ149" s="90" t="str">
        <f aca="false">IF(AT149="","",ROUND(AT149*(1-Справочники!$B$19),0))</f>
        <v/>
      </c>
      <c r="BA149" s="81"/>
      <c r="BB149" s="81"/>
      <c r="BC149" s="81"/>
      <c r="BD149" s="81"/>
      <c r="BE149" s="91"/>
      <c r="BF149" s="81" t="s">
        <v>103</v>
      </c>
      <c r="BG149" s="89" t="n">
        <f aca="false" t="array" ref="BG149:BG149">IF(BF149="","",IFERROR(INDEX(Справочники!$B$4:$B$7,MATCH(BF149,Справочники!$A$4:$A$7,0)),""))</f>
        <v>68.5</v>
      </c>
      <c r="BH149" s="90" t="str">
        <f aca="false">IF(N(BN149)&gt;0,ROUND(SUMIF(ЗАКАЗЫ!$F$3:$F$500,$A149,ЗАКАЗЫ!$Y$3:$Y$500)/BN149,0),IF(OR(BE149="",BG149=""),"",ROUND(BE149*BG149*(1+Справочники!$B$10),0)))</f>
        <v/>
      </c>
      <c r="BI149" s="92" t="str">
        <f aca="false">IF(OR(AU149="",BH149="",AU149=0),"",(AU149-BH149)/AU149)</f>
        <v/>
      </c>
      <c r="BJ149" s="81"/>
      <c r="BK149" s="83"/>
      <c r="BL149" s="43" t="str">
        <f aca="false">IFERROR(INDEX(ЗАКАЗЫ!$N$3:$N$500,MATCH($A149,ЗАКАЗЫ!$F$3:$F$500,0)),"")</f>
        <v/>
      </c>
      <c r="BM149" s="8" t="str">
        <f aca="false">IF(BL149="","",IFERROR(VLOOKUP(BL149,'ТН ВЭД'!$A$4:$C$40,3,0),""))</f>
        <v/>
      </c>
      <c r="BN149" s="7" t="str">
        <f aca="false">IF(COUNTIF(ЗАКАЗЫ!$F$3:$F$500,$A149)=0,"",SUMIF(ЗАКАЗЫ!$F$3:$F$500,$A149,ЗАКАЗЫ!$J$3:$J$500))</f>
        <v/>
      </c>
      <c r="BO149" s="7" t="str">
        <f aca="false">IF(BN149="","",SUMIF(ЗАКАЗЫ!$F$3:$F$500,$A149,ЗАКАЗЫ!$AL$3:$AL$500))</f>
        <v/>
      </c>
      <c r="BP149" s="7" t="str">
        <f aca="false">IF(BN149="","",BN149-BO149)</f>
        <v/>
      </c>
      <c r="BQ149" s="55" t="str">
        <f aca="false">IF(BN149="","",IF(BO149&gt;=BN149,"На складе",IF(BO149&gt;0,"Частично","Ждём")))</f>
        <v/>
      </c>
      <c r="BR149" s="43"/>
      <c r="BS149" s="47" t="str">
        <f aca="false">IF(BN149="","",IF(_xlfn.MAXIFS(ЗАКАЗЫ!$AK$3:$AK$500,ЗАКАЗЫ!$F$3:$F$500,$A149)=0,"",_xlfn.MAXIFS(ЗАКАЗЫ!$AK$3:$AK$500,ЗАКАЗЫ!$F$3:$F$500,$A149)))</f>
        <v/>
      </c>
    </row>
    <row r="150" customFormat="false" ht="15.75" hidden="false" customHeight="true" outlineLevel="0" collapsed="false">
      <c r="A150" s="80" t="s">
        <v>1673</v>
      </c>
      <c r="B150" s="81"/>
      <c r="C150" s="81"/>
      <c r="D150" s="81"/>
      <c r="E150" s="83"/>
      <c r="F150" s="81"/>
      <c r="G150" s="83"/>
      <c r="H150" s="83"/>
      <c r="I150" s="84" t="str">
        <f aca="false">IF(E150="","",A150&amp;"_1.jpg")</f>
        <v/>
      </c>
      <c r="J150" s="84" t="str">
        <f aca="false">IF(E150="","",A150&amp;"_2.jpg; "&amp;A150&amp;"_3.jpg")</f>
        <v/>
      </c>
      <c r="K150" s="84" t="str">
        <f aca="false">IF(E150="","",A150&amp;"_schema.jpg")</f>
        <v/>
      </c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 t="s">
        <v>96</v>
      </c>
      <c r="W150" s="81"/>
      <c r="X150" s="81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6" t="str">
        <f aca="false">IF(SUM(Y150:AJ150)=0,"",SUM(Y150:AJ150))</f>
        <v/>
      </c>
      <c r="AL150" s="84" t="str">
        <f aca="false">MID(IF(N(Y150)&gt;0,", "&amp;Y$2,"")&amp;IF(N(Z150)&gt;0,", "&amp;Z$2,"")&amp;IF(N(AA150)&gt;0,", "&amp;AA$2,"")&amp;IF(N(AB150)&gt;0,", "&amp;AB$2,"")&amp;IF(N(AC150)&gt;0,", "&amp;AC$2,"")&amp;IF(N(AD150)&gt;0,", "&amp;AD$2,"")&amp;IF(N(AE150)&gt;0,", "&amp;AE$2,"")&amp;IF(N(AF150)&gt;0,", "&amp;AF$2,"")&amp;IF(N(AG150)&gt;0,", "&amp;AG$2,"")&amp;IF(N(AH150)&gt;0,", "&amp;AH$2,"")&amp;IF(N(AI150)&gt;0,", "&amp;AI$2,"")&amp;IF(N(AJ150)&gt;0,", "&amp;AJ$2,""),3,999)</f>
        <v/>
      </c>
      <c r="AM150" s="87" t="str">
        <f aca="false">IF(E150="","",MID(IF(N(Y150)&gt;0,", "&amp;A150&amp;"-"&amp;Y$2,"")&amp;IF(N(Z150)&gt;0,", "&amp;A150&amp;"-"&amp;Z$2,"")&amp;IF(N(AA150)&gt;0,", "&amp;A150&amp;"-"&amp;AA$2,"")&amp;IF(N(AB150)&gt;0,", "&amp;A150&amp;"-"&amp;AB$2,"")&amp;IF(N(AC150)&gt;0,", "&amp;A150&amp;"-"&amp;AC$2,"")&amp;IF(N(AD150)&gt;0,", "&amp;A150&amp;"-"&amp;AD$2,"")&amp;IF(N(AE150)&gt;0,", "&amp;A150&amp;"-"&amp;AE$2,"")&amp;IF(N(AF150)&gt;0,", "&amp;A150&amp;"-"&amp;AF$2,"")&amp;IF(N(AG150)&gt;0,", "&amp;A150&amp;"-"&amp;AG$2,"")&amp;IF(N(AH150)&gt;0,", "&amp;A150&amp;"-"&amp;AH$2,"")&amp;IF(N(AI150)&gt;0,", "&amp;A150&amp;"-"&amp;AI$2,"")&amp;IF(N(AJ150)&gt;0,", "&amp;A150&amp;"-"&amp;AJ$2,""),3,999))</f>
        <v/>
      </c>
      <c r="AN150" s="81"/>
      <c r="AO150" s="88"/>
      <c r="AP150" s="89" t="str">
        <f aca="false">IF(AO150="","",ROUND(AO150/(1+Справочники!$B$13),2))</f>
        <v/>
      </c>
      <c r="AQ150" s="90" t="str">
        <f aca="false" t="array" ref="AQ150:AQ150">IF(AP150="","",AP150*INDEX(Справочники!$B$4:$B$7,MATCH("RUB",Справочники!$A$4:$A$7,0)))</f>
        <v/>
      </c>
      <c r="AR150" s="90" t="str">
        <f aca="false">IF(AQ150="","",ROUND(AQ150*(1+Справочники!$B$12),0))</f>
        <v/>
      </c>
      <c r="AS150" s="90" t="str">
        <f aca="false">IF(AR150="","",ROUND(AR150*(1-Справочники!$B$11),0))</f>
        <v/>
      </c>
      <c r="AT150" s="88"/>
      <c r="AU150" s="90" t="str">
        <f aca="false">IF(AT150="","",ROUND(AT150/(1+Справочники!$B$12),0))</f>
        <v/>
      </c>
      <c r="AV150" s="90" t="str">
        <f aca="false">IF(AT150="","",ROUND(AT150*(1-Справочники!$B$15),0))</f>
        <v/>
      </c>
      <c r="AW150" s="90" t="str">
        <f aca="false">IF(AT150="","",ROUND(AT150*(1-Справочники!$B$16),0))</f>
        <v/>
      </c>
      <c r="AX150" s="90" t="str">
        <f aca="false">IF(AT150="","",ROUND(AT150*(1-Справочники!$B$17),0))</f>
        <v/>
      </c>
      <c r="AY150" s="90" t="str">
        <f aca="false">IF(AT150="","",ROUND(AT150*(1-Справочники!$B$18),0))</f>
        <v/>
      </c>
      <c r="AZ150" s="90" t="str">
        <f aca="false">IF(AT150="","",ROUND(AT150*(1-Справочники!$B$19),0))</f>
        <v/>
      </c>
      <c r="BA150" s="81"/>
      <c r="BB150" s="81"/>
      <c r="BC150" s="81"/>
      <c r="BD150" s="81"/>
      <c r="BE150" s="91"/>
      <c r="BF150" s="81" t="s">
        <v>103</v>
      </c>
      <c r="BG150" s="89" t="n">
        <f aca="false" t="array" ref="BG150:BG150">IF(BF150="","",IFERROR(INDEX(Справочники!$B$4:$B$7,MATCH(BF150,Справочники!$A$4:$A$7,0)),""))</f>
        <v>68.5</v>
      </c>
      <c r="BH150" s="90" t="str">
        <f aca="false">IF(N(BN150)&gt;0,ROUND(SUMIF(ЗАКАЗЫ!$F$3:$F$500,$A150,ЗАКАЗЫ!$Y$3:$Y$500)/BN150,0),IF(OR(BE150="",BG150=""),"",ROUND(BE150*BG150*(1+Справочники!$B$10),0)))</f>
        <v/>
      </c>
      <c r="BI150" s="92" t="str">
        <f aca="false">IF(OR(AU150="",BH150="",AU150=0),"",(AU150-BH150)/AU150)</f>
        <v/>
      </c>
      <c r="BJ150" s="81"/>
      <c r="BK150" s="83"/>
      <c r="BL150" s="43" t="str">
        <f aca="false">IFERROR(INDEX(ЗАКАЗЫ!$N$3:$N$500,MATCH($A150,ЗАКАЗЫ!$F$3:$F$500,0)),"")</f>
        <v/>
      </c>
      <c r="BM150" s="8" t="str">
        <f aca="false">IF(BL150="","",IFERROR(VLOOKUP(BL150,'ТН ВЭД'!$A$4:$C$40,3,0),""))</f>
        <v/>
      </c>
      <c r="BN150" s="7" t="str">
        <f aca="false">IF(COUNTIF(ЗАКАЗЫ!$F$3:$F$500,$A150)=0,"",SUMIF(ЗАКАЗЫ!$F$3:$F$500,$A150,ЗАКАЗЫ!$J$3:$J$500))</f>
        <v/>
      </c>
      <c r="BO150" s="7" t="str">
        <f aca="false">IF(BN150="","",SUMIF(ЗАКАЗЫ!$F$3:$F$500,$A150,ЗАКАЗЫ!$AL$3:$AL$500))</f>
        <v/>
      </c>
      <c r="BP150" s="7" t="str">
        <f aca="false">IF(BN150="","",BN150-BO150)</f>
        <v/>
      </c>
      <c r="BQ150" s="55" t="str">
        <f aca="false">IF(BN150="","",IF(BO150&gt;=BN150,"На складе",IF(BO150&gt;0,"Частично","Ждём")))</f>
        <v/>
      </c>
      <c r="BR150" s="43"/>
      <c r="BS150" s="47" t="str">
        <f aca="false">IF(BN150="","",IF(_xlfn.MAXIFS(ЗАКАЗЫ!$AK$3:$AK$500,ЗАКАЗЫ!$F$3:$F$500,$A150)=0,"",_xlfn.MAXIFS(ЗАКАЗЫ!$AK$3:$AK$500,ЗАКАЗЫ!$F$3:$F$500,$A150)))</f>
        <v/>
      </c>
    </row>
    <row r="151" customFormat="false" ht="15.75" hidden="false" customHeight="true" outlineLevel="0" collapsed="false">
      <c r="A151" s="80" t="s">
        <v>1674</v>
      </c>
      <c r="B151" s="81"/>
      <c r="C151" s="81"/>
      <c r="D151" s="81"/>
      <c r="E151" s="83"/>
      <c r="F151" s="81"/>
      <c r="G151" s="83"/>
      <c r="H151" s="83"/>
      <c r="I151" s="84" t="str">
        <f aca="false">IF(E151="","",A151&amp;"_1.jpg")</f>
        <v/>
      </c>
      <c r="J151" s="84" t="str">
        <f aca="false">IF(E151="","",A151&amp;"_2.jpg; "&amp;A151&amp;"_3.jpg")</f>
        <v/>
      </c>
      <c r="K151" s="84" t="str">
        <f aca="false">IF(E151="","",A151&amp;"_schema.jpg")</f>
        <v/>
      </c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 t="s">
        <v>96</v>
      </c>
      <c r="W151" s="81"/>
      <c r="X151" s="81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6" t="str">
        <f aca="false">IF(SUM(Y151:AJ151)=0,"",SUM(Y151:AJ151))</f>
        <v/>
      </c>
      <c r="AL151" s="84" t="str">
        <f aca="false">MID(IF(N(Y151)&gt;0,", "&amp;Y$2,"")&amp;IF(N(Z151)&gt;0,", "&amp;Z$2,"")&amp;IF(N(AA151)&gt;0,", "&amp;AA$2,"")&amp;IF(N(AB151)&gt;0,", "&amp;AB$2,"")&amp;IF(N(AC151)&gt;0,", "&amp;AC$2,"")&amp;IF(N(AD151)&gt;0,", "&amp;AD$2,"")&amp;IF(N(AE151)&gt;0,", "&amp;AE$2,"")&amp;IF(N(AF151)&gt;0,", "&amp;AF$2,"")&amp;IF(N(AG151)&gt;0,", "&amp;AG$2,"")&amp;IF(N(AH151)&gt;0,", "&amp;AH$2,"")&amp;IF(N(AI151)&gt;0,", "&amp;AI$2,"")&amp;IF(N(AJ151)&gt;0,", "&amp;AJ$2,""),3,999)</f>
        <v/>
      </c>
      <c r="AM151" s="87" t="str">
        <f aca="false">IF(E151="","",MID(IF(N(Y151)&gt;0,", "&amp;A151&amp;"-"&amp;Y$2,"")&amp;IF(N(Z151)&gt;0,", "&amp;A151&amp;"-"&amp;Z$2,"")&amp;IF(N(AA151)&gt;0,", "&amp;A151&amp;"-"&amp;AA$2,"")&amp;IF(N(AB151)&gt;0,", "&amp;A151&amp;"-"&amp;AB$2,"")&amp;IF(N(AC151)&gt;0,", "&amp;A151&amp;"-"&amp;AC$2,"")&amp;IF(N(AD151)&gt;0,", "&amp;A151&amp;"-"&amp;AD$2,"")&amp;IF(N(AE151)&gt;0,", "&amp;A151&amp;"-"&amp;AE$2,"")&amp;IF(N(AF151)&gt;0,", "&amp;A151&amp;"-"&amp;AF$2,"")&amp;IF(N(AG151)&gt;0,", "&amp;A151&amp;"-"&amp;AG$2,"")&amp;IF(N(AH151)&gt;0,", "&amp;A151&amp;"-"&amp;AH$2,"")&amp;IF(N(AI151)&gt;0,", "&amp;A151&amp;"-"&amp;AI$2,"")&amp;IF(N(AJ151)&gt;0,", "&amp;A151&amp;"-"&amp;AJ$2,""),3,999))</f>
        <v/>
      </c>
      <c r="AN151" s="81"/>
      <c r="AO151" s="88"/>
      <c r="AP151" s="89" t="str">
        <f aca="false">IF(AO151="","",ROUND(AO151/(1+Справочники!$B$13),2))</f>
        <v/>
      </c>
      <c r="AQ151" s="90" t="str">
        <f aca="false" t="array" ref="AQ151:AQ151">IF(AP151="","",AP151*INDEX(Справочники!$B$4:$B$7,MATCH("RUB",Справочники!$A$4:$A$7,0)))</f>
        <v/>
      </c>
      <c r="AR151" s="90" t="str">
        <f aca="false">IF(AQ151="","",ROUND(AQ151*(1+Справочники!$B$12),0))</f>
        <v/>
      </c>
      <c r="AS151" s="90" t="str">
        <f aca="false">IF(AR151="","",ROUND(AR151*(1-Справочники!$B$11),0))</f>
        <v/>
      </c>
      <c r="AT151" s="88"/>
      <c r="AU151" s="90" t="str">
        <f aca="false">IF(AT151="","",ROUND(AT151/(1+Справочники!$B$12),0))</f>
        <v/>
      </c>
      <c r="AV151" s="90" t="str">
        <f aca="false">IF(AT151="","",ROUND(AT151*(1-Справочники!$B$15),0))</f>
        <v/>
      </c>
      <c r="AW151" s="90" t="str">
        <f aca="false">IF(AT151="","",ROUND(AT151*(1-Справочники!$B$16),0))</f>
        <v/>
      </c>
      <c r="AX151" s="90" t="str">
        <f aca="false">IF(AT151="","",ROUND(AT151*(1-Справочники!$B$17),0))</f>
        <v/>
      </c>
      <c r="AY151" s="90" t="str">
        <f aca="false">IF(AT151="","",ROUND(AT151*(1-Справочники!$B$18),0))</f>
        <v/>
      </c>
      <c r="AZ151" s="90" t="str">
        <f aca="false">IF(AT151="","",ROUND(AT151*(1-Справочники!$B$19),0))</f>
        <v/>
      </c>
      <c r="BA151" s="81"/>
      <c r="BB151" s="81"/>
      <c r="BC151" s="81"/>
      <c r="BD151" s="81"/>
      <c r="BE151" s="91"/>
      <c r="BF151" s="81" t="s">
        <v>103</v>
      </c>
      <c r="BG151" s="89" t="n">
        <f aca="false" t="array" ref="BG151:BG151">IF(BF151="","",IFERROR(INDEX(Справочники!$B$4:$B$7,MATCH(BF151,Справочники!$A$4:$A$7,0)),""))</f>
        <v>68.5</v>
      </c>
      <c r="BH151" s="90" t="str">
        <f aca="false">IF(N(BN151)&gt;0,ROUND(SUMIF(ЗАКАЗЫ!$F$3:$F$500,$A151,ЗАКАЗЫ!$Y$3:$Y$500)/BN151,0),IF(OR(BE151="",BG151=""),"",ROUND(BE151*BG151*(1+Справочники!$B$10),0)))</f>
        <v/>
      </c>
      <c r="BI151" s="92" t="str">
        <f aca="false">IF(OR(AU151="",BH151="",AU151=0),"",(AU151-BH151)/AU151)</f>
        <v/>
      </c>
      <c r="BJ151" s="81"/>
      <c r="BK151" s="83"/>
      <c r="BL151" s="43" t="str">
        <f aca="false">IFERROR(INDEX(ЗАКАЗЫ!$N$3:$N$500,MATCH($A151,ЗАКАЗЫ!$F$3:$F$500,0)),"")</f>
        <v/>
      </c>
      <c r="BM151" s="8" t="str">
        <f aca="false">IF(BL151="","",IFERROR(VLOOKUP(BL151,'ТН ВЭД'!$A$4:$C$40,3,0),""))</f>
        <v/>
      </c>
      <c r="BN151" s="7" t="str">
        <f aca="false">IF(COUNTIF(ЗАКАЗЫ!$F$3:$F$500,$A151)=0,"",SUMIF(ЗАКАЗЫ!$F$3:$F$500,$A151,ЗАКАЗЫ!$J$3:$J$500))</f>
        <v/>
      </c>
      <c r="BO151" s="7" t="str">
        <f aca="false">IF(BN151="","",SUMIF(ЗАКАЗЫ!$F$3:$F$500,$A151,ЗАКАЗЫ!$AL$3:$AL$500))</f>
        <v/>
      </c>
      <c r="BP151" s="7" t="str">
        <f aca="false">IF(BN151="","",BN151-BO151)</f>
        <v/>
      </c>
      <c r="BQ151" s="55" t="str">
        <f aca="false">IF(BN151="","",IF(BO151&gt;=BN151,"На складе",IF(BO151&gt;0,"Частично","Ждём")))</f>
        <v/>
      </c>
      <c r="BR151" s="43"/>
      <c r="BS151" s="47" t="str">
        <f aca="false">IF(BN151="","",IF(_xlfn.MAXIFS(ЗАКАЗЫ!$AK$3:$AK$500,ЗАКАЗЫ!$F$3:$F$500,$A151)=0,"",_xlfn.MAXIFS(ЗАКАЗЫ!$AK$3:$AK$500,ЗАКАЗЫ!$F$3:$F$500,$A151)))</f>
        <v/>
      </c>
    </row>
    <row r="152" customFormat="false" ht="15.75" hidden="false" customHeight="true" outlineLevel="0" collapsed="false">
      <c r="A152" s="80" t="s">
        <v>1675</v>
      </c>
      <c r="B152" s="81"/>
      <c r="C152" s="81"/>
      <c r="D152" s="81"/>
      <c r="E152" s="83"/>
      <c r="F152" s="81"/>
      <c r="G152" s="83"/>
      <c r="H152" s="83"/>
      <c r="I152" s="84" t="str">
        <f aca="false">IF(E152="","",A152&amp;"_1.jpg")</f>
        <v/>
      </c>
      <c r="J152" s="84" t="str">
        <f aca="false">IF(E152="","",A152&amp;"_2.jpg; "&amp;A152&amp;"_3.jpg")</f>
        <v/>
      </c>
      <c r="K152" s="84" t="str">
        <f aca="false">IF(E152="","",A152&amp;"_schema.jpg")</f>
        <v/>
      </c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 t="s">
        <v>96</v>
      </c>
      <c r="W152" s="81"/>
      <c r="X152" s="81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6" t="str">
        <f aca="false">IF(SUM(Y152:AJ152)=0,"",SUM(Y152:AJ152))</f>
        <v/>
      </c>
      <c r="AL152" s="84" t="str">
        <f aca="false">MID(IF(N(Y152)&gt;0,", "&amp;Y$2,"")&amp;IF(N(Z152)&gt;0,", "&amp;Z$2,"")&amp;IF(N(AA152)&gt;0,", "&amp;AA$2,"")&amp;IF(N(AB152)&gt;0,", "&amp;AB$2,"")&amp;IF(N(AC152)&gt;0,", "&amp;AC$2,"")&amp;IF(N(AD152)&gt;0,", "&amp;AD$2,"")&amp;IF(N(AE152)&gt;0,", "&amp;AE$2,"")&amp;IF(N(AF152)&gt;0,", "&amp;AF$2,"")&amp;IF(N(AG152)&gt;0,", "&amp;AG$2,"")&amp;IF(N(AH152)&gt;0,", "&amp;AH$2,"")&amp;IF(N(AI152)&gt;0,", "&amp;AI$2,"")&amp;IF(N(AJ152)&gt;0,", "&amp;AJ$2,""),3,999)</f>
        <v/>
      </c>
      <c r="AM152" s="87" t="str">
        <f aca="false">IF(E152="","",MID(IF(N(Y152)&gt;0,", "&amp;A152&amp;"-"&amp;Y$2,"")&amp;IF(N(Z152)&gt;0,", "&amp;A152&amp;"-"&amp;Z$2,"")&amp;IF(N(AA152)&gt;0,", "&amp;A152&amp;"-"&amp;AA$2,"")&amp;IF(N(AB152)&gt;0,", "&amp;A152&amp;"-"&amp;AB$2,"")&amp;IF(N(AC152)&gt;0,", "&amp;A152&amp;"-"&amp;AC$2,"")&amp;IF(N(AD152)&gt;0,", "&amp;A152&amp;"-"&amp;AD$2,"")&amp;IF(N(AE152)&gt;0,", "&amp;A152&amp;"-"&amp;AE$2,"")&amp;IF(N(AF152)&gt;0,", "&amp;A152&amp;"-"&amp;AF$2,"")&amp;IF(N(AG152)&gt;0,", "&amp;A152&amp;"-"&amp;AG$2,"")&amp;IF(N(AH152)&gt;0,", "&amp;A152&amp;"-"&amp;AH$2,"")&amp;IF(N(AI152)&gt;0,", "&amp;A152&amp;"-"&amp;AI$2,"")&amp;IF(N(AJ152)&gt;0,", "&amp;A152&amp;"-"&amp;AJ$2,""),3,999))</f>
        <v/>
      </c>
      <c r="AN152" s="81"/>
      <c r="AO152" s="88"/>
      <c r="AP152" s="89" t="str">
        <f aca="false">IF(AO152="","",ROUND(AO152/(1+Справочники!$B$13),2))</f>
        <v/>
      </c>
      <c r="AQ152" s="90" t="str">
        <f aca="false" t="array" ref="AQ152:AQ152">IF(AP152="","",AP152*INDEX(Справочники!$B$4:$B$7,MATCH("RUB",Справочники!$A$4:$A$7,0)))</f>
        <v/>
      </c>
      <c r="AR152" s="90" t="str">
        <f aca="false">IF(AQ152="","",ROUND(AQ152*(1+Справочники!$B$12),0))</f>
        <v/>
      </c>
      <c r="AS152" s="90" t="str">
        <f aca="false">IF(AR152="","",ROUND(AR152*(1-Справочники!$B$11),0))</f>
        <v/>
      </c>
      <c r="AT152" s="88"/>
      <c r="AU152" s="90" t="str">
        <f aca="false">IF(AT152="","",ROUND(AT152/(1+Справочники!$B$12),0))</f>
        <v/>
      </c>
      <c r="AV152" s="90" t="str">
        <f aca="false">IF(AT152="","",ROUND(AT152*(1-Справочники!$B$15),0))</f>
        <v/>
      </c>
      <c r="AW152" s="90" t="str">
        <f aca="false">IF(AT152="","",ROUND(AT152*(1-Справочники!$B$16),0))</f>
        <v/>
      </c>
      <c r="AX152" s="90" t="str">
        <f aca="false">IF(AT152="","",ROUND(AT152*(1-Справочники!$B$17),0))</f>
        <v/>
      </c>
      <c r="AY152" s="90" t="str">
        <f aca="false">IF(AT152="","",ROUND(AT152*(1-Справочники!$B$18),0))</f>
        <v/>
      </c>
      <c r="AZ152" s="90" t="str">
        <f aca="false">IF(AT152="","",ROUND(AT152*(1-Справочники!$B$19),0))</f>
        <v/>
      </c>
      <c r="BA152" s="81"/>
      <c r="BB152" s="81"/>
      <c r="BC152" s="81"/>
      <c r="BD152" s="81"/>
      <c r="BE152" s="91"/>
      <c r="BF152" s="81" t="s">
        <v>103</v>
      </c>
      <c r="BG152" s="89" t="n">
        <f aca="false" t="array" ref="BG152:BG152">IF(BF152="","",IFERROR(INDEX(Справочники!$B$4:$B$7,MATCH(BF152,Справочники!$A$4:$A$7,0)),""))</f>
        <v>68.5</v>
      </c>
      <c r="BH152" s="90" t="str">
        <f aca="false">IF(N(BN152)&gt;0,ROUND(SUMIF(ЗАКАЗЫ!$F$3:$F$500,$A152,ЗАКАЗЫ!$Y$3:$Y$500)/BN152,0),IF(OR(BE152="",BG152=""),"",ROUND(BE152*BG152*(1+Справочники!$B$10),0)))</f>
        <v/>
      </c>
      <c r="BI152" s="92" t="str">
        <f aca="false">IF(OR(AU152="",BH152="",AU152=0),"",(AU152-BH152)/AU152)</f>
        <v/>
      </c>
      <c r="BJ152" s="81"/>
      <c r="BK152" s="83"/>
      <c r="BL152" s="43" t="str">
        <f aca="false">IFERROR(INDEX(ЗАКАЗЫ!$N$3:$N$500,MATCH($A152,ЗАКАЗЫ!$F$3:$F$500,0)),"")</f>
        <v/>
      </c>
      <c r="BM152" s="8" t="str">
        <f aca="false">IF(BL152="","",IFERROR(VLOOKUP(BL152,'ТН ВЭД'!$A$4:$C$40,3,0),""))</f>
        <v/>
      </c>
      <c r="BN152" s="7" t="str">
        <f aca="false">IF(COUNTIF(ЗАКАЗЫ!$F$3:$F$500,$A152)=0,"",SUMIF(ЗАКАЗЫ!$F$3:$F$500,$A152,ЗАКАЗЫ!$J$3:$J$500))</f>
        <v/>
      </c>
      <c r="BO152" s="7" t="str">
        <f aca="false">IF(BN152="","",SUMIF(ЗАКАЗЫ!$F$3:$F$500,$A152,ЗАКАЗЫ!$AL$3:$AL$500))</f>
        <v/>
      </c>
      <c r="BP152" s="7" t="str">
        <f aca="false">IF(BN152="","",BN152-BO152)</f>
        <v/>
      </c>
      <c r="BQ152" s="55" t="str">
        <f aca="false">IF(BN152="","",IF(BO152&gt;=BN152,"На складе",IF(BO152&gt;0,"Частично","Ждём")))</f>
        <v/>
      </c>
      <c r="BR152" s="43"/>
      <c r="BS152" s="47" t="str">
        <f aca="false">IF(BN152="","",IF(_xlfn.MAXIFS(ЗАКАЗЫ!$AK$3:$AK$500,ЗАКАЗЫ!$F$3:$F$500,$A152)=0,"",_xlfn.MAXIFS(ЗАКАЗЫ!$AK$3:$AK$500,ЗАКАЗЫ!$F$3:$F$500,$A152)))</f>
        <v/>
      </c>
    </row>
    <row r="153" customFormat="false" ht="15.75" hidden="false" customHeight="true" outlineLevel="0" collapsed="false">
      <c r="A153" s="80" t="s">
        <v>1676</v>
      </c>
      <c r="B153" s="81"/>
      <c r="C153" s="81"/>
      <c r="D153" s="81"/>
      <c r="E153" s="83"/>
      <c r="F153" s="81"/>
      <c r="G153" s="83"/>
      <c r="H153" s="83"/>
      <c r="I153" s="84" t="str">
        <f aca="false">IF(E153="","",A153&amp;"_1.jpg")</f>
        <v/>
      </c>
      <c r="J153" s="84" t="str">
        <f aca="false">IF(E153="","",A153&amp;"_2.jpg; "&amp;A153&amp;"_3.jpg")</f>
        <v/>
      </c>
      <c r="K153" s="84" t="str">
        <f aca="false">IF(E153="","",A153&amp;"_schema.jpg")</f>
        <v/>
      </c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 t="s">
        <v>96</v>
      </c>
      <c r="W153" s="81"/>
      <c r="X153" s="81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6" t="str">
        <f aca="false">IF(SUM(Y153:AJ153)=0,"",SUM(Y153:AJ153))</f>
        <v/>
      </c>
      <c r="AL153" s="84" t="str">
        <f aca="false">MID(IF(N(Y153)&gt;0,", "&amp;Y$2,"")&amp;IF(N(Z153)&gt;0,", "&amp;Z$2,"")&amp;IF(N(AA153)&gt;0,", "&amp;AA$2,"")&amp;IF(N(AB153)&gt;0,", "&amp;AB$2,"")&amp;IF(N(AC153)&gt;0,", "&amp;AC$2,"")&amp;IF(N(AD153)&gt;0,", "&amp;AD$2,"")&amp;IF(N(AE153)&gt;0,", "&amp;AE$2,"")&amp;IF(N(AF153)&gt;0,", "&amp;AF$2,"")&amp;IF(N(AG153)&gt;0,", "&amp;AG$2,"")&amp;IF(N(AH153)&gt;0,", "&amp;AH$2,"")&amp;IF(N(AI153)&gt;0,", "&amp;AI$2,"")&amp;IF(N(AJ153)&gt;0,", "&amp;AJ$2,""),3,999)</f>
        <v/>
      </c>
      <c r="AM153" s="87" t="str">
        <f aca="false">IF(E153="","",MID(IF(N(Y153)&gt;0,", "&amp;A153&amp;"-"&amp;Y$2,"")&amp;IF(N(Z153)&gt;0,", "&amp;A153&amp;"-"&amp;Z$2,"")&amp;IF(N(AA153)&gt;0,", "&amp;A153&amp;"-"&amp;AA$2,"")&amp;IF(N(AB153)&gt;0,", "&amp;A153&amp;"-"&amp;AB$2,"")&amp;IF(N(AC153)&gt;0,", "&amp;A153&amp;"-"&amp;AC$2,"")&amp;IF(N(AD153)&gt;0,", "&amp;A153&amp;"-"&amp;AD$2,"")&amp;IF(N(AE153)&gt;0,", "&amp;A153&amp;"-"&amp;AE$2,"")&amp;IF(N(AF153)&gt;0,", "&amp;A153&amp;"-"&amp;AF$2,"")&amp;IF(N(AG153)&gt;0,", "&amp;A153&amp;"-"&amp;AG$2,"")&amp;IF(N(AH153)&gt;0,", "&amp;A153&amp;"-"&amp;AH$2,"")&amp;IF(N(AI153)&gt;0,", "&amp;A153&amp;"-"&amp;AI$2,"")&amp;IF(N(AJ153)&gt;0,", "&amp;A153&amp;"-"&amp;AJ$2,""),3,999))</f>
        <v/>
      </c>
      <c r="AN153" s="81"/>
      <c r="AO153" s="88"/>
      <c r="AP153" s="89" t="str">
        <f aca="false">IF(AO153="","",ROUND(AO153/(1+Справочники!$B$13),2))</f>
        <v/>
      </c>
      <c r="AQ153" s="90" t="str">
        <f aca="false" t="array" ref="AQ153:AQ153">IF(AP153="","",AP153*INDEX(Справочники!$B$4:$B$7,MATCH("RUB",Справочники!$A$4:$A$7,0)))</f>
        <v/>
      </c>
      <c r="AR153" s="90" t="str">
        <f aca="false">IF(AQ153="","",ROUND(AQ153*(1+Справочники!$B$12),0))</f>
        <v/>
      </c>
      <c r="AS153" s="90" t="str">
        <f aca="false">IF(AR153="","",ROUND(AR153*(1-Справочники!$B$11),0))</f>
        <v/>
      </c>
      <c r="AT153" s="88"/>
      <c r="AU153" s="90" t="str">
        <f aca="false">IF(AT153="","",ROUND(AT153/(1+Справочники!$B$12),0))</f>
        <v/>
      </c>
      <c r="AV153" s="90" t="str">
        <f aca="false">IF(AT153="","",ROUND(AT153*(1-Справочники!$B$15),0))</f>
        <v/>
      </c>
      <c r="AW153" s="90" t="str">
        <f aca="false">IF(AT153="","",ROUND(AT153*(1-Справочники!$B$16),0))</f>
        <v/>
      </c>
      <c r="AX153" s="90" t="str">
        <f aca="false">IF(AT153="","",ROUND(AT153*(1-Справочники!$B$17),0))</f>
        <v/>
      </c>
      <c r="AY153" s="90" t="str">
        <f aca="false">IF(AT153="","",ROUND(AT153*(1-Справочники!$B$18),0))</f>
        <v/>
      </c>
      <c r="AZ153" s="90" t="str">
        <f aca="false">IF(AT153="","",ROUND(AT153*(1-Справочники!$B$19),0))</f>
        <v/>
      </c>
      <c r="BA153" s="81"/>
      <c r="BB153" s="81"/>
      <c r="BC153" s="81"/>
      <c r="BD153" s="81"/>
      <c r="BE153" s="91"/>
      <c r="BF153" s="81" t="s">
        <v>103</v>
      </c>
      <c r="BG153" s="89" t="n">
        <f aca="false" t="array" ref="BG153:BG153">IF(BF153="","",IFERROR(INDEX(Справочники!$B$4:$B$7,MATCH(BF153,Справочники!$A$4:$A$7,0)),""))</f>
        <v>68.5</v>
      </c>
      <c r="BH153" s="90" t="str">
        <f aca="false">IF(N(BN153)&gt;0,ROUND(SUMIF(ЗАКАЗЫ!$F$3:$F$500,$A153,ЗАКАЗЫ!$Y$3:$Y$500)/BN153,0),IF(OR(BE153="",BG153=""),"",ROUND(BE153*BG153*(1+Справочники!$B$10),0)))</f>
        <v/>
      </c>
      <c r="BI153" s="92" t="str">
        <f aca="false">IF(OR(AU153="",BH153="",AU153=0),"",(AU153-BH153)/AU153)</f>
        <v/>
      </c>
      <c r="BJ153" s="81"/>
      <c r="BK153" s="83"/>
      <c r="BL153" s="43" t="str">
        <f aca="false">IFERROR(INDEX(ЗАКАЗЫ!$N$3:$N$500,MATCH($A153,ЗАКАЗЫ!$F$3:$F$500,0)),"")</f>
        <v/>
      </c>
      <c r="BM153" s="8" t="str">
        <f aca="false">IF(BL153="","",IFERROR(VLOOKUP(BL153,'ТН ВЭД'!$A$4:$C$40,3,0),""))</f>
        <v/>
      </c>
      <c r="BN153" s="7" t="str">
        <f aca="false">IF(COUNTIF(ЗАКАЗЫ!$F$3:$F$500,$A153)=0,"",SUMIF(ЗАКАЗЫ!$F$3:$F$500,$A153,ЗАКАЗЫ!$J$3:$J$500))</f>
        <v/>
      </c>
      <c r="BO153" s="7" t="str">
        <f aca="false">IF(BN153="","",SUMIF(ЗАКАЗЫ!$F$3:$F$500,$A153,ЗАКАЗЫ!$AL$3:$AL$500))</f>
        <v/>
      </c>
      <c r="BP153" s="7" t="str">
        <f aca="false">IF(BN153="","",BN153-BO153)</f>
        <v/>
      </c>
      <c r="BQ153" s="55" t="str">
        <f aca="false">IF(BN153="","",IF(BO153&gt;=BN153,"На складе",IF(BO153&gt;0,"Частично","Ждём")))</f>
        <v/>
      </c>
      <c r="BR153" s="43"/>
      <c r="BS153" s="47" t="str">
        <f aca="false">IF(BN153="","",IF(_xlfn.MAXIFS(ЗАКАЗЫ!$AK$3:$AK$500,ЗАКАЗЫ!$F$3:$F$500,$A153)=0,"",_xlfn.MAXIFS(ЗАКАЗЫ!$AK$3:$AK$500,ЗАКАЗЫ!$F$3:$F$500,$A153)))</f>
        <v/>
      </c>
    </row>
    <row r="154" customFormat="false" ht="15.75" hidden="false" customHeight="true" outlineLevel="0" collapsed="false">
      <c r="A154" s="80" t="s">
        <v>1677</v>
      </c>
      <c r="B154" s="81"/>
      <c r="C154" s="81"/>
      <c r="D154" s="81"/>
      <c r="E154" s="83"/>
      <c r="F154" s="81"/>
      <c r="G154" s="83"/>
      <c r="H154" s="83"/>
      <c r="I154" s="84" t="str">
        <f aca="false">IF(E154="","",A154&amp;"_1.jpg")</f>
        <v/>
      </c>
      <c r="J154" s="84" t="str">
        <f aca="false">IF(E154="","",A154&amp;"_2.jpg; "&amp;A154&amp;"_3.jpg")</f>
        <v/>
      </c>
      <c r="K154" s="84" t="str">
        <f aca="false">IF(E154="","",A154&amp;"_schema.jpg")</f>
        <v/>
      </c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 t="s">
        <v>96</v>
      </c>
      <c r="W154" s="81"/>
      <c r="X154" s="81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6" t="str">
        <f aca="false">IF(SUM(Y154:AJ154)=0,"",SUM(Y154:AJ154))</f>
        <v/>
      </c>
      <c r="AL154" s="84" t="str">
        <f aca="false">MID(IF(N(Y154)&gt;0,", "&amp;Y$2,"")&amp;IF(N(Z154)&gt;0,", "&amp;Z$2,"")&amp;IF(N(AA154)&gt;0,", "&amp;AA$2,"")&amp;IF(N(AB154)&gt;0,", "&amp;AB$2,"")&amp;IF(N(AC154)&gt;0,", "&amp;AC$2,"")&amp;IF(N(AD154)&gt;0,", "&amp;AD$2,"")&amp;IF(N(AE154)&gt;0,", "&amp;AE$2,"")&amp;IF(N(AF154)&gt;0,", "&amp;AF$2,"")&amp;IF(N(AG154)&gt;0,", "&amp;AG$2,"")&amp;IF(N(AH154)&gt;0,", "&amp;AH$2,"")&amp;IF(N(AI154)&gt;0,", "&amp;AI$2,"")&amp;IF(N(AJ154)&gt;0,", "&amp;AJ$2,""),3,999)</f>
        <v/>
      </c>
      <c r="AM154" s="87" t="str">
        <f aca="false">IF(E154="","",MID(IF(N(Y154)&gt;0,", "&amp;A154&amp;"-"&amp;Y$2,"")&amp;IF(N(Z154)&gt;0,", "&amp;A154&amp;"-"&amp;Z$2,"")&amp;IF(N(AA154)&gt;0,", "&amp;A154&amp;"-"&amp;AA$2,"")&amp;IF(N(AB154)&gt;0,", "&amp;A154&amp;"-"&amp;AB$2,"")&amp;IF(N(AC154)&gt;0,", "&amp;A154&amp;"-"&amp;AC$2,"")&amp;IF(N(AD154)&gt;0,", "&amp;A154&amp;"-"&amp;AD$2,"")&amp;IF(N(AE154)&gt;0,", "&amp;A154&amp;"-"&amp;AE$2,"")&amp;IF(N(AF154)&gt;0,", "&amp;A154&amp;"-"&amp;AF$2,"")&amp;IF(N(AG154)&gt;0,", "&amp;A154&amp;"-"&amp;AG$2,"")&amp;IF(N(AH154)&gt;0,", "&amp;A154&amp;"-"&amp;AH$2,"")&amp;IF(N(AI154)&gt;0,", "&amp;A154&amp;"-"&amp;AI$2,"")&amp;IF(N(AJ154)&gt;0,", "&amp;A154&amp;"-"&amp;AJ$2,""),3,999))</f>
        <v/>
      </c>
      <c r="AN154" s="81"/>
      <c r="AO154" s="88"/>
      <c r="AP154" s="89" t="str">
        <f aca="false">IF(AO154="","",ROUND(AO154/(1+Справочники!$B$13),2))</f>
        <v/>
      </c>
      <c r="AQ154" s="90" t="str">
        <f aca="false" t="array" ref="AQ154:AQ154">IF(AP154="","",AP154*INDEX(Справочники!$B$4:$B$7,MATCH("RUB",Справочники!$A$4:$A$7,0)))</f>
        <v/>
      </c>
      <c r="AR154" s="90" t="str">
        <f aca="false">IF(AQ154="","",ROUND(AQ154*(1+Справочники!$B$12),0))</f>
        <v/>
      </c>
      <c r="AS154" s="90" t="str">
        <f aca="false">IF(AR154="","",ROUND(AR154*(1-Справочники!$B$11),0))</f>
        <v/>
      </c>
      <c r="AT154" s="88"/>
      <c r="AU154" s="90" t="str">
        <f aca="false">IF(AT154="","",ROUND(AT154/(1+Справочники!$B$12),0))</f>
        <v/>
      </c>
      <c r="AV154" s="90" t="str">
        <f aca="false">IF(AT154="","",ROUND(AT154*(1-Справочники!$B$15),0))</f>
        <v/>
      </c>
      <c r="AW154" s="90" t="str">
        <f aca="false">IF(AT154="","",ROUND(AT154*(1-Справочники!$B$16),0))</f>
        <v/>
      </c>
      <c r="AX154" s="90" t="str">
        <f aca="false">IF(AT154="","",ROUND(AT154*(1-Справочники!$B$17),0))</f>
        <v/>
      </c>
      <c r="AY154" s="90" t="str">
        <f aca="false">IF(AT154="","",ROUND(AT154*(1-Справочники!$B$18),0))</f>
        <v/>
      </c>
      <c r="AZ154" s="90" t="str">
        <f aca="false">IF(AT154="","",ROUND(AT154*(1-Справочники!$B$19),0))</f>
        <v/>
      </c>
      <c r="BA154" s="81"/>
      <c r="BB154" s="81"/>
      <c r="BC154" s="81"/>
      <c r="BD154" s="81"/>
      <c r="BE154" s="91"/>
      <c r="BF154" s="81" t="s">
        <v>103</v>
      </c>
      <c r="BG154" s="89" t="n">
        <f aca="false" t="array" ref="BG154:BG154">IF(BF154="","",IFERROR(INDEX(Справочники!$B$4:$B$7,MATCH(BF154,Справочники!$A$4:$A$7,0)),""))</f>
        <v>68.5</v>
      </c>
      <c r="BH154" s="90" t="str">
        <f aca="false">IF(N(BN154)&gt;0,ROUND(SUMIF(ЗАКАЗЫ!$F$3:$F$500,$A154,ЗАКАЗЫ!$Y$3:$Y$500)/BN154,0),IF(OR(BE154="",BG154=""),"",ROUND(BE154*BG154*(1+Справочники!$B$10),0)))</f>
        <v/>
      </c>
      <c r="BI154" s="92" t="str">
        <f aca="false">IF(OR(AU154="",BH154="",AU154=0),"",(AU154-BH154)/AU154)</f>
        <v/>
      </c>
      <c r="BJ154" s="81"/>
      <c r="BK154" s="83"/>
      <c r="BL154" s="43" t="str">
        <f aca="false">IFERROR(INDEX(ЗАКАЗЫ!$N$3:$N$500,MATCH($A154,ЗАКАЗЫ!$F$3:$F$500,0)),"")</f>
        <v/>
      </c>
      <c r="BM154" s="8" t="str">
        <f aca="false">IF(BL154="","",IFERROR(VLOOKUP(BL154,'ТН ВЭД'!$A$4:$C$40,3,0),""))</f>
        <v/>
      </c>
      <c r="BN154" s="7" t="str">
        <f aca="false">IF(COUNTIF(ЗАКАЗЫ!$F$3:$F$500,$A154)=0,"",SUMIF(ЗАКАЗЫ!$F$3:$F$500,$A154,ЗАКАЗЫ!$J$3:$J$500))</f>
        <v/>
      </c>
      <c r="BO154" s="7" t="str">
        <f aca="false">IF(BN154="","",SUMIF(ЗАКАЗЫ!$F$3:$F$500,$A154,ЗАКАЗЫ!$AL$3:$AL$500))</f>
        <v/>
      </c>
      <c r="BP154" s="7" t="str">
        <f aca="false">IF(BN154="","",BN154-BO154)</f>
        <v/>
      </c>
      <c r="BQ154" s="55" t="str">
        <f aca="false">IF(BN154="","",IF(BO154&gt;=BN154,"На складе",IF(BO154&gt;0,"Частично","Ждём")))</f>
        <v/>
      </c>
      <c r="BR154" s="43"/>
      <c r="BS154" s="47" t="str">
        <f aca="false">IF(BN154="","",IF(_xlfn.MAXIFS(ЗАКАЗЫ!$AK$3:$AK$500,ЗАКАЗЫ!$F$3:$F$500,$A154)=0,"",_xlfn.MAXIFS(ЗАКАЗЫ!$AK$3:$AK$500,ЗАКАЗЫ!$F$3:$F$500,$A154)))</f>
        <v/>
      </c>
    </row>
    <row r="155" customFormat="false" ht="15.75" hidden="false" customHeight="true" outlineLevel="0" collapsed="false">
      <c r="A155" s="80" t="s">
        <v>1678</v>
      </c>
      <c r="B155" s="81"/>
      <c r="C155" s="81"/>
      <c r="D155" s="81"/>
      <c r="E155" s="83"/>
      <c r="F155" s="81"/>
      <c r="G155" s="83"/>
      <c r="H155" s="83"/>
      <c r="I155" s="84" t="str">
        <f aca="false">IF(E155="","",A155&amp;"_1.jpg")</f>
        <v/>
      </c>
      <c r="J155" s="84" t="str">
        <f aca="false">IF(E155="","",A155&amp;"_2.jpg; "&amp;A155&amp;"_3.jpg")</f>
        <v/>
      </c>
      <c r="K155" s="84" t="str">
        <f aca="false">IF(E155="","",A155&amp;"_schema.jpg")</f>
        <v/>
      </c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 t="s">
        <v>96</v>
      </c>
      <c r="W155" s="81"/>
      <c r="X155" s="81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6" t="str">
        <f aca="false">IF(SUM(Y155:AJ155)=0,"",SUM(Y155:AJ155))</f>
        <v/>
      </c>
      <c r="AL155" s="84" t="str">
        <f aca="false">MID(IF(N(Y155)&gt;0,", "&amp;Y$2,"")&amp;IF(N(Z155)&gt;0,", "&amp;Z$2,"")&amp;IF(N(AA155)&gt;0,", "&amp;AA$2,"")&amp;IF(N(AB155)&gt;0,", "&amp;AB$2,"")&amp;IF(N(AC155)&gt;0,", "&amp;AC$2,"")&amp;IF(N(AD155)&gt;0,", "&amp;AD$2,"")&amp;IF(N(AE155)&gt;0,", "&amp;AE$2,"")&amp;IF(N(AF155)&gt;0,", "&amp;AF$2,"")&amp;IF(N(AG155)&gt;0,", "&amp;AG$2,"")&amp;IF(N(AH155)&gt;0,", "&amp;AH$2,"")&amp;IF(N(AI155)&gt;0,", "&amp;AI$2,"")&amp;IF(N(AJ155)&gt;0,", "&amp;AJ$2,""),3,999)</f>
        <v/>
      </c>
      <c r="AM155" s="87" t="str">
        <f aca="false">IF(E155="","",MID(IF(N(Y155)&gt;0,", "&amp;A155&amp;"-"&amp;Y$2,"")&amp;IF(N(Z155)&gt;0,", "&amp;A155&amp;"-"&amp;Z$2,"")&amp;IF(N(AA155)&gt;0,", "&amp;A155&amp;"-"&amp;AA$2,"")&amp;IF(N(AB155)&gt;0,", "&amp;A155&amp;"-"&amp;AB$2,"")&amp;IF(N(AC155)&gt;0,", "&amp;A155&amp;"-"&amp;AC$2,"")&amp;IF(N(AD155)&gt;0,", "&amp;A155&amp;"-"&amp;AD$2,"")&amp;IF(N(AE155)&gt;0,", "&amp;A155&amp;"-"&amp;AE$2,"")&amp;IF(N(AF155)&gt;0,", "&amp;A155&amp;"-"&amp;AF$2,"")&amp;IF(N(AG155)&gt;0,", "&amp;A155&amp;"-"&amp;AG$2,"")&amp;IF(N(AH155)&gt;0,", "&amp;A155&amp;"-"&amp;AH$2,"")&amp;IF(N(AI155)&gt;0,", "&amp;A155&amp;"-"&amp;AI$2,"")&amp;IF(N(AJ155)&gt;0,", "&amp;A155&amp;"-"&amp;AJ$2,""),3,999))</f>
        <v/>
      </c>
      <c r="AN155" s="81"/>
      <c r="AO155" s="88"/>
      <c r="AP155" s="89" t="str">
        <f aca="false">IF(AO155="","",ROUND(AO155/(1+Справочники!$B$13),2))</f>
        <v/>
      </c>
      <c r="AQ155" s="90" t="str">
        <f aca="false" t="array" ref="AQ155:AQ155">IF(AP155="","",AP155*INDEX(Справочники!$B$4:$B$7,MATCH("RUB",Справочники!$A$4:$A$7,0)))</f>
        <v/>
      </c>
      <c r="AR155" s="90" t="str">
        <f aca="false">IF(AQ155="","",ROUND(AQ155*(1+Справочники!$B$12),0))</f>
        <v/>
      </c>
      <c r="AS155" s="90" t="str">
        <f aca="false">IF(AR155="","",ROUND(AR155*(1-Справочники!$B$11),0))</f>
        <v/>
      </c>
      <c r="AT155" s="88"/>
      <c r="AU155" s="90" t="str">
        <f aca="false">IF(AT155="","",ROUND(AT155/(1+Справочники!$B$12),0))</f>
        <v/>
      </c>
      <c r="AV155" s="90" t="str">
        <f aca="false">IF(AT155="","",ROUND(AT155*(1-Справочники!$B$15),0))</f>
        <v/>
      </c>
      <c r="AW155" s="90" t="str">
        <f aca="false">IF(AT155="","",ROUND(AT155*(1-Справочники!$B$16),0))</f>
        <v/>
      </c>
      <c r="AX155" s="90" t="str">
        <f aca="false">IF(AT155="","",ROUND(AT155*(1-Справочники!$B$17),0))</f>
        <v/>
      </c>
      <c r="AY155" s="90" t="str">
        <f aca="false">IF(AT155="","",ROUND(AT155*(1-Справочники!$B$18),0))</f>
        <v/>
      </c>
      <c r="AZ155" s="90" t="str">
        <f aca="false">IF(AT155="","",ROUND(AT155*(1-Справочники!$B$19),0))</f>
        <v/>
      </c>
      <c r="BA155" s="81"/>
      <c r="BB155" s="81"/>
      <c r="BC155" s="81"/>
      <c r="BD155" s="81"/>
      <c r="BE155" s="91"/>
      <c r="BF155" s="81" t="s">
        <v>103</v>
      </c>
      <c r="BG155" s="89" t="n">
        <f aca="false" t="array" ref="BG155:BG155">IF(BF155="","",IFERROR(INDEX(Справочники!$B$4:$B$7,MATCH(BF155,Справочники!$A$4:$A$7,0)),""))</f>
        <v>68.5</v>
      </c>
      <c r="BH155" s="90" t="str">
        <f aca="false">IF(N(BN155)&gt;0,ROUND(SUMIF(ЗАКАЗЫ!$F$3:$F$500,$A155,ЗАКАЗЫ!$Y$3:$Y$500)/BN155,0),IF(OR(BE155="",BG155=""),"",ROUND(BE155*BG155*(1+Справочники!$B$10),0)))</f>
        <v/>
      </c>
      <c r="BI155" s="92" t="str">
        <f aca="false">IF(OR(AU155="",BH155="",AU155=0),"",(AU155-BH155)/AU155)</f>
        <v/>
      </c>
      <c r="BJ155" s="81"/>
      <c r="BK155" s="83"/>
      <c r="BL155" s="43" t="str">
        <f aca="false">IFERROR(INDEX(ЗАКАЗЫ!$N$3:$N$500,MATCH($A155,ЗАКАЗЫ!$F$3:$F$500,0)),"")</f>
        <v/>
      </c>
      <c r="BM155" s="8" t="str">
        <f aca="false">IF(BL155="","",IFERROR(VLOOKUP(BL155,'ТН ВЭД'!$A$4:$C$40,3,0),""))</f>
        <v/>
      </c>
      <c r="BN155" s="7" t="str">
        <f aca="false">IF(COUNTIF(ЗАКАЗЫ!$F$3:$F$500,$A155)=0,"",SUMIF(ЗАКАЗЫ!$F$3:$F$500,$A155,ЗАКАЗЫ!$J$3:$J$500))</f>
        <v/>
      </c>
      <c r="BO155" s="7" t="str">
        <f aca="false">IF(BN155="","",SUMIF(ЗАКАЗЫ!$F$3:$F$500,$A155,ЗАКАЗЫ!$AL$3:$AL$500))</f>
        <v/>
      </c>
      <c r="BP155" s="7" t="str">
        <f aca="false">IF(BN155="","",BN155-BO155)</f>
        <v/>
      </c>
      <c r="BQ155" s="55" t="str">
        <f aca="false">IF(BN155="","",IF(BO155&gt;=BN155,"На складе",IF(BO155&gt;0,"Частично","Ждём")))</f>
        <v/>
      </c>
      <c r="BR155" s="43"/>
      <c r="BS155" s="47" t="str">
        <f aca="false">IF(BN155="","",IF(_xlfn.MAXIFS(ЗАКАЗЫ!$AK$3:$AK$500,ЗАКАЗЫ!$F$3:$F$500,$A155)=0,"",_xlfn.MAXIFS(ЗАКАЗЫ!$AK$3:$AK$500,ЗАКАЗЫ!$F$3:$F$500,$A155)))</f>
        <v/>
      </c>
    </row>
    <row r="156" customFormat="false" ht="15.75" hidden="false" customHeight="true" outlineLevel="0" collapsed="false">
      <c r="A156" s="80" t="s">
        <v>1679</v>
      </c>
      <c r="B156" s="81"/>
      <c r="C156" s="81"/>
      <c r="D156" s="81"/>
      <c r="E156" s="83"/>
      <c r="F156" s="81"/>
      <c r="G156" s="83"/>
      <c r="H156" s="83"/>
      <c r="I156" s="84" t="str">
        <f aca="false">IF(E156="","",A156&amp;"_1.jpg")</f>
        <v/>
      </c>
      <c r="J156" s="84" t="str">
        <f aca="false">IF(E156="","",A156&amp;"_2.jpg; "&amp;A156&amp;"_3.jpg")</f>
        <v/>
      </c>
      <c r="K156" s="84" t="str">
        <f aca="false">IF(E156="","",A156&amp;"_schema.jpg")</f>
        <v/>
      </c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 t="s">
        <v>96</v>
      </c>
      <c r="W156" s="81"/>
      <c r="X156" s="81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6" t="str">
        <f aca="false">IF(SUM(Y156:AJ156)=0,"",SUM(Y156:AJ156))</f>
        <v/>
      </c>
      <c r="AL156" s="84" t="str">
        <f aca="false">MID(IF(N(Y156)&gt;0,", "&amp;Y$2,"")&amp;IF(N(Z156)&gt;0,", "&amp;Z$2,"")&amp;IF(N(AA156)&gt;0,", "&amp;AA$2,"")&amp;IF(N(AB156)&gt;0,", "&amp;AB$2,"")&amp;IF(N(AC156)&gt;0,", "&amp;AC$2,"")&amp;IF(N(AD156)&gt;0,", "&amp;AD$2,"")&amp;IF(N(AE156)&gt;0,", "&amp;AE$2,"")&amp;IF(N(AF156)&gt;0,", "&amp;AF$2,"")&amp;IF(N(AG156)&gt;0,", "&amp;AG$2,"")&amp;IF(N(AH156)&gt;0,", "&amp;AH$2,"")&amp;IF(N(AI156)&gt;0,", "&amp;AI$2,"")&amp;IF(N(AJ156)&gt;0,", "&amp;AJ$2,""),3,999)</f>
        <v/>
      </c>
      <c r="AM156" s="87" t="str">
        <f aca="false">IF(E156="","",MID(IF(N(Y156)&gt;0,", "&amp;A156&amp;"-"&amp;Y$2,"")&amp;IF(N(Z156)&gt;0,", "&amp;A156&amp;"-"&amp;Z$2,"")&amp;IF(N(AA156)&gt;0,", "&amp;A156&amp;"-"&amp;AA$2,"")&amp;IF(N(AB156)&gt;0,", "&amp;A156&amp;"-"&amp;AB$2,"")&amp;IF(N(AC156)&gt;0,", "&amp;A156&amp;"-"&amp;AC$2,"")&amp;IF(N(AD156)&gt;0,", "&amp;A156&amp;"-"&amp;AD$2,"")&amp;IF(N(AE156)&gt;0,", "&amp;A156&amp;"-"&amp;AE$2,"")&amp;IF(N(AF156)&gt;0,", "&amp;A156&amp;"-"&amp;AF$2,"")&amp;IF(N(AG156)&gt;0,", "&amp;A156&amp;"-"&amp;AG$2,"")&amp;IF(N(AH156)&gt;0,", "&amp;A156&amp;"-"&amp;AH$2,"")&amp;IF(N(AI156)&gt;0,", "&amp;A156&amp;"-"&amp;AI$2,"")&amp;IF(N(AJ156)&gt;0,", "&amp;A156&amp;"-"&amp;AJ$2,""),3,999))</f>
        <v/>
      </c>
      <c r="AN156" s="81"/>
      <c r="AO156" s="88"/>
      <c r="AP156" s="89" t="str">
        <f aca="false">IF(AO156="","",ROUND(AO156/(1+Справочники!$B$13),2))</f>
        <v/>
      </c>
      <c r="AQ156" s="90" t="str">
        <f aca="false" t="array" ref="AQ156:AQ156">IF(AP156="","",AP156*INDEX(Справочники!$B$4:$B$7,MATCH("RUB",Справочники!$A$4:$A$7,0)))</f>
        <v/>
      </c>
      <c r="AR156" s="90" t="str">
        <f aca="false">IF(AQ156="","",ROUND(AQ156*(1+Справочники!$B$12),0))</f>
        <v/>
      </c>
      <c r="AS156" s="90" t="str">
        <f aca="false">IF(AR156="","",ROUND(AR156*(1-Справочники!$B$11),0))</f>
        <v/>
      </c>
      <c r="AT156" s="88"/>
      <c r="AU156" s="90" t="str">
        <f aca="false">IF(AT156="","",ROUND(AT156/(1+Справочники!$B$12),0))</f>
        <v/>
      </c>
      <c r="AV156" s="90" t="str">
        <f aca="false">IF(AT156="","",ROUND(AT156*(1-Справочники!$B$15),0))</f>
        <v/>
      </c>
      <c r="AW156" s="90" t="str">
        <f aca="false">IF(AT156="","",ROUND(AT156*(1-Справочники!$B$16),0))</f>
        <v/>
      </c>
      <c r="AX156" s="90" t="str">
        <f aca="false">IF(AT156="","",ROUND(AT156*(1-Справочники!$B$17),0))</f>
        <v/>
      </c>
      <c r="AY156" s="90" t="str">
        <f aca="false">IF(AT156="","",ROUND(AT156*(1-Справочники!$B$18),0))</f>
        <v/>
      </c>
      <c r="AZ156" s="90" t="str">
        <f aca="false">IF(AT156="","",ROUND(AT156*(1-Справочники!$B$19),0))</f>
        <v/>
      </c>
      <c r="BA156" s="81"/>
      <c r="BB156" s="81"/>
      <c r="BC156" s="81"/>
      <c r="BD156" s="81"/>
      <c r="BE156" s="91"/>
      <c r="BF156" s="81" t="s">
        <v>103</v>
      </c>
      <c r="BG156" s="89" t="n">
        <f aca="false" t="array" ref="BG156:BG156">IF(BF156="","",IFERROR(INDEX(Справочники!$B$4:$B$7,MATCH(BF156,Справочники!$A$4:$A$7,0)),""))</f>
        <v>68.5</v>
      </c>
      <c r="BH156" s="90" t="str">
        <f aca="false">IF(N(BN156)&gt;0,ROUND(SUMIF(ЗАКАЗЫ!$F$3:$F$500,$A156,ЗАКАЗЫ!$Y$3:$Y$500)/BN156,0),IF(OR(BE156="",BG156=""),"",ROUND(BE156*BG156*(1+Справочники!$B$10),0)))</f>
        <v/>
      </c>
      <c r="BI156" s="92" t="str">
        <f aca="false">IF(OR(AU156="",BH156="",AU156=0),"",(AU156-BH156)/AU156)</f>
        <v/>
      </c>
      <c r="BJ156" s="81"/>
      <c r="BK156" s="83"/>
      <c r="BL156" s="43" t="str">
        <f aca="false">IFERROR(INDEX(ЗАКАЗЫ!$N$3:$N$500,MATCH($A156,ЗАКАЗЫ!$F$3:$F$500,0)),"")</f>
        <v/>
      </c>
      <c r="BM156" s="8" t="str">
        <f aca="false">IF(BL156="","",IFERROR(VLOOKUP(BL156,'ТН ВЭД'!$A$4:$C$40,3,0),""))</f>
        <v/>
      </c>
      <c r="BN156" s="7" t="str">
        <f aca="false">IF(COUNTIF(ЗАКАЗЫ!$F$3:$F$500,$A156)=0,"",SUMIF(ЗАКАЗЫ!$F$3:$F$500,$A156,ЗАКАЗЫ!$J$3:$J$500))</f>
        <v/>
      </c>
      <c r="BO156" s="7" t="str">
        <f aca="false">IF(BN156="","",SUMIF(ЗАКАЗЫ!$F$3:$F$500,$A156,ЗАКАЗЫ!$AL$3:$AL$500))</f>
        <v/>
      </c>
      <c r="BP156" s="7" t="str">
        <f aca="false">IF(BN156="","",BN156-BO156)</f>
        <v/>
      </c>
      <c r="BQ156" s="55" t="str">
        <f aca="false">IF(BN156="","",IF(BO156&gt;=BN156,"На складе",IF(BO156&gt;0,"Частично","Ждём")))</f>
        <v/>
      </c>
      <c r="BR156" s="43"/>
      <c r="BS156" s="47" t="str">
        <f aca="false">IF(BN156="","",IF(_xlfn.MAXIFS(ЗАКАЗЫ!$AK$3:$AK$500,ЗАКАЗЫ!$F$3:$F$500,$A156)=0,"",_xlfn.MAXIFS(ЗАКАЗЫ!$AK$3:$AK$500,ЗАКАЗЫ!$F$3:$F$500,$A156)))</f>
        <v/>
      </c>
    </row>
    <row r="157" customFormat="false" ht="15.75" hidden="false" customHeight="true" outlineLevel="0" collapsed="false">
      <c r="A157" s="80" t="s">
        <v>1680</v>
      </c>
      <c r="B157" s="81"/>
      <c r="C157" s="81"/>
      <c r="D157" s="81"/>
      <c r="E157" s="83"/>
      <c r="F157" s="81"/>
      <c r="G157" s="83"/>
      <c r="H157" s="83"/>
      <c r="I157" s="84" t="str">
        <f aca="false">IF(E157="","",A157&amp;"_1.jpg")</f>
        <v/>
      </c>
      <c r="J157" s="84" t="str">
        <f aca="false">IF(E157="","",A157&amp;"_2.jpg; "&amp;A157&amp;"_3.jpg")</f>
        <v/>
      </c>
      <c r="K157" s="84" t="str">
        <f aca="false">IF(E157="","",A157&amp;"_schema.jpg")</f>
        <v/>
      </c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 t="s">
        <v>96</v>
      </c>
      <c r="W157" s="81"/>
      <c r="X157" s="81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6" t="str">
        <f aca="false">IF(SUM(Y157:AJ157)=0,"",SUM(Y157:AJ157))</f>
        <v/>
      </c>
      <c r="AL157" s="84" t="str">
        <f aca="false">MID(IF(N(Y157)&gt;0,", "&amp;Y$2,"")&amp;IF(N(Z157)&gt;0,", "&amp;Z$2,"")&amp;IF(N(AA157)&gt;0,", "&amp;AA$2,"")&amp;IF(N(AB157)&gt;0,", "&amp;AB$2,"")&amp;IF(N(AC157)&gt;0,", "&amp;AC$2,"")&amp;IF(N(AD157)&gt;0,", "&amp;AD$2,"")&amp;IF(N(AE157)&gt;0,", "&amp;AE$2,"")&amp;IF(N(AF157)&gt;0,", "&amp;AF$2,"")&amp;IF(N(AG157)&gt;0,", "&amp;AG$2,"")&amp;IF(N(AH157)&gt;0,", "&amp;AH$2,"")&amp;IF(N(AI157)&gt;0,", "&amp;AI$2,"")&amp;IF(N(AJ157)&gt;0,", "&amp;AJ$2,""),3,999)</f>
        <v/>
      </c>
      <c r="AM157" s="87" t="str">
        <f aca="false">IF(E157="","",MID(IF(N(Y157)&gt;0,", "&amp;A157&amp;"-"&amp;Y$2,"")&amp;IF(N(Z157)&gt;0,", "&amp;A157&amp;"-"&amp;Z$2,"")&amp;IF(N(AA157)&gt;0,", "&amp;A157&amp;"-"&amp;AA$2,"")&amp;IF(N(AB157)&gt;0,", "&amp;A157&amp;"-"&amp;AB$2,"")&amp;IF(N(AC157)&gt;0,", "&amp;A157&amp;"-"&amp;AC$2,"")&amp;IF(N(AD157)&gt;0,", "&amp;A157&amp;"-"&amp;AD$2,"")&amp;IF(N(AE157)&gt;0,", "&amp;A157&amp;"-"&amp;AE$2,"")&amp;IF(N(AF157)&gt;0,", "&amp;A157&amp;"-"&amp;AF$2,"")&amp;IF(N(AG157)&gt;0,", "&amp;A157&amp;"-"&amp;AG$2,"")&amp;IF(N(AH157)&gt;0,", "&amp;A157&amp;"-"&amp;AH$2,"")&amp;IF(N(AI157)&gt;0,", "&amp;A157&amp;"-"&amp;AI$2,"")&amp;IF(N(AJ157)&gt;0,", "&amp;A157&amp;"-"&amp;AJ$2,""),3,999))</f>
        <v/>
      </c>
      <c r="AN157" s="81"/>
      <c r="AO157" s="88"/>
      <c r="AP157" s="89" t="str">
        <f aca="false">IF(AO157="","",ROUND(AO157/(1+Справочники!$B$13),2))</f>
        <v/>
      </c>
      <c r="AQ157" s="90" t="str">
        <f aca="false" t="array" ref="AQ157:AQ157">IF(AP157="","",AP157*INDEX(Справочники!$B$4:$B$7,MATCH("RUB",Справочники!$A$4:$A$7,0)))</f>
        <v/>
      </c>
      <c r="AR157" s="90" t="str">
        <f aca="false">IF(AQ157="","",ROUND(AQ157*(1+Справочники!$B$12),0))</f>
        <v/>
      </c>
      <c r="AS157" s="90" t="str">
        <f aca="false">IF(AR157="","",ROUND(AR157*(1-Справочники!$B$11),0))</f>
        <v/>
      </c>
      <c r="AT157" s="88"/>
      <c r="AU157" s="90" t="str">
        <f aca="false">IF(AT157="","",ROUND(AT157/(1+Справочники!$B$12),0))</f>
        <v/>
      </c>
      <c r="AV157" s="90" t="str">
        <f aca="false">IF(AT157="","",ROUND(AT157*(1-Справочники!$B$15),0))</f>
        <v/>
      </c>
      <c r="AW157" s="90" t="str">
        <f aca="false">IF(AT157="","",ROUND(AT157*(1-Справочники!$B$16),0))</f>
        <v/>
      </c>
      <c r="AX157" s="90" t="str">
        <f aca="false">IF(AT157="","",ROUND(AT157*(1-Справочники!$B$17),0))</f>
        <v/>
      </c>
      <c r="AY157" s="90" t="str">
        <f aca="false">IF(AT157="","",ROUND(AT157*(1-Справочники!$B$18),0))</f>
        <v/>
      </c>
      <c r="AZ157" s="90" t="str">
        <f aca="false">IF(AT157="","",ROUND(AT157*(1-Справочники!$B$19),0))</f>
        <v/>
      </c>
      <c r="BA157" s="81"/>
      <c r="BB157" s="81"/>
      <c r="BC157" s="81"/>
      <c r="BD157" s="81"/>
      <c r="BE157" s="91"/>
      <c r="BF157" s="81" t="s">
        <v>103</v>
      </c>
      <c r="BG157" s="89" t="n">
        <f aca="false" t="array" ref="BG157:BG157">IF(BF157="","",IFERROR(INDEX(Справочники!$B$4:$B$7,MATCH(BF157,Справочники!$A$4:$A$7,0)),""))</f>
        <v>68.5</v>
      </c>
      <c r="BH157" s="90" t="str">
        <f aca="false">IF(N(BN157)&gt;0,ROUND(SUMIF(ЗАКАЗЫ!$F$3:$F$500,$A157,ЗАКАЗЫ!$Y$3:$Y$500)/BN157,0),IF(OR(BE157="",BG157=""),"",ROUND(BE157*BG157*(1+Справочники!$B$10),0)))</f>
        <v/>
      </c>
      <c r="BI157" s="92" t="str">
        <f aca="false">IF(OR(AU157="",BH157="",AU157=0),"",(AU157-BH157)/AU157)</f>
        <v/>
      </c>
      <c r="BJ157" s="81"/>
      <c r="BK157" s="83"/>
      <c r="BL157" s="43" t="str">
        <f aca="false">IFERROR(INDEX(ЗАКАЗЫ!$N$3:$N$500,MATCH($A157,ЗАКАЗЫ!$F$3:$F$500,0)),"")</f>
        <v/>
      </c>
      <c r="BM157" s="8" t="str">
        <f aca="false">IF(BL157="","",IFERROR(VLOOKUP(BL157,'ТН ВЭД'!$A$4:$C$40,3,0),""))</f>
        <v/>
      </c>
      <c r="BN157" s="7" t="str">
        <f aca="false">IF(COUNTIF(ЗАКАЗЫ!$F$3:$F$500,$A157)=0,"",SUMIF(ЗАКАЗЫ!$F$3:$F$500,$A157,ЗАКАЗЫ!$J$3:$J$500))</f>
        <v/>
      </c>
      <c r="BO157" s="7" t="str">
        <f aca="false">IF(BN157="","",SUMIF(ЗАКАЗЫ!$F$3:$F$500,$A157,ЗАКАЗЫ!$AL$3:$AL$500))</f>
        <v/>
      </c>
      <c r="BP157" s="7" t="str">
        <f aca="false">IF(BN157="","",BN157-BO157)</f>
        <v/>
      </c>
      <c r="BQ157" s="55" t="str">
        <f aca="false">IF(BN157="","",IF(BO157&gt;=BN157,"На складе",IF(BO157&gt;0,"Частично","Ждём")))</f>
        <v/>
      </c>
      <c r="BR157" s="43"/>
      <c r="BS157" s="47" t="str">
        <f aca="false">IF(BN157="","",IF(_xlfn.MAXIFS(ЗАКАЗЫ!$AK$3:$AK$500,ЗАКАЗЫ!$F$3:$F$500,$A157)=0,"",_xlfn.MAXIFS(ЗАКАЗЫ!$AK$3:$AK$500,ЗАКАЗЫ!$F$3:$F$500,$A157)))</f>
        <v/>
      </c>
    </row>
    <row r="158" customFormat="false" ht="15.75" hidden="false" customHeight="true" outlineLevel="0" collapsed="false">
      <c r="A158" s="80" t="s">
        <v>1681</v>
      </c>
      <c r="B158" s="81"/>
      <c r="C158" s="81"/>
      <c r="D158" s="81"/>
      <c r="E158" s="83"/>
      <c r="F158" s="81"/>
      <c r="G158" s="83"/>
      <c r="H158" s="83"/>
      <c r="I158" s="84" t="str">
        <f aca="false">IF(E158="","",A158&amp;"_1.jpg")</f>
        <v/>
      </c>
      <c r="J158" s="84" t="str">
        <f aca="false">IF(E158="","",A158&amp;"_2.jpg; "&amp;A158&amp;"_3.jpg")</f>
        <v/>
      </c>
      <c r="K158" s="84" t="str">
        <f aca="false">IF(E158="","",A158&amp;"_schema.jpg")</f>
        <v/>
      </c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 t="s">
        <v>96</v>
      </c>
      <c r="W158" s="81"/>
      <c r="X158" s="81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6" t="str">
        <f aca="false">IF(SUM(Y158:AJ158)=0,"",SUM(Y158:AJ158))</f>
        <v/>
      </c>
      <c r="AL158" s="84" t="str">
        <f aca="false">MID(IF(N(Y158)&gt;0,", "&amp;Y$2,"")&amp;IF(N(Z158)&gt;0,", "&amp;Z$2,"")&amp;IF(N(AA158)&gt;0,", "&amp;AA$2,"")&amp;IF(N(AB158)&gt;0,", "&amp;AB$2,"")&amp;IF(N(AC158)&gt;0,", "&amp;AC$2,"")&amp;IF(N(AD158)&gt;0,", "&amp;AD$2,"")&amp;IF(N(AE158)&gt;0,", "&amp;AE$2,"")&amp;IF(N(AF158)&gt;0,", "&amp;AF$2,"")&amp;IF(N(AG158)&gt;0,", "&amp;AG$2,"")&amp;IF(N(AH158)&gt;0,", "&amp;AH$2,"")&amp;IF(N(AI158)&gt;0,", "&amp;AI$2,"")&amp;IF(N(AJ158)&gt;0,", "&amp;AJ$2,""),3,999)</f>
        <v/>
      </c>
      <c r="AM158" s="87" t="str">
        <f aca="false">IF(E158="","",MID(IF(N(Y158)&gt;0,", "&amp;A158&amp;"-"&amp;Y$2,"")&amp;IF(N(Z158)&gt;0,", "&amp;A158&amp;"-"&amp;Z$2,"")&amp;IF(N(AA158)&gt;0,", "&amp;A158&amp;"-"&amp;AA$2,"")&amp;IF(N(AB158)&gt;0,", "&amp;A158&amp;"-"&amp;AB$2,"")&amp;IF(N(AC158)&gt;0,", "&amp;A158&amp;"-"&amp;AC$2,"")&amp;IF(N(AD158)&gt;0,", "&amp;A158&amp;"-"&amp;AD$2,"")&amp;IF(N(AE158)&gt;0,", "&amp;A158&amp;"-"&amp;AE$2,"")&amp;IF(N(AF158)&gt;0,", "&amp;A158&amp;"-"&amp;AF$2,"")&amp;IF(N(AG158)&gt;0,", "&amp;A158&amp;"-"&amp;AG$2,"")&amp;IF(N(AH158)&gt;0,", "&amp;A158&amp;"-"&amp;AH$2,"")&amp;IF(N(AI158)&gt;0,", "&amp;A158&amp;"-"&amp;AI$2,"")&amp;IF(N(AJ158)&gt;0,", "&amp;A158&amp;"-"&amp;AJ$2,""),3,999))</f>
        <v/>
      </c>
      <c r="AN158" s="81"/>
      <c r="AO158" s="88"/>
      <c r="AP158" s="89" t="str">
        <f aca="false">IF(AO158="","",ROUND(AO158/(1+Справочники!$B$13),2))</f>
        <v/>
      </c>
      <c r="AQ158" s="90" t="str">
        <f aca="false" t="array" ref="AQ158:AQ158">IF(AP158="","",AP158*INDEX(Справочники!$B$4:$B$7,MATCH("RUB",Справочники!$A$4:$A$7,0)))</f>
        <v/>
      </c>
      <c r="AR158" s="90" t="str">
        <f aca="false">IF(AQ158="","",ROUND(AQ158*(1+Справочники!$B$12),0))</f>
        <v/>
      </c>
      <c r="AS158" s="90" t="str">
        <f aca="false">IF(AR158="","",ROUND(AR158*(1-Справочники!$B$11),0))</f>
        <v/>
      </c>
      <c r="AT158" s="88"/>
      <c r="AU158" s="90" t="str">
        <f aca="false">IF(AT158="","",ROUND(AT158/(1+Справочники!$B$12),0))</f>
        <v/>
      </c>
      <c r="AV158" s="90" t="str">
        <f aca="false">IF(AT158="","",ROUND(AT158*(1-Справочники!$B$15),0))</f>
        <v/>
      </c>
      <c r="AW158" s="90" t="str">
        <f aca="false">IF(AT158="","",ROUND(AT158*(1-Справочники!$B$16),0))</f>
        <v/>
      </c>
      <c r="AX158" s="90" t="str">
        <f aca="false">IF(AT158="","",ROUND(AT158*(1-Справочники!$B$17),0))</f>
        <v/>
      </c>
      <c r="AY158" s="90" t="str">
        <f aca="false">IF(AT158="","",ROUND(AT158*(1-Справочники!$B$18),0))</f>
        <v/>
      </c>
      <c r="AZ158" s="90" t="str">
        <f aca="false">IF(AT158="","",ROUND(AT158*(1-Справочники!$B$19),0))</f>
        <v/>
      </c>
      <c r="BA158" s="81"/>
      <c r="BB158" s="81"/>
      <c r="BC158" s="81"/>
      <c r="BD158" s="81"/>
      <c r="BE158" s="91"/>
      <c r="BF158" s="81" t="s">
        <v>103</v>
      </c>
      <c r="BG158" s="89" t="n">
        <f aca="false" t="array" ref="BG158:BG158">IF(BF158="","",IFERROR(INDEX(Справочники!$B$4:$B$7,MATCH(BF158,Справочники!$A$4:$A$7,0)),""))</f>
        <v>68.5</v>
      </c>
      <c r="BH158" s="90" t="str">
        <f aca="false">IF(N(BN158)&gt;0,ROUND(SUMIF(ЗАКАЗЫ!$F$3:$F$500,$A158,ЗАКАЗЫ!$Y$3:$Y$500)/BN158,0),IF(OR(BE158="",BG158=""),"",ROUND(BE158*BG158*(1+Справочники!$B$10),0)))</f>
        <v/>
      </c>
      <c r="BI158" s="92" t="str">
        <f aca="false">IF(OR(AU158="",BH158="",AU158=0),"",(AU158-BH158)/AU158)</f>
        <v/>
      </c>
      <c r="BJ158" s="81"/>
      <c r="BK158" s="83"/>
      <c r="BL158" s="43" t="str">
        <f aca="false">IFERROR(INDEX(ЗАКАЗЫ!$N$3:$N$500,MATCH($A158,ЗАКАЗЫ!$F$3:$F$500,0)),"")</f>
        <v/>
      </c>
      <c r="BM158" s="8" t="str">
        <f aca="false">IF(BL158="","",IFERROR(VLOOKUP(BL158,'ТН ВЭД'!$A$4:$C$40,3,0),""))</f>
        <v/>
      </c>
      <c r="BN158" s="7" t="str">
        <f aca="false">IF(COUNTIF(ЗАКАЗЫ!$F$3:$F$500,$A158)=0,"",SUMIF(ЗАКАЗЫ!$F$3:$F$500,$A158,ЗАКАЗЫ!$J$3:$J$500))</f>
        <v/>
      </c>
      <c r="BO158" s="7" t="str">
        <f aca="false">IF(BN158="","",SUMIF(ЗАКАЗЫ!$F$3:$F$500,$A158,ЗАКАЗЫ!$AL$3:$AL$500))</f>
        <v/>
      </c>
      <c r="BP158" s="7" t="str">
        <f aca="false">IF(BN158="","",BN158-BO158)</f>
        <v/>
      </c>
      <c r="BQ158" s="55" t="str">
        <f aca="false">IF(BN158="","",IF(BO158&gt;=BN158,"На складе",IF(BO158&gt;0,"Частично","Ждём")))</f>
        <v/>
      </c>
      <c r="BR158" s="43"/>
      <c r="BS158" s="47" t="str">
        <f aca="false">IF(BN158="","",IF(_xlfn.MAXIFS(ЗАКАЗЫ!$AK$3:$AK$500,ЗАКАЗЫ!$F$3:$F$500,$A158)=0,"",_xlfn.MAXIFS(ЗАКАЗЫ!$AK$3:$AK$500,ЗАКАЗЫ!$F$3:$F$500,$A158)))</f>
        <v/>
      </c>
    </row>
    <row r="159" customFormat="false" ht="15.75" hidden="false" customHeight="true" outlineLevel="0" collapsed="false">
      <c r="A159" s="80" t="s">
        <v>1682</v>
      </c>
      <c r="B159" s="81"/>
      <c r="C159" s="81"/>
      <c r="D159" s="81"/>
      <c r="E159" s="83"/>
      <c r="F159" s="81"/>
      <c r="G159" s="83"/>
      <c r="H159" s="83"/>
      <c r="I159" s="84" t="str">
        <f aca="false">IF(E159="","",A159&amp;"_1.jpg")</f>
        <v/>
      </c>
      <c r="J159" s="84" t="str">
        <f aca="false">IF(E159="","",A159&amp;"_2.jpg; "&amp;A159&amp;"_3.jpg")</f>
        <v/>
      </c>
      <c r="K159" s="84" t="str">
        <f aca="false">IF(E159="","",A159&amp;"_schema.jpg")</f>
        <v/>
      </c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 t="s">
        <v>96</v>
      </c>
      <c r="W159" s="81"/>
      <c r="X159" s="81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6" t="str">
        <f aca="false">IF(SUM(Y159:AJ159)=0,"",SUM(Y159:AJ159))</f>
        <v/>
      </c>
      <c r="AL159" s="84" t="str">
        <f aca="false">MID(IF(N(Y159)&gt;0,", "&amp;Y$2,"")&amp;IF(N(Z159)&gt;0,", "&amp;Z$2,"")&amp;IF(N(AA159)&gt;0,", "&amp;AA$2,"")&amp;IF(N(AB159)&gt;0,", "&amp;AB$2,"")&amp;IF(N(AC159)&gt;0,", "&amp;AC$2,"")&amp;IF(N(AD159)&gt;0,", "&amp;AD$2,"")&amp;IF(N(AE159)&gt;0,", "&amp;AE$2,"")&amp;IF(N(AF159)&gt;0,", "&amp;AF$2,"")&amp;IF(N(AG159)&gt;0,", "&amp;AG$2,"")&amp;IF(N(AH159)&gt;0,", "&amp;AH$2,"")&amp;IF(N(AI159)&gt;0,", "&amp;AI$2,"")&amp;IF(N(AJ159)&gt;0,", "&amp;AJ$2,""),3,999)</f>
        <v/>
      </c>
      <c r="AM159" s="87" t="str">
        <f aca="false">IF(E159="","",MID(IF(N(Y159)&gt;0,", "&amp;A159&amp;"-"&amp;Y$2,"")&amp;IF(N(Z159)&gt;0,", "&amp;A159&amp;"-"&amp;Z$2,"")&amp;IF(N(AA159)&gt;0,", "&amp;A159&amp;"-"&amp;AA$2,"")&amp;IF(N(AB159)&gt;0,", "&amp;A159&amp;"-"&amp;AB$2,"")&amp;IF(N(AC159)&gt;0,", "&amp;A159&amp;"-"&amp;AC$2,"")&amp;IF(N(AD159)&gt;0,", "&amp;A159&amp;"-"&amp;AD$2,"")&amp;IF(N(AE159)&gt;0,", "&amp;A159&amp;"-"&amp;AE$2,"")&amp;IF(N(AF159)&gt;0,", "&amp;A159&amp;"-"&amp;AF$2,"")&amp;IF(N(AG159)&gt;0,", "&amp;A159&amp;"-"&amp;AG$2,"")&amp;IF(N(AH159)&gt;0,", "&amp;A159&amp;"-"&amp;AH$2,"")&amp;IF(N(AI159)&gt;0,", "&amp;A159&amp;"-"&amp;AI$2,"")&amp;IF(N(AJ159)&gt;0,", "&amp;A159&amp;"-"&amp;AJ$2,""),3,999))</f>
        <v/>
      </c>
      <c r="AN159" s="81"/>
      <c r="AO159" s="88"/>
      <c r="AP159" s="89" t="str">
        <f aca="false">IF(AO159="","",ROUND(AO159/(1+Справочники!$B$13),2))</f>
        <v/>
      </c>
      <c r="AQ159" s="90" t="str">
        <f aca="false" t="array" ref="AQ159:AQ159">IF(AP159="","",AP159*INDEX(Справочники!$B$4:$B$7,MATCH("RUB",Справочники!$A$4:$A$7,0)))</f>
        <v/>
      </c>
      <c r="AR159" s="90" t="str">
        <f aca="false">IF(AQ159="","",ROUND(AQ159*(1+Справочники!$B$12),0))</f>
        <v/>
      </c>
      <c r="AS159" s="90" t="str">
        <f aca="false">IF(AR159="","",ROUND(AR159*(1-Справочники!$B$11),0))</f>
        <v/>
      </c>
      <c r="AT159" s="88"/>
      <c r="AU159" s="90" t="str">
        <f aca="false">IF(AT159="","",ROUND(AT159/(1+Справочники!$B$12),0))</f>
        <v/>
      </c>
      <c r="AV159" s="90" t="str">
        <f aca="false">IF(AT159="","",ROUND(AT159*(1-Справочники!$B$15),0))</f>
        <v/>
      </c>
      <c r="AW159" s="90" t="str">
        <f aca="false">IF(AT159="","",ROUND(AT159*(1-Справочники!$B$16),0))</f>
        <v/>
      </c>
      <c r="AX159" s="90" t="str">
        <f aca="false">IF(AT159="","",ROUND(AT159*(1-Справочники!$B$17),0))</f>
        <v/>
      </c>
      <c r="AY159" s="90" t="str">
        <f aca="false">IF(AT159="","",ROUND(AT159*(1-Справочники!$B$18),0))</f>
        <v/>
      </c>
      <c r="AZ159" s="90" t="str">
        <f aca="false">IF(AT159="","",ROUND(AT159*(1-Справочники!$B$19),0))</f>
        <v/>
      </c>
      <c r="BA159" s="81"/>
      <c r="BB159" s="81"/>
      <c r="BC159" s="81"/>
      <c r="BD159" s="81"/>
      <c r="BE159" s="91"/>
      <c r="BF159" s="81" t="s">
        <v>103</v>
      </c>
      <c r="BG159" s="89" t="n">
        <f aca="false" t="array" ref="BG159:BG159">IF(BF159="","",IFERROR(INDEX(Справочники!$B$4:$B$7,MATCH(BF159,Справочники!$A$4:$A$7,0)),""))</f>
        <v>68.5</v>
      </c>
      <c r="BH159" s="90" t="str">
        <f aca="false">IF(N(BN159)&gt;0,ROUND(SUMIF(ЗАКАЗЫ!$F$3:$F$500,$A159,ЗАКАЗЫ!$Y$3:$Y$500)/BN159,0),IF(OR(BE159="",BG159=""),"",ROUND(BE159*BG159*(1+Справочники!$B$10),0)))</f>
        <v/>
      </c>
      <c r="BI159" s="92" t="str">
        <f aca="false">IF(OR(AU159="",BH159="",AU159=0),"",(AU159-BH159)/AU159)</f>
        <v/>
      </c>
      <c r="BJ159" s="81"/>
      <c r="BK159" s="83"/>
      <c r="BL159" s="43" t="str">
        <f aca="false">IFERROR(INDEX(ЗАКАЗЫ!$N$3:$N$500,MATCH($A159,ЗАКАЗЫ!$F$3:$F$500,0)),"")</f>
        <v/>
      </c>
      <c r="BM159" s="8" t="str">
        <f aca="false">IF(BL159="","",IFERROR(VLOOKUP(BL159,'ТН ВЭД'!$A$4:$C$40,3,0),""))</f>
        <v/>
      </c>
      <c r="BN159" s="7" t="str">
        <f aca="false">IF(COUNTIF(ЗАКАЗЫ!$F$3:$F$500,$A159)=0,"",SUMIF(ЗАКАЗЫ!$F$3:$F$500,$A159,ЗАКАЗЫ!$J$3:$J$500))</f>
        <v/>
      </c>
      <c r="BO159" s="7" t="str">
        <f aca="false">IF(BN159="","",SUMIF(ЗАКАЗЫ!$F$3:$F$500,$A159,ЗАКАЗЫ!$AL$3:$AL$500))</f>
        <v/>
      </c>
      <c r="BP159" s="7" t="str">
        <f aca="false">IF(BN159="","",BN159-BO159)</f>
        <v/>
      </c>
      <c r="BQ159" s="55" t="str">
        <f aca="false">IF(BN159="","",IF(BO159&gt;=BN159,"На складе",IF(BO159&gt;0,"Частично","Ждём")))</f>
        <v/>
      </c>
      <c r="BR159" s="43"/>
      <c r="BS159" s="47" t="str">
        <f aca="false">IF(BN159="","",IF(_xlfn.MAXIFS(ЗАКАЗЫ!$AK$3:$AK$500,ЗАКАЗЫ!$F$3:$F$500,$A159)=0,"",_xlfn.MAXIFS(ЗАКАЗЫ!$AK$3:$AK$500,ЗАКАЗЫ!$F$3:$F$500,$A159)))</f>
        <v/>
      </c>
    </row>
    <row r="160" customFormat="false" ht="15.75" hidden="false" customHeight="true" outlineLevel="0" collapsed="false">
      <c r="A160" s="80" t="s">
        <v>1683</v>
      </c>
      <c r="B160" s="81"/>
      <c r="C160" s="81"/>
      <c r="D160" s="81"/>
      <c r="E160" s="83"/>
      <c r="F160" s="81"/>
      <c r="G160" s="83"/>
      <c r="H160" s="83"/>
      <c r="I160" s="84" t="str">
        <f aca="false">IF(E160="","",A160&amp;"_1.jpg")</f>
        <v/>
      </c>
      <c r="J160" s="84" t="str">
        <f aca="false">IF(E160="","",A160&amp;"_2.jpg; "&amp;A160&amp;"_3.jpg")</f>
        <v/>
      </c>
      <c r="K160" s="84" t="str">
        <f aca="false">IF(E160="","",A160&amp;"_schema.jpg")</f>
        <v/>
      </c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 t="s">
        <v>96</v>
      </c>
      <c r="W160" s="81"/>
      <c r="X160" s="81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6" t="str">
        <f aca="false">IF(SUM(Y160:AJ160)=0,"",SUM(Y160:AJ160))</f>
        <v/>
      </c>
      <c r="AL160" s="84" t="str">
        <f aca="false">MID(IF(N(Y160)&gt;0,", "&amp;Y$2,"")&amp;IF(N(Z160)&gt;0,", "&amp;Z$2,"")&amp;IF(N(AA160)&gt;0,", "&amp;AA$2,"")&amp;IF(N(AB160)&gt;0,", "&amp;AB$2,"")&amp;IF(N(AC160)&gt;0,", "&amp;AC$2,"")&amp;IF(N(AD160)&gt;0,", "&amp;AD$2,"")&amp;IF(N(AE160)&gt;0,", "&amp;AE$2,"")&amp;IF(N(AF160)&gt;0,", "&amp;AF$2,"")&amp;IF(N(AG160)&gt;0,", "&amp;AG$2,"")&amp;IF(N(AH160)&gt;0,", "&amp;AH$2,"")&amp;IF(N(AI160)&gt;0,", "&amp;AI$2,"")&amp;IF(N(AJ160)&gt;0,", "&amp;AJ$2,""),3,999)</f>
        <v/>
      </c>
      <c r="AM160" s="87" t="str">
        <f aca="false">IF(E160="","",MID(IF(N(Y160)&gt;0,", "&amp;A160&amp;"-"&amp;Y$2,"")&amp;IF(N(Z160)&gt;0,", "&amp;A160&amp;"-"&amp;Z$2,"")&amp;IF(N(AA160)&gt;0,", "&amp;A160&amp;"-"&amp;AA$2,"")&amp;IF(N(AB160)&gt;0,", "&amp;A160&amp;"-"&amp;AB$2,"")&amp;IF(N(AC160)&gt;0,", "&amp;A160&amp;"-"&amp;AC$2,"")&amp;IF(N(AD160)&gt;0,", "&amp;A160&amp;"-"&amp;AD$2,"")&amp;IF(N(AE160)&gt;0,", "&amp;A160&amp;"-"&amp;AE$2,"")&amp;IF(N(AF160)&gt;0,", "&amp;A160&amp;"-"&amp;AF$2,"")&amp;IF(N(AG160)&gt;0,", "&amp;A160&amp;"-"&amp;AG$2,"")&amp;IF(N(AH160)&gt;0,", "&amp;A160&amp;"-"&amp;AH$2,"")&amp;IF(N(AI160)&gt;0,", "&amp;A160&amp;"-"&amp;AI$2,"")&amp;IF(N(AJ160)&gt;0,", "&amp;A160&amp;"-"&amp;AJ$2,""),3,999))</f>
        <v/>
      </c>
      <c r="AN160" s="81"/>
      <c r="AO160" s="88"/>
      <c r="AP160" s="89" t="str">
        <f aca="false">IF(AO160="","",ROUND(AO160/(1+Справочники!$B$13),2))</f>
        <v/>
      </c>
      <c r="AQ160" s="90" t="str">
        <f aca="false" t="array" ref="AQ160:AQ160">IF(AP160="","",AP160*INDEX(Справочники!$B$4:$B$7,MATCH("RUB",Справочники!$A$4:$A$7,0)))</f>
        <v/>
      </c>
      <c r="AR160" s="90" t="str">
        <f aca="false">IF(AQ160="","",ROUND(AQ160*(1+Справочники!$B$12),0))</f>
        <v/>
      </c>
      <c r="AS160" s="90" t="str">
        <f aca="false">IF(AR160="","",ROUND(AR160*(1-Справочники!$B$11),0))</f>
        <v/>
      </c>
      <c r="AT160" s="88"/>
      <c r="AU160" s="90" t="str">
        <f aca="false">IF(AT160="","",ROUND(AT160/(1+Справочники!$B$12),0))</f>
        <v/>
      </c>
      <c r="AV160" s="90" t="str">
        <f aca="false">IF(AT160="","",ROUND(AT160*(1-Справочники!$B$15),0))</f>
        <v/>
      </c>
      <c r="AW160" s="90" t="str">
        <f aca="false">IF(AT160="","",ROUND(AT160*(1-Справочники!$B$16),0))</f>
        <v/>
      </c>
      <c r="AX160" s="90" t="str">
        <f aca="false">IF(AT160="","",ROUND(AT160*(1-Справочники!$B$17),0))</f>
        <v/>
      </c>
      <c r="AY160" s="90" t="str">
        <f aca="false">IF(AT160="","",ROUND(AT160*(1-Справочники!$B$18),0))</f>
        <v/>
      </c>
      <c r="AZ160" s="90" t="str">
        <f aca="false">IF(AT160="","",ROUND(AT160*(1-Справочники!$B$19),0))</f>
        <v/>
      </c>
      <c r="BA160" s="81"/>
      <c r="BB160" s="81"/>
      <c r="BC160" s="81"/>
      <c r="BD160" s="81"/>
      <c r="BE160" s="91"/>
      <c r="BF160" s="81" t="s">
        <v>103</v>
      </c>
      <c r="BG160" s="89" t="n">
        <f aca="false" t="array" ref="BG160:BG160">IF(BF160="","",IFERROR(INDEX(Справочники!$B$4:$B$7,MATCH(BF160,Справочники!$A$4:$A$7,0)),""))</f>
        <v>68.5</v>
      </c>
      <c r="BH160" s="90" t="str">
        <f aca="false">IF(N(BN160)&gt;0,ROUND(SUMIF(ЗАКАЗЫ!$F$3:$F$500,$A160,ЗАКАЗЫ!$Y$3:$Y$500)/BN160,0),IF(OR(BE160="",BG160=""),"",ROUND(BE160*BG160*(1+Справочники!$B$10),0)))</f>
        <v/>
      </c>
      <c r="BI160" s="92" t="str">
        <f aca="false">IF(OR(AU160="",BH160="",AU160=0),"",(AU160-BH160)/AU160)</f>
        <v/>
      </c>
      <c r="BJ160" s="81"/>
      <c r="BK160" s="83"/>
      <c r="BL160" s="43" t="str">
        <f aca="false">IFERROR(INDEX(ЗАКАЗЫ!$N$3:$N$500,MATCH($A160,ЗАКАЗЫ!$F$3:$F$500,0)),"")</f>
        <v/>
      </c>
      <c r="BM160" s="8" t="str">
        <f aca="false">IF(BL160="","",IFERROR(VLOOKUP(BL160,'ТН ВЭД'!$A$4:$C$40,3,0),""))</f>
        <v/>
      </c>
      <c r="BN160" s="7" t="str">
        <f aca="false">IF(COUNTIF(ЗАКАЗЫ!$F$3:$F$500,$A160)=0,"",SUMIF(ЗАКАЗЫ!$F$3:$F$500,$A160,ЗАКАЗЫ!$J$3:$J$500))</f>
        <v/>
      </c>
      <c r="BO160" s="7" t="str">
        <f aca="false">IF(BN160="","",SUMIF(ЗАКАЗЫ!$F$3:$F$500,$A160,ЗАКАЗЫ!$AL$3:$AL$500))</f>
        <v/>
      </c>
      <c r="BP160" s="7" t="str">
        <f aca="false">IF(BN160="","",BN160-BO160)</f>
        <v/>
      </c>
      <c r="BQ160" s="55" t="str">
        <f aca="false">IF(BN160="","",IF(BO160&gt;=BN160,"На складе",IF(BO160&gt;0,"Частично","Ждём")))</f>
        <v/>
      </c>
      <c r="BR160" s="43"/>
      <c r="BS160" s="47" t="str">
        <f aca="false">IF(BN160="","",IF(_xlfn.MAXIFS(ЗАКАЗЫ!$AK$3:$AK$500,ЗАКАЗЫ!$F$3:$F$500,$A160)=0,"",_xlfn.MAXIFS(ЗАКАЗЫ!$AK$3:$AK$500,ЗАКАЗЫ!$F$3:$F$500,$A160)))</f>
        <v/>
      </c>
    </row>
    <row r="161" customFormat="false" ht="15.75" hidden="false" customHeight="true" outlineLevel="0" collapsed="false">
      <c r="A161" s="80" t="s">
        <v>1684</v>
      </c>
      <c r="B161" s="81"/>
      <c r="C161" s="81"/>
      <c r="D161" s="81"/>
      <c r="E161" s="83"/>
      <c r="F161" s="81"/>
      <c r="G161" s="83"/>
      <c r="H161" s="83"/>
      <c r="I161" s="84" t="str">
        <f aca="false">IF(E161="","",A161&amp;"_1.jpg")</f>
        <v/>
      </c>
      <c r="J161" s="84" t="str">
        <f aca="false">IF(E161="","",A161&amp;"_2.jpg; "&amp;A161&amp;"_3.jpg")</f>
        <v/>
      </c>
      <c r="K161" s="84" t="str">
        <f aca="false">IF(E161="","",A161&amp;"_schema.jpg")</f>
        <v/>
      </c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 t="s">
        <v>96</v>
      </c>
      <c r="W161" s="81"/>
      <c r="X161" s="81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6" t="str">
        <f aca="false">IF(SUM(Y161:AJ161)=0,"",SUM(Y161:AJ161))</f>
        <v/>
      </c>
      <c r="AL161" s="84" t="str">
        <f aca="false">MID(IF(N(Y161)&gt;0,", "&amp;Y$2,"")&amp;IF(N(Z161)&gt;0,", "&amp;Z$2,"")&amp;IF(N(AA161)&gt;0,", "&amp;AA$2,"")&amp;IF(N(AB161)&gt;0,", "&amp;AB$2,"")&amp;IF(N(AC161)&gt;0,", "&amp;AC$2,"")&amp;IF(N(AD161)&gt;0,", "&amp;AD$2,"")&amp;IF(N(AE161)&gt;0,", "&amp;AE$2,"")&amp;IF(N(AF161)&gt;0,", "&amp;AF$2,"")&amp;IF(N(AG161)&gt;0,", "&amp;AG$2,"")&amp;IF(N(AH161)&gt;0,", "&amp;AH$2,"")&amp;IF(N(AI161)&gt;0,", "&amp;AI$2,"")&amp;IF(N(AJ161)&gt;0,", "&amp;AJ$2,""),3,999)</f>
        <v/>
      </c>
      <c r="AM161" s="87" t="str">
        <f aca="false">IF(E161="","",MID(IF(N(Y161)&gt;0,", "&amp;A161&amp;"-"&amp;Y$2,"")&amp;IF(N(Z161)&gt;0,", "&amp;A161&amp;"-"&amp;Z$2,"")&amp;IF(N(AA161)&gt;0,", "&amp;A161&amp;"-"&amp;AA$2,"")&amp;IF(N(AB161)&gt;0,", "&amp;A161&amp;"-"&amp;AB$2,"")&amp;IF(N(AC161)&gt;0,", "&amp;A161&amp;"-"&amp;AC$2,"")&amp;IF(N(AD161)&gt;0,", "&amp;A161&amp;"-"&amp;AD$2,"")&amp;IF(N(AE161)&gt;0,", "&amp;A161&amp;"-"&amp;AE$2,"")&amp;IF(N(AF161)&gt;0,", "&amp;A161&amp;"-"&amp;AF$2,"")&amp;IF(N(AG161)&gt;0,", "&amp;A161&amp;"-"&amp;AG$2,"")&amp;IF(N(AH161)&gt;0,", "&amp;A161&amp;"-"&amp;AH$2,"")&amp;IF(N(AI161)&gt;0,", "&amp;A161&amp;"-"&amp;AI$2,"")&amp;IF(N(AJ161)&gt;0,", "&amp;A161&amp;"-"&amp;AJ$2,""),3,999))</f>
        <v/>
      </c>
      <c r="AN161" s="81"/>
      <c r="AO161" s="88"/>
      <c r="AP161" s="89" t="str">
        <f aca="false">IF(AO161="","",ROUND(AO161/(1+Справочники!$B$13),2))</f>
        <v/>
      </c>
      <c r="AQ161" s="90" t="str">
        <f aca="false" t="array" ref="AQ161:AQ161">IF(AP161="","",AP161*INDEX(Справочники!$B$4:$B$7,MATCH("RUB",Справочники!$A$4:$A$7,0)))</f>
        <v/>
      </c>
      <c r="AR161" s="90" t="str">
        <f aca="false">IF(AQ161="","",ROUND(AQ161*(1+Справочники!$B$12),0))</f>
        <v/>
      </c>
      <c r="AS161" s="90" t="str">
        <f aca="false">IF(AR161="","",ROUND(AR161*(1-Справочники!$B$11),0))</f>
        <v/>
      </c>
      <c r="AT161" s="88"/>
      <c r="AU161" s="90" t="str">
        <f aca="false">IF(AT161="","",ROUND(AT161/(1+Справочники!$B$12),0))</f>
        <v/>
      </c>
      <c r="AV161" s="90" t="str">
        <f aca="false">IF(AT161="","",ROUND(AT161*(1-Справочники!$B$15),0))</f>
        <v/>
      </c>
      <c r="AW161" s="90" t="str">
        <f aca="false">IF(AT161="","",ROUND(AT161*(1-Справочники!$B$16),0))</f>
        <v/>
      </c>
      <c r="AX161" s="90" t="str">
        <f aca="false">IF(AT161="","",ROUND(AT161*(1-Справочники!$B$17),0))</f>
        <v/>
      </c>
      <c r="AY161" s="90" t="str">
        <f aca="false">IF(AT161="","",ROUND(AT161*(1-Справочники!$B$18),0))</f>
        <v/>
      </c>
      <c r="AZ161" s="90" t="str">
        <f aca="false">IF(AT161="","",ROUND(AT161*(1-Справочники!$B$19),0))</f>
        <v/>
      </c>
      <c r="BA161" s="81"/>
      <c r="BB161" s="81"/>
      <c r="BC161" s="81"/>
      <c r="BD161" s="81"/>
      <c r="BE161" s="91"/>
      <c r="BF161" s="81" t="s">
        <v>103</v>
      </c>
      <c r="BG161" s="89" t="n">
        <f aca="false" t="array" ref="BG161:BG161">IF(BF161="","",IFERROR(INDEX(Справочники!$B$4:$B$7,MATCH(BF161,Справочники!$A$4:$A$7,0)),""))</f>
        <v>68.5</v>
      </c>
      <c r="BH161" s="90" t="str">
        <f aca="false">IF(N(BN161)&gt;0,ROUND(SUMIF(ЗАКАЗЫ!$F$3:$F$500,$A161,ЗАКАЗЫ!$Y$3:$Y$500)/BN161,0),IF(OR(BE161="",BG161=""),"",ROUND(BE161*BG161*(1+Справочники!$B$10),0)))</f>
        <v/>
      </c>
      <c r="BI161" s="92" t="str">
        <f aca="false">IF(OR(AU161="",BH161="",AU161=0),"",(AU161-BH161)/AU161)</f>
        <v/>
      </c>
      <c r="BJ161" s="81"/>
      <c r="BK161" s="83"/>
      <c r="BL161" s="43" t="str">
        <f aca="false">IFERROR(INDEX(ЗАКАЗЫ!$N$3:$N$500,MATCH($A161,ЗАКАЗЫ!$F$3:$F$500,0)),"")</f>
        <v/>
      </c>
      <c r="BM161" s="8" t="str">
        <f aca="false">IF(BL161="","",IFERROR(VLOOKUP(BL161,'ТН ВЭД'!$A$4:$C$40,3,0),""))</f>
        <v/>
      </c>
      <c r="BN161" s="7" t="str">
        <f aca="false">IF(COUNTIF(ЗАКАЗЫ!$F$3:$F$500,$A161)=0,"",SUMIF(ЗАКАЗЫ!$F$3:$F$500,$A161,ЗАКАЗЫ!$J$3:$J$500))</f>
        <v/>
      </c>
      <c r="BO161" s="7" t="str">
        <f aca="false">IF(BN161="","",SUMIF(ЗАКАЗЫ!$F$3:$F$500,$A161,ЗАКАЗЫ!$AL$3:$AL$500))</f>
        <v/>
      </c>
      <c r="BP161" s="7" t="str">
        <f aca="false">IF(BN161="","",BN161-BO161)</f>
        <v/>
      </c>
      <c r="BQ161" s="55" t="str">
        <f aca="false">IF(BN161="","",IF(BO161&gt;=BN161,"На складе",IF(BO161&gt;0,"Частично","Ждём")))</f>
        <v/>
      </c>
      <c r="BR161" s="43"/>
      <c r="BS161" s="47" t="str">
        <f aca="false">IF(BN161="","",IF(_xlfn.MAXIFS(ЗАКАЗЫ!$AK$3:$AK$500,ЗАКАЗЫ!$F$3:$F$500,$A161)=0,"",_xlfn.MAXIFS(ЗАКАЗЫ!$AK$3:$AK$500,ЗАКАЗЫ!$F$3:$F$500,$A161)))</f>
        <v/>
      </c>
    </row>
    <row r="162" customFormat="false" ht="15.75" hidden="false" customHeight="true" outlineLevel="0" collapsed="false">
      <c r="A162" s="80" t="s">
        <v>1685</v>
      </c>
      <c r="B162" s="81"/>
      <c r="C162" s="81"/>
      <c r="D162" s="81"/>
      <c r="E162" s="83"/>
      <c r="F162" s="81"/>
      <c r="G162" s="83"/>
      <c r="H162" s="83"/>
      <c r="I162" s="84" t="str">
        <f aca="false">IF(E162="","",A162&amp;"_1.jpg")</f>
        <v/>
      </c>
      <c r="J162" s="84" t="str">
        <f aca="false">IF(E162="","",A162&amp;"_2.jpg; "&amp;A162&amp;"_3.jpg")</f>
        <v/>
      </c>
      <c r="K162" s="84" t="str">
        <f aca="false">IF(E162="","",A162&amp;"_schema.jpg")</f>
        <v/>
      </c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 t="s">
        <v>96</v>
      </c>
      <c r="W162" s="81"/>
      <c r="X162" s="81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6" t="str">
        <f aca="false">IF(SUM(Y162:AJ162)=0,"",SUM(Y162:AJ162))</f>
        <v/>
      </c>
      <c r="AL162" s="84" t="str">
        <f aca="false">MID(IF(N(Y162)&gt;0,", "&amp;Y$2,"")&amp;IF(N(Z162)&gt;0,", "&amp;Z$2,"")&amp;IF(N(AA162)&gt;0,", "&amp;AA$2,"")&amp;IF(N(AB162)&gt;0,", "&amp;AB$2,"")&amp;IF(N(AC162)&gt;0,", "&amp;AC$2,"")&amp;IF(N(AD162)&gt;0,", "&amp;AD$2,"")&amp;IF(N(AE162)&gt;0,", "&amp;AE$2,"")&amp;IF(N(AF162)&gt;0,", "&amp;AF$2,"")&amp;IF(N(AG162)&gt;0,", "&amp;AG$2,"")&amp;IF(N(AH162)&gt;0,", "&amp;AH$2,"")&amp;IF(N(AI162)&gt;0,", "&amp;AI$2,"")&amp;IF(N(AJ162)&gt;0,", "&amp;AJ$2,""),3,999)</f>
        <v/>
      </c>
      <c r="AM162" s="87" t="str">
        <f aca="false">IF(E162="","",MID(IF(N(Y162)&gt;0,", "&amp;A162&amp;"-"&amp;Y$2,"")&amp;IF(N(Z162)&gt;0,", "&amp;A162&amp;"-"&amp;Z$2,"")&amp;IF(N(AA162)&gt;0,", "&amp;A162&amp;"-"&amp;AA$2,"")&amp;IF(N(AB162)&gt;0,", "&amp;A162&amp;"-"&amp;AB$2,"")&amp;IF(N(AC162)&gt;0,", "&amp;A162&amp;"-"&amp;AC$2,"")&amp;IF(N(AD162)&gt;0,", "&amp;A162&amp;"-"&amp;AD$2,"")&amp;IF(N(AE162)&gt;0,", "&amp;A162&amp;"-"&amp;AE$2,"")&amp;IF(N(AF162)&gt;0,", "&amp;A162&amp;"-"&amp;AF$2,"")&amp;IF(N(AG162)&gt;0,", "&amp;A162&amp;"-"&amp;AG$2,"")&amp;IF(N(AH162)&gt;0,", "&amp;A162&amp;"-"&amp;AH$2,"")&amp;IF(N(AI162)&gt;0,", "&amp;A162&amp;"-"&amp;AI$2,"")&amp;IF(N(AJ162)&gt;0,", "&amp;A162&amp;"-"&amp;AJ$2,""),3,999))</f>
        <v/>
      </c>
      <c r="AN162" s="81"/>
      <c r="AO162" s="88"/>
      <c r="AP162" s="89" t="str">
        <f aca="false">IF(AO162="","",ROUND(AO162/(1+Справочники!$B$13),2))</f>
        <v/>
      </c>
      <c r="AQ162" s="90" t="str">
        <f aca="false" t="array" ref="AQ162:AQ162">IF(AP162="","",AP162*INDEX(Справочники!$B$4:$B$7,MATCH("RUB",Справочники!$A$4:$A$7,0)))</f>
        <v/>
      </c>
      <c r="AR162" s="90" t="str">
        <f aca="false">IF(AQ162="","",ROUND(AQ162*(1+Справочники!$B$12),0))</f>
        <v/>
      </c>
      <c r="AS162" s="90" t="str">
        <f aca="false">IF(AR162="","",ROUND(AR162*(1-Справочники!$B$11),0))</f>
        <v/>
      </c>
      <c r="AT162" s="88"/>
      <c r="AU162" s="90" t="str">
        <f aca="false">IF(AT162="","",ROUND(AT162/(1+Справочники!$B$12),0))</f>
        <v/>
      </c>
      <c r="AV162" s="90" t="str">
        <f aca="false">IF(AT162="","",ROUND(AT162*(1-Справочники!$B$15),0))</f>
        <v/>
      </c>
      <c r="AW162" s="90" t="str">
        <f aca="false">IF(AT162="","",ROUND(AT162*(1-Справочники!$B$16),0))</f>
        <v/>
      </c>
      <c r="AX162" s="90" t="str">
        <f aca="false">IF(AT162="","",ROUND(AT162*(1-Справочники!$B$17),0))</f>
        <v/>
      </c>
      <c r="AY162" s="90" t="str">
        <f aca="false">IF(AT162="","",ROUND(AT162*(1-Справочники!$B$18),0))</f>
        <v/>
      </c>
      <c r="AZ162" s="90" t="str">
        <f aca="false">IF(AT162="","",ROUND(AT162*(1-Справочники!$B$19),0))</f>
        <v/>
      </c>
      <c r="BA162" s="81"/>
      <c r="BB162" s="81"/>
      <c r="BC162" s="81"/>
      <c r="BD162" s="81"/>
      <c r="BE162" s="91"/>
      <c r="BF162" s="81" t="s">
        <v>103</v>
      </c>
      <c r="BG162" s="89" t="n">
        <f aca="false" t="array" ref="BG162:BG162">IF(BF162="","",IFERROR(INDEX(Справочники!$B$4:$B$7,MATCH(BF162,Справочники!$A$4:$A$7,0)),""))</f>
        <v>68.5</v>
      </c>
      <c r="BH162" s="90" t="str">
        <f aca="false">IF(N(BN162)&gt;0,ROUND(SUMIF(ЗАКАЗЫ!$F$3:$F$500,$A162,ЗАКАЗЫ!$Y$3:$Y$500)/BN162,0),IF(OR(BE162="",BG162=""),"",ROUND(BE162*BG162*(1+Справочники!$B$10),0)))</f>
        <v/>
      </c>
      <c r="BI162" s="92" t="str">
        <f aca="false">IF(OR(AU162="",BH162="",AU162=0),"",(AU162-BH162)/AU162)</f>
        <v/>
      </c>
      <c r="BJ162" s="81"/>
      <c r="BK162" s="83"/>
      <c r="BL162" s="43" t="str">
        <f aca="false">IFERROR(INDEX(ЗАКАЗЫ!$N$3:$N$500,MATCH($A162,ЗАКАЗЫ!$F$3:$F$500,0)),"")</f>
        <v/>
      </c>
      <c r="BM162" s="8" t="str">
        <f aca="false">IF(BL162="","",IFERROR(VLOOKUP(BL162,'ТН ВЭД'!$A$4:$C$40,3,0),""))</f>
        <v/>
      </c>
      <c r="BN162" s="7" t="str">
        <f aca="false">IF(COUNTIF(ЗАКАЗЫ!$F$3:$F$500,$A162)=0,"",SUMIF(ЗАКАЗЫ!$F$3:$F$500,$A162,ЗАКАЗЫ!$J$3:$J$500))</f>
        <v/>
      </c>
      <c r="BO162" s="7" t="str">
        <f aca="false">IF(BN162="","",SUMIF(ЗАКАЗЫ!$F$3:$F$500,$A162,ЗАКАЗЫ!$AL$3:$AL$500))</f>
        <v/>
      </c>
      <c r="BP162" s="7" t="str">
        <f aca="false">IF(BN162="","",BN162-BO162)</f>
        <v/>
      </c>
      <c r="BQ162" s="55" t="str">
        <f aca="false">IF(BN162="","",IF(BO162&gt;=BN162,"На складе",IF(BO162&gt;0,"Частично","Ждём")))</f>
        <v/>
      </c>
      <c r="BR162" s="43"/>
      <c r="BS162" s="47" t="str">
        <f aca="false">IF(BN162="","",IF(_xlfn.MAXIFS(ЗАКАЗЫ!$AK$3:$AK$500,ЗАКАЗЫ!$F$3:$F$500,$A162)=0,"",_xlfn.MAXIFS(ЗАКАЗЫ!$AK$3:$AK$500,ЗАКАЗЫ!$F$3:$F$500,$A162)))</f>
        <v/>
      </c>
    </row>
    <row r="163" customFormat="false" ht="15.75" hidden="false" customHeight="true" outlineLevel="0" collapsed="false">
      <c r="A163" s="80" t="s">
        <v>1686</v>
      </c>
      <c r="B163" s="81"/>
      <c r="C163" s="81"/>
      <c r="D163" s="81"/>
      <c r="E163" s="83"/>
      <c r="F163" s="81"/>
      <c r="G163" s="83"/>
      <c r="H163" s="83"/>
      <c r="I163" s="84" t="str">
        <f aca="false">IF(E163="","",A163&amp;"_1.jpg")</f>
        <v/>
      </c>
      <c r="J163" s="84" t="str">
        <f aca="false">IF(E163="","",A163&amp;"_2.jpg; "&amp;A163&amp;"_3.jpg")</f>
        <v/>
      </c>
      <c r="K163" s="84" t="str">
        <f aca="false">IF(E163="","",A163&amp;"_schema.jpg")</f>
        <v/>
      </c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 t="s">
        <v>96</v>
      </c>
      <c r="W163" s="81"/>
      <c r="X163" s="81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6" t="str">
        <f aca="false">IF(SUM(Y163:AJ163)=0,"",SUM(Y163:AJ163))</f>
        <v/>
      </c>
      <c r="AL163" s="84" t="str">
        <f aca="false">MID(IF(N(Y163)&gt;0,", "&amp;Y$2,"")&amp;IF(N(Z163)&gt;0,", "&amp;Z$2,"")&amp;IF(N(AA163)&gt;0,", "&amp;AA$2,"")&amp;IF(N(AB163)&gt;0,", "&amp;AB$2,"")&amp;IF(N(AC163)&gt;0,", "&amp;AC$2,"")&amp;IF(N(AD163)&gt;0,", "&amp;AD$2,"")&amp;IF(N(AE163)&gt;0,", "&amp;AE$2,"")&amp;IF(N(AF163)&gt;0,", "&amp;AF$2,"")&amp;IF(N(AG163)&gt;0,", "&amp;AG$2,"")&amp;IF(N(AH163)&gt;0,", "&amp;AH$2,"")&amp;IF(N(AI163)&gt;0,", "&amp;AI$2,"")&amp;IF(N(AJ163)&gt;0,", "&amp;AJ$2,""),3,999)</f>
        <v/>
      </c>
      <c r="AM163" s="87" t="str">
        <f aca="false">IF(E163="","",MID(IF(N(Y163)&gt;0,", "&amp;A163&amp;"-"&amp;Y$2,"")&amp;IF(N(Z163)&gt;0,", "&amp;A163&amp;"-"&amp;Z$2,"")&amp;IF(N(AA163)&gt;0,", "&amp;A163&amp;"-"&amp;AA$2,"")&amp;IF(N(AB163)&gt;0,", "&amp;A163&amp;"-"&amp;AB$2,"")&amp;IF(N(AC163)&gt;0,", "&amp;A163&amp;"-"&amp;AC$2,"")&amp;IF(N(AD163)&gt;0,", "&amp;A163&amp;"-"&amp;AD$2,"")&amp;IF(N(AE163)&gt;0,", "&amp;A163&amp;"-"&amp;AE$2,"")&amp;IF(N(AF163)&gt;0,", "&amp;A163&amp;"-"&amp;AF$2,"")&amp;IF(N(AG163)&gt;0,", "&amp;A163&amp;"-"&amp;AG$2,"")&amp;IF(N(AH163)&gt;0,", "&amp;A163&amp;"-"&amp;AH$2,"")&amp;IF(N(AI163)&gt;0,", "&amp;A163&amp;"-"&amp;AI$2,"")&amp;IF(N(AJ163)&gt;0,", "&amp;A163&amp;"-"&amp;AJ$2,""),3,999))</f>
        <v/>
      </c>
      <c r="AN163" s="81"/>
      <c r="AO163" s="88"/>
      <c r="AP163" s="89" t="str">
        <f aca="false">IF(AO163="","",ROUND(AO163/(1+Справочники!$B$13),2))</f>
        <v/>
      </c>
      <c r="AQ163" s="90" t="str">
        <f aca="false" t="array" ref="AQ163:AQ163">IF(AP163="","",AP163*INDEX(Справочники!$B$4:$B$7,MATCH("RUB",Справочники!$A$4:$A$7,0)))</f>
        <v/>
      </c>
      <c r="AR163" s="90" t="str">
        <f aca="false">IF(AQ163="","",ROUND(AQ163*(1+Справочники!$B$12),0))</f>
        <v/>
      </c>
      <c r="AS163" s="90" t="str">
        <f aca="false">IF(AR163="","",ROUND(AR163*(1-Справочники!$B$11),0))</f>
        <v/>
      </c>
      <c r="AT163" s="88"/>
      <c r="AU163" s="90" t="str">
        <f aca="false">IF(AT163="","",ROUND(AT163/(1+Справочники!$B$12),0))</f>
        <v/>
      </c>
      <c r="AV163" s="90" t="str">
        <f aca="false">IF(AT163="","",ROUND(AT163*(1-Справочники!$B$15),0))</f>
        <v/>
      </c>
      <c r="AW163" s="90" t="str">
        <f aca="false">IF(AT163="","",ROUND(AT163*(1-Справочники!$B$16),0))</f>
        <v/>
      </c>
      <c r="AX163" s="90" t="str">
        <f aca="false">IF(AT163="","",ROUND(AT163*(1-Справочники!$B$17),0))</f>
        <v/>
      </c>
      <c r="AY163" s="90" t="str">
        <f aca="false">IF(AT163="","",ROUND(AT163*(1-Справочники!$B$18),0))</f>
        <v/>
      </c>
      <c r="AZ163" s="90" t="str">
        <f aca="false">IF(AT163="","",ROUND(AT163*(1-Справочники!$B$19),0))</f>
        <v/>
      </c>
      <c r="BA163" s="81"/>
      <c r="BB163" s="81"/>
      <c r="BC163" s="81"/>
      <c r="BD163" s="81"/>
      <c r="BE163" s="91"/>
      <c r="BF163" s="81" t="s">
        <v>103</v>
      </c>
      <c r="BG163" s="89" t="n">
        <f aca="false" t="array" ref="BG163:BG163">IF(BF163="","",IFERROR(INDEX(Справочники!$B$4:$B$7,MATCH(BF163,Справочники!$A$4:$A$7,0)),""))</f>
        <v>68.5</v>
      </c>
      <c r="BH163" s="90" t="str">
        <f aca="false">IF(N(BN163)&gt;0,ROUND(SUMIF(ЗАКАЗЫ!$F$3:$F$500,$A163,ЗАКАЗЫ!$Y$3:$Y$500)/BN163,0),IF(OR(BE163="",BG163=""),"",ROUND(BE163*BG163*(1+Справочники!$B$10),0)))</f>
        <v/>
      </c>
      <c r="BI163" s="92" t="str">
        <f aca="false">IF(OR(AU163="",BH163="",AU163=0),"",(AU163-BH163)/AU163)</f>
        <v/>
      </c>
      <c r="BJ163" s="81"/>
      <c r="BK163" s="83"/>
      <c r="BL163" s="43" t="str">
        <f aca="false">IFERROR(INDEX(ЗАКАЗЫ!$N$3:$N$500,MATCH($A163,ЗАКАЗЫ!$F$3:$F$500,0)),"")</f>
        <v/>
      </c>
      <c r="BM163" s="8" t="str">
        <f aca="false">IF(BL163="","",IFERROR(VLOOKUP(BL163,'ТН ВЭД'!$A$4:$C$40,3,0),""))</f>
        <v/>
      </c>
      <c r="BN163" s="7" t="str">
        <f aca="false">IF(COUNTIF(ЗАКАЗЫ!$F$3:$F$500,$A163)=0,"",SUMIF(ЗАКАЗЫ!$F$3:$F$500,$A163,ЗАКАЗЫ!$J$3:$J$500))</f>
        <v/>
      </c>
      <c r="BO163" s="7" t="str">
        <f aca="false">IF(BN163="","",SUMIF(ЗАКАЗЫ!$F$3:$F$500,$A163,ЗАКАЗЫ!$AL$3:$AL$500))</f>
        <v/>
      </c>
      <c r="BP163" s="7" t="str">
        <f aca="false">IF(BN163="","",BN163-BO163)</f>
        <v/>
      </c>
      <c r="BQ163" s="55" t="str">
        <f aca="false">IF(BN163="","",IF(BO163&gt;=BN163,"На складе",IF(BO163&gt;0,"Частично","Ждём")))</f>
        <v/>
      </c>
      <c r="BR163" s="43"/>
      <c r="BS163" s="47" t="str">
        <f aca="false">IF(BN163="","",IF(_xlfn.MAXIFS(ЗАКАЗЫ!$AK$3:$AK$500,ЗАКАЗЫ!$F$3:$F$500,$A163)=0,"",_xlfn.MAXIFS(ЗАКАЗЫ!$AK$3:$AK$500,ЗАКАЗЫ!$F$3:$F$500,$A163)))</f>
        <v/>
      </c>
    </row>
    <row r="164" customFormat="false" ht="15.75" hidden="false" customHeight="true" outlineLevel="0" collapsed="false">
      <c r="A164" s="80" t="s">
        <v>1687</v>
      </c>
      <c r="B164" s="81"/>
      <c r="C164" s="81"/>
      <c r="D164" s="81"/>
      <c r="E164" s="83"/>
      <c r="F164" s="81"/>
      <c r="G164" s="83"/>
      <c r="H164" s="83"/>
      <c r="I164" s="84" t="str">
        <f aca="false">IF(E164="","",A164&amp;"_1.jpg")</f>
        <v/>
      </c>
      <c r="J164" s="84" t="str">
        <f aca="false">IF(E164="","",A164&amp;"_2.jpg; "&amp;A164&amp;"_3.jpg")</f>
        <v/>
      </c>
      <c r="K164" s="84" t="str">
        <f aca="false">IF(E164="","",A164&amp;"_schema.jpg")</f>
        <v/>
      </c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 t="s">
        <v>96</v>
      </c>
      <c r="W164" s="81"/>
      <c r="X164" s="81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6" t="str">
        <f aca="false">IF(SUM(Y164:AJ164)=0,"",SUM(Y164:AJ164))</f>
        <v/>
      </c>
      <c r="AL164" s="84" t="str">
        <f aca="false">MID(IF(N(Y164)&gt;0,", "&amp;Y$2,"")&amp;IF(N(Z164)&gt;0,", "&amp;Z$2,"")&amp;IF(N(AA164)&gt;0,", "&amp;AA$2,"")&amp;IF(N(AB164)&gt;0,", "&amp;AB$2,"")&amp;IF(N(AC164)&gt;0,", "&amp;AC$2,"")&amp;IF(N(AD164)&gt;0,", "&amp;AD$2,"")&amp;IF(N(AE164)&gt;0,", "&amp;AE$2,"")&amp;IF(N(AF164)&gt;0,", "&amp;AF$2,"")&amp;IF(N(AG164)&gt;0,", "&amp;AG$2,"")&amp;IF(N(AH164)&gt;0,", "&amp;AH$2,"")&amp;IF(N(AI164)&gt;0,", "&amp;AI$2,"")&amp;IF(N(AJ164)&gt;0,", "&amp;AJ$2,""),3,999)</f>
        <v/>
      </c>
      <c r="AM164" s="87" t="str">
        <f aca="false">IF(E164="","",MID(IF(N(Y164)&gt;0,", "&amp;A164&amp;"-"&amp;Y$2,"")&amp;IF(N(Z164)&gt;0,", "&amp;A164&amp;"-"&amp;Z$2,"")&amp;IF(N(AA164)&gt;0,", "&amp;A164&amp;"-"&amp;AA$2,"")&amp;IF(N(AB164)&gt;0,", "&amp;A164&amp;"-"&amp;AB$2,"")&amp;IF(N(AC164)&gt;0,", "&amp;A164&amp;"-"&amp;AC$2,"")&amp;IF(N(AD164)&gt;0,", "&amp;A164&amp;"-"&amp;AD$2,"")&amp;IF(N(AE164)&gt;0,", "&amp;A164&amp;"-"&amp;AE$2,"")&amp;IF(N(AF164)&gt;0,", "&amp;A164&amp;"-"&amp;AF$2,"")&amp;IF(N(AG164)&gt;0,", "&amp;A164&amp;"-"&amp;AG$2,"")&amp;IF(N(AH164)&gt;0,", "&amp;A164&amp;"-"&amp;AH$2,"")&amp;IF(N(AI164)&gt;0,", "&amp;A164&amp;"-"&amp;AI$2,"")&amp;IF(N(AJ164)&gt;0,", "&amp;A164&amp;"-"&amp;AJ$2,""),3,999))</f>
        <v/>
      </c>
      <c r="AN164" s="81"/>
      <c r="AO164" s="88"/>
      <c r="AP164" s="89" t="str">
        <f aca="false">IF(AO164="","",ROUND(AO164/(1+Справочники!$B$13),2))</f>
        <v/>
      </c>
      <c r="AQ164" s="90" t="str">
        <f aca="false" t="array" ref="AQ164:AQ164">IF(AP164="","",AP164*INDEX(Справочники!$B$4:$B$7,MATCH("RUB",Справочники!$A$4:$A$7,0)))</f>
        <v/>
      </c>
      <c r="AR164" s="90" t="str">
        <f aca="false">IF(AQ164="","",ROUND(AQ164*(1+Справочники!$B$12),0))</f>
        <v/>
      </c>
      <c r="AS164" s="90" t="str">
        <f aca="false">IF(AR164="","",ROUND(AR164*(1-Справочники!$B$11),0))</f>
        <v/>
      </c>
      <c r="AT164" s="88"/>
      <c r="AU164" s="90" t="str">
        <f aca="false">IF(AT164="","",ROUND(AT164/(1+Справочники!$B$12),0))</f>
        <v/>
      </c>
      <c r="AV164" s="90" t="str">
        <f aca="false">IF(AT164="","",ROUND(AT164*(1-Справочники!$B$15),0))</f>
        <v/>
      </c>
      <c r="AW164" s="90" t="str">
        <f aca="false">IF(AT164="","",ROUND(AT164*(1-Справочники!$B$16),0))</f>
        <v/>
      </c>
      <c r="AX164" s="90" t="str">
        <f aca="false">IF(AT164="","",ROUND(AT164*(1-Справочники!$B$17),0))</f>
        <v/>
      </c>
      <c r="AY164" s="90" t="str">
        <f aca="false">IF(AT164="","",ROUND(AT164*(1-Справочники!$B$18),0))</f>
        <v/>
      </c>
      <c r="AZ164" s="90" t="str">
        <f aca="false">IF(AT164="","",ROUND(AT164*(1-Справочники!$B$19),0))</f>
        <v/>
      </c>
      <c r="BA164" s="81"/>
      <c r="BB164" s="81"/>
      <c r="BC164" s="81"/>
      <c r="BD164" s="81"/>
      <c r="BE164" s="91"/>
      <c r="BF164" s="81" t="s">
        <v>103</v>
      </c>
      <c r="BG164" s="89" t="n">
        <f aca="false" t="array" ref="BG164:BG164">IF(BF164="","",IFERROR(INDEX(Справочники!$B$4:$B$7,MATCH(BF164,Справочники!$A$4:$A$7,0)),""))</f>
        <v>68.5</v>
      </c>
      <c r="BH164" s="90" t="str">
        <f aca="false">IF(N(BN164)&gt;0,ROUND(SUMIF(ЗАКАЗЫ!$F$3:$F$500,$A164,ЗАКАЗЫ!$Y$3:$Y$500)/BN164,0),IF(OR(BE164="",BG164=""),"",ROUND(BE164*BG164*(1+Справочники!$B$10),0)))</f>
        <v/>
      </c>
      <c r="BI164" s="92" t="str">
        <f aca="false">IF(OR(AU164="",BH164="",AU164=0),"",(AU164-BH164)/AU164)</f>
        <v/>
      </c>
      <c r="BJ164" s="81"/>
      <c r="BK164" s="83"/>
      <c r="BL164" s="43" t="str">
        <f aca="false">IFERROR(INDEX(ЗАКАЗЫ!$N$3:$N$500,MATCH($A164,ЗАКАЗЫ!$F$3:$F$500,0)),"")</f>
        <v/>
      </c>
      <c r="BM164" s="8" t="str">
        <f aca="false">IF(BL164="","",IFERROR(VLOOKUP(BL164,'ТН ВЭД'!$A$4:$C$40,3,0),""))</f>
        <v/>
      </c>
      <c r="BN164" s="7" t="str">
        <f aca="false">IF(COUNTIF(ЗАКАЗЫ!$F$3:$F$500,$A164)=0,"",SUMIF(ЗАКАЗЫ!$F$3:$F$500,$A164,ЗАКАЗЫ!$J$3:$J$500))</f>
        <v/>
      </c>
      <c r="BO164" s="7" t="str">
        <f aca="false">IF(BN164="","",SUMIF(ЗАКАЗЫ!$F$3:$F$500,$A164,ЗАКАЗЫ!$AL$3:$AL$500))</f>
        <v/>
      </c>
      <c r="BP164" s="7" t="str">
        <f aca="false">IF(BN164="","",BN164-BO164)</f>
        <v/>
      </c>
      <c r="BQ164" s="55" t="str">
        <f aca="false">IF(BN164="","",IF(BO164&gt;=BN164,"На складе",IF(BO164&gt;0,"Частично","Ждём")))</f>
        <v/>
      </c>
      <c r="BR164" s="43"/>
      <c r="BS164" s="47" t="str">
        <f aca="false">IF(BN164="","",IF(_xlfn.MAXIFS(ЗАКАЗЫ!$AK$3:$AK$500,ЗАКАЗЫ!$F$3:$F$500,$A164)=0,"",_xlfn.MAXIFS(ЗАКАЗЫ!$AK$3:$AK$500,ЗАКАЗЫ!$F$3:$F$500,$A164)))</f>
        <v/>
      </c>
    </row>
    <row r="165" customFormat="false" ht="15.75" hidden="false" customHeight="true" outlineLevel="0" collapsed="false">
      <c r="A165" s="80" t="s">
        <v>1688</v>
      </c>
      <c r="B165" s="81"/>
      <c r="C165" s="81"/>
      <c r="D165" s="81"/>
      <c r="E165" s="83"/>
      <c r="F165" s="81"/>
      <c r="G165" s="83"/>
      <c r="H165" s="83"/>
      <c r="I165" s="84" t="str">
        <f aca="false">IF(E165="","",A165&amp;"_1.jpg")</f>
        <v/>
      </c>
      <c r="J165" s="84" t="str">
        <f aca="false">IF(E165="","",A165&amp;"_2.jpg; "&amp;A165&amp;"_3.jpg")</f>
        <v/>
      </c>
      <c r="K165" s="84" t="str">
        <f aca="false">IF(E165="","",A165&amp;"_schema.jpg")</f>
        <v/>
      </c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 t="s">
        <v>96</v>
      </c>
      <c r="W165" s="81"/>
      <c r="X165" s="81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6" t="str">
        <f aca="false">IF(SUM(Y165:AJ165)=0,"",SUM(Y165:AJ165))</f>
        <v/>
      </c>
      <c r="AL165" s="84" t="str">
        <f aca="false">MID(IF(N(Y165)&gt;0,", "&amp;Y$2,"")&amp;IF(N(Z165)&gt;0,", "&amp;Z$2,"")&amp;IF(N(AA165)&gt;0,", "&amp;AA$2,"")&amp;IF(N(AB165)&gt;0,", "&amp;AB$2,"")&amp;IF(N(AC165)&gt;0,", "&amp;AC$2,"")&amp;IF(N(AD165)&gt;0,", "&amp;AD$2,"")&amp;IF(N(AE165)&gt;0,", "&amp;AE$2,"")&amp;IF(N(AF165)&gt;0,", "&amp;AF$2,"")&amp;IF(N(AG165)&gt;0,", "&amp;AG$2,"")&amp;IF(N(AH165)&gt;0,", "&amp;AH$2,"")&amp;IF(N(AI165)&gt;0,", "&amp;AI$2,"")&amp;IF(N(AJ165)&gt;0,", "&amp;AJ$2,""),3,999)</f>
        <v/>
      </c>
      <c r="AM165" s="87" t="str">
        <f aca="false">IF(E165="","",MID(IF(N(Y165)&gt;0,", "&amp;A165&amp;"-"&amp;Y$2,"")&amp;IF(N(Z165)&gt;0,", "&amp;A165&amp;"-"&amp;Z$2,"")&amp;IF(N(AA165)&gt;0,", "&amp;A165&amp;"-"&amp;AA$2,"")&amp;IF(N(AB165)&gt;0,", "&amp;A165&amp;"-"&amp;AB$2,"")&amp;IF(N(AC165)&gt;0,", "&amp;A165&amp;"-"&amp;AC$2,"")&amp;IF(N(AD165)&gt;0,", "&amp;A165&amp;"-"&amp;AD$2,"")&amp;IF(N(AE165)&gt;0,", "&amp;A165&amp;"-"&amp;AE$2,"")&amp;IF(N(AF165)&gt;0,", "&amp;A165&amp;"-"&amp;AF$2,"")&amp;IF(N(AG165)&gt;0,", "&amp;A165&amp;"-"&amp;AG$2,"")&amp;IF(N(AH165)&gt;0,", "&amp;A165&amp;"-"&amp;AH$2,"")&amp;IF(N(AI165)&gt;0,", "&amp;A165&amp;"-"&amp;AI$2,"")&amp;IF(N(AJ165)&gt;0,", "&amp;A165&amp;"-"&amp;AJ$2,""),3,999))</f>
        <v/>
      </c>
      <c r="AN165" s="81"/>
      <c r="AO165" s="88"/>
      <c r="AP165" s="89" t="str">
        <f aca="false">IF(AO165="","",ROUND(AO165/(1+Справочники!$B$13),2))</f>
        <v/>
      </c>
      <c r="AQ165" s="90" t="str">
        <f aca="false" t="array" ref="AQ165:AQ165">IF(AP165="","",AP165*INDEX(Справочники!$B$4:$B$7,MATCH("RUB",Справочники!$A$4:$A$7,0)))</f>
        <v/>
      </c>
      <c r="AR165" s="90" t="str">
        <f aca="false">IF(AQ165="","",ROUND(AQ165*(1+Справочники!$B$12),0))</f>
        <v/>
      </c>
      <c r="AS165" s="90" t="str">
        <f aca="false">IF(AR165="","",ROUND(AR165*(1-Справочники!$B$11),0))</f>
        <v/>
      </c>
      <c r="AT165" s="88"/>
      <c r="AU165" s="90" t="str">
        <f aca="false">IF(AT165="","",ROUND(AT165/(1+Справочники!$B$12),0))</f>
        <v/>
      </c>
      <c r="AV165" s="90" t="str">
        <f aca="false">IF(AT165="","",ROUND(AT165*(1-Справочники!$B$15),0))</f>
        <v/>
      </c>
      <c r="AW165" s="90" t="str">
        <f aca="false">IF(AT165="","",ROUND(AT165*(1-Справочники!$B$16),0))</f>
        <v/>
      </c>
      <c r="AX165" s="90" t="str">
        <f aca="false">IF(AT165="","",ROUND(AT165*(1-Справочники!$B$17),0))</f>
        <v/>
      </c>
      <c r="AY165" s="90" t="str">
        <f aca="false">IF(AT165="","",ROUND(AT165*(1-Справочники!$B$18),0))</f>
        <v/>
      </c>
      <c r="AZ165" s="90" t="str">
        <f aca="false">IF(AT165="","",ROUND(AT165*(1-Справочники!$B$19),0))</f>
        <v/>
      </c>
      <c r="BA165" s="81"/>
      <c r="BB165" s="81"/>
      <c r="BC165" s="81"/>
      <c r="BD165" s="81"/>
      <c r="BE165" s="91"/>
      <c r="BF165" s="81" t="s">
        <v>103</v>
      </c>
      <c r="BG165" s="89" t="n">
        <f aca="false" t="array" ref="BG165:BG165">IF(BF165="","",IFERROR(INDEX(Справочники!$B$4:$B$7,MATCH(BF165,Справочники!$A$4:$A$7,0)),""))</f>
        <v>68.5</v>
      </c>
      <c r="BH165" s="90" t="str">
        <f aca="false">IF(N(BN165)&gt;0,ROUND(SUMIF(ЗАКАЗЫ!$F$3:$F$500,$A165,ЗАКАЗЫ!$Y$3:$Y$500)/BN165,0),IF(OR(BE165="",BG165=""),"",ROUND(BE165*BG165*(1+Справочники!$B$10),0)))</f>
        <v/>
      </c>
      <c r="BI165" s="92" t="str">
        <f aca="false">IF(OR(AU165="",BH165="",AU165=0),"",(AU165-BH165)/AU165)</f>
        <v/>
      </c>
      <c r="BJ165" s="81"/>
      <c r="BK165" s="83"/>
      <c r="BL165" s="43" t="str">
        <f aca="false">IFERROR(INDEX(ЗАКАЗЫ!$N$3:$N$500,MATCH($A165,ЗАКАЗЫ!$F$3:$F$500,0)),"")</f>
        <v/>
      </c>
      <c r="BM165" s="8" t="str">
        <f aca="false">IF(BL165="","",IFERROR(VLOOKUP(BL165,'ТН ВЭД'!$A$4:$C$40,3,0),""))</f>
        <v/>
      </c>
      <c r="BN165" s="7" t="str">
        <f aca="false">IF(COUNTIF(ЗАКАЗЫ!$F$3:$F$500,$A165)=0,"",SUMIF(ЗАКАЗЫ!$F$3:$F$500,$A165,ЗАКАЗЫ!$J$3:$J$500))</f>
        <v/>
      </c>
      <c r="BO165" s="7" t="str">
        <f aca="false">IF(BN165="","",SUMIF(ЗАКАЗЫ!$F$3:$F$500,$A165,ЗАКАЗЫ!$AL$3:$AL$500))</f>
        <v/>
      </c>
      <c r="BP165" s="7" t="str">
        <f aca="false">IF(BN165="","",BN165-BO165)</f>
        <v/>
      </c>
      <c r="BQ165" s="55" t="str">
        <f aca="false">IF(BN165="","",IF(BO165&gt;=BN165,"На складе",IF(BO165&gt;0,"Частично","Ждём")))</f>
        <v/>
      </c>
      <c r="BR165" s="43"/>
      <c r="BS165" s="47" t="str">
        <f aca="false">IF(BN165="","",IF(_xlfn.MAXIFS(ЗАКАЗЫ!$AK$3:$AK$500,ЗАКАЗЫ!$F$3:$F$500,$A165)=0,"",_xlfn.MAXIFS(ЗАКАЗЫ!$AK$3:$AK$500,ЗАКАЗЫ!$F$3:$F$500,$A165)))</f>
        <v/>
      </c>
    </row>
    <row r="166" customFormat="false" ht="15.75" hidden="false" customHeight="true" outlineLevel="0" collapsed="false">
      <c r="A166" s="80" t="s">
        <v>1689</v>
      </c>
      <c r="B166" s="81"/>
      <c r="C166" s="81"/>
      <c r="D166" s="81"/>
      <c r="E166" s="83"/>
      <c r="F166" s="81"/>
      <c r="G166" s="83"/>
      <c r="H166" s="83"/>
      <c r="I166" s="84" t="str">
        <f aca="false">IF(E166="","",A166&amp;"_1.jpg")</f>
        <v/>
      </c>
      <c r="J166" s="84" t="str">
        <f aca="false">IF(E166="","",A166&amp;"_2.jpg; "&amp;A166&amp;"_3.jpg")</f>
        <v/>
      </c>
      <c r="K166" s="84" t="str">
        <f aca="false">IF(E166="","",A166&amp;"_schema.jpg")</f>
        <v/>
      </c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 t="s">
        <v>96</v>
      </c>
      <c r="W166" s="81"/>
      <c r="X166" s="81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6" t="str">
        <f aca="false">IF(SUM(Y166:AJ166)=0,"",SUM(Y166:AJ166))</f>
        <v/>
      </c>
      <c r="AL166" s="84" t="str">
        <f aca="false">MID(IF(N(Y166)&gt;0,", "&amp;Y$2,"")&amp;IF(N(Z166)&gt;0,", "&amp;Z$2,"")&amp;IF(N(AA166)&gt;0,", "&amp;AA$2,"")&amp;IF(N(AB166)&gt;0,", "&amp;AB$2,"")&amp;IF(N(AC166)&gt;0,", "&amp;AC$2,"")&amp;IF(N(AD166)&gt;0,", "&amp;AD$2,"")&amp;IF(N(AE166)&gt;0,", "&amp;AE$2,"")&amp;IF(N(AF166)&gt;0,", "&amp;AF$2,"")&amp;IF(N(AG166)&gt;0,", "&amp;AG$2,"")&amp;IF(N(AH166)&gt;0,", "&amp;AH$2,"")&amp;IF(N(AI166)&gt;0,", "&amp;AI$2,"")&amp;IF(N(AJ166)&gt;0,", "&amp;AJ$2,""),3,999)</f>
        <v/>
      </c>
      <c r="AM166" s="87" t="str">
        <f aca="false">IF(E166="","",MID(IF(N(Y166)&gt;0,", "&amp;A166&amp;"-"&amp;Y$2,"")&amp;IF(N(Z166)&gt;0,", "&amp;A166&amp;"-"&amp;Z$2,"")&amp;IF(N(AA166)&gt;0,", "&amp;A166&amp;"-"&amp;AA$2,"")&amp;IF(N(AB166)&gt;0,", "&amp;A166&amp;"-"&amp;AB$2,"")&amp;IF(N(AC166)&gt;0,", "&amp;A166&amp;"-"&amp;AC$2,"")&amp;IF(N(AD166)&gt;0,", "&amp;A166&amp;"-"&amp;AD$2,"")&amp;IF(N(AE166)&gt;0,", "&amp;A166&amp;"-"&amp;AE$2,"")&amp;IF(N(AF166)&gt;0,", "&amp;A166&amp;"-"&amp;AF$2,"")&amp;IF(N(AG166)&gt;0,", "&amp;A166&amp;"-"&amp;AG$2,"")&amp;IF(N(AH166)&gt;0,", "&amp;A166&amp;"-"&amp;AH$2,"")&amp;IF(N(AI166)&gt;0,", "&amp;A166&amp;"-"&amp;AI$2,"")&amp;IF(N(AJ166)&gt;0,", "&amp;A166&amp;"-"&amp;AJ$2,""),3,999))</f>
        <v/>
      </c>
      <c r="AN166" s="81"/>
      <c r="AO166" s="88"/>
      <c r="AP166" s="89" t="str">
        <f aca="false">IF(AO166="","",ROUND(AO166/(1+Справочники!$B$13),2))</f>
        <v/>
      </c>
      <c r="AQ166" s="90" t="str">
        <f aca="false" t="array" ref="AQ166:AQ166">IF(AP166="","",AP166*INDEX(Справочники!$B$4:$B$7,MATCH("RUB",Справочники!$A$4:$A$7,0)))</f>
        <v/>
      </c>
      <c r="AR166" s="90" t="str">
        <f aca="false">IF(AQ166="","",ROUND(AQ166*(1+Справочники!$B$12),0))</f>
        <v/>
      </c>
      <c r="AS166" s="90" t="str">
        <f aca="false">IF(AR166="","",ROUND(AR166*(1-Справочники!$B$11),0))</f>
        <v/>
      </c>
      <c r="AT166" s="88"/>
      <c r="AU166" s="90" t="str">
        <f aca="false">IF(AT166="","",ROUND(AT166/(1+Справочники!$B$12),0))</f>
        <v/>
      </c>
      <c r="AV166" s="90" t="str">
        <f aca="false">IF(AT166="","",ROUND(AT166*(1-Справочники!$B$15),0))</f>
        <v/>
      </c>
      <c r="AW166" s="90" t="str">
        <f aca="false">IF(AT166="","",ROUND(AT166*(1-Справочники!$B$16),0))</f>
        <v/>
      </c>
      <c r="AX166" s="90" t="str">
        <f aca="false">IF(AT166="","",ROUND(AT166*(1-Справочники!$B$17),0))</f>
        <v/>
      </c>
      <c r="AY166" s="90" t="str">
        <f aca="false">IF(AT166="","",ROUND(AT166*(1-Справочники!$B$18),0))</f>
        <v/>
      </c>
      <c r="AZ166" s="90" t="str">
        <f aca="false">IF(AT166="","",ROUND(AT166*(1-Справочники!$B$19),0))</f>
        <v/>
      </c>
      <c r="BA166" s="81"/>
      <c r="BB166" s="81"/>
      <c r="BC166" s="81"/>
      <c r="BD166" s="81"/>
      <c r="BE166" s="91"/>
      <c r="BF166" s="81" t="s">
        <v>103</v>
      </c>
      <c r="BG166" s="89" t="n">
        <f aca="false" t="array" ref="BG166:BG166">IF(BF166="","",IFERROR(INDEX(Справочники!$B$4:$B$7,MATCH(BF166,Справочники!$A$4:$A$7,0)),""))</f>
        <v>68.5</v>
      </c>
      <c r="BH166" s="90" t="str">
        <f aca="false">IF(N(BN166)&gt;0,ROUND(SUMIF(ЗАКАЗЫ!$F$3:$F$500,$A166,ЗАКАЗЫ!$Y$3:$Y$500)/BN166,0),IF(OR(BE166="",BG166=""),"",ROUND(BE166*BG166*(1+Справочники!$B$10),0)))</f>
        <v/>
      </c>
      <c r="BI166" s="92" t="str">
        <f aca="false">IF(OR(AU166="",BH166="",AU166=0),"",(AU166-BH166)/AU166)</f>
        <v/>
      </c>
      <c r="BJ166" s="81"/>
      <c r="BK166" s="83"/>
      <c r="BL166" s="43" t="str">
        <f aca="false">IFERROR(INDEX(ЗАКАЗЫ!$N$3:$N$500,MATCH($A166,ЗАКАЗЫ!$F$3:$F$500,0)),"")</f>
        <v/>
      </c>
      <c r="BM166" s="8" t="str">
        <f aca="false">IF(BL166="","",IFERROR(VLOOKUP(BL166,'ТН ВЭД'!$A$4:$C$40,3,0),""))</f>
        <v/>
      </c>
      <c r="BN166" s="7" t="str">
        <f aca="false">IF(COUNTIF(ЗАКАЗЫ!$F$3:$F$500,$A166)=0,"",SUMIF(ЗАКАЗЫ!$F$3:$F$500,$A166,ЗАКАЗЫ!$J$3:$J$500))</f>
        <v/>
      </c>
      <c r="BO166" s="7" t="str">
        <f aca="false">IF(BN166="","",SUMIF(ЗАКАЗЫ!$F$3:$F$500,$A166,ЗАКАЗЫ!$AL$3:$AL$500))</f>
        <v/>
      </c>
      <c r="BP166" s="7" t="str">
        <f aca="false">IF(BN166="","",BN166-BO166)</f>
        <v/>
      </c>
      <c r="BQ166" s="55" t="str">
        <f aca="false">IF(BN166="","",IF(BO166&gt;=BN166,"На складе",IF(BO166&gt;0,"Частично","Ждём")))</f>
        <v/>
      </c>
      <c r="BR166" s="43"/>
      <c r="BS166" s="47" t="str">
        <f aca="false">IF(BN166="","",IF(_xlfn.MAXIFS(ЗАКАЗЫ!$AK$3:$AK$500,ЗАКАЗЫ!$F$3:$F$500,$A166)=0,"",_xlfn.MAXIFS(ЗАКАЗЫ!$AK$3:$AK$500,ЗАКАЗЫ!$F$3:$F$500,$A166)))</f>
        <v/>
      </c>
    </row>
    <row r="167" customFormat="false" ht="15.75" hidden="false" customHeight="true" outlineLevel="0" collapsed="false">
      <c r="A167" s="80" t="s">
        <v>1690</v>
      </c>
      <c r="B167" s="81"/>
      <c r="C167" s="81"/>
      <c r="D167" s="81"/>
      <c r="E167" s="83"/>
      <c r="F167" s="81"/>
      <c r="G167" s="83"/>
      <c r="H167" s="83"/>
      <c r="I167" s="84" t="str">
        <f aca="false">IF(E167="","",A167&amp;"_1.jpg")</f>
        <v/>
      </c>
      <c r="J167" s="84" t="str">
        <f aca="false">IF(E167="","",A167&amp;"_2.jpg; "&amp;A167&amp;"_3.jpg")</f>
        <v/>
      </c>
      <c r="K167" s="84" t="str">
        <f aca="false">IF(E167="","",A167&amp;"_schema.jpg")</f>
        <v/>
      </c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 t="s">
        <v>96</v>
      </c>
      <c r="W167" s="81"/>
      <c r="X167" s="81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6" t="str">
        <f aca="false">IF(SUM(Y167:AJ167)=0,"",SUM(Y167:AJ167))</f>
        <v/>
      </c>
      <c r="AL167" s="84" t="str">
        <f aca="false">MID(IF(N(Y167)&gt;0,", "&amp;Y$2,"")&amp;IF(N(Z167)&gt;0,", "&amp;Z$2,"")&amp;IF(N(AA167)&gt;0,", "&amp;AA$2,"")&amp;IF(N(AB167)&gt;0,", "&amp;AB$2,"")&amp;IF(N(AC167)&gt;0,", "&amp;AC$2,"")&amp;IF(N(AD167)&gt;0,", "&amp;AD$2,"")&amp;IF(N(AE167)&gt;0,", "&amp;AE$2,"")&amp;IF(N(AF167)&gt;0,", "&amp;AF$2,"")&amp;IF(N(AG167)&gt;0,", "&amp;AG$2,"")&amp;IF(N(AH167)&gt;0,", "&amp;AH$2,"")&amp;IF(N(AI167)&gt;0,", "&amp;AI$2,"")&amp;IF(N(AJ167)&gt;0,", "&amp;AJ$2,""),3,999)</f>
        <v/>
      </c>
      <c r="AM167" s="87" t="str">
        <f aca="false">IF(E167="","",MID(IF(N(Y167)&gt;0,", "&amp;A167&amp;"-"&amp;Y$2,"")&amp;IF(N(Z167)&gt;0,", "&amp;A167&amp;"-"&amp;Z$2,"")&amp;IF(N(AA167)&gt;0,", "&amp;A167&amp;"-"&amp;AA$2,"")&amp;IF(N(AB167)&gt;0,", "&amp;A167&amp;"-"&amp;AB$2,"")&amp;IF(N(AC167)&gt;0,", "&amp;A167&amp;"-"&amp;AC$2,"")&amp;IF(N(AD167)&gt;0,", "&amp;A167&amp;"-"&amp;AD$2,"")&amp;IF(N(AE167)&gt;0,", "&amp;A167&amp;"-"&amp;AE$2,"")&amp;IF(N(AF167)&gt;0,", "&amp;A167&amp;"-"&amp;AF$2,"")&amp;IF(N(AG167)&gt;0,", "&amp;A167&amp;"-"&amp;AG$2,"")&amp;IF(N(AH167)&gt;0,", "&amp;A167&amp;"-"&amp;AH$2,"")&amp;IF(N(AI167)&gt;0,", "&amp;A167&amp;"-"&amp;AI$2,"")&amp;IF(N(AJ167)&gt;0,", "&amp;A167&amp;"-"&amp;AJ$2,""),3,999))</f>
        <v/>
      </c>
      <c r="AN167" s="81"/>
      <c r="AO167" s="88"/>
      <c r="AP167" s="89" t="str">
        <f aca="false">IF(AO167="","",ROUND(AO167/(1+Справочники!$B$13),2))</f>
        <v/>
      </c>
      <c r="AQ167" s="90" t="str">
        <f aca="false" t="array" ref="AQ167:AQ167">IF(AP167="","",AP167*INDEX(Справочники!$B$4:$B$7,MATCH("RUB",Справочники!$A$4:$A$7,0)))</f>
        <v/>
      </c>
      <c r="AR167" s="90" t="str">
        <f aca="false">IF(AQ167="","",ROUND(AQ167*(1+Справочники!$B$12),0))</f>
        <v/>
      </c>
      <c r="AS167" s="90" t="str">
        <f aca="false">IF(AR167="","",ROUND(AR167*(1-Справочники!$B$11),0))</f>
        <v/>
      </c>
      <c r="AT167" s="88"/>
      <c r="AU167" s="90" t="str">
        <f aca="false">IF(AT167="","",ROUND(AT167/(1+Справочники!$B$12),0))</f>
        <v/>
      </c>
      <c r="AV167" s="90" t="str">
        <f aca="false">IF(AT167="","",ROUND(AT167*(1-Справочники!$B$15),0))</f>
        <v/>
      </c>
      <c r="AW167" s="90" t="str">
        <f aca="false">IF(AT167="","",ROUND(AT167*(1-Справочники!$B$16),0))</f>
        <v/>
      </c>
      <c r="AX167" s="90" t="str">
        <f aca="false">IF(AT167="","",ROUND(AT167*(1-Справочники!$B$17),0))</f>
        <v/>
      </c>
      <c r="AY167" s="90" t="str">
        <f aca="false">IF(AT167="","",ROUND(AT167*(1-Справочники!$B$18),0))</f>
        <v/>
      </c>
      <c r="AZ167" s="90" t="str">
        <f aca="false">IF(AT167="","",ROUND(AT167*(1-Справочники!$B$19),0))</f>
        <v/>
      </c>
      <c r="BA167" s="81"/>
      <c r="BB167" s="81"/>
      <c r="BC167" s="81"/>
      <c r="BD167" s="81"/>
      <c r="BE167" s="91"/>
      <c r="BF167" s="81" t="s">
        <v>103</v>
      </c>
      <c r="BG167" s="89" t="n">
        <f aca="false" t="array" ref="BG167:BG167">IF(BF167="","",IFERROR(INDEX(Справочники!$B$4:$B$7,MATCH(BF167,Справочники!$A$4:$A$7,0)),""))</f>
        <v>68.5</v>
      </c>
      <c r="BH167" s="90" t="str">
        <f aca="false">IF(N(BN167)&gt;0,ROUND(SUMIF(ЗАКАЗЫ!$F$3:$F$500,$A167,ЗАКАЗЫ!$Y$3:$Y$500)/BN167,0),IF(OR(BE167="",BG167=""),"",ROUND(BE167*BG167*(1+Справочники!$B$10),0)))</f>
        <v/>
      </c>
      <c r="BI167" s="92" t="str">
        <f aca="false">IF(OR(AU167="",BH167="",AU167=0),"",(AU167-BH167)/AU167)</f>
        <v/>
      </c>
      <c r="BJ167" s="81"/>
      <c r="BK167" s="83"/>
      <c r="BL167" s="43" t="str">
        <f aca="false">IFERROR(INDEX(ЗАКАЗЫ!$N$3:$N$500,MATCH($A167,ЗАКАЗЫ!$F$3:$F$500,0)),"")</f>
        <v/>
      </c>
      <c r="BM167" s="8" t="str">
        <f aca="false">IF(BL167="","",IFERROR(VLOOKUP(BL167,'ТН ВЭД'!$A$4:$C$40,3,0),""))</f>
        <v/>
      </c>
      <c r="BN167" s="7" t="str">
        <f aca="false">IF(COUNTIF(ЗАКАЗЫ!$F$3:$F$500,$A167)=0,"",SUMIF(ЗАКАЗЫ!$F$3:$F$500,$A167,ЗАКАЗЫ!$J$3:$J$500))</f>
        <v/>
      </c>
      <c r="BO167" s="7" t="str">
        <f aca="false">IF(BN167="","",SUMIF(ЗАКАЗЫ!$F$3:$F$500,$A167,ЗАКАЗЫ!$AL$3:$AL$500))</f>
        <v/>
      </c>
      <c r="BP167" s="7" t="str">
        <f aca="false">IF(BN167="","",BN167-BO167)</f>
        <v/>
      </c>
      <c r="BQ167" s="55" t="str">
        <f aca="false">IF(BN167="","",IF(BO167&gt;=BN167,"На складе",IF(BO167&gt;0,"Частично","Ждём")))</f>
        <v/>
      </c>
      <c r="BR167" s="43"/>
      <c r="BS167" s="47" t="str">
        <f aca="false">IF(BN167="","",IF(_xlfn.MAXIFS(ЗАКАЗЫ!$AK$3:$AK$500,ЗАКАЗЫ!$F$3:$F$500,$A167)=0,"",_xlfn.MAXIFS(ЗАКАЗЫ!$AK$3:$AK$500,ЗАКАЗЫ!$F$3:$F$500,$A167)))</f>
        <v/>
      </c>
    </row>
    <row r="168" customFormat="false" ht="15.75" hidden="false" customHeight="true" outlineLevel="0" collapsed="false">
      <c r="A168" s="80" t="s">
        <v>1691</v>
      </c>
      <c r="B168" s="81"/>
      <c r="C168" s="81"/>
      <c r="D168" s="81"/>
      <c r="E168" s="83"/>
      <c r="F168" s="81"/>
      <c r="G168" s="83"/>
      <c r="H168" s="83"/>
      <c r="I168" s="84" t="str">
        <f aca="false">IF(E168="","",A168&amp;"_1.jpg")</f>
        <v/>
      </c>
      <c r="J168" s="84" t="str">
        <f aca="false">IF(E168="","",A168&amp;"_2.jpg; "&amp;A168&amp;"_3.jpg")</f>
        <v/>
      </c>
      <c r="K168" s="84" t="str">
        <f aca="false">IF(E168="","",A168&amp;"_schema.jpg")</f>
        <v/>
      </c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 t="s">
        <v>96</v>
      </c>
      <c r="W168" s="81"/>
      <c r="X168" s="81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6" t="str">
        <f aca="false">IF(SUM(Y168:AJ168)=0,"",SUM(Y168:AJ168))</f>
        <v/>
      </c>
      <c r="AL168" s="84" t="str">
        <f aca="false">MID(IF(N(Y168)&gt;0,", "&amp;Y$2,"")&amp;IF(N(Z168)&gt;0,", "&amp;Z$2,"")&amp;IF(N(AA168)&gt;0,", "&amp;AA$2,"")&amp;IF(N(AB168)&gt;0,", "&amp;AB$2,"")&amp;IF(N(AC168)&gt;0,", "&amp;AC$2,"")&amp;IF(N(AD168)&gt;0,", "&amp;AD$2,"")&amp;IF(N(AE168)&gt;0,", "&amp;AE$2,"")&amp;IF(N(AF168)&gt;0,", "&amp;AF$2,"")&amp;IF(N(AG168)&gt;0,", "&amp;AG$2,"")&amp;IF(N(AH168)&gt;0,", "&amp;AH$2,"")&amp;IF(N(AI168)&gt;0,", "&amp;AI$2,"")&amp;IF(N(AJ168)&gt;0,", "&amp;AJ$2,""),3,999)</f>
        <v/>
      </c>
      <c r="AM168" s="87" t="str">
        <f aca="false">IF(E168="","",MID(IF(N(Y168)&gt;0,", "&amp;A168&amp;"-"&amp;Y$2,"")&amp;IF(N(Z168)&gt;0,", "&amp;A168&amp;"-"&amp;Z$2,"")&amp;IF(N(AA168)&gt;0,", "&amp;A168&amp;"-"&amp;AA$2,"")&amp;IF(N(AB168)&gt;0,", "&amp;A168&amp;"-"&amp;AB$2,"")&amp;IF(N(AC168)&gt;0,", "&amp;A168&amp;"-"&amp;AC$2,"")&amp;IF(N(AD168)&gt;0,", "&amp;A168&amp;"-"&amp;AD$2,"")&amp;IF(N(AE168)&gt;0,", "&amp;A168&amp;"-"&amp;AE$2,"")&amp;IF(N(AF168)&gt;0,", "&amp;A168&amp;"-"&amp;AF$2,"")&amp;IF(N(AG168)&gt;0,", "&amp;A168&amp;"-"&amp;AG$2,"")&amp;IF(N(AH168)&gt;0,", "&amp;A168&amp;"-"&amp;AH$2,"")&amp;IF(N(AI168)&gt;0,", "&amp;A168&amp;"-"&amp;AI$2,"")&amp;IF(N(AJ168)&gt;0,", "&amp;A168&amp;"-"&amp;AJ$2,""),3,999))</f>
        <v/>
      </c>
      <c r="AN168" s="81"/>
      <c r="AO168" s="88"/>
      <c r="AP168" s="89" t="str">
        <f aca="false">IF(AO168="","",ROUND(AO168/(1+Справочники!$B$13),2))</f>
        <v/>
      </c>
      <c r="AQ168" s="90" t="str">
        <f aca="false" t="array" ref="AQ168:AQ168">IF(AP168="","",AP168*INDEX(Справочники!$B$4:$B$7,MATCH("RUB",Справочники!$A$4:$A$7,0)))</f>
        <v/>
      </c>
      <c r="AR168" s="90" t="str">
        <f aca="false">IF(AQ168="","",ROUND(AQ168*(1+Справочники!$B$12),0))</f>
        <v/>
      </c>
      <c r="AS168" s="90" t="str">
        <f aca="false">IF(AR168="","",ROUND(AR168*(1-Справочники!$B$11),0))</f>
        <v/>
      </c>
      <c r="AT168" s="88"/>
      <c r="AU168" s="90" t="str">
        <f aca="false">IF(AT168="","",ROUND(AT168/(1+Справочники!$B$12),0))</f>
        <v/>
      </c>
      <c r="AV168" s="90" t="str">
        <f aca="false">IF(AT168="","",ROUND(AT168*(1-Справочники!$B$15),0))</f>
        <v/>
      </c>
      <c r="AW168" s="90" t="str">
        <f aca="false">IF(AT168="","",ROUND(AT168*(1-Справочники!$B$16),0))</f>
        <v/>
      </c>
      <c r="AX168" s="90" t="str">
        <f aca="false">IF(AT168="","",ROUND(AT168*(1-Справочники!$B$17),0))</f>
        <v/>
      </c>
      <c r="AY168" s="90" t="str">
        <f aca="false">IF(AT168="","",ROUND(AT168*(1-Справочники!$B$18),0))</f>
        <v/>
      </c>
      <c r="AZ168" s="90" t="str">
        <f aca="false">IF(AT168="","",ROUND(AT168*(1-Справочники!$B$19),0))</f>
        <v/>
      </c>
      <c r="BA168" s="81"/>
      <c r="BB168" s="81"/>
      <c r="BC168" s="81"/>
      <c r="BD168" s="81"/>
      <c r="BE168" s="91"/>
      <c r="BF168" s="81" t="s">
        <v>103</v>
      </c>
      <c r="BG168" s="89" t="n">
        <f aca="false" t="array" ref="BG168:BG168">IF(BF168="","",IFERROR(INDEX(Справочники!$B$4:$B$7,MATCH(BF168,Справочники!$A$4:$A$7,0)),""))</f>
        <v>68.5</v>
      </c>
      <c r="BH168" s="90" t="str">
        <f aca="false">IF(N(BN168)&gt;0,ROUND(SUMIF(ЗАКАЗЫ!$F$3:$F$500,$A168,ЗАКАЗЫ!$Y$3:$Y$500)/BN168,0),IF(OR(BE168="",BG168=""),"",ROUND(BE168*BG168*(1+Справочники!$B$10),0)))</f>
        <v/>
      </c>
      <c r="BI168" s="92" t="str">
        <f aca="false">IF(OR(AU168="",BH168="",AU168=0),"",(AU168-BH168)/AU168)</f>
        <v/>
      </c>
      <c r="BJ168" s="81"/>
      <c r="BK168" s="83"/>
      <c r="BL168" s="43" t="str">
        <f aca="false">IFERROR(INDEX(ЗАКАЗЫ!$N$3:$N$500,MATCH($A168,ЗАКАЗЫ!$F$3:$F$500,0)),"")</f>
        <v/>
      </c>
      <c r="BM168" s="8" t="str">
        <f aca="false">IF(BL168="","",IFERROR(VLOOKUP(BL168,'ТН ВЭД'!$A$4:$C$40,3,0),""))</f>
        <v/>
      </c>
      <c r="BN168" s="7" t="str">
        <f aca="false">IF(COUNTIF(ЗАКАЗЫ!$F$3:$F$500,$A168)=0,"",SUMIF(ЗАКАЗЫ!$F$3:$F$500,$A168,ЗАКАЗЫ!$J$3:$J$500))</f>
        <v/>
      </c>
      <c r="BO168" s="7" t="str">
        <f aca="false">IF(BN168="","",SUMIF(ЗАКАЗЫ!$F$3:$F$500,$A168,ЗАКАЗЫ!$AL$3:$AL$500))</f>
        <v/>
      </c>
      <c r="BP168" s="7" t="str">
        <f aca="false">IF(BN168="","",BN168-BO168)</f>
        <v/>
      </c>
      <c r="BQ168" s="55" t="str">
        <f aca="false">IF(BN168="","",IF(BO168&gt;=BN168,"На складе",IF(BO168&gt;0,"Частично","Ждём")))</f>
        <v/>
      </c>
      <c r="BR168" s="43"/>
      <c r="BS168" s="47" t="str">
        <f aca="false">IF(BN168="","",IF(_xlfn.MAXIFS(ЗАКАЗЫ!$AK$3:$AK$500,ЗАКАЗЫ!$F$3:$F$500,$A168)=0,"",_xlfn.MAXIFS(ЗАКАЗЫ!$AK$3:$AK$500,ЗАКАЗЫ!$F$3:$F$500,$A168)))</f>
        <v/>
      </c>
    </row>
    <row r="169" customFormat="false" ht="15.75" hidden="false" customHeight="true" outlineLevel="0" collapsed="false">
      <c r="A169" s="80" t="s">
        <v>1692</v>
      </c>
      <c r="B169" s="81"/>
      <c r="C169" s="81"/>
      <c r="D169" s="81"/>
      <c r="E169" s="83"/>
      <c r="F169" s="81"/>
      <c r="G169" s="83"/>
      <c r="H169" s="83"/>
      <c r="I169" s="84" t="str">
        <f aca="false">IF(E169="","",A169&amp;"_1.jpg")</f>
        <v/>
      </c>
      <c r="J169" s="84" t="str">
        <f aca="false">IF(E169="","",A169&amp;"_2.jpg; "&amp;A169&amp;"_3.jpg")</f>
        <v/>
      </c>
      <c r="K169" s="84" t="str">
        <f aca="false">IF(E169="","",A169&amp;"_schema.jpg")</f>
        <v/>
      </c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 t="s">
        <v>96</v>
      </c>
      <c r="W169" s="81"/>
      <c r="X169" s="81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6" t="str">
        <f aca="false">IF(SUM(Y169:AJ169)=0,"",SUM(Y169:AJ169))</f>
        <v/>
      </c>
      <c r="AL169" s="84" t="str">
        <f aca="false">MID(IF(N(Y169)&gt;0,", "&amp;Y$2,"")&amp;IF(N(Z169)&gt;0,", "&amp;Z$2,"")&amp;IF(N(AA169)&gt;0,", "&amp;AA$2,"")&amp;IF(N(AB169)&gt;0,", "&amp;AB$2,"")&amp;IF(N(AC169)&gt;0,", "&amp;AC$2,"")&amp;IF(N(AD169)&gt;0,", "&amp;AD$2,"")&amp;IF(N(AE169)&gt;0,", "&amp;AE$2,"")&amp;IF(N(AF169)&gt;0,", "&amp;AF$2,"")&amp;IF(N(AG169)&gt;0,", "&amp;AG$2,"")&amp;IF(N(AH169)&gt;0,", "&amp;AH$2,"")&amp;IF(N(AI169)&gt;0,", "&amp;AI$2,"")&amp;IF(N(AJ169)&gt;0,", "&amp;AJ$2,""),3,999)</f>
        <v/>
      </c>
      <c r="AM169" s="87" t="str">
        <f aca="false">IF(E169="","",MID(IF(N(Y169)&gt;0,", "&amp;A169&amp;"-"&amp;Y$2,"")&amp;IF(N(Z169)&gt;0,", "&amp;A169&amp;"-"&amp;Z$2,"")&amp;IF(N(AA169)&gt;0,", "&amp;A169&amp;"-"&amp;AA$2,"")&amp;IF(N(AB169)&gt;0,", "&amp;A169&amp;"-"&amp;AB$2,"")&amp;IF(N(AC169)&gt;0,", "&amp;A169&amp;"-"&amp;AC$2,"")&amp;IF(N(AD169)&gt;0,", "&amp;A169&amp;"-"&amp;AD$2,"")&amp;IF(N(AE169)&gt;0,", "&amp;A169&amp;"-"&amp;AE$2,"")&amp;IF(N(AF169)&gt;0,", "&amp;A169&amp;"-"&amp;AF$2,"")&amp;IF(N(AG169)&gt;0,", "&amp;A169&amp;"-"&amp;AG$2,"")&amp;IF(N(AH169)&gt;0,", "&amp;A169&amp;"-"&amp;AH$2,"")&amp;IF(N(AI169)&gt;0,", "&amp;A169&amp;"-"&amp;AI$2,"")&amp;IF(N(AJ169)&gt;0,", "&amp;A169&amp;"-"&amp;AJ$2,""),3,999))</f>
        <v/>
      </c>
      <c r="AN169" s="81"/>
      <c r="AO169" s="88"/>
      <c r="AP169" s="89" t="str">
        <f aca="false">IF(AO169="","",ROUND(AO169/(1+Справочники!$B$13),2))</f>
        <v/>
      </c>
      <c r="AQ169" s="90" t="str">
        <f aca="false" t="array" ref="AQ169:AQ169">IF(AP169="","",AP169*INDEX(Справочники!$B$4:$B$7,MATCH("RUB",Справочники!$A$4:$A$7,0)))</f>
        <v/>
      </c>
      <c r="AR169" s="90" t="str">
        <f aca="false">IF(AQ169="","",ROUND(AQ169*(1+Справочники!$B$12),0))</f>
        <v/>
      </c>
      <c r="AS169" s="90" t="str">
        <f aca="false">IF(AR169="","",ROUND(AR169*(1-Справочники!$B$11),0))</f>
        <v/>
      </c>
      <c r="AT169" s="88"/>
      <c r="AU169" s="90" t="str">
        <f aca="false">IF(AT169="","",ROUND(AT169/(1+Справочники!$B$12),0))</f>
        <v/>
      </c>
      <c r="AV169" s="90" t="str">
        <f aca="false">IF(AT169="","",ROUND(AT169*(1-Справочники!$B$15),0))</f>
        <v/>
      </c>
      <c r="AW169" s="90" t="str">
        <f aca="false">IF(AT169="","",ROUND(AT169*(1-Справочники!$B$16),0))</f>
        <v/>
      </c>
      <c r="AX169" s="90" t="str">
        <f aca="false">IF(AT169="","",ROUND(AT169*(1-Справочники!$B$17),0))</f>
        <v/>
      </c>
      <c r="AY169" s="90" t="str">
        <f aca="false">IF(AT169="","",ROUND(AT169*(1-Справочники!$B$18),0))</f>
        <v/>
      </c>
      <c r="AZ169" s="90" t="str">
        <f aca="false">IF(AT169="","",ROUND(AT169*(1-Справочники!$B$19),0))</f>
        <v/>
      </c>
      <c r="BA169" s="81"/>
      <c r="BB169" s="81"/>
      <c r="BC169" s="81"/>
      <c r="BD169" s="81"/>
      <c r="BE169" s="91"/>
      <c r="BF169" s="81" t="s">
        <v>103</v>
      </c>
      <c r="BG169" s="89" t="n">
        <f aca="false" t="array" ref="BG169:BG169">IF(BF169="","",IFERROR(INDEX(Справочники!$B$4:$B$7,MATCH(BF169,Справочники!$A$4:$A$7,0)),""))</f>
        <v>68.5</v>
      </c>
      <c r="BH169" s="90" t="str">
        <f aca="false">IF(N(BN169)&gt;0,ROUND(SUMIF(ЗАКАЗЫ!$F$3:$F$500,$A169,ЗАКАЗЫ!$Y$3:$Y$500)/BN169,0),IF(OR(BE169="",BG169=""),"",ROUND(BE169*BG169*(1+Справочники!$B$10),0)))</f>
        <v/>
      </c>
      <c r="BI169" s="92" t="str">
        <f aca="false">IF(OR(AU169="",BH169="",AU169=0),"",(AU169-BH169)/AU169)</f>
        <v/>
      </c>
      <c r="BJ169" s="81"/>
      <c r="BK169" s="83"/>
      <c r="BL169" s="43" t="str">
        <f aca="false">IFERROR(INDEX(ЗАКАЗЫ!$N$3:$N$500,MATCH($A169,ЗАКАЗЫ!$F$3:$F$500,0)),"")</f>
        <v/>
      </c>
      <c r="BM169" s="8" t="str">
        <f aca="false">IF(BL169="","",IFERROR(VLOOKUP(BL169,'ТН ВЭД'!$A$4:$C$40,3,0),""))</f>
        <v/>
      </c>
      <c r="BN169" s="7" t="str">
        <f aca="false">IF(COUNTIF(ЗАКАЗЫ!$F$3:$F$500,$A169)=0,"",SUMIF(ЗАКАЗЫ!$F$3:$F$500,$A169,ЗАКАЗЫ!$J$3:$J$500))</f>
        <v/>
      </c>
      <c r="BO169" s="7" t="str">
        <f aca="false">IF(BN169="","",SUMIF(ЗАКАЗЫ!$F$3:$F$500,$A169,ЗАКАЗЫ!$AL$3:$AL$500))</f>
        <v/>
      </c>
      <c r="BP169" s="7" t="str">
        <f aca="false">IF(BN169="","",BN169-BO169)</f>
        <v/>
      </c>
      <c r="BQ169" s="55" t="str">
        <f aca="false">IF(BN169="","",IF(BO169&gt;=BN169,"На складе",IF(BO169&gt;0,"Частично","Ждём")))</f>
        <v/>
      </c>
      <c r="BR169" s="43"/>
      <c r="BS169" s="47" t="str">
        <f aca="false">IF(BN169="","",IF(_xlfn.MAXIFS(ЗАКАЗЫ!$AK$3:$AK$500,ЗАКАЗЫ!$F$3:$F$500,$A169)=0,"",_xlfn.MAXIFS(ЗАКАЗЫ!$AK$3:$AK$500,ЗАКАЗЫ!$F$3:$F$500,$A169)))</f>
        <v/>
      </c>
    </row>
    <row r="170" customFormat="false" ht="15.75" hidden="false" customHeight="true" outlineLevel="0" collapsed="false">
      <c r="A170" s="80" t="s">
        <v>1693</v>
      </c>
      <c r="B170" s="81"/>
      <c r="C170" s="81"/>
      <c r="D170" s="81"/>
      <c r="E170" s="83"/>
      <c r="F170" s="81"/>
      <c r="G170" s="83"/>
      <c r="H170" s="83"/>
      <c r="I170" s="84" t="str">
        <f aca="false">IF(E170="","",A170&amp;"_1.jpg")</f>
        <v/>
      </c>
      <c r="J170" s="84" t="str">
        <f aca="false">IF(E170="","",A170&amp;"_2.jpg; "&amp;A170&amp;"_3.jpg")</f>
        <v/>
      </c>
      <c r="K170" s="84" t="str">
        <f aca="false">IF(E170="","",A170&amp;"_schema.jpg")</f>
        <v/>
      </c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 t="s">
        <v>96</v>
      </c>
      <c r="W170" s="81"/>
      <c r="X170" s="81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6" t="str">
        <f aca="false">IF(SUM(Y170:AJ170)=0,"",SUM(Y170:AJ170))</f>
        <v/>
      </c>
      <c r="AL170" s="84" t="str">
        <f aca="false">MID(IF(N(Y170)&gt;0,", "&amp;Y$2,"")&amp;IF(N(Z170)&gt;0,", "&amp;Z$2,"")&amp;IF(N(AA170)&gt;0,", "&amp;AA$2,"")&amp;IF(N(AB170)&gt;0,", "&amp;AB$2,"")&amp;IF(N(AC170)&gt;0,", "&amp;AC$2,"")&amp;IF(N(AD170)&gt;0,", "&amp;AD$2,"")&amp;IF(N(AE170)&gt;0,", "&amp;AE$2,"")&amp;IF(N(AF170)&gt;0,", "&amp;AF$2,"")&amp;IF(N(AG170)&gt;0,", "&amp;AG$2,"")&amp;IF(N(AH170)&gt;0,", "&amp;AH$2,"")&amp;IF(N(AI170)&gt;0,", "&amp;AI$2,"")&amp;IF(N(AJ170)&gt;0,", "&amp;AJ$2,""),3,999)</f>
        <v/>
      </c>
      <c r="AM170" s="87" t="str">
        <f aca="false">IF(E170="","",MID(IF(N(Y170)&gt;0,", "&amp;A170&amp;"-"&amp;Y$2,"")&amp;IF(N(Z170)&gt;0,", "&amp;A170&amp;"-"&amp;Z$2,"")&amp;IF(N(AA170)&gt;0,", "&amp;A170&amp;"-"&amp;AA$2,"")&amp;IF(N(AB170)&gt;0,", "&amp;A170&amp;"-"&amp;AB$2,"")&amp;IF(N(AC170)&gt;0,", "&amp;A170&amp;"-"&amp;AC$2,"")&amp;IF(N(AD170)&gt;0,", "&amp;A170&amp;"-"&amp;AD$2,"")&amp;IF(N(AE170)&gt;0,", "&amp;A170&amp;"-"&amp;AE$2,"")&amp;IF(N(AF170)&gt;0,", "&amp;A170&amp;"-"&amp;AF$2,"")&amp;IF(N(AG170)&gt;0,", "&amp;A170&amp;"-"&amp;AG$2,"")&amp;IF(N(AH170)&gt;0,", "&amp;A170&amp;"-"&amp;AH$2,"")&amp;IF(N(AI170)&gt;0,", "&amp;A170&amp;"-"&amp;AI$2,"")&amp;IF(N(AJ170)&gt;0,", "&amp;A170&amp;"-"&amp;AJ$2,""),3,999))</f>
        <v/>
      </c>
      <c r="AN170" s="81"/>
      <c r="AO170" s="88"/>
      <c r="AP170" s="89" t="str">
        <f aca="false">IF(AO170="","",ROUND(AO170/(1+Справочники!$B$13),2))</f>
        <v/>
      </c>
      <c r="AQ170" s="90" t="str">
        <f aca="false" t="array" ref="AQ170:AQ170">IF(AP170="","",AP170*INDEX(Справочники!$B$4:$B$7,MATCH("RUB",Справочники!$A$4:$A$7,0)))</f>
        <v/>
      </c>
      <c r="AR170" s="90" t="str">
        <f aca="false">IF(AQ170="","",ROUND(AQ170*(1+Справочники!$B$12),0))</f>
        <v/>
      </c>
      <c r="AS170" s="90" t="str">
        <f aca="false">IF(AR170="","",ROUND(AR170*(1-Справочники!$B$11),0))</f>
        <v/>
      </c>
      <c r="AT170" s="88"/>
      <c r="AU170" s="90" t="str">
        <f aca="false">IF(AT170="","",ROUND(AT170/(1+Справочники!$B$12),0))</f>
        <v/>
      </c>
      <c r="AV170" s="90" t="str">
        <f aca="false">IF(AT170="","",ROUND(AT170*(1-Справочники!$B$15),0))</f>
        <v/>
      </c>
      <c r="AW170" s="90" t="str">
        <f aca="false">IF(AT170="","",ROUND(AT170*(1-Справочники!$B$16),0))</f>
        <v/>
      </c>
      <c r="AX170" s="90" t="str">
        <f aca="false">IF(AT170="","",ROUND(AT170*(1-Справочники!$B$17),0))</f>
        <v/>
      </c>
      <c r="AY170" s="90" t="str">
        <f aca="false">IF(AT170="","",ROUND(AT170*(1-Справочники!$B$18),0))</f>
        <v/>
      </c>
      <c r="AZ170" s="90" t="str">
        <f aca="false">IF(AT170="","",ROUND(AT170*(1-Справочники!$B$19),0))</f>
        <v/>
      </c>
      <c r="BA170" s="81"/>
      <c r="BB170" s="81"/>
      <c r="BC170" s="81"/>
      <c r="BD170" s="81"/>
      <c r="BE170" s="91"/>
      <c r="BF170" s="81" t="s">
        <v>103</v>
      </c>
      <c r="BG170" s="89" t="n">
        <f aca="false" t="array" ref="BG170:BG170">IF(BF170="","",IFERROR(INDEX(Справочники!$B$4:$B$7,MATCH(BF170,Справочники!$A$4:$A$7,0)),""))</f>
        <v>68.5</v>
      </c>
      <c r="BH170" s="90" t="str">
        <f aca="false">IF(N(BN170)&gt;0,ROUND(SUMIF(ЗАКАЗЫ!$F$3:$F$500,$A170,ЗАКАЗЫ!$Y$3:$Y$500)/BN170,0),IF(OR(BE170="",BG170=""),"",ROUND(BE170*BG170*(1+Справочники!$B$10),0)))</f>
        <v/>
      </c>
      <c r="BI170" s="92" t="str">
        <f aca="false">IF(OR(AU170="",BH170="",AU170=0),"",(AU170-BH170)/AU170)</f>
        <v/>
      </c>
      <c r="BJ170" s="81"/>
      <c r="BK170" s="83"/>
      <c r="BL170" s="43" t="str">
        <f aca="false">IFERROR(INDEX(ЗАКАЗЫ!$N$3:$N$500,MATCH($A170,ЗАКАЗЫ!$F$3:$F$500,0)),"")</f>
        <v/>
      </c>
      <c r="BM170" s="8" t="str">
        <f aca="false">IF(BL170="","",IFERROR(VLOOKUP(BL170,'ТН ВЭД'!$A$4:$C$40,3,0),""))</f>
        <v/>
      </c>
      <c r="BN170" s="7" t="str">
        <f aca="false">IF(COUNTIF(ЗАКАЗЫ!$F$3:$F$500,$A170)=0,"",SUMIF(ЗАКАЗЫ!$F$3:$F$500,$A170,ЗАКАЗЫ!$J$3:$J$500))</f>
        <v/>
      </c>
      <c r="BO170" s="7" t="str">
        <f aca="false">IF(BN170="","",SUMIF(ЗАКАЗЫ!$F$3:$F$500,$A170,ЗАКАЗЫ!$AL$3:$AL$500))</f>
        <v/>
      </c>
      <c r="BP170" s="7" t="str">
        <f aca="false">IF(BN170="","",BN170-BO170)</f>
        <v/>
      </c>
      <c r="BQ170" s="55" t="str">
        <f aca="false">IF(BN170="","",IF(BO170&gt;=BN170,"На складе",IF(BO170&gt;0,"Частично","Ждём")))</f>
        <v/>
      </c>
      <c r="BR170" s="43"/>
      <c r="BS170" s="47" t="str">
        <f aca="false">IF(BN170="","",IF(_xlfn.MAXIFS(ЗАКАЗЫ!$AK$3:$AK$500,ЗАКАЗЫ!$F$3:$F$500,$A170)=0,"",_xlfn.MAXIFS(ЗАКАЗЫ!$AK$3:$AK$500,ЗАКАЗЫ!$F$3:$F$500,$A170)))</f>
        <v/>
      </c>
    </row>
    <row r="171" customFormat="false" ht="15.75" hidden="false" customHeight="true" outlineLevel="0" collapsed="false">
      <c r="A171" s="80" t="s">
        <v>1694</v>
      </c>
      <c r="B171" s="81"/>
      <c r="C171" s="81"/>
      <c r="D171" s="81"/>
      <c r="E171" s="83"/>
      <c r="F171" s="81"/>
      <c r="G171" s="83"/>
      <c r="H171" s="83"/>
      <c r="I171" s="84" t="str">
        <f aca="false">IF(E171="","",A171&amp;"_1.jpg")</f>
        <v/>
      </c>
      <c r="J171" s="84" t="str">
        <f aca="false">IF(E171="","",A171&amp;"_2.jpg; "&amp;A171&amp;"_3.jpg")</f>
        <v/>
      </c>
      <c r="K171" s="84" t="str">
        <f aca="false">IF(E171="","",A171&amp;"_schema.jpg")</f>
        <v/>
      </c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 t="s">
        <v>96</v>
      </c>
      <c r="W171" s="81"/>
      <c r="X171" s="81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6" t="str">
        <f aca="false">IF(SUM(Y171:AJ171)=0,"",SUM(Y171:AJ171))</f>
        <v/>
      </c>
      <c r="AL171" s="84" t="str">
        <f aca="false">MID(IF(N(Y171)&gt;0,", "&amp;Y$2,"")&amp;IF(N(Z171)&gt;0,", "&amp;Z$2,"")&amp;IF(N(AA171)&gt;0,", "&amp;AA$2,"")&amp;IF(N(AB171)&gt;0,", "&amp;AB$2,"")&amp;IF(N(AC171)&gt;0,", "&amp;AC$2,"")&amp;IF(N(AD171)&gt;0,", "&amp;AD$2,"")&amp;IF(N(AE171)&gt;0,", "&amp;AE$2,"")&amp;IF(N(AF171)&gt;0,", "&amp;AF$2,"")&amp;IF(N(AG171)&gt;0,", "&amp;AG$2,"")&amp;IF(N(AH171)&gt;0,", "&amp;AH$2,"")&amp;IF(N(AI171)&gt;0,", "&amp;AI$2,"")&amp;IF(N(AJ171)&gt;0,", "&amp;AJ$2,""),3,999)</f>
        <v/>
      </c>
      <c r="AM171" s="87" t="str">
        <f aca="false">IF(E171="","",MID(IF(N(Y171)&gt;0,", "&amp;A171&amp;"-"&amp;Y$2,"")&amp;IF(N(Z171)&gt;0,", "&amp;A171&amp;"-"&amp;Z$2,"")&amp;IF(N(AA171)&gt;0,", "&amp;A171&amp;"-"&amp;AA$2,"")&amp;IF(N(AB171)&gt;0,", "&amp;A171&amp;"-"&amp;AB$2,"")&amp;IF(N(AC171)&gt;0,", "&amp;A171&amp;"-"&amp;AC$2,"")&amp;IF(N(AD171)&gt;0,", "&amp;A171&amp;"-"&amp;AD$2,"")&amp;IF(N(AE171)&gt;0,", "&amp;A171&amp;"-"&amp;AE$2,"")&amp;IF(N(AF171)&gt;0,", "&amp;A171&amp;"-"&amp;AF$2,"")&amp;IF(N(AG171)&gt;0,", "&amp;A171&amp;"-"&amp;AG$2,"")&amp;IF(N(AH171)&gt;0,", "&amp;A171&amp;"-"&amp;AH$2,"")&amp;IF(N(AI171)&gt;0,", "&amp;A171&amp;"-"&amp;AI$2,"")&amp;IF(N(AJ171)&gt;0,", "&amp;A171&amp;"-"&amp;AJ$2,""),3,999))</f>
        <v/>
      </c>
      <c r="AN171" s="81"/>
      <c r="AO171" s="88"/>
      <c r="AP171" s="89" t="str">
        <f aca="false">IF(AO171="","",ROUND(AO171/(1+Справочники!$B$13),2))</f>
        <v/>
      </c>
      <c r="AQ171" s="90" t="str">
        <f aca="false" t="array" ref="AQ171:AQ171">IF(AP171="","",AP171*INDEX(Справочники!$B$4:$B$7,MATCH("RUB",Справочники!$A$4:$A$7,0)))</f>
        <v/>
      </c>
      <c r="AR171" s="90" t="str">
        <f aca="false">IF(AQ171="","",ROUND(AQ171*(1+Справочники!$B$12),0))</f>
        <v/>
      </c>
      <c r="AS171" s="90" t="str">
        <f aca="false">IF(AR171="","",ROUND(AR171*(1-Справочники!$B$11),0))</f>
        <v/>
      </c>
      <c r="AT171" s="88"/>
      <c r="AU171" s="90" t="str">
        <f aca="false">IF(AT171="","",ROUND(AT171/(1+Справочники!$B$12),0))</f>
        <v/>
      </c>
      <c r="AV171" s="90" t="str">
        <f aca="false">IF(AT171="","",ROUND(AT171*(1-Справочники!$B$15),0))</f>
        <v/>
      </c>
      <c r="AW171" s="90" t="str">
        <f aca="false">IF(AT171="","",ROUND(AT171*(1-Справочники!$B$16),0))</f>
        <v/>
      </c>
      <c r="AX171" s="90" t="str">
        <f aca="false">IF(AT171="","",ROUND(AT171*(1-Справочники!$B$17),0))</f>
        <v/>
      </c>
      <c r="AY171" s="90" t="str">
        <f aca="false">IF(AT171="","",ROUND(AT171*(1-Справочники!$B$18),0))</f>
        <v/>
      </c>
      <c r="AZ171" s="90" t="str">
        <f aca="false">IF(AT171="","",ROUND(AT171*(1-Справочники!$B$19),0))</f>
        <v/>
      </c>
      <c r="BA171" s="81"/>
      <c r="BB171" s="81"/>
      <c r="BC171" s="81"/>
      <c r="BD171" s="81"/>
      <c r="BE171" s="91"/>
      <c r="BF171" s="81" t="s">
        <v>103</v>
      </c>
      <c r="BG171" s="89" t="n">
        <f aca="false" t="array" ref="BG171:BG171">IF(BF171="","",IFERROR(INDEX(Справочники!$B$4:$B$7,MATCH(BF171,Справочники!$A$4:$A$7,0)),""))</f>
        <v>68.5</v>
      </c>
      <c r="BH171" s="90" t="str">
        <f aca="false">IF(N(BN171)&gt;0,ROUND(SUMIF(ЗАКАЗЫ!$F$3:$F$500,$A171,ЗАКАЗЫ!$Y$3:$Y$500)/BN171,0),IF(OR(BE171="",BG171=""),"",ROUND(BE171*BG171*(1+Справочники!$B$10),0)))</f>
        <v/>
      </c>
      <c r="BI171" s="92" t="str">
        <f aca="false">IF(OR(AU171="",BH171="",AU171=0),"",(AU171-BH171)/AU171)</f>
        <v/>
      </c>
      <c r="BJ171" s="81"/>
      <c r="BK171" s="83"/>
      <c r="BL171" s="43" t="str">
        <f aca="false">IFERROR(INDEX(ЗАКАЗЫ!$N$3:$N$500,MATCH($A171,ЗАКАЗЫ!$F$3:$F$500,0)),"")</f>
        <v/>
      </c>
      <c r="BM171" s="8" t="str">
        <f aca="false">IF(BL171="","",IFERROR(VLOOKUP(BL171,'ТН ВЭД'!$A$4:$C$40,3,0),""))</f>
        <v/>
      </c>
      <c r="BN171" s="7" t="str">
        <f aca="false">IF(COUNTIF(ЗАКАЗЫ!$F$3:$F$500,$A171)=0,"",SUMIF(ЗАКАЗЫ!$F$3:$F$500,$A171,ЗАКАЗЫ!$J$3:$J$500))</f>
        <v/>
      </c>
      <c r="BO171" s="7" t="str">
        <f aca="false">IF(BN171="","",SUMIF(ЗАКАЗЫ!$F$3:$F$500,$A171,ЗАКАЗЫ!$AL$3:$AL$500))</f>
        <v/>
      </c>
      <c r="BP171" s="7" t="str">
        <f aca="false">IF(BN171="","",BN171-BO171)</f>
        <v/>
      </c>
      <c r="BQ171" s="55" t="str">
        <f aca="false">IF(BN171="","",IF(BO171&gt;=BN171,"На складе",IF(BO171&gt;0,"Частично","Ждём")))</f>
        <v/>
      </c>
      <c r="BR171" s="43"/>
      <c r="BS171" s="47" t="str">
        <f aca="false">IF(BN171="","",IF(_xlfn.MAXIFS(ЗАКАЗЫ!$AK$3:$AK$500,ЗАКАЗЫ!$F$3:$F$500,$A171)=0,"",_xlfn.MAXIFS(ЗАКАЗЫ!$AK$3:$AK$500,ЗАКАЗЫ!$F$3:$F$500,$A171)))</f>
        <v/>
      </c>
    </row>
    <row r="172" customFormat="false" ht="15.75" hidden="false" customHeight="true" outlineLevel="0" collapsed="false">
      <c r="A172" s="80" t="s">
        <v>1695</v>
      </c>
      <c r="B172" s="81"/>
      <c r="C172" s="81"/>
      <c r="D172" s="81"/>
      <c r="E172" s="83"/>
      <c r="F172" s="81"/>
      <c r="G172" s="83"/>
      <c r="H172" s="83"/>
      <c r="I172" s="84" t="str">
        <f aca="false">IF(E172="","",A172&amp;"_1.jpg")</f>
        <v/>
      </c>
      <c r="J172" s="84" t="str">
        <f aca="false">IF(E172="","",A172&amp;"_2.jpg; "&amp;A172&amp;"_3.jpg")</f>
        <v/>
      </c>
      <c r="K172" s="84" t="str">
        <f aca="false">IF(E172="","",A172&amp;"_schema.jpg")</f>
        <v/>
      </c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 t="s">
        <v>96</v>
      </c>
      <c r="W172" s="81"/>
      <c r="X172" s="81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6" t="str">
        <f aca="false">IF(SUM(Y172:AJ172)=0,"",SUM(Y172:AJ172))</f>
        <v/>
      </c>
      <c r="AL172" s="84" t="str">
        <f aca="false">MID(IF(N(Y172)&gt;0,", "&amp;Y$2,"")&amp;IF(N(Z172)&gt;0,", "&amp;Z$2,"")&amp;IF(N(AA172)&gt;0,", "&amp;AA$2,"")&amp;IF(N(AB172)&gt;0,", "&amp;AB$2,"")&amp;IF(N(AC172)&gt;0,", "&amp;AC$2,"")&amp;IF(N(AD172)&gt;0,", "&amp;AD$2,"")&amp;IF(N(AE172)&gt;0,", "&amp;AE$2,"")&amp;IF(N(AF172)&gt;0,", "&amp;AF$2,"")&amp;IF(N(AG172)&gt;0,", "&amp;AG$2,"")&amp;IF(N(AH172)&gt;0,", "&amp;AH$2,"")&amp;IF(N(AI172)&gt;0,", "&amp;AI$2,"")&amp;IF(N(AJ172)&gt;0,", "&amp;AJ$2,""),3,999)</f>
        <v/>
      </c>
      <c r="AM172" s="87" t="str">
        <f aca="false">IF(E172="","",MID(IF(N(Y172)&gt;0,", "&amp;A172&amp;"-"&amp;Y$2,"")&amp;IF(N(Z172)&gt;0,", "&amp;A172&amp;"-"&amp;Z$2,"")&amp;IF(N(AA172)&gt;0,", "&amp;A172&amp;"-"&amp;AA$2,"")&amp;IF(N(AB172)&gt;0,", "&amp;A172&amp;"-"&amp;AB$2,"")&amp;IF(N(AC172)&gt;0,", "&amp;A172&amp;"-"&amp;AC$2,"")&amp;IF(N(AD172)&gt;0,", "&amp;A172&amp;"-"&amp;AD$2,"")&amp;IF(N(AE172)&gt;0,", "&amp;A172&amp;"-"&amp;AE$2,"")&amp;IF(N(AF172)&gt;0,", "&amp;A172&amp;"-"&amp;AF$2,"")&amp;IF(N(AG172)&gt;0,", "&amp;A172&amp;"-"&amp;AG$2,"")&amp;IF(N(AH172)&gt;0,", "&amp;A172&amp;"-"&amp;AH$2,"")&amp;IF(N(AI172)&gt;0,", "&amp;A172&amp;"-"&amp;AI$2,"")&amp;IF(N(AJ172)&gt;0,", "&amp;A172&amp;"-"&amp;AJ$2,""),3,999))</f>
        <v/>
      </c>
      <c r="AN172" s="81"/>
      <c r="AO172" s="88"/>
      <c r="AP172" s="89" t="str">
        <f aca="false">IF(AO172="","",ROUND(AO172/(1+Справочники!$B$13),2))</f>
        <v/>
      </c>
      <c r="AQ172" s="90" t="str">
        <f aca="false" t="array" ref="AQ172:AQ172">IF(AP172="","",AP172*INDEX(Справочники!$B$4:$B$7,MATCH("RUB",Справочники!$A$4:$A$7,0)))</f>
        <v/>
      </c>
      <c r="AR172" s="90" t="str">
        <f aca="false">IF(AQ172="","",ROUND(AQ172*(1+Справочники!$B$12),0))</f>
        <v/>
      </c>
      <c r="AS172" s="90" t="str">
        <f aca="false">IF(AR172="","",ROUND(AR172*(1-Справочники!$B$11),0))</f>
        <v/>
      </c>
      <c r="AT172" s="88"/>
      <c r="AU172" s="90" t="str">
        <f aca="false">IF(AT172="","",ROUND(AT172/(1+Справочники!$B$12),0))</f>
        <v/>
      </c>
      <c r="AV172" s="90" t="str">
        <f aca="false">IF(AT172="","",ROUND(AT172*(1-Справочники!$B$15),0))</f>
        <v/>
      </c>
      <c r="AW172" s="90" t="str">
        <f aca="false">IF(AT172="","",ROUND(AT172*(1-Справочники!$B$16),0))</f>
        <v/>
      </c>
      <c r="AX172" s="90" t="str">
        <f aca="false">IF(AT172="","",ROUND(AT172*(1-Справочники!$B$17),0))</f>
        <v/>
      </c>
      <c r="AY172" s="90" t="str">
        <f aca="false">IF(AT172="","",ROUND(AT172*(1-Справочники!$B$18),0))</f>
        <v/>
      </c>
      <c r="AZ172" s="90" t="str">
        <f aca="false">IF(AT172="","",ROUND(AT172*(1-Справочники!$B$19),0))</f>
        <v/>
      </c>
      <c r="BA172" s="81"/>
      <c r="BB172" s="81"/>
      <c r="BC172" s="81"/>
      <c r="BD172" s="81"/>
      <c r="BE172" s="91"/>
      <c r="BF172" s="81" t="s">
        <v>103</v>
      </c>
      <c r="BG172" s="89" t="n">
        <f aca="false" t="array" ref="BG172:BG172">IF(BF172="","",IFERROR(INDEX(Справочники!$B$4:$B$7,MATCH(BF172,Справочники!$A$4:$A$7,0)),""))</f>
        <v>68.5</v>
      </c>
      <c r="BH172" s="90" t="str">
        <f aca="false">IF(N(BN172)&gt;0,ROUND(SUMIF(ЗАКАЗЫ!$F$3:$F$500,$A172,ЗАКАЗЫ!$Y$3:$Y$500)/BN172,0),IF(OR(BE172="",BG172=""),"",ROUND(BE172*BG172*(1+Справочники!$B$10),0)))</f>
        <v/>
      </c>
      <c r="BI172" s="92" t="str">
        <f aca="false">IF(OR(AU172="",BH172="",AU172=0),"",(AU172-BH172)/AU172)</f>
        <v/>
      </c>
      <c r="BJ172" s="81"/>
      <c r="BK172" s="83"/>
      <c r="BL172" s="43" t="str">
        <f aca="false">IFERROR(INDEX(ЗАКАЗЫ!$N$3:$N$500,MATCH($A172,ЗАКАЗЫ!$F$3:$F$500,0)),"")</f>
        <v/>
      </c>
      <c r="BM172" s="8" t="str">
        <f aca="false">IF(BL172="","",IFERROR(VLOOKUP(BL172,'ТН ВЭД'!$A$4:$C$40,3,0),""))</f>
        <v/>
      </c>
      <c r="BN172" s="7" t="str">
        <f aca="false">IF(COUNTIF(ЗАКАЗЫ!$F$3:$F$500,$A172)=0,"",SUMIF(ЗАКАЗЫ!$F$3:$F$500,$A172,ЗАКАЗЫ!$J$3:$J$500))</f>
        <v/>
      </c>
      <c r="BO172" s="7" t="str">
        <f aca="false">IF(BN172="","",SUMIF(ЗАКАЗЫ!$F$3:$F$500,$A172,ЗАКАЗЫ!$AL$3:$AL$500))</f>
        <v/>
      </c>
      <c r="BP172" s="7" t="str">
        <f aca="false">IF(BN172="","",BN172-BO172)</f>
        <v/>
      </c>
      <c r="BQ172" s="55" t="str">
        <f aca="false">IF(BN172="","",IF(BO172&gt;=BN172,"На складе",IF(BO172&gt;0,"Частично","Ждём")))</f>
        <v/>
      </c>
      <c r="BR172" s="43"/>
      <c r="BS172" s="47" t="str">
        <f aca="false">IF(BN172="","",IF(_xlfn.MAXIFS(ЗАКАЗЫ!$AK$3:$AK$500,ЗАКАЗЫ!$F$3:$F$500,$A172)=0,"",_xlfn.MAXIFS(ЗАКАЗЫ!$AK$3:$AK$500,ЗАКАЗЫ!$F$3:$F$500,$A172)))</f>
        <v/>
      </c>
    </row>
    <row r="173" customFormat="false" ht="15.75" hidden="false" customHeight="true" outlineLevel="0" collapsed="false">
      <c r="A173" s="80" t="s">
        <v>1696</v>
      </c>
      <c r="B173" s="81"/>
      <c r="C173" s="81"/>
      <c r="D173" s="81"/>
      <c r="E173" s="83"/>
      <c r="F173" s="81"/>
      <c r="G173" s="83"/>
      <c r="H173" s="83"/>
      <c r="I173" s="84" t="str">
        <f aca="false">IF(E173="","",A173&amp;"_1.jpg")</f>
        <v/>
      </c>
      <c r="J173" s="84" t="str">
        <f aca="false">IF(E173="","",A173&amp;"_2.jpg; "&amp;A173&amp;"_3.jpg")</f>
        <v/>
      </c>
      <c r="K173" s="84" t="str">
        <f aca="false">IF(E173="","",A173&amp;"_schema.jpg")</f>
        <v/>
      </c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 t="s">
        <v>96</v>
      </c>
      <c r="W173" s="81"/>
      <c r="X173" s="81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6" t="str">
        <f aca="false">IF(SUM(Y173:AJ173)=0,"",SUM(Y173:AJ173))</f>
        <v/>
      </c>
      <c r="AL173" s="84" t="str">
        <f aca="false">MID(IF(N(Y173)&gt;0,", "&amp;Y$2,"")&amp;IF(N(Z173)&gt;0,", "&amp;Z$2,"")&amp;IF(N(AA173)&gt;0,", "&amp;AA$2,"")&amp;IF(N(AB173)&gt;0,", "&amp;AB$2,"")&amp;IF(N(AC173)&gt;0,", "&amp;AC$2,"")&amp;IF(N(AD173)&gt;0,", "&amp;AD$2,"")&amp;IF(N(AE173)&gt;0,", "&amp;AE$2,"")&amp;IF(N(AF173)&gt;0,", "&amp;AF$2,"")&amp;IF(N(AG173)&gt;0,", "&amp;AG$2,"")&amp;IF(N(AH173)&gt;0,", "&amp;AH$2,"")&amp;IF(N(AI173)&gt;0,", "&amp;AI$2,"")&amp;IF(N(AJ173)&gt;0,", "&amp;AJ$2,""),3,999)</f>
        <v/>
      </c>
      <c r="AM173" s="87" t="str">
        <f aca="false">IF(E173="","",MID(IF(N(Y173)&gt;0,", "&amp;A173&amp;"-"&amp;Y$2,"")&amp;IF(N(Z173)&gt;0,", "&amp;A173&amp;"-"&amp;Z$2,"")&amp;IF(N(AA173)&gt;0,", "&amp;A173&amp;"-"&amp;AA$2,"")&amp;IF(N(AB173)&gt;0,", "&amp;A173&amp;"-"&amp;AB$2,"")&amp;IF(N(AC173)&gt;0,", "&amp;A173&amp;"-"&amp;AC$2,"")&amp;IF(N(AD173)&gt;0,", "&amp;A173&amp;"-"&amp;AD$2,"")&amp;IF(N(AE173)&gt;0,", "&amp;A173&amp;"-"&amp;AE$2,"")&amp;IF(N(AF173)&gt;0,", "&amp;A173&amp;"-"&amp;AF$2,"")&amp;IF(N(AG173)&gt;0,", "&amp;A173&amp;"-"&amp;AG$2,"")&amp;IF(N(AH173)&gt;0,", "&amp;A173&amp;"-"&amp;AH$2,"")&amp;IF(N(AI173)&gt;0,", "&amp;A173&amp;"-"&amp;AI$2,"")&amp;IF(N(AJ173)&gt;0,", "&amp;A173&amp;"-"&amp;AJ$2,""),3,999))</f>
        <v/>
      </c>
      <c r="AN173" s="81"/>
      <c r="AO173" s="88"/>
      <c r="AP173" s="89" t="str">
        <f aca="false">IF(AO173="","",ROUND(AO173/(1+Справочники!$B$13),2))</f>
        <v/>
      </c>
      <c r="AQ173" s="90" t="str">
        <f aca="false" t="array" ref="AQ173:AQ173">IF(AP173="","",AP173*INDEX(Справочники!$B$4:$B$7,MATCH("RUB",Справочники!$A$4:$A$7,0)))</f>
        <v/>
      </c>
      <c r="AR173" s="90" t="str">
        <f aca="false">IF(AQ173="","",ROUND(AQ173*(1+Справочники!$B$12),0))</f>
        <v/>
      </c>
      <c r="AS173" s="90" t="str">
        <f aca="false">IF(AR173="","",ROUND(AR173*(1-Справочники!$B$11),0))</f>
        <v/>
      </c>
      <c r="AT173" s="88"/>
      <c r="AU173" s="90" t="str">
        <f aca="false">IF(AT173="","",ROUND(AT173/(1+Справочники!$B$12),0))</f>
        <v/>
      </c>
      <c r="AV173" s="90" t="str">
        <f aca="false">IF(AT173="","",ROUND(AT173*(1-Справочники!$B$15),0))</f>
        <v/>
      </c>
      <c r="AW173" s="90" t="str">
        <f aca="false">IF(AT173="","",ROUND(AT173*(1-Справочники!$B$16),0))</f>
        <v/>
      </c>
      <c r="AX173" s="90" t="str">
        <f aca="false">IF(AT173="","",ROUND(AT173*(1-Справочники!$B$17),0))</f>
        <v/>
      </c>
      <c r="AY173" s="90" t="str">
        <f aca="false">IF(AT173="","",ROUND(AT173*(1-Справочники!$B$18),0))</f>
        <v/>
      </c>
      <c r="AZ173" s="90" t="str">
        <f aca="false">IF(AT173="","",ROUND(AT173*(1-Справочники!$B$19),0))</f>
        <v/>
      </c>
      <c r="BA173" s="81"/>
      <c r="BB173" s="81"/>
      <c r="BC173" s="81"/>
      <c r="BD173" s="81"/>
      <c r="BE173" s="91"/>
      <c r="BF173" s="81" t="s">
        <v>103</v>
      </c>
      <c r="BG173" s="89" t="n">
        <f aca="false" t="array" ref="BG173:BG173">IF(BF173="","",IFERROR(INDEX(Справочники!$B$4:$B$7,MATCH(BF173,Справочники!$A$4:$A$7,0)),""))</f>
        <v>68.5</v>
      </c>
      <c r="BH173" s="90" t="str">
        <f aca="false">IF(N(BN173)&gt;0,ROUND(SUMIF(ЗАКАЗЫ!$F$3:$F$500,$A173,ЗАКАЗЫ!$Y$3:$Y$500)/BN173,0),IF(OR(BE173="",BG173=""),"",ROUND(BE173*BG173*(1+Справочники!$B$10),0)))</f>
        <v/>
      </c>
      <c r="BI173" s="92" t="str">
        <f aca="false">IF(OR(AU173="",BH173="",AU173=0),"",(AU173-BH173)/AU173)</f>
        <v/>
      </c>
      <c r="BJ173" s="81"/>
      <c r="BK173" s="83"/>
      <c r="BL173" s="43" t="str">
        <f aca="false">IFERROR(INDEX(ЗАКАЗЫ!$N$3:$N$500,MATCH($A173,ЗАКАЗЫ!$F$3:$F$500,0)),"")</f>
        <v/>
      </c>
      <c r="BM173" s="8" t="str">
        <f aca="false">IF(BL173="","",IFERROR(VLOOKUP(BL173,'ТН ВЭД'!$A$4:$C$40,3,0),""))</f>
        <v/>
      </c>
      <c r="BN173" s="7" t="str">
        <f aca="false">IF(COUNTIF(ЗАКАЗЫ!$F$3:$F$500,$A173)=0,"",SUMIF(ЗАКАЗЫ!$F$3:$F$500,$A173,ЗАКАЗЫ!$J$3:$J$500))</f>
        <v/>
      </c>
      <c r="BO173" s="7" t="str">
        <f aca="false">IF(BN173="","",SUMIF(ЗАКАЗЫ!$F$3:$F$500,$A173,ЗАКАЗЫ!$AL$3:$AL$500))</f>
        <v/>
      </c>
      <c r="BP173" s="7" t="str">
        <f aca="false">IF(BN173="","",BN173-BO173)</f>
        <v/>
      </c>
      <c r="BQ173" s="55" t="str">
        <f aca="false">IF(BN173="","",IF(BO173&gt;=BN173,"На складе",IF(BO173&gt;0,"Частично","Ждём")))</f>
        <v/>
      </c>
      <c r="BR173" s="43"/>
      <c r="BS173" s="47" t="str">
        <f aca="false">IF(BN173="","",IF(_xlfn.MAXIFS(ЗАКАЗЫ!$AK$3:$AK$500,ЗАКАЗЫ!$F$3:$F$500,$A173)=0,"",_xlfn.MAXIFS(ЗАКАЗЫ!$AK$3:$AK$500,ЗАКАЗЫ!$F$3:$F$500,$A173)))</f>
        <v/>
      </c>
    </row>
    <row r="174" customFormat="false" ht="15.75" hidden="false" customHeight="true" outlineLevel="0" collapsed="false">
      <c r="A174" s="80" t="s">
        <v>1697</v>
      </c>
      <c r="B174" s="81"/>
      <c r="C174" s="81"/>
      <c r="D174" s="81"/>
      <c r="E174" s="83"/>
      <c r="F174" s="81"/>
      <c r="G174" s="83"/>
      <c r="H174" s="83"/>
      <c r="I174" s="84" t="str">
        <f aca="false">IF(E174="","",A174&amp;"_1.jpg")</f>
        <v/>
      </c>
      <c r="J174" s="84" t="str">
        <f aca="false">IF(E174="","",A174&amp;"_2.jpg; "&amp;A174&amp;"_3.jpg")</f>
        <v/>
      </c>
      <c r="K174" s="84" t="str">
        <f aca="false">IF(E174="","",A174&amp;"_schema.jpg")</f>
        <v/>
      </c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 t="s">
        <v>96</v>
      </c>
      <c r="W174" s="81"/>
      <c r="X174" s="81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6" t="str">
        <f aca="false">IF(SUM(Y174:AJ174)=0,"",SUM(Y174:AJ174))</f>
        <v/>
      </c>
      <c r="AL174" s="84" t="str">
        <f aca="false">MID(IF(N(Y174)&gt;0,", "&amp;Y$2,"")&amp;IF(N(Z174)&gt;0,", "&amp;Z$2,"")&amp;IF(N(AA174)&gt;0,", "&amp;AA$2,"")&amp;IF(N(AB174)&gt;0,", "&amp;AB$2,"")&amp;IF(N(AC174)&gt;0,", "&amp;AC$2,"")&amp;IF(N(AD174)&gt;0,", "&amp;AD$2,"")&amp;IF(N(AE174)&gt;0,", "&amp;AE$2,"")&amp;IF(N(AF174)&gt;0,", "&amp;AF$2,"")&amp;IF(N(AG174)&gt;0,", "&amp;AG$2,"")&amp;IF(N(AH174)&gt;0,", "&amp;AH$2,"")&amp;IF(N(AI174)&gt;0,", "&amp;AI$2,"")&amp;IF(N(AJ174)&gt;0,", "&amp;AJ$2,""),3,999)</f>
        <v/>
      </c>
      <c r="AM174" s="87" t="str">
        <f aca="false">IF(E174="","",MID(IF(N(Y174)&gt;0,", "&amp;A174&amp;"-"&amp;Y$2,"")&amp;IF(N(Z174)&gt;0,", "&amp;A174&amp;"-"&amp;Z$2,"")&amp;IF(N(AA174)&gt;0,", "&amp;A174&amp;"-"&amp;AA$2,"")&amp;IF(N(AB174)&gt;0,", "&amp;A174&amp;"-"&amp;AB$2,"")&amp;IF(N(AC174)&gt;0,", "&amp;A174&amp;"-"&amp;AC$2,"")&amp;IF(N(AD174)&gt;0,", "&amp;A174&amp;"-"&amp;AD$2,"")&amp;IF(N(AE174)&gt;0,", "&amp;A174&amp;"-"&amp;AE$2,"")&amp;IF(N(AF174)&gt;0,", "&amp;A174&amp;"-"&amp;AF$2,"")&amp;IF(N(AG174)&gt;0,", "&amp;A174&amp;"-"&amp;AG$2,"")&amp;IF(N(AH174)&gt;0,", "&amp;A174&amp;"-"&amp;AH$2,"")&amp;IF(N(AI174)&gt;0,", "&amp;A174&amp;"-"&amp;AI$2,"")&amp;IF(N(AJ174)&gt;0,", "&amp;A174&amp;"-"&amp;AJ$2,""),3,999))</f>
        <v/>
      </c>
      <c r="AN174" s="81"/>
      <c r="AO174" s="88"/>
      <c r="AP174" s="89" t="str">
        <f aca="false">IF(AO174="","",ROUND(AO174/(1+Справочники!$B$13),2))</f>
        <v/>
      </c>
      <c r="AQ174" s="90" t="str">
        <f aca="false" t="array" ref="AQ174:AQ174">IF(AP174="","",AP174*INDEX(Справочники!$B$4:$B$7,MATCH("RUB",Справочники!$A$4:$A$7,0)))</f>
        <v/>
      </c>
      <c r="AR174" s="90" t="str">
        <f aca="false">IF(AQ174="","",ROUND(AQ174*(1+Справочники!$B$12),0))</f>
        <v/>
      </c>
      <c r="AS174" s="90" t="str">
        <f aca="false">IF(AR174="","",ROUND(AR174*(1-Справочники!$B$11),0))</f>
        <v/>
      </c>
      <c r="AT174" s="88"/>
      <c r="AU174" s="90" t="str">
        <f aca="false">IF(AT174="","",ROUND(AT174/(1+Справочники!$B$12),0))</f>
        <v/>
      </c>
      <c r="AV174" s="90" t="str">
        <f aca="false">IF(AT174="","",ROUND(AT174*(1-Справочники!$B$15),0))</f>
        <v/>
      </c>
      <c r="AW174" s="90" t="str">
        <f aca="false">IF(AT174="","",ROUND(AT174*(1-Справочники!$B$16),0))</f>
        <v/>
      </c>
      <c r="AX174" s="90" t="str">
        <f aca="false">IF(AT174="","",ROUND(AT174*(1-Справочники!$B$17),0))</f>
        <v/>
      </c>
      <c r="AY174" s="90" t="str">
        <f aca="false">IF(AT174="","",ROUND(AT174*(1-Справочники!$B$18),0))</f>
        <v/>
      </c>
      <c r="AZ174" s="90" t="str">
        <f aca="false">IF(AT174="","",ROUND(AT174*(1-Справочники!$B$19),0))</f>
        <v/>
      </c>
      <c r="BA174" s="81"/>
      <c r="BB174" s="81"/>
      <c r="BC174" s="81"/>
      <c r="BD174" s="81"/>
      <c r="BE174" s="91"/>
      <c r="BF174" s="81" t="s">
        <v>103</v>
      </c>
      <c r="BG174" s="89" t="n">
        <f aca="false" t="array" ref="BG174:BG174">IF(BF174="","",IFERROR(INDEX(Справочники!$B$4:$B$7,MATCH(BF174,Справочники!$A$4:$A$7,0)),""))</f>
        <v>68.5</v>
      </c>
      <c r="BH174" s="90" t="str">
        <f aca="false">IF(N(BN174)&gt;0,ROUND(SUMIF(ЗАКАЗЫ!$F$3:$F$500,$A174,ЗАКАЗЫ!$Y$3:$Y$500)/BN174,0),IF(OR(BE174="",BG174=""),"",ROUND(BE174*BG174*(1+Справочники!$B$10),0)))</f>
        <v/>
      </c>
      <c r="BI174" s="92" t="str">
        <f aca="false">IF(OR(AU174="",BH174="",AU174=0),"",(AU174-BH174)/AU174)</f>
        <v/>
      </c>
      <c r="BJ174" s="81"/>
      <c r="BK174" s="83"/>
      <c r="BL174" s="43" t="str">
        <f aca="false">IFERROR(INDEX(ЗАКАЗЫ!$N$3:$N$500,MATCH($A174,ЗАКАЗЫ!$F$3:$F$500,0)),"")</f>
        <v/>
      </c>
      <c r="BM174" s="8" t="str">
        <f aca="false">IF(BL174="","",IFERROR(VLOOKUP(BL174,'ТН ВЭД'!$A$4:$C$40,3,0),""))</f>
        <v/>
      </c>
      <c r="BN174" s="7" t="str">
        <f aca="false">IF(COUNTIF(ЗАКАЗЫ!$F$3:$F$500,$A174)=0,"",SUMIF(ЗАКАЗЫ!$F$3:$F$500,$A174,ЗАКАЗЫ!$J$3:$J$500))</f>
        <v/>
      </c>
      <c r="BO174" s="7" t="str">
        <f aca="false">IF(BN174="","",SUMIF(ЗАКАЗЫ!$F$3:$F$500,$A174,ЗАКАЗЫ!$AL$3:$AL$500))</f>
        <v/>
      </c>
      <c r="BP174" s="7" t="str">
        <f aca="false">IF(BN174="","",BN174-BO174)</f>
        <v/>
      </c>
      <c r="BQ174" s="55" t="str">
        <f aca="false">IF(BN174="","",IF(BO174&gt;=BN174,"На складе",IF(BO174&gt;0,"Частично","Ждём")))</f>
        <v/>
      </c>
      <c r="BR174" s="43"/>
      <c r="BS174" s="47" t="str">
        <f aca="false">IF(BN174="","",IF(_xlfn.MAXIFS(ЗАКАЗЫ!$AK$3:$AK$500,ЗАКАЗЫ!$F$3:$F$500,$A174)=0,"",_xlfn.MAXIFS(ЗАКАЗЫ!$AK$3:$AK$500,ЗАКАЗЫ!$F$3:$F$500,$A174)))</f>
        <v/>
      </c>
    </row>
    <row r="175" customFormat="false" ht="15.75" hidden="false" customHeight="true" outlineLevel="0" collapsed="false">
      <c r="A175" s="80" t="s">
        <v>1698</v>
      </c>
      <c r="B175" s="81"/>
      <c r="C175" s="81"/>
      <c r="D175" s="81"/>
      <c r="E175" s="83"/>
      <c r="F175" s="81"/>
      <c r="G175" s="83"/>
      <c r="H175" s="83"/>
      <c r="I175" s="84" t="str">
        <f aca="false">IF(E175="","",A175&amp;"_1.jpg")</f>
        <v/>
      </c>
      <c r="J175" s="84" t="str">
        <f aca="false">IF(E175="","",A175&amp;"_2.jpg; "&amp;A175&amp;"_3.jpg")</f>
        <v/>
      </c>
      <c r="K175" s="84" t="str">
        <f aca="false">IF(E175="","",A175&amp;"_schema.jpg")</f>
        <v/>
      </c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 t="s">
        <v>96</v>
      </c>
      <c r="W175" s="81"/>
      <c r="X175" s="81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6" t="str">
        <f aca="false">IF(SUM(Y175:AJ175)=0,"",SUM(Y175:AJ175))</f>
        <v/>
      </c>
      <c r="AL175" s="84" t="str">
        <f aca="false">MID(IF(N(Y175)&gt;0,", "&amp;Y$2,"")&amp;IF(N(Z175)&gt;0,", "&amp;Z$2,"")&amp;IF(N(AA175)&gt;0,", "&amp;AA$2,"")&amp;IF(N(AB175)&gt;0,", "&amp;AB$2,"")&amp;IF(N(AC175)&gt;0,", "&amp;AC$2,"")&amp;IF(N(AD175)&gt;0,", "&amp;AD$2,"")&amp;IF(N(AE175)&gt;0,", "&amp;AE$2,"")&amp;IF(N(AF175)&gt;0,", "&amp;AF$2,"")&amp;IF(N(AG175)&gt;0,", "&amp;AG$2,"")&amp;IF(N(AH175)&gt;0,", "&amp;AH$2,"")&amp;IF(N(AI175)&gt;0,", "&amp;AI$2,"")&amp;IF(N(AJ175)&gt;0,", "&amp;AJ$2,""),3,999)</f>
        <v/>
      </c>
      <c r="AM175" s="87" t="str">
        <f aca="false">IF(E175="","",MID(IF(N(Y175)&gt;0,", "&amp;A175&amp;"-"&amp;Y$2,"")&amp;IF(N(Z175)&gt;0,", "&amp;A175&amp;"-"&amp;Z$2,"")&amp;IF(N(AA175)&gt;0,", "&amp;A175&amp;"-"&amp;AA$2,"")&amp;IF(N(AB175)&gt;0,", "&amp;A175&amp;"-"&amp;AB$2,"")&amp;IF(N(AC175)&gt;0,", "&amp;A175&amp;"-"&amp;AC$2,"")&amp;IF(N(AD175)&gt;0,", "&amp;A175&amp;"-"&amp;AD$2,"")&amp;IF(N(AE175)&gt;0,", "&amp;A175&amp;"-"&amp;AE$2,"")&amp;IF(N(AF175)&gt;0,", "&amp;A175&amp;"-"&amp;AF$2,"")&amp;IF(N(AG175)&gt;0,", "&amp;A175&amp;"-"&amp;AG$2,"")&amp;IF(N(AH175)&gt;0,", "&amp;A175&amp;"-"&amp;AH$2,"")&amp;IF(N(AI175)&gt;0,", "&amp;A175&amp;"-"&amp;AI$2,"")&amp;IF(N(AJ175)&gt;0,", "&amp;A175&amp;"-"&amp;AJ$2,""),3,999))</f>
        <v/>
      </c>
      <c r="AN175" s="81"/>
      <c r="AO175" s="88"/>
      <c r="AP175" s="89" t="str">
        <f aca="false">IF(AO175="","",ROUND(AO175/(1+Справочники!$B$13),2))</f>
        <v/>
      </c>
      <c r="AQ175" s="90" t="str">
        <f aca="false" t="array" ref="AQ175:AQ175">IF(AP175="","",AP175*INDEX(Справочники!$B$4:$B$7,MATCH("RUB",Справочники!$A$4:$A$7,0)))</f>
        <v/>
      </c>
      <c r="AR175" s="90" t="str">
        <f aca="false">IF(AQ175="","",ROUND(AQ175*(1+Справочники!$B$12),0))</f>
        <v/>
      </c>
      <c r="AS175" s="90" t="str">
        <f aca="false">IF(AR175="","",ROUND(AR175*(1-Справочники!$B$11),0))</f>
        <v/>
      </c>
      <c r="AT175" s="88"/>
      <c r="AU175" s="90" t="str">
        <f aca="false">IF(AT175="","",ROUND(AT175/(1+Справочники!$B$12),0))</f>
        <v/>
      </c>
      <c r="AV175" s="90" t="str">
        <f aca="false">IF(AT175="","",ROUND(AT175*(1-Справочники!$B$15),0))</f>
        <v/>
      </c>
      <c r="AW175" s="90" t="str">
        <f aca="false">IF(AT175="","",ROUND(AT175*(1-Справочники!$B$16),0))</f>
        <v/>
      </c>
      <c r="AX175" s="90" t="str">
        <f aca="false">IF(AT175="","",ROUND(AT175*(1-Справочники!$B$17),0))</f>
        <v/>
      </c>
      <c r="AY175" s="90" t="str">
        <f aca="false">IF(AT175="","",ROUND(AT175*(1-Справочники!$B$18),0))</f>
        <v/>
      </c>
      <c r="AZ175" s="90" t="str">
        <f aca="false">IF(AT175="","",ROUND(AT175*(1-Справочники!$B$19),0))</f>
        <v/>
      </c>
      <c r="BA175" s="81"/>
      <c r="BB175" s="81"/>
      <c r="BC175" s="81"/>
      <c r="BD175" s="81"/>
      <c r="BE175" s="91"/>
      <c r="BF175" s="81" t="s">
        <v>103</v>
      </c>
      <c r="BG175" s="89" t="n">
        <f aca="false" t="array" ref="BG175:BG175">IF(BF175="","",IFERROR(INDEX(Справочники!$B$4:$B$7,MATCH(BF175,Справочники!$A$4:$A$7,0)),""))</f>
        <v>68.5</v>
      </c>
      <c r="BH175" s="90" t="str">
        <f aca="false">IF(N(BN175)&gt;0,ROUND(SUMIF(ЗАКАЗЫ!$F$3:$F$500,$A175,ЗАКАЗЫ!$Y$3:$Y$500)/BN175,0),IF(OR(BE175="",BG175=""),"",ROUND(BE175*BG175*(1+Справочники!$B$10),0)))</f>
        <v/>
      </c>
      <c r="BI175" s="92" t="str">
        <f aca="false">IF(OR(AU175="",BH175="",AU175=0),"",(AU175-BH175)/AU175)</f>
        <v/>
      </c>
      <c r="BJ175" s="81"/>
      <c r="BK175" s="83"/>
      <c r="BL175" s="43" t="str">
        <f aca="false">IFERROR(INDEX(ЗАКАЗЫ!$N$3:$N$500,MATCH($A175,ЗАКАЗЫ!$F$3:$F$500,0)),"")</f>
        <v/>
      </c>
      <c r="BM175" s="8" t="str">
        <f aca="false">IF(BL175="","",IFERROR(VLOOKUP(BL175,'ТН ВЭД'!$A$4:$C$40,3,0),""))</f>
        <v/>
      </c>
      <c r="BN175" s="7" t="str">
        <f aca="false">IF(COUNTIF(ЗАКАЗЫ!$F$3:$F$500,$A175)=0,"",SUMIF(ЗАКАЗЫ!$F$3:$F$500,$A175,ЗАКАЗЫ!$J$3:$J$500))</f>
        <v/>
      </c>
      <c r="BO175" s="7" t="str">
        <f aca="false">IF(BN175="","",SUMIF(ЗАКАЗЫ!$F$3:$F$500,$A175,ЗАКАЗЫ!$AL$3:$AL$500))</f>
        <v/>
      </c>
      <c r="BP175" s="7" t="str">
        <f aca="false">IF(BN175="","",BN175-BO175)</f>
        <v/>
      </c>
      <c r="BQ175" s="55" t="str">
        <f aca="false">IF(BN175="","",IF(BO175&gt;=BN175,"На складе",IF(BO175&gt;0,"Частично","Ждём")))</f>
        <v/>
      </c>
      <c r="BR175" s="43"/>
      <c r="BS175" s="47" t="str">
        <f aca="false">IF(BN175="","",IF(_xlfn.MAXIFS(ЗАКАЗЫ!$AK$3:$AK$500,ЗАКАЗЫ!$F$3:$F$500,$A175)=0,"",_xlfn.MAXIFS(ЗАКАЗЫ!$AK$3:$AK$500,ЗАКАЗЫ!$F$3:$F$500,$A175)))</f>
        <v/>
      </c>
    </row>
    <row r="176" customFormat="false" ht="15.75" hidden="false" customHeight="true" outlineLevel="0" collapsed="false">
      <c r="A176" s="80" t="s">
        <v>1699</v>
      </c>
      <c r="B176" s="81"/>
      <c r="C176" s="81"/>
      <c r="D176" s="81"/>
      <c r="E176" s="83"/>
      <c r="F176" s="81"/>
      <c r="G176" s="83"/>
      <c r="H176" s="83"/>
      <c r="I176" s="84" t="str">
        <f aca="false">IF(E176="","",A176&amp;"_1.jpg")</f>
        <v/>
      </c>
      <c r="J176" s="84" t="str">
        <f aca="false">IF(E176="","",A176&amp;"_2.jpg; "&amp;A176&amp;"_3.jpg")</f>
        <v/>
      </c>
      <c r="K176" s="84" t="str">
        <f aca="false">IF(E176="","",A176&amp;"_schema.jpg")</f>
        <v/>
      </c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 t="s">
        <v>96</v>
      </c>
      <c r="W176" s="81"/>
      <c r="X176" s="81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6" t="str">
        <f aca="false">IF(SUM(Y176:AJ176)=0,"",SUM(Y176:AJ176))</f>
        <v/>
      </c>
      <c r="AL176" s="84" t="str">
        <f aca="false">MID(IF(N(Y176)&gt;0,", "&amp;Y$2,"")&amp;IF(N(Z176)&gt;0,", "&amp;Z$2,"")&amp;IF(N(AA176)&gt;0,", "&amp;AA$2,"")&amp;IF(N(AB176)&gt;0,", "&amp;AB$2,"")&amp;IF(N(AC176)&gt;0,", "&amp;AC$2,"")&amp;IF(N(AD176)&gt;0,", "&amp;AD$2,"")&amp;IF(N(AE176)&gt;0,", "&amp;AE$2,"")&amp;IF(N(AF176)&gt;0,", "&amp;AF$2,"")&amp;IF(N(AG176)&gt;0,", "&amp;AG$2,"")&amp;IF(N(AH176)&gt;0,", "&amp;AH$2,"")&amp;IF(N(AI176)&gt;0,", "&amp;AI$2,"")&amp;IF(N(AJ176)&gt;0,", "&amp;AJ$2,""),3,999)</f>
        <v/>
      </c>
      <c r="AM176" s="87" t="str">
        <f aca="false">IF(E176="","",MID(IF(N(Y176)&gt;0,", "&amp;A176&amp;"-"&amp;Y$2,"")&amp;IF(N(Z176)&gt;0,", "&amp;A176&amp;"-"&amp;Z$2,"")&amp;IF(N(AA176)&gt;0,", "&amp;A176&amp;"-"&amp;AA$2,"")&amp;IF(N(AB176)&gt;0,", "&amp;A176&amp;"-"&amp;AB$2,"")&amp;IF(N(AC176)&gt;0,", "&amp;A176&amp;"-"&amp;AC$2,"")&amp;IF(N(AD176)&gt;0,", "&amp;A176&amp;"-"&amp;AD$2,"")&amp;IF(N(AE176)&gt;0,", "&amp;A176&amp;"-"&amp;AE$2,"")&amp;IF(N(AF176)&gt;0,", "&amp;A176&amp;"-"&amp;AF$2,"")&amp;IF(N(AG176)&gt;0,", "&amp;A176&amp;"-"&amp;AG$2,"")&amp;IF(N(AH176)&gt;0,", "&amp;A176&amp;"-"&amp;AH$2,"")&amp;IF(N(AI176)&gt;0,", "&amp;A176&amp;"-"&amp;AI$2,"")&amp;IF(N(AJ176)&gt;0,", "&amp;A176&amp;"-"&amp;AJ$2,""),3,999))</f>
        <v/>
      </c>
      <c r="AN176" s="81"/>
      <c r="AO176" s="88"/>
      <c r="AP176" s="89" t="str">
        <f aca="false">IF(AO176="","",ROUND(AO176/(1+Справочники!$B$13),2))</f>
        <v/>
      </c>
      <c r="AQ176" s="90" t="str">
        <f aca="false" t="array" ref="AQ176:AQ176">IF(AP176="","",AP176*INDEX(Справочники!$B$4:$B$7,MATCH("RUB",Справочники!$A$4:$A$7,0)))</f>
        <v/>
      </c>
      <c r="AR176" s="90" t="str">
        <f aca="false">IF(AQ176="","",ROUND(AQ176*(1+Справочники!$B$12),0))</f>
        <v/>
      </c>
      <c r="AS176" s="90" t="str">
        <f aca="false">IF(AR176="","",ROUND(AR176*(1-Справочники!$B$11),0))</f>
        <v/>
      </c>
      <c r="AT176" s="88"/>
      <c r="AU176" s="90" t="str">
        <f aca="false">IF(AT176="","",ROUND(AT176/(1+Справочники!$B$12),0))</f>
        <v/>
      </c>
      <c r="AV176" s="90" t="str">
        <f aca="false">IF(AT176="","",ROUND(AT176*(1-Справочники!$B$15),0))</f>
        <v/>
      </c>
      <c r="AW176" s="90" t="str">
        <f aca="false">IF(AT176="","",ROUND(AT176*(1-Справочники!$B$16),0))</f>
        <v/>
      </c>
      <c r="AX176" s="90" t="str">
        <f aca="false">IF(AT176="","",ROUND(AT176*(1-Справочники!$B$17),0))</f>
        <v/>
      </c>
      <c r="AY176" s="90" t="str">
        <f aca="false">IF(AT176="","",ROUND(AT176*(1-Справочники!$B$18),0))</f>
        <v/>
      </c>
      <c r="AZ176" s="90" t="str">
        <f aca="false">IF(AT176="","",ROUND(AT176*(1-Справочники!$B$19),0))</f>
        <v/>
      </c>
      <c r="BA176" s="81"/>
      <c r="BB176" s="81"/>
      <c r="BC176" s="81"/>
      <c r="BD176" s="81"/>
      <c r="BE176" s="91"/>
      <c r="BF176" s="81" t="s">
        <v>103</v>
      </c>
      <c r="BG176" s="89" t="n">
        <f aca="false" t="array" ref="BG176:BG176">IF(BF176="","",IFERROR(INDEX(Справочники!$B$4:$B$7,MATCH(BF176,Справочники!$A$4:$A$7,0)),""))</f>
        <v>68.5</v>
      </c>
      <c r="BH176" s="90" t="str">
        <f aca="false">IF(N(BN176)&gt;0,ROUND(SUMIF(ЗАКАЗЫ!$F$3:$F$500,$A176,ЗАКАЗЫ!$Y$3:$Y$500)/BN176,0),IF(OR(BE176="",BG176=""),"",ROUND(BE176*BG176*(1+Справочники!$B$10),0)))</f>
        <v/>
      </c>
      <c r="BI176" s="92" t="str">
        <f aca="false">IF(OR(AU176="",BH176="",AU176=0),"",(AU176-BH176)/AU176)</f>
        <v/>
      </c>
      <c r="BJ176" s="81"/>
      <c r="BK176" s="83"/>
      <c r="BL176" s="43" t="str">
        <f aca="false">IFERROR(INDEX(ЗАКАЗЫ!$N$3:$N$500,MATCH($A176,ЗАКАЗЫ!$F$3:$F$500,0)),"")</f>
        <v/>
      </c>
      <c r="BM176" s="8" t="str">
        <f aca="false">IF(BL176="","",IFERROR(VLOOKUP(BL176,'ТН ВЭД'!$A$4:$C$40,3,0),""))</f>
        <v/>
      </c>
      <c r="BN176" s="7" t="str">
        <f aca="false">IF(COUNTIF(ЗАКАЗЫ!$F$3:$F$500,$A176)=0,"",SUMIF(ЗАКАЗЫ!$F$3:$F$500,$A176,ЗАКАЗЫ!$J$3:$J$500))</f>
        <v/>
      </c>
      <c r="BO176" s="7" t="str">
        <f aca="false">IF(BN176="","",SUMIF(ЗАКАЗЫ!$F$3:$F$500,$A176,ЗАКАЗЫ!$AL$3:$AL$500))</f>
        <v/>
      </c>
      <c r="BP176" s="7" t="str">
        <f aca="false">IF(BN176="","",BN176-BO176)</f>
        <v/>
      </c>
      <c r="BQ176" s="55" t="str">
        <f aca="false">IF(BN176="","",IF(BO176&gt;=BN176,"На складе",IF(BO176&gt;0,"Частично","Ждём")))</f>
        <v/>
      </c>
      <c r="BR176" s="43"/>
      <c r="BS176" s="47" t="str">
        <f aca="false">IF(BN176="","",IF(_xlfn.MAXIFS(ЗАКАЗЫ!$AK$3:$AK$500,ЗАКАЗЫ!$F$3:$F$500,$A176)=0,"",_xlfn.MAXIFS(ЗАКАЗЫ!$AK$3:$AK$500,ЗАКАЗЫ!$F$3:$F$500,$A176)))</f>
        <v/>
      </c>
    </row>
    <row r="177" customFormat="false" ht="15.75" hidden="false" customHeight="true" outlineLevel="0" collapsed="false">
      <c r="A177" s="80" t="s">
        <v>1700</v>
      </c>
      <c r="B177" s="81"/>
      <c r="C177" s="81"/>
      <c r="D177" s="81"/>
      <c r="E177" s="83"/>
      <c r="F177" s="81"/>
      <c r="G177" s="83"/>
      <c r="H177" s="83"/>
      <c r="I177" s="84" t="str">
        <f aca="false">IF(E177="","",A177&amp;"_1.jpg")</f>
        <v/>
      </c>
      <c r="J177" s="84" t="str">
        <f aca="false">IF(E177="","",A177&amp;"_2.jpg; "&amp;A177&amp;"_3.jpg")</f>
        <v/>
      </c>
      <c r="K177" s="84" t="str">
        <f aca="false">IF(E177="","",A177&amp;"_schema.jpg")</f>
        <v/>
      </c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 t="s">
        <v>96</v>
      </c>
      <c r="W177" s="81"/>
      <c r="X177" s="81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6" t="str">
        <f aca="false">IF(SUM(Y177:AJ177)=0,"",SUM(Y177:AJ177))</f>
        <v/>
      </c>
      <c r="AL177" s="84" t="str">
        <f aca="false">MID(IF(N(Y177)&gt;0,", "&amp;Y$2,"")&amp;IF(N(Z177)&gt;0,", "&amp;Z$2,"")&amp;IF(N(AA177)&gt;0,", "&amp;AA$2,"")&amp;IF(N(AB177)&gt;0,", "&amp;AB$2,"")&amp;IF(N(AC177)&gt;0,", "&amp;AC$2,"")&amp;IF(N(AD177)&gt;0,", "&amp;AD$2,"")&amp;IF(N(AE177)&gt;0,", "&amp;AE$2,"")&amp;IF(N(AF177)&gt;0,", "&amp;AF$2,"")&amp;IF(N(AG177)&gt;0,", "&amp;AG$2,"")&amp;IF(N(AH177)&gt;0,", "&amp;AH$2,"")&amp;IF(N(AI177)&gt;0,", "&amp;AI$2,"")&amp;IF(N(AJ177)&gt;0,", "&amp;AJ$2,""),3,999)</f>
        <v/>
      </c>
      <c r="AM177" s="87" t="str">
        <f aca="false">IF(E177="","",MID(IF(N(Y177)&gt;0,", "&amp;A177&amp;"-"&amp;Y$2,"")&amp;IF(N(Z177)&gt;0,", "&amp;A177&amp;"-"&amp;Z$2,"")&amp;IF(N(AA177)&gt;0,", "&amp;A177&amp;"-"&amp;AA$2,"")&amp;IF(N(AB177)&gt;0,", "&amp;A177&amp;"-"&amp;AB$2,"")&amp;IF(N(AC177)&gt;0,", "&amp;A177&amp;"-"&amp;AC$2,"")&amp;IF(N(AD177)&gt;0,", "&amp;A177&amp;"-"&amp;AD$2,"")&amp;IF(N(AE177)&gt;0,", "&amp;A177&amp;"-"&amp;AE$2,"")&amp;IF(N(AF177)&gt;0,", "&amp;A177&amp;"-"&amp;AF$2,"")&amp;IF(N(AG177)&gt;0,", "&amp;A177&amp;"-"&amp;AG$2,"")&amp;IF(N(AH177)&gt;0,", "&amp;A177&amp;"-"&amp;AH$2,"")&amp;IF(N(AI177)&gt;0,", "&amp;A177&amp;"-"&amp;AI$2,"")&amp;IF(N(AJ177)&gt;0,", "&amp;A177&amp;"-"&amp;AJ$2,""),3,999))</f>
        <v/>
      </c>
      <c r="AN177" s="81"/>
      <c r="AO177" s="88"/>
      <c r="AP177" s="89" t="str">
        <f aca="false">IF(AO177="","",ROUND(AO177/(1+Справочники!$B$13),2))</f>
        <v/>
      </c>
      <c r="AQ177" s="90" t="str">
        <f aca="false" t="array" ref="AQ177:AQ177">IF(AP177="","",AP177*INDEX(Справочники!$B$4:$B$7,MATCH("RUB",Справочники!$A$4:$A$7,0)))</f>
        <v/>
      </c>
      <c r="AR177" s="90" t="str">
        <f aca="false">IF(AQ177="","",ROUND(AQ177*(1+Справочники!$B$12),0))</f>
        <v/>
      </c>
      <c r="AS177" s="90" t="str">
        <f aca="false">IF(AR177="","",ROUND(AR177*(1-Справочники!$B$11),0))</f>
        <v/>
      </c>
      <c r="AT177" s="88"/>
      <c r="AU177" s="90" t="str">
        <f aca="false">IF(AT177="","",ROUND(AT177/(1+Справочники!$B$12),0))</f>
        <v/>
      </c>
      <c r="AV177" s="90" t="str">
        <f aca="false">IF(AT177="","",ROUND(AT177*(1-Справочники!$B$15),0))</f>
        <v/>
      </c>
      <c r="AW177" s="90" t="str">
        <f aca="false">IF(AT177="","",ROUND(AT177*(1-Справочники!$B$16),0))</f>
        <v/>
      </c>
      <c r="AX177" s="90" t="str">
        <f aca="false">IF(AT177="","",ROUND(AT177*(1-Справочники!$B$17),0))</f>
        <v/>
      </c>
      <c r="AY177" s="90" t="str">
        <f aca="false">IF(AT177="","",ROUND(AT177*(1-Справочники!$B$18),0))</f>
        <v/>
      </c>
      <c r="AZ177" s="90" t="str">
        <f aca="false">IF(AT177="","",ROUND(AT177*(1-Справочники!$B$19),0))</f>
        <v/>
      </c>
      <c r="BA177" s="81"/>
      <c r="BB177" s="81"/>
      <c r="BC177" s="81"/>
      <c r="BD177" s="81"/>
      <c r="BE177" s="91"/>
      <c r="BF177" s="81" t="s">
        <v>103</v>
      </c>
      <c r="BG177" s="89" t="n">
        <f aca="false" t="array" ref="BG177:BG177">IF(BF177="","",IFERROR(INDEX(Справочники!$B$4:$B$7,MATCH(BF177,Справочники!$A$4:$A$7,0)),""))</f>
        <v>68.5</v>
      </c>
      <c r="BH177" s="90" t="str">
        <f aca="false">IF(N(BN177)&gt;0,ROUND(SUMIF(ЗАКАЗЫ!$F$3:$F$500,$A177,ЗАКАЗЫ!$Y$3:$Y$500)/BN177,0),IF(OR(BE177="",BG177=""),"",ROUND(BE177*BG177*(1+Справочники!$B$10),0)))</f>
        <v/>
      </c>
      <c r="BI177" s="92" t="str">
        <f aca="false">IF(OR(AU177="",BH177="",AU177=0),"",(AU177-BH177)/AU177)</f>
        <v/>
      </c>
      <c r="BJ177" s="81"/>
      <c r="BK177" s="83"/>
      <c r="BL177" s="43" t="str">
        <f aca="false">IFERROR(INDEX(ЗАКАЗЫ!$N$3:$N$500,MATCH($A177,ЗАКАЗЫ!$F$3:$F$500,0)),"")</f>
        <v/>
      </c>
      <c r="BM177" s="8" t="str">
        <f aca="false">IF(BL177="","",IFERROR(VLOOKUP(BL177,'ТН ВЭД'!$A$4:$C$40,3,0),""))</f>
        <v/>
      </c>
      <c r="BN177" s="7" t="str">
        <f aca="false">IF(COUNTIF(ЗАКАЗЫ!$F$3:$F$500,$A177)=0,"",SUMIF(ЗАКАЗЫ!$F$3:$F$500,$A177,ЗАКАЗЫ!$J$3:$J$500))</f>
        <v/>
      </c>
      <c r="BO177" s="7" t="str">
        <f aca="false">IF(BN177="","",SUMIF(ЗАКАЗЫ!$F$3:$F$500,$A177,ЗАКАЗЫ!$AL$3:$AL$500))</f>
        <v/>
      </c>
      <c r="BP177" s="7" t="str">
        <f aca="false">IF(BN177="","",BN177-BO177)</f>
        <v/>
      </c>
      <c r="BQ177" s="55" t="str">
        <f aca="false">IF(BN177="","",IF(BO177&gt;=BN177,"На складе",IF(BO177&gt;0,"Частично","Ждём")))</f>
        <v/>
      </c>
      <c r="BR177" s="43"/>
      <c r="BS177" s="47" t="str">
        <f aca="false">IF(BN177="","",IF(_xlfn.MAXIFS(ЗАКАЗЫ!$AK$3:$AK$500,ЗАКАЗЫ!$F$3:$F$500,$A177)=0,"",_xlfn.MAXIFS(ЗАКАЗЫ!$AK$3:$AK$500,ЗАКАЗЫ!$F$3:$F$500,$A177)))</f>
        <v/>
      </c>
    </row>
    <row r="178" customFormat="false" ht="15.75" hidden="false" customHeight="true" outlineLevel="0" collapsed="false">
      <c r="A178" s="80" t="s">
        <v>1701</v>
      </c>
      <c r="B178" s="81"/>
      <c r="C178" s="81"/>
      <c r="D178" s="81"/>
      <c r="E178" s="83"/>
      <c r="F178" s="81"/>
      <c r="G178" s="83"/>
      <c r="H178" s="83"/>
      <c r="I178" s="84" t="str">
        <f aca="false">IF(E178="","",A178&amp;"_1.jpg")</f>
        <v/>
      </c>
      <c r="J178" s="84" t="str">
        <f aca="false">IF(E178="","",A178&amp;"_2.jpg; "&amp;A178&amp;"_3.jpg")</f>
        <v/>
      </c>
      <c r="K178" s="84" t="str">
        <f aca="false">IF(E178="","",A178&amp;"_schema.jpg")</f>
        <v/>
      </c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 t="s">
        <v>96</v>
      </c>
      <c r="W178" s="81"/>
      <c r="X178" s="81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6" t="str">
        <f aca="false">IF(SUM(Y178:AJ178)=0,"",SUM(Y178:AJ178))</f>
        <v/>
      </c>
      <c r="AL178" s="84" t="str">
        <f aca="false">MID(IF(N(Y178)&gt;0,", "&amp;Y$2,"")&amp;IF(N(Z178)&gt;0,", "&amp;Z$2,"")&amp;IF(N(AA178)&gt;0,", "&amp;AA$2,"")&amp;IF(N(AB178)&gt;0,", "&amp;AB$2,"")&amp;IF(N(AC178)&gt;0,", "&amp;AC$2,"")&amp;IF(N(AD178)&gt;0,", "&amp;AD$2,"")&amp;IF(N(AE178)&gt;0,", "&amp;AE$2,"")&amp;IF(N(AF178)&gt;0,", "&amp;AF$2,"")&amp;IF(N(AG178)&gt;0,", "&amp;AG$2,"")&amp;IF(N(AH178)&gt;0,", "&amp;AH$2,"")&amp;IF(N(AI178)&gt;0,", "&amp;AI$2,"")&amp;IF(N(AJ178)&gt;0,", "&amp;AJ$2,""),3,999)</f>
        <v/>
      </c>
      <c r="AM178" s="87" t="str">
        <f aca="false">IF(E178="","",MID(IF(N(Y178)&gt;0,", "&amp;A178&amp;"-"&amp;Y$2,"")&amp;IF(N(Z178)&gt;0,", "&amp;A178&amp;"-"&amp;Z$2,"")&amp;IF(N(AA178)&gt;0,", "&amp;A178&amp;"-"&amp;AA$2,"")&amp;IF(N(AB178)&gt;0,", "&amp;A178&amp;"-"&amp;AB$2,"")&amp;IF(N(AC178)&gt;0,", "&amp;A178&amp;"-"&amp;AC$2,"")&amp;IF(N(AD178)&gt;0,", "&amp;A178&amp;"-"&amp;AD$2,"")&amp;IF(N(AE178)&gt;0,", "&amp;A178&amp;"-"&amp;AE$2,"")&amp;IF(N(AF178)&gt;0,", "&amp;A178&amp;"-"&amp;AF$2,"")&amp;IF(N(AG178)&gt;0,", "&amp;A178&amp;"-"&amp;AG$2,"")&amp;IF(N(AH178)&gt;0,", "&amp;A178&amp;"-"&amp;AH$2,"")&amp;IF(N(AI178)&gt;0,", "&amp;A178&amp;"-"&amp;AI$2,"")&amp;IF(N(AJ178)&gt;0,", "&amp;A178&amp;"-"&amp;AJ$2,""),3,999))</f>
        <v/>
      </c>
      <c r="AN178" s="81"/>
      <c r="AO178" s="88"/>
      <c r="AP178" s="89" t="str">
        <f aca="false">IF(AO178="","",ROUND(AO178/(1+Справочники!$B$13),2))</f>
        <v/>
      </c>
      <c r="AQ178" s="90" t="str">
        <f aca="false" t="array" ref="AQ178:AQ178">IF(AP178="","",AP178*INDEX(Справочники!$B$4:$B$7,MATCH("RUB",Справочники!$A$4:$A$7,0)))</f>
        <v/>
      </c>
      <c r="AR178" s="90" t="str">
        <f aca="false">IF(AQ178="","",ROUND(AQ178*(1+Справочники!$B$12),0))</f>
        <v/>
      </c>
      <c r="AS178" s="90" t="str">
        <f aca="false">IF(AR178="","",ROUND(AR178*(1-Справочники!$B$11),0))</f>
        <v/>
      </c>
      <c r="AT178" s="88"/>
      <c r="AU178" s="90" t="str">
        <f aca="false">IF(AT178="","",ROUND(AT178/(1+Справочники!$B$12),0))</f>
        <v/>
      </c>
      <c r="AV178" s="90" t="str">
        <f aca="false">IF(AT178="","",ROUND(AT178*(1-Справочники!$B$15),0))</f>
        <v/>
      </c>
      <c r="AW178" s="90" t="str">
        <f aca="false">IF(AT178="","",ROUND(AT178*(1-Справочники!$B$16),0))</f>
        <v/>
      </c>
      <c r="AX178" s="90" t="str">
        <f aca="false">IF(AT178="","",ROUND(AT178*(1-Справочники!$B$17),0))</f>
        <v/>
      </c>
      <c r="AY178" s="90" t="str">
        <f aca="false">IF(AT178="","",ROUND(AT178*(1-Справочники!$B$18),0))</f>
        <v/>
      </c>
      <c r="AZ178" s="90" t="str">
        <f aca="false">IF(AT178="","",ROUND(AT178*(1-Справочники!$B$19),0))</f>
        <v/>
      </c>
      <c r="BA178" s="81"/>
      <c r="BB178" s="81"/>
      <c r="BC178" s="81"/>
      <c r="BD178" s="81"/>
      <c r="BE178" s="91"/>
      <c r="BF178" s="81" t="s">
        <v>103</v>
      </c>
      <c r="BG178" s="89" t="n">
        <f aca="false" t="array" ref="BG178:BG178">IF(BF178="","",IFERROR(INDEX(Справочники!$B$4:$B$7,MATCH(BF178,Справочники!$A$4:$A$7,0)),""))</f>
        <v>68.5</v>
      </c>
      <c r="BH178" s="90" t="str">
        <f aca="false">IF(N(BN178)&gt;0,ROUND(SUMIF(ЗАКАЗЫ!$F$3:$F$500,$A178,ЗАКАЗЫ!$Y$3:$Y$500)/BN178,0),IF(OR(BE178="",BG178=""),"",ROUND(BE178*BG178*(1+Справочники!$B$10),0)))</f>
        <v/>
      </c>
      <c r="BI178" s="92" t="str">
        <f aca="false">IF(OR(AU178="",BH178="",AU178=0),"",(AU178-BH178)/AU178)</f>
        <v/>
      </c>
      <c r="BJ178" s="81"/>
      <c r="BK178" s="83"/>
      <c r="BL178" s="43" t="str">
        <f aca="false">IFERROR(INDEX(ЗАКАЗЫ!$N$3:$N$500,MATCH($A178,ЗАКАЗЫ!$F$3:$F$500,0)),"")</f>
        <v/>
      </c>
      <c r="BM178" s="8" t="str">
        <f aca="false">IF(BL178="","",IFERROR(VLOOKUP(BL178,'ТН ВЭД'!$A$4:$C$40,3,0),""))</f>
        <v/>
      </c>
      <c r="BN178" s="7" t="str">
        <f aca="false">IF(COUNTIF(ЗАКАЗЫ!$F$3:$F$500,$A178)=0,"",SUMIF(ЗАКАЗЫ!$F$3:$F$500,$A178,ЗАКАЗЫ!$J$3:$J$500))</f>
        <v/>
      </c>
      <c r="BO178" s="7" t="str">
        <f aca="false">IF(BN178="","",SUMIF(ЗАКАЗЫ!$F$3:$F$500,$A178,ЗАКАЗЫ!$AL$3:$AL$500))</f>
        <v/>
      </c>
      <c r="BP178" s="7" t="str">
        <f aca="false">IF(BN178="","",BN178-BO178)</f>
        <v/>
      </c>
      <c r="BQ178" s="55" t="str">
        <f aca="false">IF(BN178="","",IF(BO178&gt;=BN178,"На складе",IF(BO178&gt;0,"Частично","Ждём")))</f>
        <v/>
      </c>
      <c r="BR178" s="43"/>
      <c r="BS178" s="47" t="str">
        <f aca="false">IF(BN178="","",IF(_xlfn.MAXIFS(ЗАКАЗЫ!$AK$3:$AK$500,ЗАКАЗЫ!$F$3:$F$500,$A178)=0,"",_xlfn.MAXIFS(ЗАКАЗЫ!$AK$3:$AK$500,ЗАКАЗЫ!$F$3:$F$500,$A178)))</f>
        <v/>
      </c>
    </row>
    <row r="179" customFormat="false" ht="15.75" hidden="false" customHeight="true" outlineLevel="0" collapsed="false">
      <c r="A179" s="80" t="s">
        <v>1702</v>
      </c>
      <c r="B179" s="81"/>
      <c r="C179" s="81"/>
      <c r="D179" s="81"/>
      <c r="E179" s="83"/>
      <c r="F179" s="81"/>
      <c r="G179" s="83"/>
      <c r="H179" s="83"/>
      <c r="I179" s="84" t="str">
        <f aca="false">IF(E179="","",A179&amp;"_1.jpg")</f>
        <v/>
      </c>
      <c r="J179" s="84" t="str">
        <f aca="false">IF(E179="","",A179&amp;"_2.jpg; "&amp;A179&amp;"_3.jpg")</f>
        <v/>
      </c>
      <c r="K179" s="84" t="str">
        <f aca="false">IF(E179="","",A179&amp;"_schema.jpg")</f>
        <v/>
      </c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 t="s">
        <v>96</v>
      </c>
      <c r="W179" s="81"/>
      <c r="X179" s="81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6" t="str">
        <f aca="false">IF(SUM(Y179:AJ179)=0,"",SUM(Y179:AJ179))</f>
        <v/>
      </c>
      <c r="AL179" s="84" t="str">
        <f aca="false">MID(IF(N(Y179)&gt;0,", "&amp;Y$2,"")&amp;IF(N(Z179)&gt;0,", "&amp;Z$2,"")&amp;IF(N(AA179)&gt;0,", "&amp;AA$2,"")&amp;IF(N(AB179)&gt;0,", "&amp;AB$2,"")&amp;IF(N(AC179)&gt;0,", "&amp;AC$2,"")&amp;IF(N(AD179)&gt;0,", "&amp;AD$2,"")&amp;IF(N(AE179)&gt;0,", "&amp;AE$2,"")&amp;IF(N(AF179)&gt;0,", "&amp;AF$2,"")&amp;IF(N(AG179)&gt;0,", "&amp;AG$2,"")&amp;IF(N(AH179)&gt;0,", "&amp;AH$2,"")&amp;IF(N(AI179)&gt;0,", "&amp;AI$2,"")&amp;IF(N(AJ179)&gt;0,", "&amp;AJ$2,""),3,999)</f>
        <v/>
      </c>
      <c r="AM179" s="87" t="str">
        <f aca="false">IF(E179="","",MID(IF(N(Y179)&gt;0,", "&amp;A179&amp;"-"&amp;Y$2,"")&amp;IF(N(Z179)&gt;0,", "&amp;A179&amp;"-"&amp;Z$2,"")&amp;IF(N(AA179)&gt;0,", "&amp;A179&amp;"-"&amp;AA$2,"")&amp;IF(N(AB179)&gt;0,", "&amp;A179&amp;"-"&amp;AB$2,"")&amp;IF(N(AC179)&gt;0,", "&amp;A179&amp;"-"&amp;AC$2,"")&amp;IF(N(AD179)&gt;0,", "&amp;A179&amp;"-"&amp;AD$2,"")&amp;IF(N(AE179)&gt;0,", "&amp;A179&amp;"-"&amp;AE$2,"")&amp;IF(N(AF179)&gt;0,", "&amp;A179&amp;"-"&amp;AF$2,"")&amp;IF(N(AG179)&gt;0,", "&amp;A179&amp;"-"&amp;AG$2,"")&amp;IF(N(AH179)&gt;0,", "&amp;A179&amp;"-"&amp;AH$2,"")&amp;IF(N(AI179)&gt;0,", "&amp;A179&amp;"-"&amp;AI$2,"")&amp;IF(N(AJ179)&gt;0,", "&amp;A179&amp;"-"&amp;AJ$2,""),3,999))</f>
        <v/>
      </c>
      <c r="AN179" s="81"/>
      <c r="AO179" s="88"/>
      <c r="AP179" s="89" t="str">
        <f aca="false">IF(AO179="","",ROUND(AO179/(1+Справочники!$B$13),2))</f>
        <v/>
      </c>
      <c r="AQ179" s="90" t="str">
        <f aca="false" t="array" ref="AQ179:AQ179">IF(AP179="","",AP179*INDEX(Справочники!$B$4:$B$7,MATCH("RUB",Справочники!$A$4:$A$7,0)))</f>
        <v/>
      </c>
      <c r="AR179" s="90" t="str">
        <f aca="false">IF(AQ179="","",ROUND(AQ179*(1+Справочники!$B$12),0))</f>
        <v/>
      </c>
      <c r="AS179" s="90" t="str">
        <f aca="false">IF(AR179="","",ROUND(AR179*(1-Справочники!$B$11),0))</f>
        <v/>
      </c>
      <c r="AT179" s="88"/>
      <c r="AU179" s="90" t="str">
        <f aca="false">IF(AT179="","",ROUND(AT179/(1+Справочники!$B$12),0))</f>
        <v/>
      </c>
      <c r="AV179" s="90" t="str">
        <f aca="false">IF(AT179="","",ROUND(AT179*(1-Справочники!$B$15),0))</f>
        <v/>
      </c>
      <c r="AW179" s="90" t="str">
        <f aca="false">IF(AT179="","",ROUND(AT179*(1-Справочники!$B$16),0))</f>
        <v/>
      </c>
      <c r="AX179" s="90" t="str">
        <f aca="false">IF(AT179="","",ROUND(AT179*(1-Справочники!$B$17),0))</f>
        <v/>
      </c>
      <c r="AY179" s="90" t="str">
        <f aca="false">IF(AT179="","",ROUND(AT179*(1-Справочники!$B$18),0))</f>
        <v/>
      </c>
      <c r="AZ179" s="90" t="str">
        <f aca="false">IF(AT179="","",ROUND(AT179*(1-Справочники!$B$19),0))</f>
        <v/>
      </c>
      <c r="BA179" s="81"/>
      <c r="BB179" s="81"/>
      <c r="BC179" s="81"/>
      <c r="BD179" s="81"/>
      <c r="BE179" s="91"/>
      <c r="BF179" s="81" t="s">
        <v>103</v>
      </c>
      <c r="BG179" s="89" t="n">
        <f aca="false" t="array" ref="BG179:BG179">IF(BF179="","",IFERROR(INDEX(Справочники!$B$4:$B$7,MATCH(BF179,Справочники!$A$4:$A$7,0)),""))</f>
        <v>68.5</v>
      </c>
      <c r="BH179" s="90" t="str">
        <f aca="false">IF(N(BN179)&gt;0,ROUND(SUMIF(ЗАКАЗЫ!$F$3:$F$500,$A179,ЗАКАЗЫ!$Y$3:$Y$500)/BN179,0),IF(OR(BE179="",BG179=""),"",ROUND(BE179*BG179*(1+Справочники!$B$10),0)))</f>
        <v/>
      </c>
      <c r="BI179" s="92" t="str">
        <f aca="false">IF(OR(AU179="",BH179="",AU179=0),"",(AU179-BH179)/AU179)</f>
        <v/>
      </c>
      <c r="BJ179" s="81"/>
      <c r="BK179" s="83"/>
      <c r="BL179" s="43" t="str">
        <f aca="false">IFERROR(INDEX(ЗАКАЗЫ!$N$3:$N$500,MATCH($A179,ЗАКАЗЫ!$F$3:$F$500,0)),"")</f>
        <v/>
      </c>
      <c r="BM179" s="8" t="str">
        <f aca="false">IF(BL179="","",IFERROR(VLOOKUP(BL179,'ТН ВЭД'!$A$4:$C$40,3,0),""))</f>
        <v/>
      </c>
      <c r="BN179" s="7" t="str">
        <f aca="false">IF(COUNTIF(ЗАКАЗЫ!$F$3:$F$500,$A179)=0,"",SUMIF(ЗАКАЗЫ!$F$3:$F$500,$A179,ЗАКАЗЫ!$J$3:$J$500))</f>
        <v/>
      </c>
      <c r="BO179" s="7" t="str">
        <f aca="false">IF(BN179="","",SUMIF(ЗАКАЗЫ!$F$3:$F$500,$A179,ЗАКАЗЫ!$AL$3:$AL$500))</f>
        <v/>
      </c>
      <c r="BP179" s="7" t="str">
        <f aca="false">IF(BN179="","",BN179-BO179)</f>
        <v/>
      </c>
      <c r="BQ179" s="55" t="str">
        <f aca="false">IF(BN179="","",IF(BO179&gt;=BN179,"На складе",IF(BO179&gt;0,"Частично","Ждём")))</f>
        <v/>
      </c>
      <c r="BR179" s="43"/>
      <c r="BS179" s="47" t="str">
        <f aca="false">IF(BN179="","",IF(_xlfn.MAXIFS(ЗАКАЗЫ!$AK$3:$AK$500,ЗАКАЗЫ!$F$3:$F$500,$A179)=0,"",_xlfn.MAXIFS(ЗАКАЗЫ!$AK$3:$AK$500,ЗАКАЗЫ!$F$3:$F$500,$A179)))</f>
        <v/>
      </c>
    </row>
    <row r="180" customFormat="false" ht="15.75" hidden="false" customHeight="true" outlineLevel="0" collapsed="false">
      <c r="A180" s="80" t="s">
        <v>1703</v>
      </c>
      <c r="B180" s="81"/>
      <c r="C180" s="81"/>
      <c r="D180" s="81"/>
      <c r="E180" s="83"/>
      <c r="F180" s="81"/>
      <c r="G180" s="83"/>
      <c r="H180" s="83"/>
      <c r="I180" s="84" t="str">
        <f aca="false">IF(E180="","",A180&amp;"_1.jpg")</f>
        <v/>
      </c>
      <c r="J180" s="84" t="str">
        <f aca="false">IF(E180="","",A180&amp;"_2.jpg; "&amp;A180&amp;"_3.jpg")</f>
        <v/>
      </c>
      <c r="K180" s="84" t="str">
        <f aca="false">IF(E180="","",A180&amp;"_schema.jpg")</f>
        <v/>
      </c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 t="s">
        <v>96</v>
      </c>
      <c r="W180" s="81"/>
      <c r="X180" s="81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6" t="str">
        <f aca="false">IF(SUM(Y180:AJ180)=0,"",SUM(Y180:AJ180))</f>
        <v/>
      </c>
      <c r="AL180" s="84" t="str">
        <f aca="false">MID(IF(N(Y180)&gt;0,", "&amp;Y$2,"")&amp;IF(N(Z180)&gt;0,", "&amp;Z$2,"")&amp;IF(N(AA180)&gt;0,", "&amp;AA$2,"")&amp;IF(N(AB180)&gt;0,", "&amp;AB$2,"")&amp;IF(N(AC180)&gt;0,", "&amp;AC$2,"")&amp;IF(N(AD180)&gt;0,", "&amp;AD$2,"")&amp;IF(N(AE180)&gt;0,", "&amp;AE$2,"")&amp;IF(N(AF180)&gt;0,", "&amp;AF$2,"")&amp;IF(N(AG180)&gt;0,", "&amp;AG$2,"")&amp;IF(N(AH180)&gt;0,", "&amp;AH$2,"")&amp;IF(N(AI180)&gt;0,", "&amp;AI$2,"")&amp;IF(N(AJ180)&gt;0,", "&amp;AJ$2,""),3,999)</f>
        <v/>
      </c>
      <c r="AM180" s="87" t="str">
        <f aca="false">IF(E180="","",MID(IF(N(Y180)&gt;0,", "&amp;A180&amp;"-"&amp;Y$2,"")&amp;IF(N(Z180)&gt;0,", "&amp;A180&amp;"-"&amp;Z$2,"")&amp;IF(N(AA180)&gt;0,", "&amp;A180&amp;"-"&amp;AA$2,"")&amp;IF(N(AB180)&gt;0,", "&amp;A180&amp;"-"&amp;AB$2,"")&amp;IF(N(AC180)&gt;0,", "&amp;A180&amp;"-"&amp;AC$2,"")&amp;IF(N(AD180)&gt;0,", "&amp;A180&amp;"-"&amp;AD$2,"")&amp;IF(N(AE180)&gt;0,", "&amp;A180&amp;"-"&amp;AE$2,"")&amp;IF(N(AF180)&gt;0,", "&amp;A180&amp;"-"&amp;AF$2,"")&amp;IF(N(AG180)&gt;0,", "&amp;A180&amp;"-"&amp;AG$2,"")&amp;IF(N(AH180)&gt;0,", "&amp;A180&amp;"-"&amp;AH$2,"")&amp;IF(N(AI180)&gt;0,", "&amp;A180&amp;"-"&amp;AI$2,"")&amp;IF(N(AJ180)&gt;0,", "&amp;A180&amp;"-"&amp;AJ$2,""),3,999))</f>
        <v/>
      </c>
      <c r="AN180" s="81"/>
      <c r="AO180" s="88"/>
      <c r="AP180" s="89" t="str">
        <f aca="false">IF(AO180="","",ROUND(AO180/(1+Справочники!$B$13),2))</f>
        <v/>
      </c>
      <c r="AQ180" s="90" t="str">
        <f aca="false" t="array" ref="AQ180:AQ180">IF(AP180="","",AP180*INDEX(Справочники!$B$4:$B$7,MATCH("RUB",Справочники!$A$4:$A$7,0)))</f>
        <v/>
      </c>
      <c r="AR180" s="90" t="str">
        <f aca="false">IF(AQ180="","",ROUND(AQ180*(1+Справочники!$B$12),0))</f>
        <v/>
      </c>
      <c r="AS180" s="90" t="str">
        <f aca="false">IF(AR180="","",ROUND(AR180*(1-Справочники!$B$11),0))</f>
        <v/>
      </c>
      <c r="AT180" s="88"/>
      <c r="AU180" s="90" t="str">
        <f aca="false">IF(AT180="","",ROUND(AT180/(1+Справочники!$B$12),0))</f>
        <v/>
      </c>
      <c r="AV180" s="90" t="str">
        <f aca="false">IF(AT180="","",ROUND(AT180*(1-Справочники!$B$15),0))</f>
        <v/>
      </c>
      <c r="AW180" s="90" t="str">
        <f aca="false">IF(AT180="","",ROUND(AT180*(1-Справочники!$B$16),0))</f>
        <v/>
      </c>
      <c r="AX180" s="90" t="str">
        <f aca="false">IF(AT180="","",ROUND(AT180*(1-Справочники!$B$17),0))</f>
        <v/>
      </c>
      <c r="AY180" s="90" t="str">
        <f aca="false">IF(AT180="","",ROUND(AT180*(1-Справочники!$B$18),0))</f>
        <v/>
      </c>
      <c r="AZ180" s="90" t="str">
        <f aca="false">IF(AT180="","",ROUND(AT180*(1-Справочники!$B$19),0))</f>
        <v/>
      </c>
      <c r="BA180" s="81"/>
      <c r="BB180" s="81"/>
      <c r="BC180" s="81"/>
      <c r="BD180" s="81"/>
      <c r="BE180" s="91"/>
      <c r="BF180" s="81" t="s">
        <v>103</v>
      </c>
      <c r="BG180" s="89" t="n">
        <f aca="false" t="array" ref="BG180:BG180">IF(BF180="","",IFERROR(INDEX(Справочники!$B$4:$B$7,MATCH(BF180,Справочники!$A$4:$A$7,0)),""))</f>
        <v>68.5</v>
      </c>
      <c r="BH180" s="90" t="str">
        <f aca="false">IF(N(BN180)&gt;0,ROUND(SUMIF(ЗАКАЗЫ!$F$3:$F$500,$A180,ЗАКАЗЫ!$Y$3:$Y$500)/BN180,0),IF(OR(BE180="",BG180=""),"",ROUND(BE180*BG180*(1+Справочники!$B$10),0)))</f>
        <v/>
      </c>
      <c r="BI180" s="92" t="str">
        <f aca="false">IF(OR(AU180="",BH180="",AU180=0),"",(AU180-BH180)/AU180)</f>
        <v/>
      </c>
      <c r="BJ180" s="81"/>
      <c r="BK180" s="83"/>
      <c r="BL180" s="43" t="str">
        <f aca="false">IFERROR(INDEX(ЗАКАЗЫ!$N$3:$N$500,MATCH($A180,ЗАКАЗЫ!$F$3:$F$500,0)),"")</f>
        <v/>
      </c>
      <c r="BM180" s="8" t="str">
        <f aca="false">IF(BL180="","",IFERROR(VLOOKUP(BL180,'ТН ВЭД'!$A$4:$C$40,3,0),""))</f>
        <v/>
      </c>
      <c r="BN180" s="7" t="str">
        <f aca="false">IF(COUNTIF(ЗАКАЗЫ!$F$3:$F$500,$A180)=0,"",SUMIF(ЗАКАЗЫ!$F$3:$F$500,$A180,ЗАКАЗЫ!$J$3:$J$500))</f>
        <v/>
      </c>
      <c r="BO180" s="7" t="str">
        <f aca="false">IF(BN180="","",SUMIF(ЗАКАЗЫ!$F$3:$F$500,$A180,ЗАКАЗЫ!$AL$3:$AL$500))</f>
        <v/>
      </c>
      <c r="BP180" s="7" t="str">
        <f aca="false">IF(BN180="","",BN180-BO180)</f>
        <v/>
      </c>
      <c r="BQ180" s="55" t="str">
        <f aca="false">IF(BN180="","",IF(BO180&gt;=BN180,"На складе",IF(BO180&gt;0,"Частично","Ждём")))</f>
        <v/>
      </c>
      <c r="BR180" s="43"/>
      <c r="BS180" s="47" t="str">
        <f aca="false">IF(BN180="","",IF(_xlfn.MAXIFS(ЗАКАЗЫ!$AK$3:$AK$500,ЗАКАЗЫ!$F$3:$F$500,$A180)=0,"",_xlfn.MAXIFS(ЗАКАЗЫ!$AK$3:$AK$500,ЗАКАЗЫ!$F$3:$F$500,$A180)))</f>
        <v/>
      </c>
    </row>
    <row r="181" customFormat="false" ht="15.75" hidden="false" customHeight="true" outlineLevel="0" collapsed="false">
      <c r="A181" s="80" t="s">
        <v>1704</v>
      </c>
      <c r="B181" s="81"/>
      <c r="C181" s="81"/>
      <c r="D181" s="81"/>
      <c r="E181" s="83"/>
      <c r="F181" s="81"/>
      <c r="G181" s="83"/>
      <c r="H181" s="83"/>
      <c r="I181" s="84" t="str">
        <f aca="false">IF(E181="","",A181&amp;"_1.jpg")</f>
        <v/>
      </c>
      <c r="J181" s="84" t="str">
        <f aca="false">IF(E181="","",A181&amp;"_2.jpg; "&amp;A181&amp;"_3.jpg")</f>
        <v/>
      </c>
      <c r="K181" s="84" t="str">
        <f aca="false">IF(E181="","",A181&amp;"_schema.jpg")</f>
        <v/>
      </c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 t="s">
        <v>96</v>
      </c>
      <c r="W181" s="81"/>
      <c r="X181" s="81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6" t="str">
        <f aca="false">IF(SUM(Y181:AJ181)=0,"",SUM(Y181:AJ181))</f>
        <v/>
      </c>
      <c r="AL181" s="84" t="str">
        <f aca="false">MID(IF(N(Y181)&gt;0,", "&amp;Y$2,"")&amp;IF(N(Z181)&gt;0,", "&amp;Z$2,"")&amp;IF(N(AA181)&gt;0,", "&amp;AA$2,"")&amp;IF(N(AB181)&gt;0,", "&amp;AB$2,"")&amp;IF(N(AC181)&gt;0,", "&amp;AC$2,"")&amp;IF(N(AD181)&gt;0,", "&amp;AD$2,"")&amp;IF(N(AE181)&gt;0,", "&amp;AE$2,"")&amp;IF(N(AF181)&gt;0,", "&amp;AF$2,"")&amp;IF(N(AG181)&gt;0,", "&amp;AG$2,"")&amp;IF(N(AH181)&gt;0,", "&amp;AH$2,"")&amp;IF(N(AI181)&gt;0,", "&amp;AI$2,"")&amp;IF(N(AJ181)&gt;0,", "&amp;AJ$2,""),3,999)</f>
        <v/>
      </c>
      <c r="AM181" s="87" t="str">
        <f aca="false">IF(E181="","",MID(IF(N(Y181)&gt;0,", "&amp;A181&amp;"-"&amp;Y$2,"")&amp;IF(N(Z181)&gt;0,", "&amp;A181&amp;"-"&amp;Z$2,"")&amp;IF(N(AA181)&gt;0,", "&amp;A181&amp;"-"&amp;AA$2,"")&amp;IF(N(AB181)&gt;0,", "&amp;A181&amp;"-"&amp;AB$2,"")&amp;IF(N(AC181)&gt;0,", "&amp;A181&amp;"-"&amp;AC$2,"")&amp;IF(N(AD181)&gt;0,", "&amp;A181&amp;"-"&amp;AD$2,"")&amp;IF(N(AE181)&gt;0,", "&amp;A181&amp;"-"&amp;AE$2,"")&amp;IF(N(AF181)&gt;0,", "&amp;A181&amp;"-"&amp;AF$2,"")&amp;IF(N(AG181)&gt;0,", "&amp;A181&amp;"-"&amp;AG$2,"")&amp;IF(N(AH181)&gt;0,", "&amp;A181&amp;"-"&amp;AH$2,"")&amp;IF(N(AI181)&gt;0,", "&amp;A181&amp;"-"&amp;AI$2,"")&amp;IF(N(AJ181)&gt;0,", "&amp;A181&amp;"-"&amp;AJ$2,""),3,999))</f>
        <v/>
      </c>
      <c r="AN181" s="81"/>
      <c r="AO181" s="88"/>
      <c r="AP181" s="89" t="str">
        <f aca="false">IF(AO181="","",ROUND(AO181/(1+Справочники!$B$13),2))</f>
        <v/>
      </c>
      <c r="AQ181" s="90" t="str">
        <f aca="false" t="array" ref="AQ181:AQ181">IF(AP181="","",AP181*INDEX(Справочники!$B$4:$B$7,MATCH("RUB",Справочники!$A$4:$A$7,0)))</f>
        <v/>
      </c>
      <c r="AR181" s="90" t="str">
        <f aca="false">IF(AQ181="","",ROUND(AQ181*(1+Справочники!$B$12),0))</f>
        <v/>
      </c>
      <c r="AS181" s="90" t="str">
        <f aca="false">IF(AR181="","",ROUND(AR181*(1-Справочники!$B$11),0))</f>
        <v/>
      </c>
      <c r="AT181" s="88"/>
      <c r="AU181" s="90" t="str">
        <f aca="false">IF(AT181="","",ROUND(AT181/(1+Справочники!$B$12),0))</f>
        <v/>
      </c>
      <c r="AV181" s="90" t="str">
        <f aca="false">IF(AT181="","",ROUND(AT181*(1-Справочники!$B$15),0))</f>
        <v/>
      </c>
      <c r="AW181" s="90" t="str">
        <f aca="false">IF(AT181="","",ROUND(AT181*(1-Справочники!$B$16),0))</f>
        <v/>
      </c>
      <c r="AX181" s="90" t="str">
        <f aca="false">IF(AT181="","",ROUND(AT181*(1-Справочники!$B$17),0))</f>
        <v/>
      </c>
      <c r="AY181" s="90" t="str">
        <f aca="false">IF(AT181="","",ROUND(AT181*(1-Справочники!$B$18),0))</f>
        <v/>
      </c>
      <c r="AZ181" s="90" t="str">
        <f aca="false">IF(AT181="","",ROUND(AT181*(1-Справочники!$B$19),0))</f>
        <v/>
      </c>
      <c r="BA181" s="81"/>
      <c r="BB181" s="81"/>
      <c r="BC181" s="81"/>
      <c r="BD181" s="81"/>
      <c r="BE181" s="91"/>
      <c r="BF181" s="81" t="s">
        <v>103</v>
      </c>
      <c r="BG181" s="89" t="n">
        <f aca="false" t="array" ref="BG181:BG181">IF(BF181="","",IFERROR(INDEX(Справочники!$B$4:$B$7,MATCH(BF181,Справочники!$A$4:$A$7,0)),""))</f>
        <v>68.5</v>
      </c>
      <c r="BH181" s="90" t="str">
        <f aca="false">IF(N(BN181)&gt;0,ROUND(SUMIF(ЗАКАЗЫ!$F$3:$F$500,$A181,ЗАКАЗЫ!$Y$3:$Y$500)/BN181,0),IF(OR(BE181="",BG181=""),"",ROUND(BE181*BG181*(1+Справочники!$B$10),0)))</f>
        <v/>
      </c>
      <c r="BI181" s="92" t="str">
        <f aca="false">IF(OR(AU181="",BH181="",AU181=0),"",(AU181-BH181)/AU181)</f>
        <v/>
      </c>
      <c r="BJ181" s="81"/>
      <c r="BK181" s="83"/>
      <c r="BL181" s="43" t="str">
        <f aca="false">IFERROR(INDEX(ЗАКАЗЫ!$N$3:$N$500,MATCH($A181,ЗАКАЗЫ!$F$3:$F$500,0)),"")</f>
        <v/>
      </c>
      <c r="BM181" s="8" t="str">
        <f aca="false">IF(BL181="","",IFERROR(VLOOKUP(BL181,'ТН ВЭД'!$A$4:$C$40,3,0),""))</f>
        <v/>
      </c>
      <c r="BN181" s="7" t="str">
        <f aca="false">IF(COUNTIF(ЗАКАЗЫ!$F$3:$F$500,$A181)=0,"",SUMIF(ЗАКАЗЫ!$F$3:$F$500,$A181,ЗАКАЗЫ!$J$3:$J$500))</f>
        <v/>
      </c>
      <c r="BO181" s="7" t="str">
        <f aca="false">IF(BN181="","",SUMIF(ЗАКАЗЫ!$F$3:$F$500,$A181,ЗАКАЗЫ!$AL$3:$AL$500))</f>
        <v/>
      </c>
      <c r="BP181" s="7" t="str">
        <f aca="false">IF(BN181="","",BN181-BO181)</f>
        <v/>
      </c>
      <c r="BQ181" s="55" t="str">
        <f aca="false">IF(BN181="","",IF(BO181&gt;=BN181,"На складе",IF(BO181&gt;0,"Частично","Ждём")))</f>
        <v/>
      </c>
      <c r="BR181" s="43"/>
      <c r="BS181" s="47" t="str">
        <f aca="false">IF(BN181="","",IF(_xlfn.MAXIFS(ЗАКАЗЫ!$AK$3:$AK$500,ЗАКАЗЫ!$F$3:$F$500,$A181)=0,"",_xlfn.MAXIFS(ЗАКАЗЫ!$AK$3:$AK$500,ЗАКАЗЫ!$F$3:$F$500,$A181)))</f>
        <v/>
      </c>
    </row>
    <row r="182" customFormat="false" ht="15.75" hidden="false" customHeight="true" outlineLevel="0" collapsed="false">
      <c r="A182" s="80" t="s">
        <v>1705</v>
      </c>
      <c r="B182" s="81"/>
      <c r="C182" s="81"/>
      <c r="D182" s="81"/>
      <c r="E182" s="83"/>
      <c r="F182" s="81"/>
      <c r="G182" s="83"/>
      <c r="H182" s="83"/>
      <c r="I182" s="84" t="str">
        <f aca="false">IF(E182="","",A182&amp;"_1.jpg")</f>
        <v/>
      </c>
      <c r="J182" s="84" t="str">
        <f aca="false">IF(E182="","",A182&amp;"_2.jpg; "&amp;A182&amp;"_3.jpg")</f>
        <v/>
      </c>
      <c r="K182" s="84" t="str">
        <f aca="false">IF(E182="","",A182&amp;"_schema.jpg")</f>
        <v/>
      </c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 t="s">
        <v>96</v>
      </c>
      <c r="W182" s="81"/>
      <c r="X182" s="81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6" t="str">
        <f aca="false">IF(SUM(Y182:AJ182)=0,"",SUM(Y182:AJ182))</f>
        <v/>
      </c>
      <c r="AL182" s="84" t="str">
        <f aca="false">MID(IF(N(Y182)&gt;0,", "&amp;Y$2,"")&amp;IF(N(Z182)&gt;0,", "&amp;Z$2,"")&amp;IF(N(AA182)&gt;0,", "&amp;AA$2,"")&amp;IF(N(AB182)&gt;0,", "&amp;AB$2,"")&amp;IF(N(AC182)&gt;0,", "&amp;AC$2,"")&amp;IF(N(AD182)&gt;0,", "&amp;AD$2,"")&amp;IF(N(AE182)&gt;0,", "&amp;AE$2,"")&amp;IF(N(AF182)&gt;0,", "&amp;AF$2,"")&amp;IF(N(AG182)&gt;0,", "&amp;AG$2,"")&amp;IF(N(AH182)&gt;0,", "&amp;AH$2,"")&amp;IF(N(AI182)&gt;0,", "&amp;AI$2,"")&amp;IF(N(AJ182)&gt;0,", "&amp;AJ$2,""),3,999)</f>
        <v/>
      </c>
      <c r="AM182" s="87" t="str">
        <f aca="false">IF(E182="","",MID(IF(N(Y182)&gt;0,", "&amp;A182&amp;"-"&amp;Y$2,"")&amp;IF(N(Z182)&gt;0,", "&amp;A182&amp;"-"&amp;Z$2,"")&amp;IF(N(AA182)&gt;0,", "&amp;A182&amp;"-"&amp;AA$2,"")&amp;IF(N(AB182)&gt;0,", "&amp;A182&amp;"-"&amp;AB$2,"")&amp;IF(N(AC182)&gt;0,", "&amp;A182&amp;"-"&amp;AC$2,"")&amp;IF(N(AD182)&gt;0,", "&amp;A182&amp;"-"&amp;AD$2,"")&amp;IF(N(AE182)&gt;0,", "&amp;A182&amp;"-"&amp;AE$2,"")&amp;IF(N(AF182)&gt;0,", "&amp;A182&amp;"-"&amp;AF$2,"")&amp;IF(N(AG182)&gt;0,", "&amp;A182&amp;"-"&amp;AG$2,"")&amp;IF(N(AH182)&gt;0,", "&amp;A182&amp;"-"&amp;AH$2,"")&amp;IF(N(AI182)&gt;0,", "&amp;A182&amp;"-"&amp;AI$2,"")&amp;IF(N(AJ182)&gt;0,", "&amp;A182&amp;"-"&amp;AJ$2,""),3,999))</f>
        <v/>
      </c>
      <c r="AN182" s="81"/>
      <c r="AO182" s="88"/>
      <c r="AP182" s="89" t="str">
        <f aca="false">IF(AO182="","",ROUND(AO182/(1+Справочники!$B$13),2))</f>
        <v/>
      </c>
      <c r="AQ182" s="90" t="str">
        <f aca="false" t="array" ref="AQ182:AQ182">IF(AP182="","",AP182*INDEX(Справочники!$B$4:$B$7,MATCH("RUB",Справочники!$A$4:$A$7,0)))</f>
        <v/>
      </c>
      <c r="AR182" s="90" t="str">
        <f aca="false">IF(AQ182="","",ROUND(AQ182*(1+Справочники!$B$12),0))</f>
        <v/>
      </c>
      <c r="AS182" s="90" t="str">
        <f aca="false">IF(AR182="","",ROUND(AR182*(1-Справочники!$B$11),0))</f>
        <v/>
      </c>
      <c r="AT182" s="88"/>
      <c r="AU182" s="90" t="str">
        <f aca="false">IF(AT182="","",ROUND(AT182/(1+Справочники!$B$12),0))</f>
        <v/>
      </c>
      <c r="AV182" s="90" t="str">
        <f aca="false">IF(AT182="","",ROUND(AT182*(1-Справочники!$B$15),0))</f>
        <v/>
      </c>
      <c r="AW182" s="90" t="str">
        <f aca="false">IF(AT182="","",ROUND(AT182*(1-Справочники!$B$16),0))</f>
        <v/>
      </c>
      <c r="AX182" s="90" t="str">
        <f aca="false">IF(AT182="","",ROUND(AT182*(1-Справочники!$B$17),0))</f>
        <v/>
      </c>
      <c r="AY182" s="90" t="str">
        <f aca="false">IF(AT182="","",ROUND(AT182*(1-Справочники!$B$18),0))</f>
        <v/>
      </c>
      <c r="AZ182" s="90" t="str">
        <f aca="false">IF(AT182="","",ROUND(AT182*(1-Справочники!$B$19),0))</f>
        <v/>
      </c>
      <c r="BA182" s="81"/>
      <c r="BB182" s="81"/>
      <c r="BC182" s="81"/>
      <c r="BD182" s="81"/>
      <c r="BE182" s="91"/>
      <c r="BF182" s="81" t="s">
        <v>103</v>
      </c>
      <c r="BG182" s="89" t="n">
        <f aca="false" t="array" ref="BG182:BG182">IF(BF182="","",IFERROR(INDEX(Справочники!$B$4:$B$7,MATCH(BF182,Справочники!$A$4:$A$7,0)),""))</f>
        <v>68.5</v>
      </c>
      <c r="BH182" s="90" t="str">
        <f aca="false">IF(N(BN182)&gt;0,ROUND(SUMIF(ЗАКАЗЫ!$F$3:$F$500,$A182,ЗАКАЗЫ!$Y$3:$Y$500)/BN182,0),IF(OR(BE182="",BG182=""),"",ROUND(BE182*BG182*(1+Справочники!$B$10),0)))</f>
        <v/>
      </c>
      <c r="BI182" s="92" t="str">
        <f aca="false">IF(OR(AU182="",BH182="",AU182=0),"",(AU182-BH182)/AU182)</f>
        <v/>
      </c>
      <c r="BJ182" s="81"/>
      <c r="BK182" s="83"/>
      <c r="BL182" s="43" t="str">
        <f aca="false">IFERROR(INDEX(ЗАКАЗЫ!$N$3:$N$500,MATCH($A182,ЗАКАЗЫ!$F$3:$F$500,0)),"")</f>
        <v/>
      </c>
      <c r="BM182" s="8" t="str">
        <f aca="false">IF(BL182="","",IFERROR(VLOOKUP(BL182,'ТН ВЭД'!$A$4:$C$40,3,0),""))</f>
        <v/>
      </c>
      <c r="BN182" s="7" t="str">
        <f aca="false">IF(COUNTIF(ЗАКАЗЫ!$F$3:$F$500,$A182)=0,"",SUMIF(ЗАКАЗЫ!$F$3:$F$500,$A182,ЗАКАЗЫ!$J$3:$J$500))</f>
        <v/>
      </c>
      <c r="BO182" s="7" t="str">
        <f aca="false">IF(BN182="","",SUMIF(ЗАКАЗЫ!$F$3:$F$500,$A182,ЗАКАЗЫ!$AL$3:$AL$500))</f>
        <v/>
      </c>
      <c r="BP182" s="7" t="str">
        <f aca="false">IF(BN182="","",BN182-BO182)</f>
        <v/>
      </c>
      <c r="BQ182" s="55" t="str">
        <f aca="false">IF(BN182="","",IF(BO182&gt;=BN182,"На складе",IF(BO182&gt;0,"Частично","Ждём")))</f>
        <v/>
      </c>
      <c r="BR182" s="43"/>
      <c r="BS182" s="47" t="str">
        <f aca="false">IF(BN182="","",IF(_xlfn.MAXIFS(ЗАКАЗЫ!$AK$3:$AK$500,ЗАКАЗЫ!$F$3:$F$500,$A182)=0,"",_xlfn.MAXIFS(ЗАКАЗЫ!$AK$3:$AK$500,ЗАКАЗЫ!$F$3:$F$500,$A182)))</f>
        <v/>
      </c>
    </row>
    <row r="183" customFormat="false" ht="15.75" hidden="false" customHeight="true" outlineLevel="0" collapsed="false">
      <c r="A183" s="80" t="s">
        <v>1706</v>
      </c>
      <c r="B183" s="81"/>
      <c r="C183" s="81"/>
      <c r="D183" s="81"/>
      <c r="E183" s="83"/>
      <c r="F183" s="81"/>
      <c r="G183" s="83"/>
      <c r="H183" s="83"/>
      <c r="I183" s="84" t="str">
        <f aca="false">IF(E183="","",A183&amp;"_1.jpg")</f>
        <v/>
      </c>
      <c r="J183" s="84" t="str">
        <f aca="false">IF(E183="","",A183&amp;"_2.jpg; "&amp;A183&amp;"_3.jpg")</f>
        <v/>
      </c>
      <c r="K183" s="84" t="str">
        <f aca="false">IF(E183="","",A183&amp;"_schema.jpg")</f>
        <v/>
      </c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 t="s">
        <v>96</v>
      </c>
      <c r="W183" s="81"/>
      <c r="X183" s="81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6" t="str">
        <f aca="false">IF(SUM(Y183:AJ183)=0,"",SUM(Y183:AJ183))</f>
        <v/>
      </c>
      <c r="AL183" s="84" t="str">
        <f aca="false">MID(IF(N(Y183)&gt;0,", "&amp;Y$2,"")&amp;IF(N(Z183)&gt;0,", "&amp;Z$2,"")&amp;IF(N(AA183)&gt;0,", "&amp;AA$2,"")&amp;IF(N(AB183)&gt;0,", "&amp;AB$2,"")&amp;IF(N(AC183)&gt;0,", "&amp;AC$2,"")&amp;IF(N(AD183)&gt;0,", "&amp;AD$2,"")&amp;IF(N(AE183)&gt;0,", "&amp;AE$2,"")&amp;IF(N(AF183)&gt;0,", "&amp;AF$2,"")&amp;IF(N(AG183)&gt;0,", "&amp;AG$2,"")&amp;IF(N(AH183)&gt;0,", "&amp;AH$2,"")&amp;IF(N(AI183)&gt;0,", "&amp;AI$2,"")&amp;IF(N(AJ183)&gt;0,", "&amp;AJ$2,""),3,999)</f>
        <v/>
      </c>
      <c r="AM183" s="87" t="str">
        <f aca="false">IF(E183="","",MID(IF(N(Y183)&gt;0,", "&amp;A183&amp;"-"&amp;Y$2,"")&amp;IF(N(Z183)&gt;0,", "&amp;A183&amp;"-"&amp;Z$2,"")&amp;IF(N(AA183)&gt;0,", "&amp;A183&amp;"-"&amp;AA$2,"")&amp;IF(N(AB183)&gt;0,", "&amp;A183&amp;"-"&amp;AB$2,"")&amp;IF(N(AC183)&gt;0,", "&amp;A183&amp;"-"&amp;AC$2,"")&amp;IF(N(AD183)&gt;0,", "&amp;A183&amp;"-"&amp;AD$2,"")&amp;IF(N(AE183)&gt;0,", "&amp;A183&amp;"-"&amp;AE$2,"")&amp;IF(N(AF183)&gt;0,", "&amp;A183&amp;"-"&amp;AF$2,"")&amp;IF(N(AG183)&gt;0,", "&amp;A183&amp;"-"&amp;AG$2,"")&amp;IF(N(AH183)&gt;0,", "&amp;A183&amp;"-"&amp;AH$2,"")&amp;IF(N(AI183)&gt;0,", "&amp;A183&amp;"-"&amp;AI$2,"")&amp;IF(N(AJ183)&gt;0,", "&amp;A183&amp;"-"&amp;AJ$2,""),3,999))</f>
        <v/>
      </c>
      <c r="AN183" s="81"/>
      <c r="AO183" s="88"/>
      <c r="AP183" s="89" t="str">
        <f aca="false">IF(AO183="","",ROUND(AO183/(1+Справочники!$B$13),2))</f>
        <v/>
      </c>
      <c r="AQ183" s="90" t="str">
        <f aca="false" t="array" ref="AQ183:AQ183">IF(AP183="","",AP183*INDEX(Справочники!$B$4:$B$7,MATCH("RUB",Справочники!$A$4:$A$7,0)))</f>
        <v/>
      </c>
      <c r="AR183" s="90" t="str">
        <f aca="false">IF(AQ183="","",ROUND(AQ183*(1+Справочники!$B$12),0))</f>
        <v/>
      </c>
      <c r="AS183" s="90" t="str">
        <f aca="false">IF(AR183="","",ROUND(AR183*(1-Справочники!$B$11),0))</f>
        <v/>
      </c>
      <c r="AT183" s="88"/>
      <c r="AU183" s="90" t="str">
        <f aca="false">IF(AT183="","",ROUND(AT183/(1+Справочники!$B$12),0))</f>
        <v/>
      </c>
      <c r="AV183" s="90" t="str">
        <f aca="false">IF(AT183="","",ROUND(AT183*(1-Справочники!$B$15),0))</f>
        <v/>
      </c>
      <c r="AW183" s="90" t="str">
        <f aca="false">IF(AT183="","",ROUND(AT183*(1-Справочники!$B$16),0))</f>
        <v/>
      </c>
      <c r="AX183" s="90" t="str">
        <f aca="false">IF(AT183="","",ROUND(AT183*(1-Справочники!$B$17),0))</f>
        <v/>
      </c>
      <c r="AY183" s="90" t="str">
        <f aca="false">IF(AT183="","",ROUND(AT183*(1-Справочники!$B$18),0))</f>
        <v/>
      </c>
      <c r="AZ183" s="90" t="str">
        <f aca="false">IF(AT183="","",ROUND(AT183*(1-Справочники!$B$19),0))</f>
        <v/>
      </c>
      <c r="BA183" s="81"/>
      <c r="BB183" s="81"/>
      <c r="BC183" s="81"/>
      <c r="BD183" s="81"/>
      <c r="BE183" s="91"/>
      <c r="BF183" s="81" t="s">
        <v>103</v>
      </c>
      <c r="BG183" s="89" t="n">
        <f aca="false" t="array" ref="BG183:BG183">IF(BF183="","",IFERROR(INDEX(Справочники!$B$4:$B$7,MATCH(BF183,Справочники!$A$4:$A$7,0)),""))</f>
        <v>68.5</v>
      </c>
      <c r="BH183" s="90" t="str">
        <f aca="false">IF(N(BN183)&gt;0,ROUND(SUMIF(ЗАКАЗЫ!$F$3:$F$500,$A183,ЗАКАЗЫ!$Y$3:$Y$500)/BN183,0),IF(OR(BE183="",BG183=""),"",ROUND(BE183*BG183*(1+Справочники!$B$10),0)))</f>
        <v/>
      </c>
      <c r="BI183" s="92" t="str">
        <f aca="false">IF(OR(AU183="",BH183="",AU183=0),"",(AU183-BH183)/AU183)</f>
        <v/>
      </c>
      <c r="BJ183" s="81"/>
      <c r="BK183" s="83"/>
      <c r="BL183" s="43" t="str">
        <f aca="false">IFERROR(INDEX(ЗАКАЗЫ!$N$3:$N$500,MATCH($A183,ЗАКАЗЫ!$F$3:$F$500,0)),"")</f>
        <v/>
      </c>
      <c r="BM183" s="8" t="str">
        <f aca="false">IF(BL183="","",IFERROR(VLOOKUP(BL183,'ТН ВЭД'!$A$4:$C$40,3,0),""))</f>
        <v/>
      </c>
      <c r="BN183" s="7" t="str">
        <f aca="false">IF(COUNTIF(ЗАКАЗЫ!$F$3:$F$500,$A183)=0,"",SUMIF(ЗАКАЗЫ!$F$3:$F$500,$A183,ЗАКАЗЫ!$J$3:$J$500))</f>
        <v/>
      </c>
      <c r="BO183" s="7" t="str">
        <f aca="false">IF(BN183="","",SUMIF(ЗАКАЗЫ!$F$3:$F$500,$A183,ЗАКАЗЫ!$AL$3:$AL$500))</f>
        <v/>
      </c>
      <c r="BP183" s="7" t="str">
        <f aca="false">IF(BN183="","",BN183-BO183)</f>
        <v/>
      </c>
      <c r="BQ183" s="55" t="str">
        <f aca="false">IF(BN183="","",IF(BO183&gt;=BN183,"На складе",IF(BO183&gt;0,"Частично","Ждём")))</f>
        <v/>
      </c>
      <c r="BR183" s="43"/>
      <c r="BS183" s="47" t="str">
        <f aca="false">IF(BN183="","",IF(_xlfn.MAXIFS(ЗАКАЗЫ!$AK$3:$AK$500,ЗАКАЗЫ!$F$3:$F$500,$A183)=0,"",_xlfn.MAXIFS(ЗАКАЗЫ!$AK$3:$AK$500,ЗАКАЗЫ!$F$3:$F$500,$A183)))</f>
        <v/>
      </c>
    </row>
    <row r="184" customFormat="false" ht="15.75" hidden="false" customHeight="true" outlineLevel="0" collapsed="false">
      <c r="A184" s="80" t="s">
        <v>1707</v>
      </c>
      <c r="B184" s="81"/>
      <c r="C184" s="81"/>
      <c r="D184" s="81"/>
      <c r="E184" s="83"/>
      <c r="F184" s="81"/>
      <c r="G184" s="83"/>
      <c r="H184" s="83"/>
      <c r="I184" s="84" t="str">
        <f aca="false">IF(E184="","",A184&amp;"_1.jpg")</f>
        <v/>
      </c>
      <c r="J184" s="84" t="str">
        <f aca="false">IF(E184="","",A184&amp;"_2.jpg; "&amp;A184&amp;"_3.jpg")</f>
        <v/>
      </c>
      <c r="K184" s="84" t="str">
        <f aca="false">IF(E184="","",A184&amp;"_schema.jpg")</f>
        <v/>
      </c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 t="s">
        <v>96</v>
      </c>
      <c r="W184" s="81"/>
      <c r="X184" s="81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6" t="str">
        <f aca="false">IF(SUM(Y184:AJ184)=0,"",SUM(Y184:AJ184))</f>
        <v/>
      </c>
      <c r="AL184" s="84" t="str">
        <f aca="false">MID(IF(N(Y184)&gt;0,", "&amp;Y$2,"")&amp;IF(N(Z184)&gt;0,", "&amp;Z$2,"")&amp;IF(N(AA184)&gt;0,", "&amp;AA$2,"")&amp;IF(N(AB184)&gt;0,", "&amp;AB$2,"")&amp;IF(N(AC184)&gt;0,", "&amp;AC$2,"")&amp;IF(N(AD184)&gt;0,", "&amp;AD$2,"")&amp;IF(N(AE184)&gt;0,", "&amp;AE$2,"")&amp;IF(N(AF184)&gt;0,", "&amp;AF$2,"")&amp;IF(N(AG184)&gt;0,", "&amp;AG$2,"")&amp;IF(N(AH184)&gt;0,", "&amp;AH$2,"")&amp;IF(N(AI184)&gt;0,", "&amp;AI$2,"")&amp;IF(N(AJ184)&gt;0,", "&amp;AJ$2,""),3,999)</f>
        <v/>
      </c>
      <c r="AM184" s="87" t="str">
        <f aca="false">IF(E184="","",MID(IF(N(Y184)&gt;0,", "&amp;A184&amp;"-"&amp;Y$2,"")&amp;IF(N(Z184)&gt;0,", "&amp;A184&amp;"-"&amp;Z$2,"")&amp;IF(N(AA184)&gt;0,", "&amp;A184&amp;"-"&amp;AA$2,"")&amp;IF(N(AB184)&gt;0,", "&amp;A184&amp;"-"&amp;AB$2,"")&amp;IF(N(AC184)&gt;0,", "&amp;A184&amp;"-"&amp;AC$2,"")&amp;IF(N(AD184)&gt;0,", "&amp;A184&amp;"-"&amp;AD$2,"")&amp;IF(N(AE184)&gt;0,", "&amp;A184&amp;"-"&amp;AE$2,"")&amp;IF(N(AF184)&gt;0,", "&amp;A184&amp;"-"&amp;AF$2,"")&amp;IF(N(AG184)&gt;0,", "&amp;A184&amp;"-"&amp;AG$2,"")&amp;IF(N(AH184)&gt;0,", "&amp;A184&amp;"-"&amp;AH$2,"")&amp;IF(N(AI184)&gt;0,", "&amp;A184&amp;"-"&amp;AI$2,"")&amp;IF(N(AJ184)&gt;0,", "&amp;A184&amp;"-"&amp;AJ$2,""),3,999))</f>
        <v/>
      </c>
      <c r="AN184" s="81"/>
      <c r="AO184" s="88"/>
      <c r="AP184" s="89" t="str">
        <f aca="false">IF(AO184="","",ROUND(AO184/(1+Справочники!$B$13),2))</f>
        <v/>
      </c>
      <c r="AQ184" s="90" t="str">
        <f aca="false" t="array" ref="AQ184:AQ184">IF(AP184="","",AP184*INDEX(Справочники!$B$4:$B$7,MATCH("RUB",Справочники!$A$4:$A$7,0)))</f>
        <v/>
      </c>
      <c r="AR184" s="90" t="str">
        <f aca="false">IF(AQ184="","",ROUND(AQ184*(1+Справочники!$B$12),0))</f>
        <v/>
      </c>
      <c r="AS184" s="90" t="str">
        <f aca="false">IF(AR184="","",ROUND(AR184*(1-Справочники!$B$11),0))</f>
        <v/>
      </c>
      <c r="AT184" s="88"/>
      <c r="AU184" s="90" t="str">
        <f aca="false">IF(AT184="","",ROUND(AT184/(1+Справочники!$B$12),0))</f>
        <v/>
      </c>
      <c r="AV184" s="90" t="str">
        <f aca="false">IF(AT184="","",ROUND(AT184*(1-Справочники!$B$15),0))</f>
        <v/>
      </c>
      <c r="AW184" s="90" t="str">
        <f aca="false">IF(AT184="","",ROUND(AT184*(1-Справочники!$B$16),0))</f>
        <v/>
      </c>
      <c r="AX184" s="90" t="str">
        <f aca="false">IF(AT184="","",ROUND(AT184*(1-Справочники!$B$17),0))</f>
        <v/>
      </c>
      <c r="AY184" s="90" t="str">
        <f aca="false">IF(AT184="","",ROUND(AT184*(1-Справочники!$B$18),0))</f>
        <v/>
      </c>
      <c r="AZ184" s="90" t="str">
        <f aca="false">IF(AT184="","",ROUND(AT184*(1-Справочники!$B$19),0))</f>
        <v/>
      </c>
      <c r="BA184" s="81"/>
      <c r="BB184" s="81"/>
      <c r="BC184" s="81"/>
      <c r="BD184" s="81"/>
      <c r="BE184" s="91"/>
      <c r="BF184" s="81" t="s">
        <v>103</v>
      </c>
      <c r="BG184" s="89" t="n">
        <f aca="false" t="array" ref="BG184:BG184">IF(BF184="","",IFERROR(INDEX(Справочники!$B$4:$B$7,MATCH(BF184,Справочники!$A$4:$A$7,0)),""))</f>
        <v>68.5</v>
      </c>
      <c r="BH184" s="90" t="str">
        <f aca="false">IF(N(BN184)&gt;0,ROUND(SUMIF(ЗАКАЗЫ!$F$3:$F$500,$A184,ЗАКАЗЫ!$Y$3:$Y$500)/BN184,0),IF(OR(BE184="",BG184=""),"",ROUND(BE184*BG184*(1+Справочники!$B$10),0)))</f>
        <v/>
      </c>
      <c r="BI184" s="92" t="str">
        <f aca="false">IF(OR(AU184="",BH184="",AU184=0),"",(AU184-BH184)/AU184)</f>
        <v/>
      </c>
      <c r="BJ184" s="81"/>
      <c r="BK184" s="83"/>
      <c r="BL184" s="43" t="str">
        <f aca="false">IFERROR(INDEX(ЗАКАЗЫ!$N$3:$N$500,MATCH($A184,ЗАКАЗЫ!$F$3:$F$500,0)),"")</f>
        <v/>
      </c>
      <c r="BM184" s="8" t="str">
        <f aca="false">IF(BL184="","",IFERROR(VLOOKUP(BL184,'ТН ВЭД'!$A$4:$C$40,3,0),""))</f>
        <v/>
      </c>
      <c r="BN184" s="7" t="str">
        <f aca="false">IF(COUNTIF(ЗАКАЗЫ!$F$3:$F$500,$A184)=0,"",SUMIF(ЗАКАЗЫ!$F$3:$F$500,$A184,ЗАКАЗЫ!$J$3:$J$500))</f>
        <v/>
      </c>
      <c r="BO184" s="7" t="str">
        <f aca="false">IF(BN184="","",SUMIF(ЗАКАЗЫ!$F$3:$F$500,$A184,ЗАКАЗЫ!$AL$3:$AL$500))</f>
        <v/>
      </c>
      <c r="BP184" s="7" t="str">
        <f aca="false">IF(BN184="","",BN184-BO184)</f>
        <v/>
      </c>
      <c r="BQ184" s="55" t="str">
        <f aca="false">IF(BN184="","",IF(BO184&gt;=BN184,"На складе",IF(BO184&gt;0,"Частично","Ждём")))</f>
        <v/>
      </c>
      <c r="BR184" s="43"/>
      <c r="BS184" s="47" t="str">
        <f aca="false">IF(BN184="","",IF(_xlfn.MAXIFS(ЗАКАЗЫ!$AK$3:$AK$500,ЗАКАЗЫ!$F$3:$F$500,$A184)=0,"",_xlfn.MAXIFS(ЗАКАЗЫ!$AK$3:$AK$500,ЗАКАЗЫ!$F$3:$F$500,$A184)))</f>
        <v/>
      </c>
    </row>
    <row r="185" customFormat="false" ht="15.75" hidden="false" customHeight="true" outlineLevel="0" collapsed="false">
      <c r="A185" s="80" t="s">
        <v>1708</v>
      </c>
      <c r="B185" s="81"/>
      <c r="C185" s="81"/>
      <c r="D185" s="81"/>
      <c r="E185" s="83"/>
      <c r="F185" s="81"/>
      <c r="G185" s="83"/>
      <c r="H185" s="83"/>
      <c r="I185" s="84" t="str">
        <f aca="false">IF(E185="","",A185&amp;"_1.jpg")</f>
        <v/>
      </c>
      <c r="J185" s="84" t="str">
        <f aca="false">IF(E185="","",A185&amp;"_2.jpg; "&amp;A185&amp;"_3.jpg")</f>
        <v/>
      </c>
      <c r="K185" s="84" t="str">
        <f aca="false">IF(E185="","",A185&amp;"_schema.jpg")</f>
        <v/>
      </c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 t="s">
        <v>96</v>
      </c>
      <c r="W185" s="81"/>
      <c r="X185" s="81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6" t="str">
        <f aca="false">IF(SUM(Y185:AJ185)=0,"",SUM(Y185:AJ185))</f>
        <v/>
      </c>
      <c r="AL185" s="84" t="str">
        <f aca="false">MID(IF(N(Y185)&gt;0,", "&amp;Y$2,"")&amp;IF(N(Z185)&gt;0,", "&amp;Z$2,"")&amp;IF(N(AA185)&gt;0,", "&amp;AA$2,"")&amp;IF(N(AB185)&gt;0,", "&amp;AB$2,"")&amp;IF(N(AC185)&gt;0,", "&amp;AC$2,"")&amp;IF(N(AD185)&gt;0,", "&amp;AD$2,"")&amp;IF(N(AE185)&gt;0,", "&amp;AE$2,"")&amp;IF(N(AF185)&gt;0,", "&amp;AF$2,"")&amp;IF(N(AG185)&gt;0,", "&amp;AG$2,"")&amp;IF(N(AH185)&gt;0,", "&amp;AH$2,"")&amp;IF(N(AI185)&gt;0,", "&amp;AI$2,"")&amp;IF(N(AJ185)&gt;0,", "&amp;AJ$2,""),3,999)</f>
        <v/>
      </c>
      <c r="AM185" s="87" t="str">
        <f aca="false">IF(E185="","",MID(IF(N(Y185)&gt;0,", "&amp;A185&amp;"-"&amp;Y$2,"")&amp;IF(N(Z185)&gt;0,", "&amp;A185&amp;"-"&amp;Z$2,"")&amp;IF(N(AA185)&gt;0,", "&amp;A185&amp;"-"&amp;AA$2,"")&amp;IF(N(AB185)&gt;0,", "&amp;A185&amp;"-"&amp;AB$2,"")&amp;IF(N(AC185)&gt;0,", "&amp;A185&amp;"-"&amp;AC$2,"")&amp;IF(N(AD185)&gt;0,", "&amp;A185&amp;"-"&amp;AD$2,"")&amp;IF(N(AE185)&gt;0,", "&amp;A185&amp;"-"&amp;AE$2,"")&amp;IF(N(AF185)&gt;0,", "&amp;A185&amp;"-"&amp;AF$2,"")&amp;IF(N(AG185)&gt;0,", "&amp;A185&amp;"-"&amp;AG$2,"")&amp;IF(N(AH185)&gt;0,", "&amp;A185&amp;"-"&amp;AH$2,"")&amp;IF(N(AI185)&gt;0,", "&amp;A185&amp;"-"&amp;AI$2,"")&amp;IF(N(AJ185)&gt;0,", "&amp;A185&amp;"-"&amp;AJ$2,""),3,999))</f>
        <v/>
      </c>
      <c r="AN185" s="81"/>
      <c r="AO185" s="88"/>
      <c r="AP185" s="89" t="str">
        <f aca="false">IF(AO185="","",ROUND(AO185/(1+Справочники!$B$13),2))</f>
        <v/>
      </c>
      <c r="AQ185" s="90" t="str">
        <f aca="false" t="array" ref="AQ185:AQ185">IF(AP185="","",AP185*INDEX(Справочники!$B$4:$B$7,MATCH("RUB",Справочники!$A$4:$A$7,0)))</f>
        <v/>
      </c>
      <c r="AR185" s="90" t="str">
        <f aca="false">IF(AQ185="","",ROUND(AQ185*(1+Справочники!$B$12),0))</f>
        <v/>
      </c>
      <c r="AS185" s="90" t="str">
        <f aca="false">IF(AR185="","",ROUND(AR185*(1-Справочники!$B$11),0))</f>
        <v/>
      </c>
      <c r="AT185" s="88"/>
      <c r="AU185" s="90" t="str">
        <f aca="false">IF(AT185="","",ROUND(AT185/(1+Справочники!$B$12),0))</f>
        <v/>
      </c>
      <c r="AV185" s="90" t="str">
        <f aca="false">IF(AT185="","",ROUND(AT185*(1-Справочники!$B$15),0))</f>
        <v/>
      </c>
      <c r="AW185" s="90" t="str">
        <f aca="false">IF(AT185="","",ROUND(AT185*(1-Справочники!$B$16),0))</f>
        <v/>
      </c>
      <c r="AX185" s="90" t="str">
        <f aca="false">IF(AT185="","",ROUND(AT185*(1-Справочники!$B$17),0))</f>
        <v/>
      </c>
      <c r="AY185" s="90" t="str">
        <f aca="false">IF(AT185="","",ROUND(AT185*(1-Справочники!$B$18),0))</f>
        <v/>
      </c>
      <c r="AZ185" s="90" t="str">
        <f aca="false">IF(AT185="","",ROUND(AT185*(1-Справочники!$B$19),0))</f>
        <v/>
      </c>
      <c r="BA185" s="81"/>
      <c r="BB185" s="81"/>
      <c r="BC185" s="81"/>
      <c r="BD185" s="81"/>
      <c r="BE185" s="91"/>
      <c r="BF185" s="81" t="s">
        <v>103</v>
      </c>
      <c r="BG185" s="89" t="n">
        <f aca="false" t="array" ref="BG185:BG185">IF(BF185="","",IFERROR(INDEX(Справочники!$B$4:$B$7,MATCH(BF185,Справочники!$A$4:$A$7,0)),""))</f>
        <v>68.5</v>
      </c>
      <c r="BH185" s="90" t="str">
        <f aca="false">IF(N(BN185)&gt;0,ROUND(SUMIF(ЗАКАЗЫ!$F$3:$F$500,$A185,ЗАКАЗЫ!$Y$3:$Y$500)/BN185,0),IF(OR(BE185="",BG185=""),"",ROUND(BE185*BG185*(1+Справочники!$B$10),0)))</f>
        <v/>
      </c>
      <c r="BI185" s="92" t="str">
        <f aca="false">IF(OR(AU185="",BH185="",AU185=0),"",(AU185-BH185)/AU185)</f>
        <v/>
      </c>
      <c r="BJ185" s="81"/>
      <c r="BK185" s="83"/>
      <c r="BL185" s="43" t="str">
        <f aca="false">IFERROR(INDEX(ЗАКАЗЫ!$N$3:$N$500,MATCH($A185,ЗАКАЗЫ!$F$3:$F$500,0)),"")</f>
        <v/>
      </c>
      <c r="BM185" s="8" t="str">
        <f aca="false">IF(BL185="","",IFERROR(VLOOKUP(BL185,'ТН ВЭД'!$A$4:$C$40,3,0),""))</f>
        <v/>
      </c>
      <c r="BN185" s="7" t="str">
        <f aca="false">IF(COUNTIF(ЗАКАЗЫ!$F$3:$F$500,$A185)=0,"",SUMIF(ЗАКАЗЫ!$F$3:$F$500,$A185,ЗАКАЗЫ!$J$3:$J$500))</f>
        <v/>
      </c>
      <c r="BO185" s="7" t="str">
        <f aca="false">IF(BN185="","",SUMIF(ЗАКАЗЫ!$F$3:$F$500,$A185,ЗАКАЗЫ!$AL$3:$AL$500))</f>
        <v/>
      </c>
      <c r="BP185" s="7" t="str">
        <f aca="false">IF(BN185="","",BN185-BO185)</f>
        <v/>
      </c>
      <c r="BQ185" s="55" t="str">
        <f aca="false">IF(BN185="","",IF(BO185&gt;=BN185,"На складе",IF(BO185&gt;0,"Частично","Ждём")))</f>
        <v/>
      </c>
      <c r="BR185" s="43"/>
      <c r="BS185" s="47" t="str">
        <f aca="false">IF(BN185="","",IF(_xlfn.MAXIFS(ЗАКАЗЫ!$AK$3:$AK$500,ЗАКАЗЫ!$F$3:$F$500,$A185)=0,"",_xlfn.MAXIFS(ЗАКАЗЫ!$AK$3:$AK$500,ЗАКАЗЫ!$F$3:$F$500,$A185)))</f>
        <v/>
      </c>
    </row>
    <row r="186" customFormat="false" ht="15.75" hidden="false" customHeight="true" outlineLevel="0" collapsed="false">
      <c r="A186" s="80" t="s">
        <v>1709</v>
      </c>
      <c r="B186" s="81"/>
      <c r="C186" s="81"/>
      <c r="D186" s="81"/>
      <c r="E186" s="83"/>
      <c r="F186" s="81"/>
      <c r="G186" s="83"/>
      <c r="H186" s="83"/>
      <c r="I186" s="84" t="str">
        <f aca="false">IF(E186="","",A186&amp;"_1.jpg")</f>
        <v/>
      </c>
      <c r="J186" s="84" t="str">
        <f aca="false">IF(E186="","",A186&amp;"_2.jpg; "&amp;A186&amp;"_3.jpg")</f>
        <v/>
      </c>
      <c r="K186" s="84" t="str">
        <f aca="false">IF(E186="","",A186&amp;"_schema.jpg")</f>
        <v/>
      </c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 t="s">
        <v>96</v>
      </c>
      <c r="W186" s="81"/>
      <c r="X186" s="81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6" t="str">
        <f aca="false">IF(SUM(Y186:AJ186)=0,"",SUM(Y186:AJ186))</f>
        <v/>
      </c>
      <c r="AL186" s="84" t="str">
        <f aca="false">MID(IF(N(Y186)&gt;0,", "&amp;Y$2,"")&amp;IF(N(Z186)&gt;0,", "&amp;Z$2,"")&amp;IF(N(AA186)&gt;0,", "&amp;AA$2,"")&amp;IF(N(AB186)&gt;0,", "&amp;AB$2,"")&amp;IF(N(AC186)&gt;0,", "&amp;AC$2,"")&amp;IF(N(AD186)&gt;0,", "&amp;AD$2,"")&amp;IF(N(AE186)&gt;0,", "&amp;AE$2,"")&amp;IF(N(AF186)&gt;0,", "&amp;AF$2,"")&amp;IF(N(AG186)&gt;0,", "&amp;AG$2,"")&amp;IF(N(AH186)&gt;0,", "&amp;AH$2,"")&amp;IF(N(AI186)&gt;0,", "&amp;AI$2,"")&amp;IF(N(AJ186)&gt;0,", "&amp;AJ$2,""),3,999)</f>
        <v/>
      </c>
      <c r="AM186" s="87" t="str">
        <f aca="false">IF(E186="","",MID(IF(N(Y186)&gt;0,", "&amp;A186&amp;"-"&amp;Y$2,"")&amp;IF(N(Z186)&gt;0,", "&amp;A186&amp;"-"&amp;Z$2,"")&amp;IF(N(AA186)&gt;0,", "&amp;A186&amp;"-"&amp;AA$2,"")&amp;IF(N(AB186)&gt;0,", "&amp;A186&amp;"-"&amp;AB$2,"")&amp;IF(N(AC186)&gt;0,", "&amp;A186&amp;"-"&amp;AC$2,"")&amp;IF(N(AD186)&gt;0,", "&amp;A186&amp;"-"&amp;AD$2,"")&amp;IF(N(AE186)&gt;0,", "&amp;A186&amp;"-"&amp;AE$2,"")&amp;IF(N(AF186)&gt;0,", "&amp;A186&amp;"-"&amp;AF$2,"")&amp;IF(N(AG186)&gt;0,", "&amp;A186&amp;"-"&amp;AG$2,"")&amp;IF(N(AH186)&gt;0,", "&amp;A186&amp;"-"&amp;AH$2,"")&amp;IF(N(AI186)&gt;0,", "&amp;A186&amp;"-"&amp;AI$2,"")&amp;IF(N(AJ186)&gt;0,", "&amp;A186&amp;"-"&amp;AJ$2,""),3,999))</f>
        <v/>
      </c>
      <c r="AN186" s="81"/>
      <c r="AO186" s="88"/>
      <c r="AP186" s="89" t="str">
        <f aca="false">IF(AO186="","",ROUND(AO186/(1+Справочники!$B$13),2))</f>
        <v/>
      </c>
      <c r="AQ186" s="90" t="str">
        <f aca="false" t="array" ref="AQ186:AQ186">IF(AP186="","",AP186*INDEX(Справочники!$B$4:$B$7,MATCH("RUB",Справочники!$A$4:$A$7,0)))</f>
        <v/>
      </c>
      <c r="AR186" s="90" t="str">
        <f aca="false">IF(AQ186="","",ROUND(AQ186*(1+Справочники!$B$12),0))</f>
        <v/>
      </c>
      <c r="AS186" s="90" t="str">
        <f aca="false">IF(AR186="","",ROUND(AR186*(1-Справочники!$B$11),0))</f>
        <v/>
      </c>
      <c r="AT186" s="88"/>
      <c r="AU186" s="90" t="str">
        <f aca="false">IF(AT186="","",ROUND(AT186/(1+Справочники!$B$12),0))</f>
        <v/>
      </c>
      <c r="AV186" s="90" t="str">
        <f aca="false">IF(AT186="","",ROUND(AT186*(1-Справочники!$B$15),0))</f>
        <v/>
      </c>
      <c r="AW186" s="90" t="str">
        <f aca="false">IF(AT186="","",ROUND(AT186*(1-Справочники!$B$16),0))</f>
        <v/>
      </c>
      <c r="AX186" s="90" t="str">
        <f aca="false">IF(AT186="","",ROUND(AT186*(1-Справочники!$B$17),0))</f>
        <v/>
      </c>
      <c r="AY186" s="90" t="str">
        <f aca="false">IF(AT186="","",ROUND(AT186*(1-Справочники!$B$18),0))</f>
        <v/>
      </c>
      <c r="AZ186" s="90" t="str">
        <f aca="false">IF(AT186="","",ROUND(AT186*(1-Справочники!$B$19),0))</f>
        <v/>
      </c>
      <c r="BA186" s="81"/>
      <c r="BB186" s="81"/>
      <c r="BC186" s="81"/>
      <c r="BD186" s="81"/>
      <c r="BE186" s="91"/>
      <c r="BF186" s="81" t="s">
        <v>103</v>
      </c>
      <c r="BG186" s="89" t="n">
        <f aca="false" t="array" ref="BG186:BG186">IF(BF186="","",IFERROR(INDEX(Справочники!$B$4:$B$7,MATCH(BF186,Справочники!$A$4:$A$7,0)),""))</f>
        <v>68.5</v>
      </c>
      <c r="BH186" s="90" t="str">
        <f aca="false">IF(N(BN186)&gt;0,ROUND(SUMIF(ЗАКАЗЫ!$F$3:$F$500,$A186,ЗАКАЗЫ!$Y$3:$Y$500)/BN186,0),IF(OR(BE186="",BG186=""),"",ROUND(BE186*BG186*(1+Справочники!$B$10),0)))</f>
        <v/>
      </c>
      <c r="BI186" s="92" t="str">
        <f aca="false">IF(OR(AU186="",BH186="",AU186=0),"",(AU186-BH186)/AU186)</f>
        <v/>
      </c>
      <c r="BJ186" s="81"/>
      <c r="BK186" s="83"/>
      <c r="BL186" s="43" t="str">
        <f aca="false">IFERROR(INDEX(ЗАКАЗЫ!$N$3:$N$500,MATCH($A186,ЗАКАЗЫ!$F$3:$F$500,0)),"")</f>
        <v/>
      </c>
      <c r="BM186" s="8" t="str">
        <f aca="false">IF(BL186="","",IFERROR(VLOOKUP(BL186,'ТН ВЭД'!$A$4:$C$40,3,0),""))</f>
        <v/>
      </c>
      <c r="BN186" s="7" t="str">
        <f aca="false">IF(COUNTIF(ЗАКАЗЫ!$F$3:$F$500,$A186)=0,"",SUMIF(ЗАКАЗЫ!$F$3:$F$500,$A186,ЗАКАЗЫ!$J$3:$J$500))</f>
        <v/>
      </c>
      <c r="BO186" s="7" t="str">
        <f aca="false">IF(BN186="","",SUMIF(ЗАКАЗЫ!$F$3:$F$500,$A186,ЗАКАЗЫ!$AL$3:$AL$500))</f>
        <v/>
      </c>
      <c r="BP186" s="7" t="str">
        <f aca="false">IF(BN186="","",BN186-BO186)</f>
        <v/>
      </c>
      <c r="BQ186" s="55" t="str">
        <f aca="false">IF(BN186="","",IF(BO186&gt;=BN186,"На складе",IF(BO186&gt;0,"Частично","Ждём")))</f>
        <v/>
      </c>
      <c r="BR186" s="43"/>
      <c r="BS186" s="47" t="str">
        <f aca="false">IF(BN186="","",IF(_xlfn.MAXIFS(ЗАКАЗЫ!$AK$3:$AK$500,ЗАКАЗЫ!$F$3:$F$500,$A186)=0,"",_xlfn.MAXIFS(ЗАКАЗЫ!$AK$3:$AK$500,ЗАКАЗЫ!$F$3:$F$500,$A186)))</f>
        <v/>
      </c>
    </row>
    <row r="187" customFormat="false" ht="15.75" hidden="false" customHeight="true" outlineLevel="0" collapsed="false">
      <c r="A187" s="80" t="s">
        <v>1710</v>
      </c>
      <c r="B187" s="81"/>
      <c r="C187" s="81"/>
      <c r="D187" s="81"/>
      <c r="E187" s="83"/>
      <c r="F187" s="81"/>
      <c r="G187" s="83"/>
      <c r="H187" s="83"/>
      <c r="I187" s="84" t="str">
        <f aca="false">IF(E187="","",A187&amp;"_1.jpg")</f>
        <v/>
      </c>
      <c r="J187" s="84" t="str">
        <f aca="false">IF(E187="","",A187&amp;"_2.jpg; "&amp;A187&amp;"_3.jpg")</f>
        <v/>
      </c>
      <c r="K187" s="84" t="str">
        <f aca="false">IF(E187="","",A187&amp;"_schema.jpg")</f>
        <v/>
      </c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 t="s">
        <v>96</v>
      </c>
      <c r="W187" s="81"/>
      <c r="X187" s="81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6" t="str">
        <f aca="false">IF(SUM(Y187:AJ187)=0,"",SUM(Y187:AJ187))</f>
        <v/>
      </c>
      <c r="AL187" s="84" t="str">
        <f aca="false">MID(IF(N(Y187)&gt;0,", "&amp;Y$2,"")&amp;IF(N(Z187)&gt;0,", "&amp;Z$2,"")&amp;IF(N(AA187)&gt;0,", "&amp;AA$2,"")&amp;IF(N(AB187)&gt;0,", "&amp;AB$2,"")&amp;IF(N(AC187)&gt;0,", "&amp;AC$2,"")&amp;IF(N(AD187)&gt;0,", "&amp;AD$2,"")&amp;IF(N(AE187)&gt;0,", "&amp;AE$2,"")&amp;IF(N(AF187)&gt;0,", "&amp;AF$2,"")&amp;IF(N(AG187)&gt;0,", "&amp;AG$2,"")&amp;IF(N(AH187)&gt;0,", "&amp;AH$2,"")&amp;IF(N(AI187)&gt;0,", "&amp;AI$2,"")&amp;IF(N(AJ187)&gt;0,", "&amp;AJ$2,""),3,999)</f>
        <v/>
      </c>
      <c r="AM187" s="87" t="str">
        <f aca="false">IF(E187="","",MID(IF(N(Y187)&gt;0,", "&amp;A187&amp;"-"&amp;Y$2,"")&amp;IF(N(Z187)&gt;0,", "&amp;A187&amp;"-"&amp;Z$2,"")&amp;IF(N(AA187)&gt;0,", "&amp;A187&amp;"-"&amp;AA$2,"")&amp;IF(N(AB187)&gt;0,", "&amp;A187&amp;"-"&amp;AB$2,"")&amp;IF(N(AC187)&gt;0,", "&amp;A187&amp;"-"&amp;AC$2,"")&amp;IF(N(AD187)&gt;0,", "&amp;A187&amp;"-"&amp;AD$2,"")&amp;IF(N(AE187)&gt;0,", "&amp;A187&amp;"-"&amp;AE$2,"")&amp;IF(N(AF187)&gt;0,", "&amp;A187&amp;"-"&amp;AF$2,"")&amp;IF(N(AG187)&gt;0,", "&amp;A187&amp;"-"&amp;AG$2,"")&amp;IF(N(AH187)&gt;0,", "&amp;A187&amp;"-"&amp;AH$2,"")&amp;IF(N(AI187)&gt;0,", "&amp;A187&amp;"-"&amp;AI$2,"")&amp;IF(N(AJ187)&gt;0,", "&amp;A187&amp;"-"&amp;AJ$2,""),3,999))</f>
        <v/>
      </c>
      <c r="AN187" s="81"/>
      <c r="AO187" s="88"/>
      <c r="AP187" s="89" t="str">
        <f aca="false">IF(AO187="","",ROUND(AO187/(1+Справочники!$B$13),2))</f>
        <v/>
      </c>
      <c r="AQ187" s="90" t="str">
        <f aca="false" t="array" ref="AQ187:AQ187">IF(AP187="","",AP187*INDEX(Справочники!$B$4:$B$7,MATCH("RUB",Справочники!$A$4:$A$7,0)))</f>
        <v/>
      </c>
      <c r="AR187" s="90" t="str">
        <f aca="false">IF(AQ187="","",ROUND(AQ187*(1+Справочники!$B$12),0))</f>
        <v/>
      </c>
      <c r="AS187" s="90" t="str">
        <f aca="false">IF(AR187="","",ROUND(AR187*(1-Справочники!$B$11),0))</f>
        <v/>
      </c>
      <c r="AT187" s="88"/>
      <c r="AU187" s="90" t="str">
        <f aca="false">IF(AT187="","",ROUND(AT187/(1+Справочники!$B$12),0))</f>
        <v/>
      </c>
      <c r="AV187" s="90" t="str">
        <f aca="false">IF(AT187="","",ROUND(AT187*(1-Справочники!$B$15),0))</f>
        <v/>
      </c>
      <c r="AW187" s="90" t="str">
        <f aca="false">IF(AT187="","",ROUND(AT187*(1-Справочники!$B$16),0))</f>
        <v/>
      </c>
      <c r="AX187" s="90" t="str">
        <f aca="false">IF(AT187="","",ROUND(AT187*(1-Справочники!$B$17),0))</f>
        <v/>
      </c>
      <c r="AY187" s="90" t="str">
        <f aca="false">IF(AT187="","",ROUND(AT187*(1-Справочники!$B$18),0))</f>
        <v/>
      </c>
      <c r="AZ187" s="90" t="str">
        <f aca="false">IF(AT187="","",ROUND(AT187*(1-Справочники!$B$19),0))</f>
        <v/>
      </c>
      <c r="BA187" s="81"/>
      <c r="BB187" s="81"/>
      <c r="BC187" s="81"/>
      <c r="BD187" s="81"/>
      <c r="BE187" s="91"/>
      <c r="BF187" s="81" t="s">
        <v>103</v>
      </c>
      <c r="BG187" s="89" t="n">
        <f aca="false" t="array" ref="BG187:BG187">IF(BF187="","",IFERROR(INDEX(Справочники!$B$4:$B$7,MATCH(BF187,Справочники!$A$4:$A$7,0)),""))</f>
        <v>68.5</v>
      </c>
      <c r="BH187" s="90" t="str">
        <f aca="false">IF(N(BN187)&gt;0,ROUND(SUMIF(ЗАКАЗЫ!$F$3:$F$500,$A187,ЗАКАЗЫ!$Y$3:$Y$500)/BN187,0),IF(OR(BE187="",BG187=""),"",ROUND(BE187*BG187*(1+Справочники!$B$10),0)))</f>
        <v/>
      </c>
      <c r="BI187" s="92" t="str">
        <f aca="false">IF(OR(AU187="",BH187="",AU187=0),"",(AU187-BH187)/AU187)</f>
        <v/>
      </c>
      <c r="BJ187" s="81"/>
      <c r="BK187" s="83"/>
      <c r="BL187" s="43" t="str">
        <f aca="false">IFERROR(INDEX(ЗАКАЗЫ!$N$3:$N$500,MATCH($A187,ЗАКАЗЫ!$F$3:$F$500,0)),"")</f>
        <v/>
      </c>
      <c r="BM187" s="8" t="str">
        <f aca="false">IF(BL187="","",IFERROR(VLOOKUP(BL187,'ТН ВЭД'!$A$4:$C$40,3,0),""))</f>
        <v/>
      </c>
      <c r="BN187" s="7" t="str">
        <f aca="false">IF(COUNTIF(ЗАКАЗЫ!$F$3:$F$500,$A187)=0,"",SUMIF(ЗАКАЗЫ!$F$3:$F$500,$A187,ЗАКАЗЫ!$J$3:$J$500))</f>
        <v/>
      </c>
      <c r="BO187" s="7" t="str">
        <f aca="false">IF(BN187="","",SUMIF(ЗАКАЗЫ!$F$3:$F$500,$A187,ЗАКАЗЫ!$AL$3:$AL$500))</f>
        <v/>
      </c>
      <c r="BP187" s="7" t="str">
        <f aca="false">IF(BN187="","",BN187-BO187)</f>
        <v/>
      </c>
      <c r="BQ187" s="55" t="str">
        <f aca="false">IF(BN187="","",IF(BO187&gt;=BN187,"На складе",IF(BO187&gt;0,"Частично","Ждём")))</f>
        <v/>
      </c>
      <c r="BR187" s="43"/>
      <c r="BS187" s="47" t="str">
        <f aca="false">IF(BN187="","",IF(_xlfn.MAXIFS(ЗАКАЗЫ!$AK$3:$AK$500,ЗАКАЗЫ!$F$3:$F$500,$A187)=0,"",_xlfn.MAXIFS(ЗАКАЗЫ!$AK$3:$AK$500,ЗАКАЗЫ!$F$3:$F$500,$A187)))</f>
        <v/>
      </c>
    </row>
    <row r="188" customFormat="false" ht="15.75" hidden="false" customHeight="true" outlineLevel="0" collapsed="false">
      <c r="A188" s="80" t="s">
        <v>1711</v>
      </c>
      <c r="B188" s="81"/>
      <c r="C188" s="81"/>
      <c r="D188" s="81"/>
      <c r="E188" s="83"/>
      <c r="F188" s="81"/>
      <c r="G188" s="83"/>
      <c r="H188" s="83"/>
      <c r="I188" s="84" t="str">
        <f aca="false">IF(E188="","",A188&amp;"_1.jpg")</f>
        <v/>
      </c>
      <c r="J188" s="84" t="str">
        <f aca="false">IF(E188="","",A188&amp;"_2.jpg; "&amp;A188&amp;"_3.jpg")</f>
        <v/>
      </c>
      <c r="K188" s="84" t="str">
        <f aca="false">IF(E188="","",A188&amp;"_schema.jpg")</f>
        <v/>
      </c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 t="s">
        <v>96</v>
      </c>
      <c r="W188" s="81"/>
      <c r="X188" s="81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6" t="str">
        <f aca="false">IF(SUM(Y188:AJ188)=0,"",SUM(Y188:AJ188))</f>
        <v/>
      </c>
      <c r="AL188" s="84" t="str">
        <f aca="false">MID(IF(N(Y188)&gt;0,", "&amp;Y$2,"")&amp;IF(N(Z188)&gt;0,", "&amp;Z$2,"")&amp;IF(N(AA188)&gt;0,", "&amp;AA$2,"")&amp;IF(N(AB188)&gt;0,", "&amp;AB$2,"")&amp;IF(N(AC188)&gt;0,", "&amp;AC$2,"")&amp;IF(N(AD188)&gt;0,", "&amp;AD$2,"")&amp;IF(N(AE188)&gt;0,", "&amp;AE$2,"")&amp;IF(N(AF188)&gt;0,", "&amp;AF$2,"")&amp;IF(N(AG188)&gt;0,", "&amp;AG$2,"")&amp;IF(N(AH188)&gt;0,", "&amp;AH$2,"")&amp;IF(N(AI188)&gt;0,", "&amp;AI$2,"")&amp;IF(N(AJ188)&gt;0,", "&amp;AJ$2,""),3,999)</f>
        <v/>
      </c>
      <c r="AM188" s="87" t="str">
        <f aca="false">IF(E188="","",MID(IF(N(Y188)&gt;0,", "&amp;A188&amp;"-"&amp;Y$2,"")&amp;IF(N(Z188)&gt;0,", "&amp;A188&amp;"-"&amp;Z$2,"")&amp;IF(N(AA188)&gt;0,", "&amp;A188&amp;"-"&amp;AA$2,"")&amp;IF(N(AB188)&gt;0,", "&amp;A188&amp;"-"&amp;AB$2,"")&amp;IF(N(AC188)&gt;0,", "&amp;A188&amp;"-"&amp;AC$2,"")&amp;IF(N(AD188)&gt;0,", "&amp;A188&amp;"-"&amp;AD$2,"")&amp;IF(N(AE188)&gt;0,", "&amp;A188&amp;"-"&amp;AE$2,"")&amp;IF(N(AF188)&gt;0,", "&amp;A188&amp;"-"&amp;AF$2,"")&amp;IF(N(AG188)&gt;0,", "&amp;A188&amp;"-"&amp;AG$2,"")&amp;IF(N(AH188)&gt;0,", "&amp;A188&amp;"-"&amp;AH$2,"")&amp;IF(N(AI188)&gt;0,", "&amp;A188&amp;"-"&amp;AI$2,"")&amp;IF(N(AJ188)&gt;0,", "&amp;A188&amp;"-"&amp;AJ$2,""),3,999))</f>
        <v/>
      </c>
      <c r="AN188" s="81"/>
      <c r="AO188" s="88"/>
      <c r="AP188" s="89" t="str">
        <f aca="false">IF(AO188="","",ROUND(AO188/(1+Справочники!$B$13),2))</f>
        <v/>
      </c>
      <c r="AQ188" s="90" t="str">
        <f aca="false" t="array" ref="AQ188:AQ188">IF(AP188="","",AP188*INDEX(Справочники!$B$4:$B$7,MATCH("RUB",Справочники!$A$4:$A$7,0)))</f>
        <v/>
      </c>
      <c r="AR188" s="90" t="str">
        <f aca="false">IF(AQ188="","",ROUND(AQ188*(1+Справочники!$B$12),0))</f>
        <v/>
      </c>
      <c r="AS188" s="90" t="str">
        <f aca="false">IF(AR188="","",ROUND(AR188*(1-Справочники!$B$11),0))</f>
        <v/>
      </c>
      <c r="AT188" s="88"/>
      <c r="AU188" s="90" t="str">
        <f aca="false">IF(AT188="","",ROUND(AT188/(1+Справочники!$B$12),0))</f>
        <v/>
      </c>
      <c r="AV188" s="90" t="str">
        <f aca="false">IF(AT188="","",ROUND(AT188*(1-Справочники!$B$15),0))</f>
        <v/>
      </c>
      <c r="AW188" s="90" t="str">
        <f aca="false">IF(AT188="","",ROUND(AT188*(1-Справочники!$B$16),0))</f>
        <v/>
      </c>
      <c r="AX188" s="90" t="str">
        <f aca="false">IF(AT188="","",ROUND(AT188*(1-Справочники!$B$17),0))</f>
        <v/>
      </c>
      <c r="AY188" s="90" t="str">
        <f aca="false">IF(AT188="","",ROUND(AT188*(1-Справочники!$B$18),0))</f>
        <v/>
      </c>
      <c r="AZ188" s="90" t="str">
        <f aca="false">IF(AT188="","",ROUND(AT188*(1-Справочники!$B$19),0))</f>
        <v/>
      </c>
      <c r="BA188" s="81"/>
      <c r="BB188" s="81"/>
      <c r="BC188" s="81"/>
      <c r="BD188" s="81"/>
      <c r="BE188" s="91"/>
      <c r="BF188" s="81" t="s">
        <v>103</v>
      </c>
      <c r="BG188" s="89" t="n">
        <f aca="false" t="array" ref="BG188:BG188">IF(BF188="","",IFERROR(INDEX(Справочники!$B$4:$B$7,MATCH(BF188,Справочники!$A$4:$A$7,0)),""))</f>
        <v>68.5</v>
      </c>
      <c r="BH188" s="90" t="str">
        <f aca="false">IF(N(BN188)&gt;0,ROUND(SUMIF(ЗАКАЗЫ!$F$3:$F$500,$A188,ЗАКАЗЫ!$Y$3:$Y$500)/BN188,0),IF(OR(BE188="",BG188=""),"",ROUND(BE188*BG188*(1+Справочники!$B$10),0)))</f>
        <v/>
      </c>
      <c r="BI188" s="92" t="str">
        <f aca="false">IF(OR(AU188="",BH188="",AU188=0),"",(AU188-BH188)/AU188)</f>
        <v/>
      </c>
      <c r="BJ188" s="81"/>
      <c r="BK188" s="83"/>
      <c r="BL188" s="43" t="str">
        <f aca="false">IFERROR(INDEX(ЗАКАЗЫ!$N$3:$N$500,MATCH($A188,ЗАКАЗЫ!$F$3:$F$500,0)),"")</f>
        <v/>
      </c>
      <c r="BM188" s="8" t="str">
        <f aca="false">IF(BL188="","",IFERROR(VLOOKUP(BL188,'ТН ВЭД'!$A$4:$C$40,3,0),""))</f>
        <v/>
      </c>
      <c r="BN188" s="7" t="str">
        <f aca="false">IF(COUNTIF(ЗАКАЗЫ!$F$3:$F$500,$A188)=0,"",SUMIF(ЗАКАЗЫ!$F$3:$F$500,$A188,ЗАКАЗЫ!$J$3:$J$500))</f>
        <v/>
      </c>
      <c r="BO188" s="7" t="str">
        <f aca="false">IF(BN188="","",SUMIF(ЗАКАЗЫ!$F$3:$F$500,$A188,ЗАКАЗЫ!$AL$3:$AL$500))</f>
        <v/>
      </c>
      <c r="BP188" s="7" t="str">
        <f aca="false">IF(BN188="","",BN188-BO188)</f>
        <v/>
      </c>
      <c r="BQ188" s="55" t="str">
        <f aca="false">IF(BN188="","",IF(BO188&gt;=BN188,"На складе",IF(BO188&gt;0,"Частично","Ждём")))</f>
        <v/>
      </c>
      <c r="BR188" s="43"/>
      <c r="BS188" s="47" t="str">
        <f aca="false">IF(BN188="","",IF(_xlfn.MAXIFS(ЗАКАЗЫ!$AK$3:$AK$500,ЗАКАЗЫ!$F$3:$F$500,$A188)=0,"",_xlfn.MAXIFS(ЗАКАЗЫ!$AK$3:$AK$500,ЗАКАЗЫ!$F$3:$F$500,$A188)))</f>
        <v/>
      </c>
    </row>
    <row r="189" customFormat="false" ht="15.75" hidden="false" customHeight="true" outlineLevel="0" collapsed="false">
      <c r="A189" s="80" t="s">
        <v>1712</v>
      </c>
      <c r="B189" s="81"/>
      <c r="C189" s="81"/>
      <c r="D189" s="81"/>
      <c r="E189" s="83"/>
      <c r="F189" s="81"/>
      <c r="G189" s="83"/>
      <c r="H189" s="83"/>
      <c r="I189" s="84" t="str">
        <f aca="false">IF(E189="","",A189&amp;"_1.jpg")</f>
        <v/>
      </c>
      <c r="J189" s="84" t="str">
        <f aca="false">IF(E189="","",A189&amp;"_2.jpg; "&amp;A189&amp;"_3.jpg")</f>
        <v/>
      </c>
      <c r="K189" s="84" t="str">
        <f aca="false">IF(E189="","",A189&amp;"_schema.jpg")</f>
        <v/>
      </c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 t="s">
        <v>96</v>
      </c>
      <c r="W189" s="81"/>
      <c r="X189" s="81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6" t="str">
        <f aca="false">IF(SUM(Y189:AJ189)=0,"",SUM(Y189:AJ189))</f>
        <v/>
      </c>
      <c r="AL189" s="84" t="str">
        <f aca="false">MID(IF(N(Y189)&gt;0,", "&amp;Y$2,"")&amp;IF(N(Z189)&gt;0,", "&amp;Z$2,"")&amp;IF(N(AA189)&gt;0,", "&amp;AA$2,"")&amp;IF(N(AB189)&gt;0,", "&amp;AB$2,"")&amp;IF(N(AC189)&gt;0,", "&amp;AC$2,"")&amp;IF(N(AD189)&gt;0,", "&amp;AD$2,"")&amp;IF(N(AE189)&gt;0,", "&amp;AE$2,"")&amp;IF(N(AF189)&gt;0,", "&amp;AF$2,"")&amp;IF(N(AG189)&gt;0,", "&amp;AG$2,"")&amp;IF(N(AH189)&gt;0,", "&amp;AH$2,"")&amp;IF(N(AI189)&gt;0,", "&amp;AI$2,"")&amp;IF(N(AJ189)&gt;0,", "&amp;AJ$2,""),3,999)</f>
        <v/>
      </c>
      <c r="AM189" s="87" t="str">
        <f aca="false">IF(E189="","",MID(IF(N(Y189)&gt;0,", "&amp;A189&amp;"-"&amp;Y$2,"")&amp;IF(N(Z189)&gt;0,", "&amp;A189&amp;"-"&amp;Z$2,"")&amp;IF(N(AA189)&gt;0,", "&amp;A189&amp;"-"&amp;AA$2,"")&amp;IF(N(AB189)&gt;0,", "&amp;A189&amp;"-"&amp;AB$2,"")&amp;IF(N(AC189)&gt;0,", "&amp;A189&amp;"-"&amp;AC$2,"")&amp;IF(N(AD189)&gt;0,", "&amp;A189&amp;"-"&amp;AD$2,"")&amp;IF(N(AE189)&gt;0,", "&amp;A189&amp;"-"&amp;AE$2,"")&amp;IF(N(AF189)&gt;0,", "&amp;A189&amp;"-"&amp;AF$2,"")&amp;IF(N(AG189)&gt;0,", "&amp;A189&amp;"-"&amp;AG$2,"")&amp;IF(N(AH189)&gt;0,", "&amp;A189&amp;"-"&amp;AH$2,"")&amp;IF(N(AI189)&gt;0,", "&amp;A189&amp;"-"&amp;AI$2,"")&amp;IF(N(AJ189)&gt;0,", "&amp;A189&amp;"-"&amp;AJ$2,""),3,999))</f>
        <v/>
      </c>
      <c r="AN189" s="81"/>
      <c r="AO189" s="88"/>
      <c r="AP189" s="89" t="str">
        <f aca="false">IF(AO189="","",ROUND(AO189/(1+Справочники!$B$13),2))</f>
        <v/>
      </c>
      <c r="AQ189" s="90" t="str">
        <f aca="false" t="array" ref="AQ189:AQ189">IF(AP189="","",AP189*INDEX(Справочники!$B$4:$B$7,MATCH("RUB",Справочники!$A$4:$A$7,0)))</f>
        <v/>
      </c>
      <c r="AR189" s="90" t="str">
        <f aca="false">IF(AQ189="","",ROUND(AQ189*(1+Справочники!$B$12),0))</f>
        <v/>
      </c>
      <c r="AS189" s="90" t="str">
        <f aca="false">IF(AR189="","",ROUND(AR189*(1-Справочники!$B$11),0))</f>
        <v/>
      </c>
      <c r="AT189" s="88"/>
      <c r="AU189" s="90" t="str">
        <f aca="false">IF(AT189="","",ROUND(AT189/(1+Справочники!$B$12),0))</f>
        <v/>
      </c>
      <c r="AV189" s="90" t="str">
        <f aca="false">IF(AT189="","",ROUND(AT189*(1-Справочники!$B$15),0))</f>
        <v/>
      </c>
      <c r="AW189" s="90" t="str">
        <f aca="false">IF(AT189="","",ROUND(AT189*(1-Справочники!$B$16),0))</f>
        <v/>
      </c>
      <c r="AX189" s="90" t="str">
        <f aca="false">IF(AT189="","",ROUND(AT189*(1-Справочники!$B$17),0))</f>
        <v/>
      </c>
      <c r="AY189" s="90" t="str">
        <f aca="false">IF(AT189="","",ROUND(AT189*(1-Справочники!$B$18),0))</f>
        <v/>
      </c>
      <c r="AZ189" s="90" t="str">
        <f aca="false">IF(AT189="","",ROUND(AT189*(1-Справочники!$B$19),0))</f>
        <v/>
      </c>
      <c r="BA189" s="81"/>
      <c r="BB189" s="81"/>
      <c r="BC189" s="81"/>
      <c r="BD189" s="81"/>
      <c r="BE189" s="91"/>
      <c r="BF189" s="81" t="s">
        <v>103</v>
      </c>
      <c r="BG189" s="89" t="n">
        <f aca="false" t="array" ref="BG189:BG189">IF(BF189="","",IFERROR(INDEX(Справочники!$B$4:$B$7,MATCH(BF189,Справочники!$A$4:$A$7,0)),""))</f>
        <v>68.5</v>
      </c>
      <c r="BH189" s="90" t="str">
        <f aca="false">IF(N(BN189)&gt;0,ROUND(SUMIF(ЗАКАЗЫ!$F$3:$F$500,$A189,ЗАКАЗЫ!$Y$3:$Y$500)/BN189,0),IF(OR(BE189="",BG189=""),"",ROUND(BE189*BG189*(1+Справочники!$B$10),0)))</f>
        <v/>
      </c>
      <c r="BI189" s="92" t="str">
        <f aca="false">IF(OR(AU189="",BH189="",AU189=0),"",(AU189-BH189)/AU189)</f>
        <v/>
      </c>
      <c r="BJ189" s="81"/>
      <c r="BK189" s="83"/>
      <c r="BL189" s="43" t="str">
        <f aca="false">IFERROR(INDEX(ЗАКАЗЫ!$N$3:$N$500,MATCH($A189,ЗАКАЗЫ!$F$3:$F$500,0)),"")</f>
        <v/>
      </c>
      <c r="BM189" s="8" t="str">
        <f aca="false">IF(BL189="","",IFERROR(VLOOKUP(BL189,'ТН ВЭД'!$A$4:$C$40,3,0),""))</f>
        <v/>
      </c>
      <c r="BN189" s="7" t="str">
        <f aca="false">IF(COUNTIF(ЗАКАЗЫ!$F$3:$F$500,$A189)=0,"",SUMIF(ЗАКАЗЫ!$F$3:$F$500,$A189,ЗАКАЗЫ!$J$3:$J$500))</f>
        <v/>
      </c>
      <c r="BO189" s="7" t="str">
        <f aca="false">IF(BN189="","",SUMIF(ЗАКАЗЫ!$F$3:$F$500,$A189,ЗАКАЗЫ!$AL$3:$AL$500))</f>
        <v/>
      </c>
      <c r="BP189" s="7" t="str">
        <f aca="false">IF(BN189="","",BN189-BO189)</f>
        <v/>
      </c>
      <c r="BQ189" s="55" t="str">
        <f aca="false">IF(BN189="","",IF(BO189&gt;=BN189,"На складе",IF(BO189&gt;0,"Частично","Ждём")))</f>
        <v/>
      </c>
      <c r="BR189" s="43"/>
      <c r="BS189" s="47" t="str">
        <f aca="false">IF(BN189="","",IF(_xlfn.MAXIFS(ЗАКАЗЫ!$AK$3:$AK$500,ЗАКАЗЫ!$F$3:$F$500,$A189)=0,"",_xlfn.MAXIFS(ЗАКАЗЫ!$AK$3:$AK$500,ЗАКАЗЫ!$F$3:$F$500,$A189)))</f>
        <v/>
      </c>
    </row>
    <row r="190" customFormat="false" ht="15.75" hidden="false" customHeight="true" outlineLevel="0" collapsed="false">
      <c r="A190" s="80" t="s">
        <v>1713</v>
      </c>
      <c r="B190" s="81"/>
      <c r="C190" s="81"/>
      <c r="D190" s="81"/>
      <c r="E190" s="83"/>
      <c r="F190" s="81"/>
      <c r="G190" s="83"/>
      <c r="H190" s="83"/>
      <c r="I190" s="84" t="str">
        <f aca="false">IF(E190="","",A190&amp;"_1.jpg")</f>
        <v/>
      </c>
      <c r="J190" s="84" t="str">
        <f aca="false">IF(E190="","",A190&amp;"_2.jpg; "&amp;A190&amp;"_3.jpg")</f>
        <v/>
      </c>
      <c r="K190" s="84" t="str">
        <f aca="false">IF(E190="","",A190&amp;"_schema.jpg")</f>
        <v/>
      </c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 t="s">
        <v>96</v>
      </c>
      <c r="W190" s="81"/>
      <c r="X190" s="81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6" t="str">
        <f aca="false">IF(SUM(Y190:AJ190)=0,"",SUM(Y190:AJ190))</f>
        <v/>
      </c>
      <c r="AL190" s="84" t="str">
        <f aca="false">MID(IF(N(Y190)&gt;0,", "&amp;Y$2,"")&amp;IF(N(Z190)&gt;0,", "&amp;Z$2,"")&amp;IF(N(AA190)&gt;0,", "&amp;AA$2,"")&amp;IF(N(AB190)&gt;0,", "&amp;AB$2,"")&amp;IF(N(AC190)&gt;0,", "&amp;AC$2,"")&amp;IF(N(AD190)&gt;0,", "&amp;AD$2,"")&amp;IF(N(AE190)&gt;0,", "&amp;AE$2,"")&amp;IF(N(AF190)&gt;0,", "&amp;AF$2,"")&amp;IF(N(AG190)&gt;0,", "&amp;AG$2,"")&amp;IF(N(AH190)&gt;0,", "&amp;AH$2,"")&amp;IF(N(AI190)&gt;0,", "&amp;AI$2,"")&amp;IF(N(AJ190)&gt;0,", "&amp;AJ$2,""),3,999)</f>
        <v/>
      </c>
      <c r="AM190" s="87" t="str">
        <f aca="false">IF(E190="","",MID(IF(N(Y190)&gt;0,", "&amp;A190&amp;"-"&amp;Y$2,"")&amp;IF(N(Z190)&gt;0,", "&amp;A190&amp;"-"&amp;Z$2,"")&amp;IF(N(AA190)&gt;0,", "&amp;A190&amp;"-"&amp;AA$2,"")&amp;IF(N(AB190)&gt;0,", "&amp;A190&amp;"-"&amp;AB$2,"")&amp;IF(N(AC190)&gt;0,", "&amp;A190&amp;"-"&amp;AC$2,"")&amp;IF(N(AD190)&gt;0,", "&amp;A190&amp;"-"&amp;AD$2,"")&amp;IF(N(AE190)&gt;0,", "&amp;A190&amp;"-"&amp;AE$2,"")&amp;IF(N(AF190)&gt;0,", "&amp;A190&amp;"-"&amp;AF$2,"")&amp;IF(N(AG190)&gt;0,", "&amp;A190&amp;"-"&amp;AG$2,"")&amp;IF(N(AH190)&gt;0,", "&amp;A190&amp;"-"&amp;AH$2,"")&amp;IF(N(AI190)&gt;0,", "&amp;A190&amp;"-"&amp;AI$2,"")&amp;IF(N(AJ190)&gt;0,", "&amp;A190&amp;"-"&amp;AJ$2,""),3,999))</f>
        <v/>
      </c>
      <c r="AN190" s="81"/>
      <c r="AO190" s="88"/>
      <c r="AP190" s="89" t="str">
        <f aca="false">IF(AO190="","",ROUND(AO190/(1+Справочники!$B$13),2))</f>
        <v/>
      </c>
      <c r="AQ190" s="90" t="str">
        <f aca="false" t="array" ref="AQ190:AQ190">IF(AP190="","",AP190*INDEX(Справочники!$B$4:$B$7,MATCH("RUB",Справочники!$A$4:$A$7,0)))</f>
        <v/>
      </c>
      <c r="AR190" s="90" t="str">
        <f aca="false">IF(AQ190="","",ROUND(AQ190*(1+Справочники!$B$12),0))</f>
        <v/>
      </c>
      <c r="AS190" s="90" t="str">
        <f aca="false">IF(AR190="","",ROUND(AR190*(1-Справочники!$B$11),0))</f>
        <v/>
      </c>
      <c r="AT190" s="88"/>
      <c r="AU190" s="90" t="str">
        <f aca="false">IF(AT190="","",ROUND(AT190/(1+Справочники!$B$12),0))</f>
        <v/>
      </c>
      <c r="AV190" s="90" t="str">
        <f aca="false">IF(AT190="","",ROUND(AT190*(1-Справочники!$B$15),0))</f>
        <v/>
      </c>
      <c r="AW190" s="90" t="str">
        <f aca="false">IF(AT190="","",ROUND(AT190*(1-Справочники!$B$16),0))</f>
        <v/>
      </c>
      <c r="AX190" s="90" t="str">
        <f aca="false">IF(AT190="","",ROUND(AT190*(1-Справочники!$B$17),0))</f>
        <v/>
      </c>
      <c r="AY190" s="90" t="str">
        <f aca="false">IF(AT190="","",ROUND(AT190*(1-Справочники!$B$18),0))</f>
        <v/>
      </c>
      <c r="AZ190" s="90" t="str">
        <f aca="false">IF(AT190="","",ROUND(AT190*(1-Справочники!$B$19),0))</f>
        <v/>
      </c>
      <c r="BA190" s="81"/>
      <c r="BB190" s="81"/>
      <c r="BC190" s="81"/>
      <c r="BD190" s="81"/>
      <c r="BE190" s="91"/>
      <c r="BF190" s="81" t="s">
        <v>103</v>
      </c>
      <c r="BG190" s="89" t="n">
        <f aca="false" t="array" ref="BG190:BG190">IF(BF190="","",IFERROR(INDEX(Справочники!$B$4:$B$7,MATCH(BF190,Справочники!$A$4:$A$7,0)),""))</f>
        <v>68.5</v>
      </c>
      <c r="BH190" s="90" t="str">
        <f aca="false">IF(N(BN190)&gt;0,ROUND(SUMIF(ЗАКАЗЫ!$F$3:$F$500,$A190,ЗАКАЗЫ!$Y$3:$Y$500)/BN190,0),IF(OR(BE190="",BG190=""),"",ROUND(BE190*BG190*(1+Справочники!$B$10),0)))</f>
        <v/>
      </c>
      <c r="BI190" s="92" t="str">
        <f aca="false">IF(OR(AU190="",BH190="",AU190=0),"",(AU190-BH190)/AU190)</f>
        <v/>
      </c>
      <c r="BJ190" s="81"/>
      <c r="BK190" s="83"/>
      <c r="BL190" s="43" t="str">
        <f aca="false">IFERROR(INDEX(ЗАКАЗЫ!$N$3:$N$500,MATCH($A190,ЗАКАЗЫ!$F$3:$F$500,0)),"")</f>
        <v/>
      </c>
      <c r="BM190" s="8" t="str">
        <f aca="false">IF(BL190="","",IFERROR(VLOOKUP(BL190,'ТН ВЭД'!$A$4:$C$40,3,0),""))</f>
        <v/>
      </c>
      <c r="BN190" s="7" t="str">
        <f aca="false">IF(COUNTIF(ЗАКАЗЫ!$F$3:$F$500,$A190)=0,"",SUMIF(ЗАКАЗЫ!$F$3:$F$500,$A190,ЗАКАЗЫ!$J$3:$J$500))</f>
        <v/>
      </c>
      <c r="BO190" s="7" t="str">
        <f aca="false">IF(BN190="","",SUMIF(ЗАКАЗЫ!$F$3:$F$500,$A190,ЗАКАЗЫ!$AL$3:$AL$500))</f>
        <v/>
      </c>
      <c r="BP190" s="7" t="str">
        <f aca="false">IF(BN190="","",BN190-BO190)</f>
        <v/>
      </c>
      <c r="BQ190" s="55" t="str">
        <f aca="false">IF(BN190="","",IF(BO190&gt;=BN190,"На складе",IF(BO190&gt;0,"Частично","Ждём")))</f>
        <v/>
      </c>
      <c r="BR190" s="43"/>
      <c r="BS190" s="47" t="str">
        <f aca="false">IF(BN190="","",IF(_xlfn.MAXIFS(ЗАКАЗЫ!$AK$3:$AK$500,ЗАКАЗЫ!$F$3:$F$500,$A190)=0,"",_xlfn.MAXIFS(ЗАКАЗЫ!$AK$3:$AK$500,ЗАКАЗЫ!$F$3:$F$500,$A190)))</f>
        <v/>
      </c>
    </row>
    <row r="191" customFormat="false" ht="15.75" hidden="false" customHeight="true" outlineLevel="0" collapsed="false">
      <c r="A191" s="80" t="s">
        <v>1714</v>
      </c>
      <c r="B191" s="81"/>
      <c r="C191" s="81"/>
      <c r="D191" s="81"/>
      <c r="E191" s="83"/>
      <c r="F191" s="81"/>
      <c r="G191" s="83"/>
      <c r="H191" s="83"/>
      <c r="I191" s="84" t="str">
        <f aca="false">IF(E191="","",A191&amp;"_1.jpg")</f>
        <v/>
      </c>
      <c r="J191" s="84" t="str">
        <f aca="false">IF(E191="","",A191&amp;"_2.jpg; "&amp;A191&amp;"_3.jpg")</f>
        <v/>
      </c>
      <c r="K191" s="84" t="str">
        <f aca="false">IF(E191="","",A191&amp;"_schema.jpg")</f>
        <v/>
      </c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 t="s">
        <v>96</v>
      </c>
      <c r="W191" s="81"/>
      <c r="X191" s="81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6" t="str">
        <f aca="false">IF(SUM(Y191:AJ191)=0,"",SUM(Y191:AJ191))</f>
        <v/>
      </c>
      <c r="AL191" s="84" t="str">
        <f aca="false">MID(IF(N(Y191)&gt;0,", "&amp;Y$2,"")&amp;IF(N(Z191)&gt;0,", "&amp;Z$2,"")&amp;IF(N(AA191)&gt;0,", "&amp;AA$2,"")&amp;IF(N(AB191)&gt;0,", "&amp;AB$2,"")&amp;IF(N(AC191)&gt;0,", "&amp;AC$2,"")&amp;IF(N(AD191)&gt;0,", "&amp;AD$2,"")&amp;IF(N(AE191)&gt;0,", "&amp;AE$2,"")&amp;IF(N(AF191)&gt;0,", "&amp;AF$2,"")&amp;IF(N(AG191)&gt;0,", "&amp;AG$2,"")&amp;IF(N(AH191)&gt;0,", "&amp;AH$2,"")&amp;IF(N(AI191)&gt;0,", "&amp;AI$2,"")&amp;IF(N(AJ191)&gt;0,", "&amp;AJ$2,""),3,999)</f>
        <v/>
      </c>
      <c r="AM191" s="87" t="str">
        <f aca="false">IF(E191="","",MID(IF(N(Y191)&gt;0,", "&amp;A191&amp;"-"&amp;Y$2,"")&amp;IF(N(Z191)&gt;0,", "&amp;A191&amp;"-"&amp;Z$2,"")&amp;IF(N(AA191)&gt;0,", "&amp;A191&amp;"-"&amp;AA$2,"")&amp;IF(N(AB191)&gt;0,", "&amp;A191&amp;"-"&amp;AB$2,"")&amp;IF(N(AC191)&gt;0,", "&amp;A191&amp;"-"&amp;AC$2,"")&amp;IF(N(AD191)&gt;0,", "&amp;A191&amp;"-"&amp;AD$2,"")&amp;IF(N(AE191)&gt;0,", "&amp;A191&amp;"-"&amp;AE$2,"")&amp;IF(N(AF191)&gt;0,", "&amp;A191&amp;"-"&amp;AF$2,"")&amp;IF(N(AG191)&gt;0,", "&amp;A191&amp;"-"&amp;AG$2,"")&amp;IF(N(AH191)&gt;0,", "&amp;A191&amp;"-"&amp;AH$2,"")&amp;IF(N(AI191)&gt;0,", "&amp;A191&amp;"-"&amp;AI$2,"")&amp;IF(N(AJ191)&gt;0,", "&amp;A191&amp;"-"&amp;AJ$2,""),3,999))</f>
        <v/>
      </c>
      <c r="AN191" s="81"/>
      <c r="AO191" s="88"/>
      <c r="AP191" s="89" t="str">
        <f aca="false">IF(AO191="","",ROUND(AO191/(1+Справочники!$B$13),2))</f>
        <v/>
      </c>
      <c r="AQ191" s="90" t="str">
        <f aca="false" t="array" ref="AQ191:AQ191">IF(AP191="","",AP191*INDEX(Справочники!$B$4:$B$7,MATCH("RUB",Справочники!$A$4:$A$7,0)))</f>
        <v/>
      </c>
      <c r="AR191" s="90" t="str">
        <f aca="false">IF(AQ191="","",ROUND(AQ191*(1+Справочники!$B$12),0))</f>
        <v/>
      </c>
      <c r="AS191" s="90" t="str">
        <f aca="false">IF(AR191="","",ROUND(AR191*(1-Справочники!$B$11),0))</f>
        <v/>
      </c>
      <c r="AT191" s="88"/>
      <c r="AU191" s="90" t="str">
        <f aca="false">IF(AT191="","",ROUND(AT191/(1+Справочники!$B$12),0))</f>
        <v/>
      </c>
      <c r="AV191" s="90" t="str">
        <f aca="false">IF(AT191="","",ROUND(AT191*(1-Справочники!$B$15),0))</f>
        <v/>
      </c>
      <c r="AW191" s="90" t="str">
        <f aca="false">IF(AT191="","",ROUND(AT191*(1-Справочники!$B$16),0))</f>
        <v/>
      </c>
      <c r="AX191" s="90" t="str">
        <f aca="false">IF(AT191="","",ROUND(AT191*(1-Справочники!$B$17),0))</f>
        <v/>
      </c>
      <c r="AY191" s="90" t="str">
        <f aca="false">IF(AT191="","",ROUND(AT191*(1-Справочники!$B$18),0))</f>
        <v/>
      </c>
      <c r="AZ191" s="90" t="str">
        <f aca="false">IF(AT191="","",ROUND(AT191*(1-Справочники!$B$19),0))</f>
        <v/>
      </c>
      <c r="BA191" s="81"/>
      <c r="BB191" s="81"/>
      <c r="BC191" s="81"/>
      <c r="BD191" s="81"/>
      <c r="BE191" s="91"/>
      <c r="BF191" s="81" t="s">
        <v>103</v>
      </c>
      <c r="BG191" s="89" t="n">
        <f aca="false" t="array" ref="BG191:BG191">IF(BF191="","",IFERROR(INDEX(Справочники!$B$4:$B$7,MATCH(BF191,Справочники!$A$4:$A$7,0)),""))</f>
        <v>68.5</v>
      </c>
      <c r="BH191" s="90" t="str">
        <f aca="false">IF(N(BN191)&gt;0,ROUND(SUMIF(ЗАКАЗЫ!$F$3:$F$500,$A191,ЗАКАЗЫ!$Y$3:$Y$500)/BN191,0),IF(OR(BE191="",BG191=""),"",ROUND(BE191*BG191*(1+Справочники!$B$10),0)))</f>
        <v/>
      </c>
      <c r="BI191" s="92" t="str">
        <f aca="false">IF(OR(AU191="",BH191="",AU191=0),"",(AU191-BH191)/AU191)</f>
        <v/>
      </c>
      <c r="BJ191" s="81"/>
      <c r="BK191" s="83"/>
      <c r="BL191" s="43" t="str">
        <f aca="false">IFERROR(INDEX(ЗАКАЗЫ!$N$3:$N$500,MATCH($A191,ЗАКАЗЫ!$F$3:$F$500,0)),"")</f>
        <v/>
      </c>
      <c r="BM191" s="8" t="str">
        <f aca="false">IF(BL191="","",IFERROR(VLOOKUP(BL191,'ТН ВЭД'!$A$4:$C$40,3,0),""))</f>
        <v/>
      </c>
      <c r="BN191" s="7" t="str">
        <f aca="false">IF(COUNTIF(ЗАКАЗЫ!$F$3:$F$500,$A191)=0,"",SUMIF(ЗАКАЗЫ!$F$3:$F$500,$A191,ЗАКАЗЫ!$J$3:$J$500))</f>
        <v/>
      </c>
      <c r="BO191" s="7" t="str">
        <f aca="false">IF(BN191="","",SUMIF(ЗАКАЗЫ!$F$3:$F$500,$A191,ЗАКАЗЫ!$AL$3:$AL$500))</f>
        <v/>
      </c>
      <c r="BP191" s="7" t="str">
        <f aca="false">IF(BN191="","",BN191-BO191)</f>
        <v/>
      </c>
      <c r="BQ191" s="55" t="str">
        <f aca="false">IF(BN191="","",IF(BO191&gt;=BN191,"На складе",IF(BO191&gt;0,"Частично","Ждём")))</f>
        <v/>
      </c>
      <c r="BR191" s="43"/>
      <c r="BS191" s="47" t="str">
        <f aca="false">IF(BN191="","",IF(_xlfn.MAXIFS(ЗАКАЗЫ!$AK$3:$AK$500,ЗАКАЗЫ!$F$3:$F$500,$A191)=0,"",_xlfn.MAXIFS(ЗАКАЗЫ!$AK$3:$AK$500,ЗАКАЗЫ!$F$3:$F$500,$A191)))</f>
        <v/>
      </c>
    </row>
    <row r="192" customFormat="false" ht="15.75" hidden="false" customHeight="true" outlineLevel="0" collapsed="false">
      <c r="A192" s="80" t="s">
        <v>1715</v>
      </c>
      <c r="B192" s="81"/>
      <c r="C192" s="81"/>
      <c r="D192" s="81"/>
      <c r="E192" s="83"/>
      <c r="F192" s="81"/>
      <c r="G192" s="83"/>
      <c r="H192" s="83"/>
      <c r="I192" s="84" t="str">
        <f aca="false">IF(E192="","",A192&amp;"_1.jpg")</f>
        <v/>
      </c>
      <c r="J192" s="84" t="str">
        <f aca="false">IF(E192="","",A192&amp;"_2.jpg; "&amp;A192&amp;"_3.jpg")</f>
        <v/>
      </c>
      <c r="K192" s="84" t="str">
        <f aca="false">IF(E192="","",A192&amp;"_schema.jpg")</f>
        <v/>
      </c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 t="s">
        <v>96</v>
      </c>
      <c r="W192" s="81"/>
      <c r="X192" s="81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6" t="str">
        <f aca="false">IF(SUM(Y192:AJ192)=0,"",SUM(Y192:AJ192))</f>
        <v/>
      </c>
      <c r="AL192" s="84" t="str">
        <f aca="false">MID(IF(N(Y192)&gt;0,", "&amp;Y$2,"")&amp;IF(N(Z192)&gt;0,", "&amp;Z$2,"")&amp;IF(N(AA192)&gt;0,", "&amp;AA$2,"")&amp;IF(N(AB192)&gt;0,", "&amp;AB$2,"")&amp;IF(N(AC192)&gt;0,", "&amp;AC$2,"")&amp;IF(N(AD192)&gt;0,", "&amp;AD$2,"")&amp;IF(N(AE192)&gt;0,", "&amp;AE$2,"")&amp;IF(N(AF192)&gt;0,", "&amp;AF$2,"")&amp;IF(N(AG192)&gt;0,", "&amp;AG$2,"")&amp;IF(N(AH192)&gt;0,", "&amp;AH$2,"")&amp;IF(N(AI192)&gt;0,", "&amp;AI$2,"")&amp;IF(N(AJ192)&gt;0,", "&amp;AJ$2,""),3,999)</f>
        <v/>
      </c>
      <c r="AM192" s="87" t="str">
        <f aca="false">IF(E192="","",MID(IF(N(Y192)&gt;0,", "&amp;A192&amp;"-"&amp;Y$2,"")&amp;IF(N(Z192)&gt;0,", "&amp;A192&amp;"-"&amp;Z$2,"")&amp;IF(N(AA192)&gt;0,", "&amp;A192&amp;"-"&amp;AA$2,"")&amp;IF(N(AB192)&gt;0,", "&amp;A192&amp;"-"&amp;AB$2,"")&amp;IF(N(AC192)&gt;0,", "&amp;A192&amp;"-"&amp;AC$2,"")&amp;IF(N(AD192)&gt;0,", "&amp;A192&amp;"-"&amp;AD$2,"")&amp;IF(N(AE192)&gt;0,", "&amp;A192&amp;"-"&amp;AE$2,"")&amp;IF(N(AF192)&gt;0,", "&amp;A192&amp;"-"&amp;AF$2,"")&amp;IF(N(AG192)&gt;0,", "&amp;A192&amp;"-"&amp;AG$2,"")&amp;IF(N(AH192)&gt;0,", "&amp;A192&amp;"-"&amp;AH$2,"")&amp;IF(N(AI192)&gt;0,", "&amp;A192&amp;"-"&amp;AI$2,"")&amp;IF(N(AJ192)&gt;0,", "&amp;A192&amp;"-"&amp;AJ$2,""),3,999))</f>
        <v/>
      </c>
      <c r="AN192" s="81"/>
      <c r="AO192" s="88"/>
      <c r="AP192" s="89" t="str">
        <f aca="false">IF(AO192="","",ROUND(AO192/(1+Справочники!$B$13),2))</f>
        <v/>
      </c>
      <c r="AQ192" s="90" t="str">
        <f aca="false" t="array" ref="AQ192:AQ192">IF(AP192="","",AP192*INDEX(Справочники!$B$4:$B$7,MATCH("RUB",Справочники!$A$4:$A$7,0)))</f>
        <v/>
      </c>
      <c r="AR192" s="90" t="str">
        <f aca="false">IF(AQ192="","",ROUND(AQ192*(1+Справочники!$B$12),0))</f>
        <v/>
      </c>
      <c r="AS192" s="90" t="str">
        <f aca="false">IF(AR192="","",ROUND(AR192*(1-Справочники!$B$11),0))</f>
        <v/>
      </c>
      <c r="AT192" s="88"/>
      <c r="AU192" s="90" t="str">
        <f aca="false">IF(AT192="","",ROUND(AT192/(1+Справочники!$B$12),0))</f>
        <v/>
      </c>
      <c r="AV192" s="90" t="str">
        <f aca="false">IF(AT192="","",ROUND(AT192*(1-Справочники!$B$15),0))</f>
        <v/>
      </c>
      <c r="AW192" s="90" t="str">
        <f aca="false">IF(AT192="","",ROUND(AT192*(1-Справочники!$B$16),0))</f>
        <v/>
      </c>
      <c r="AX192" s="90" t="str">
        <f aca="false">IF(AT192="","",ROUND(AT192*(1-Справочники!$B$17),0))</f>
        <v/>
      </c>
      <c r="AY192" s="90" t="str">
        <f aca="false">IF(AT192="","",ROUND(AT192*(1-Справочники!$B$18),0))</f>
        <v/>
      </c>
      <c r="AZ192" s="90" t="str">
        <f aca="false">IF(AT192="","",ROUND(AT192*(1-Справочники!$B$19),0))</f>
        <v/>
      </c>
      <c r="BA192" s="81"/>
      <c r="BB192" s="81"/>
      <c r="BC192" s="81"/>
      <c r="BD192" s="81"/>
      <c r="BE192" s="91"/>
      <c r="BF192" s="81" t="s">
        <v>103</v>
      </c>
      <c r="BG192" s="89" t="n">
        <f aca="false" t="array" ref="BG192:BG192">IF(BF192="","",IFERROR(INDEX(Справочники!$B$4:$B$7,MATCH(BF192,Справочники!$A$4:$A$7,0)),""))</f>
        <v>68.5</v>
      </c>
      <c r="BH192" s="90" t="str">
        <f aca="false">IF(N(BN192)&gt;0,ROUND(SUMIF(ЗАКАЗЫ!$F$3:$F$500,$A192,ЗАКАЗЫ!$Y$3:$Y$500)/BN192,0),IF(OR(BE192="",BG192=""),"",ROUND(BE192*BG192*(1+Справочники!$B$10),0)))</f>
        <v/>
      </c>
      <c r="BI192" s="92" t="str">
        <f aca="false">IF(OR(AU192="",BH192="",AU192=0),"",(AU192-BH192)/AU192)</f>
        <v/>
      </c>
      <c r="BJ192" s="81"/>
      <c r="BK192" s="83"/>
      <c r="BL192" s="43" t="str">
        <f aca="false">IFERROR(INDEX(ЗАКАЗЫ!$N$3:$N$500,MATCH($A192,ЗАКАЗЫ!$F$3:$F$500,0)),"")</f>
        <v/>
      </c>
      <c r="BM192" s="8" t="str">
        <f aca="false">IF(BL192="","",IFERROR(VLOOKUP(BL192,'ТН ВЭД'!$A$4:$C$40,3,0),""))</f>
        <v/>
      </c>
      <c r="BN192" s="7" t="str">
        <f aca="false">IF(COUNTIF(ЗАКАЗЫ!$F$3:$F$500,$A192)=0,"",SUMIF(ЗАКАЗЫ!$F$3:$F$500,$A192,ЗАКАЗЫ!$J$3:$J$500))</f>
        <v/>
      </c>
      <c r="BO192" s="7" t="str">
        <f aca="false">IF(BN192="","",SUMIF(ЗАКАЗЫ!$F$3:$F$500,$A192,ЗАКАЗЫ!$AL$3:$AL$500))</f>
        <v/>
      </c>
      <c r="BP192" s="7" t="str">
        <f aca="false">IF(BN192="","",BN192-BO192)</f>
        <v/>
      </c>
      <c r="BQ192" s="55" t="str">
        <f aca="false">IF(BN192="","",IF(BO192&gt;=BN192,"На складе",IF(BO192&gt;0,"Частично","Ждём")))</f>
        <v/>
      </c>
      <c r="BR192" s="43"/>
      <c r="BS192" s="47" t="str">
        <f aca="false">IF(BN192="","",IF(_xlfn.MAXIFS(ЗАКАЗЫ!$AK$3:$AK$500,ЗАКАЗЫ!$F$3:$F$500,$A192)=0,"",_xlfn.MAXIFS(ЗАКАЗЫ!$AK$3:$AK$500,ЗАКАЗЫ!$F$3:$F$500,$A192)))</f>
        <v/>
      </c>
    </row>
    <row r="193" customFormat="false" ht="15.75" hidden="false" customHeight="true" outlineLevel="0" collapsed="false">
      <c r="A193" s="80" t="s">
        <v>1716</v>
      </c>
      <c r="B193" s="81"/>
      <c r="C193" s="81"/>
      <c r="D193" s="81"/>
      <c r="E193" s="83"/>
      <c r="F193" s="81"/>
      <c r="G193" s="83"/>
      <c r="H193" s="83"/>
      <c r="I193" s="84" t="str">
        <f aca="false">IF(E193="","",A193&amp;"_1.jpg")</f>
        <v/>
      </c>
      <c r="J193" s="84" t="str">
        <f aca="false">IF(E193="","",A193&amp;"_2.jpg; "&amp;A193&amp;"_3.jpg")</f>
        <v/>
      </c>
      <c r="K193" s="84" t="str">
        <f aca="false">IF(E193="","",A193&amp;"_schema.jpg")</f>
        <v/>
      </c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 t="s">
        <v>96</v>
      </c>
      <c r="W193" s="81"/>
      <c r="X193" s="81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6" t="str">
        <f aca="false">IF(SUM(Y193:AJ193)=0,"",SUM(Y193:AJ193))</f>
        <v/>
      </c>
      <c r="AL193" s="84" t="str">
        <f aca="false">MID(IF(N(Y193)&gt;0,", "&amp;Y$2,"")&amp;IF(N(Z193)&gt;0,", "&amp;Z$2,"")&amp;IF(N(AA193)&gt;0,", "&amp;AA$2,"")&amp;IF(N(AB193)&gt;0,", "&amp;AB$2,"")&amp;IF(N(AC193)&gt;0,", "&amp;AC$2,"")&amp;IF(N(AD193)&gt;0,", "&amp;AD$2,"")&amp;IF(N(AE193)&gt;0,", "&amp;AE$2,"")&amp;IF(N(AF193)&gt;0,", "&amp;AF$2,"")&amp;IF(N(AG193)&gt;0,", "&amp;AG$2,"")&amp;IF(N(AH193)&gt;0,", "&amp;AH$2,"")&amp;IF(N(AI193)&gt;0,", "&amp;AI$2,"")&amp;IF(N(AJ193)&gt;0,", "&amp;AJ$2,""),3,999)</f>
        <v/>
      </c>
      <c r="AM193" s="87" t="str">
        <f aca="false">IF(E193="","",MID(IF(N(Y193)&gt;0,", "&amp;A193&amp;"-"&amp;Y$2,"")&amp;IF(N(Z193)&gt;0,", "&amp;A193&amp;"-"&amp;Z$2,"")&amp;IF(N(AA193)&gt;0,", "&amp;A193&amp;"-"&amp;AA$2,"")&amp;IF(N(AB193)&gt;0,", "&amp;A193&amp;"-"&amp;AB$2,"")&amp;IF(N(AC193)&gt;0,", "&amp;A193&amp;"-"&amp;AC$2,"")&amp;IF(N(AD193)&gt;0,", "&amp;A193&amp;"-"&amp;AD$2,"")&amp;IF(N(AE193)&gt;0,", "&amp;A193&amp;"-"&amp;AE$2,"")&amp;IF(N(AF193)&gt;0,", "&amp;A193&amp;"-"&amp;AF$2,"")&amp;IF(N(AG193)&gt;0,", "&amp;A193&amp;"-"&amp;AG$2,"")&amp;IF(N(AH193)&gt;0,", "&amp;A193&amp;"-"&amp;AH$2,"")&amp;IF(N(AI193)&gt;0,", "&amp;A193&amp;"-"&amp;AI$2,"")&amp;IF(N(AJ193)&gt;0,", "&amp;A193&amp;"-"&amp;AJ$2,""),3,999))</f>
        <v/>
      </c>
      <c r="AN193" s="81"/>
      <c r="AO193" s="88"/>
      <c r="AP193" s="89" t="str">
        <f aca="false">IF(AO193="","",ROUND(AO193/(1+Справочники!$B$13),2))</f>
        <v/>
      </c>
      <c r="AQ193" s="90" t="str">
        <f aca="false" t="array" ref="AQ193:AQ193">IF(AP193="","",AP193*INDEX(Справочники!$B$4:$B$7,MATCH("RUB",Справочники!$A$4:$A$7,0)))</f>
        <v/>
      </c>
      <c r="AR193" s="90" t="str">
        <f aca="false">IF(AQ193="","",ROUND(AQ193*(1+Справочники!$B$12),0))</f>
        <v/>
      </c>
      <c r="AS193" s="90" t="str">
        <f aca="false">IF(AR193="","",ROUND(AR193*(1-Справочники!$B$11),0))</f>
        <v/>
      </c>
      <c r="AT193" s="88"/>
      <c r="AU193" s="90" t="str">
        <f aca="false">IF(AT193="","",ROUND(AT193/(1+Справочники!$B$12),0))</f>
        <v/>
      </c>
      <c r="AV193" s="90" t="str">
        <f aca="false">IF(AT193="","",ROUND(AT193*(1-Справочники!$B$15),0))</f>
        <v/>
      </c>
      <c r="AW193" s="90" t="str">
        <f aca="false">IF(AT193="","",ROUND(AT193*(1-Справочники!$B$16),0))</f>
        <v/>
      </c>
      <c r="AX193" s="90" t="str">
        <f aca="false">IF(AT193="","",ROUND(AT193*(1-Справочники!$B$17),0))</f>
        <v/>
      </c>
      <c r="AY193" s="90" t="str">
        <f aca="false">IF(AT193="","",ROUND(AT193*(1-Справочники!$B$18),0))</f>
        <v/>
      </c>
      <c r="AZ193" s="90" t="str">
        <f aca="false">IF(AT193="","",ROUND(AT193*(1-Справочники!$B$19),0))</f>
        <v/>
      </c>
      <c r="BA193" s="81"/>
      <c r="BB193" s="81"/>
      <c r="BC193" s="81"/>
      <c r="BD193" s="81"/>
      <c r="BE193" s="91"/>
      <c r="BF193" s="81" t="s">
        <v>103</v>
      </c>
      <c r="BG193" s="89" t="n">
        <f aca="false" t="array" ref="BG193:BG193">IF(BF193="","",IFERROR(INDEX(Справочники!$B$4:$B$7,MATCH(BF193,Справочники!$A$4:$A$7,0)),""))</f>
        <v>68.5</v>
      </c>
      <c r="BH193" s="90" t="str">
        <f aca="false">IF(N(BN193)&gt;0,ROUND(SUMIF(ЗАКАЗЫ!$F$3:$F$500,$A193,ЗАКАЗЫ!$Y$3:$Y$500)/BN193,0),IF(OR(BE193="",BG193=""),"",ROUND(BE193*BG193*(1+Справочники!$B$10),0)))</f>
        <v/>
      </c>
      <c r="BI193" s="92" t="str">
        <f aca="false">IF(OR(AU193="",BH193="",AU193=0),"",(AU193-BH193)/AU193)</f>
        <v/>
      </c>
      <c r="BJ193" s="81"/>
      <c r="BK193" s="83"/>
      <c r="BL193" s="43" t="str">
        <f aca="false">IFERROR(INDEX(ЗАКАЗЫ!$N$3:$N$500,MATCH($A193,ЗАКАЗЫ!$F$3:$F$500,0)),"")</f>
        <v/>
      </c>
      <c r="BM193" s="8" t="str">
        <f aca="false">IF(BL193="","",IFERROR(VLOOKUP(BL193,'ТН ВЭД'!$A$4:$C$40,3,0),""))</f>
        <v/>
      </c>
      <c r="BN193" s="7" t="str">
        <f aca="false">IF(COUNTIF(ЗАКАЗЫ!$F$3:$F$500,$A193)=0,"",SUMIF(ЗАКАЗЫ!$F$3:$F$500,$A193,ЗАКАЗЫ!$J$3:$J$500))</f>
        <v/>
      </c>
      <c r="BO193" s="7" t="str">
        <f aca="false">IF(BN193="","",SUMIF(ЗАКАЗЫ!$F$3:$F$500,$A193,ЗАКАЗЫ!$AL$3:$AL$500))</f>
        <v/>
      </c>
      <c r="BP193" s="7" t="str">
        <f aca="false">IF(BN193="","",BN193-BO193)</f>
        <v/>
      </c>
      <c r="BQ193" s="55" t="str">
        <f aca="false">IF(BN193="","",IF(BO193&gt;=BN193,"На складе",IF(BO193&gt;0,"Частично","Ждём")))</f>
        <v/>
      </c>
      <c r="BR193" s="43"/>
      <c r="BS193" s="47" t="str">
        <f aca="false">IF(BN193="","",IF(_xlfn.MAXIFS(ЗАКАЗЫ!$AK$3:$AK$500,ЗАКАЗЫ!$F$3:$F$500,$A193)=0,"",_xlfn.MAXIFS(ЗАКАЗЫ!$AK$3:$AK$500,ЗАКАЗЫ!$F$3:$F$500,$A193)))</f>
        <v/>
      </c>
    </row>
    <row r="194" customFormat="false" ht="15.75" hidden="false" customHeight="true" outlineLevel="0" collapsed="false">
      <c r="A194" s="80" t="s">
        <v>1717</v>
      </c>
      <c r="B194" s="81"/>
      <c r="C194" s="81"/>
      <c r="D194" s="81"/>
      <c r="E194" s="83"/>
      <c r="F194" s="81"/>
      <c r="G194" s="83"/>
      <c r="H194" s="83"/>
      <c r="I194" s="84" t="str">
        <f aca="false">IF(E194="","",A194&amp;"_1.jpg")</f>
        <v/>
      </c>
      <c r="J194" s="84" t="str">
        <f aca="false">IF(E194="","",A194&amp;"_2.jpg; "&amp;A194&amp;"_3.jpg")</f>
        <v/>
      </c>
      <c r="K194" s="84" t="str">
        <f aca="false">IF(E194="","",A194&amp;"_schema.jpg")</f>
        <v/>
      </c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 t="s">
        <v>96</v>
      </c>
      <c r="W194" s="81"/>
      <c r="X194" s="81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6" t="str">
        <f aca="false">IF(SUM(Y194:AJ194)=0,"",SUM(Y194:AJ194))</f>
        <v/>
      </c>
      <c r="AL194" s="84" t="str">
        <f aca="false">MID(IF(N(Y194)&gt;0,", "&amp;Y$2,"")&amp;IF(N(Z194)&gt;0,", "&amp;Z$2,"")&amp;IF(N(AA194)&gt;0,", "&amp;AA$2,"")&amp;IF(N(AB194)&gt;0,", "&amp;AB$2,"")&amp;IF(N(AC194)&gt;0,", "&amp;AC$2,"")&amp;IF(N(AD194)&gt;0,", "&amp;AD$2,"")&amp;IF(N(AE194)&gt;0,", "&amp;AE$2,"")&amp;IF(N(AF194)&gt;0,", "&amp;AF$2,"")&amp;IF(N(AG194)&gt;0,", "&amp;AG$2,"")&amp;IF(N(AH194)&gt;0,", "&amp;AH$2,"")&amp;IF(N(AI194)&gt;0,", "&amp;AI$2,"")&amp;IF(N(AJ194)&gt;0,", "&amp;AJ$2,""),3,999)</f>
        <v/>
      </c>
      <c r="AM194" s="87" t="str">
        <f aca="false">IF(E194="","",MID(IF(N(Y194)&gt;0,", "&amp;A194&amp;"-"&amp;Y$2,"")&amp;IF(N(Z194)&gt;0,", "&amp;A194&amp;"-"&amp;Z$2,"")&amp;IF(N(AA194)&gt;0,", "&amp;A194&amp;"-"&amp;AA$2,"")&amp;IF(N(AB194)&gt;0,", "&amp;A194&amp;"-"&amp;AB$2,"")&amp;IF(N(AC194)&gt;0,", "&amp;A194&amp;"-"&amp;AC$2,"")&amp;IF(N(AD194)&gt;0,", "&amp;A194&amp;"-"&amp;AD$2,"")&amp;IF(N(AE194)&gt;0,", "&amp;A194&amp;"-"&amp;AE$2,"")&amp;IF(N(AF194)&gt;0,", "&amp;A194&amp;"-"&amp;AF$2,"")&amp;IF(N(AG194)&gt;0,", "&amp;A194&amp;"-"&amp;AG$2,"")&amp;IF(N(AH194)&gt;0,", "&amp;A194&amp;"-"&amp;AH$2,"")&amp;IF(N(AI194)&gt;0,", "&amp;A194&amp;"-"&amp;AI$2,"")&amp;IF(N(AJ194)&gt;0,", "&amp;A194&amp;"-"&amp;AJ$2,""),3,999))</f>
        <v/>
      </c>
      <c r="AN194" s="81"/>
      <c r="AO194" s="88"/>
      <c r="AP194" s="89" t="str">
        <f aca="false">IF(AO194="","",ROUND(AO194/(1+Справочники!$B$13),2))</f>
        <v/>
      </c>
      <c r="AQ194" s="90" t="str">
        <f aca="false" t="array" ref="AQ194:AQ194">IF(AP194="","",AP194*INDEX(Справочники!$B$4:$B$7,MATCH("RUB",Справочники!$A$4:$A$7,0)))</f>
        <v/>
      </c>
      <c r="AR194" s="90" t="str">
        <f aca="false">IF(AQ194="","",ROUND(AQ194*(1+Справочники!$B$12),0))</f>
        <v/>
      </c>
      <c r="AS194" s="90" t="str">
        <f aca="false">IF(AR194="","",ROUND(AR194*(1-Справочники!$B$11),0))</f>
        <v/>
      </c>
      <c r="AT194" s="88"/>
      <c r="AU194" s="90" t="str">
        <f aca="false">IF(AT194="","",ROUND(AT194/(1+Справочники!$B$12),0))</f>
        <v/>
      </c>
      <c r="AV194" s="90" t="str">
        <f aca="false">IF(AT194="","",ROUND(AT194*(1-Справочники!$B$15),0))</f>
        <v/>
      </c>
      <c r="AW194" s="90" t="str">
        <f aca="false">IF(AT194="","",ROUND(AT194*(1-Справочники!$B$16),0))</f>
        <v/>
      </c>
      <c r="AX194" s="90" t="str">
        <f aca="false">IF(AT194="","",ROUND(AT194*(1-Справочники!$B$17),0))</f>
        <v/>
      </c>
      <c r="AY194" s="90" t="str">
        <f aca="false">IF(AT194="","",ROUND(AT194*(1-Справочники!$B$18),0))</f>
        <v/>
      </c>
      <c r="AZ194" s="90" t="str">
        <f aca="false">IF(AT194="","",ROUND(AT194*(1-Справочники!$B$19),0))</f>
        <v/>
      </c>
      <c r="BA194" s="81"/>
      <c r="BB194" s="81"/>
      <c r="BC194" s="81"/>
      <c r="BD194" s="81"/>
      <c r="BE194" s="91"/>
      <c r="BF194" s="81" t="s">
        <v>103</v>
      </c>
      <c r="BG194" s="89" t="n">
        <f aca="false" t="array" ref="BG194:BG194">IF(BF194="","",IFERROR(INDEX(Справочники!$B$4:$B$7,MATCH(BF194,Справочники!$A$4:$A$7,0)),""))</f>
        <v>68.5</v>
      </c>
      <c r="BH194" s="90" t="str">
        <f aca="false">IF(N(BN194)&gt;0,ROUND(SUMIF(ЗАКАЗЫ!$F$3:$F$500,$A194,ЗАКАЗЫ!$Y$3:$Y$500)/BN194,0),IF(OR(BE194="",BG194=""),"",ROUND(BE194*BG194*(1+Справочники!$B$10),0)))</f>
        <v/>
      </c>
      <c r="BI194" s="92" t="str">
        <f aca="false">IF(OR(AU194="",BH194="",AU194=0),"",(AU194-BH194)/AU194)</f>
        <v/>
      </c>
      <c r="BJ194" s="81"/>
      <c r="BK194" s="83"/>
      <c r="BL194" s="43" t="str">
        <f aca="false">IFERROR(INDEX(ЗАКАЗЫ!$N$3:$N$500,MATCH($A194,ЗАКАЗЫ!$F$3:$F$500,0)),"")</f>
        <v/>
      </c>
      <c r="BM194" s="8" t="str">
        <f aca="false">IF(BL194="","",IFERROR(VLOOKUP(BL194,'ТН ВЭД'!$A$4:$C$40,3,0),""))</f>
        <v/>
      </c>
      <c r="BN194" s="7" t="str">
        <f aca="false">IF(COUNTIF(ЗАКАЗЫ!$F$3:$F$500,$A194)=0,"",SUMIF(ЗАКАЗЫ!$F$3:$F$500,$A194,ЗАКАЗЫ!$J$3:$J$500))</f>
        <v/>
      </c>
      <c r="BO194" s="7" t="str">
        <f aca="false">IF(BN194="","",SUMIF(ЗАКАЗЫ!$F$3:$F$500,$A194,ЗАКАЗЫ!$AL$3:$AL$500))</f>
        <v/>
      </c>
      <c r="BP194" s="7" t="str">
        <f aca="false">IF(BN194="","",BN194-BO194)</f>
        <v/>
      </c>
      <c r="BQ194" s="55" t="str">
        <f aca="false">IF(BN194="","",IF(BO194&gt;=BN194,"На складе",IF(BO194&gt;0,"Частично","Ждём")))</f>
        <v/>
      </c>
      <c r="BR194" s="43"/>
      <c r="BS194" s="47" t="str">
        <f aca="false">IF(BN194="","",IF(_xlfn.MAXIFS(ЗАКАЗЫ!$AK$3:$AK$500,ЗАКАЗЫ!$F$3:$F$500,$A194)=0,"",_xlfn.MAXIFS(ЗАКАЗЫ!$AK$3:$AK$500,ЗАКАЗЫ!$F$3:$F$500,$A194)))</f>
        <v/>
      </c>
    </row>
    <row r="195" customFormat="false" ht="15.75" hidden="false" customHeight="true" outlineLevel="0" collapsed="false">
      <c r="A195" s="80" t="s">
        <v>1718</v>
      </c>
      <c r="B195" s="81"/>
      <c r="C195" s="81"/>
      <c r="D195" s="81"/>
      <c r="E195" s="83"/>
      <c r="F195" s="81"/>
      <c r="G195" s="83"/>
      <c r="H195" s="83"/>
      <c r="I195" s="84" t="str">
        <f aca="false">IF(E195="","",A195&amp;"_1.jpg")</f>
        <v/>
      </c>
      <c r="J195" s="84" t="str">
        <f aca="false">IF(E195="","",A195&amp;"_2.jpg; "&amp;A195&amp;"_3.jpg")</f>
        <v/>
      </c>
      <c r="K195" s="84" t="str">
        <f aca="false">IF(E195="","",A195&amp;"_schema.jpg")</f>
        <v/>
      </c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 t="s">
        <v>96</v>
      </c>
      <c r="W195" s="81"/>
      <c r="X195" s="81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6" t="str">
        <f aca="false">IF(SUM(Y195:AJ195)=0,"",SUM(Y195:AJ195))</f>
        <v/>
      </c>
      <c r="AL195" s="84" t="str">
        <f aca="false">MID(IF(N(Y195)&gt;0,", "&amp;Y$2,"")&amp;IF(N(Z195)&gt;0,", "&amp;Z$2,"")&amp;IF(N(AA195)&gt;0,", "&amp;AA$2,"")&amp;IF(N(AB195)&gt;0,", "&amp;AB$2,"")&amp;IF(N(AC195)&gt;0,", "&amp;AC$2,"")&amp;IF(N(AD195)&gt;0,", "&amp;AD$2,"")&amp;IF(N(AE195)&gt;0,", "&amp;AE$2,"")&amp;IF(N(AF195)&gt;0,", "&amp;AF$2,"")&amp;IF(N(AG195)&gt;0,", "&amp;AG$2,"")&amp;IF(N(AH195)&gt;0,", "&amp;AH$2,"")&amp;IF(N(AI195)&gt;0,", "&amp;AI$2,"")&amp;IF(N(AJ195)&gt;0,", "&amp;AJ$2,""),3,999)</f>
        <v/>
      </c>
      <c r="AM195" s="87" t="str">
        <f aca="false">IF(E195="","",MID(IF(N(Y195)&gt;0,", "&amp;A195&amp;"-"&amp;Y$2,"")&amp;IF(N(Z195)&gt;0,", "&amp;A195&amp;"-"&amp;Z$2,"")&amp;IF(N(AA195)&gt;0,", "&amp;A195&amp;"-"&amp;AA$2,"")&amp;IF(N(AB195)&gt;0,", "&amp;A195&amp;"-"&amp;AB$2,"")&amp;IF(N(AC195)&gt;0,", "&amp;A195&amp;"-"&amp;AC$2,"")&amp;IF(N(AD195)&gt;0,", "&amp;A195&amp;"-"&amp;AD$2,"")&amp;IF(N(AE195)&gt;0,", "&amp;A195&amp;"-"&amp;AE$2,"")&amp;IF(N(AF195)&gt;0,", "&amp;A195&amp;"-"&amp;AF$2,"")&amp;IF(N(AG195)&gt;0,", "&amp;A195&amp;"-"&amp;AG$2,"")&amp;IF(N(AH195)&gt;0,", "&amp;A195&amp;"-"&amp;AH$2,"")&amp;IF(N(AI195)&gt;0,", "&amp;A195&amp;"-"&amp;AI$2,"")&amp;IF(N(AJ195)&gt;0,", "&amp;A195&amp;"-"&amp;AJ$2,""),3,999))</f>
        <v/>
      </c>
      <c r="AN195" s="81"/>
      <c r="AO195" s="88"/>
      <c r="AP195" s="89" t="str">
        <f aca="false">IF(AO195="","",ROUND(AO195/(1+Справочники!$B$13),2))</f>
        <v/>
      </c>
      <c r="AQ195" s="90" t="str">
        <f aca="false" t="array" ref="AQ195:AQ195">IF(AP195="","",AP195*INDEX(Справочники!$B$4:$B$7,MATCH("RUB",Справочники!$A$4:$A$7,0)))</f>
        <v/>
      </c>
      <c r="AR195" s="90" t="str">
        <f aca="false">IF(AQ195="","",ROUND(AQ195*(1+Справочники!$B$12),0))</f>
        <v/>
      </c>
      <c r="AS195" s="90" t="str">
        <f aca="false">IF(AR195="","",ROUND(AR195*(1-Справочники!$B$11),0))</f>
        <v/>
      </c>
      <c r="AT195" s="88"/>
      <c r="AU195" s="90" t="str">
        <f aca="false">IF(AT195="","",ROUND(AT195/(1+Справочники!$B$12),0))</f>
        <v/>
      </c>
      <c r="AV195" s="90" t="str">
        <f aca="false">IF(AT195="","",ROUND(AT195*(1-Справочники!$B$15),0))</f>
        <v/>
      </c>
      <c r="AW195" s="90" t="str">
        <f aca="false">IF(AT195="","",ROUND(AT195*(1-Справочники!$B$16),0))</f>
        <v/>
      </c>
      <c r="AX195" s="90" t="str">
        <f aca="false">IF(AT195="","",ROUND(AT195*(1-Справочники!$B$17),0))</f>
        <v/>
      </c>
      <c r="AY195" s="90" t="str">
        <f aca="false">IF(AT195="","",ROUND(AT195*(1-Справочники!$B$18),0))</f>
        <v/>
      </c>
      <c r="AZ195" s="90" t="str">
        <f aca="false">IF(AT195="","",ROUND(AT195*(1-Справочники!$B$19),0))</f>
        <v/>
      </c>
      <c r="BA195" s="81"/>
      <c r="BB195" s="81"/>
      <c r="BC195" s="81"/>
      <c r="BD195" s="81"/>
      <c r="BE195" s="91"/>
      <c r="BF195" s="81" t="s">
        <v>103</v>
      </c>
      <c r="BG195" s="89" t="n">
        <f aca="false" t="array" ref="BG195:BG195">IF(BF195="","",IFERROR(INDEX(Справочники!$B$4:$B$7,MATCH(BF195,Справочники!$A$4:$A$7,0)),""))</f>
        <v>68.5</v>
      </c>
      <c r="BH195" s="90" t="str">
        <f aca="false">IF(N(BN195)&gt;0,ROUND(SUMIF(ЗАКАЗЫ!$F$3:$F$500,$A195,ЗАКАЗЫ!$Y$3:$Y$500)/BN195,0),IF(OR(BE195="",BG195=""),"",ROUND(BE195*BG195*(1+Справочники!$B$10),0)))</f>
        <v/>
      </c>
      <c r="BI195" s="92" t="str">
        <f aca="false">IF(OR(AU195="",BH195="",AU195=0),"",(AU195-BH195)/AU195)</f>
        <v/>
      </c>
      <c r="BJ195" s="81"/>
      <c r="BK195" s="83"/>
      <c r="BL195" s="43" t="str">
        <f aca="false">IFERROR(INDEX(ЗАКАЗЫ!$N$3:$N$500,MATCH($A195,ЗАКАЗЫ!$F$3:$F$500,0)),"")</f>
        <v/>
      </c>
      <c r="BM195" s="8" t="str">
        <f aca="false">IF(BL195="","",IFERROR(VLOOKUP(BL195,'ТН ВЭД'!$A$4:$C$40,3,0),""))</f>
        <v/>
      </c>
      <c r="BN195" s="7" t="str">
        <f aca="false">IF(COUNTIF(ЗАКАЗЫ!$F$3:$F$500,$A195)=0,"",SUMIF(ЗАКАЗЫ!$F$3:$F$500,$A195,ЗАКАЗЫ!$J$3:$J$500))</f>
        <v/>
      </c>
      <c r="BO195" s="7" t="str">
        <f aca="false">IF(BN195="","",SUMIF(ЗАКАЗЫ!$F$3:$F$500,$A195,ЗАКАЗЫ!$AL$3:$AL$500))</f>
        <v/>
      </c>
      <c r="BP195" s="7" t="str">
        <f aca="false">IF(BN195="","",BN195-BO195)</f>
        <v/>
      </c>
      <c r="BQ195" s="55" t="str">
        <f aca="false">IF(BN195="","",IF(BO195&gt;=BN195,"На складе",IF(BO195&gt;0,"Частично","Ждём")))</f>
        <v/>
      </c>
      <c r="BR195" s="43"/>
      <c r="BS195" s="47" t="str">
        <f aca="false">IF(BN195="","",IF(_xlfn.MAXIFS(ЗАКАЗЫ!$AK$3:$AK$500,ЗАКАЗЫ!$F$3:$F$500,$A195)=0,"",_xlfn.MAXIFS(ЗАКАЗЫ!$AK$3:$AK$500,ЗАКАЗЫ!$F$3:$F$500,$A195)))</f>
        <v/>
      </c>
    </row>
    <row r="196" customFormat="false" ht="15.75" hidden="false" customHeight="true" outlineLevel="0" collapsed="false">
      <c r="A196" s="80" t="s">
        <v>1719</v>
      </c>
      <c r="B196" s="81"/>
      <c r="C196" s="81"/>
      <c r="D196" s="81"/>
      <c r="E196" s="83"/>
      <c r="F196" s="81"/>
      <c r="G196" s="83"/>
      <c r="H196" s="83"/>
      <c r="I196" s="84" t="str">
        <f aca="false">IF(E196="","",A196&amp;"_1.jpg")</f>
        <v/>
      </c>
      <c r="J196" s="84" t="str">
        <f aca="false">IF(E196="","",A196&amp;"_2.jpg; "&amp;A196&amp;"_3.jpg")</f>
        <v/>
      </c>
      <c r="K196" s="84" t="str">
        <f aca="false">IF(E196="","",A196&amp;"_schema.jpg")</f>
        <v/>
      </c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 t="s">
        <v>96</v>
      </c>
      <c r="W196" s="81"/>
      <c r="X196" s="81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6" t="str">
        <f aca="false">IF(SUM(Y196:AJ196)=0,"",SUM(Y196:AJ196))</f>
        <v/>
      </c>
      <c r="AL196" s="84" t="str">
        <f aca="false">MID(IF(N(Y196)&gt;0,", "&amp;Y$2,"")&amp;IF(N(Z196)&gt;0,", "&amp;Z$2,"")&amp;IF(N(AA196)&gt;0,", "&amp;AA$2,"")&amp;IF(N(AB196)&gt;0,", "&amp;AB$2,"")&amp;IF(N(AC196)&gt;0,", "&amp;AC$2,"")&amp;IF(N(AD196)&gt;0,", "&amp;AD$2,"")&amp;IF(N(AE196)&gt;0,", "&amp;AE$2,"")&amp;IF(N(AF196)&gt;0,", "&amp;AF$2,"")&amp;IF(N(AG196)&gt;0,", "&amp;AG$2,"")&amp;IF(N(AH196)&gt;0,", "&amp;AH$2,"")&amp;IF(N(AI196)&gt;0,", "&amp;AI$2,"")&amp;IF(N(AJ196)&gt;0,", "&amp;AJ$2,""),3,999)</f>
        <v/>
      </c>
      <c r="AM196" s="87" t="str">
        <f aca="false">IF(E196="","",MID(IF(N(Y196)&gt;0,", "&amp;A196&amp;"-"&amp;Y$2,"")&amp;IF(N(Z196)&gt;0,", "&amp;A196&amp;"-"&amp;Z$2,"")&amp;IF(N(AA196)&gt;0,", "&amp;A196&amp;"-"&amp;AA$2,"")&amp;IF(N(AB196)&gt;0,", "&amp;A196&amp;"-"&amp;AB$2,"")&amp;IF(N(AC196)&gt;0,", "&amp;A196&amp;"-"&amp;AC$2,"")&amp;IF(N(AD196)&gt;0,", "&amp;A196&amp;"-"&amp;AD$2,"")&amp;IF(N(AE196)&gt;0,", "&amp;A196&amp;"-"&amp;AE$2,"")&amp;IF(N(AF196)&gt;0,", "&amp;A196&amp;"-"&amp;AF$2,"")&amp;IF(N(AG196)&gt;0,", "&amp;A196&amp;"-"&amp;AG$2,"")&amp;IF(N(AH196)&gt;0,", "&amp;A196&amp;"-"&amp;AH$2,"")&amp;IF(N(AI196)&gt;0,", "&amp;A196&amp;"-"&amp;AI$2,"")&amp;IF(N(AJ196)&gt;0,", "&amp;A196&amp;"-"&amp;AJ$2,""),3,999))</f>
        <v/>
      </c>
      <c r="AN196" s="81"/>
      <c r="AO196" s="88"/>
      <c r="AP196" s="89" t="str">
        <f aca="false">IF(AO196="","",ROUND(AO196/(1+Справочники!$B$13),2))</f>
        <v/>
      </c>
      <c r="AQ196" s="90" t="str">
        <f aca="false" t="array" ref="AQ196:AQ196">IF(AP196="","",AP196*INDEX(Справочники!$B$4:$B$7,MATCH("RUB",Справочники!$A$4:$A$7,0)))</f>
        <v/>
      </c>
      <c r="AR196" s="90" t="str">
        <f aca="false">IF(AQ196="","",ROUND(AQ196*(1+Справочники!$B$12),0))</f>
        <v/>
      </c>
      <c r="AS196" s="90" t="str">
        <f aca="false">IF(AR196="","",ROUND(AR196*(1-Справочники!$B$11),0))</f>
        <v/>
      </c>
      <c r="AT196" s="88"/>
      <c r="AU196" s="90" t="str">
        <f aca="false">IF(AT196="","",ROUND(AT196/(1+Справочники!$B$12),0))</f>
        <v/>
      </c>
      <c r="AV196" s="90" t="str">
        <f aca="false">IF(AT196="","",ROUND(AT196*(1-Справочники!$B$15),0))</f>
        <v/>
      </c>
      <c r="AW196" s="90" t="str">
        <f aca="false">IF(AT196="","",ROUND(AT196*(1-Справочники!$B$16),0))</f>
        <v/>
      </c>
      <c r="AX196" s="90" t="str">
        <f aca="false">IF(AT196="","",ROUND(AT196*(1-Справочники!$B$17),0))</f>
        <v/>
      </c>
      <c r="AY196" s="90" t="str">
        <f aca="false">IF(AT196="","",ROUND(AT196*(1-Справочники!$B$18),0))</f>
        <v/>
      </c>
      <c r="AZ196" s="90" t="str">
        <f aca="false">IF(AT196="","",ROUND(AT196*(1-Справочники!$B$19),0))</f>
        <v/>
      </c>
      <c r="BA196" s="81"/>
      <c r="BB196" s="81"/>
      <c r="BC196" s="81"/>
      <c r="BD196" s="81"/>
      <c r="BE196" s="91"/>
      <c r="BF196" s="81" t="s">
        <v>103</v>
      </c>
      <c r="BG196" s="89" t="n">
        <f aca="false" t="array" ref="BG196:BG196">IF(BF196="","",IFERROR(INDEX(Справочники!$B$4:$B$7,MATCH(BF196,Справочники!$A$4:$A$7,0)),""))</f>
        <v>68.5</v>
      </c>
      <c r="BH196" s="90" t="str">
        <f aca="false">IF(N(BN196)&gt;0,ROUND(SUMIF(ЗАКАЗЫ!$F$3:$F$500,$A196,ЗАКАЗЫ!$Y$3:$Y$500)/BN196,0),IF(OR(BE196="",BG196=""),"",ROUND(BE196*BG196*(1+Справочники!$B$10),0)))</f>
        <v/>
      </c>
      <c r="BI196" s="92" t="str">
        <f aca="false">IF(OR(AU196="",BH196="",AU196=0),"",(AU196-BH196)/AU196)</f>
        <v/>
      </c>
      <c r="BJ196" s="81"/>
      <c r="BK196" s="83"/>
      <c r="BL196" s="43" t="str">
        <f aca="false">IFERROR(INDEX(ЗАКАЗЫ!$N$3:$N$500,MATCH($A196,ЗАКАЗЫ!$F$3:$F$500,0)),"")</f>
        <v/>
      </c>
      <c r="BM196" s="8" t="str">
        <f aca="false">IF(BL196="","",IFERROR(VLOOKUP(BL196,'ТН ВЭД'!$A$4:$C$40,3,0),""))</f>
        <v/>
      </c>
      <c r="BN196" s="7" t="str">
        <f aca="false">IF(COUNTIF(ЗАКАЗЫ!$F$3:$F$500,$A196)=0,"",SUMIF(ЗАКАЗЫ!$F$3:$F$500,$A196,ЗАКАЗЫ!$J$3:$J$500))</f>
        <v/>
      </c>
      <c r="BO196" s="7" t="str">
        <f aca="false">IF(BN196="","",SUMIF(ЗАКАЗЫ!$F$3:$F$500,$A196,ЗАКАЗЫ!$AL$3:$AL$500))</f>
        <v/>
      </c>
      <c r="BP196" s="7" t="str">
        <f aca="false">IF(BN196="","",BN196-BO196)</f>
        <v/>
      </c>
      <c r="BQ196" s="55" t="str">
        <f aca="false">IF(BN196="","",IF(BO196&gt;=BN196,"На складе",IF(BO196&gt;0,"Частично","Ждём")))</f>
        <v/>
      </c>
      <c r="BR196" s="43"/>
      <c r="BS196" s="47" t="str">
        <f aca="false">IF(BN196="","",IF(_xlfn.MAXIFS(ЗАКАЗЫ!$AK$3:$AK$500,ЗАКАЗЫ!$F$3:$F$500,$A196)=0,"",_xlfn.MAXIFS(ЗАКАЗЫ!$AK$3:$AK$500,ЗАКАЗЫ!$F$3:$F$500,$A196)))</f>
        <v/>
      </c>
    </row>
    <row r="197" customFormat="false" ht="15.75" hidden="false" customHeight="true" outlineLevel="0" collapsed="false">
      <c r="A197" s="80" t="s">
        <v>1720</v>
      </c>
      <c r="B197" s="81"/>
      <c r="C197" s="81"/>
      <c r="D197" s="81"/>
      <c r="E197" s="83"/>
      <c r="F197" s="81"/>
      <c r="G197" s="83"/>
      <c r="H197" s="83"/>
      <c r="I197" s="84" t="str">
        <f aca="false">IF(E197="","",A197&amp;"_1.jpg")</f>
        <v/>
      </c>
      <c r="J197" s="84" t="str">
        <f aca="false">IF(E197="","",A197&amp;"_2.jpg; "&amp;A197&amp;"_3.jpg")</f>
        <v/>
      </c>
      <c r="K197" s="84" t="str">
        <f aca="false">IF(E197="","",A197&amp;"_schema.jpg")</f>
        <v/>
      </c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 t="s">
        <v>96</v>
      </c>
      <c r="W197" s="81"/>
      <c r="X197" s="81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6" t="str">
        <f aca="false">IF(SUM(Y197:AJ197)=0,"",SUM(Y197:AJ197))</f>
        <v/>
      </c>
      <c r="AL197" s="84" t="str">
        <f aca="false">MID(IF(N(Y197)&gt;0,", "&amp;Y$2,"")&amp;IF(N(Z197)&gt;0,", "&amp;Z$2,"")&amp;IF(N(AA197)&gt;0,", "&amp;AA$2,"")&amp;IF(N(AB197)&gt;0,", "&amp;AB$2,"")&amp;IF(N(AC197)&gt;0,", "&amp;AC$2,"")&amp;IF(N(AD197)&gt;0,", "&amp;AD$2,"")&amp;IF(N(AE197)&gt;0,", "&amp;AE$2,"")&amp;IF(N(AF197)&gt;0,", "&amp;AF$2,"")&amp;IF(N(AG197)&gt;0,", "&amp;AG$2,"")&amp;IF(N(AH197)&gt;0,", "&amp;AH$2,"")&amp;IF(N(AI197)&gt;0,", "&amp;AI$2,"")&amp;IF(N(AJ197)&gt;0,", "&amp;AJ$2,""),3,999)</f>
        <v/>
      </c>
      <c r="AM197" s="87" t="str">
        <f aca="false">IF(E197="","",MID(IF(N(Y197)&gt;0,", "&amp;A197&amp;"-"&amp;Y$2,"")&amp;IF(N(Z197)&gt;0,", "&amp;A197&amp;"-"&amp;Z$2,"")&amp;IF(N(AA197)&gt;0,", "&amp;A197&amp;"-"&amp;AA$2,"")&amp;IF(N(AB197)&gt;0,", "&amp;A197&amp;"-"&amp;AB$2,"")&amp;IF(N(AC197)&gt;0,", "&amp;A197&amp;"-"&amp;AC$2,"")&amp;IF(N(AD197)&gt;0,", "&amp;A197&amp;"-"&amp;AD$2,"")&amp;IF(N(AE197)&gt;0,", "&amp;A197&amp;"-"&amp;AE$2,"")&amp;IF(N(AF197)&gt;0,", "&amp;A197&amp;"-"&amp;AF$2,"")&amp;IF(N(AG197)&gt;0,", "&amp;A197&amp;"-"&amp;AG$2,"")&amp;IF(N(AH197)&gt;0,", "&amp;A197&amp;"-"&amp;AH$2,"")&amp;IF(N(AI197)&gt;0,", "&amp;A197&amp;"-"&amp;AI$2,"")&amp;IF(N(AJ197)&gt;0,", "&amp;A197&amp;"-"&amp;AJ$2,""),3,999))</f>
        <v/>
      </c>
      <c r="AN197" s="81"/>
      <c r="AO197" s="88"/>
      <c r="AP197" s="89" t="str">
        <f aca="false">IF(AO197="","",ROUND(AO197/(1+Справочники!$B$13),2))</f>
        <v/>
      </c>
      <c r="AQ197" s="90" t="str">
        <f aca="false" t="array" ref="AQ197:AQ197">IF(AP197="","",AP197*INDEX(Справочники!$B$4:$B$7,MATCH("RUB",Справочники!$A$4:$A$7,0)))</f>
        <v/>
      </c>
      <c r="AR197" s="90" t="str">
        <f aca="false">IF(AQ197="","",ROUND(AQ197*(1+Справочники!$B$12),0))</f>
        <v/>
      </c>
      <c r="AS197" s="90" t="str">
        <f aca="false">IF(AR197="","",ROUND(AR197*(1-Справочники!$B$11),0))</f>
        <v/>
      </c>
      <c r="AT197" s="88"/>
      <c r="AU197" s="90" t="str">
        <f aca="false">IF(AT197="","",ROUND(AT197/(1+Справочники!$B$12),0))</f>
        <v/>
      </c>
      <c r="AV197" s="90" t="str">
        <f aca="false">IF(AT197="","",ROUND(AT197*(1-Справочники!$B$15),0))</f>
        <v/>
      </c>
      <c r="AW197" s="90" t="str">
        <f aca="false">IF(AT197="","",ROUND(AT197*(1-Справочники!$B$16),0))</f>
        <v/>
      </c>
      <c r="AX197" s="90" t="str">
        <f aca="false">IF(AT197="","",ROUND(AT197*(1-Справочники!$B$17),0))</f>
        <v/>
      </c>
      <c r="AY197" s="90" t="str">
        <f aca="false">IF(AT197="","",ROUND(AT197*(1-Справочники!$B$18),0))</f>
        <v/>
      </c>
      <c r="AZ197" s="90" t="str">
        <f aca="false">IF(AT197="","",ROUND(AT197*(1-Справочники!$B$19),0))</f>
        <v/>
      </c>
      <c r="BA197" s="81"/>
      <c r="BB197" s="81"/>
      <c r="BC197" s="81"/>
      <c r="BD197" s="81"/>
      <c r="BE197" s="91"/>
      <c r="BF197" s="81" t="s">
        <v>103</v>
      </c>
      <c r="BG197" s="89" t="n">
        <f aca="false" t="array" ref="BG197:BG197">IF(BF197="","",IFERROR(INDEX(Справочники!$B$4:$B$7,MATCH(BF197,Справочники!$A$4:$A$7,0)),""))</f>
        <v>68.5</v>
      </c>
      <c r="BH197" s="90" t="str">
        <f aca="false">IF(N(BN197)&gt;0,ROUND(SUMIF(ЗАКАЗЫ!$F$3:$F$500,$A197,ЗАКАЗЫ!$Y$3:$Y$500)/BN197,0),IF(OR(BE197="",BG197=""),"",ROUND(BE197*BG197*(1+Справочники!$B$10),0)))</f>
        <v/>
      </c>
      <c r="BI197" s="92" t="str">
        <f aca="false">IF(OR(AU197="",BH197="",AU197=0),"",(AU197-BH197)/AU197)</f>
        <v/>
      </c>
      <c r="BJ197" s="81"/>
      <c r="BK197" s="83"/>
      <c r="BL197" s="43" t="str">
        <f aca="false">IFERROR(INDEX(ЗАКАЗЫ!$N$3:$N$500,MATCH($A197,ЗАКАЗЫ!$F$3:$F$500,0)),"")</f>
        <v/>
      </c>
      <c r="BM197" s="8" t="str">
        <f aca="false">IF(BL197="","",IFERROR(VLOOKUP(BL197,'ТН ВЭД'!$A$4:$C$40,3,0),""))</f>
        <v/>
      </c>
      <c r="BN197" s="7" t="str">
        <f aca="false">IF(COUNTIF(ЗАКАЗЫ!$F$3:$F$500,$A197)=0,"",SUMIF(ЗАКАЗЫ!$F$3:$F$500,$A197,ЗАКАЗЫ!$J$3:$J$500))</f>
        <v/>
      </c>
      <c r="BO197" s="7" t="str">
        <f aca="false">IF(BN197="","",SUMIF(ЗАКАЗЫ!$F$3:$F$500,$A197,ЗАКАЗЫ!$AL$3:$AL$500))</f>
        <v/>
      </c>
      <c r="BP197" s="7" t="str">
        <f aca="false">IF(BN197="","",BN197-BO197)</f>
        <v/>
      </c>
      <c r="BQ197" s="55" t="str">
        <f aca="false">IF(BN197="","",IF(BO197&gt;=BN197,"На складе",IF(BO197&gt;0,"Частично","Ждём")))</f>
        <v/>
      </c>
      <c r="BR197" s="43"/>
      <c r="BS197" s="47" t="str">
        <f aca="false">IF(BN197="","",IF(_xlfn.MAXIFS(ЗАКАЗЫ!$AK$3:$AK$500,ЗАКАЗЫ!$F$3:$F$500,$A197)=0,"",_xlfn.MAXIFS(ЗАКАЗЫ!$AK$3:$AK$500,ЗАКАЗЫ!$F$3:$F$500,$A197)))</f>
        <v/>
      </c>
    </row>
    <row r="198" customFormat="false" ht="15.75" hidden="false" customHeight="true" outlineLevel="0" collapsed="false">
      <c r="A198" s="80" t="s">
        <v>1721</v>
      </c>
      <c r="B198" s="81"/>
      <c r="C198" s="81"/>
      <c r="D198" s="81"/>
      <c r="E198" s="83"/>
      <c r="F198" s="81"/>
      <c r="G198" s="83"/>
      <c r="H198" s="83"/>
      <c r="I198" s="84" t="str">
        <f aca="false">IF(E198="","",A198&amp;"_1.jpg")</f>
        <v/>
      </c>
      <c r="J198" s="84" t="str">
        <f aca="false">IF(E198="","",A198&amp;"_2.jpg; "&amp;A198&amp;"_3.jpg")</f>
        <v/>
      </c>
      <c r="K198" s="84" t="str">
        <f aca="false">IF(E198="","",A198&amp;"_schema.jpg")</f>
        <v/>
      </c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 t="s">
        <v>96</v>
      </c>
      <c r="W198" s="81"/>
      <c r="X198" s="81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6" t="str">
        <f aca="false">IF(SUM(Y198:AJ198)=0,"",SUM(Y198:AJ198))</f>
        <v/>
      </c>
      <c r="AL198" s="84" t="str">
        <f aca="false">MID(IF(N(Y198)&gt;0,", "&amp;Y$2,"")&amp;IF(N(Z198)&gt;0,", "&amp;Z$2,"")&amp;IF(N(AA198)&gt;0,", "&amp;AA$2,"")&amp;IF(N(AB198)&gt;0,", "&amp;AB$2,"")&amp;IF(N(AC198)&gt;0,", "&amp;AC$2,"")&amp;IF(N(AD198)&gt;0,", "&amp;AD$2,"")&amp;IF(N(AE198)&gt;0,", "&amp;AE$2,"")&amp;IF(N(AF198)&gt;0,", "&amp;AF$2,"")&amp;IF(N(AG198)&gt;0,", "&amp;AG$2,"")&amp;IF(N(AH198)&gt;0,", "&amp;AH$2,"")&amp;IF(N(AI198)&gt;0,", "&amp;AI$2,"")&amp;IF(N(AJ198)&gt;0,", "&amp;AJ$2,""),3,999)</f>
        <v/>
      </c>
      <c r="AM198" s="87" t="str">
        <f aca="false">IF(E198="","",MID(IF(N(Y198)&gt;0,", "&amp;A198&amp;"-"&amp;Y$2,"")&amp;IF(N(Z198)&gt;0,", "&amp;A198&amp;"-"&amp;Z$2,"")&amp;IF(N(AA198)&gt;0,", "&amp;A198&amp;"-"&amp;AA$2,"")&amp;IF(N(AB198)&gt;0,", "&amp;A198&amp;"-"&amp;AB$2,"")&amp;IF(N(AC198)&gt;0,", "&amp;A198&amp;"-"&amp;AC$2,"")&amp;IF(N(AD198)&gt;0,", "&amp;A198&amp;"-"&amp;AD$2,"")&amp;IF(N(AE198)&gt;0,", "&amp;A198&amp;"-"&amp;AE$2,"")&amp;IF(N(AF198)&gt;0,", "&amp;A198&amp;"-"&amp;AF$2,"")&amp;IF(N(AG198)&gt;0,", "&amp;A198&amp;"-"&amp;AG$2,"")&amp;IF(N(AH198)&gt;0,", "&amp;A198&amp;"-"&amp;AH$2,"")&amp;IF(N(AI198)&gt;0,", "&amp;A198&amp;"-"&amp;AI$2,"")&amp;IF(N(AJ198)&gt;0,", "&amp;A198&amp;"-"&amp;AJ$2,""),3,999))</f>
        <v/>
      </c>
      <c r="AN198" s="81"/>
      <c r="AO198" s="88"/>
      <c r="AP198" s="89" t="str">
        <f aca="false">IF(AO198="","",ROUND(AO198/(1+Справочники!$B$13),2))</f>
        <v/>
      </c>
      <c r="AQ198" s="90" t="str">
        <f aca="false" t="array" ref="AQ198:AQ198">IF(AP198="","",AP198*INDEX(Справочники!$B$4:$B$7,MATCH("RUB",Справочники!$A$4:$A$7,0)))</f>
        <v/>
      </c>
      <c r="AR198" s="90" t="str">
        <f aca="false">IF(AQ198="","",ROUND(AQ198*(1+Справочники!$B$12),0))</f>
        <v/>
      </c>
      <c r="AS198" s="90" t="str">
        <f aca="false">IF(AR198="","",ROUND(AR198*(1-Справочники!$B$11),0))</f>
        <v/>
      </c>
      <c r="AT198" s="88"/>
      <c r="AU198" s="90" t="str">
        <f aca="false">IF(AT198="","",ROUND(AT198/(1+Справочники!$B$12),0))</f>
        <v/>
      </c>
      <c r="AV198" s="90" t="str">
        <f aca="false">IF(AT198="","",ROUND(AT198*(1-Справочники!$B$15),0))</f>
        <v/>
      </c>
      <c r="AW198" s="90" t="str">
        <f aca="false">IF(AT198="","",ROUND(AT198*(1-Справочники!$B$16),0))</f>
        <v/>
      </c>
      <c r="AX198" s="90" t="str">
        <f aca="false">IF(AT198="","",ROUND(AT198*(1-Справочники!$B$17),0))</f>
        <v/>
      </c>
      <c r="AY198" s="90" t="str">
        <f aca="false">IF(AT198="","",ROUND(AT198*(1-Справочники!$B$18),0))</f>
        <v/>
      </c>
      <c r="AZ198" s="90" t="str">
        <f aca="false">IF(AT198="","",ROUND(AT198*(1-Справочники!$B$19),0))</f>
        <v/>
      </c>
      <c r="BA198" s="81"/>
      <c r="BB198" s="81"/>
      <c r="BC198" s="81"/>
      <c r="BD198" s="81"/>
      <c r="BE198" s="91"/>
      <c r="BF198" s="81" t="s">
        <v>103</v>
      </c>
      <c r="BG198" s="89" t="n">
        <f aca="false" t="array" ref="BG198:BG198">IF(BF198="","",IFERROR(INDEX(Справочники!$B$4:$B$7,MATCH(BF198,Справочники!$A$4:$A$7,0)),""))</f>
        <v>68.5</v>
      </c>
      <c r="BH198" s="90" t="str">
        <f aca="false">IF(N(BN198)&gt;0,ROUND(SUMIF(ЗАКАЗЫ!$F$3:$F$500,$A198,ЗАКАЗЫ!$Y$3:$Y$500)/BN198,0),IF(OR(BE198="",BG198=""),"",ROUND(BE198*BG198*(1+Справочники!$B$10),0)))</f>
        <v/>
      </c>
      <c r="BI198" s="92" t="str">
        <f aca="false">IF(OR(AU198="",BH198="",AU198=0),"",(AU198-BH198)/AU198)</f>
        <v/>
      </c>
      <c r="BJ198" s="81"/>
      <c r="BK198" s="83"/>
      <c r="BL198" s="43" t="str">
        <f aca="false">IFERROR(INDEX(ЗАКАЗЫ!$N$3:$N$500,MATCH($A198,ЗАКАЗЫ!$F$3:$F$500,0)),"")</f>
        <v/>
      </c>
      <c r="BM198" s="8" t="str">
        <f aca="false">IF(BL198="","",IFERROR(VLOOKUP(BL198,'ТН ВЭД'!$A$4:$C$40,3,0),""))</f>
        <v/>
      </c>
      <c r="BN198" s="7" t="str">
        <f aca="false">IF(COUNTIF(ЗАКАЗЫ!$F$3:$F$500,$A198)=0,"",SUMIF(ЗАКАЗЫ!$F$3:$F$500,$A198,ЗАКАЗЫ!$J$3:$J$500))</f>
        <v/>
      </c>
      <c r="BO198" s="7" t="str">
        <f aca="false">IF(BN198="","",SUMIF(ЗАКАЗЫ!$F$3:$F$500,$A198,ЗАКАЗЫ!$AL$3:$AL$500))</f>
        <v/>
      </c>
      <c r="BP198" s="7" t="str">
        <f aca="false">IF(BN198="","",BN198-BO198)</f>
        <v/>
      </c>
      <c r="BQ198" s="55" t="str">
        <f aca="false">IF(BN198="","",IF(BO198&gt;=BN198,"На складе",IF(BO198&gt;0,"Частично","Ждём")))</f>
        <v/>
      </c>
      <c r="BR198" s="43"/>
      <c r="BS198" s="47" t="str">
        <f aca="false">IF(BN198="","",IF(_xlfn.MAXIFS(ЗАКАЗЫ!$AK$3:$AK$500,ЗАКАЗЫ!$F$3:$F$500,$A198)=0,"",_xlfn.MAXIFS(ЗАКАЗЫ!$AK$3:$AK$500,ЗАКАЗЫ!$F$3:$F$500,$A198)))</f>
        <v/>
      </c>
    </row>
    <row r="199" customFormat="false" ht="15.75" hidden="false" customHeight="true" outlineLevel="0" collapsed="false">
      <c r="A199" s="80" t="s">
        <v>1722</v>
      </c>
      <c r="B199" s="81"/>
      <c r="C199" s="81"/>
      <c r="D199" s="81"/>
      <c r="E199" s="83"/>
      <c r="F199" s="81"/>
      <c r="G199" s="83"/>
      <c r="H199" s="83"/>
      <c r="I199" s="84" t="str">
        <f aca="false">IF(E199="","",A199&amp;"_1.jpg")</f>
        <v/>
      </c>
      <c r="J199" s="84" t="str">
        <f aca="false">IF(E199="","",A199&amp;"_2.jpg; "&amp;A199&amp;"_3.jpg")</f>
        <v/>
      </c>
      <c r="K199" s="84" t="str">
        <f aca="false">IF(E199="","",A199&amp;"_schema.jpg")</f>
        <v/>
      </c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 t="s">
        <v>96</v>
      </c>
      <c r="W199" s="81"/>
      <c r="X199" s="81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6" t="str">
        <f aca="false">IF(SUM(Y199:AJ199)=0,"",SUM(Y199:AJ199))</f>
        <v/>
      </c>
      <c r="AL199" s="84" t="str">
        <f aca="false">MID(IF(N(Y199)&gt;0,", "&amp;Y$2,"")&amp;IF(N(Z199)&gt;0,", "&amp;Z$2,"")&amp;IF(N(AA199)&gt;0,", "&amp;AA$2,"")&amp;IF(N(AB199)&gt;0,", "&amp;AB$2,"")&amp;IF(N(AC199)&gt;0,", "&amp;AC$2,"")&amp;IF(N(AD199)&gt;0,", "&amp;AD$2,"")&amp;IF(N(AE199)&gt;0,", "&amp;AE$2,"")&amp;IF(N(AF199)&gt;0,", "&amp;AF$2,"")&amp;IF(N(AG199)&gt;0,", "&amp;AG$2,"")&amp;IF(N(AH199)&gt;0,", "&amp;AH$2,"")&amp;IF(N(AI199)&gt;0,", "&amp;AI$2,"")&amp;IF(N(AJ199)&gt;0,", "&amp;AJ$2,""),3,999)</f>
        <v/>
      </c>
      <c r="AM199" s="87" t="str">
        <f aca="false">IF(E199="","",MID(IF(N(Y199)&gt;0,", "&amp;A199&amp;"-"&amp;Y$2,"")&amp;IF(N(Z199)&gt;0,", "&amp;A199&amp;"-"&amp;Z$2,"")&amp;IF(N(AA199)&gt;0,", "&amp;A199&amp;"-"&amp;AA$2,"")&amp;IF(N(AB199)&gt;0,", "&amp;A199&amp;"-"&amp;AB$2,"")&amp;IF(N(AC199)&gt;0,", "&amp;A199&amp;"-"&amp;AC$2,"")&amp;IF(N(AD199)&gt;0,", "&amp;A199&amp;"-"&amp;AD$2,"")&amp;IF(N(AE199)&gt;0,", "&amp;A199&amp;"-"&amp;AE$2,"")&amp;IF(N(AF199)&gt;0,", "&amp;A199&amp;"-"&amp;AF$2,"")&amp;IF(N(AG199)&gt;0,", "&amp;A199&amp;"-"&amp;AG$2,"")&amp;IF(N(AH199)&gt;0,", "&amp;A199&amp;"-"&amp;AH$2,"")&amp;IF(N(AI199)&gt;0,", "&amp;A199&amp;"-"&amp;AI$2,"")&amp;IF(N(AJ199)&gt;0,", "&amp;A199&amp;"-"&amp;AJ$2,""),3,999))</f>
        <v/>
      </c>
      <c r="AN199" s="81"/>
      <c r="AO199" s="88"/>
      <c r="AP199" s="89" t="str">
        <f aca="false">IF(AO199="","",ROUND(AO199/(1+Справочники!$B$13),2))</f>
        <v/>
      </c>
      <c r="AQ199" s="90" t="str">
        <f aca="false" t="array" ref="AQ199:AQ199">IF(AP199="","",AP199*INDEX(Справочники!$B$4:$B$7,MATCH("RUB",Справочники!$A$4:$A$7,0)))</f>
        <v/>
      </c>
      <c r="AR199" s="90" t="str">
        <f aca="false">IF(AQ199="","",ROUND(AQ199*(1+Справочники!$B$12),0))</f>
        <v/>
      </c>
      <c r="AS199" s="90" t="str">
        <f aca="false">IF(AR199="","",ROUND(AR199*(1-Справочники!$B$11),0))</f>
        <v/>
      </c>
      <c r="AT199" s="88"/>
      <c r="AU199" s="90" t="str">
        <f aca="false">IF(AT199="","",ROUND(AT199/(1+Справочники!$B$12),0))</f>
        <v/>
      </c>
      <c r="AV199" s="90" t="str">
        <f aca="false">IF(AT199="","",ROUND(AT199*(1-Справочники!$B$15),0))</f>
        <v/>
      </c>
      <c r="AW199" s="90" t="str">
        <f aca="false">IF(AT199="","",ROUND(AT199*(1-Справочники!$B$16),0))</f>
        <v/>
      </c>
      <c r="AX199" s="90" t="str">
        <f aca="false">IF(AT199="","",ROUND(AT199*(1-Справочники!$B$17),0))</f>
        <v/>
      </c>
      <c r="AY199" s="90" t="str">
        <f aca="false">IF(AT199="","",ROUND(AT199*(1-Справочники!$B$18),0))</f>
        <v/>
      </c>
      <c r="AZ199" s="90" t="str">
        <f aca="false">IF(AT199="","",ROUND(AT199*(1-Справочники!$B$19),0))</f>
        <v/>
      </c>
      <c r="BA199" s="81"/>
      <c r="BB199" s="81"/>
      <c r="BC199" s="81"/>
      <c r="BD199" s="81"/>
      <c r="BE199" s="91"/>
      <c r="BF199" s="81" t="s">
        <v>103</v>
      </c>
      <c r="BG199" s="89" t="n">
        <f aca="false" t="array" ref="BG199:BG199">IF(BF199="","",IFERROR(INDEX(Справочники!$B$4:$B$7,MATCH(BF199,Справочники!$A$4:$A$7,0)),""))</f>
        <v>68.5</v>
      </c>
      <c r="BH199" s="90" t="str">
        <f aca="false">IF(N(BN199)&gt;0,ROUND(SUMIF(ЗАКАЗЫ!$F$3:$F$500,$A199,ЗАКАЗЫ!$Y$3:$Y$500)/BN199,0),IF(OR(BE199="",BG199=""),"",ROUND(BE199*BG199*(1+Справочники!$B$10),0)))</f>
        <v/>
      </c>
      <c r="BI199" s="92" t="str">
        <f aca="false">IF(OR(AU199="",BH199="",AU199=0),"",(AU199-BH199)/AU199)</f>
        <v/>
      </c>
      <c r="BJ199" s="81"/>
      <c r="BK199" s="83"/>
      <c r="BL199" s="43" t="str">
        <f aca="false">IFERROR(INDEX(ЗАКАЗЫ!$N$3:$N$500,MATCH($A199,ЗАКАЗЫ!$F$3:$F$500,0)),"")</f>
        <v/>
      </c>
      <c r="BM199" s="8" t="str">
        <f aca="false">IF(BL199="","",IFERROR(VLOOKUP(BL199,'ТН ВЭД'!$A$4:$C$40,3,0),""))</f>
        <v/>
      </c>
      <c r="BN199" s="7" t="str">
        <f aca="false">IF(COUNTIF(ЗАКАЗЫ!$F$3:$F$500,$A199)=0,"",SUMIF(ЗАКАЗЫ!$F$3:$F$500,$A199,ЗАКАЗЫ!$J$3:$J$500))</f>
        <v/>
      </c>
      <c r="BO199" s="7" t="str">
        <f aca="false">IF(BN199="","",SUMIF(ЗАКАЗЫ!$F$3:$F$500,$A199,ЗАКАЗЫ!$AL$3:$AL$500))</f>
        <v/>
      </c>
      <c r="BP199" s="7" t="str">
        <f aca="false">IF(BN199="","",BN199-BO199)</f>
        <v/>
      </c>
      <c r="BQ199" s="55" t="str">
        <f aca="false">IF(BN199="","",IF(BO199&gt;=BN199,"На складе",IF(BO199&gt;0,"Частично","Ждём")))</f>
        <v/>
      </c>
      <c r="BR199" s="43"/>
      <c r="BS199" s="47" t="str">
        <f aca="false">IF(BN199="","",IF(_xlfn.MAXIFS(ЗАКАЗЫ!$AK$3:$AK$500,ЗАКАЗЫ!$F$3:$F$500,$A199)=0,"",_xlfn.MAXIFS(ЗАКАЗЫ!$AK$3:$AK$500,ЗАКАЗЫ!$F$3:$F$500,$A199)))</f>
        <v/>
      </c>
    </row>
    <row r="200" customFormat="false" ht="15.75" hidden="false" customHeight="true" outlineLevel="0" collapsed="false">
      <c r="A200" s="80" t="s">
        <v>1723</v>
      </c>
      <c r="B200" s="81"/>
      <c r="C200" s="81"/>
      <c r="D200" s="81"/>
      <c r="E200" s="83"/>
      <c r="F200" s="81"/>
      <c r="G200" s="83"/>
      <c r="H200" s="83"/>
      <c r="I200" s="84" t="str">
        <f aca="false">IF(E200="","",A200&amp;"_1.jpg")</f>
        <v/>
      </c>
      <c r="J200" s="84" t="str">
        <f aca="false">IF(E200="","",A200&amp;"_2.jpg; "&amp;A200&amp;"_3.jpg")</f>
        <v/>
      </c>
      <c r="K200" s="84" t="str">
        <f aca="false">IF(E200="","",A200&amp;"_schema.jpg")</f>
        <v/>
      </c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 t="s">
        <v>96</v>
      </c>
      <c r="W200" s="81"/>
      <c r="X200" s="81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6" t="str">
        <f aca="false">IF(SUM(Y200:AJ200)=0,"",SUM(Y200:AJ200))</f>
        <v/>
      </c>
      <c r="AL200" s="84" t="str">
        <f aca="false">MID(IF(N(Y200)&gt;0,", "&amp;Y$2,"")&amp;IF(N(Z200)&gt;0,", "&amp;Z$2,"")&amp;IF(N(AA200)&gt;0,", "&amp;AA$2,"")&amp;IF(N(AB200)&gt;0,", "&amp;AB$2,"")&amp;IF(N(AC200)&gt;0,", "&amp;AC$2,"")&amp;IF(N(AD200)&gt;0,", "&amp;AD$2,"")&amp;IF(N(AE200)&gt;0,", "&amp;AE$2,"")&amp;IF(N(AF200)&gt;0,", "&amp;AF$2,"")&amp;IF(N(AG200)&gt;0,", "&amp;AG$2,"")&amp;IF(N(AH200)&gt;0,", "&amp;AH$2,"")&amp;IF(N(AI200)&gt;0,", "&amp;AI$2,"")&amp;IF(N(AJ200)&gt;0,", "&amp;AJ$2,""),3,999)</f>
        <v/>
      </c>
      <c r="AM200" s="87" t="str">
        <f aca="false">IF(E200="","",MID(IF(N(Y200)&gt;0,", "&amp;A200&amp;"-"&amp;Y$2,"")&amp;IF(N(Z200)&gt;0,", "&amp;A200&amp;"-"&amp;Z$2,"")&amp;IF(N(AA200)&gt;0,", "&amp;A200&amp;"-"&amp;AA$2,"")&amp;IF(N(AB200)&gt;0,", "&amp;A200&amp;"-"&amp;AB$2,"")&amp;IF(N(AC200)&gt;0,", "&amp;A200&amp;"-"&amp;AC$2,"")&amp;IF(N(AD200)&gt;0,", "&amp;A200&amp;"-"&amp;AD$2,"")&amp;IF(N(AE200)&gt;0,", "&amp;A200&amp;"-"&amp;AE$2,"")&amp;IF(N(AF200)&gt;0,", "&amp;A200&amp;"-"&amp;AF$2,"")&amp;IF(N(AG200)&gt;0,", "&amp;A200&amp;"-"&amp;AG$2,"")&amp;IF(N(AH200)&gt;0,", "&amp;A200&amp;"-"&amp;AH$2,"")&amp;IF(N(AI200)&gt;0,", "&amp;A200&amp;"-"&amp;AI$2,"")&amp;IF(N(AJ200)&gt;0,", "&amp;A200&amp;"-"&amp;AJ$2,""),3,999))</f>
        <v/>
      </c>
      <c r="AN200" s="81"/>
      <c r="AO200" s="88"/>
      <c r="AP200" s="89" t="str">
        <f aca="false">IF(AO200="","",ROUND(AO200/(1+Справочники!$B$13),2))</f>
        <v/>
      </c>
      <c r="AQ200" s="90" t="str">
        <f aca="false" t="array" ref="AQ200:AQ200">IF(AP200="","",AP200*INDEX(Справочники!$B$4:$B$7,MATCH("RUB",Справочники!$A$4:$A$7,0)))</f>
        <v/>
      </c>
      <c r="AR200" s="90" t="str">
        <f aca="false">IF(AQ200="","",ROUND(AQ200*(1+Справочники!$B$12),0))</f>
        <v/>
      </c>
      <c r="AS200" s="90" t="str">
        <f aca="false">IF(AR200="","",ROUND(AR200*(1-Справочники!$B$11),0))</f>
        <v/>
      </c>
      <c r="AT200" s="88"/>
      <c r="AU200" s="90" t="str">
        <f aca="false">IF(AT200="","",ROUND(AT200/(1+Справочники!$B$12),0))</f>
        <v/>
      </c>
      <c r="AV200" s="90" t="str">
        <f aca="false">IF(AT200="","",ROUND(AT200*(1-Справочники!$B$15),0))</f>
        <v/>
      </c>
      <c r="AW200" s="90" t="str">
        <f aca="false">IF(AT200="","",ROUND(AT200*(1-Справочники!$B$16),0))</f>
        <v/>
      </c>
      <c r="AX200" s="90" t="str">
        <f aca="false">IF(AT200="","",ROUND(AT200*(1-Справочники!$B$17),0))</f>
        <v/>
      </c>
      <c r="AY200" s="90" t="str">
        <f aca="false">IF(AT200="","",ROUND(AT200*(1-Справочники!$B$18),0))</f>
        <v/>
      </c>
      <c r="AZ200" s="90" t="str">
        <f aca="false">IF(AT200="","",ROUND(AT200*(1-Справочники!$B$19),0))</f>
        <v/>
      </c>
      <c r="BA200" s="81"/>
      <c r="BB200" s="81"/>
      <c r="BC200" s="81"/>
      <c r="BD200" s="81"/>
      <c r="BE200" s="91"/>
      <c r="BF200" s="81" t="s">
        <v>103</v>
      </c>
      <c r="BG200" s="89" t="n">
        <f aca="false" t="array" ref="BG200:BG200">IF(BF200="","",IFERROR(INDEX(Справочники!$B$4:$B$7,MATCH(BF200,Справочники!$A$4:$A$7,0)),""))</f>
        <v>68.5</v>
      </c>
      <c r="BH200" s="90" t="str">
        <f aca="false">IF(N(BN200)&gt;0,ROUND(SUMIF(ЗАКАЗЫ!$F$3:$F$500,$A200,ЗАКАЗЫ!$Y$3:$Y$500)/BN200,0),IF(OR(BE200="",BG200=""),"",ROUND(BE200*BG200*(1+Справочники!$B$10),0)))</f>
        <v/>
      </c>
      <c r="BI200" s="92" t="str">
        <f aca="false">IF(OR(AU200="",BH200="",AU200=0),"",(AU200-BH200)/AU200)</f>
        <v/>
      </c>
      <c r="BJ200" s="81"/>
      <c r="BK200" s="83"/>
      <c r="BL200" s="43" t="str">
        <f aca="false">IFERROR(INDEX(ЗАКАЗЫ!$N$3:$N$500,MATCH($A200,ЗАКАЗЫ!$F$3:$F$500,0)),"")</f>
        <v/>
      </c>
      <c r="BM200" s="8" t="str">
        <f aca="false">IF(BL200="","",IFERROR(VLOOKUP(BL200,'ТН ВЭД'!$A$4:$C$40,3,0),""))</f>
        <v/>
      </c>
      <c r="BN200" s="7" t="str">
        <f aca="false">IF(COUNTIF(ЗАКАЗЫ!$F$3:$F$500,$A200)=0,"",SUMIF(ЗАКАЗЫ!$F$3:$F$500,$A200,ЗАКАЗЫ!$J$3:$J$500))</f>
        <v/>
      </c>
      <c r="BO200" s="7" t="str">
        <f aca="false">IF(BN200="","",SUMIF(ЗАКАЗЫ!$F$3:$F$500,$A200,ЗАКАЗЫ!$AL$3:$AL$500))</f>
        <v/>
      </c>
      <c r="BP200" s="7" t="str">
        <f aca="false">IF(BN200="","",BN200-BO200)</f>
        <v/>
      </c>
      <c r="BQ200" s="55" t="str">
        <f aca="false">IF(BN200="","",IF(BO200&gt;=BN200,"На складе",IF(BO200&gt;0,"Частично","Ждём")))</f>
        <v/>
      </c>
      <c r="BR200" s="43"/>
      <c r="BS200" s="47" t="str">
        <f aca="false">IF(BN200="","",IF(_xlfn.MAXIFS(ЗАКАЗЫ!$AK$3:$AK$500,ЗАКАЗЫ!$F$3:$F$500,$A200)=0,"",_xlfn.MAXIFS(ЗАКАЗЫ!$AK$3:$AK$500,ЗАКАЗЫ!$F$3:$F$500,$A200)))</f>
        <v/>
      </c>
    </row>
    <row r="201" customFormat="false" ht="15.75" hidden="false" customHeight="true" outlineLevel="0" collapsed="false">
      <c r="A201" s="80" t="s">
        <v>1724</v>
      </c>
      <c r="B201" s="81"/>
      <c r="C201" s="81"/>
      <c r="D201" s="81"/>
      <c r="E201" s="83"/>
      <c r="F201" s="81"/>
      <c r="G201" s="83"/>
      <c r="H201" s="83"/>
      <c r="I201" s="84" t="str">
        <f aca="false">IF(E201="","",A201&amp;"_1.jpg")</f>
        <v/>
      </c>
      <c r="J201" s="84" t="str">
        <f aca="false">IF(E201="","",A201&amp;"_2.jpg; "&amp;A201&amp;"_3.jpg")</f>
        <v/>
      </c>
      <c r="K201" s="84" t="str">
        <f aca="false">IF(E201="","",A201&amp;"_schema.jpg")</f>
        <v/>
      </c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 t="s">
        <v>96</v>
      </c>
      <c r="W201" s="81"/>
      <c r="X201" s="81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6" t="str">
        <f aca="false">IF(SUM(Y201:AJ201)=0,"",SUM(Y201:AJ201))</f>
        <v/>
      </c>
      <c r="AL201" s="84" t="str">
        <f aca="false">MID(IF(N(Y201)&gt;0,", "&amp;Y$2,"")&amp;IF(N(Z201)&gt;0,", "&amp;Z$2,"")&amp;IF(N(AA201)&gt;0,", "&amp;AA$2,"")&amp;IF(N(AB201)&gt;0,", "&amp;AB$2,"")&amp;IF(N(AC201)&gt;0,", "&amp;AC$2,"")&amp;IF(N(AD201)&gt;0,", "&amp;AD$2,"")&amp;IF(N(AE201)&gt;0,", "&amp;AE$2,"")&amp;IF(N(AF201)&gt;0,", "&amp;AF$2,"")&amp;IF(N(AG201)&gt;0,", "&amp;AG$2,"")&amp;IF(N(AH201)&gt;0,", "&amp;AH$2,"")&amp;IF(N(AI201)&gt;0,", "&amp;AI$2,"")&amp;IF(N(AJ201)&gt;0,", "&amp;AJ$2,""),3,999)</f>
        <v/>
      </c>
      <c r="AM201" s="87" t="str">
        <f aca="false">IF(E201="","",MID(IF(N(Y201)&gt;0,", "&amp;A201&amp;"-"&amp;Y$2,"")&amp;IF(N(Z201)&gt;0,", "&amp;A201&amp;"-"&amp;Z$2,"")&amp;IF(N(AA201)&gt;0,", "&amp;A201&amp;"-"&amp;AA$2,"")&amp;IF(N(AB201)&gt;0,", "&amp;A201&amp;"-"&amp;AB$2,"")&amp;IF(N(AC201)&gt;0,", "&amp;A201&amp;"-"&amp;AC$2,"")&amp;IF(N(AD201)&gt;0,", "&amp;A201&amp;"-"&amp;AD$2,"")&amp;IF(N(AE201)&gt;0,", "&amp;A201&amp;"-"&amp;AE$2,"")&amp;IF(N(AF201)&gt;0,", "&amp;A201&amp;"-"&amp;AF$2,"")&amp;IF(N(AG201)&gt;0,", "&amp;A201&amp;"-"&amp;AG$2,"")&amp;IF(N(AH201)&gt;0,", "&amp;A201&amp;"-"&amp;AH$2,"")&amp;IF(N(AI201)&gt;0,", "&amp;A201&amp;"-"&amp;AI$2,"")&amp;IF(N(AJ201)&gt;0,", "&amp;A201&amp;"-"&amp;AJ$2,""),3,999))</f>
        <v/>
      </c>
      <c r="AN201" s="81"/>
      <c r="AO201" s="88"/>
      <c r="AP201" s="89" t="str">
        <f aca="false">IF(AO201="","",ROUND(AO201/(1+Справочники!$B$13),2))</f>
        <v/>
      </c>
      <c r="AQ201" s="90" t="str">
        <f aca="false" t="array" ref="AQ201:AQ201">IF(AP201="","",AP201*INDEX(Справочники!$B$4:$B$7,MATCH("RUB",Справочники!$A$4:$A$7,0)))</f>
        <v/>
      </c>
      <c r="AR201" s="90" t="str">
        <f aca="false">IF(AQ201="","",ROUND(AQ201*(1+Справочники!$B$12),0))</f>
        <v/>
      </c>
      <c r="AS201" s="90" t="str">
        <f aca="false">IF(AR201="","",ROUND(AR201*(1-Справочники!$B$11),0))</f>
        <v/>
      </c>
      <c r="AT201" s="88"/>
      <c r="AU201" s="90" t="str">
        <f aca="false">IF(AT201="","",ROUND(AT201/(1+Справочники!$B$12),0))</f>
        <v/>
      </c>
      <c r="AV201" s="90" t="str">
        <f aca="false">IF(AT201="","",ROUND(AT201*(1-Справочники!$B$15),0))</f>
        <v/>
      </c>
      <c r="AW201" s="90" t="str">
        <f aca="false">IF(AT201="","",ROUND(AT201*(1-Справочники!$B$16),0))</f>
        <v/>
      </c>
      <c r="AX201" s="90" t="str">
        <f aca="false">IF(AT201="","",ROUND(AT201*(1-Справочники!$B$17),0))</f>
        <v/>
      </c>
      <c r="AY201" s="90" t="str">
        <f aca="false">IF(AT201="","",ROUND(AT201*(1-Справочники!$B$18),0))</f>
        <v/>
      </c>
      <c r="AZ201" s="90" t="str">
        <f aca="false">IF(AT201="","",ROUND(AT201*(1-Справочники!$B$19),0))</f>
        <v/>
      </c>
      <c r="BA201" s="81"/>
      <c r="BB201" s="81"/>
      <c r="BC201" s="81"/>
      <c r="BD201" s="81"/>
      <c r="BE201" s="91"/>
      <c r="BF201" s="81" t="s">
        <v>103</v>
      </c>
      <c r="BG201" s="89" t="n">
        <f aca="false" t="array" ref="BG201:BG201">IF(BF201="","",IFERROR(INDEX(Справочники!$B$4:$B$7,MATCH(BF201,Справочники!$A$4:$A$7,0)),""))</f>
        <v>68.5</v>
      </c>
      <c r="BH201" s="90" t="str">
        <f aca="false">IF(N(BN201)&gt;0,ROUND(SUMIF(ЗАКАЗЫ!$F$3:$F$500,$A201,ЗАКАЗЫ!$Y$3:$Y$500)/BN201,0),IF(OR(BE201="",BG201=""),"",ROUND(BE201*BG201*(1+Справочники!$B$10),0)))</f>
        <v/>
      </c>
      <c r="BI201" s="92" t="str">
        <f aca="false">IF(OR(AU201="",BH201="",AU201=0),"",(AU201-BH201)/AU201)</f>
        <v/>
      </c>
      <c r="BJ201" s="81"/>
      <c r="BK201" s="83"/>
      <c r="BL201" s="43" t="str">
        <f aca="false">IFERROR(INDEX(ЗАКАЗЫ!$N$3:$N$500,MATCH($A201,ЗАКАЗЫ!$F$3:$F$500,0)),"")</f>
        <v/>
      </c>
      <c r="BM201" s="8" t="str">
        <f aca="false">IF(BL201="","",IFERROR(VLOOKUP(BL201,'ТН ВЭД'!$A$4:$C$40,3,0),""))</f>
        <v/>
      </c>
      <c r="BN201" s="7" t="str">
        <f aca="false">IF(COUNTIF(ЗАКАЗЫ!$F$3:$F$500,$A201)=0,"",SUMIF(ЗАКАЗЫ!$F$3:$F$500,$A201,ЗАКАЗЫ!$J$3:$J$500))</f>
        <v/>
      </c>
      <c r="BO201" s="7" t="str">
        <f aca="false">IF(BN201="","",SUMIF(ЗАКАЗЫ!$F$3:$F$500,$A201,ЗАКАЗЫ!$AL$3:$AL$500))</f>
        <v/>
      </c>
      <c r="BP201" s="7" t="str">
        <f aca="false">IF(BN201="","",BN201-BO201)</f>
        <v/>
      </c>
      <c r="BQ201" s="55" t="str">
        <f aca="false">IF(BN201="","",IF(BO201&gt;=BN201,"На складе",IF(BO201&gt;0,"Частично","Ждём")))</f>
        <v/>
      </c>
      <c r="BR201" s="43"/>
      <c r="BS201" s="47" t="str">
        <f aca="false">IF(BN201="","",IF(_xlfn.MAXIFS(ЗАКАЗЫ!$AK$3:$AK$500,ЗАКАЗЫ!$F$3:$F$500,$A201)=0,"",_xlfn.MAXIFS(ЗАКАЗЫ!$AK$3:$AK$500,ЗАКАЗЫ!$F$3:$F$500,$A201)))</f>
        <v/>
      </c>
    </row>
    <row r="202" customFormat="false" ht="15.75" hidden="false" customHeight="true" outlineLevel="0" collapsed="false">
      <c r="A202" s="80" t="s">
        <v>1725</v>
      </c>
      <c r="B202" s="81"/>
      <c r="C202" s="81"/>
      <c r="D202" s="81"/>
      <c r="E202" s="83"/>
      <c r="F202" s="81"/>
      <c r="G202" s="83"/>
      <c r="H202" s="83"/>
      <c r="I202" s="84" t="str">
        <f aca="false">IF(E202="","",A202&amp;"_1.jpg")</f>
        <v/>
      </c>
      <c r="J202" s="84" t="str">
        <f aca="false">IF(E202="","",A202&amp;"_2.jpg; "&amp;A202&amp;"_3.jpg")</f>
        <v/>
      </c>
      <c r="K202" s="84" t="str">
        <f aca="false">IF(E202="","",A202&amp;"_schema.jpg")</f>
        <v/>
      </c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 t="s">
        <v>96</v>
      </c>
      <c r="W202" s="81"/>
      <c r="X202" s="81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6" t="str">
        <f aca="false">IF(SUM(Y202:AJ202)=0,"",SUM(Y202:AJ202))</f>
        <v/>
      </c>
      <c r="AL202" s="84" t="str">
        <f aca="false">MID(IF(N(Y202)&gt;0,", "&amp;Y$2,"")&amp;IF(N(Z202)&gt;0,", "&amp;Z$2,"")&amp;IF(N(AA202)&gt;0,", "&amp;AA$2,"")&amp;IF(N(AB202)&gt;0,", "&amp;AB$2,"")&amp;IF(N(AC202)&gt;0,", "&amp;AC$2,"")&amp;IF(N(AD202)&gt;0,", "&amp;AD$2,"")&amp;IF(N(AE202)&gt;0,", "&amp;AE$2,"")&amp;IF(N(AF202)&gt;0,", "&amp;AF$2,"")&amp;IF(N(AG202)&gt;0,", "&amp;AG$2,"")&amp;IF(N(AH202)&gt;0,", "&amp;AH$2,"")&amp;IF(N(AI202)&gt;0,", "&amp;AI$2,"")&amp;IF(N(AJ202)&gt;0,", "&amp;AJ$2,""),3,999)</f>
        <v/>
      </c>
      <c r="AM202" s="87" t="str">
        <f aca="false">IF(E202="","",MID(IF(N(Y202)&gt;0,", "&amp;A202&amp;"-"&amp;Y$2,"")&amp;IF(N(Z202)&gt;0,", "&amp;A202&amp;"-"&amp;Z$2,"")&amp;IF(N(AA202)&gt;0,", "&amp;A202&amp;"-"&amp;AA$2,"")&amp;IF(N(AB202)&gt;0,", "&amp;A202&amp;"-"&amp;AB$2,"")&amp;IF(N(AC202)&gt;0,", "&amp;A202&amp;"-"&amp;AC$2,"")&amp;IF(N(AD202)&gt;0,", "&amp;A202&amp;"-"&amp;AD$2,"")&amp;IF(N(AE202)&gt;0,", "&amp;A202&amp;"-"&amp;AE$2,"")&amp;IF(N(AF202)&gt;0,", "&amp;A202&amp;"-"&amp;AF$2,"")&amp;IF(N(AG202)&gt;0,", "&amp;A202&amp;"-"&amp;AG$2,"")&amp;IF(N(AH202)&gt;0,", "&amp;A202&amp;"-"&amp;AH$2,"")&amp;IF(N(AI202)&gt;0,", "&amp;A202&amp;"-"&amp;AI$2,"")&amp;IF(N(AJ202)&gt;0,", "&amp;A202&amp;"-"&amp;AJ$2,""),3,999))</f>
        <v/>
      </c>
      <c r="AN202" s="81"/>
      <c r="AO202" s="88"/>
      <c r="AP202" s="89" t="str">
        <f aca="false">IF(AO202="","",ROUND(AO202/(1+Справочники!$B$13),2))</f>
        <v/>
      </c>
      <c r="AQ202" s="90" t="str">
        <f aca="false" t="array" ref="AQ202:AQ202">IF(AP202="","",AP202*INDEX(Справочники!$B$4:$B$7,MATCH("RUB",Справочники!$A$4:$A$7,0)))</f>
        <v/>
      </c>
      <c r="AR202" s="90" t="str">
        <f aca="false">IF(AQ202="","",ROUND(AQ202*(1+Справочники!$B$12),0))</f>
        <v/>
      </c>
      <c r="AS202" s="90" t="str">
        <f aca="false">IF(AR202="","",ROUND(AR202*(1-Справочники!$B$11),0))</f>
        <v/>
      </c>
      <c r="AT202" s="88"/>
      <c r="AU202" s="90" t="str">
        <f aca="false">IF(AT202="","",ROUND(AT202/(1+Справочники!$B$12),0))</f>
        <v/>
      </c>
      <c r="AV202" s="90" t="str">
        <f aca="false">IF(AT202="","",ROUND(AT202*(1-Справочники!$B$15),0))</f>
        <v/>
      </c>
      <c r="AW202" s="90" t="str">
        <f aca="false">IF(AT202="","",ROUND(AT202*(1-Справочники!$B$16),0))</f>
        <v/>
      </c>
      <c r="AX202" s="90" t="str">
        <f aca="false">IF(AT202="","",ROUND(AT202*(1-Справочники!$B$17),0))</f>
        <v/>
      </c>
      <c r="AY202" s="90" t="str">
        <f aca="false">IF(AT202="","",ROUND(AT202*(1-Справочники!$B$18),0))</f>
        <v/>
      </c>
      <c r="AZ202" s="90" t="str">
        <f aca="false">IF(AT202="","",ROUND(AT202*(1-Справочники!$B$19),0))</f>
        <v/>
      </c>
      <c r="BA202" s="81"/>
      <c r="BB202" s="81"/>
      <c r="BC202" s="81"/>
      <c r="BD202" s="81"/>
      <c r="BE202" s="91"/>
      <c r="BF202" s="81" t="s">
        <v>103</v>
      </c>
      <c r="BG202" s="89" t="n">
        <f aca="false" t="array" ref="BG202:BG202">IF(BF202="","",IFERROR(INDEX(Справочники!$B$4:$B$7,MATCH(BF202,Справочники!$A$4:$A$7,0)),""))</f>
        <v>68.5</v>
      </c>
      <c r="BH202" s="90" t="str">
        <f aca="false">IF(N(BN202)&gt;0,ROUND(SUMIF(ЗАКАЗЫ!$F$3:$F$500,$A202,ЗАКАЗЫ!$Y$3:$Y$500)/BN202,0),IF(OR(BE202="",BG202=""),"",ROUND(BE202*BG202*(1+Справочники!$B$10),0)))</f>
        <v/>
      </c>
      <c r="BI202" s="92" t="str">
        <f aca="false">IF(OR(AU202="",BH202="",AU202=0),"",(AU202-BH202)/AU202)</f>
        <v/>
      </c>
      <c r="BJ202" s="81"/>
      <c r="BK202" s="83"/>
      <c r="BL202" s="43" t="str">
        <f aca="false">IFERROR(INDEX(ЗАКАЗЫ!$N$3:$N$500,MATCH($A202,ЗАКАЗЫ!$F$3:$F$500,0)),"")</f>
        <v/>
      </c>
      <c r="BM202" s="8" t="str">
        <f aca="false">IF(BL202="","",IFERROR(VLOOKUP(BL202,'ТН ВЭД'!$A$4:$C$40,3,0),""))</f>
        <v/>
      </c>
      <c r="BN202" s="7" t="str">
        <f aca="false">IF(COUNTIF(ЗАКАЗЫ!$F$3:$F$500,$A202)=0,"",SUMIF(ЗАКАЗЫ!$F$3:$F$500,$A202,ЗАКАЗЫ!$J$3:$J$500))</f>
        <v/>
      </c>
      <c r="BO202" s="7" t="str">
        <f aca="false">IF(BN202="","",SUMIF(ЗАКАЗЫ!$F$3:$F$500,$A202,ЗАКАЗЫ!$AL$3:$AL$500))</f>
        <v/>
      </c>
      <c r="BP202" s="7" t="str">
        <f aca="false">IF(BN202="","",BN202-BO202)</f>
        <v/>
      </c>
      <c r="BQ202" s="55" t="str">
        <f aca="false">IF(BN202="","",IF(BO202&gt;=BN202,"На складе",IF(BO202&gt;0,"Частично","Ждём")))</f>
        <v/>
      </c>
      <c r="BR202" s="43"/>
      <c r="BS202" s="47" t="str">
        <f aca="false">IF(BN202="","",IF(_xlfn.MAXIFS(ЗАКАЗЫ!$AK$3:$AK$500,ЗАКАЗЫ!$F$3:$F$500,$A202)=0,"",_xlfn.MAXIFS(ЗАКАЗЫ!$AK$3:$AK$500,ЗАКАЗЫ!$F$3:$F$500,$A202)))</f>
        <v/>
      </c>
    </row>
    <row r="203" customFormat="false" ht="15.75" hidden="false" customHeight="true" outlineLevel="0" collapsed="false">
      <c r="A203" s="80" t="s">
        <v>1726</v>
      </c>
      <c r="B203" s="81"/>
      <c r="C203" s="81"/>
      <c r="D203" s="81"/>
      <c r="E203" s="83"/>
      <c r="F203" s="81"/>
      <c r="G203" s="83"/>
      <c r="H203" s="83"/>
      <c r="I203" s="84" t="str">
        <f aca="false">IF(E203="","",A203&amp;"_1.jpg")</f>
        <v/>
      </c>
      <c r="J203" s="84" t="str">
        <f aca="false">IF(E203="","",A203&amp;"_2.jpg; "&amp;A203&amp;"_3.jpg")</f>
        <v/>
      </c>
      <c r="K203" s="84" t="str">
        <f aca="false">IF(E203="","",A203&amp;"_schema.jpg")</f>
        <v/>
      </c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 t="s">
        <v>96</v>
      </c>
      <c r="W203" s="81"/>
      <c r="X203" s="81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6" t="str">
        <f aca="false">IF(SUM(Y203:AJ203)=0,"",SUM(Y203:AJ203))</f>
        <v/>
      </c>
      <c r="AL203" s="84" t="str">
        <f aca="false">MID(IF(N(Y203)&gt;0,", "&amp;Y$2,"")&amp;IF(N(Z203)&gt;0,", "&amp;Z$2,"")&amp;IF(N(AA203)&gt;0,", "&amp;AA$2,"")&amp;IF(N(AB203)&gt;0,", "&amp;AB$2,"")&amp;IF(N(AC203)&gt;0,", "&amp;AC$2,"")&amp;IF(N(AD203)&gt;0,", "&amp;AD$2,"")&amp;IF(N(AE203)&gt;0,", "&amp;AE$2,"")&amp;IF(N(AF203)&gt;0,", "&amp;AF$2,"")&amp;IF(N(AG203)&gt;0,", "&amp;AG$2,"")&amp;IF(N(AH203)&gt;0,", "&amp;AH$2,"")&amp;IF(N(AI203)&gt;0,", "&amp;AI$2,"")&amp;IF(N(AJ203)&gt;0,", "&amp;AJ$2,""),3,999)</f>
        <v/>
      </c>
      <c r="AM203" s="87" t="str">
        <f aca="false">IF(E203="","",MID(IF(N(Y203)&gt;0,", "&amp;A203&amp;"-"&amp;Y$2,"")&amp;IF(N(Z203)&gt;0,", "&amp;A203&amp;"-"&amp;Z$2,"")&amp;IF(N(AA203)&gt;0,", "&amp;A203&amp;"-"&amp;AA$2,"")&amp;IF(N(AB203)&gt;0,", "&amp;A203&amp;"-"&amp;AB$2,"")&amp;IF(N(AC203)&gt;0,", "&amp;A203&amp;"-"&amp;AC$2,"")&amp;IF(N(AD203)&gt;0,", "&amp;A203&amp;"-"&amp;AD$2,"")&amp;IF(N(AE203)&gt;0,", "&amp;A203&amp;"-"&amp;AE$2,"")&amp;IF(N(AF203)&gt;0,", "&amp;A203&amp;"-"&amp;AF$2,"")&amp;IF(N(AG203)&gt;0,", "&amp;A203&amp;"-"&amp;AG$2,"")&amp;IF(N(AH203)&gt;0,", "&amp;A203&amp;"-"&amp;AH$2,"")&amp;IF(N(AI203)&gt;0,", "&amp;A203&amp;"-"&amp;AI$2,"")&amp;IF(N(AJ203)&gt;0,", "&amp;A203&amp;"-"&amp;AJ$2,""),3,999))</f>
        <v/>
      </c>
      <c r="AN203" s="81"/>
      <c r="AO203" s="88"/>
      <c r="AP203" s="89" t="str">
        <f aca="false">IF(AO203="","",ROUND(AO203/(1+Справочники!$B$13),2))</f>
        <v/>
      </c>
      <c r="AQ203" s="90" t="str">
        <f aca="false" t="array" ref="AQ203:AQ203">IF(AP203="","",AP203*INDEX(Справочники!$B$4:$B$7,MATCH("RUB",Справочники!$A$4:$A$7,0)))</f>
        <v/>
      </c>
      <c r="AR203" s="90" t="str">
        <f aca="false">IF(AQ203="","",ROUND(AQ203*(1+Справочники!$B$12),0))</f>
        <v/>
      </c>
      <c r="AS203" s="90" t="str">
        <f aca="false">IF(AR203="","",ROUND(AR203*(1-Справочники!$B$11),0))</f>
        <v/>
      </c>
      <c r="AT203" s="88"/>
      <c r="AU203" s="90" t="str">
        <f aca="false">IF(AT203="","",ROUND(AT203/(1+Справочники!$B$12),0))</f>
        <v/>
      </c>
      <c r="AV203" s="90" t="str">
        <f aca="false">IF(AT203="","",ROUND(AT203*(1-Справочники!$B$15),0))</f>
        <v/>
      </c>
      <c r="AW203" s="90" t="str">
        <f aca="false">IF(AT203="","",ROUND(AT203*(1-Справочники!$B$16),0))</f>
        <v/>
      </c>
      <c r="AX203" s="90" t="str">
        <f aca="false">IF(AT203="","",ROUND(AT203*(1-Справочники!$B$17),0))</f>
        <v/>
      </c>
      <c r="AY203" s="90" t="str">
        <f aca="false">IF(AT203="","",ROUND(AT203*(1-Справочники!$B$18),0))</f>
        <v/>
      </c>
      <c r="AZ203" s="90" t="str">
        <f aca="false">IF(AT203="","",ROUND(AT203*(1-Справочники!$B$19),0))</f>
        <v/>
      </c>
      <c r="BA203" s="81"/>
      <c r="BB203" s="81"/>
      <c r="BC203" s="81"/>
      <c r="BD203" s="81"/>
      <c r="BE203" s="91"/>
      <c r="BF203" s="81" t="s">
        <v>103</v>
      </c>
      <c r="BG203" s="89" t="n">
        <f aca="false" t="array" ref="BG203:BG203">IF(BF203="","",IFERROR(INDEX(Справочники!$B$4:$B$7,MATCH(BF203,Справочники!$A$4:$A$7,0)),""))</f>
        <v>68.5</v>
      </c>
      <c r="BH203" s="90" t="str">
        <f aca="false">IF(N(BN203)&gt;0,ROUND(SUMIF(ЗАКАЗЫ!$F$3:$F$500,$A203,ЗАКАЗЫ!$Y$3:$Y$500)/BN203,0),IF(OR(BE203="",BG203=""),"",ROUND(BE203*BG203*(1+Справочники!$B$10),0)))</f>
        <v/>
      </c>
      <c r="BI203" s="92" t="str">
        <f aca="false">IF(OR(AU203="",BH203="",AU203=0),"",(AU203-BH203)/AU203)</f>
        <v/>
      </c>
      <c r="BJ203" s="81"/>
      <c r="BK203" s="83"/>
      <c r="BL203" s="43" t="str">
        <f aca="false">IFERROR(INDEX(ЗАКАЗЫ!$N$3:$N$500,MATCH($A203,ЗАКАЗЫ!$F$3:$F$500,0)),"")</f>
        <v/>
      </c>
      <c r="BM203" s="8" t="str">
        <f aca="false">IF(BL203="","",IFERROR(VLOOKUP(BL203,'ТН ВЭД'!$A$4:$C$40,3,0),""))</f>
        <v/>
      </c>
      <c r="BN203" s="7" t="str">
        <f aca="false">IF(COUNTIF(ЗАКАЗЫ!$F$3:$F$500,$A203)=0,"",SUMIF(ЗАКАЗЫ!$F$3:$F$500,$A203,ЗАКАЗЫ!$J$3:$J$500))</f>
        <v/>
      </c>
      <c r="BO203" s="7" t="str">
        <f aca="false">IF(BN203="","",SUMIF(ЗАКАЗЫ!$F$3:$F$500,$A203,ЗАКАЗЫ!$AL$3:$AL$500))</f>
        <v/>
      </c>
      <c r="BP203" s="7" t="str">
        <f aca="false">IF(BN203="","",BN203-BO203)</f>
        <v/>
      </c>
      <c r="BQ203" s="55" t="str">
        <f aca="false">IF(BN203="","",IF(BO203&gt;=BN203,"На складе",IF(BO203&gt;0,"Частично","Ждём")))</f>
        <v/>
      </c>
      <c r="BR203" s="43"/>
      <c r="BS203" s="47" t="str">
        <f aca="false">IF(BN203="","",IF(_xlfn.MAXIFS(ЗАКАЗЫ!$AK$3:$AK$500,ЗАКАЗЫ!$F$3:$F$500,$A203)=0,"",_xlfn.MAXIFS(ЗАКАЗЫ!$AK$3:$AK$500,ЗАКАЗЫ!$F$3:$F$500,$A203)))</f>
        <v/>
      </c>
    </row>
    <row r="204" customFormat="false" ht="15.75" hidden="false" customHeight="true" outlineLevel="0" collapsed="false">
      <c r="A204" s="80" t="s">
        <v>1727</v>
      </c>
      <c r="B204" s="81"/>
      <c r="C204" s="81"/>
      <c r="D204" s="81"/>
      <c r="E204" s="83"/>
      <c r="F204" s="81"/>
      <c r="G204" s="83"/>
      <c r="H204" s="83"/>
      <c r="I204" s="84" t="str">
        <f aca="false">IF(E204="","",A204&amp;"_1.jpg")</f>
        <v/>
      </c>
      <c r="J204" s="84" t="str">
        <f aca="false">IF(E204="","",A204&amp;"_2.jpg; "&amp;A204&amp;"_3.jpg")</f>
        <v/>
      </c>
      <c r="K204" s="84" t="str">
        <f aca="false">IF(E204="","",A204&amp;"_schema.jpg")</f>
        <v/>
      </c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 t="s">
        <v>96</v>
      </c>
      <c r="W204" s="81"/>
      <c r="X204" s="81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6" t="str">
        <f aca="false">IF(SUM(Y204:AJ204)=0,"",SUM(Y204:AJ204))</f>
        <v/>
      </c>
      <c r="AL204" s="84" t="str">
        <f aca="false">MID(IF(N(Y204)&gt;0,", "&amp;Y$2,"")&amp;IF(N(Z204)&gt;0,", "&amp;Z$2,"")&amp;IF(N(AA204)&gt;0,", "&amp;AA$2,"")&amp;IF(N(AB204)&gt;0,", "&amp;AB$2,"")&amp;IF(N(AC204)&gt;0,", "&amp;AC$2,"")&amp;IF(N(AD204)&gt;0,", "&amp;AD$2,"")&amp;IF(N(AE204)&gt;0,", "&amp;AE$2,"")&amp;IF(N(AF204)&gt;0,", "&amp;AF$2,"")&amp;IF(N(AG204)&gt;0,", "&amp;AG$2,"")&amp;IF(N(AH204)&gt;0,", "&amp;AH$2,"")&amp;IF(N(AI204)&gt;0,", "&amp;AI$2,"")&amp;IF(N(AJ204)&gt;0,", "&amp;AJ$2,""),3,999)</f>
        <v/>
      </c>
      <c r="AM204" s="87" t="str">
        <f aca="false">IF(E204="","",MID(IF(N(Y204)&gt;0,", "&amp;A204&amp;"-"&amp;Y$2,"")&amp;IF(N(Z204)&gt;0,", "&amp;A204&amp;"-"&amp;Z$2,"")&amp;IF(N(AA204)&gt;0,", "&amp;A204&amp;"-"&amp;AA$2,"")&amp;IF(N(AB204)&gt;0,", "&amp;A204&amp;"-"&amp;AB$2,"")&amp;IF(N(AC204)&gt;0,", "&amp;A204&amp;"-"&amp;AC$2,"")&amp;IF(N(AD204)&gt;0,", "&amp;A204&amp;"-"&amp;AD$2,"")&amp;IF(N(AE204)&gt;0,", "&amp;A204&amp;"-"&amp;AE$2,"")&amp;IF(N(AF204)&gt;0,", "&amp;A204&amp;"-"&amp;AF$2,"")&amp;IF(N(AG204)&gt;0,", "&amp;A204&amp;"-"&amp;AG$2,"")&amp;IF(N(AH204)&gt;0,", "&amp;A204&amp;"-"&amp;AH$2,"")&amp;IF(N(AI204)&gt;0,", "&amp;A204&amp;"-"&amp;AI$2,"")&amp;IF(N(AJ204)&gt;0,", "&amp;A204&amp;"-"&amp;AJ$2,""),3,999))</f>
        <v/>
      </c>
      <c r="AN204" s="81"/>
      <c r="AO204" s="88"/>
      <c r="AP204" s="89" t="str">
        <f aca="false">IF(AO204="","",ROUND(AO204/(1+Справочники!$B$13),2))</f>
        <v/>
      </c>
      <c r="AQ204" s="90" t="str">
        <f aca="false" t="array" ref="AQ204:AQ204">IF(AP204="","",AP204*INDEX(Справочники!$B$4:$B$7,MATCH("RUB",Справочники!$A$4:$A$7,0)))</f>
        <v/>
      </c>
      <c r="AR204" s="90" t="str">
        <f aca="false">IF(AQ204="","",ROUND(AQ204*(1+Справочники!$B$12),0))</f>
        <v/>
      </c>
      <c r="AS204" s="90" t="str">
        <f aca="false">IF(AR204="","",ROUND(AR204*(1-Справочники!$B$11),0))</f>
        <v/>
      </c>
      <c r="AT204" s="88"/>
      <c r="AU204" s="90" t="str">
        <f aca="false">IF(AT204="","",ROUND(AT204/(1+Справочники!$B$12),0))</f>
        <v/>
      </c>
      <c r="AV204" s="90" t="str">
        <f aca="false">IF(AT204="","",ROUND(AT204*(1-Справочники!$B$15),0))</f>
        <v/>
      </c>
      <c r="AW204" s="90" t="str">
        <f aca="false">IF(AT204="","",ROUND(AT204*(1-Справочники!$B$16),0))</f>
        <v/>
      </c>
      <c r="AX204" s="90" t="str">
        <f aca="false">IF(AT204="","",ROUND(AT204*(1-Справочники!$B$17),0))</f>
        <v/>
      </c>
      <c r="AY204" s="90" t="str">
        <f aca="false">IF(AT204="","",ROUND(AT204*(1-Справочники!$B$18),0))</f>
        <v/>
      </c>
      <c r="AZ204" s="90" t="str">
        <f aca="false">IF(AT204="","",ROUND(AT204*(1-Справочники!$B$19),0))</f>
        <v/>
      </c>
      <c r="BA204" s="81"/>
      <c r="BB204" s="81"/>
      <c r="BC204" s="81"/>
      <c r="BD204" s="81"/>
      <c r="BE204" s="91"/>
      <c r="BF204" s="81" t="s">
        <v>103</v>
      </c>
      <c r="BG204" s="89" t="n">
        <f aca="false" t="array" ref="BG204:BG204">IF(BF204="","",IFERROR(INDEX(Справочники!$B$4:$B$7,MATCH(BF204,Справочники!$A$4:$A$7,0)),""))</f>
        <v>68.5</v>
      </c>
      <c r="BH204" s="90" t="str">
        <f aca="false">IF(N(BN204)&gt;0,ROUND(SUMIF(ЗАКАЗЫ!$F$3:$F$500,$A204,ЗАКАЗЫ!$Y$3:$Y$500)/BN204,0),IF(OR(BE204="",BG204=""),"",ROUND(BE204*BG204*(1+Справочники!$B$10),0)))</f>
        <v/>
      </c>
      <c r="BI204" s="92" t="str">
        <f aca="false">IF(OR(AU204="",BH204="",AU204=0),"",(AU204-BH204)/AU204)</f>
        <v/>
      </c>
      <c r="BJ204" s="81"/>
      <c r="BK204" s="83"/>
      <c r="BL204" s="43" t="str">
        <f aca="false">IFERROR(INDEX(ЗАКАЗЫ!$N$3:$N$500,MATCH($A204,ЗАКАЗЫ!$F$3:$F$500,0)),"")</f>
        <v/>
      </c>
      <c r="BM204" s="8" t="str">
        <f aca="false">IF(BL204="","",IFERROR(VLOOKUP(BL204,'ТН ВЭД'!$A$4:$C$40,3,0),""))</f>
        <v/>
      </c>
      <c r="BN204" s="7" t="str">
        <f aca="false">IF(COUNTIF(ЗАКАЗЫ!$F$3:$F$500,$A204)=0,"",SUMIF(ЗАКАЗЫ!$F$3:$F$500,$A204,ЗАКАЗЫ!$J$3:$J$500))</f>
        <v/>
      </c>
      <c r="BO204" s="7" t="str">
        <f aca="false">IF(BN204="","",SUMIF(ЗАКАЗЫ!$F$3:$F$500,$A204,ЗАКАЗЫ!$AL$3:$AL$500))</f>
        <v/>
      </c>
      <c r="BP204" s="7" t="str">
        <f aca="false">IF(BN204="","",BN204-BO204)</f>
        <v/>
      </c>
      <c r="BQ204" s="55" t="str">
        <f aca="false">IF(BN204="","",IF(BO204&gt;=BN204,"На складе",IF(BO204&gt;0,"Частично","Ждём")))</f>
        <v/>
      </c>
      <c r="BR204" s="43"/>
      <c r="BS204" s="47" t="str">
        <f aca="false">IF(BN204="","",IF(_xlfn.MAXIFS(ЗАКАЗЫ!$AK$3:$AK$500,ЗАКАЗЫ!$F$3:$F$500,$A204)=0,"",_xlfn.MAXIFS(ЗАКАЗЫ!$AK$3:$AK$500,ЗАКАЗЫ!$F$3:$F$500,$A204)))</f>
        <v/>
      </c>
    </row>
    <row r="205" customFormat="false" ht="15.75" hidden="false" customHeight="true" outlineLevel="0" collapsed="false">
      <c r="A205" s="80" t="s">
        <v>1728</v>
      </c>
      <c r="B205" s="81"/>
      <c r="C205" s="81"/>
      <c r="D205" s="81"/>
      <c r="E205" s="83"/>
      <c r="F205" s="81"/>
      <c r="G205" s="83"/>
      <c r="H205" s="83"/>
      <c r="I205" s="84" t="str">
        <f aca="false">IF(E205="","",A205&amp;"_1.jpg")</f>
        <v/>
      </c>
      <c r="J205" s="84" t="str">
        <f aca="false">IF(E205="","",A205&amp;"_2.jpg; "&amp;A205&amp;"_3.jpg")</f>
        <v/>
      </c>
      <c r="K205" s="84" t="str">
        <f aca="false">IF(E205="","",A205&amp;"_schema.jpg")</f>
        <v/>
      </c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 t="s">
        <v>96</v>
      </c>
      <c r="W205" s="81"/>
      <c r="X205" s="81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6" t="str">
        <f aca="false">IF(SUM(Y205:AJ205)=0,"",SUM(Y205:AJ205))</f>
        <v/>
      </c>
      <c r="AL205" s="84" t="str">
        <f aca="false">MID(IF(N(Y205)&gt;0,", "&amp;Y$2,"")&amp;IF(N(Z205)&gt;0,", "&amp;Z$2,"")&amp;IF(N(AA205)&gt;0,", "&amp;AA$2,"")&amp;IF(N(AB205)&gt;0,", "&amp;AB$2,"")&amp;IF(N(AC205)&gt;0,", "&amp;AC$2,"")&amp;IF(N(AD205)&gt;0,", "&amp;AD$2,"")&amp;IF(N(AE205)&gt;0,", "&amp;AE$2,"")&amp;IF(N(AF205)&gt;0,", "&amp;AF$2,"")&amp;IF(N(AG205)&gt;0,", "&amp;AG$2,"")&amp;IF(N(AH205)&gt;0,", "&amp;AH$2,"")&amp;IF(N(AI205)&gt;0,", "&amp;AI$2,"")&amp;IF(N(AJ205)&gt;0,", "&amp;AJ$2,""),3,999)</f>
        <v/>
      </c>
      <c r="AM205" s="87" t="str">
        <f aca="false">IF(E205="","",MID(IF(N(Y205)&gt;0,", "&amp;A205&amp;"-"&amp;Y$2,"")&amp;IF(N(Z205)&gt;0,", "&amp;A205&amp;"-"&amp;Z$2,"")&amp;IF(N(AA205)&gt;0,", "&amp;A205&amp;"-"&amp;AA$2,"")&amp;IF(N(AB205)&gt;0,", "&amp;A205&amp;"-"&amp;AB$2,"")&amp;IF(N(AC205)&gt;0,", "&amp;A205&amp;"-"&amp;AC$2,"")&amp;IF(N(AD205)&gt;0,", "&amp;A205&amp;"-"&amp;AD$2,"")&amp;IF(N(AE205)&gt;0,", "&amp;A205&amp;"-"&amp;AE$2,"")&amp;IF(N(AF205)&gt;0,", "&amp;A205&amp;"-"&amp;AF$2,"")&amp;IF(N(AG205)&gt;0,", "&amp;A205&amp;"-"&amp;AG$2,"")&amp;IF(N(AH205)&gt;0,", "&amp;A205&amp;"-"&amp;AH$2,"")&amp;IF(N(AI205)&gt;0,", "&amp;A205&amp;"-"&amp;AI$2,"")&amp;IF(N(AJ205)&gt;0,", "&amp;A205&amp;"-"&amp;AJ$2,""),3,999))</f>
        <v/>
      </c>
      <c r="AN205" s="81"/>
      <c r="AO205" s="88"/>
      <c r="AP205" s="89" t="str">
        <f aca="false">IF(AO205="","",ROUND(AO205/(1+Справочники!$B$13),2))</f>
        <v/>
      </c>
      <c r="AQ205" s="90" t="str">
        <f aca="false" t="array" ref="AQ205:AQ205">IF(AP205="","",AP205*INDEX(Справочники!$B$4:$B$7,MATCH("RUB",Справочники!$A$4:$A$7,0)))</f>
        <v/>
      </c>
      <c r="AR205" s="90" t="str">
        <f aca="false">IF(AQ205="","",ROUND(AQ205*(1+Справочники!$B$12),0))</f>
        <v/>
      </c>
      <c r="AS205" s="90" t="str">
        <f aca="false">IF(AR205="","",ROUND(AR205*(1-Справочники!$B$11),0))</f>
        <v/>
      </c>
      <c r="AT205" s="88"/>
      <c r="AU205" s="90" t="str">
        <f aca="false">IF(AT205="","",ROUND(AT205/(1+Справочники!$B$12),0))</f>
        <v/>
      </c>
      <c r="AV205" s="90" t="str">
        <f aca="false">IF(AT205="","",ROUND(AT205*(1-Справочники!$B$15),0))</f>
        <v/>
      </c>
      <c r="AW205" s="90" t="str">
        <f aca="false">IF(AT205="","",ROUND(AT205*(1-Справочники!$B$16),0))</f>
        <v/>
      </c>
      <c r="AX205" s="90" t="str">
        <f aca="false">IF(AT205="","",ROUND(AT205*(1-Справочники!$B$17),0))</f>
        <v/>
      </c>
      <c r="AY205" s="90" t="str">
        <f aca="false">IF(AT205="","",ROUND(AT205*(1-Справочники!$B$18),0))</f>
        <v/>
      </c>
      <c r="AZ205" s="90" t="str">
        <f aca="false">IF(AT205="","",ROUND(AT205*(1-Справочники!$B$19),0))</f>
        <v/>
      </c>
      <c r="BA205" s="81"/>
      <c r="BB205" s="81"/>
      <c r="BC205" s="81"/>
      <c r="BD205" s="81"/>
      <c r="BE205" s="91"/>
      <c r="BF205" s="81" t="s">
        <v>103</v>
      </c>
      <c r="BG205" s="89" t="n">
        <f aca="false" t="array" ref="BG205:BG205">IF(BF205="","",IFERROR(INDEX(Справочники!$B$4:$B$7,MATCH(BF205,Справочники!$A$4:$A$7,0)),""))</f>
        <v>68.5</v>
      </c>
      <c r="BH205" s="90" t="str">
        <f aca="false">IF(N(BN205)&gt;0,ROUND(SUMIF(ЗАКАЗЫ!$F$3:$F$500,$A205,ЗАКАЗЫ!$Y$3:$Y$500)/BN205,0),IF(OR(BE205="",BG205=""),"",ROUND(BE205*BG205*(1+Справочники!$B$10),0)))</f>
        <v/>
      </c>
      <c r="BI205" s="92" t="str">
        <f aca="false">IF(OR(AU205="",BH205="",AU205=0),"",(AU205-BH205)/AU205)</f>
        <v/>
      </c>
      <c r="BJ205" s="81"/>
      <c r="BK205" s="83"/>
      <c r="BL205" s="43" t="str">
        <f aca="false">IFERROR(INDEX(ЗАКАЗЫ!$N$3:$N$500,MATCH($A205,ЗАКАЗЫ!$F$3:$F$500,0)),"")</f>
        <v/>
      </c>
      <c r="BM205" s="8" t="str">
        <f aca="false">IF(BL205="","",IFERROR(VLOOKUP(BL205,'ТН ВЭД'!$A$4:$C$40,3,0),""))</f>
        <v/>
      </c>
      <c r="BN205" s="7" t="str">
        <f aca="false">IF(COUNTIF(ЗАКАЗЫ!$F$3:$F$500,$A205)=0,"",SUMIF(ЗАКАЗЫ!$F$3:$F$500,$A205,ЗАКАЗЫ!$J$3:$J$500))</f>
        <v/>
      </c>
      <c r="BO205" s="7" t="str">
        <f aca="false">IF(BN205="","",SUMIF(ЗАКАЗЫ!$F$3:$F$500,$A205,ЗАКАЗЫ!$AL$3:$AL$500))</f>
        <v/>
      </c>
      <c r="BP205" s="7" t="str">
        <f aca="false">IF(BN205="","",BN205-BO205)</f>
        <v/>
      </c>
      <c r="BQ205" s="55" t="str">
        <f aca="false">IF(BN205="","",IF(BO205&gt;=BN205,"На складе",IF(BO205&gt;0,"Частично","Ждём")))</f>
        <v/>
      </c>
      <c r="BR205" s="43"/>
      <c r="BS205" s="47" t="str">
        <f aca="false">IF(BN205="","",IF(_xlfn.MAXIFS(ЗАКАЗЫ!$AK$3:$AK$500,ЗАКАЗЫ!$F$3:$F$500,$A205)=0,"",_xlfn.MAXIFS(ЗАКАЗЫ!$AK$3:$AK$500,ЗАКАЗЫ!$F$3:$F$500,$A205)))</f>
        <v/>
      </c>
    </row>
    <row r="206" customFormat="false" ht="15.75" hidden="false" customHeight="true" outlineLevel="0" collapsed="false">
      <c r="A206" s="80" t="s">
        <v>1729</v>
      </c>
      <c r="B206" s="81"/>
      <c r="C206" s="81"/>
      <c r="D206" s="81"/>
      <c r="E206" s="83"/>
      <c r="F206" s="81"/>
      <c r="G206" s="83"/>
      <c r="H206" s="83"/>
      <c r="I206" s="84" t="str">
        <f aca="false">IF(E206="","",A206&amp;"_1.jpg")</f>
        <v/>
      </c>
      <c r="J206" s="84" t="str">
        <f aca="false">IF(E206="","",A206&amp;"_2.jpg; "&amp;A206&amp;"_3.jpg")</f>
        <v/>
      </c>
      <c r="K206" s="84" t="str">
        <f aca="false">IF(E206="","",A206&amp;"_schema.jpg")</f>
        <v/>
      </c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 t="s">
        <v>96</v>
      </c>
      <c r="W206" s="81"/>
      <c r="X206" s="81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6" t="str">
        <f aca="false">IF(SUM(Y206:AJ206)=0,"",SUM(Y206:AJ206))</f>
        <v/>
      </c>
      <c r="AL206" s="84" t="str">
        <f aca="false">MID(IF(N(Y206)&gt;0,", "&amp;Y$2,"")&amp;IF(N(Z206)&gt;0,", "&amp;Z$2,"")&amp;IF(N(AA206)&gt;0,", "&amp;AA$2,"")&amp;IF(N(AB206)&gt;0,", "&amp;AB$2,"")&amp;IF(N(AC206)&gt;0,", "&amp;AC$2,"")&amp;IF(N(AD206)&gt;0,", "&amp;AD$2,"")&amp;IF(N(AE206)&gt;0,", "&amp;AE$2,"")&amp;IF(N(AF206)&gt;0,", "&amp;AF$2,"")&amp;IF(N(AG206)&gt;0,", "&amp;AG$2,"")&amp;IF(N(AH206)&gt;0,", "&amp;AH$2,"")&amp;IF(N(AI206)&gt;0,", "&amp;AI$2,"")&amp;IF(N(AJ206)&gt;0,", "&amp;AJ$2,""),3,999)</f>
        <v/>
      </c>
      <c r="AM206" s="87" t="str">
        <f aca="false">IF(E206="","",MID(IF(N(Y206)&gt;0,", "&amp;A206&amp;"-"&amp;Y$2,"")&amp;IF(N(Z206)&gt;0,", "&amp;A206&amp;"-"&amp;Z$2,"")&amp;IF(N(AA206)&gt;0,", "&amp;A206&amp;"-"&amp;AA$2,"")&amp;IF(N(AB206)&gt;0,", "&amp;A206&amp;"-"&amp;AB$2,"")&amp;IF(N(AC206)&gt;0,", "&amp;A206&amp;"-"&amp;AC$2,"")&amp;IF(N(AD206)&gt;0,", "&amp;A206&amp;"-"&amp;AD$2,"")&amp;IF(N(AE206)&gt;0,", "&amp;A206&amp;"-"&amp;AE$2,"")&amp;IF(N(AF206)&gt;0,", "&amp;A206&amp;"-"&amp;AF$2,"")&amp;IF(N(AG206)&gt;0,", "&amp;A206&amp;"-"&amp;AG$2,"")&amp;IF(N(AH206)&gt;0,", "&amp;A206&amp;"-"&amp;AH$2,"")&amp;IF(N(AI206)&gt;0,", "&amp;A206&amp;"-"&amp;AI$2,"")&amp;IF(N(AJ206)&gt;0,", "&amp;A206&amp;"-"&amp;AJ$2,""),3,999))</f>
        <v/>
      </c>
      <c r="AN206" s="81"/>
      <c r="AO206" s="88"/>
      <c r="AP206" s="89" t="str">
        <f aca="false">IF(AO206="","",ROUND(AO206/(1+Справочники!$B$13),2))</f>
        <v/>
      </c>
      <c r="AQ206" s="90" t="str">
        <f aca="false" t="array" ref="AQ206:AQ206">IF(AP206="","",AP206*INDEX(Справочники!$B$4:$B$7,MATCH("RUB",Справочники!$A$4:$A$7,0)))</f>
        <v/>
      </c>
      <c r="AR206" s="90" t="str">
        <f aca="false">IF(AQ206="","",ROUND(AQ206*(1+Справочники!$B$12),0))</f>
        <v/>
      </c>
      <c r="AS206" s="90" t="str">
        <f aca="false">IF(AR206="","",ROUND(AR206*(1-Справочники!$B$11),0))</f>
        <v/>
      </c>
      <c r="AT206" s="88"/>
      <c r="AU206" s="90" t="str">
        <f aca="false">IF(AT206="","",ROUND(AT206/(1+Справочники!$B$12),0))</f>
        <v/>
      </c>
      <c r="AV206" s="90" t="str">
        <f aca="false">IF(AT206="","",ROUND(AT206*(1-Справочники!$B$15),0))</f>
        <v/>
      </c>
      <c r="AW206" s="90" t="str">
        <f aca="false">IF(AT206="","",ROUND(AT206*(1-Справочники!$B$16),0))</f>
        <v/>
      </c>
      <c r="AX206" s="90" t="str">
        <f aca="false">IF(AT206="","",ROUND(AT206*(1-Справочники!$B$17),0))</f>
        <v/>
      </c>
      <c r="AY206" s="90" t="str">
        <f aca="false">IF(AT206="","",ROUND(AT206*(1-Справочники!$B$18),0))</f>
        <v/>
      </c>
      <c r="AZ206" s="90" t="str">
        <f aca="false">IF(AT206="","",ROUND(AT206*(1-Справочники!$B$19),0))</f>
        <v/>
      </c>
      <c r="BA206" s="81"/>
      <c r="BB206" s="81"/>
      <c r="BC206" s="81"/>
      <c r="BD206" s="81"/>
      <c r="BE206" s="91"/>
      <c r="BF206" s="81" t="s">
        <v>103</v>
      </c>
      <c r="BG206" s="89" t="n">
        <f aca="false" t="array" ref="BG206:BG206">IF(BF206="","",IFERROR(INDEX(Справочники!$B$4:$B$7,MATCH(BF206,Справочники!$A$4:$A$7,0)),""))</f>
        <v>68.5</v>
      </c>
      <c r="BH206" s="90" t="str">
        <f aca="false">IF(N(BN206)&gt;0,ROUND(SUMIF(ЗАКАЗЫ!$F$3:$F$500,$A206,ЗАКАЗЫ!$Y$3:$Y$500)/BN206,0),IF(OR(BE206="",BG206=""),"",ROUND(BE206*BG206*(1+Справочники!$B$10),0)))</f>
        <v/>
      </c>
      <c r="BI206" s="92" t="str">
        <f aca="false">IF(OR(AU206="",BH206="",AU206=0),"",(AU206-BH206)/AU206)</f>
        <v/>
      </c>
      <c r="BJ206" s="81"/>
      <c r="BK206" s="83"/>
      <c r="BL206" s="43" t="str">
        <f aca="false">IFERROR(INDEX(ЗАКАЗЫ!$N$3:$N$500,MATCH($A206,ЗАКАЗЫ!$F$3:$F$500,0)),"")</f>
        <v/>
      </c>
      <c r="BM206" s="8" t="str">
        <f aca="false">IF(BL206="","",IFERROR(VLOOKUP(BL206,'ТН ВЭД'!$A$4:$C$40,3,0),""))</f>
        <v/>
      </c>
      <c r="BN206" s="7" t="str">
        <f aca="false">IF(COUNTIF(ЗАКАЗЫ!$F$3:$F$500,$A206)=0,"",SUMIF(ЗАКАЗЫ!$F$3:$F$500,$A206,ЗАКАЗЫ!$J$3:$J$500))</f>
        <v/>
      </c>
      <c r="BO206" s="7" t="str">
        <f aca="false">IF(BN206="","",SUMIF(ЗАКАЗЫ!$F$3:$F$500,$A206,ЗАКАЗЫ!$AL$3:$AL$500))</f>
        <v/>
      </c>
      <c r="BP206" s="7" t="str">
        <f aca="false">IF(BN206="","",BN206-BO206)</f>
        <v/>
      </c>
      <c r="BQ206" s="55" t="str">
        <f aca="false">IF(BN206="","",IF(BO206&gt;=BN206,"На складе",IF(BO206&gt;0,"Частично","Ждём")))</f>
        <v/>
      </c>
      <c r="BR206" s="43"/>
      <c r="BS206" s="47" t="str">
        <f aca="false">IF(BN206="","",IF(_xlfn.MAXIFS(ЗАКАЗЫ!$AK$3:$AK$500,ЗАКАЗЫ!$F$3:$F$500,$A206)=0,"",_xlfn.MAXIFS(ЗАКАЗЫ!$AK$3:$AK$500,ЗАКАЗЫ!$F$3:$F$500,$A206)))</f>
        <v/>
      </c>
    </row>
    <row r="207" customFormat="false" ht="15.75" hidden="false" customHeight="true" outlineLevel="0" collapsed="false">
      <c r="A207" s="80" t="s">
        <v>1730</v>
      </c>
      <c r="B207" s="81"/>
      <c r="C207" s="81"/>
      <c r="D207" s="81"/>
      <c r="E207" s="83"/>
      <c r="F207" s="81"/>
      <c r="G207" s="83"/>
      <c r="H207" s="83"/>
      <c r="I207" s="84" t="str">
        <f aca="false">IF(E207="","",A207&amp;"_1.jpg")</f>
        <v/>
      </c>
      <c r="J207" s="84" t="str">
        <f aca="false">IF(E207="","",A207&amp;"_2.jpg; "&amp;A207&amp;"_3.jpg")</f>
        <v/>
      </c>
      <c r="K207" s="84" t="str">
        <f aca="false">IF(E207="","",A207&amp;"_schema.jpg")</f>
        <v/>
      </c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 t="s">
        <v>96</v>
      </c>
      <c r="W207" s="81"/>
      <c r="X207" s="81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6" t="str">
        <f aca="false">IF(SUM(Y207:AJ207)=0,"",SUM(Y207:AJ207))</f>
        <v/>
      </c>
      <c r="AL207" s="84" t="str">
        <f aca="false">MID(IF(N(Y207)&gt;0,", "&amp;Y$2,"")&amp;IF(N(Z207)&gt;0,", "&amp;Z$2,"")&amp;IF(N(AA207)&gt;0,", "&amp;AA$2,"")&amp;IF(N(AB207)&gt;0,", "&amp;AB$2,"")&amp;IF(N(AC207)&gt;0,", "&amp;AC$2,"")&amp;IF(N(AD207)&gt;0,", "&amp;AD$2,"")&amp;IF(N(AE207)&gt;0,", "&amp;AE$2,"")&amp;IF(N(AF207)&gt;0,", "&amp;AF$2,"")&amp;IF(N(AG207)&gt;0,", "&amp;AG$2,"")&amp;IF(N(AH207)&gt;0,", "&amp;AH$2,"")&amp;IF(N(AI207)&gt;0,", "&amp;AI$2,"")&amp;IF(N(AJ207)&gt;0,", "&amp;AJ$2,""),3,999)</f>
        <v/>
      </c>
      <c r="AM207" s="87" t="str">
        <f aca="false">IF(E207="","",MID(IF(N(Y207)&gt;0,", "&amp;A207&amp;"-"&amp;Y$2,"")&amp;IF(N(Z207)&gt;0,", "&amp;A207&amp;"-"&amp;Z$2,"")&amp;IF(N(AA207)&gt;0,", "&amp;A207&amp;"-"&amp;AA$2,"")&amp;IF(N(AB207)&gt;0,", "&amp;A207&amp;"-"&amp;AB$2,"")&amp;IF(N(AC207)&gt;0,", "&amp;A207&amp;"-"&amp;AC$2,"")&amp;IF(N(AD207)&gt;0,", "&amp;A207&amp;"-"&amp;AD$2,"")&amp;IF(N(AE207)&gt;0,", "&amp;A207&amp;"-"&amp;AE$2,"")&amp;IF(N(AF207)&gt;0,", "&amp;A207&amp;"-"&amp;AF$2,"")&amp;IF(N(AG207)&gt;0,", "&amp;A207&amp;"-"&amp;AG$2,"")&amp;IF(N(AH207)&gt;0,", "&amp;A207&amp;"-"&amp;AH$2,"")&amp;IF(N(AI207)&gt;0,", "&amp;A207&amp;"-"&amp;AI$2,"")&amp;IF(N(AJ207)&gt;0,", "&amp;A207&amp;"-"&amp;AJ$2,""),3,999))</f>
        <v/>
      </c>
      <c r="AN207" s="81"/>
      <c r="AO207" s="88"/>
      <c r="AP207" s="89" t="str">
        <f aca="false">IF(AO207="","",ROUND(AO207/(1+Справочники!$B$13),2))</f>
        <v/>
      </c>
      <c r="AQ207" s="90" t="str">
        <f aca="false" t="array" ref="AQ207:AQ207">IF(AP207="","",AP207*INDEX(Справочники!$B$4:$B$7,MATCH("RUB",Справочники!$A$4:$A$7,0)))</f>
        <v/>
      </c>
      <c r="AR207" s="90" t="str">
        <f aca="false">IF(AQ207="","",ROUND(AQ207*(1+Справочники!$B$12),0))</f>
        <v/>
      </c>
      <c r="AS207" s="90" t="str">
        <f aca="false">IF(AR207="","",ROUND(AR207*(1-Справочники!$B$11),0))</f>
        <v/>
      </c>
      <c r="AT207" s="88"/>
      <c r="AU207" s="90" t="str">
        <f aca="false">IF(AT207="","",ROUND(AT207/(1+Справочники!$B$12),0))</f>
        <v/>
      </c>
      <c r="AV207" s="90" t="str">
        <f aca="false">IF(AT207="","",ROUND(AT207*(1-Справочники!$B$15),0))</f>
        <v/>
      </c>
      <c r="AW207" s="90" t="str">
        <f aca="false">IF(AT207="","",ROUND(AT207*(1-Справочники!$B$16),0))</f>
        <v/>
      </c>
      <c r="AX207" s="90" t="str">
        <f aca="false">IF(AT207="","",ROUND(AT207*(1-Справочники!$B$17),0))</f>
        <v/>
      </c>
      <c r="AY207" s="90" t="str">
        <f aca="false">IF(AT207="","",ROUND(AT207*(1-Справочники!$B$18),0))</f>
        <v/>
      </c>
      <c r="AZ207" s="90" t="str">
        <f aca="false">IF(AT207="","",ROUND(AT207*(1-Справочники!$B$19),0))</f>
        <v/>
      </c>
      <c r="BA207" s="81"/>
      <c r="BB207" s="81"/>
      <c r="BC207" s="81"/>
      <c r="BD207" s="81"/>
      <c r="BE207" s="91"/>
      <c r="BF207" s="81" t="s">
        <v>103</v>
      </c>
      <c r="BG207" s="89" t="n">
        <f aca="false" t="array" ref="BG207:BG207">IF(BF207="","",IFERROR(INDEX(Справочники!$B$4:$B$7,MATCH(BF207,Справочники!$A$4:$A$7,0)),""))</f>
        <v>68.5</v>
      </c>
      <c r="BH207" s="90" t="str">
        <f aca="false">IF(N(BN207)&gt;0,ROUND(SUMIF(ЗАКАЗЫ!$F$3:$F$500,$A207,ЗАКАЗЫ!$Y$3:$Y$500)/BN207,0),IF(OR(BE207="",BG207=""),"",ROUND(BE207*BG207*(1+Справочники!$B$10),0)))</f>
        <v/>
      </c>
      <c r="BI207" s="92" t="str">
        <f aca="false">IF(OR(AU207="",BH207="",AU207=0),"",(AU207-BH207)/AU207)</f>
        <v/>
      </c>
      <c r="BJ207" s="81"/>
      <c r="BK207" s="83"/>
      <c r="BL207" s="43" t="str">
        <f aca="false">IFERROR(INDEX(ЗАКАЗЫ!$N$3:$N$500,MATCH($A207,ЗАКАЗЫ!$F$3:$F$500,0)),"")</f>
        <v/>
      </c>
      <c r="BM207" s="8" t="str">
        <f aca="false">IF(BL207="","",IFERROR(VLOOKUP(BL207,'ТН ВЭД'!$A$4:$C$40,3,0),""))</f>
        <v/>
      </c>
      <c r="BN207" s="7" t="str">
        <f aca="false">IF(COUNTIF(ЗАКАЗЫ!$F$3:$F$500,$A207)=0,"",SUMIF(ЗАКАЗЫ!$F$3:$F$500,$A207,ЗАКАЗЫ!$J$3:$J$500))</f>
        <v/>
      </c>
      <c r="BO207" s="7" t="str">
        <f aca="false">IF(BN207="","",SUMIF(ЗАКАЗЫ!$F$3:$F$500,$A207,ЗАКАЗЫ!$AL$3:$AL$500))</f>
        <v/>
      </c>
      <c r="BP207" s="7" t="str">
        <f aca="false">IF(BN207="","",BN207-BO207)</f>
        <v/>
      </c>
      <c r="BQ207" s="55" t="str">
        <f aca="false">IF(BN207="","",IF(BO207&gt;=BN207,"На складе",IF(BO207&gt;0,"Частично","Ждём")))</f>
        <v/>
      </c>
      <c r="BR207" s="43"/>
      <c r="BS207" s="47" t="str">
        <f aca="false">IF(BN207="","",IF(_xlfn.MAXIFS(ЗАКАЗЫ!$AK$3:$AK$500,ЗАКАЗЫ!$F$3:$F$500,$A207)=0,"",_xlfn.MAXIFS(ЗАКАЗЫ!$AK$3:$AK$500,ЗАКАЗЫ!$F$3:$F$500,$A207)))</f>
        <v/>
      </c>
    </row>
    <row r="208" customFormat="false" ht="15.75" hidden="false" customHeight="true" outlineLevel="0" collapsed="false">
      <c r="A208" s="80" t="s">
        <v>1731</v>
      </c>
      <c r="B208" s="81"/>
      <c r="C208" s="81"/>
      <c r="D208" s="81"/>
      <c r="E208" s="83"/>
      <c r="F208" s="81"/>
      <c r="G208" s="83"/>
      <c r="H208" s="83"/>
      <c r="I208" s="84" t="str">
        <f aca="false">IF(E208="","",A208&amp;"_1.jpg")</f>
        <v/>
      </c>
      <c r="J208" s="84" t="str">
        <f aca="false">IF(E208="","",A208&amp;"_2.jpg; "&amp;A208&amp;"_3.jpg")</f>
        <v/>
      </c>
      <c r="K208" s="84" t="str">
        <f aca="false">IF(E208="","",A208&amp;"_schema.jpg")</f>
        <v/>
      </c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 t="s">
        <v>96</v>
      </c>
      <c r="W208" s="81"/>
      <c r="X208" s="81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6" t="str">
        <f aca="false">IF(SUM(Y208:AJ208)=0,"",SUM(Y208:AJ208))</f>
        <v/>
      </c>
      <c r="AL208" s="84" t="str">
        <f aca="false">MID(IF(N(Y208)&gt;0,", "&amp;Y$2,"")&amp;IF(N(Z208)&gt;0,", "&amp;Z$2,"")&amp;IF(N(AA208)&gt;0,", "&amp;AA$2,"")&amp;IF(N(AB208)&gt;0,", "&amp;AB$2,"")&amp;IF(N(AC208)&gt;0,", "&amp;AC$2,"")&amp;IF(N(AD208)&gt;0,", "&amp;AD$2,"")&amp;IF(N(AE208)&gt;0,", "&amp;AE$2,"")&amp;IF(N(AF208)&gt;0,", "&amp;AF$2,"")&amp;IF(N(AG208)&gt;0,", "&amp;AG$2,"")&amp;IF(N(AH208)&gt;0,", "&amp;AH$2,"")&amp;IF(N(AI208)&gt;0,", "&amp;AI$2,"")&amp;IF(N(AJ208)&gt;0,", "&amp;AJ$2,""),3,999)</f>
        <v/>
      </c>
      <c r="AM208" s="87" t="str">
        <f aca="false">IF(E208="","",MID(IF(N(Y208)&gt;0,", "&amp;A208&amp;"-"&amp;Y$2,"")&amp;IF(N(Z208)&gt;0,", "&amp;A208&amp;"-"&amp;Z$2,"")&amp;IF(N(AA208)&gt;0,", "&amp;A208&amp;"-"&amp;AA$2,"")&amp;IF(N(AB208)&gt;0,", "&amp;A208&amp;"-"&amp;AB$2,"")&amp;IF(N(AC208)&gt;0,", "&amp;A208&amp;"-"&amp;AC$2,"")&amp;IF(N(AD208)&gt;0,", "&amp;A208&amp;"-"&amp;AD$2,"")&amp;IF(N(AE208)&gt;0,", "&amp;A208&amp;"-"&amp;AE$2,"")&amp;IF(N(AF208)&gt;0,", "&amp;A208&amp;"-"&amp;AF$2,"")&amp;IF(N(AG208)&gt;0,", "&amp;A208&amp;"-"&amp;AG$2,"")&amp;IF(N(AH208)&gt;0,", "&amp;A208&amp;"-"&amp;AH$2,"")&amp;IF(N(AI208)&gt;0,", "&amp;A208&amp;"-"&amp;AI$2,"")&amp;IF(N(AJ208)&gt;0,", "&amp;A208&amp;"-"&amp;AJ$2,""),3,999))</f>
        <v/>
      </c>
      <c r="AN208" s="81"/>
      <c r="AO208" s="88"/>
      <c r="AP208" s="89" t="str">
        <f aca="false">IF(AO208="","",ROUND(AO208/(1+Справочники!$B$13),2))</f>
        <v/>
      </c>
      <c r="AQ208" s="90" t="str">
        <f aca="false" t="array" ref="AQ208:AQ208">IF(AP208="","",AP208*INDEX(Справочники!$B$4:$B$7,MATCH("RUB",Справочники!$A$4:$A$7,0)))</f>
        <v/>
      </c>
      <c r="AR208" s="90" t="str">
        <f aca="false">IF(AQ208="","",ROUND(AQ208*(1+Справочники!$B$12),0))</f>
        <v/>
      </c>
      <c r="AS208" s="90" t="str">
        <f aca="false">IF(AR208="","",ROUND(AR208*(1-Справочники!$B$11),0))</f>
        <v/>
      </c>
      <c r="AT208" s="88"/>
      <c r="AU208" s="90" t="str">
        <f aca="false">IF(AT208="","",ROUND(AT208/(1+Справочники!$B$12),0))</f>
        <v/>
      </c>
      <c r="AV208" s="90" t="str">
        <f aca="false">IF(AT208="","",ROUND(AT208*(1-Справочники!$B$15),0))</f>
        <v/>
      </c>
      <c r="AW208" s="90" t="str">
        <f aca="false">IF(AT208="","",ROUND(AT208*(1-Справочники!$B$16),0))</f>
        <v/>
      </c>
      <c r="AX208" s="90" t="str">
        <f aca="false">IF(AT208="","",ROUND(AT208*(1-Справочники!$B$17),0))</f>
        <v/>
      </c>
      <c r="AY208" s="90" t="str">
        <f aca="false">IF(AT208="","",ROUND(AT208*(1-Справочники!$B$18),0))</f>
        <v/>
      </c>
      <c r="AZ208" s="90" t="str">
        <f aca="false">IF(AT208="","",ROUND(AT208*(1-Справочники!$B$19),0))</f>
        <v/>
      </c>
      <c r="BA208" s="81"/>
      <c r="BB208" s="81"/>
      <c r="BC208" s="81"/>
      <c r="BD208" s="81"/>
      <c r="BE208" s="91"/>
      <c r="BF208" s="81" t="s">
        <v>103</v>
      </c>
      <c r="BG208" s="89" t="n">
        <f aca="false" t="array" ref="BG208:BG208">IF(BF208="","",IFERROR(INDEX(Справочники!$B$4:$B$7,MATCH(BF208,Справочники!$A$4:$A$7,0)),""))</f>
        <v>68.5</v>
      </c>
      <c r="BH208" s="90" t="str">
        <f aca="false">IF(N(BN208)&gt;0,ROUND(SUMIF(ЗАКАЗЫ!$F$3:$F$500,$A208,ЗАКАЗЫ!$Y$3:$Y$500)/BN208,0),IF(OR(BE208="",BG208=""),"",ROUND(BE208*BG208*(1+Справочники!$B$10),0)))</f>
        <v/>
      </c>
      <c r="BI208" s="92" t="str">
        <f aca="false">IF(OR(AU208="",BH208="",AU208=0),"",(AU208-BH208)/AU208)</f>
        <v/>
      </c>
      <c r="BJ208" s="81"/>
      <c r="BK208" s="83"/>
      <c r="BL208" s="43" t="str">
        <f aca="false">IFERROR(INDEX(ЗАКАЗЫ!$N$3:$N$500,MATCH($A208,ЗАКАЗЫ!$F$3:$F$500,0)),"")</f>
        <v/>
      </c>
      <c r="BM208" s="8" t="str">
        <f aca="false">IF(BL208="","",IFERROR(VLOOKUP(BL208,'ТН ВЭД'!$A$4:$C$40,3,0),""))</f>
        <v/>
      </c>
      <c r="BN208" s="7" t="str">
        <f aca="false">IF(COUNTIF(ЗАКАЗЫ!$F$3:$F$500,$A208)=0,"",SUMIF(ЗАКАЗЫ!$F$3:$F$500,$A208,ЗАКАЗЫ!$J$3:$J$500))</f>
        <v/>
      </c>
      <c r="BO208" s="7" t="str">
        <f aca="false">IF(BN208="","",SUMIF(ЗАКАЗЫ!$F$3:$F$500,$A208,ЗАКАЗЫ!$AL$3:$AL$500))</f>
        <v/>
      </c>
      <c r="BP208" s="7" t="str">
        <f aca="false">IF(BN208="","",BN208-BO208)</f>
        <v/>
      </c>
      <c r="BQ208" s="55" t="str">
        <f aca="false">IF(BN208="","",IF(BO208&gt;=BN208,"На складе",IF(BO208&gt;0,"Частично","Ждём")))</f>
        <v/>
      </c>
      <c r="BR208" s="43"/>
      <c r="BS208" s="47" t="str">
        <f aca="false">IF(BN208="","",IF(_xlfn.MAXIFS(ЗАКАЗЫ!$AK$3:$AK$500,ЗАКАЗЫ!$F$3:$F$500,$A208)=0,"",_xlfn.MAXIFS(ЗАКАЗЫ!$AK$3:$AK$500,ЗАКАЗЫ!$F$3:$F$500,$A208)))</f>
        <v/>
      </c>
    </row>
    <row r="209" customFormat="false" ht="15.75" hidden="false" customHeight="true" outlineLevel="0" collapsed="false">
      <c r="A209" s="80" t="s">
        <v>1732</v>
      </c>
      <c r="B209" s="81"/>
      <c r="C209" s="81"/>
      <c r="D209" s="81"/>
      <c r="E209" s="83"/>
      <c r="F209" s="81"/>
      <c r="G209" s="83"/>
      <c r="H209" s="83"/>
      <c r="I209" s="84" t="str">
        <f aca="false">IF(E209="","",A209&amp;"_1.jpg")</f>
        <v/>
      </c>
      <c r="J209" s="84" t="str">
        <f aca="false">IF(E209="","",A209&amp;"_2.jpg; "&amp;A209&amp;"_3.jpg")</f>
        <v/>
      </c>
      <c r="K209" s="84" t="str">
        <f aca="false">IF(E209="","",A209&amp;"_schema.jpg")</f>
        <v/>
      </c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 t="s">
        <v>96</v>
      </c>
      <c r="W209" s="81"/>
      <c r="X209" s="81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6" t="str">
        <f aca="false">IF(SUM(Y209:AJ209)=0,"",SUM(Y209:AJ209))</f>
        <v/>
      </c>
      <c r="AL209" s="84" t="str">
        <f aca="false">MID(IF(N(Y209)&gt;0,", "&amp;Y$2,"")&amp;IF(N(Z209)&gt;0,", "&amp;Z$2,"")&amp;IF(N(AA209)&gt;0,", "&amp;AA$2,"")&amp;IF(N(AB209)&gt;0,", "&amp;AB$2,"")&amp;IF(N(AC209)&gt;0,", "&amp;AC$2,"")&amp;IF(N(AD209)&gt;0,", "&amp;AD$2,"")&amp;IF(N(AE209)&gt;0,", "&amp;AE$2,"")&amp;IF(N(AF209)&gt;0,", "&amp;AF$2,"")&amp;IF(N(AG209)&gt;0,", "&amp;AG$2,"")&amp;IF(N(AH209)&gt;0,", "&amp;AH$2,"")&amp;IF(N(AI209)&gt;0,", "&amp;AI$2,"")&amp;IF(N(AJ209)&gt;0,", "&amp;AJ$2,""),3,999)</f>
        <v/>
      </c>
      <c r="AM209" s="87" t="str">
        <f aca="false">IF(E209="","",MID(IF(N(Y209)&gt;0,", "&amp;A209&amp;"-"&amp;Y$2,"")&amp;IF(N(Z209)&gt;0,", "&amp;A209&amp;"-"&amp;Z$2,"")&amp;IF(N(AA209)&gt;0,", "&amp;A209&amp;"-"&amp;AA$2,"")&amp;IF(N(AB209)&gt;0,", "&amp;A209&amp;"-"&amp;AB$2,"")&amp;IF(N(AC209)&gt;0,", "&amp;A209&amp;"-"&amp;AC$2,"")&amp;IF(N(AD209)&gt;0,", "&amp;A209&amp;"-"&amp;AD$2,"")&amp;IF(N(AE209)&gt;0,", "&amp;A209&amp;"-"&amp;AE$2,"")&amp;IF(N(AF209)&gt;0,", "&amp;A209&amp;"-"&amp;AF$2,"")&amp;IF(N(AG209)&gt;0,", "&amp;A209&amp;"-"&amp;AG$2,"")&amp;IF(N(AH209)&gt;0,", "&amp;A209&amp;"-"&amp;AH$2,"")&amp;IF(N(AI209)&gt;0,", "&amp;A209&amp;"-"&amp;AI$2,"")&amp;IF(N(AJ209)&gt;0,", "&amp;A209&amp;"-"&amp;AJ$2,""),3,999))</f>
        <v/>
      </c>
      <c r="AN209" s="81"/>
      <c r="AO209" s="88"/>
      <c r="AP209" s="89" t="str">
        <f aca="false">IF(AO209="","",ROUND(AO209/(1+Справочники!$B$13),2))</f>
        <v/>
      </c>
      <c r="AQ209" s="90" t="str">
        <f aca="false" t="array" ref="AQ209:AQ209">IF(AP209="","",AP209*INDEX(Справочники!$B$4:$B$7,MATCH("RUB",Справочники!$A$4:$A$7,0)))</f>
        <v/>
      </c>
      <c r="AR209" s="90" t="str">
        <f aca="false">IF(AQ209="","",ROUND(AQ209*(1+Справочники!$B$12),0))</f>
        <v/>
      </c>
      <c r="AS209" s="90" t="str">
        <f aca="false">IF(AR209="","",ROUND(AR209*(1-Справочники!$B$11),0))</f>
        <v/>
      </c>
      <c r="AT209" s="88"/>
      <c r="AU209" s="90" t="str">
        <f aca="false">IF(AT209="","",ROUND(AT209/(1+Справочники!$B$12),0))</f>
        <v/>
      </c>
      <c r="AV209" s="90" t="str">
        <f aca="false">IF(AT209="","",ROUND(AT209*(1-Справочники!$B$15),0))</f>
        <v/>
      </c>
      <c r="AW209" s="90" t="str">
        <f aca="false">IF(AT209="","",ROUND(AT209*(1-Справочники!$B$16),0))</f>
        <v/>
      </c>
      <c r="AX209" s="90" t="str">
        <f aca="false">IF(AT209="","",ROUND(AT209*(1-Справочники!$B$17),0))</f>
        <v/>
      </c>
      <c r="AY209" s="90" t="str">
        <f aca="false">IF(AT209="","",ROUND(AT209*(1-Справочники!$B$18),0))</f>
        <v/>
      </c>
      <c r="AZ209" s="90" t="str">
        <f aca="false">IF(AT209="","",ROUND(AT209*(1-Справочники!$B$19),0))</f>
        <v/>
      </c>
      <c r="BA209" s="81"/>
      <c r="BB209" s="81"/>
      <c r="BC209" s="81"/>
      <c r="BD209" s="81"/>
      <c r="BE209" s="91"/>
      <c r="BF209" s="81" t="s">
        <v>103</v>
      </c>
      <c r="BG209" s="89" t="n">
        <f aca="false" t="array" ref="BG209:BG209">IF(BF209="","",IFERROR(INDEX(Справочники!$B$4:$B$7,MATCH(BF209,Справочники!$A$4:$A$7,0)),""))</f>
        <v>68.5</v>
      </c>
      <c r="BH209" s="90" t="str">
        <f aca="false">IF(N(BN209)&gt;0,ROUND(SUMIF(ЗАКАЗЫ!$F$3:$F$500,$A209,ЗАКАЗЫ!$Y$3:$Y$500)/BN209,0),IF(OR(BE209="",BG209=""),"",ROUND(BE209*BG209*(1+Справочники!$B$10),0)))</f>
        <v/>
      </c>
      <c r="BI209" s="92" t="str">
        <f aca="false">IF(OR(AU209="",BH209="",AU209=0),"",(AU209-BH209)/AU209)</f>
        <v/>
      </c>
      <c r="BJ209" s="81"/>
      <c r="BK209" s="83"/>
      <c r="BL209" s="43" t="str">
        <f aca="false">IFERROR(INDEX(ЗАКАЗЫ!$N$3:$N$500,MATCH($A209,ЗАКАЗЫ!$F$3:$F$500,0)),"")</f>
        <v/>
      </c>
      <c r="BM209" s="8" t="str">
        <f aca="false">IF(BL209="","",IFERROR(VLOOKUP(BL209,'ТН ВЭД'!$A$4:$C$40,3,0),""))</f>
        <v/>
      </c>
      <c r="BN209" s="7" t="str">
        <f aca="false">IF(COUNTIF(ЗАКАЗЫ!$F$3:$F$500,$A209)=0,"",SUMIF(ЗАКАЗЫ!$F$3:$F$500,$A209,ЗАКАЗЫ!$J$3:$J$500))</f>
        <v/>
      </c>
      <c r="BO209" s="7" t="str">
        <f aca="false">IF(BN209="","",SUMIF(ЗАКАЗЫ!$F$3:$F$500,$A209,ЗАКАЗЫ!$AL$3:$AL$500))</f>
        <v/>
      </c>
      <c r="BP209" s="7" t="str">
        <f aca="false">IF(BN209="","",BN209-BO209)</f>
        <v/>
      </c>
      <c r="BQ209" s="55" t="str">
        <f aca="false">IF(BN209="","",IF(BO209&gt;=BN209,"На складе",IF(BO209&gt;0,"Частично","Ждём")))</f>
        <v/>
      </c>
      <c r="BR209" s="43"/>
      <c r="BS209" s="47" t="str">
        <f aca="false">IF(BN209="","",IF(_xlfn.MAXIFS(ЗАКАЗЫ!$AK$3:$AK$500,ЗАКАЗЫ!$F$3:$F$500,$A209)=0,"",_xlfn.MAXIFS(ЗАКАЗЫ!$AK$3:$AK$500,ЗАКАЗЫ!$F$3:$F$500,$A209)))</f>
        <v/>
      </c>
    </row>
    <row r="210" customFormat="false" ht="15.75" hidden="false" customHeight="true" outlineLevel="0" collapsed="false">
      <c r="A210" s="80" t="s">
        <v>1733</v>
      </c>
      <c r="B210" s="81"/>
      <c r="C210" s="81"/>
      <c r="D210" s="81"/>
      <c r="E210" s="83"/>
      <c r="F210" s="81"/>
      <c r="G210" s="83"/>
      <c r="H210" s="83"/>
      <c r="I210" s="84" t="str">
        <f aca="false">IF(E210="","",A210&amp;"_1.jpg")</f>
        <v/>
      </c>
      <c r="J210" s="84" t="str">
        <f aca="false">IF(E210="","",A210&amp;"_2.jpg; "&amp;A210&amp;"_3.jpg")</f>
        <v/>
      </c>
      <c r="K210" s="84" t="str">
        <f aca="false">IF(E210="","",A210&amp;"_schema.jpg")</f>
        <v/>
      </c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 t="s">
        <v>96</v>
      </c>
      <c r="W210" s="81"/>
      <c r="X210" s="81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6" t="str">
        <f aca="false">IF(SUM(Y210:AJ210)=0,"",SUM(Y210:AJ210))</f>
        <v/>
      </c>
      <c r="AL210" s="84" t="str">
        <f aca="false">MID(IF(N(Y210)&gt;0,", "&amp;Y$2,"")&amp;IF(N(Z210)&gt;0,", "&amp;Z$2,"")&amp;IF(N(AA210)&gt;0,", "&amp;AA$2,"")&amp;IF(N(AB210)&gt;0,", "&amp;AB$2,"")&amp;IF(N(AC210)&gt;0,", "&amp;AC$2,"")&amp;IF(N(AD210)&gt;0,", "&amp;AD$2,"")&amp;IF(N(AE210)&gt;0,", "&amp;AE$2,"")&amp;IF(N(AF210)&gt;0,", "&amp;AF$2,"")&amp;IF(N(AG210)&gt;0,", "&amp;AG$2,"")&amp;IF(N(AH210)&gt;0,", "&amp;AH$2,"")&amp;IF(N(AI210)&gt;0,", "&amp;AI$2,"")&amp;IF(N(AJ210)&gt;0,", "&amp;AJ$2,""),3,999)</f>
        <v/>
      </c>
      <c r="AM210" s="87" t="str">
        <f aca="false">IF(E210="","",MID(IF(N(Y210)&gt;0,", "&amp;A210&amp;"-"&amp;Y$2,"")&amp;IF(N(Z210)&gt;0,", "&amp;A210&amp;"-"&amp;Z$2,"")&amp;IF(N(AA210)&gt;0,", "&amp;A210&amp;"-"&amp;AA$2,"")&amp;IF(N(AB210)&gt;0,", "&amp;A210&amp;"-"&amp;AB$2,"")&amp;IF(N(AC210)&gt;0,", "&amp;A210&amp;"-"&amp;AC$2,"")&amp;IF(N(AD210)&gt;0,", "&amp;A210&amp;"-"&amp;AD$2,"")&amp;IF(N(AE210)&gt;0,", "&amp;A210&amp;"-"&amp;AE$2,"")&amp;IF(N(AF210)&gt;0,", "&amp;A210&amp;"-"&amp;AF$2,"")&amp;IF(N(AG210)&gt;0,", "&amp;A210&amp;"-"&amp;AG$2,"")&amp;IF(N(AH210)&gt;0,", "&amp;A210&amp;"-"&amp;AH$2,"")&amp;IF(N(AI210)&gt;0,", "&amp;A210&amp;"-"&amp;AI$2,"")&amp;IF(N(AJ210)&gt;0,", "&amp;A210&amp;"-"&amp;AJ$2,""),3,999))</f>
        <v/>
      </c>
      <c r="AN210" s="81"/>
      <c r="AO210" s="88"/>
      <c r="AP210" s="89" t="str">
        <f aca="false">IF(AO210="","",ROUND(AO210/(1+Справочники!$B$13),2))</f>
        <v/>
      </c>
      <c r="AQ210" s="90" t="str">
        <f aca="false" t="array" ref="AQ210:AQ210">IF(AP210="","",AP210*INDEX(Справочники!$B$4:$B$7,MATCH("RUB",Справочники!$A$4:$A$7,0)))</f>
        <v/>
      </c>
      <c r="AR210" s="90" t="str">
        <f aca="false">IF(AQ210="","",ROUND(AQ210*(1+Справочники!$B$12),0))</f>
        <v/>
      </c>
      <c r="AS210" s="90" t="str">
        <f aca="false">IF(AR210="","",ROUND(AR210*(1-Справочники!$B$11),0))</f>
        <v/>
      </c>
      <c r="AT210" s="88"/>
      <c r="AU210" s="90" t="str">
        <f aca="false">IF(AT210="","",ROUND(AT210/(1+Справочники!$B$12),0))</f>
        <v/>
      </c>
      <c r="AV210" s="90" t="str">
        <f aca="false">IF(AT210="","",ROUND(AT210*(1-Справочники!$B$15),0))</f>
        <v/>
      </c>
      <c r="AW210" s="90" t="str">
        <f aca="false">IF(AT210="","",ROUND(AT210*(1-Справочники!$B$16),0))</f>
        <v/>
      </c>
      <c r="AX210" s="90" t="str">
        <f aca="false">IF(AT210="","",ROUND(AT210*(1-Справочники!$B$17),0))</f>
        <v/>
      </c>
      <c r="AY210" s="90" t="str">
        <f aca="false">IF(AT210="","",ROUND(AT210*(1-Справочники!$B$18),0))</f>
        <v/>
      </c>
      <c r="AZ210" s="90" t="str">
        <f aca="false">IF(AT210="","",ROUND(AT210*(1-Справочники!$B$19),0))</f>
        <v/>
      </c>
      <c r="BA210" s="81"/>
      <c r="BB210" s="81"/>
      <c r="BC210" s="81"/>
      <c r="BD210" s="81"/>
      <c r="BE210" s="91"/>
      <c r="BF210" s="81" t="s">
        <v>103</v>
      </c>
      <c r="BG210" s="89" t="n">
        <f aca="false" t="array" ref="BG210:BG210">IF(BF210="","",IFERROR(INDEX(Справочники!$B$4:$B$7,MATCH(BF210,Справочники!$A$4:$A$7,0)),""))</f>
        <v>68.5</v>
      </c>
      <c r="BH210" s="90" t="str">
        <f aca="false">IF(N(BN210)&gt;0,ROUND(SUMIF(ЗАКАЗЫ!$F$3:$F$500,$A210,ЗАКАЗЫ!$Y$3:$Y$500)/BN210,0),IF(OR(BE210="",BG210=""),"",ROUND(BE210*BG210*(1+Справочники!$B$10),0)))</f>
        <v/>
      </c>
      <c r="BI210" s="92" t="str">
        <f aca="false">IF(OR(AU210="",BH210="",AU210=0),"",(AU210-BH210)/AU210)</f>
        <v/>
      </c>
      <c r="BJ210" s="81"/>
      <c r="BK210" s="83"/>
      <c r="BL210" s="43" t="str">
        <f aca="false">IFERROR(INDEX(ЗАКАЗЫ!$N$3:$N$500,MATCH($A210,ЗАКАЗЫ!$F$3:$F$500,0)),"")</f>
        <v/>
      </c>
      <c r="BM210" s="8" t="str">
        <f aca="false">IF(BL210="","",IFERROR(VLOOKUP(BL210,'ТН ВЭД'!$A$4:$C$40,3,0),""))</f>
        <v/>
      </c>
      <c r="BN210" s="7" t="str">
        <f aca="false">IF(COUNTIF(ЗАКАЗЫ!$F$3:$F$500,$A210)=0,"",SUMIF(ЗАКАЗЫ!$F$3:$F$500,$A210,ЗАКАЗЫ!$J$3:$J$500))</f>
        <v/>
      </c>
      <c r="BO210" s="7" t="str">
        <f aca="false">IF(BN210="","",SUMIF(ЗАКАЗЫ!$F$3:$F$500,$A210,ЗАКАЗЫ!$AL$3:$AL$500))</f>
        <v/>
      </c>
      <c r="BP210" s="7" t="str">
        <f aca="false">IF(BN210="","",BN210-BO210)</f>
        <v/>
      </c>
      <c r="BQ210" s="55" t="str">
        <f aca="false">IF(BN210="","",IF(BO210&gt;=BN210,"На складе",IF(BO210&gt;0,"Частично","Ждём")))</f>
        <v/>
      </c>
      <c r="BR210" s="43"/>
      <c r="BS210" s="47" t="str">
        <f aca="false">IF(BN210="","",IF(_xlfn.MAXIFS(ЗАКАЗЫ!$AK$3:$AK$500,ЗАКАЗЫ!$F$3:$F$500,$A210)=0,"",_xlfn.MAXIFS(ЗАКАЗЫ!$AK$3:$AK$500,ЗАКАЗЫ!$F$3:$F$500,$A210)))</f>
        <v/>
      </c>
    </row>
    <row r="211" customFormat="false" ht="15.75" hidden="false" customHeight="true" outlineLevel="0" collapsed="false">
      <c r="A211" s="80" t="s">
        <v>1734</v>
      </c>
      <c r="B211" s="81"/>
      <c r="C211" s="81"/>
      <c r="D211" s="81"/>
      <c r="E211" s="83"/>
      <c r="F211" s="81"/>
      <c r="G211" s="83"/>
      <c r="H211" s="83"/>
      <c r="I211" s="84" t="str">
        <f aca="false">IF(E211="","",A211&amp;"_1.jpg")</f>
        <v/>
      </c>
      <c r="J211" s="84" t="str">
        <f aca="false">IF(E211="","",A211&amp;"_2.jpg; "&amp;A211&amp;"_3.jpg")</f>
        <v/>
      </c>
      <c r="K211" s="84" t="str">
        <f aca="false">IF(E211="","",A211&amp;"_schema.jpg")</f>
        <v/>
      </c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 t="s">
        <v>96</v>
      </c>
      <c r="W211" s="81"/>
      <c r="X211" s="81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6" t="str">
        <f aca="false">IF(SUM(Y211:AJ211)=0,"",SUM(Y211:AJ211))</f>
        <v/>
      </c>
      <c r="AL211" s="84" t="str">
        <f aca="false">MID(IF(N(Y211)&gt;0,", "&amp;Y$2,"")&amp;IF(N(Z211)&gt;0,", "&amp;Z$2,"")&amp;IF(N(AA211)&gt;0,", "&amp;AA$2,"")&amp;IF(N(AB211)&gt;0,", "&amp;AB$2,"")&amp;IF(N(AC211)&gt;0,", "&amp;AC$2,"")&amp;IF(N(AD211)&gt;0,", "&amp;AD$2,"")&amp;IF(N(AE211)&gt;0,", "&amp;AE$2,"")&amp;IF(N(AF211)&gt;0,", "&amp;AF$2,"")&amp;IF(N(AG211)&gt;0,", "&amp;AG$2,"")&amp;IF(N(AH211)&gt;0,", "&amp;AH$2,"")&amp;IF(N(AI211)&gt;0,", "&amp;AI$2,"")&amp;IF(N(AJ211)&gt;0,", "&amp;AJ$2,""),3,999)</f>
        <v/>
      </c>
      <c r="AM211" s="87" t="str">
        <f aca="false">IF(E211="","",MID(IF(N(Y211)&gt;0,", "&amp;A211&amp;"-"&amp;Y$2,"")&amp;IF(N(Z211)&gt;0,", "&amp;A211&amp;"-"&amp;Z$2,"")&amp;IF(N(AA211)&gt;0,", "&amp;A211&amp;"-"&amp;AA$2,"")&amp;IF(N(AB211)&gt;0,", "&amp;A211&amp;"-"&amp;AB$2,"")&amp;IF(N(AC211)&gt;0,", "&amp;A211&amp;"-"&amp;AC$2,"")&amp;IF(N(AD211)&gt;0,", "&amp;A211&amp;"-"&amp;AD$2,"")&amp;IF(N(AE211)&gt;0,", "&amp;A211&amp;"-"&amp;AE$2,"")&amp;IF(N(AF211)&gt;0,", "&amp;A211&amp;"-"&amp;AF$2,"")&amp;IF(N(AG211)&gt;0,", "&amp;A211&amp;"-"&amp;AG$2,"")&amp;IF(N(AH211)&gt;0,", "&amp;A211&amp;"-"&amp;AH$2,"")&amp;IF(N(AI211)&gt;0,", "&amp;A211&amp;"-"&amp;AI$2,"")&amp;IF(N(AJ211)&gt;0,", "&amp;A211&amp;"-"&amp;AJ$2,""),3,999))</f>
        <v/>
      </c>
      <c r="AN211" s="81"/>
      <c r="AO211" s="88"/>
      <c r="AP211" s="89" t="str">
        <f aca="false">IF(AO211="","",ROUND(AO211/(1+Справочники!$B$13),2))</f>
        <v/>
      </c>
      <c r="AQ211" s="90" t="str">
        <f aca="false" t="array" ref="AQ211:AQ211">IF(AP211="","",AP211*INDEX(Справочники!$B$4:$B$7,MATCH("RUB",Справочники!$A$4:$A$7,0)))</f>
        <v/>
      </c>
      <c r="AR211" s="90" t="str">
        <f aca="false">IF(AQ211="","",ROUND(AQ211*(1+Справочники!$B$12),0))</f>
        <v/>
      </c>
      <c r="AS211" s="90" t="str">
        <f aca="false">IF(AR211="","",ROUND(AR211*(1-Справочники!$B$11),0))</f>
        <v/>
      </c>
      <c r="AT211" s="88"/>
      <c r="AU211" s="90" t="str">
        <f aca="false">IF(AT211="","",ROUND(AT211/(1+Справочники!$B$12),0))</f>
        <v/>
      </c>
      <c r="AV211" s="90" t="str">
        <f aca="false">IF(AT211="","",ROUND(AT211*(1-Справочники!$B$15),0))</f>
        <v/>
      </c>
      <c r="AW211" s="90" t="str">
        <f aca="false">IF(AT211="","",ROUND(AT211*(1-Справочники!$B$16),0))</f>
        <v/>
      </c>
      <c r="AX211" s="90" t="str">
        <f aca="false">IF(AT211="","",ROUND(AT211*(1-Справочники!$B$17),0))</f>
        <v/>
      </c>
      <c r="AY211" s="90" t="str">
        <f aca="false">IF(AT211="","",ROUND(AT211*(1-Справочники!$B$18),0))</f>
        <v/>
      </c>
      <c r="AZ211" s="90" t="str">
        <f aca="false">IF(AT211="","",ROUND(AT211*(1-Справочники!$B$19),0))</f>
        <v/>
      </c>
      <c r="BA211" s="81"/>
      <c r="BB211" s="81"/>
      <c r="BC211" s="81"/>
      <c r="BD211" s="81"/>
      <c r="BE211" s="91"/>
      <c r="BF211" s="81" t="s">
        <v>103</v>
      </c>
      <c r="BG211" s="89" t="n">
        <f aca="false" t="array" ref="BG211:BG211">IF(BF211="","",IFERROR(INDEX(Справочники!$B$4:$B$7,MATCH(BF211,Справочники!$A$4:$A$7,0)),""))</f>
        <v>68.5</v>
      </c>
      <c r="BH211" s="90" t="str">
        <f aca="false">IF(N(BN211)&gt;0,ROUND(SUMIF(ЗАКАЗЫ!$F$3:$F$500,$A211,ЗАКАЗЫ!$Y$3:$Y$500)/BN211,0),IF(OR(BE211="",BG211=""),"",ROUND(BE211*BG211*(1+Справочники!$B$10),0)))</f>
        <v/>
      </c>
      <c r="BI211" s="92" t="str">
        <f aca="false">IF(OR(AU211="",BH211="",AU211=0),"",(AU211-BH211)/AU211)</f>
        <v/>
      </c>
      <c r="BJ211" s="81"/>
      <c r="BK211" s="83"/>
      <c r="BL211" s="43" t="str">
        <f aca="false">IFERROR(INDEX(ЗАКАЗЫ!$N$3:$N$500,MATCH($A211,ЗАКАЗЫ!$F$3:$F$500,0)),"")</f>
        <v/>
      </c>
      <c r="BM211" s="8" t="str">
        <f aca="false">IF(BL211="","",IFERROR(VLOOKUP(BL211,'ТН ВЭД'!$A$4:$C$40,3,0),""))</f>
        <v/>
      </c>
      <c r="BN211" s="7" t="str">
        <f aca="false">IF(COUNTIF(ЗАКАЗЫ!$F$3:$F$500,$A211)=0,"",SUMIF(ЗАКАЗЫ!$F$3:$F$500,$A211,ЗАКАЗЫ!$J$3:$J$500))</f>
        <v/>
      </c>
      <c r="BO211" s="7" t="str">
        <f aca="false">IF(BN211="","",SUMIF(ЗАКАЗЫ!$F$3:$F$500,$A211,ЗАКАЗЫ!$AL$3:$AL$500))</f>
        <v/>
      </c>
      <c r="BP211" s="7" t="str">
        <f aca="false">IF(BN211="","",BN211-BO211)</f>
        <v/>
      </c>
      <c r="BQ211" s="55" t="str">
        <f aca="false">IF(BN211="","",IF(BO211&gt;=BN211,"На складе",IF(BO211&gt;0,"Частично","Ждём")))</f>
        <v/>
      </c>
      <c r="BR211" s="43"/>
      <c r="BS211" s="47" t="str">
        <f aca="false">IF(BN211="","",IF(_xlfn.MAXIFS(ЗАКАЗЫ!$AK$3:$AK$500,ЗАКАЗЫ!$F$3:$F$500,$A211)=0,"",_xlfn.MAXIFS(ЗАКАЗЫ!$AK$3:$AK$500,ЗАКАЗЫ!$F$3:$F$500,$A211)))</f>
        <v/>
      </c>
    </row>
    <row r="212" customFormat="false" ht="15.75" hidden="false" customHeight="true" outlineLevel="0" collapsed="false">
      <c r="A212" s="80" t="s">
        <v>1735</v>
      </c>
      <c r="B212" s="81"/>
      <c r="C212" s="81"/>
      <c r="D212" s="81"/>
      <c r="E212" s="83"/>
      <c r="F212" s="81"/>
      <c r="G212" s="83"/>
      <c r="H212" s="83"/>
      <c r="I212" s="84" t="str">
        <f aca="false">IF(E212="","",A212&amp;"_1.jpg")</f>
        <v/>
      </c>
      <c r="J212" s="84" t="str">
        <f aca="false">IF(E212="","",A212&amp;"_2.jpg; "&amp;A212&amp;"_3.jpg")</f>
        <v/>
      </c>
      <c r="K212" s="84" t="str">
        <f aca="false">IF(E212="","",A212&amp;"_schema.jpg")</f>
        <v/>
      </c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 t="s">
        <v>96</v>
      </c>
      <c r="W212" s="81"/>
      <c r="X212" s="81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6" t="str">
        <f aca="false">IF(SUM(Y212:AJ212)=0,"",SUM(Y212:AJ212))</f>
        <v/>
      </c>
      <c r="AL212" s="84" t="str">
        <f aca="false">MID(IF(N(Y212)&gt;0,", "&amp;Y$2,"")&amp;IF(N(Z212)&gt;0,", "&amp;Z$2,"")&amp;IF(N(AA212)&gt;0,", "&amp;AA$2,"")&amp;IF(N(AB212)&gt;0,", "&amp;AB$2,"")&amp;IF(N(AC212)&gt;0,", "&amp;AC$2,"")&amp;IF(N(AD212)&gt;0,", "&amp;AD$2,"")&amp;IF(N(AE212)&gt;0,", "&amp;AE$2,"")&amp;IF(N(AF212)&gt;0,", "&amp;AF$2,"")&amp;IF(N(AG212)&gt;0,", "&amp;AG$2,"")&amp;IF(N(AH212)&gt;0,", "&amp;AH$2,"")&amp;IF(N(AI212)&gt;0,", "&amp;AI$2,"")&amp;IF(N(AJ212)&gt;0,", "&amp;AJ$2,""),3,999)</f>
        <v/>
      </c>
      <c r="AM212" s="87" t="str">
        <f aca="false">IF(E212="","",MID(IF(N(Y212)&gt;0,", "&amp;A212&amp;"-"&amp;Y$2,"")&amp;IF(N(Z212)&gt;0,", "&amp;A212&amp;"-"&amp;Z$2,"")&amp;IF(N(AA212)&gt;0,", "&amp;A212&amp;"-"&amp;AA$2,"")&amp;IF(N(AB212)&gt;0,", "&amp;A212&amp;"-"&amp;AB$2,"")&amp;IF(N(AC212)&gt;0,", "&amp;A212&amp;"-"&amp;AC$2,"")&amp;IF(N(AD212)&gt;0,", "&amp;A212&amp;"-"&amp;AD$2,"")&amp;IF(N(AE212)&gt;0,", "&amp;A212&amp;"-"&amp;AE$2,"")&amp;IF(N(AF212)&gt;0,", "&amp;A212&amp;"-"&amp;AF$2,"")&amp;IF(N(AG212)&gt;0,", "&amp;A212&amp;"-"&amp;AG$2,"")&amp;IF(N(AH212)&gt;0,", "&amp;A212&amp;"-"&amp;AH$2,"")&amp;IF(N(AI212)&gt;0,", "&amp;A212&amp;"-"&amp;AI$2,"")&amp;IF(N(AJ212)&gt;0,", "&amp;A212&amp;"-"&amp;AJ$2,""),3,999))</f>
        <v/>
      </c>
      <c r="AN212" s="81"/>
      <c r="AO212" s="88"/>
      <c r="AP212" s="89" t="str">
        <f aca="false">IF(AO212="","",ROUND(AO212/(1+Справочники!$B$13),2))</f>
        <v/>
      </c>
      <c r="AQ212" s="90" t="str">
        <f aca="false" t="array" ref="AQ212:AQ212">IF(AP212="","",AP212*INDEX(Справочники!$B$4:$B$7,MATCH("RUB",Справочники!$A$4:$A$7,0)))</f>
        <v/>
      </c>
      <c r="AR212" s="90" t="str">
        <f aca="false">IF(AQ212="","",ROUND(AQ212*(1+Справочники!$B$12),0))</f>
        <v/>
      </c>
      <c r="AS212" s="90" t="str">
        <f aca="false">IF(AR212="","",ROUND(AR212*(1-Справочники!$B$11),0))</f>
        <v/>
      </c>
      <c r="AT212" s="88"/>
      <c r="AU212" s="90" t="str">
        <f aca="false">IF(AT212="","",ROUND(AT212/(1+Справочники!$B$12),0))</f>
        <v/>
      </c>
      <c r="AV212" s="90" t="str">
        <f aca="false">IF(AT212="","",ROUND(AT212*(1-Справочники!$B$15),0))</f>
        <v/>
      </c>
      <c r="AW212" s="90" t="str">
        <f aca="false">IF(AT212="","",ROUND(AT212*(1-Справочники!$B$16),0))</f>
        <v/>
      </c>
      <c r="AX212" s="90" t="str">
        <f aca="false">IF(AT212="","",ROUND(AT212*(1-Справочники!$B$17),0))</f>
        <v/>
      </c>
      <c r="AY212" s="90" t="str">
        <f aca="false">IF(AT212="","",ROUND(AT212*(1-Справочники!$B$18),0))</f>
        <v/>
      </c>
      <c r="AZ212" s="90" t="str">
        <f aca="false">IF(AT212="","",ROUND(AT212*(1-Справочники!$B$19),0))</f>
        <v/>
      </c>
      <c r="BA212" s="81"/>
      <c r="BB212" s="81"/>
      <c r="BC212" s="81"/>
      <c r="BD212" s="81"/>
      <c r="BE212" s="91"/>
      <c r="BF212" s="81" t="s">
        <v>103</v>
      </c>
      <c r="BG212" s="89" t="n">
        <f aca="false" t="array" ref="BG212:BG212">IF(BF212="","",IFERROR(INDEX(Справочники!$B$4:$B$7,MATCH(BF212,Справочники!$A$4:$A$7,0)),""))</f>
        <v>68.5</v>
      </c>
      <c r="BH212" s="90" t="str">
        <f aca="false">IF(N(BN212)&gt;0,ROUND(SUMIF(ЗАКАЗЫ!$F$3:$F$500,$A212,ЗАКАЗЫ!$Y$3:$Y$500)/BN212,0),IF(OR(BE212="",BG212=""),"",ROUND(BE212*BG212*(1+Справочники!$B$10),0)))</f>
        <v/>
      </c>
      <c r="BI212" s="92" t="str">
        <f aca="false">IF(OR(AU212="",BH212="",AU212=0),"",(AU212-BH212)/AU212)</f>
        <v/>
      </c>
      <c r="BJ212" s="81"/>
      <c r="BK212" s="83"/>
      <c r="BL212" s="43" t="str">
        <f aca="false">IFERROR(INDEX(ЗАКАЗЫ!$N$3:$N$500,MATCH($A212,ЗАКАЗЫ!$F$3:$F$500,0)),"")</f>
        <v/>
      </c>
      <c r="BM212" s="8" t="str">
        <f aca="false">IF(BL212="","",IFERROR(VLOOKUP(BL212,'ТН ВЭД'!$A$4:$C$40,3,0),""))</f>
        <v/>
      </c>
      <c r="BN212" s="7" t="str">
        <f aca="false">IF(COUNTIF(ЗАКАЗЫ!$F$3:$F$500,$A212)=0,"",SUMIF(ЗАКАЗЫ!$F$3:$F$500,$A212,ЗАКАЗЫ!$J$3:$J$500))</f>
        <v/>
      </c>
      <c r="BO212" s="7" t="str">
        <f aca="false">IF(BN212="","",SUMIF(ЗАКАЗЫ!$F$3:$F$500,$A212,ЗАКАЗЫ!$AL$3:$AL$500))</f>
        <v/>
      </c>
      <c r="BP212" s="7" t="str">
        <f aca="false">IF(BN212="","",BN212-BO212)</f>
        <v/>
      </c>
      <c r="BQ212" s="55" t="str">
        <f aca="false">IF(BN212="","",IF(BO212&gt;=BN212,"На складе",IF(BO212&gt;0,"Частично","Ждём")))</f>
        <v/>
      </c>
      <c r="BR212" s="43"/>
      <c r="BS212" s="47" t="str">
        <f aca="false">IF(BN212="","",IF(_xlfn.MAXIFS(ЗАКАЗЫ!$AK$3:$AK$500,ЗАКАЗЫ!$F$3:$F$500,$A212)=0,"",_xlfn.MAXIFS(ЗАКАЗЫ!$AK$3:$AK$500,ЗАКАЗЫ!$F$3:$F$500,$A212)))</f>
        <v/>
      </c>
    </row>
    <row r="213" customFormat="false" ht="15.75" hidden="false" customHeight="true" outlineLevel="0" collapsed="false">
      <c r="A213" s="80" t="s">
        <v>1736</v>
      </c>
      <c r="B213" s="81"/>
      <c r="C213" s="81"/>
      <c r="D213" s="81"/>
      <c r="E213" s="83"/>
      <c r="F213" s="81"/>
      <c r="G213" s="83"/>
      <c r="H213" s="83"/>
      <c r="I213" s="84" t="str">
        <f aca="false">IF(E213="","",A213&amp;"_1.jpg")</f>
        <v/>
      </c>
      <c r="J213" s="84" t="str">
        <f aca="false">IF(E213="","",A213&amp;"_2.jpg; "&amp;A213&amp;"_3.jpg")</f>
        <v/>
      </c>
      <c r="K213" s="84" t="str">
        <f aca="false">IF(E213="","",A213&amp;"_schema.jpg")</f>
        <v/>
      </c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 t="s">
        <v>96</v>
      </c>
      <c r="W213" s="81"/>
      <c r="X213" s="81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6" t="str">
        <f aca="false">IF(SUM(Y213:AJ213)=0,"",SUM(Y213:AJ213))</f>
        <v/>
      </c>
      <c r="AL213" s="84" t="str">
        <f aca="false">MID(IF(N(Y213)&gt;0,", "&amp;Y$2,"")&amp;IF(N(Z213)&gt;0,", "&amp;Z$2,"")&amp;IF(N(AA213)&gt;0,", "&amp;AA$2,"")&amp;IF(N(AB213)&gt;0,", "&amp;AB$2,"")&amp;IF(N(AC213)&gt;0,", "&amp;AC$2,"")&amp;IF(N(AD213)&gt;0,", "&amp;AD$2,"")&amp;IF(N(AE213)&gt;0,", "&amp;AE$2,"")&amp;IF(N(AF213)&gt;0,", "&amp;AF$2,"")&amp;IF(N(AG213)&gt;0,", "&amp;AG$2,"")&amp;IF(N(AH213)&gt;0,", "&amp;AH$2,"")&amp;IF(N(AI213)&gt;0,", "&amp;AI$2,"")&amp;IF(N(AJ213)&gt;0,", "&amp;AJ$2,""),3,999)</f>
        <v/>
      </c>
      <c r="AM213" s="87" t="str">
        <f aca="false">IF(E213="","",MID(IF(N(Y213)&gt;0,", "&amp;A213&amp;"-"&amp;Y$2,"")&amp;IF(N(Z213)&gt;0,", "&amp;A213&amp;"-"&amp;Z$2,"")&amp;IF(N(AA213)&gt;0,", "&amp;A213&amp;"-"&amp;AA$2,"")&amp;IF(N(AB213)&gt;0,", "&amp;A213&amp;"-"&amp;AB$2,"")&amp;IF(N(AC213)&gt;0,", "&amp;A213&amp;"-"&amp;AC$2,"")&amp;IF(N(AD213)&gt;0,", "&amp;A213&amp;"-"&amp;AD$2,"")&amp;IF(N(AE213)&gt;0,", "&amp;A213&amp;"-"&amp;AE$2,"")&amp;IF(N(AF213)&gt;0,", "&amp;A213&amp;"-"&amp;AF$2,"")&amp;IF(N(AG213)&gt;0,", "&amp;A213&amp;"-"&amp;AG$2,"")&amp;IF(N(AH213)&gt;0,", "&amp;A213&amp;"-"&amp;AH$2,"")&amp;IF(N(AI213)&gt;0,", "&amp;A213&amp;"-"&amp;AI$2,"")&amp;IF(N(AJ213)&gt;0,", "&amp;A213&amp;"-"&amp;AJ$2,""),3,999))</f>
        <v/>
      </c>
      <c r="AN213" s="81"/>
      <c r="AO213" s="88"/>
      <c r="AP213" s="89" t="str">
        <f aca="false">IF(AO213="","",ROUND(AO213/(1+Справочники!$B$13),2))</f>
        <v/>
      </c>
      <c r="AQ213" s="90" t="str">
        <f aca="false" t="array" ref="AQ213:AQ213">IF(AP213="","",AP213*INDEX(Справочники!$B$4:$B$7,MATCH("RUB",Справочники!$A$4:$A$7,0)))</f>
        <v/>
      </c>
      <c r="AR213" s="90" t="str">
        <f aca="false">IF(AQ213="","",ROUND(AQ213*(1+Справочники!$B$12),0))</f>
        <v/>
      </c>
      <c r="AS213" s="90" t="str">
        <f aca="false">IF(AR213="","",ROUND(AR213*(1-Справочники!$B$11),0))</f>
        <v/>
      </c>
      <c r="AT213" s="88"/>
      <c r="AU213" s="90" t="str">
        <f aca="false">IF(AT213="","",ROUND(AT213/(1+Справочники!$B$12),0))</f>
        <v/>
      </c>
      <c r="AV213" s="90" t="str">
        <f aca="false">IF(AT213="","",ROUND(AT213*(1-Справочники!$B$15),0))</f>
        <v/>
      </c>
      <c r="AW213" s="90" t="str">
        <f aca="false">IF(AT213="","",ROUND(AT213*(1-Справочники!$B$16),0))</f>
        <v/>
      </c>
      <c r="AX213" s="90" t="str">
        <f aca="false">IF(AT213="","",ROUND(AT213*(1-Справочники!$B$17),0))</f>
        <v/>
      </c>
      <c r="AY213" s="90" t="str">
        <f aca="false">IF(AT213="","",ROUND(AT213*(1-Справочники!$B$18),0))</f>
        <v/>
      </c>
      <c r="AZ213" s="90" t="str">
        <f aca="false">IF(AT213="","",ROUND(AT213*(1-Справочники!$B$19),0))</f>
        <v/>
      </c>
      <c r="BA213" s="81"/>
      <c r="BB213" s="81"/>
      <c r="BC213" s="81"/>
      <c r="BD213" s="81"/>
      <c r="BE213" s="91"/>
      <c r="BF213" s="81" t="s">
        <v>103</v>
      </c>
      <c r="BG213" s="89" t="n">
        <f aca="false" t="array" ref="BG213:BG213">IF(BF213="","",IFERROR(INDEX(Справочники!$B$4:$B$7,MATCH(BF213,Справочники!$A$4:$A$7,0)),""))</f>
        <v>68.5</v>
      </c>
      <c r="BH213" s="90" t="str">
        <f aca="false">IF(N(BN213)&gt;0,ROUND(SUMIF(ЗАКАЗЫ!$F$3:$F$500,$A213,ЗАКАЗЫ!$Y$3:$Y$500)/BN213,0),IF(OR(BE213="",BG213=""),"",ROUND(BE213*BG213*(1+Справочники!$B$10),0)))</f>
        <v/>
      </c>
      <c r="BI213" s="92" t="str">
        <f aca="false">IF(OR(AU213="",BH213="",AU213=0),"",(AU213-BH213)/AU213)</f>
        <v/>
      </c>
      <c r="BJ213" s="81"/>
      <c r="BK213" s="83"/>
      <c r="BL213" s="43" t="str">
        <f aca="false">IFERROR(INDEX(ЗАКАЗЫ!$N$3:$N$500,MATCH($A213,ЗАКАЗЫ!$F$3:$F$500,0)),"")</f>
        <v/>
      </c>
      <c r="BM213" s="8" t="str">
        <f aca="false">IF(BL213="","",IFERROR(VLOOKUP(BL213,'ТН ВЭД'!$A$4:$C$40,3,0),""))</f>
        <v/>
      </c>
      <c r="BN213" s="7" t="str">
        <f aca="false">IF(COUNTIF(ЗАКАЗЫ!$F$3:$F$500,$A213)=0,"",SUMIF(ЗАКАЗЫ!$F$3:$F$500,$A213,ЗАКАЗЫ!$J$3:$J$500))</f>
        <v/>
      </c>
      <c r="BO213" s="7" t="str">
        <f aca="false">IF(BN213="","",SUMIF(ЗАКАЗЫ!$F$3:$F$500,$A213,ЗАКАЗЫ!$AL$3:$AL$500))</f>
        <v/>
      </c>
      <c r="BP213" s="7" t="str">
        <f aca="false">IF(BN213="","",BN213-BO213)</f>
        <v/>
      </c>
      <c r="BQ213" s="55" t="str">
        <f aca="false">IF(BN213="","",IF(BO213&gt;=BN213,"На складе",IF(BO213&gt;0,"Частично","Ждём")))</f>
        <v/>
      </c>
      <c r="BR213" s="43"/>
      <c r="BS213" s="47" t="str">
        <f aca="false">IF(BN213="","",IF(_xlfn.MAXIFS(ЗАКАЗЫ!$AK$3:$AK$500,ЗАКАЗЫ!$F$3:$F$500,$A213)=0,"",_xlfn.MAXIFS(ЗАКАЗЫ!$AK$3:$AK$500,ЗАКАЗЫ!$F$3:$F$500,$A213)))</f>
        <v/>
      </c>
    </row>
    <row r="214" customFormat="false" ht="15.75" hidden="false" customHeight="true" outlineLevel="0" collapsed="false">
      <c r="A214" s="80" t="s">
        <v>1737</v>
      </c>
      <c r="B214" s="81"/>
      <c r="C214" s="81"/>
      <c r="D214" s="81"/>
      <c r="E214" s="83"/>
      <c r="F214" s="81"/>
      <c r="G214" s="83"/>
      <c r="H214" s="83"/>
      <c r="I214" s="84" t="str">
        <f aca="false">IF(E214="","",A214&amp;"_1.jpg")</f>
        <v/>
      </c>
      <c r="J214" s="84" t="str">
        <f aca="false">IF(E214="","",A214&amp;"_2.jpg; "&amp;A214&amp;"_3.jpg")</f>
        <v/>
      </c>
      <c r="K214" s="84" t="str">
        <f aca="false">IF(E214="","",A214&amp;"_schema.jpg")</f>
        <v/>
      </c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 t="s">
        <v>96</v>
      </c>
      <c r="W214" s="81"/>
      <c r="X214" s="81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6" t="str">
        <f aca="false">IF(SUM(Y214:AJ214)=0,"",SUM(Y214:AJ214))</f>
        <v/>
      </c>
      <c r="AL214" s="84" t="str">
        <f aca="false">MID(IF(N(Y214)&gt;0,", "&amp;Y$2,"")&amp;IF(N(Z214)&gt;0,", "&amp;Z$2,"")&amp;IF(N(AA214)&gt;0,", "&amp;AA$2,"")&amp;IF(N(AB214)&gt;0,", "&amp;AB$2,"")&amp;IF(N(AC214)&gt;0,", "&amp;AC$2,"")&amp;IF(N(AD214)&gt;0,", "&amp;AD$2,"")&amp;IF(N(AE214)&gt;0,", "&amp;AE$2,"")&amp;IF(N(AF214)&gt;0,", "&amp;AF$2,"")&amp;IF(N(AG214)&gt;0,", "&amp;AG$2,"")&amp;IF(N(AH214)&gt;0,", "&amp;AH$2,"")&amp;IF(N(AI214)&gt;0,", "&amp;AI$2,"")&amp;IF(N(AJ214)&gt;0,", "&amp;AJ$2,""),3,999)</f>
        <v/>
      </c>
      <c r="AM214" s="87" t="str">
        <f aca="false">IF(E214="","",MID(IF(N(Y214)&gt;0,", "&amp;A214&amp;"-"&amp;Y$2,"")&amp;IF(N(Z214)&gt;0,", "&amp;A214&amp;"-"&amp;Z$2,"")&amp;IF(N(AA214)&gt;0,", "&amp;A214&amp;"-"&amp;AA$2,"")&amp;IF(N(AB214)&gt;0,", "&amp;A214&amp;"-"&amp;AB$2,"")&amp;IF(N(AC214)&gt;0,", "&amp;A214&amp;"-"&amp;AC$2,"")&amp;IF(N(AD214)&gt;0,", "&amp;A214&amp;"-"&amp;AD$2,"")&amp;IF(N(AE214)&gt;0,", "&amp;A214&amp;"-"&amp;AE$2,"")&amp;IF(N(AF214)&gt;0,", "&amp;A214&amp;"-"&amp;AF$2,"")&amp;IF(N(AG214)&gt;0,", "&amp;A214&amp;"-"&amp;AG$2,"")&amp;IF(N(AH214)&gt;0,", "&amp;A214&amp;"-"&amp;AH$2,"")&amp;IF(N(AI214)&gt;0,", "&amp;A214&amp;"-"&amp;AI$2,"")&amp;IF(N(AJ214)&gt;0,", "&amp;A214&amp;"-"&amp;AJ$2,""),3,999))</f>
        <v/>
      </c>
      <c r="AN214" s="81"/>
      <c r="AO214" s="88"/>
      <c r="AP214" s="89" t="str">
        <f aca="false">IF(AO214="","",ROUND(AO214/(1+Справочники!$B$13),2))</f>
        <v/>
      </c>
      <c r="AQ214" s="90" t="str">
        <f aca="false" t="array" ref="AQ214:AQ214">IF(AP214="","",AP214*INDEX(Справочники!$B$4:$B$7,MATCH("RUB",Справочники!$A$4:$A$7,0)))</f>
        <v/>
      </c>
      <c r="AR214" s="90" t="str">
        <f aca="false">IF(AQ214="","",ROUND(AQ214*(1+Справочники!$B$12),0))</f>
        <v/>
      </c>
      <c r="AS214" s="90" t="str">
        <f aca="false">IF(AR214="","",ROUND(AR214*(1-Справочники!$B$11),0))</f>
        <v/>
      </c>
      <c r="AT214" s="88"/>
      <c r="AU214" s="90" t="str">
        <f aca="false">IF(AT214="","",ROUND(AT214/(1+Справочники!$B$12),0))</f>
        <v/>
      </c>
      <c r="AV214" s="90" t="str">
        <f aca="false">IF(AT214="","",ROUND(AT214*(1-Справочники!$B$15),0))</f>
        <v/>
      </c>
      <c r="AW214" s="90" t="str">
        <f aca="false">IF(AT214="","",ROUND(AT214*(1-Справочники!$B$16),0))</f>
        <v/>
      </c>
      <c r="AX214" s="90" t="str">
        <f aca="false">IF(AT214="","",ROUND(AT214*(1-Справочники!$B$17),0))</f>
        <v/>
      </c>
      <c r="AY214" s="90" t="str">
        <f aca="false">IF(AT214="","",ROUND(AT214*(1-Справочники!$B$18),0))</f>
        <v/>
      </c>
      <c r="AZ214" s="90" t="str">
        <f aca="false">IF(AT214="","",ROUND(AT214*(1-Справочники!$B$19),0))</f>
        <v/>
      </c>
      <c r="BA214" s="81"/>
      <c r="BB214" s="81"/>
      <c r="BC214" s="81"/>
      <c r="BD214" s="81"/>
      <c r="BE214" s="91"/>
      <c r="BF214" s="81" t="s">
        <v>103</v>
      </c>
      <c r="BG214" s="89" t="n">
        <f aca="false" t="array" ref="BG214:BG214">IF(BF214="","",IFERROR(INDEX(Справочники!$B$4:$B$7,MATCH(BF214,Справочники!$A$4:$A$7,0)),""))</f>
        <v>68.5</v>
      </c>
      <c r="BH214" s="90" t="str">
        <f aca="false">IF(N(BN214)&gt;0,ROUND(SUMIF(ЗАКАЗЫ!$F$3:$F$500,$A214,ЗАКАЗЫ!$Y$3:$Y$500)/BN214,0),IF(OR(BE214="",BG214=""),"",ROUND(BE214*BG214*(1+Справочники!$B$10),0)))</f>
        <v/>
      </c>
      <c r="BI214" s="92" t="str">
        <f aca="false">IF(OR(AU214="",BH214="",AU214=0),"",(AU214-BH214)/AU214)</f>
        <v/>
      </c>
      <c r="BJ214" s="81"/>
      <c r="BK214" s="83"/>
      <c r="BL214" s="43" t="str">
        <f aca="false">IFERROR(INDEX(ЗАКАЗЫ!$N$3:$N$500,MATCH($A214,ЗАКАЗЫ!$F$3:$F$500,0)),"")</f>
        <v/>
      </c>
      <c r="BM214" s="8" t="str">
        <f aca="false">IF(BL214="","",IFERROR(VLOOKUP(BL214,'ТН ВЭД'!$A$4:$C$40,3,0),""))</f>
        <v/>
      </c>
      <c r="BN214" s="7" t="str">
        <f aca="false">IF(COUNTIF(ЗАКАЗЫ!$F$3:$F$500,$A214)=0,"",SUMIF(ЗАКАЗЫ!$F$3:$F$500,$A214,ЗАКАЗЫ!$J$3:$J$500))</f>
        <v/>
      </c>
      <c r="BO214" s="7" t="str">
        <f aca="false">IF(BN214="","",SUMIF(ЗАКАЗЫ!$F$3:$F$500,$A214,ЗАКАЗЫ!$AL$3:$AL$500))</f>
        <v/>
      </c>
      <c r="BP214" s="7" t="str">
        <f aca="false">IF(BN214="","",BN214-BO214)</f>
        <v/>
      </c>
      <c r="BQ214" s="55" t="str">
        <f aca="false">IF(BN214="","",IF(BO214&gt;=BN214,"На складе",IF(BO214&gt;0,"Частично","Ждём")))</f>
        <v/>
      </c>
      <c r="BR214" s="43"/>
      <c r="BS214" s="47" t="str">
        <f aca="false">IF(BN214="","",IF(_xlfn.MAXIFS(ЗАКАЗЫ!$AK$3:$AK$500,ЗАКАЗЫ!$F$3:$F$500,$A214)=0,"",_xlfn.MAXIFS(ЗАКАЗЫ!$AK$3:$AK$500,ЗАКАЗЫ!$F$3:$F$500,$A214)))</f>
        <v/>
      </c>
    </row>
    <row r="215" customFormat="false" ht="15.75" hidden="false" customHeight="true" outlineLevel="0" collapsed="false">
      <c r="A215" s="80" t="s">
        <v>1738</v>
      </c>
      <c r="B215" s="81"/>
      <c r="C215" s="81"/>
      <c r="D215" s="81"/>
      <c r="E215" s="83"/>
      <c r="F215" s="81"/>
      <c r="G215" s="83"/>
      <c r="H215" s="83"/>
      <c r="I215" s="84" t="str">
        <f aca="false">IF(E215="","",A215&amp;"_1.jpg")</f>
        <v/>
      </c>
      <c r="J215" s="84" t="str">
        <f aca="false">IF(E215="","",A215&amp;"_2.jpg; "&amp;A215&amp;"_3.jpg")</f>
        <v/>
      </c>
      <c r="K215" s="84" t="str">
        <f aca="false">IF(E215="","",A215&amp;"_schema.jpg")</f>
        <v/>
      </c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 t="s">
        <v>96</v>
      </c>
      <c r="W215" s="81"/>
      <c r="X215" s="81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6" t="str">
        <f aca="false">IF(SUM(Y215:AJ215)=0,"",SUM(Y215:AJ215))</f>
        <v/>
      </c>
      <c r="AL215" s="84" t="str">
        <f aca="false">MID(IF(N(Y215)&gt;0,", "&amp;Y$2,"")&amp;IF(N(Z215)&gt;0,", "&amp;Z$2,"")&amp;IF(N(AA215)&gt;0,", "&amp;AA$2,"")&amp;IF(N(AB215)&gt;0,", "&amp;AB$2,"")&amp;IF(N(AC215)&gt;0,", "&amp;AC$2,"")&amp;IF(N(AD215)&gt;0,", "&amp;AD$2,"")&amp;IF(N(AE215)&gt;0,", "&amp;AE$2,"")&amp;IF(N(AF215)&gt;0,", "&amp;AF$2,"")&amp;IF(N(AG215)&gt;0,", "&amp;AG$2,"")&amp;IF(N(AH215)&gt;0,", "&amp;AH$2,"")&amp;IF(N(AI215)&gt;0,", "&amp;AI$2,"")&amp;IF(N(AJ215)&gt;0,", "&amp;AJ$2,""),3,999)</f>
        <v/>
      </c>
      <c r="AM215" s="87" t="str">
        <f aca="false">IF(E215="","",MID(IF(N(Y215)&gt;0,", "&amp;A215&amp;"-"&amp;Y$2,"")&amp;IF(N(Z215)&gt;0,", "&amp;A215&amp;"-"&amp;Z$2,"")&amp;IF(N(AA215)&gt;0,", "&amp;A215&amp;"-"&amp;AA$2,"")&amp;IF(N(AB215)&gt;0,", "&amp;A215&amp;"-"&amp;AB$2,"")&amp;IF(N(AC215)&gt;0,", "&amp;A215&amp;"-"&amp;AC$2,"")&amp;IF(N(AD215)&gt;0,", "&amp;A215&amp;"-"&amp;AD$2,"")&amp;IF(N(AE215)&gt;0,", "&amp;A215&amp;"-"&amp;AE$2,"")&amp;IF(N(AF215)&gt;0,", "&amp;A215&amp;"-"&amp;AF$2,"")&amp;IF(N(AG215)&gt;0,", "&amp;A215&amp;"-"&amp;AG$2,"")&amp;IF(N(AH215)&gt;0,", "&amp;A215&amp;"-"&amp;AH$2,"")&amp;IF(N(AI215)&gt;0,", "&amp;A215&amp;"-"&amp;AI$2,"")&amp;IF(N(AJ215)&gt;0,", "&amp;A215&amp;"-"&amp;AJ$2,""),3,999))</f>
        <v/>
      </c>
      <c r="AN215" s="81"/>
      <c r="AO215" s="88"/>
      <c r="AP215" s="89" t="str">
        <f aca="false">IF(AO215="","",ROUND(AO215/(1+Справочники!$B$13),2))</f>
        <v/>
      </c>
      <c r="AQ215" s="90" t="str">
        <f aca="false" t="array" ref="AQ215:AQ215">IF(AP215="","",AP215*INDEX(Справочники!$B$4:$B$7,MATCH("RUB",Справочники!$A$4:$A$7,0)))</f>
        <v/>
      </c>
      <c r="AR215" s="90" t="str">
        <f aca="false">IF(AQ215="","",ROUND(AQ215*(1+Справочники!$B$12),0))</f>
        <v/>
      </c>
      <c r="AS215" s="90" t="str">
        <f aca="false">IF(AR215="","",ROUND(AR215*(1-Справочники!$B$11),0))</f>
        <v/>
      </c>
      <c r="AT215" s="88"/>
      <c r="AU215" s="90" t="str">
        <f aca="false">IF(AT215="","",ROUND(AT215/(1+Справочники!$B$12),0))</f>
        <v/>
      </c>
      <c r="AV215" s="90" t="str">
        <f aca="false">IF(AT215="","",ROUND(AT215*(1-Справочники!$B$15),0))</f>
        <v/>
      </c>
      <c r="AW215" s="90" t="str">
        <f aca="false">IF(AT215="","",ROUND(AT215*(1-Справочники!$B$16),0))</f>
        <v/>
      </c>
      <c r="AX215" s="90" t="str">
        <f aca="false">IF(AT215="","",ROUND(AT215*(1-Справочники!$B$17),0))</f>
        <v/>
      </c>
      <c r="AY215" s="90" t="str">
        <f aca="false">IF(AT215="","",ROUND(AT215*(1-Справочники!$B$18),0))</f>
        <v/>
      </c>
      <c r="AZ215" s="90" t="str">
        <f aca="false">IF(AT215="","",ROUND(AT215*(1-Справочники!$B$19),0))</f>
        <v/>
      </c>
      <c r="BA215" s="81"/>
      <c r="BB215" s="81"/>
      <c r="BC215" s="81"/>
      <c r="BD215" s="81"/>
      <c r="BE215" s="91"/>
      <c r="BF215" s="81" t="s">
        <v>103</v>
      </c>
      <c r="BG215" s="89" t="n">
        <f aca="false" t="array" ref="BG215:BG215">IF(BF215="","",IFERROR(INDEX(Справочники!$B$4:$B$7,MATCH(BF215,Справочники!$A$4:$A$7,0)),""))</f>
        <v>68.5</v>
      </c>
      <c r="BH215" s="90" t="str">
        <f aca="false">IF(N(BN215)&gt;0,ROUND(SUMIF(ЗАКАЗЫ!$F$3:$F$500,$A215,ЗАКАЗЫ!$Y$3:$Y$500)/BN215,0),IF(OR(BE215="",BG215=""),"",ROUND(BE215*BG215*(1+Справочники!$B$10),0)))</f>
        <v/>
      </c>
      <c r="BI215" s="92" t="str">
        <f aca="false">IF(OR(AU215="",BH215="",AU215=0),"",(AU215-BH215)/AU215)</f>
        <v/>
      </c>
      <c r="BJ215" s="81"/>
      <c r="BK215" s="83"/>
      <c r="BL215" s="43" t="str">
        <f aca="false">IFERROR(INDEX(ЗАКАЗЫ!$N$3:$N$500,MATCH($A215,ЗАКАЗЫ!$F$3:$F$500,0)),"")</f>
        <v/>
      </c>
      <c r="BM215" s="8" t="str">
        <f aca="false">IF(BL215="","",IFERROR(VLOOKUP(BL215,'ТН ВЭД'!$A$4:$C$40,3,0),""))</f>
        <v/>
      </c>
      <c r="BN215" s="7" t="str">
        <f aca="false">IF(COUNTIF(ЗАКАЗЫ!$F$3:$F$500,$A215)=0,"",SUMIF(ЗАКАЗЫ!$F$3:$F$500,$A215,ЗАКАЗЫ!$J$3:$J$500))</f>
        <v/>
      </c>
      <c r="BO215" s="7" t="str">
        <f aca="false">IF(BN215="","",SUMIF(ЗАКАЗЫ!$F$3:$F$500,$A215,ЗАКАЗЫ!$AL$3:$AL$500))</f>
        <v/>
      </c>
      <c r="BP215" s="7" t="str">
        <f aca="false">IF(BN215="","",BN215-BO215)</f>
        <v/>
      </c>
      <c r="BQ215" s="55" t="str">
        <f aca="false">IF(BN215="","",IF(BO215&gt;=BN215,"На складе",IF(BO215&gt;0,"Частично","Ждём")))</f>
        <v/>
      </c>
      <c r="BR215" s="43"/>
      <c r="BS215" s="47" t="str">
        <f aca="false">IF(BN215="","",IF(_xlfn.MAXIFS(ЗАКАЗЫ!$AK$3:$AK$500,ЗАКАЗЫ!$F$3:$F$500,$A215)=0,"",_xlfn.MAXIFS(ЗАКАЗЫ!$AK$3:$AK$500,ЗАКАЗЫ!$F$3:$F$500,$A215)))</f>
        <v/>
      </c>
    </row>
    <row r="216" customFormat="false" ht="15.75" hidden="false" customHeight="true" outlineLevel="0" collapsed="false">
      <c r="A216" s="80" t="s">
        <v>1739</v>
      </c>
      <c r="B216" s="81"/>
      <c r="C216" s="81"/>
      <c r="D216" s="81"/>
      <c r="E216" s="83"/>
      <c r="F216" s="81"/>
      <c r="G216" s="83"/>
      <c r="H216" s="83"/>
      <c r="I216" s="84" t="str">
        <f aca="false">IF(E216="","",A216&amp;"_1.jpg")</f>
        <v/>
      </c>
      <c r="J216" s="84" t="str">
        <f aca="false">IF(E216="","",A216&amp;"_2.jpg; "&amp;A216&amp;"_3.jpg")</f>
        <v/>
      </c>
      <c r="K216" s="84" t="str">
        <f aca="false">IF(E216="","",A216&amp;"_schema.jpg")</f>
        <v/>
      </c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 t="s">
        <v>96</v>
      </c>
      <c r="W216" s="81"/>
      <c r="X216" s="81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6" t="str">
        <f aca="false">IF(SUM(Y216:AJ216)=0,"",SUM(Y216:AJ216))</f>
        <v/>
      </c>
      <c r="AL216" s="84" t="str">
        <f aca="false">MID(IF(N(Y216)&gt;0,", "&amp;Y$2,"")&amp;IF(N(Z216)&gt;0,", "&amp;Z$2,"")&amp;IF(N(AA216)&gt;0,", "&amp;AA$2,"")&amp;IF(N(AB216)&gt;0,", "&amp;AB$2,"")&amp;IF(N(AC216)&gt;0,", "&amp;AC$2,"")&amp;IF(N(AD216)&gt;0,", "&amp;AD$2,"")&amp;IF(N(AE216)&gt;0,", "&amp;AE$2,"")&amp;IF(N(AF216)&gt;0,", "&amp;AF$2,"")&amp;IF(N(AG216)&gt;0,", "&amp;AG$2,"")&amp;IF(N(AH216)&gt;0,", "&amp;AH$2,"")&amp;IF(N(AI216)&gt;0,", "&amp;AI$2,"")&amp;IF(N(AJ216)&gt;0,", "&amp;AJ$2,""),3,999)</f>
        <v/>
      </c>
      <c r="AM216" s="87" t="str">
        <f aca="false">IF(E216="","",MID(IF(N(Y216)&gt;0,", "&amp;A216&amp;"-"&amp;Y$2,"")&amp;IF(N(Z216)&gt;0,", "&amp;A216&amp;"-"&amp;Z$2,"")&amp;IF(N(AA216)&gt;0,", "&amp;A216&amp;"-"&amp;AA$2,"")&amp;IF(N(AB216)&gt;0,", "&amp;A216&amp;"-"&amp;AB$2,"")&amp;IF(N(AC216)&gt;0,", "&amp;A216&amp;"-"&amp;AC$2,"")&amp;IF(N(AD216)&gt;0,", "&amp;A216&amp;"-"&amp;AD$2,"")&amp;IF(N(AE216)&gt;0,", "&amp;A216&amp;"-"&amp;AE$2,"")&amp;IF(N(AF216)&gt;0,", "&amp;A216&amp;"-"&amp;AF$2,"")&amp;IF(N(AG216)&gt;0,", "&amp;A216&amp;"-"&amp;AG$2,"")&amp;IF(N(AH216)&gt;0,", "&amp;A216&amp;"-"&amp;AH$2,"")&amp;IF(N(AI216)&gt;0,", "&amp;A216&amp;"-"&amp;AI$2,"")&amp;IF(N(AJ216)&gt;0,", "&amp;A216&amp;"-"&amp;AJ$2,""),3,999))</f>
        <v/>
      </c>
      <c r="AN216" s="81"/>
      <c r="AO216" s="88"/>
      <c r="AP216" s="89" t="str">
        <f aca="false">IF(AO216="","",ROUND(AO216/(1+Справочники!$B$13),2))</f>
        <v/>
      </c>
      <c r="AQ216" s="90" t="str">
        <f aca="false" t="array" ref="AQ216:AQ216">IF(AP216="","",AP216*INDEX(Справочники!$B$4:$B$7,MATCH("RUB",Справочники!$A$4:$A$7,0)))</f>
        <v/>
      </c>
      <c r="AR216" s="90" t="str">
        <f aca="false">IF(AQ216="","",ROUND(AQ216*(1+Справочники!$B$12),0))</f>
        <v/>
      </c>
      <c r="AS216" s="90" t="str">
        <f aca="false">IF(AR216="","",ROUND(AR216*(1-Справочники!$B$11),0))</f>
        <v/>
      </c>
      <c r="AT216" s="88"/>
      <c r="AU216" s="90" t="str">
        <f aca="false">IF(AT216="","",ROUND(AT216/(1+Справочники!$B$12),0))</f>
        <v/>
      </c>
      <c r="AV216" s="90" t="str">
        <f aca="false">IF(AT216="","",ROUND(AT216*(1-Справочники!$B$15),0))</f>
        <v/>
      </c>
      <c r="AW216" s="90" t="str">
        <f aca="false">IF(AT216="","",ROUND(AT216*(1-Справочники!$B$16),0))</f>
        <v/>
      </c>
      <c r="AX216" s="90" t="str">
        <f aca="false">IF(AT216="","",ROUND(AT216*(1-Справочники!$B$17),0))</f>
        <v/>
      </c>
      <c r="AY216" s="90" t="str">
        <f aca="false">IF(AT216="","",ROUND(AT216*(1-Справочники!$B$18),0))</f>
        <v/>
      </c>
      <c r="AZ216" s="90" t="str">
        <f aca="false">IF(AT216="","",ROUND(AT216*(1-Справочники!$B$19),0))</f>
        <v/>
      </c>
      <c r="BA216" s="81"/>
      <c r="BB216" s="81"/>
      <c r="BC216" s="81"/>
      <c r="BD216" s="81"/>
      <c r="BE216" s="91"/>
      <c r="BF216" s="81" t="s">
        <v>103</v>
      </c>
      <c r="BG216" s="89" t="n">
        <f aca="false" t="array" ref="BG216:BG216">IF(BF216="","",IFERROR(INDEX(Справочники!$B$4:$B$7,MATCH(BF216,Справочники!$A$4:$A$7,0)),""))</f>
        <v>68.5</v>
      </c>
      <c r="BH216" s="90" t="str">
        <f aca="false">IF(N(BN216)&gt;0,ROUND(SUMIF(ЗАКАЗЫ!$F$3:$F$500,$A216,ЗАКАЗЫ!$Y$3:$Y$500)/BN216,0),IF(OR(BE216="",BG216=""),"",ROUND(BE216*BG216*(1+Справочники!$B$10),0)))</f>
        <v/>
      </c>
      <c r="BI216" s="92" t="str">
        <f aca="false">IF(OR(AU216="",BH216="",AU216=0),"",(AU216-BH216)/AU216)</f>
        <v/>
      </c>
      <c r="BJ216" s="81"/>
      <c r="BK216" s="83"/>
      <c r="BL216" s="43" t="str">
        <f aca="false">IFERROR(INDEX(ЗАКАЗЫ!$N$3:$N$500,MATCH($A216,ЗАКАЗЫ!$F$3:$F$500,0)),"")</f>
        <v/>
      </c>
      <c r="BM216" s="8" t="str">
        <f aca="false">IF(BL216="","",IFERROR(VLOOKUP(BL216,'ТН ВЭД'!$A$4:$C$40,3,0),""))</f>
        <v/>
      </c>
      <c r="BN216" s="7" t="str">
        <f aca="false">IF(COUNTIF(ЗАКАЗЫ!$F$3:$F$500,$A216)=0,"",SUMIF(ЗАКАЗЫ!$F$3:$F$500,$A216,ЗАКАЗЫ!$J$3:$J$500))</f>
        <v/>
      </c>
      <c r="BO216" s="7" t="str">
        <f aca="false">IF(BN216="","",SUMIF(ЗАКАЗЫ!$F$3:$F$500,$A216,ЗАКАЗЫ!$AL$3:$AL$500))</f>
        <v/>
      </c>
      <c r="BP216" s="7" t="str">
        <f aca="false">IF(BN216="","",BN216-BO216)</f>
        <v/>
      </c>
      <c r="BQ216" s="55" t="str">
        <f aca="false">IF(BN216="","",IF(BO216&gt;=BN216,"На складе",IF(BO216&gt;0,"Частично","Ждём")))</f>
        <v/>
      </c>
      <c r="BR216" s="43"/>
      <c r="BS216" s="47" t="str">
        <f aca="false">IF(BN216="","",IF(_xlfn.MAXIFS(ЗАКАЗЫ!$AK$3:$AK$500,ЗАКАЗЫ!$F$3:$F$500,$A216)=0,"",_xlfn.MAXIFS(ЗАКАЗЫ!$AK$3:$AK$500,ЗАКАЗЫ!$F$3:$F$500,$A216)))</f>
        <v/>
      </c>
    </row>
    <row r="217" customFormat="false" ht="15.75" hidden="false" customHeight="true" outlineLevel="0" collapsed="false">
      <c r="A217" s="80" t="s">
        <v>1740</v>
      </c>
      <c r="B217" s="81"/>
      <c r="C217" s="81"/>
      <c r="D217" s="81"/>
      <c r="E217" s="83"/>
      <c r="F217" s="81"/>
      <c r="G217" s="83"/>
      <c r="H217" s="83"/>
      <c r="I217" s="84" t="str">
        <f aca="false">IF(E217="","",A217&amp;"_1.jpg")</f>
        <v/>
      </c>
      <c r="J217" s="84" t="str">
        <f aca="false">IF(E217="","",A217&amp;"_2.jpg; "&amp;A217&amp;"_3.jpg")</f>
        <v/>
      </c>
      <c r="K217" s="84" t="str">
        <f aca="false">IF(E217="","",A217&amp;"_schema.jpg")</f>
        <v/>
      </c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 t="s">
        <v>96</v>
      </c>
      <c r="W217" s="81"/>
      <c r="X217" s="81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6" t="str">
        <f aca="false">IF(SUM(Y217:AJ217)=0,"",SUM(Y217:AJ217))</f>
        <v/>
      </c>
      <c r="AL217" s="84" t="str">
        <f aca="false">MID(IF(N(Y217)&gt;0,", "&amp;Y$2,"")&amp;IF(N(Z217)&gt;0,", "&amp;Z$2,"")&amp;IF(N(AA217)&gt;0,", "&amp;AA$2,"")&amp;IF(N(AB217)&gt;0,", "&amp;AB$2,"")&amp;IF(N(AC217)&gt;0,", "&amp;AC$2,"")&amp;IF(N(AD217)&gt;0,", "&amp;AD$2,"")&amp;IF(N(AE217)&gt;0,", "&amp;AE$2,"")&amp;IF(N(AF217)&gt;0,", "&amp;AF$2,"")&amp;IF(N(AG217)&gt;0,", "&amp;AG$2,"")&amp;IF(N(AH217)&gt;0,", "&amp;AH$2,"")&amp;IF(N(AI217)&gt;0,", "&amp;AI$2,"")&amp;IF(N(AJ217)&gt;0,", "&amp;AJ$2,""),3,999)</f>
        <v/>
      </c>
      <c r="AM217" s="87" t="str">
        <f aca="false">IF(E217="","",MID(IF(N(Y217)&gt;0,", "&amp;A217&amp;"-"&amp;Y$2,"")&amp;IF(N(Z217)&gt;0,", "&amp;A217&amp;"-"&amp;Z$2,"")&amp;IF(N(AA217)&gt;0,", "&amp;A217&amp;"-"&amp;AA$2,"")&amp;IF(N(AB217)&gt;0,", "&amp;A217&amp;"-"&amp;AB$2,"")&amp;IF(N(AC217)&gt;0,", "&amp;A217&amp;"-"&amp;AC$2,"")&amp;IF(N(AD217)&gt;0,", "&amp;A217&amp;"-"&amp;AD$2,"")&amp;IF(N(AE217)&gt;0,", "&amp;A217&amp;"-"&amp;AE$2,"")&amp;IF(N(AF217)&gt;0,", "&amp;A217&amp;"-"&amp;AF$2,"")&amp;IF(N(AG217)&gt;0,", "&amp;A217&amp;"-"&amp;AG$2,"")&amp;IF(N(AH217)&gt;0,", "&amp;A217&amp;"-"&amp;AH$2,"")&amp;IF(N(AI217)&gt;0,", "&amp;A217&amp;"-"&amp;AI$2,"")&amp;IF(N(AJ217)&gt;0,", "&amp;A217&amp;"-"&amp;AJ$2,""),3,999))</f>
        <v/>
      </c>
      <c r="AN217" s="81"/>
      <c r="AO217" s="88"/>
      <c r="AP217" s="89" t="str">
        <f aca="false">IF(AO217="","",ROUND(AO217/(1+Справочники!$B$13),2))</f>
        <v/>
      </c>
      <c r="AQ217" s="90" t="str">
        <f aca="false" t="array" ref="AQ217:AQ217">IF(AP217="","",AP217*INDEX(Справочники!$B$4:$B$7,MATCH("RUB",Справочники!$A$4:$A$7,0)))</f>
        <v/>
      </c>
      <c r="AR217" s="90" t="str">
        <f aca="false">IF(AQ217="","",ROUND(AQ217*(1+Справочники!$B$12),0))</f>
        <v/>
      </c>
      <c r="AS217" s="90" t="str">
        <f aca="false">IF(AR217="","",ROUND(AR217*(1-Справочники!$B$11),0))</f>
        <v/>
      </c>
      <c r="AT217" s="88"/>
      <c r="AU217" s="90" t="str">
        <f aca="false">IF(AT217="","",ROUND(AT217/(1+Справочники!$B$12),0))</f>
        <v/>
      </c>
      <c r="AV217" s="90" t="str">
        <f aca="false">IF(AT217="","",ROUND(AT217*(1-Справочники!$B$15),0))</f>
        <v/>
      </c>
      <c r="AW217" s="90" t="str">
        <f aca="false">IF(AT217="","",ROUND(AT217*(1-Справочники!$B$16),0))</f>
        <v/>
      </c>
      <c r="AX217" s="90" t="str">
        <f aca="false">IF(AT217="","",ROUND(AT217*(1-Справочники!$B$17),0))</f>
        <v/>
      </c>
      <c r="AY217" s="90" t="str">
        <f aca="false">IF(AT217="","",ROUND(AT217*(1-Справочники!$B$18),0))</f>
        <v/>
      </c>
      <c r="AZ217" s="90" t="str">
        <f aca="false">IF(AT217="","",ROUND(AT217*(1-Справочники!$B$19),0))</f>
        <v/>
      </c>
      <c r="BA217" s="81"/>
      <c r="BB217" s="81"/>
      <c r="BC217" s="81"/>
      <c r="BD217" s="81"/>
      <c r="BE217" s="91"/>
      <c r="BF217" s="81" t="s">
        <v>103</v>
      </c>
      <c r="BG217" s="89" t="n">
        <f aca="false" t="array" ref="BG217:BG217">IF(BF217="","",IFERROR(INDEX(Справочники!$B$4:$B$7,MATCH(BF217,Справочники!$A$4:$A$7,0)),""))</f>
        <v>68.5</v>
      </c>
      <c r="BH217" s="90" t="str">
        <f aca="false">IF(N(BN217)&gt;0,ROUND(SUMIF(ЗАКАЗЫ!$F$3:$F$500,$A217,ЗАКАЗЫ!$Y$3:$Y$500)/BN217,0),IF(OR(BE217="",BG217=""),"",ROUND(BE217*BG217*(1+Справочники!$B$10),0)))</f>
        <v/>
      </c>
      <c r="BI217" s="92" t="str">
        <f aca="false">IF(OR(AU217="",BH217="",AU217=0),"",(AU217-BH217)/AU217)</f>
        <v/>
      </c>
      <c r="BJ217" s="81"/>
      <c r="BK217" s="83"/>
      <c r="BL217" s="43" t="str">
        <f aca="false">IFERROR(INDEX(ЗАКАЗЫ!$N$3:$N$500,MATCH($A217,ЗАКАЗЫ!$F$3:$F$500,0)),"")</f>
        <v/>
      </c>
      <c r="BM217" s="8" t="str">
        <f aca="false">IF(BL217="","",IFERROR(VLOOKUP(BL217,'ТН ВЭД'!$A$4:$C$40,3,0),""))</f>
        <v/>
      </c>
      <c r="BN217" s="7" t="str">
        <f aca="false">IF(COUNTIF(ЗАКАЗЫ!$F$3:$F$500,$A217)=0,"",SUMIF(ЗАКАЗЫ!$F$3:$F$500,$A217,ЗАКАЗЫ!$J$3:$J$500))</f>
        <v/>
      </c>
      <c r="BO217" s="7" t="str">
        <f aca="false">IF(BN217="","",SUMIF(ЗАКАЗЫ!$F$3:$F$500,$A217,ЗАКАЗЫ!$AL$3:$AL$500))</f>
        <v/>
      </c>
      <c r="BP217" s="7" t="str">
        <f aca="false">IF(BN217="","",BN217-BO217)</f>
        <v/>
      </c>
      <c r="BQ217" s="55" t="str">
        <f aca="false">IF(BN217="","",IF(BO217&gt;=BN217,"На складе",IF(BO217&gt;0,"Частично","Ждём")))</f>
        <v/>
      </c>
      <c r="BR217" s="43"/>
      <c r="BS217" s="47" t="str">
        <f aca="false">IF(BN217="","",IF(_xlfn.MAXIFS(ЗАКАЗЫ!$AK$3:$AK$500,ЗАКАЗЫ!$F$3:$F$500,$A217)=0,"",_xlfn.MAXIFS(ЗАКАЗЫ!$AK$3:$AK$500,ЗАКАЗЫ!$F$3:$F$500,$A217)))</f>
        <v/>
      </c>
    </row>
    <row r="218" customFormat="false" ht="15.75" hidden="false" customHeight="true" outlineLevel="0" collapsed="false">
      <c r="A218" s="80" t="s">
        <v>1741</v>
      </c>
      <c r="B218" s="81"/>
      <c r="C218" s="81"/>
      <c r="D218" s="81"/>
      <c r="E218" s="83"/>
      <c r="F218" s="81"/>
      <c r="G218" s="83"/>
      <c r="H218" s="83"/>
      <c r="I218" s="84" t="str">
        <f aca="false">IF(E218="","",A218&amp;"_1.jpg")</f>
        <v/>
      </c>
      <c r="J218" s="84" t="str">
        <f aca="false">IF(E218="","",A218&amp;"_2.jpg; "&amp;A218&amp;"_3.jpg")</f>
        <v/>
      </c>
      <c r="K218" s="84" t="str">
        <f aca="false">IF(E218="","",A218&amp;"_schema.jpg")</f>
        <v/>
      </c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 t="s">
        <v>96</v>
      </c>
      <c r="W218" s="81"/>
      <c r="X218" s="81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6" t="str">
        <f aca="false">IF(SUM(Y218:AJ218)=0,"",SUM(Y218:AJ218))</f>
        <v/>
      </c>
      <c r="AL218" s="84" t="str">
        <f aca="false">MID(IF(N(Y218)&gt;0,", "&amp;Y$2,"")&amp;IF(N(Z218)&gt;0,", "&amp;Z$2,"")&amp;IF(N(AA218)&gt;0,", "&amp;AA$2,"")&amp;IF(N(AB218)&gt;0,", "&amp;AB$2,"")&amp;IF(N(AC218)&gt;0,", "&amp;AC$2,"")&amp;IF(N(AD218)&gt;0,", "&amp;AD$2,"")&amp;IF(N(AE218)&gt;0,", "&amp;AE$2,"")&amp;IF(N(AF218)&gt;0,", "&amp;AF$2,"")&amp;IF(N(AG218)&gt;0,", "&amp;AG$2,"")&amp;IF(N(AH218)&gt;0,", "&amp;AH$2,"")&amp;IF(N(AI218)&gt;0,", "&amp;AI$2,"")&amp;IF(N(AJ218)&gt;0,", "&amp;AJ$2,""),3,999)</f>
        <v/>
      </c>
      <c r="AM218" s="87" t="str">
        <f aca="false">IF(E218="","",MID(IF(N(Y218)&gt;0,", "&amp;A218&amp;"-"&amp;Y$2,"")&amp;IF(N(Z218)&gt;0,", "&amp;A218&amp;"-"&amp;Z$2,"")&amp;IF(N(AA218)&gt;0,", "&amp;A218&amp;"-"&amp;AA$2,"")&amp;IF(N(AB218)&gt;0,", "&amp;A218&amp;"-"&amp;AB$2,"")&amp;IF(N(AC218)&gt;0,", "&amp;A218&amp;"-"&amp;AC$2,"")&amp;IF(N(AD218)&gt;0,", "&amp;A218&amp;"-"&amp;AD$2,"")&amp;IF(N(AE218)&gt;0,", "&amp;A218&amp;"-"&amp;AE$2,"")&amp;IF(N(AF218)&gt;0,", "&amp;A218&amp;"-"&amp;AF$2,"")&amp;IF(N(AG218)&gt;0,", "&amp;A218&amp;"-"&amp;AG$2,"")&amp;IF(N(AH218)&gt;0,", "&amp;A218&amp;"-"&amp;AH$2,"")&amp;IF(N(AI218)&gt;0,", "&amp;A218&amp;"-"&amp;AI$2,"")&amp;IF(N(AJ218)&gt;0,", "&amp;A218&amp;"-"&amp;AJ$2,""),3,999))</f>
        <v/>
      </c>
      <c r="AN218" s="81"/>
      <c r="AO218" s="88"/>
      <c r="AP218" s="89" t="str">
        <f aca="false">IF(AO218="","",ROUND(AO218/(1+Справочники!$B$13),2))</f>
        <v/>
      </c>
      <c r="AQ218" s="90" t="str">
        <f aca="false" t="array" ref="AQ218:AQ218">IF(AP218="","",AP218*INDEX(Справочники!$B$4:$B$7,MATCH("RUB",Справочники!$A$4:$A$7,0)))</f>
        <v/>
      </c>
      <c r="AR218" s="90" t="str">
        <f aca="false">IF(AQ218="","",ROUND(AQ218*(1+Справочники!$B$12),0))</f>
        <v/>
      </c>
      <c r="AS218" s="90" t="str">
        <f aca="false">IF(AR218="","",ROUND(AR218*(1-Справочники!$B$11),0))</f>
        <v/>
      </c>
      <c r="AT218" s="88"/>
      <c r="AU218" s="90" t="str">
        <f aca="false">IF(AT218="","",ROUND(AT218/(1+Справочники!$B$12),0))</f>
        <v/>
      </c>
      <c r="AV218" s="90" t="str">
        <f aca="false">IF(AT218="","",ROUND(AT218*(1-Справочники!$B$15),0))</f>
        <v/>
      </c>
      <c r="AW218" s="90" t="str">
        <f aca="false">IF(AT218="","",ROUND(AT218*(1-Справочники!$B$16),0))</f>
        <v/>
      </c>
      <c r="AX218" s="90" t="str">
        <f aca="false">IF(AT218="","",ROUND(AT218*(1-Справочники!$B$17),0))</f>
        <v/>
      </c>
      <c r="AY218" s="90" t="str">
        <f aca="false">IF(AT218="","",ROUND(AT218*(1-Справочники!$B$18),0))</f>
        <v/>
      </c>
      <c r="AZ218" s="90" t="str">
        <f aca="false">IF(AT218="","",ROUND(AT218*(1-Справочники!$B$19),0))</f>
        <v/>
      </c>
      <c r="BA218" s="81"/>
      <c r="BB218" s="81"/>
      <c r="BC218" s="81"/>
      <c r="BD218" s="81"/>
      <c r="BE218" s="91"/>
      <c r="BF218" s="81" t="s">
        <v>103</v>
      </c>
      <c r="BG218" s="89" t="n">
        <f aca="false" t="array" ref="BG218:BG218">IF(BF218="","",IFERROR(INDEX(Справочники!$B$4:$B$7,MATCH(BF218,Справочники!$A$4:$A$7,0)),""))</f>
        <v>68.5</v>
      </c>
      <c r="BH218" s="90" t="str">
        <f aca="false">IF(N(BN218)&gt;0,ROUND(SUMIF(ЗАКАЗЫ!$F$3:$F$500,$A218,ЗАКАЗЫ!$Y$3:$Y$500)/BN218,0),IF(OR(BE218="",BG218=""),"",ROUND(BE218*BG218*(1+Справочники!$B$10),0)))</f>
        <v/>
      </c>
      <c r="BI218" s="92" t="str">
        <f aca="false">IF(OR(AU218="",BH218="",AU218=0),"",(AU218-BH218)/AU218)</f>
        <v/>
      </c>
      <c r="BJ218" s="81"/>
      <c r="BK218" s="83"/>
      <c r="BL218" s="43" t="str">
        <f aca="false">IFERROR(INDEX(ЗАКАЗЫ!$N$3:$N$500,MATCH($A218,ЗАКАЗЫ!$F$3:$F$500,0)),"")</f>
        <v/>
      </c>
      <c r="BM218" s="8" t="str">
        <f aca="false">IF(BL218="","",IFERROR(VLOOKUP(BL218,'ТН ВЭД'!$A$4:$C$40,3,0),""))</f>
        <v/>
      </c>
      <c r="BN218" s="7" t="str">
        <f aca="false">IF(COUNTIF(ЗАКАЗЫ!$F$3:$F$500,$A218)=0,"",SUMIF(ЗАКАЗЫ!$F$3:$F$500,$A218,ЗАКАЗЫ!$J$3:$J$500))</f>
        <v/>
      </c>
      <c r="BO218" s="7" t="str">
        <f aca="false">IF(BN218="","",SUMIF(ЗАКАЗЫ!$F$3:$F$500,$A218,ЗАКАЗЫ!$AL$3:$AL$500))</f>
        <v/>
      </c>
      <c r="BP218" s="7" t="str">
        <f aca="false">IF(BN218="","",BN218-BO218)</f>
        <v/>
      </c>
      <c r="BQ218" s="55" t="str">
        <f aca="false">IF(BN218="","",IF(BO218&gt;=BN218,"На складе",IF(BO218&gt;0,"Частично","Ждём")))</f>
        <v/>
      </c>
      <c r="BR218" s="43"/>
      <c r="BS218" s="47" t="str">
        <f aca="false">IF(BN218="","",IF(_xlfn.MAXIFS(ЗАКАЗЫ!$AK$3:$AK$500,ЗАКАЗЫ!$F$3:$F$500,$A218)=0,"",_xlfn.MAXIFS(ЗАКАЗЫ!$AK$3:$AK$500,ЗАКАЗЫ!$F$3:$F$500,$A218)))</f>
        <v/>
      </c>
    </row>
    <row r="219" customFormat="false" ht="15.75" hidden="false" customHeight="true" outlineLevel="0" collapsed="false">
      <c r="A219" s="80" t="s">
        <v>1742</v>
      </c>
      <c r="B219" s="81"/>
      <c r="C219" s="81"/>
      <c r="D219" s="81"/>
      <c r="E219" s="83"/>
      <c r="F219" s="81"/>
      <c r="G219" s="83"/>
      <c r="H219" s="83"/>
      <c r="I219" s="84" t="str">
        <f aca="false">IF(E219="","",A219&amp;"_1.jpg")</f>
        <v/>
      </c>
      <c r="J219" s="84" t="str">
        <f aca="false">IF(E219="","",A219&amp;"_2.jpg; "&amp;A219&amp;"_3.jpg")</f>
        <v/>
      </c>
      <c r="K219" s="84" t="str">
        <f aca="false">IF(E219="","",A219&amp;"_schema.jpg")</f>
        <v/>
      </c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 t="s">
        <v>96</v>
      </c>
      <c r="W219" s="81"/>
      <c r="X219" s="81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6" t="str">
        <f aca="false">IF(SUM(Y219:AJ219)=0,"",SUM(Y219:AJ219))</f>
        <v/>
      </c>
      <c r="AL219" s="84" t="str">
        <f aca="false">MID(IF(N(Y219)&gt;0,", "&amp;Y$2,"")&amp;IF(N(Z219)&gt;0,", "&amp;Z$2,"")&amp;IF(N(AA219)&gt;0,", "&amp;AA$2,"")&amp;IF(N(AB219)&gt;0,", "&amp;AB$2,"")&amp;IF(N(AC219)&gt;0,", "&amp;AC$2,"")&amp;IF(N(AD219)&gt;0,", "&amp;AD$2,"")&amp;IF(N(AE219)&gt;0,", "&amp;AE$2,"")&amp;IF(N(AF219)&gt;0,", "&amp;AF$2,"")&amp;IF(N(AG219)&gt;0,", "&amp;AG$2,"")&amp;IF(N(AH219)&gt;0,", "&amp;AH$2,"")&amp;IF(N(AI219)&gt;0,", "&amp;AI$2,"")&amp;IF(N(AJ219)&gt;0,", "&amp;AJ$2,""),3,999)</f>
        <v/>
      </c>
      <c r="AM219" s="87" t="str">
        <f aca="false">IF(E219="","",MID(IF(N(Y219)&gt;0,", "&amp;A219&amp;"-"&amp;Y$2,"")&amp;IF(N(Z219)&gt;0,", "&amp;A219&amp;"-"&amp;Z$2,"")&amp;IF(N(AA219)&gt;0,", "&amp;A219&amp;"-"&amp;AA$2,"")&amp;IF(N(AB219)&gt;0,", "&amp;A219&amp;"-"&amp;AB$2,"")&amp;IF(N(AC219)&gt;0,", "&amp;A219&amp;"-"&amp;AC$2,"")&amp;IF(N(AD219)&gt;0,", "&amp;A219&amp;"-"&amp;AD$2,"")&amp;IF(N(AE219)&gt;0,", "&amp;A219&amp;"-"&amp;AE$2,"")&amp;IF(N(AF219)&gt;0,", "&amp;A219&amp;"-"&amp;AF$2,"")&amp;IF(N(AG219)&gt;0,", "&amp;A219&amp;"-"&amp;AG$2,"")&amp;IF(N(AH219)&gt;0,", "&amp;A219&amp;"-"&amp;AH$2,"")&amp;IF(N(AI219)&gt;0,", "&amp;A219&amp;"-"&amp;AI$2,"")&amp;IF(N(AJ219)&gt;0,", "&amp;A219&amp;"-"&amp;AJ$2,""),3,999))</f>
        <v/>
      </c>
      <c r="AN219" s="81"/>
      <c r="AO219" s="88"/>
      <c r="AP219" s="89" t="str">
        <f aca="false">IF(AO219="","",ROUND(AO219/(1+Справочники!$B$13),2))</f>
        <v/>
      </c>
      <c r="AQ219" s="90" t="str">
        <f aca="false" t="array" ref="AQ219:AQ219">IF(AP219="","",AP219*INDEX(Справочники!$B$4:$B$7,MATCH("RUB",Справочники!$A$4:$A$7,0)))</f>
        <v/>
      </c>
      <c r="AR219" s="90" t="str">
        <f aca="false">IF(AQ219="","",ROUND(AQ219*(1+Справочники!$B$12),0))</f>
        <v/>
      </c>
      <c r="AS219" s="90" t="str">
        <f aca="false">IF(AR219="","",ROUND(AR219*(1-Справочники!$B$11),0))</f>
        <v/>
      </c>
      <c r="AT219" s="88"/>
      <c r="AU219" s="90" t="str">
        <f aca="false">IF(AT219="","",ROUND(AT219/(1+Справочники!$B$12),0))</f>
        <v/>
      </c>
      <c r="AV219" s="90" t="str">
        <f aca="false">IF(AT219="","",ROUND(AT219*(1-Справочники!$B$15),0))</f>
        <v/>
      </c>
      <c r="AW219" s="90" t="str">
        <f aca="false">IF(AT219="","",ROUND(AT219*(1-Справочники!$B$16),0))</f>
        <v/>
      </c>
      <c r="AX219" s="90" t="str">
        <f aca="false">IF(AT219="","",ROUND(AT219*(1-Справочники!$B$17),0))</f>
        <v/>
      </c>
      <c r="AY219" s="90" t="str">
        <f aca="false">IF(AT219="","",ROUND(AT219*(1-Справочники!$B$18),0))</f>
        <v/>
      </c>
      <c r="AZ219" s="90" t="str">
        <f aca="false">IF(AT219="","",ROUND(AT219*(1-Справочники!$B$19),0))</f>
        <v/>
      </c>
      <c r="BA219" s="81"/>
      <c r="BB219" s="81"/>
      <c r="BC219" s="81"/>
      <c r="BD219" s="81"/>
      <c r="BE219" s="91"/>
      <c r="BF219" s="81" t="s">
        <v>103</v>
      </c>
      <c r="BG219" s="89" t="n">
        <f aca="false" t="array" ref="BG219:BG219">IF(BF219="","",IFERROR(INDEX(Справочники!$B$4:$B$7,MATCH(BF219,Справочники!$A$4:$A$7,0)),""))</f>
        <v>68.5</v>
      </c>
      <c r="BH219" s="90" t="str">
        <f aca="false">IF(N(BN219)&gt;0,ROUND(SUMIF(ЗАКАЗЫ!$F$3:$F$500,$A219,ЗАКАЗЫ!$Y$3:$Y$500)/BN219,0),IF(OR(BE219="",BG219=""),"",ROUND(BE219*BG219*(1+Справочники!$B$10),0)))</f>
        <v/>
      </c>
      <c r="BI219" s="92" t="str">
        <f aca="false">IF(OR(AU219="",BH219="",AU219=0),"",(AU219-BH219)/AU219)</f>
        <v/>
      </c>
      <c r="BJ219" s="81"/>
      <c r="BK219" s="83"/>
      <c r="BL219" s="43" t="str">
        <f aca="false">IFERROR(INDEX(ЗАКАЗЫ!$N$3:$N$500,MATCH($A219,ЗАКАЗЫ!$F$3:$F$500,0)),"")</f>
        <v/>
      </c>
      <c r="BM219" s="8" t="str">
        <f aca="false">IF(BL219="","",IFERROR(VLOOKUP(BL219,'ТН ВЭД'!$A$4:$C$40,3,0),""))</f>
        <v/>
      </c>
      <c r="BN219" s="7" t="str">
        <f aca="false">IF(COUNTIF(ЗАКАЗЫ!$F$3:$F$500,$A219)=0,"",SUMIF(ЗАКАЗЫ!$F$3:$F$500,$A219,ЗАКАЗЫ!$J$3:$J$500))</f>
        <v/>
      </c>
      <c r="BO219" s="7" t="str">
        <f aca="false">IF(BN219="","",SUMIF(ЗАКАЗЫ!$F$3:$F$500,$A219,ЗАКАЗЫ!$AL$3:$AL$500))</f>
        <v/>
      </c>
      <c r="BP219" s="7" t="str">
        <f aca="false">IF(BN219="","",BN219-BO219)</f>
        <v/>
      </c>
      <c r="BQ219" s="55" t="str">
        <f aca="false">IF(BN219="","",IF(BO219&gt;=BN219,"На складе",IF(BO219&gt;0,"Частично","Ждём")))</f>
        <v/>
      </c>
      <c r="BR219" s="43"/>
      <c r="BS219" s="47" t="str">
        <f aca="false">IF(BN219="","",IF(_xlfn.MAXIFS(ЗАКАЗЫ!$AK$3:$AK$500,ЗАКАЗЫ!$F$3:$F$500,$A219)=0,"",_xlfn.MAXIFS(ЗАКАЗЫ!$AK$3:$AK$500,ЗАКАЗЫ!$F$3:$F$500,$A219)))</f>
        <v/>
      </c>
    </row>
    <row r="220" customFormat="false" ht="15.75" hidden="false" customHeight="true" outlineLevel="0" collapsed="false">
      <c r="A220" s="80" t="s">
        <v>1743</v>
      </c>
      <c r="B220" s="81"/>
      <c r="C220" s="81"/>
      <c r="D220" s="81"/>
      <c r="E220" s="83"/>
      <c r="F220" s="81"/>
      <c r="G220" s="83"/>
      <c r="H220" s="83"/>
      <c r="I220" s="84" t="str">
        <f aca="false">IF(E220="","",A220&amp;"_1.jpg")</f>
        <v/>
      </c>
      <c r="J220" s="84" t="str">
        <f aca="false">IF(E220="","",A220&amp;"_2.jpg; "&amp;A220&amp;"_3.jpg")</f>
        <v/>
      </c>
      <c r="K220" s="84" t="str">
        <f aca="false">IF(E220="","",A220&amp;"_schema.jpg")</f>
        <v/>
      </c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 t="s">
        <v>96</v>
      </c>
      <c r="W220" s="81"/>
      <c r="X220" s="81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6" t="str">
        <f aca="false">IF(SUM(Y220:AJ220)=0,"",SUM(Y220:AJ220))</f>
        <v/>
      </c>
      <c r="AL220" s="84" t="str">
        <f aca="false">MID(IF(N(Y220)&gt;0,", "&amp;Y$2,"")&amp;IF(N(Z220)&gt;0,", "&amp;Z$2,"")&amp;IF(N(AA220)&gt;0,", "&amp;AA$2,"")&amp;IF(N(AB220)&gt;0,", "&amp;AB$2,"")&amp;IF(N(AC220)&gt;0,", "&amp;AC$2,"")&amp;IF(N(AD220)&gt;0,", "&amp;AD$2,"")&amp;IF(N(AE220)&gt;0,", "&amp;AE$2,"")&amp;IF(N(AF220)&gt;0,", "&amp;AF$2,"")&amp;IF(N(AG220)&gt;0,", "&amp;AG$2,"")&amp;IF(N(AH220)&gt;0,", "&amp;AH$2,"")&amp;IF(N(AI220)&gt;0,", "&amp;AI$2,"")&amp;IF(N(AJ220)&gt;0,", "&amp;AJ$2,""),3,999)</f>
        <v/>
      </c>
      <c r="AM220" s="87" t="str">
        <f aca="false">IF(E220="","",MID(IF(N(Y220)&gt;0,", "&amp;A220&amp;"-"&amp;Y$2,"")&amp;IF(N(Z220)&gt;0,", "&amp;A220&amp;"-"&amp;Z$2,"")&amp;IF(N(AA220)&gt;0,", "&amp;A220&amp;"-"&amp;AA$2,"")&amp;IF(N(AB220)&gt;0,", "&amp;A220&amp;"-"&amp;AB$2,"")&amp;IF(N(AC220)&gt;0,", "&amp;A220&amp;"-"&amp;AC$2,"")&amp;IF(N(AD220)&gt;0,", "&amp;A220&amp;"-"&amp;AD$2,"")&amp;IF(N(AE220)&gt;0,", "&amp;A220&amp;"-"&amp;AE$2,"")&amp;IF(N(AF220)&gt;0,", "&amp;A220&amp;"-"&amp;AF$2,"")&amp;IF(N(AG220)&gt;0,", "&amp;A220&amp;"-"&amp;AG$2,"")&amp;IF(N(AH220)&gt;0,", "&amp;A220&amp;"-"&amp;AH$2,"")&amp;IF(N(AI220)&gt;0,", "&amp;A220&amp;"-"&amp;AI$2,"")&amp;IF(N(AJ220)&gt;0,", "&amp;A220&amp;"-"&amp;AJ$2,""),3,999))</f>
        <v/>
      </c>
      <c r="AN220" s="81"/>
      <c r="AO220" s="88"/>
      <c r="AP220" s="89" t="str">
        <f aca="false">IF(AO220="","",ROUND(AO220/(1+Справочники!$B$13),2))</f>
        <v/>
      </c>
      <c r="AQ220" s="90" t="str">
        <f aca="false" t="array" ref="AQ220:AQ220">IF(AP220="","",AP220*INDEX(Справочники!$B$4:$B$7,MATCH("RUB",Справочники!$A$4:$A$7,0)))</f>
        <v/>
      </c>
      <c r="AR220" s="90" t="str">
        <f aca="false">IF(AQ220="","",ROUND(AQ220*(1+Справочники!$B$12),0))</f>
        <v/>
      </c>
      <c r="AS220" s="90" t="str">
        <f aca="false">IF(AR220="","",ROUND(AR220*(1-Справочники!$B$11),0))</f>
        <v/>
      </c>
      <c r="AT220" s="88"/>
      <c r="AU220" s="90" t="str">
        <f aca="false">IF(AT220="","",ROUND(AT220/(1+Справочники!$B$12),0))</f>
        <v/>
      </c>
      <c r="AV220" s="90" t="str">
        <f aca="false">IF(AT220="","",ROUND(AT220*(1-Справочники!$B$15),0))</f>
        <v/>
      </c>
      <c r="AW220" s="90" t="str">
        <f aca="false">IF(AT220="","",ROUND(AT220*(1-Справочники!$B$16),0))</f>
        <v/>
      </c>
      <c r="AX220" s="90" t="str">
        <f aca="false">IF(AT220="","",ROUND(AT220*(1-Справочники!$B$17),0))</f>
        <v/>
      </c>
      <c r="AY220" s="90" t="str">
        <f aca="false">IF(AT220="","",ROUND(AT220*(1-Справочники!$B$18),0))</f>
        <v/>
      </c>
      <c r="AZ220" s="90" t="str">
        <f aca="false">IF(AT220="","",ROUND(AT220*(1-Справочники!$B$19),0))</f>
        <v/>
      </c>
      <c r="BA220" s="81"/>
      <c r="BB220" s="81"/>
      <c r="BC220" s="81"/>
      <c r="BD220" s="81"/>
      <c r="BE220" s="91"/>
      <c r="BF220" s="81" t="s">
        <v>103</v>
      </c>
      <c r="BG220" s="89" t="n">
        <f aca="false" t="array" ref="BG220:BG220">IF(BF220="","",IFERROR(INDEX(Справочники!$B$4:$B$7,MATCH(BF220,Справочники!$A$4:$A$7,0)),""))</f>
        <v>68.5</v>
      </c>
      <c r="BH220" s="90" t="str">
        <f aca="false">IF(N(BN220)&gt;0,ROUND(SUMIF(ЗАКАЗЫ!$F$3:$F$500,$A220,ЗАКАЗЫ!$Y$3:$Y$500)/BN220,0),IF(OR(BE220="",BG220=""),"",ROUND(BE220*BG220*(1+Справочники!$B$10),0)))</f>
        <v/>
      </c>
      <c r="BI220" s="92" t="str">
        <f aca="false">IF(OR(AU220="",BH220="",AU220=0),"",(AU220-BH220)/AU220)</f>
        <v/>
      </c>
      <c r="BJ220" s="81"/>
      <c r="BK220" s="83"/>
      <c r="BL220" s="43" t="str">
        <f aca="false">IFERROR(INDEX(ЗАКАЗЫ!$N$3:$N$500,MATCH($A220,ЗАКАЗЫ!$F$3:$F$500,0)),"")</f>
        <v/>
      </c>
      <c r="BM220" s="8" t="str">
        <f aca="false">IF(BL220="","",IFERROR(VLOOKUP(BL220,'ТН ВЭД'!$A$4:$C$40,3,0),""))</f>
        <v/>
      </c>
      <c r="BN220" s="7" t="str">
        <f aca="false">IF(COUNTIF(ЗАКАЗЫ!$F$3:$F$500,$A220)=0,"",SUMIF(ЗАКАЗЫ!$F$3:$F$500,$A220,ЗАКАЗЫ!$J$3:$J$500))</f>
        <v/>
      </c>
      <c r="BO220" s="7" t="str">
        <f aca="false">IF(BN220="","",SUMIF(ЗАКАЗЫ!$F$3:$F$500,$A220,ЗАКАЗЫ!$AL$3:$AL$500))</f>
        <v/>
      </c>
      <c r="BP220" s="7" t="str">
        <f aca="false">IF(BN220="","",BN220-BO220)</f>
        <v/>
      </c>
      <c r="BQ220" s="55" t="str">
        <f aca="false">IF(BN220="","",IF(BO220&gt;=BN220,"На складе",IF(BO220&gt;0,"Частично","Ждём")))</f>
        <v/>
      </c>
      <c r="BR220" s="43"/>
      <c r="BS220" s="47" t="str">
        <f aca="false">IF(BN220="","",IF(_xlfn.MAXIFS(ЗАКАЗЫ!$AK$3:$AK$500,ЗАКАЗЫ!$F$3:$F$500,$A220)=0,"",_xlfn.MAXIFS(ЗАКАЗЫ!$AK$3:$AK$500,ЗАКАЗЫ!$F$3:$F$500,$A220)))</f>
        <v/>
      </c>
    </row>
    <row r="221" customFormat="false" ht="15.75" hidden="false" customHeight="true" outlineLevel="0" collapsed="false">
      <c r="A221" s="80" t="s">
        <v>1744</v>
      </c>
      <c r="B221" s="81"/>
      <c r="C221" s="81"/>
      <c r="D221" s="81"/>
      <c r="E221" s="83"/>
      <c r="F221" s="81"/>
      <c r="G221" s="83"/>
      <c r="H221" s="83"/>
      <c r="I221" s="84" t="str">
        <f aca="false">IF(E221="","",A221&amp;"_1.jpg")</f>
        <v/>
      </c>
      <c r="J221" s="84" t="str">
        <f aca="false">IF(E221="","",A221&amp;"_2.jpg; "&amp;A221&amp;"_3.jpg")</f>
        <v/>
      </c>
      <c r="K221" s="84" t="str">
        <f aca="false">IF(E221="","",A221&amp;"_schema.jpg")</f>
        <v/>
      </c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 t="s">
        <v>96</v>
      </c>
      <c r="W221" s="81"/>
      <c r="X221" s="81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6" t="str">
        <f aca="false">IF(SUM(Y221:AJ221)=0,"",SUM(Y221:AJ221))</f>
        <v/>
      </c>
      <c r="AL221" s="84" t="str">
        <f aca="false">MID(IF(N(Y221)&gt;0,", "&amp;Y$2,"")&amp;IF(N(Z221)&gt;0,", "&amp;Z$2,"")&amp;IF(N(AA221)&gt;0,", "&amp;AA$2,"")&amp;IF(N(AB221)&gt;0,", "&amp;AB$2,"")&amp;IF(N(AC221)&gt;0,", "&amp;AC$2,"")&amp;IF(N(AD221)&gt;0,", "&amp;AD$2,"")&amp;IF(N(AE221)&gt;0,", "&amp;AE$2,"")&amp;IF(N(AF221)&gt;0,", "&amp;AF$2,"")&amp;IF(N(AG221)&gt;0,", "&amp;AG$2,"")&amp;IF(N(AH221)&gt;0,", "&amp;AH$2,"")&amp;IF(N(AI221)&gt;0,", "&amp;AI$2,"")&amp;IF(N(AJ221)&gt;0,", "&amp;AJ$2,""),3,999)</f>
        <v/>
      </c>
      <c r="AM221" s="87" t="str">
        <f aca="false">IF(E221="","",MID(IF(N(Y221)&gt;0,", "&amp;A221&amp;"-"&amp;Y$2,"")&amp;IF(N(Z221)&gt;0,", "&amp;A221&amp;"-"&amp;Z$2,"")&amp;IF(N(AA221)&gt;0,", "&amp;A221&amp;"-"&amp;AA$2,"")&amp;IF(N(AB221)&gt;0,", "&amp;A221&amp;"-"&amp;AB$2,"")&amp;IF(N(AC221)&gt;0,", "&amp;A221&amp;"-"&amp;AC$2,"")&amp;IF(N(AD221)&gt;0,", "&amp;A221&amp;"-"&amp;AD$2,"")&amp;IF(N(AE221)&gt;0,", "&amp;A221&amp;"-"&amp;AE$2,"")&amp;IF(N(AF221)&gt;0,", "&amp;A221&amp;"-"&amp;AF$2,"")&amp;IF(N(AG221)&gt;0,", "&amp;A221&amp;"-"&amp;AG$2,"")&amp;IF(N(AH221)&gt;0,", "&amp;A221&amp;"-"&amp;AH$2,"")&amp;IF(N(AI221)&gt;0,", "&amp;A221&amp;"-"&amp;AI$2,"")&amp;IF(N(AJ221)&gt;0,", "&amp;A221&amp;"-"&amp;AJ$2,""),3,999))</f>
        <v/>
      </c>
      <c r="AN221" s="81"/>
      <c r="AO221" s="88"/>
      <c r="AP221" s="89" t="str">
        <f aca="false">IF(AO221="","",ROUND(AO221/(1+Справочники!$B$13),2))</f>
        <v/>
      </c>
      <c r="AQ221" s="90" t="str">
        <f aca="false" t="array" ref="AQ221:AQ221">IF(AP221="","",AP221*INDEX(Справочники!$B$4:$B$7,MATCH("RUB",Справочники!$A$4:$A$7,0)))</f>
        <v/>
      </c>
      <c r="AR221" s="90" t="str">
        <f aca="false">IF(AQ221="","",ROUND(AQ221*(1+Справочники!$B$12),0))</f>
        <v/>
      </c>
      <c r="AS221" s="90" t="str">
        <f aca="false">IF(AR221="","",ROUND(AR221*(1-Справочники!$B$11),0))</f>
        <v/>
      </c>
      <c r="AT221" s="88"/>
      <c r="AU221" s="90" t="str">
        <f aca="false">IF(AT221="","",ROUND(AT221/(1+Справочники!$B$12),0))</f>
        <v/>
      </c>
      <c r="AV221" s="90" t="str">
        <f aca="false">IF(AT221="","",ROUND(AT221*(1-Справочники!$B$15),0))</f>
        <v/>
      </c>
      <c r="AW221" s="90" t="str">
        <f aca="false">IF(AT221="","",ROUND(AT221*(1-Справочники!$B$16),0))</f>
        <v/>
      </c>
      <c r="AX221" s="90" t="str">
        <f aca="false">IF(AT221="","",ROUND(AT221*(1-Справочники!$B$17),0))</f>
        <v/>
      </c>
      <c r="AY221" s="90" t="str">
        <f aca="false">IF(AT221="","",ROUND(AT221*(1-Справочники!$B$18),0))</f>
        <v/>
      </c>
      <c r="AZ221" s="90" t="str">
        <f aca="false">IF(AT221="","",ROUND(AT221*(1-Справочники!$B$19),0))</f>
        <v/>
      </c>
      <c r="BA221" s="81"/>
      <c r="BB221" s="81"/>
      <c r="BC221" s="81"/>
      <c r="BD221" s="81"/>
      <c r="BE221" s="91"/>
      <c r="BF221" s="81" t="s">
        <v>103</v>
      </c>
      <c r="BG221" s="89" t="n">
        <f aca="false" t="array" ref="BG221:BG221">IF(BF221="","",IFERROR(INDEX(Справочники!$B$4:$B$7,MATCH(BF221,Справочники!$A$4:$A$7,0)),""))</f>
        <v>68.5</v>
      </c>
      <c r="BH221" s="90" t="str">
        <f aca="false">IF(N(BN221)&gt;0,ROUND(SUMIF(ЗАКАЗЫ!$F$3:$F$500,$A221,ЗАКАЗЫ!$Y$3:$Y$500)/BN221,0),IF(OR(BE221="",BG221=""),"",ROUND(BE221*BG221*(1+Справочники!$B$10),0)))</f>
        <v/>
      </c>
      <c r="BI221" s="92" t="str">
        <f aca="false">IF(OR(AU221="",BH221="",AU221=0),"",(AU221-BH221)/AU221)</f>
        <v/>
      </c>
      <c r="BJ221" s="81"/>
      <c r="BK221" s="83"/>
      <c r="BL221" s="43" t="str">
        <f aca="false">IFERROR(INDEX(ЗАКАЗЫ!$N$3:$N$500,MATCH($A221,ЗАКАЗЫ!$F$3:$F$500,0)),"")</f>
        <v/>
      </c>
      <c r="BM221" s="8" t="str">
        <f aca="false">IF(BL221="","",IFERROR(VLOOKUP(BL221,'ТН ВЭД'!$A$4:$C$40,3,0),""))</f>
        <v/>
      </c>
      <c r="BN221" s="7" t="str">
        <f aca="false">IF(COUNTIF(ЗАКАЗЫ!$F$3:$F$500,$A221)=0,"",SUMIF(ЗАКАЗЫ!$F$3:$F$500,$A221,ЗАКАЗЫ!$J$3:$J$500))</f>
        <v/>
      </c>
      <c r="BO221" s="7" t="str">
        <f aca="false">IF(BN221="","",SUMIF(ЗАКАЗЫ!$F$3:$F$500,$A221,ЗАКАЗЫ!$AL$3:$AL$500))</f>
        <v/>
      </c>
      <c r="BP221" s="7" t="str">
        <f aca="false">IF(BN221="","",BN221-BO221)</f>
        <v/>
      </c>
      <c r="BQ221" s="55" t="str">
        <f aca="false">IF(BN221="","",IF(BO221&gt;=BN221,"На складе",IF(BO221&gt;0,"Частично","Ждём")))</f>
        <v/>
      </c>
      <c r="BR221" s="43"/>
      <c r="BS221" s="47" t="str">
        <f aca="false">IF(BN221="","",IF(_xlfn.MAXIFS(ЗАКАЗЫ!$AK$3:$AK$500,ЗАКАЗЫ!$F$3:$F$500,$A221)=0,"",_xlfn.MAXIFS(ЗАКАЗЫ!$AK$3:$AK$500,ЗАКАЗЫ!$F$3:$F$500,$A221)))</f>
        <v/>
      </c>
    </row>
    <row r="222" customFormat="false" ht="15.75" hidden="false" customHeight="true" outlineLevel="0" collapsed="false">
      <c r="A222" s="80" t="s">
        <v>1745</v>
      </c>
      <c r="B222" s="81"/>
      <c r="C222" s="81"/>
      <c r="D222" s="81"/>
      <c r="E222" s="83"/>
      <c r="F222" s="81"/>
      <c r="G222" s="83"/>
      <c r="H222" s="83"/>
      <c r="I222" s="84" t="str">
        <f aca="false">IF(E222="","",A222&amp;"_1.jpg")</f>
        <v/>
      </c>
      <c r="J222" s="84" t="str">
        <f aca="false">IF(E222="","",A222&amp;"_2.jpg; "&amp;A222&amp;"_3.jpg")</f>
        <v/>
      </c>
      <c r="K222" s="84" t="str">
        <f aca="false">IF(E222="","",A222&amp;"_schema.jpg")</f>
        <v/>
      </c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 t="s">
        <v>96</v>
      </c>
      <c r="W222" s="81"/>
      <c r="X222" s="81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6" t="str">
        <f aca="false">IF(SUM(Y222:AJ222)=0,"",SUM(Y222:AJ222))</f>
        <v/>
      </c>
      <c r="AL222" s="84" t="str">
        <f aca="false">MID(IF(N(Y222)&gt;0,", "&amp;Y$2,"")&amp;IF(N(Z222)&gt;0,", "&amp;Z$2,"")&amp;IF(N(AA222)&gt;0,", "&amp;AA$2,"")&amp;IF(N(AB222)&gt;0,", "&amp;AB$2,"")&amp;IF(N(AC222)&gt;0,", "&amp;AC$2,"")&amp;IF(N(AD222)&gt;0,", "&amp;AD$2,"")&amp;IF(N(AE222)&gt;0,", "&amp;AE$2,"")&amp;IF(N(AF222)&gt;0,", "&amp;AF$2,"")&amp;IF(N(AG222)&gt;0,", "&amp;AG$2,"")&amp;IF(N(AH222)&gt;0,", "&amp;AH$2,"")&amp;IF(N(AI222)&gt;0,", "&amp;AI$2,"")&amp;IF(N(AJ222)&gt;0,", "&amp;AJ$2,""),3,999)</f>
        <v/>
      </c>
      <c r="AM222" s="87" t="str">
        <f aca="false">IF(E222="","",MID(IF(N(Y222)&gt;0,", "&amp;A222&amp;"-"&amp;Y$2,"")&amp;IF(N(Z222)&gt;0,", "&amp;A222&amp;"-"&amp;Z$2,"")&amp;IF(N(AA222)&gt;0,", "&amp;A222&amp;"-"&amp;AA$2,"")&amp;IF(N(AB222)&gt;0,", "&amp;A222&amp;"-"&amp;AB$2,"")&amp;IF(N(AC222)&gt;0,", "&amp;A222&amp;"-"&amp;AC$2,"")&amp;IF(N(AD222)&gt;0,", "&amp;A222&amp;"-"&amp;AD$2,"")&amp;IF(N(AE222)&gt;0,", "&amp;A222&amp;"-"&amp;AE$2,"")&amp;IF(N(AF222)&gt;0,", "&amp;A222&amp;"-"&amp;AF$2,"")&amp;IF(N(AG222)&gt;0,", "&amp;A222&amp;"-"&amp;AG$2,"")&amp;IF(N(AH222)&gt;0,", "&amp;A222&amp;"-"&amp;AH$2,"")&amp;IF(N(AI222)&gt;0,", "&amp;A222&amp;"-"&amp;AI$2,"")&amp;IF(N(AJ222)&gt;0,", "&amp;A222&amp;"-"&amp;AJ$2,""),3,999))</f>
        <v/>
      </c>
      <c r="AN222" s="81"/>
      <c r="AO222" s="88"/>
      <c r="AP222" s="89" t="str">
        <f aca="false">IF(AO222="","",ROUND(AO222/(1+Справочники!$B$13),2))</f>
        <v/>
      </c>
      <c r="AQ222" s="90" t="str">
        <f aca="false" t="array" ref="AQ222:AQ222">IF(AP222="","",AP222*INDEX(Справочники!$B$4:$B$7,MATCH("RUB",Справочники!$A$4:$A$7,0)))</f>
        <v/>
      </c>
      <c r="AR222" s="90" t="str">
        <f aca="false">IF(AQ222="","",ROUND(AQ222*(1+Справочники!$B$12),0))</f>
        <v/>
      </c>
      <c r="AS222" s="90" t="str">
        <f aca="false">IF(AR222="","",ROUND(AR222*(1-Справочники!$B$11),0))</f>
        <v/>
      </c>
      <c r="AT222" s="88"/>
      <c r="AU222" s="90" t="str">
        <f aca="false">IF(AT222="","",ROUND(AT222/(1+Справочники!$B$12),0))</f>
        <v/>
      </c>
      <c r="AV222" s="90" t="str">
        <f aca="false">IF(AT222="","",ROUND(AT222*(1-Справочники!$B$15),0))</f>
        <v/>
      </c>
      <c r="AW222" s="90" t="str">
        <f aca="false">IF(AT222="","",ROUND(AT222*(1-Справочники!$B$16),0))</f>
        <v/>
      </c>
      <c r="AX222" s="90" t="str">
        <f aca="false">IF(AT222="","",ROUND(AT222*(1-Справочники!$B$17),0))</f>
        <v/>
      </c>
      <c r="AY222" s="90" t="str">
        <f aca="false">IF(AT222="","",ROUND(AT222*(1-Справочники!$B$18),0))</f>
        <v/>
      </c>
      <c r="AZ222" s="90" t="str">
        <f aca="false">IF(AT222="","",ROUND(AT222*(1-Справочники!$B$19),0))</f>
        <v/>
      </c>
      <c r="BA222" s="81"/>
      <c r="BB222" s="81"/>
      <c r="BC222" s="81"/>
      <c r="BD222" s="81"/>
      <c r="BE222" s="91"/>
      <c r="BF222" s="81" t="s">
        <v>103</v>
      </c>
      <c r="BG222" s="89" t="n">
        <f aca="false" t="array" ref="BG222:BG222">IF(BF222="","",IFERROR(INDEX(Справочники!$B$4:$B$7,MATCH(BF222,Справочники!$A$4:$A$7,0)),""))</f>
        <v>68.5</v>
      </c>
      <c r="BH222" s="90" t="str">
        <f aca="false">IF(N(BN222)&gt;0,ROUND(SUMIF(ЗАКАЗЫ!$F$3:$F$500,$A222,ЗАКАЗЫ!$Y$3:$Y$500)/BN222,0),IF(OR(BE222="",BG222=""),"",ROUND(BE222*BG222*(1+Справочники!$B$10),0)))</f>
        <v/>
      </c>
      <c r="BI222" s="92" t="str">
        <f aca="false">IF(OR(AU222="",BH222="",AU222=0),"",(AU222-BH222)/AU222)</f>
        <v/>
      </c>
      <c r="BJ222" s="81"/>
      <c r="BK222" s="83"/>
      <c r="BL222" s="43" t="str">
        <f aca="false">IFERROR(INDEX(ЗАКАЗЫ!$N$3:$N$500,MATCH($A222,ЗАКАЗЫ!$F$3:$F$500,0)),"")</f>
        <v/>
      </c>
      <c r="BM222" s="8" t="str">
        <f aca="false">IF(BL222="","",IFERROR(VLOOKUP(BL222,'ТН ВЭД'!$A$4:$C$40,3,0),""))</f>
        <v/>
      </c>
      <c r="BN222" s="7" t="str">
        <f aca="false">IF(COUNTIF(ЗАКАЗЫ!$F$3:$F$500,$A222)=0,"",SUMIF(ЗАКАЗЫ!$F$3:$F$500,$A222,ЗАКАЗЫ!$J$3:$J$500))</f>
        <v/>
      </c>
      <c r="BO222" s="7" t="str">
        <f aca="false">IF(BN222="","",SUMIF(ЗАКАЗЫ!$F$3:$F$500,$A222,ЗАКАЗЫ!$AL$3:$AL$500))</f>
        <v/>
      </c>
      <c r="BP222" s="7" t="str">
        <f aca="false">IF(BN222="","",BN222-BO222)</f>
        <v/>
      </c>
      <c r="BQ222" s="55" t="str">
        <f aca="false">IF(BN222="","",IF(BO222&gt;=BN222,"На складе",IF(BO222&gt;0,"Частично","Ждём")))</f>
        <v/>
      </c>
      <c r="BR222" s="43"/>
      <c r="BS222" s="47" t="str">
        <f aca="false">IF(BN222="","",IF(_xlfn.MAXIFS(ЗАКАЗЫ!$AK$3:$AK$500,ЗАКАЗЫ!$F$3:$F$500,$A222)=0,"",_xlfn.MAXIFS(ЗАКАЗЫ!$AK$3:$AK$500,ЗАКАЗЫ!$F$3:$F$500,$A222)))</f>
        <v/>
      </c>
    </row>
    <row r="223" customFormat="false" ht="15.75" hidden="false" customHeight="true" outlineLevel="0" collapsed="false">
      <c r="A223" s="80" t="s">
        <v>1746</v>
      </c>
      <c r="B223" s="81"/>
      <c r="C223" s="81"/>
      <c r="D223" s="81"/>
      <c r="E223" s="83"/>
      <c r="F223" s="81"/>
      <c r="G223" s="83"/>
      <c r="H223" s="83"/>
      <c r="I223" s="84" t="str">
        <f aca="false">IF(E223="","",A223&amp;"_1.jpg")</f>
        <v/>
      </c>
      <c r="J223" s="84" t="str">
        <f aca="false">IF(E223="","",A223&amp;"_2.jpg; "&amp;A223&amp;"_3.jpg")</f>
        <v/>
      </c>
      <c r="K223" s="84" t="str">
        <f aca="false">IF(E223="","",A223&amp;"_schema.jpg")</f>
        <v/>
      </c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 t="s">
        <v>96</v>
      </c>
      <c r="W223" s="81"/>
      <c r="X223" s="81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6" t="str">
        <f aca="false">IF(SUM(Y223:AJ223)=0,"",SUM(Y223:AJ223))</f>
        <v/>
      </c>
      <c r="AL223" s="84" t="str">
        <f aca="false">MID(IF(N(Y223)&gt;0,", "&amp;Y$2,"")&amp;IF(N(Z223)&gt;0,", "&amp;Z$2,"")&amp;IF(N(AA223)&gt;0,", "&amp;AA$2,"")&amp;IF(N(AB223)&gt;0,", "&amp;AB$2,"")&amp;IF(N(AC223)&gt;0,", "&amp;AC$2,"")&amp;IF(N(AD223)&gt;0,", "&amp;AD$2,"")&amp;IF(N(AE223)&gt;0,", "&amp;AE$2,"")&amp;IF(N(AF223)&gt;0,", "&amp;AF$2,"")&amp;IF(N(AG223)&gt;0,", "&amp;AG$2,"")&amp;IF(N(AH223)&gt;0,", "&amp;AH$2,"")&amp;IF(N(AI223)&gt;0,", "&amp;AI$2,"")&amp;IF(N(AJ223)&gt;0,", "&amp;AJ$2,""),3,999)</f>
        <v/>
      </c>
      <c r="AM223" s="87" t="str">
        <f aca="false">IF(E223="","",MID(IF(N(Y223)&gt;0,", "&amp;A223&amp;"-"&amp;Y$2,"")&amp;IF(N(Z223)&gt;0,", "&amp;A223&amp;"-"&amp;Z$2,"")&amp;IF(N(AA223)&gt;0,", "&amp;A223&amp;"-"&amp;AA$2,"")&amp;IF(N(AB223)&gt;0,", "&amp;A223&amp;"-"&amp;AB$2,"")&amp;IF(N(AC223)&gt;0,", "&amp;A223&amp;"-"&amp;AC$2,"")&amp;IF(N(AD223)&gt;0,", "&amp;A223&amp;"-"&amp;AD$2,"")&amp;IF(N(AE223)&gt;0,", "&amp;A223&amp;"-"&amp;AE$2,"")&amp;IF(N(AF223)&gt;0,", "&amp;A223&amp;"-"&amp;AF$2,"")&amp;IF(N(AG223)&gt;0,", "&amp;A223&amp;"-"&amp;AG$2,"")&amp;IF(N(AH223)&gt;0,", "&amp;A223&amp;"-"&amp;AH$2,"")&amp;IF(N(AI223)&gt;0,", "&amp;A223&amp;"-"&amp;AI$2,"")&amp;IF(N(AJ223)&gt;0,", "&amp;A223&amp;"-"&amp;AJ$2,""),3,999))</f>
        <v/>
      </c>
      <c r="AN223" s="81"/>
      <c r="AO223" s="88"/>
      <c r="AP223" s="89" t="str">
        <f aca="false">IF(AO223="","",ROUND(AO223/(1+Справочники!$B$13),2))</f>
        <v/>
      </c>
      <c r="AQ223" s="90" t="str">
        <f aca="false" t="array" ref="AQ223:AQ223">IF(AP223="","",AP223*INDEX(Справочники!$B$4:$B$7,MATCH("RUB",Справочники!$A$4:$A$7,0)))</f>
        <v/>
      </c>
      <c r="AR223" s="90" t="str">
        <f aca="false">IF(AQ223="","",ROUND(AQ223*(1+Справочники!$B$12),0))</f>
        <v/>
      </c>
      <c r="AS223" s="90" t="str">
        <f aca="false">IF(AR223="","",ROUND(AR223*(1-Справочники!$B$11),0))</f>
        <v/>
      </c>
      <c r="AT223" s="88"/>
      <c r="AU223" s="90" t="str">
        <f aca="false">IF(AT223="","",ROUND(AT223/(1+Справочники!$B$12),0))</f>
        <v/>
      </c>
      <c r="AV223" s="90" t="str">
        <f aca="false">IF(AT223="","",ROUND(AT223*(1-Справочники!$B$15),0))</f>
        <v/>
      </c>
      <c r="AW223" s="90" t="str">
        <f aca="false">IF(AT223="","",ROUND(AT223*(1-Справочники!$B$16),0))</f>
        <v/>
      </c>
      <c r="AX223" s="90" t="str">
        <f aca="false">IF(AT223="","",ROUND(AT223*(1-Справочники!$B$17),0))</f>
        <v/>
      </c>
      <c r="AY223" s="90" t="str">
        <f aca="false">IF(AT223="","",ROUND(AT223*(1-Справочники!$B$18),0))</f>
        <v/>
      </c>
      <c r="AZ223" s="90" t="str">
        <f aca="false">IF(AT223="","",ROUND(AT223*(1-Справочники!$B$19),0))</f>
        <v/>
      </c>
      <c r="BA223" s="81"/>
      <c r="BB223" s="81"/>
      <c r="BC223" s="81"/>
      <c r="BD223" s="81"/>
      <c r="BE223" s="91"/>
      <c r="BF223" s="81" t="s">
        <v>103</v>
      </c>
      <c r="BG223" s="89" t="n">
        <f aca="false" t="array" ref="BG223:BG223">IF(BF223="","",IFERROR(INDEX(Справочники!$B$4:$B$7,MATCH(BF223,Справочники!$A$4:$A$7,0)),""))</f>
        <v>68.5</v>
      </c>
      <c r="BH223" s="90" t="str">
        <f aca="false">IF(N(BN223)&gt;0,ROUND(SUMIF(ЗАКАЗЫ!$F$3:$F$500,$A223,ЗАКАЗЫ!$Y$3:$Y$500)/BN223,0),IF(OR(BE223="",BG223=""),"",ROUND(BE223*BG223*(1+Справочники!$B$10),0)))</f>
        <v/>
      </c>
      <c r="BI223" s="92" t="str">
        <f aca="false">IF(OR(AU223="",BH223="",AU223=0),"",(AU223-BH223)/AU223)</f>
        <v/>
      </c>
      <c r="BJ223" s="81"/>
      <c r="BK223" s="83"/>
      <c r="BL223" s="43" t="str">
        <f aca="false">IFERROR(INDEX(ЗАКАЗЫ!$N$3:$N$500,MATCH($A223,ЗАКАЗЫ!$F$3:$F$500,0)),"")</f>
        <v/>
      </c>
      <c r="BM223" s="8" t="str">
        <f aca="false">IF(BL223="","",IFERROR(VLOOKUP(BL223,'ТН ВЭД'!$A$4:$C$40,3,0),""))</f>
        <v/>
      </c>
      <c r="BN223" s="7" t="str">
        <f aca="false">IF(COUNTIF(ЗАКАЗЫ!$F$3:$F$500,$A223)=0,"",SUMIF(ЗАКАЗЫ!$F$3:$F$500,$A223,ЗАКАЗЫ!$J$3:$J$500))</f>
        <v/>
      </c>
      <c r="BO223" s="7" t="str">
        <f aca="false">IF(BN223="","",SUMIF(ЗАКАЗЫ!$F$3:$F$500,$A223,ЗАКАЗЫ!$AL$3:$AL$500))</f>
        <v/>
      </c>
      <c r="BP223" s="7" t="str">
        <f aca="false">IF(BN223="","",BN223-BO223)</f>
        <v/>
      </c>
      <c r="BQ223" s="55" t="str">
        <f aca="false">IF(BN223="","",IF(BO223&gt;=BN223,"На складе",IF(BO223&gt;0,"Частично","Ждём")))</f>
        <v/>
      </c>
      <c r="BR223" s="43"/>
      <c r="BS223" s="47" t="str">
        <f aca="false">IF(BN223="","",IF(_xlfn.MAXIFS(ЗАКАЗЫ!$AK$3:$AK$500,ЗАКАЗЫ!$F$3:$F$500,$A223)=0,"",_xlfn.MAXIFS(ЗАКАЗЫ!$AK$3:$AK$500,ЗАКАЗЫ!$F$3:$F$500,$A223)))</f>
        <v/>
      </c>
    </row>
    <row r="224" customFormat="false" ht="15.75" hidden="false" customHeight="true" outlineLevel="0" collapsed="false">
      <c r="A224" s="80" t="s">
        <v>1747</v>
      </c>
      <c r="B224" s="81"/>
      <c r="C224" s="81"/>
      <c r="D224" s="81"/>
      <c r="E224" s="83"/>
      <c r="F224" s="81"/>
      <c r="G224" s="83"/>
      <c r="H224" s="83"/>
      <c r="I224" s="84" t="str">
        <f aca="false">IF(E224="","",A224&amp;"_1.jpg")</f>
        <v/>
      </c>
      <c r="J224" s="84" t="str">
        <f aca="false">IF(E224="","",A224&amp;"_2.jpg; "&amp;A224&amp;"_3.jpg")</f>
        <v/>
      </c>
      <c r="K224" s="84" t="str">
        <f aca="false">IF(E224="","",A224&amp;"_schema.jpg")</f>
        <v/>
      </c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 t="s">
        <v>96</v>
      </c>
      <c r="W224" s="81"/>
      <c r="X224" s="81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6" t="str">
        <f aca="false">IF(SUM(Y224:AJ224)=0,"",SUM(Y224:AJ224))</f>
        <v/>
      </c>
      <c r="AL224" s="84" t="str">
        <f aca="false">MID(IF(N(Y224)&gt;0,", "&amp;Y$2,"")&amp;IF(N(Z224)&gt;0,", "&amp;Z$2,"")&amp;IF(N(AA224)&gt;0,", "&amp;AA$2,"")&amp;IF(N(AB224)&gt;0,", "&amp;AB$2,"")&amp;IF(N(AC224)&gt;0,", "&amp;AC$2,"")&amp;IF(N(AD224)&gt;0,", "&amp;AD$2,"")&amp;IF(N(AE224)&gt;0,", "&amp;AE$2,"")&amp;IF(N(AF224)&gt;0,", "&amp;AF$2,"")&amp;IF(N(AG224)&gt;0,", "&amp;AG$2,"")&amp;IF(N(AH224)&gt;0,", "&amp;AH$2,"")&amp;IF(N(AI224)&gt;0,", "&amp;AI$2,"")&amp;IF(N(AJ224)&gt;0,", "&amp;AJ$2,""),3,999)</f>
        <v/>
      </c>
      <c r="AM224" s="87" t="str">
        <f aca="false">IF(E224="","",MID(IF(N(Y224)&gt;0,", "&amp;A224&amp;"-"&amp;Y$2,"")&amp;IF(N(Z224)&gt;0,", "&amp;A224&amp;"-"&amp;Z$2,"")&amp;IF(N(AA224)&gt;0,", "&amp;A224&amp;"-"&amp;AA$2,"")&amp;IF(N(AB224)&gt;0,", "&amp;A224&amp;"-"&amp;AB$2,"")&amp;IF(N(AC224)&gt;0,", "&amp;A224&amp;"-"&amp;AC$2,"")&amp;IF(N(AD224)&gt;0,", "&amp;A224&amp;"-"&amp;AD$2,"")&amp;IF(N(AE224)&gt;0,", "&amp;A224&amp;"-"&amp;AE$2,"")&amp;IF(N(AF224)&gt;0,", "&amp;A224&amp;"-"&amp;AF$2,"")&amp;IF(N(AG224)&gt;0,", "&amp;A224&amp;"-"&amp;AG$2,"")&amp;IF(N(AH224)&gt;0,", "&amp;A224&amp;"-"&amp;AH$2,"")&amp;IF(N(AI224)&gt;0,", "&amp;A224&amp;"-"&amp;AI$2,"")&amp;IF(N(AJ224)&gt;0,", "&amp;A224&amp;"-"&amp;AJ$2,""),3,999))</f>
        <v/>
      </c>
      <c r="AN224" s="81"/>
      <c r="AO224" s="88"/>
      <c r="AP224" s="89" t="str">
        <f aca="false">IF(AO224="","",ROUND(AO224/(1+Справочники!$B$13),2))</f>
        <v/>
      </c>
      <c r="AQ224" s="90" t="str">
        <f aca="false" t="array" ref="AQ224:AQ224">IF(AP224="","",AP224*INDEX(Справочники!$B$4:$B$7,MATCH("RUB",Справочники!$A$4:$A$7,0)))</f>
        <v/>
      </c>
      <c r="AR224" s="90" t="str">
        <f aca="false">IF(AQ224="","",ROUND(AQ224*(1+Справочники!$B$12),0))</f>
        <v/>
      </c>
      <c r="AS224" s="90" t="str">
        <f aca="false">IF(AR224="","",ROUND(AR224*(1-Справочники!$B$11),0))</f>
        <v/>
      </c>
      <c r="AT224" s="88"/>
      <c r="AU224" s="90" t="str">
        <f aca="false">IF(AT224="","",ROUND(AT224/(1+Справочники!$B$12),0))</f>
        <v/>
      </c>
      <c r="AV224" s="90" t="str">
        <f aca="false">IF(AT224="","",ROUND(AT224*(1-Справочники!$B$15),0))</f>
        <v/>
      </c>
      <c r="AW224" s="90" t="str">
        <f aca="false">IF(AT224="","",ROUND(AT224*(1-Справочники!$B$16),0))</f>
        <v/>
      </c>
      <c r="AX224" s="90" t="str">
        <f aca="false">IF(AT224="","",ROUND(AT224*(1-Справочники!$B$17),0))</f>
        <v/>
      </c>
      <c r="AY224" s="90" t="str">
        <f aca="false">IF(AT224="","",ROUND(AT224*(1-Справочники!$B$18),0))</f>
        <v/>
      </c>
      <c r="AZ224" s="90" t="str">
        <f aca="false">IF(AT224="","",ROUND(AT224*(1-Справочники!$B$19),0))</f>
        <v/>
      </c>
      <c r="BA224" s="81"/>
      <c r="BB224" s="81"/>
      <c r="BC224" s="81"/>
      <c r="BD224" s="81"/>
      <c r="BE224" s="91"/>
      <c r="BF224" s="81" t="s">
        <v>103</v>
      </c>
      <c r="BG224" s="89" t="n">
        <f aca="false" t="array" ref="BG224:BG224">IF(BF224="","",IFERROR(INDEX(Справочники!$B$4:$B$7,MATCH(BF224,Справочники!$A$4:$A$7,0)),""))</f>
        <v>68.5</v>
      </c>
      <c r="BH224" s="90" t="str">
        <f aca="false">IF(N(BN224)&gt;0,ROUND(SUMIF(ЗАКАЗЫ!$F$3:$F$500,$A224,ЗАКАЗЫ!$Y$3:$Y$500)/BN224,0),IF(OR(BE224="",BG224=""),"",ROUND(BE224*BG224*(1+Справочники!$B$10),0)))</f>
        <v/>
      </c>
      <c r="BI224" s="92" t="str">
        <f aca="false">IF(OR(AU224="",BH224="",AU224=0),"",(AU224-BH224)/AU224)</f>
        <v/>
      </c>
      <c r="BJ224" s="81"/>
      <c r="BK224" s="83"/>
      <c r="BL224" s="43" t="str">
        <f aca="false">IFERROR(INDEX(ЗАКАЗЫ!$N$3:$N$500,MATCH($A224,ЗАКАЗЫ!$F$3:$F$500,0)),"")</f>
        <v/>
      </c>
      <c r="BM224" s="8" t="str">
        <f aca="false">IF(BL224="","",IFERROR(VLOOKUP(BL224,'ТН ВЭД'!$A$4:$C$40,3,0),""))</f>
        <v/>
      </c>
      <c r="BN224" s="7" t="str">
        <f aca="false">IF(COUNTIF(ЗАКАЗЫ!$F$3:$F$500,$A224)=0,"",SUMIF(ЗАКАЗЫ!$F$3:$F$500,$A224,ЗАКАЗЫ!$J$3:$J$500))</f>
        <v/>
      </c>
      <c r="BO224" s="7" t="str">
        <f aca="false">IF(BN224="","",SUMIF(ЗАКАЗЫ!$F$3:$F$500,$A224,ЗАКАЗЫ!$AL$3:$AL$500))</f>
        <v/>
      </c>
      <c r="BP224" s="7" t="str">
        <f aca="false">IF(BN224="","",BN224-BO224)</f>
        <v/>
      </c>
      <c r="BQ224" s="55" t="str">
        <f aca="false">IF(BN224="","",IF(BO224&gt;=BN224,"На складе",IF(BO224&gt;0,"Частично","Ждём")))</f>
        <v/>
      </c>
      <c r="BR224" s="43"/>
      <c r="BS224" s="47" t="str">
        <f aca="false">IF(BN224="","",IF(_xlfn.MAXIFS(ЗАКАЗЫ!$AK$3:$AK$500,ЗАКАЗЫ!$F$3:$F$500,$A224)=0,"",_xlfn.MAXIFS(ЗАКАЗЫ!$AK$3:$AK$500,ЗАКАЗЫ!$F$3:$F$500,$A224)))</f>
        <v/>
      </c>
    </row>
    <row r="225" customFormat="false" ht="15.75" hidden="false" customHeight="true" outlineLevel="0" collapsed="false">
      <c r="A225" s="80" t="s">
        <v>1748</v>
      </c>
      <c r="B225" s="81"/>
      <c r="C225" s="81"/>
      <c r="D225" s="81"/>
      <c r="E225" s="83"/>
      <c r="F225" s="81"/>
      <c r="G225" s="83"/>
      <c r="H225" s="83"/>
      <c r="I225" s="84" t="str">
        <f aca="false">IF(E225="","",A225&amp;"_1.jpg")</f>
        <v/>
      </c>
      <c r="J225" s="84" t="str">
        <f aca="false">IF(E225="","",A225&amp;"_2.jpg; "&amp;A225&amp;"_3.jpg")</f>
        <v/>
      </c>
      <c r="K225" s="84" t="str">
        <f aca="false">IF(E225="","",A225&amp;"_schema.jpg")</f>
        <v/>
      </c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 t="s">
        <v>96</v>
      </c>
      <c r="W225" s="81"/>
      <c r="X225" s="81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6" t="str">
        <f aca="false">IF(SUM(Y225:AJ225)=0,"",SUM(Y225:AJ225))</f>
        <v/>
      </c>
      <c r="AL225" s="84" t="str">
        <f aca="false">MID(IF(N(Y225)&gt;0,", "&amp;Y$2,"")&amp;IF(N(Z225)&gt;0,", "&amp;Z$2,"")&amp;IF(N(AA225)&gt;0,", "&amp;AA$2,"")&amp;IF(N(AB225)&gt;0,", "&amp;AB$2,"")&amp;IF(N(AC225)&gt;0,", "&amp;AC$2,"")&amp;IF(N(AD225)&gt;0,", "&amp;AD$2,"")&amp;IF(N(AE225)&gt;0,", "&amp;AE$2,"")&amp;IF(N(AF225)&gt;0,", "&amp;AF$2,"")&amp;IF(N(AG225)&gt;0,", "&amp;AG$2,"")&amp;IF(N(AH225)&gt;0,", "&amp;AH$2,"")&amp;IF(N(AI225)&gt;0,", "&amp;AI$2,"")&amp;IF(N(AJ225)&gt;0,", "&amp;AJ$2,""),3,999)</f>
        <v/>
      </c>
      <c r="AM225" s="87" t="str">
        <f aca="false">IF(E225="","",MID(IF(N(Y225)&gt;0,", "&amp;A225&amp;"-"&amp;Y$2,"")&amp;IF(N(Z225)&gt;0,", "&amp;A225&amp;"-"&amp;Z$2,"")&amp;IF(N(AA225)&gt;0,", "&amp;A225&amp;"-"&amp;AA$2,"")&amp;IF(N(AB225)&gt;0,", "&amp;A225&amp;"-"&amp;AB$2,"")&amp;IF(N(AC225)&gt;0,", "&amp;A225&amp;"-"&amp;AC$2,"")&amp;IF(N(AD225)&gt;0,", "&amp;A225&amp;"-"&amp;AD$2,"")&amp;IF(N(AE225)&gt;0,", "&amp;A225&amp;"-"&amp;AE$2,"")&amp;IF(N(AF225)&gt;0,", "&amp;A225&amp;"-"&amp;AF$2,"")&amp;IF(N(AG225)&gt;0,", "&amp;A225&amp;"-"&amp;AG$2,"")&amp;IF(N(AH225)&gt;0,", "&amp;A225&amp;"-"&amp;AH$2,"")&amp;IF(N(AI225)&gt;0,", "&amp;A225&amp;"-"&amp;AI$2,"")&amp;IF(N(AJ225)&gt;0,", "&amp;A225&amp;"-"&amp;AJ$2,""),3,999))</f>
        <v/>
      </c>
      <c r="AN225" s="81"/>
      <c r="AO225" s="88"/>
      <c r="AP225" s="89" t="str">
        <f aca="false">IF(AO225="","",ROUND(AO225/(1+Справочники!$B$13),2))</f>
        <v/>
      </c>
      <c r="AQ225" s="90" t="str">
        <f aca="false" t="array" ref="AQ225:AQ225">IF(AP225="","",AP225*INDEX(Справочники!$B$4:$B$7,MATCH("RUB",Справочники!$A$4:$A$7,0)))</f>
        <v/>
      </c>
      <c r="AR225" s="90" t="str">
        <f aca="false">IF(AQ225="","",ROUND(AQ225*(1+Справочники!$B$12),0))</f>
        <v/>
      </c>
      <c r="AS225" s="90" t="str">
        <f aca="false">IF(AR225="","",ROUND(AR225*(1-Справочники!$B$11),0))</f>
        <v/>
      </c>
      <c r="AT225" s="88"/>
      <c r="AU225" s="90" t="str">
        <f aca="false">IF(AT225="","",ROUND(AT225/(1+Справочники!$B$12),0))</f>
        <v/>
      </c>
      <c r="AV225" s="90" t="str">
        <f aca="false">IF(AT225="","",ROUND(AT225*(1-Справочники!$B$15),0))</f>
        <v/>
      </c>
      <c r="AW225" s="90" t="str">
        <f aca="false">IF(AT225="","",ROUND(AT225*(1-Справочники!$B$16),0))</f>
        <v/>
      </c>
      <c r="AX225" s="90" t="str">
        <f aca="false">IF(AT225="","",ROUND(AT225*(1-Справочники!$B$17),0))</f>
        <v/>
      </c>
      <c r="AY225" s="90" t="str">
        <f aca="false">IF(AT225="","",ROUND(AT225*(1-Справочники!$B$18),0))</f>
        <v/>
      </c>
      <c r="AZ225" s="90" t="str">
        <f aca="false">IF(AT225="","",ROUND(AT225*(1-Справочники!$B$19),0))</f>
        <v/>
      </c>
      <c r="BA225" s="81"/>
      <c r="BB225" s="81"/>
      <c r="BC225" s="81"/>
      <c r="BD225" s="81"/>
      <c r="BE225" s="91"/>
      <c r="BF225" s="81" t="s">
        <v>103</v>
      </c>
      <c r="BG225" s="89" t="n">
        <f aca="false" t="array" ref="BG225:BG225">IF(BF225="","",IFERROR(INDEX(Справочники!$B$4:$B$7,MATCH(BF225,Справочники!$A$4:$A$7,0)),""))</f>
        <v>68.5</v>
      </c>
      <c r="BH225" s="90" t="str">
        <f aca="false">IF(N(BN225)&gt;0,ROUND(SUMIF(ЗАКАЗЫ!$F$3:$F$500,$A225,ЗАКАЗЫ!$Y$3:$Y$500)/BN225,0),IF(OR(BE225="",BG225=""),"",ROUND(BE225*BG225*(1+Справочники!$B$10),0)))</f>
        <v/>
      </c>
      <c r="BI225" s="92" t="str">
        <f aca="false">IF(OR(AU225="",BH225="",AU225=0),"",(AU225-BH225)/AU225)</f>
        <v/>
      </c>
      <c r="BJ225" s="81"/>
      <c r="BK225" s="83"/>
      <c r="BL225" s="43" t="str">
        <f aca="false">IFERROR(INDEX(ЗАКАЗЫ!$N$3:$N$500,MATCH($A225,ЗАКАЗЫ!$F$3:$F$500,0)),"")</f>
        <v/>
      </c>
      <c r="BM225" s="8" t="str">
        <f aca="false">IF(BL225="","",IFERROR(VLOOKUP(BL225,'ТН ВЭД'!$A$4:$C$40,3,0),""))</f>
        <v/>
      </c>
      <c r="BN225" s="7" t="str">
        <f aca="false">IF(COUNTIF(ЗАКАЗЫ!$F$3:$F$500,$A225)=0,"",SUMIF(ЗАКАЗЫ!$F$3:$F$500,$A225,ЗАКАЗЫ!$J$3:$J$500))</f>
        <v/>
      </c>
      <c r="BO225" s="7" t="str">
        <f aca="false">IF(BN225="","",SUMIF(ЗАКАЗЫ!$F$3:$F$500,$A225,ЗАКАЗЫ!$AL$3:$AL$500))</f>
        <v/>
      </c>
      <c r="BP225" s="7" t="str">
        <f aca="false">IF(BN225="","",BN225-BO225)</f>
        <v/>
      </c>
      <c r="BQ225" s="55" t="str">
        <f aca="false">IF(BN225="","",IF(BO225&gt;=BN225,"На складе",IF(BO225&gt;0,"Частично","Ждём")))</f>
        <v/>
      </c>
      <c r="BR225" s="43"/>
      <c r="BS225" s="47" t="str">
        <f aca="false">IF(BN225="","",IF(_xlfn.MAXIFS(ЗАКАЗЫ!$AK$3:$AK$500,ЗАКАЗЫ!$F$3:$F$500,$A225)=0,"",_xlfn.MAXIFS(ЗАКАЗЫ!$AK$3:$AK$500,ЗАКАЗЫ!$F$3:$F$500,$A225)))</f>
        <v/>
      </c>
    </row>
    <row r="226" customFormat="false" ht="15.75" hidden="false" customHeight="true" outlineLevel="0" collapsed="false">
      <c r="A226" s="80" t="s">
        <v>1749</v>
      </c>
      <c r="B226" s="81"/>
      <c r="C226" s="81"/>
      <c r="D226" s="81"/>
      <c r="E226" s="83"/>
      <c r="F226" s="81"/>
      <c r="G226" s="83"/>
      <c r="H226" s="83"/>
      <c r="I226" s="84" t="str">
        <f aca="false">IF(E226="","",A226&amp;"_1.jpg")</f>
        <v/>
      </c>
      <c r="J226" s="84" t="str">
        <f aca="false">IF(E226="","",A226&amp;"_2.jpg; "&amp;A226&amp;"_3.jpg")</f>
        <v/>
      </c>
      <c r="K226" s="84" t="str">
        <f aca="false">IF(E226="","",A226&amp;"_schema.jpg")</f>
        <v/>
      </c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 t="s">
        <v>96</v>
      </c>
      <c r="W226" s="81"/>
      <c r="X226" s="81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6" t="str">
        <f aca="false">IF(SUM(Y226:AJ226)=0,"",SUM(Y226:AJ226))</f>
        <v/>
      </c>
      <c r="AL226" s="84" t="str">
        <f aca="false">MID(IF(N(Y226)&gt;0,", "&amp;Y$2,"")&amp;IF(N(Z226)&gt;0,", "&amp;Z$2,"")&amp;IF(N(AA226)&gt;0,", "&amp;AA$2,"")&amp;IF(N(AB226)&gt;0,", "&amp;AB$2,"")&amp;IF(N(AC226)&gt;0,", "&amp;AC$2,"")&amp;IF(N(AD226)&gt;0,", "&amp;AD$2,"")&amp;IF(N(AE226)&gt;0,", "&amp;AE$2,"")&amp;IF(N(AF226)&gt;0,", "&amp;AF$2,"")&amp;IF(N(AG226)&gt;0,", "&amp;AG$2,"")&amp;IF(N(AH226)&gt;0,", "&amp;AH$2,"")&amp;IF(N(AI226)&gt;0,", "&amp;AI$2,"")&amp;IF(N(AJ226)&gt;0,", "&amp;AJ$2,""),3,999)</f>
        <v/>
      </c>
      <c r="AM226" s="87" t="str">
        <f aca="false">IF(E226="","",MID(IF(N(Y226)&gt;0,", "&amp;A226&amp;"-"&amp;Y$2,"")&amp;IF(N(Z226)&gt;0,", "&amp;A226&amp;"-"&amp;Z$2,"")&amp;IF(N(AA226)&gt;0,", "&amp;A226&amp;"-"&amp;AA$2,"")&amp;IF(N(AB226)&gt;0,", "&amp;A226&amp;"-"&amp;AB$2,"")&amp;IF(N(AC226)&gt;0,", "&amp;A226&amp;"-"&amp;AC$2,"")&amp;IF(N(AD226)&gt;0,", "&amp;A226&amp;"-"&amp;AD$2,"")&amp;IF(N(AE226)&gt;0,", "&amp;A226&amp;"-"&amp;AE$2,"")&amp;IF(N(AF226)&gt;0,", "&amp;A226&amp;"-"&amp;AF$2,"")&amp;IF(N(AG226)&gt;0,", "&amp;A226&amp;"-"&amp;AG$2,"")&amp;IF(N(AH226)&gt;0,", "&amp;A226&amp;"-"&amp;AH$2,"")&amp;IF(N(AI226)&gt;0,", "&amp;A226&amp;"-"&amp;AI$2,"")&amp;IF(N(AJ226)&gt;0,", "&amp;A226&amp;"-"&amp;AJ$2,""),3,999))</f>
        <v/>
      </c>
      <c r="AN226" s="81"/>
      <c r="AO226" s="88"/>
      <c r="AP226" s="89" t="str">
        <f aca="false">IF(AO226="","",ROUND(AO226/(1+Справочники!$B$13),2))</f>
        <v/>
      </c>
      <c r="AQ226" s="90" t="str">
        <f aca="false" t="array" ref="AQ226:AQ226">IF(AP226="","",AP226*INDEX(Справочники!$B$4:$B$7,MATCH("RUB",Справочники!$A$4:$A$7,0)))</f>
        <v/>
      </c>
      <c r="AR226" s="90" t="str">
        <f aca="false">IF(AQ226="","",ROUND(AQ226*(1+Справочники!$B$12),0))</f>
        <v/>
      </c>
      <c r="AS226" s="90" t="str">
        <f aca="false">IF(AR226="","",ROUND(AR226*(1-Справочники!$B$11),0))</f>
        <v/>
      </c>
      <c r="AT226" s="88"/>
      <c r="AU226" s="90" t="str">
        <f aca="false">IF(AT226="","",ROUND(AT226/(1+Справочники!$B$12),0))</f>
        <v/>
      </c>
      <c r="AV226" s="90" t="str">
        <f aca="false">IF(AT226="","",ROUND(AT226*(1-Справочники!$B$15),0))</f>
        <v/>
      </c>
      <c r="AW226" s="90" t="str">
        <f aca="false">IF(AT226="","",ROUND(AT226*(1-Справочники!$B$16),0))</f>
        <v/>
      </c>
      <c r="AX226" s="90" t="str">
        <f aca="false">IF(AT226="","",ROUND(AT226*(1-Справочники!$B$17),0))</f>
        <v/>
      </c>
      <c r="AY226" s="90" t="str">
        <f aca="false">IF(AT226="","",ROUND(AT226*(1-Справочники!$B$18),0))</f>
        <v/>
      </c>
      <c r="AZ226" s="90" t="str">
        <f aca="false">IF(AT226="","",ROUND(AT226*(1-Справочники!$B$19),0))</f>
        <v/>
      </c>
      <c r="BA226" s="81"/>
      <c r="BB226" s="81"/>
      <c r="BC226" s="81"/>
      <c r="BD226" s="81"/>
      <c r="BE226" s="91"/>
      <c r="BF226" s="81" t="s">
        <v>103</v>
      </c>
      <c r="BG226" s="89" t="n">
        <f aca="false" t="array" ref="BG226:BG226">IF(BF226="","",IFERROR(INDEX(Справочники!$B$4:$B$7,MATCH(BF226,Справочники!$A$4:$A$7,0)),""))</f>
        <v>68.5</v>
      </c>
      <c r="BH226" s="90" t="str">
        <f aca="false">IF(N(BN226)&gt;0,ROUND(SUMIF(ЗАКАЗЫ!$F$3:$F$500,$A226,ЗАКАЗЫ!$Y$3:$Y$500)/BN226,0),IF(OR(BE226="",BG226=""),"",ROUND(BE226*BG226*(1+Справочники!$B$10),0)))</f>
        <v/>
      </c>
      <c r="BI226" s="92" t="str">
        <f aca="false">IF(OR(AU226="",BH226="",AU226=0),"",(AU226-BH226)/AU226)</f>
        <v/>
      </c>
      <c r="BJ226" s="81"/>
      <c r="BK226" s="83"/>
      <c r="BL226" s="43" t="str">
        <f aca="false">IFERROR(INDEX(ЗАКАЗЫ!$N$3:$N$500,MATCH($A226,ЗАКАЗЫ!$F$3:$F$500,0)),"")</f>
        <v/>
      </c>
      <c r="BM226" s="8" t="str">
        <f aca="false">IF(BL226="","",IFERROR(VLOOKUP(BL226,'ТН ВЭД'!$A$4:$C$40,3,0),""))</f>
        <v/>
      </c>
      <c r="BN226" s="7" t="str">
        <f aca="false">IF(COUNTIF(ЗАКАЗЫ!$F$3:$F$500,$A226)=0,"",SUMIF(ЗАКАЗЫ!$F$3:$F$500,$A226,ЗАКАЗЫ!$J$3:$J$500))</f>
        <v/>
      </c>
      <c r="BO226" s="7" t="str">
        <f aca="false">IF(BN226="","",SUMIF(ЗАКАЗЫ!$F$3:$F$500,$A226,ЗАКАЗЫ!$AL$3:$AL$500))</f>
        <v/>
      </c>
      <c r="BP226" s="7" t="str">
        <f aca="false">IF(BN226="","",BN226-BO226)</f>
        <v/>
      </c>
      <c r="BQ226" s="55" t="str">
        <f aca="false">IF(BN226="","",IF(BO226&gt;=BN226,"На складе",IF(BO226&gt;0,"Частично","Ждём")))</f>
        <v/>
      </c>
      <c r="BR226" s="43"/>
      <c r="BS226" s="47" t="str">
        <f aca="false">IF(BN226="","",IF(_xlfn.MAXIFS(ЗАКАЗЫ!$AK$3:$AK$500,ЗАКАЗЫ!$F$3:$F$500,$A226)=0,"",_xlfn.MAXIFS(ЗАКАЗЫ!$AK$3:$AK$500,ЗАКАЗЫ!$F$3:$F$500,$A226)))</f>
        <v/>
      </c>
    </row>
    <row r="227" customFormat="false" ht="15.75" hidden="false" customHeight="true" outlineLevel="0" collapsed="false">
      <c r="A227" s="80" t="s">
        <v>1750</v>
      </c>
      <c r="B227" s="81"/>
      <c r="C227" s="81"/>
      <c r="D227" s="81"/>
      <c r="E227" s="83"/>
      <c r="F227" s="81"/>
      <c r="G227" s="83"/>
      <c r="H227" s="83"/>
      <c r="I227" s="84" t="str">
        <f aca="false">IF(E227="","",A227&amp;"_1.jpg")</f>
        <v/>
      </c>
      <c r="J227" s="84" t="str">
        <f aca="false">IF(E227="","",A227&amp;"_2.jpg; "&amp;A227&amp;"_3.jpg")</f>
        <v/>
      </c>
      <c r="K227" s="84" t="str">
        <f aca="false">IF(E227="","",A227&amp;"_schema.jpg")</f>
        <v/>
      </c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 t="s">
        <v>96</v>
      </c>
      <c r="W227" s="81"/>
      <c r="X227" s="81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6" t="str">
        <f aca="false">IF(SUM(Y227:AJ227)=0,"",SUM(Y227:AJ227))</f>
        <v/>
      </c>
      <c r="AL227" s="84" t="str">
        <f aca="false">MID(IF(N(Y227)&gt;0,", "&amp;Y$2,"")&amp;IF(N(Z227)&gt;0,", "&amp;Z$2,"")&amp;IF(N(AA227)&gt;0,", "&amp;AA$2,"")&amp;IF(N(AB227)&gt;0,", "&amp;AB$2,"")&amp;IF(N(AC227)&gt;0,", "&amp;AC$2,"")&amp;IF(N(AD227)&gt;0,", "&amp;AD$2,"")&amp;IF(N(AE227)&gt;0,", "&amp;AE$2,"")&amp;IF(N(AF227)&gt;0,", "&amp;AF$2,"")&amp;IF(N(AG227)&gt;0,", "&amp;AG$2,"")&amp;IF(N(AH227)&gt;0,", "&amp;AH$2,"")&amp;IF(N(AI227)&gt;0,", "&amp;AI$2,"")&amp;IF(N(AJ227)&gt;0,", "&amp;AJ$2,""),3,999)</f>
        <v/>
      </c>
      <c r="AM227" s="87" t="str">
        <f aca="false">IF(E227="","",MID(IF(N(Y227)&gt;0,", "&amp;A227&amp;"-"&amp;Y$2,"")&amp;IF(N(Z227)&gt;0,", "&amp;A227&amp;"-"&amp;Z$2,"")&amp;IF(N(AA227)&gt;0,", "&amp;A227&amp;"-"&amp;AA$2,"")&amp;IF(N(AB227)&gt;0,", "&amp;A227&amp;"-"&amp;AB$2,"")&amp;IF(N(AC227)&gt;0,", "&amp;A227&amp;"-"&amp;AC$2,"")&amp;IF(N(AD227)&gt;0,", "&amp;A227&amp;"-"&amp;AD$2,"")&amp;IF(N(AE227)&gt;0,", "&amp;A227&amp;"-"&amp;AE$2,"")&amp;IF(N(AF227)&gt;0,", "&amp;A227&amp;"-"&amp;AF$2,"")&amp;IF(N(AG227)&gt;0,", "&amp;A227&amp;"-"&amp;AG$2,"")&amp;IF(N(AH227)&gt;0,", "&amp;A227&amp;"-"&amp;AH$2,"")&amp;IF(N(AI227)&gt;0,", "&amp;A227&amp;"-"&amp;AI$2,"")&amp;IF(N(AJ227)&gt;0,", "&amp;A227&amp;"-"&amp;AJ$2,""),3,999))</f>
        <v/>
      </c>
      <c r="AN227" s="81"/>
      <c r="AO227" s="88"/>
      <c r="AP227" s="89" t="str">
        <f aca="false">IF(AO227="","",ROUND(AO227/(1+Справочники!$B$13),2))</f>
        <v/>
      </c>
      <c r="AQ227" s="90" t="str">
        <f aca="false" t="array" ref="AQ227:AQ227">IF(AP227="","",AP227*INDEX(Справочники!$B$4:$B$7,MATCH("RUB",Справочники!$A$4:$A$7,0)))</f>
        <v/>
      </c>
      <c r="AR227" s="90" t="str">
        <f aca="false">IF(AQ227="","",ROUND(AQ227*(1+Справочники!$B$12),0))</f>
        <v/>
      </c>
      <c r="AS227" s="90" t="str">
        <f aca="false">IF(AR227="","",ROUND(AR227*(1-Справочники!$B$11),0))</f>
        <v/>
      </c>
      <c r="AT227" s="88"/>
      <c r="AU227" s="90" t="str">
        <f aca="false">IF(AT227="","",ROUND(AT227/(1+Справочники!$B$12),0))</f>
        <v/>
      </c>
      <c r="AV227" s="90" t="str">
        <f aca="false">IF(AT227="","",ROUND(AT227*(1-Справочники!$B$15),0))</f>
        <v/>
      </c>
      <c r="AW227" s="90" t="str">
        <f aca="false">IF(AT227="","",ROUND(AT227*(1-Справочники!$B$16),0))</f>
        <v/>
      </c>
      <c r="AX227" s="90" t="str">
        <f aca="false">IF(AT227="","",ROUND(AT227*(1-Справочники!$B$17),0))</f>
        <v/>
      </c>
      <c r="AY227" s="90" t="str">
        <f aca="false">IF(AT227="","",ROUND(AT227*(1-Справочники!$B$18),0))</f>
        <v/>
      </c>
      <c r="AZ227" s="90" t="str">
        <f aca="false">IF(AT227="","",ROUND(AT227*(1-Справочники!$B$19),0))</f>
        <v/>
      </c>
      <c r="BA227" s="81"/>
      <c r="BB227" s="81"/>
      <c r="BC227" s="81"/>
      <c r="BD227" s="81"/>
      <c r="BE227" s="91"/>
      <c r="BF227" s="81" t="s">
        <v>103</v>
      </c>
      <c r="BG227" s="89" t="n">
        <f aca="false" t="array" ref="BG227:BG227">IF(BF227="","",IFERROR(INDEX(Справочники!$B$4:$B$7,MATCH(BF227,Справочники!$A$4:$A$7,0)),""))</f>
        <v>68.5</v>
      </c>
      <c r="BH227" s="90" t="str">
        <f aca="false">IF(N(BN227)&gt;0,ROUND(SUMIF(ЗАКАЗЫ!$F$3:$F$500,$A227,ЗАКАЗЫ!$Y$3:$Y$500)/BN227,0),IF(OR(BE227="",BG227=""),"",ROUND(BE227*BG227*(1+Справочники!$B$10),0)))</f>
        <v/>
      </c>
      <c r="BI227" s="92" t="str">
        <f aca="false">IF(OR(AU227="",BH227="",AU227=0),"",(AU227-BH227)/AU227)</f>
        <v/>
      </c>
      <c r="BJ227" s="81"/>
      <c r="BK227" s="83"/>
      <c r="BL227" s="43" t="str">
        <f aca="false">IFERROR(INDEX(ЗАКАЗЫ!$N$3:$N$500,MATCH($A227,ЗАКАЗЫ!$F$3:$F$500,0)),"")</f>
        <v/>
      </c>
      <c r="BM227" s="8" t="str">
        <f aca="false">IF(BL227="","",IFERROR(VLOOKUP(BL227,'ТН ВЭД'!$A$4:$C$40,3,0),""))</f>
        <v/>
      </c>
      <c r="BN227" s="7" t="str">
        <f aca="false">IF(COUNTIF(ЗАКАЗЫ!$F$3:$F$500,$A227)=0,"",SUMIF(ЗАКАЗЫ!$F$3:$F$500,$A227,ЗАКАЗЫ!$J$3:$J$500))</f>
        <v/>
      </c>
      <c r="BO227" s="7" t="str">
        <f aca="false">IF(BN227="","",SUMIF(ЗАКАЗЫ!$F$3:$F$500,$A227,ЗАКАЗЫ!$AL$3:$AL$500))</f>
        <v/>
      </c>
      <c r="BP227" s="7" t="str">
        <f aca="false">IF(BN227="","",BN227-BO227)</f>
        <v/>
      </c>
      <c r="BQ227" s="55" t="str">
        <f aca="false">IF(BN227="","",IF(BO227&gt;=BN227,"На складе",IF(BO227&gt;0,"Частично","Ждём")))</f>
        <v/>
      </c>
      <c r="BR227" s="43"/>
      <c r="BS227" s="47" t="str">
        <f aca="false">IF(BN227="","",IF(_xlfn.MAXIFS(ЗАКАЗЫ!$AK$3:$AK$500,ЗАКАЗЫ!$F$3:$F$500,$A227)=0,"",_xlfn.MAXIFS(ЗАКАЗЫ!$AK$3:$AK$500,ЗАКАЗЫ!$F$3:$F$500,$A227)))</f>
        <v/>
      </c>
    </row>
    <row r="228" customFormat="false" ht="15.75" hidden="false" customHeight="true" outlineLevel="0" collapsed="false">
      <c r="A228" s="80" t="s">
        <v>1751</v>
      </c>
      <c r="B228" s="81"/>
      <c r="C228" s="81"/>
      <c r="D228" s="81"/>
      <c r="E228" s="83"/>
      <c r="F228" s="81"/>
      <c r="G228" s="83"/>
      <c r="H228" s="83"/>
      <c r="I228" s="84" t="str">
        <f aca="false">IF(E228="","",A228&amp;"_1.jpg")</f>
        <v/>
      </c>
      <c r="J228" s="84" t="str">
        <f aca="false">IF(E228="","",A228&amp;"_2.jpg; "&amp;A228&amp;"_3.jpg")</f>
        <v/>
      </c>
      <c r="K228" s="84" t="str">
        <f aca="false">IF(E228="","",A228&amp;"_schema.jpg")</f>
        <v/>
      </c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 t="s">
        <v>96</v>
      </c>
      <c r="W228" s="81"/>
      <c r="X228" s="81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6" t="str">
        <f aca="false">IF(SUM(Y228:AJ228)=0,"",SUM(Y228:AJ228))</f>
        <v/>
      </c>
      <c r="AL228" s="84" t="str">
        <f aca="false">MID(IF(N(Y228)&gt;0,", "&amp;Y$2,"")&amp;IF(N(Z228)&gt;0,", "&amp;Z$2,"")&amp;IF(N(AA228)&gt;0,", "&amp;AA$2,"")&amp;IF(N(AB228)&gt;0,", "&amp;AB$2,"")&amp;IF(N(AC228)&gt;0,", "&amp;AC$2,"")&amp;IF(N(AD228)&gt;0,", "&amp;AD$2,"")&amp;IF(N(AE228)&gt;0,", "&amp;AE$2,"")&amp;IF(N(AF228)&gt;0,", "&amp;AF$2,"")&amp;IF(N(AG228)&gt;0,", "&amp;AG$2,"")&amp;IF(N(AH228)&gt;0,", "&amp;AH$2,"")&amp;IF(N(AI228)&gt;0,", "&amp;AI$2,"")&amp;IF(N(AJ228)&gt;0,", "&amp;AJ$2,""),3,999)</f>
        <v/>
      </c>
      <c r="AM228" s="87" t="str">
        <f aca="false">IF(E228="","",MID(IF(N(Y228)&gt;0,", "&amp;A228&amp;"-"&amp;Y$2,"")&amp;IF(N(Z228)&gt;0,", "&amp;A228&amp;"-"&amp;Z$2,"")&amp;IF(N(AA228)&gt;0,", "&amp;A228&amp;"-"&amp;AA$2,"")&amp;IF(N(AB228)&gt;0,", "&amp;A228&amp;"-"&amp;AB$2,"")&amp;IF(N(AC228)&gt;0,", "&amp;A228&amp;"-"&amp;AC$2,"")&amp;IF(N(AD228)&gt;0,", "&amp;A228&amp;"-"&amp;AD$2,"")&amp;IF(N(AE228)&gt;0,", "&amp;A228&amp;"-"&amp;AE$2,"")&amp;IF(N(AF228)&gt;0,", "&amp;A228&amp;"-"&amp;AF$2,"")&amp;IF(N(AG228)&gt;0,", "&amp;A228&amp;"-"&amp;AG$2,"")&amp;IF(N(AH228)&gt;0,", "&amp;A228&amp;"-"&amp;AH$2,"")&amp;IF(N(AI228)&gt;0,", "&amp;A228&amp;"-"&amp;AI$2,"")&amp;IF(N(AJ228)&gt;0,", "&amp;A228&amp;"-"&amp;AJ$2,""),3,999))</f>
        <v/>
      </c>
      <c r="AN228" s="81"/>
      <c r="AO228" s="88"/>
      <c r="AP228" s="89" t="str">
        <f aca="false">IF(AO228="","",ROUND(AO228/(1+Справочники!$B$13),2))</f>
        <v/>
      </c>
      <c r="AQ228" s="90" t="str">
        <f aca="false" t="array" ref="AQ228:AQ228">IF(AP228="","",AP228*INDEX(Справочники!$B$4:$B$7,MATCH("RUB",Справочники!$A$4:$A$7,0)))</f>
        <v/>
      </c>
      <c r="AR228" s="90" t="str">
        <f aca="false">IF(AQ228="","",ROUND(AQ228*(1+Справочники!$B$12),0))</f>
        <v/>
      </c>
      <c r="AS228" s="90" t="str">
        <f aca="false">IF(AR228="","",ROUND(AR228*(1-Справочники!$B$11),0))</f>
        <v/>
      </c>
      <c r="AT228" s="88"/>
      <c r="AU228" s="90" t="str">
        <f aca="false">IF(AT228="","",ROUND(AT228/(1+Справочники!$B$12),0))</f>
        <v/>
      </c>
      <c r="AV228" s="90" t="str">
        <f aca="false">IF(AT228="","",ROUND(AT228*(1-Справочники!$B$15),0))</f>
        <v/>
      </c>
      <c r="AW228" s="90" t="str">
        <f aca="false">IF(AT228="","",ROUND(AT228*(1-Справочники!$B$16),0))</f>
        <v/>
      </c>
      <c r="AX228" s="90" t="str">
        <f aca="false">IF(AT228="","",ROUND(AT228*(1-Справочники!$B$17),0))</f>
        <v/>
      </c>
      <c r="AY228" s="90" t="str">
        <f aca="false">IF(AT228="","",ROUND(AT228*(1-Справочники!$B$18),0))</f>
        <v/>
      </c>
      <c r="AZ228" s="90" t="str">
        <f aca="false">IF(AT228="","",ROUND(AT228*(1-Справочники!$B$19),0))</f>
        <v/>
      </c>
      <c r="BA228" s="81"/>
      <c r="BB228" s="81"/>
      <c r="BC228" s="81"/>
      <c r="BD228" s="81"/>
      <c r="BE228" s="91"/>
      <c r="BF228" s="81" t="s">
        <v>103</v>
      </c>
      <c r="BG228" s="89" t="n">
        <f aca="false" t="array" ref="BG228:BG228">IF(BF228="","",IFERROR(INDEX(Справочники!$B$4:$B$7,MATCH(BF228,Справочники!$A$4:$A$7,0)),""))</f>
        <v>68.5</v>
      </c>
      <c r="BH228" s="90" t="str">
        <f aca="false">IF(N(BN228)&gt;0,ROUND(SUMIF(ЗАКАЗЫ!$F$3:$F$500,$A228,ЗАКАЗЫ!$Y$3:$Y$500)/BN228,0),IF(OR(BE228="",BG228=""),"",ROUND(BE228*BG228*(1+Справочники!$B$10),0)))</f>
        <v/>
      </c>
      <c r="BI228" s="92" t="str">
        <f aca="false">IF(OR(AU228="",BH228="",AU228=0),"",(AU228-BH228)/AU228)</f>
        <v/>
      </c>
      <c r="BJ228" s="81"/>
      <c r="BK228" s="83"/>
      <c r="BL228" s="43" t="str">
        <f aca="false">IFERROR(INDEX(ЗАКАЗЫ!$N$3:$N$500,MATCH($A228,ЗАКАЗЫ!$F$3:$F$500,0)),"")</f>
        <v/>
      </c>
      <c r="BM228" s="8" t="str">
        <f aca="false">IF(BL228="","",IFERROR(VLOOKUP(BL228,'ТН ВЭД'!$A$4:$C$40,3,0),""))</f>
        <v/>
      </c>
      <c r="BN228" s="7" t="str">
        <f aca="false">IF(COUNTIF(ЗАКАЗЫ!$F$3:$F$500,$A228)=0,"",SUMIF(ЗАКАЗЫ!$F$3:$F$500,$A228,ЗАКАЗЫ!$J$3:$J$500))</f>
        <v/>
      </c>
      <c r="BO228" s="7" t="str">
        <f aca="false">IF(BN228="","",SUMIF(ЗАКАЗЫ!$F$3:$F$500,$A228,ЗАКАЗЫ!$AL$3:$AL$500))</f>
        <v/>
      </c>
      <c r="BP228" s="7" t="str">
        <f aca="false">IF(BN228="","",BN228-BO228)</f>
        <v/>
      </c>
      <c r="BQ228" s="55" t="str">
        <f aca="false">IF(BN228="","",IF(BO228&gt;=BN228,"На складе",IF(BO228&gt;0,"Частично","Ждём")))</f>
        <v/>
      </c>
      <c r="BR228" s="43"/>
      <c r="BS228" s="47" t="str">
        <f aca="false">IF(BN228="","",IF(_xlfn.MAXIFS(ЗАКАЗЫ!$AK$3:$AK$500,ЗАКАЗЫ!$F$3:$F$500,$A228)=0,"",_xlfn.MAXIFS(ЗАКАЗЫ!$AK$3:$AK$500,ЗАКАЗЫ!$F$3:$F$500,$A228)))</f>
        <v/>
      </c>
    </row>
    <row r="229" customFormat="false" ht="15.75" hidden="false" customHeight="true" outlineLevel="0" collapsed="false">
      <c r="A229" s="80" t="s">
        <v>1752</v>
      </c>
      <c r="B229" s="81"/>
      <c r="C229" s="81"/>
      <c r="D229" s="81"/>
      <c r="E229" s="83"/>
      <c r="F229" s="81"/>
      <c r="G229" s="83"/>
      <c r="H229" s="83"/>
      <c r="I229" s="84" t="str">
        <f aca="false">IF(E229="","",A229&amp;"_1.jpg")</f>
        <v/>
      </c>
      <c r="J229" s="84" t="str">
        <f aca="false">IF(E229="","",A229&amp;"_2.jpg; "&amp;A229&amp;"_3.jpg")</f>
        <v/>
      </c>
      <c r="K229" s="84" t="str">
        <f aca="false">IF(E229="","",A229&amp;"_schema.jpg")</f>
        <v/>
      </c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 t="s">
        <v>96</v>
      </c>
      <c r="W229" s="81"/>
      <c r="X229" s="81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6" t="str">
        <f aca="false">IF(SUM(Y229:AJ229)=0,"",SUM(Y229:AJ229))</f>
        <v/>
      </c>
      <c r="AL229" s="84" t="str">
        <f aca="false">MID(IF(N(Y229)&gt;0,", "&amp;Y$2,"")&amp;IF(N(Z229)&gt;0,", "&amp;Z$2,"")&amp;IF(N(AA229)&gt;0,", "&amp;AA$2,"")&amp;IF(N(AB229)&gt;0,", "&amp;AB$2,"")&amp;IF(N(AC229)&gt;0,", "&amp;AC$2,"")&amp;IF(N(AD229)&gt;0,", "&amp;AD$2,"")&amp;IF(N(AE229)&gt;0,", "&amp;AE$2,"")&amp;IF(N(AF229)&gt;0,", "&amp;AF$2,"")&amp;IF(N(AG229)&gt;0,", "&amp;AG$2,"")&amp;IF(N(AH229)&gt;0,", "&amp;AH$2,"")&amp;IF(N(AI229)&gt;0,", "&amp;AI$2,"")&amp;IF(N(AJ229)&gt;0,", "&amp;AJ$2,""),3,999)</f>
        <v/>
      </c>
      <c r="AM229" s="87" t="str">
        <f aca="false">IF(E229="","",MID(IF(N(Y229)&gt;0,", "&amp;A229&amp;"-"&amp;Y$2,"")&amp;IF(N(Z229)&gt;0,", "&amp;A229&amp;"-"&amp;Z$2,"")&amp;IF(N(AA229)&gt;0,", "&amp;A229&amp;"-"&amp;AA$2,"")&amp;IF(N(AB229)&gt;0,", "&amp;A229&amp;"-"&amp;AB$2,"")&amp;IF(N(AC229)&gt;0,", "&amp;A229&amp;"-"&amp;AC$2,"")&amp;IF(N(AD229)&gt;0,", "&amp;A229&amp;"-"&amp;AD$2,"")&amp;IF(N(AE229)&gt;0,", "&amp;A229&amp;"-"&amp;AE$2,"")&amp;IF(N(AF229)&gt;0,", "&amp;A229&amp;"-"&amp;AF$2,"")&amp;IF(N(AG229)&gt;0,", "&amp;A229&amp;"-"&amp;AG$2,"")&amp;IF(N(AH229)&gt;0,", "&amp;A229&amp;"-"&amp;AH$2,"")&amp;IF(N(AI229)&gt;0,", "&amp;A229&amp;"-"&amp;AI$2,"")&amp;IF(N(AJ229)&gt;0,", "&amp;A229&amp;"-"&amp;AJ$2,""),3,999))</f>
        <v/>
      </c>
      <c r="AN229" s="81"/>
      <c r="AO229" s="88"/>
      <c r="AP229" s="89" t="str">
        <f aca="false">IF(AO229="","",ROUND(AO229/(1+Справочники!$B$13),2))</f>
        <v/>
      </c>
      <c r="AQ229" s="90" t="str">
        <f aca="false" t="array" ref="AQ229:AQ229">IF(AP229="","",AP229*INDEX(Справочники!$B$4:$B$7,MATCH("RUB",Справочники!$A$4:$A$7,0)))</f>
        <v/>
      </c>
      <c r="AR229" s="90" t="str">
        <f aca="false">IF(AQ229="","",ROUND(AQ229*(1+Справочники!$B$12),0))</f>
        <v/>
      </c>
      <c r="AS229" s="90" t="str">
        <f aca="false">IF(AR229="","",ROUND(AR229*(1-Справочники!$B$11),0))</f>
        <v/>
      </c>
      <c r="AT229" s="88"/>
      <c r="AU229" s="90" t="str">
        <f aca="false">IF(AT229="","",ROUND(AT229/(1+Справочники!$B$12),0))</f>
        <v/>
      </c>
      <c r="AV229" s="90" t="str">
        <f aca="false">IF(AT229="","",ROUND(AT229*(1-Справочники!$B$15),0))</f>
        <v/>
      </c>
      <c r="AW229" s="90" t="str">
        <f aca="false">IF(AT229="","",ROUND(AT229*(1-Справочники!$B$16),0))</f>
        <v/>
      </c>
      <c r="AX229" s="90" t="str">
        <f aca="false">IF(AT229="","",ROUND(AT229*(1-Справочники!$B$17),0))</f>
        <v/>
      </c>
      <c r="AY229" s="90" t="str">
        <f aca="false">IF(AT229="","",ROUND(AT229*(1-Справочники!$B$18),0))</f>
        <v/>
      </c>
      <c r="AZ229" s="90" t="str">
        <f aca="false">IF(AT229="","",ROUND(AT229*(1-Справочники!$B$19),0))</f>
        <v/>
      </c>
      <c r="BA229" s="81"/>
      <c r="BB229" s="81"/>
      <c r="BC229" s="81"/>
      <c r="BD229" s="81"/>
      <c r="BE229" s="91"/>
      <c r="BF229" s="81" t="s">
        <v>103</v>
      </c>
      <c r="BG229" s="89" t="n">
        <f aca="false" t="array" ref="BG229:BG229">IF(BF229="","",IFERROR(INDEX(Справочники!$B$4:$B$7,MATCH(BF229,Справочники!$A$4:$A$7,0)),""))</f>
        <v>68.5</v>
      </c>
      <c r="BH229" s="90" t="str">
        <f aca="false">IF(N(BN229)&gt;0,ROUND(SUMIF(ЗАКАЗЫ!$F$3:$F$500,$A229,ЗАКАЗЫ!$Y$3:$Y$500)/BN229,0),IF(OR(BE229="",BG229=""),"",ROUND(BE229*BG229*(1+Справочники!$B$10),0)))</f>
        <v/>
      </c>
      <c r="BI229" s="92" t="str">
        <f aca="false">IF(OR(AU229="",BH229="",AU229=0),"",(AU229-BH229)/AU229)</f>
        <v/>
      </c>
      <c r="BJ229" s="81"/>
      <c r="BK229" s="83"/>
      <c r="BL229" s="43" t="str">
        <f aca="false">IFERROR(INDEX(ЗАКАЗЫ!$N$3:$N$500,MATCH($A229,ЗАКАЗЫ!$F$3:$F$500,0)),"")</f>
        <v/>
      </c>
      <c r="BM229" s="8" t="str">
        <f aca="false">IF(BL229="","",IFERROR(VLOOKUP(BL229,'ТН ВЭД'!$A$4:$C$40,3,0),""))</f>
        <v/>
      </c>
      <c r="BN229" s="7" t="str">
        <f aca="false">IF(COUNTIF(ЗАКАЗЫ!$F$3:$F$500,$A229)=0,"",SUMIF(ЗАКАЗЫ!$F$3:$F$500,$A229,ЗАКАЗЫ!$J$3:$J$500))</f>
        <v/>
      </c>
      <c r="BO229" s="7" t="str">
        <f aca="false">IF(BN229="","",SUMIF(ЗАКАЗЫ!$F$3:$F$500,$A229,ЗАКАЗЫ!$AL$3:$AL$500))</f>
        <v/>
      </c>
      <c r="BP229" s="7" t="str">
        <f aca="false">IF(BN229="","",BN229-BO229)</f>
        <v/>
      </c>
      <c r="BQ229" s="55" t="str">
        <f aca="false">IF(BN229="","",IF(BO229&gt;=BN229,"На складе",IF(BO229&gt;0,"Частично","Ждём")))</f>
        <v/>
      </c>
      <c r="BR229" s="43"/>
      <c r="BS229" s="47" t="str">
        <f aca="false">IF(BN229="","",IF(_xlfn.MAXIFS(ЗАКАЗЫ!$AK$3:$AK$500,ЗАКАЗЫ!$F$3:$F$500,$A229)=0,"",_xlfn.MAXIFS(ЗАКАЗЫ!$AK$3:$AK$500,ЗАКАЗЫ!$F$3:$F$500,$A229)))</f>
        <v/>
      </c>
    </row>
    <row r="230" customFormat="false" ht="15.75" hidden="false" customHeight="true" outlineLevel="0" collapsed="false">
      <c r="A230" s="80" t="s">
        <v>1753</v>
      </c>
      <c r="B230" s="81"/>
      <c r="C230" s="81"/>
      <c r="D230" s="81"/>
      <c r="E230" s="83"/>
      <c r="F230" s="81"/>
      <c r="G230" s="83"/>
      <c r="H230" s="83"/>
      <c r="I230" s="84" t="str">
        <f aca="false">IF(E230="","",A230&amp;"_1.jpg")</f>
        <v/>
      </c>
      <c r="J230" s="84" t="str">
        <f aca="false">IF(E230="","",A230&amp;"_2.jpg; "&amp;A230&amp;"_3.jpg")</f>
        <v/>
      </c>
      <c r="K230" s="84" t="str">
        <f aca="false">IF(E230="","",A230&amp;"_schema.jpg")</f>
        <v/>
      </c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 t="s">
        <v>96</v>
      </c>
      <c r="W230" s="81"/>
      <c r="X230" s="81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6" t="str">
        <f aca="false">IF(SUM(Y230:AJ230)=0,"",SUM(Y230:AJ230))</f>
        <v/>
      </c>
      <c r="AL230" s="84" t="str">
        <f aca="false">MID(IF(N(Y230)&gt;0,", "&amp;Y$2,"")&amp;IF(N(Z230)&gt;0,", "&amp;Z$2,"")&amp;IF(N(AA230)&gt;0,", "&amp;AA$2,"")&amp;IF(N(AB230)&gt;0,", "&amp;AB$2,"")&amp;IF(N(AC230)&gt;0,", "&amp;AC$2,"")&amp;IF(N(AD230)&gt;0,", "&amp;AD$2,"")&amp;IF(N(AE230)&gt;0,", "&amp;AE$2,"")&amp;IF(N(AF230)&gt;0,", "&amp;AF$2,"")&amp;IF(N(AG230)&gt;0,", "&amp;AG$2,"")&amp;IF(N(AH230)&gt;0,", "&amp;AH$2,"")&amp;IF(N(AI230)&gt;0,", "&amp;AI$2,"")&amp;IF(N(AJ230)&gt;0,", "&amp;AJ$2,""),3,999)</f>
        <v/>
      </c>
      <c r="AM230" s="87" t="str">
        <f aca="false">IF(E230="","",MID(IF(N(Y230)&gt;0,", "&amp;A230&amp;"-"&amp;Y$2,"")&amp;IF(N(Z230)&gt;0,", "&amp;A230&amp;"-"&amp;Z$2,"")&amp;IF(N(AA230)&gt;0,", "&amp;A230&amp;"-"&amp;AA$2,"")&amp;IF(N(AB230)&gt;0,", "&amp;A230&amp;"-"&amp;AB$2,"")&amp;IF(N(AC230)&gt;0,", "&amp;A230&amp;"-"&amp;AC$2,"")&amp;IF(N(AD230)&gt;0,", "&amp;A230&amp;"-"&amp;AD$2,"")&amp;IF(N(AE230)&gt;0,", "&amp;A230&amp;"-"&amp;AE$2,"")&amp;IF(N(AF230)&gt;0,", "&amp;A230&amp;"-"&amp;AF$2,"")&amp;IF(N(AG230)&gt;0,", "&amp;A230&amp;"-"&amp;AG$2,"")&amp;IF(N(AH230)&gt;0,", "&amp;A230&amp;"-"&amp;AH$2,"")&amp;IF(N(AI230)&gt;0,", "&amp;A230&amp;"-"&amp;AI$2,"")&amp;IF(N(AJ230)&gt;0,", "&amp;A230&amp;"-"&amp;AJ$2,""),3,999))</f>
        <v/>
      </c>
      <c r="AN230" s="81"/>
      <c r="AO230" s="88"/>
      <c r="AP230" s="89" t="str">
        <f aca="false">IF(AO230="","",ROUND(AO230/(1+Справочники!$B$13),2))</f>
        <v/>
      </c>
      <c r="AQ230" s="90" t="str">
        <f aca="false" t="array" ref="AQ230:AQ230">IF(AP230="","",AP230*INDEX(Справочники!$B$4:$B$7,MATCH("RUB",Справочники!$A$4:$A$7,0)))</f>
        <v/>
      </c>
      <c r="AR230" s="90" t="str">
        <f aca="false">IF(AQ230="","",ROUND(AQ230*(1+Справочники!$B$12),0))</f>
        <v/>
      </c>
      <c r="AS230" s="90" t="str">
        <f aca="false">IF(AR230="","",ROUND(AR230*(1-Справочники!$B$11),0))</f>
        <v/>
      </c>
      <c r="AT230" s="88"/>
      <c r="AU230" s="90" t="str">
        <f aca="false">IF(AT230="","",ROUND(AT230/(1+Справочники!$B$12),0))</f>
        <v/>
      </c>
      <c r="AV230" s="90" t="str">
        <f aca="false">IF(AT230="","",ROUND(AT230*(1-Справочники!$B$15),0))</f>
        <v/>
      </c>
      <c r="AW230" s="90" t="str">
        <f aca="false">IF(AT230="","",ROUND(AT230*(1-Справочники!$B$16),0))</f>
        <v/>
      </c>
      <c r="AX230" s="90" t="str">
        <f aca="false">IF(AT230="","",ROUND(AT230*(1-Справочники!$B$17),0))</f>
        <v/>
      </c>
      <c r="AY230" s="90" t="str">
        <f aca="false">IF(AT230="","",ROUND(AT230*(1-Справочники!$B$18),0))</f>
        <v/>
      </c>
      <c r="AZ230" s="90" t="str">
        <f aca="false">IF(AT230="","",ROUND(AT230*(1-Справочники!$B$19),0))</f>
        <v/>
      </c>
      <c r="BA230" s="81"/>
      <c r="BB230" s="81"/>
      <c r="BC230" s="81"/>
      <c r="BD230" s="81"/>
      <c r="BE230" s="91"/>
      <c r="BF230" s="81" t="s">
        <v>103</v>
      </c>
      <c r="BG230" s="89" t="n">
        <f aca="false" t="array" ref="BG230:BG230">IF(BF230="","",IFERROR(INDEX(Справочники!$B$4:$B$7,MATCH(BF230,Справочники!$A$4:$A$7,0)),""))</f>
        <v>68.5</v>
      </c>
      <c r="BH230" s="90" t="str">
        <f aca="false">IF(N(BN230)&gt;0,ROUND(SUMIF(ЗАКАЗЫ!$F$3:$F$500,$A230,ЗАКАЗЫ!$Y$3:$Y$500)/BN230,0),IF(OR(BE230="",BG230=""),"",ROUND(BE230*BG230*(1+Справочники!$B$10),0)))</f>
        <v/>
      </c>
      <c r="BI230" s="92" t="str">
        <f aca="false">IF(OR(AU230="",BH230="",AU230=0),"",(AU230-BH230)/AU230)</f>
        <v/>
      </c>
      <c r="BJ230" s="81"/>
      <c r="BK230" s="83"/>
      <c r="BL230" s="43" t="str">
        <f aca="false">IFERROR(INDEX(ЗАКАЗЫ!$N$3:$N$500,MATCH($A230,ЗАКАЗЫ!$F$3:$F$500,0)),"")</f>
        <v/>
      </c>
      <c r="BM230" s="8" t="str">
        <f aca="false">IF(BL230="","",IFERROR(VLOOKUP(BL230,'ТН ВЭД'!$A$4:$C$40,3,0),""))</f>
        <v/>
      </c>
      <c r="BN230" s="7" t="str">
        <f aca="false">IF(COUNTIF(ЗАКАЗЫ!$F$3:$F$500,$A230)=0,"",SUMIF(ЗАКАЗЫ!$F$3:$F$500,$A230,ЗАКАЗЫ!$J$3:$J$500))</f>
        <v/>
      </c>
      <c r="BO230" s="7" t="str">
        <f aca="false">IF(BN230="","",SUMIF(ЗАКАЗЫ!$F$3:$F$500,$A230,ЗАКАЗЫ!$AL$3:$AL$500))</f>
        <v/>
      </c>
      <c r="BP230" s="7" t="str">
        <f aca="false">IF(BN230="","",BN230-BO230)</f>
        <v/>
      </c>
      <c r="BQ230" s="55" t="str">
        <f aca="false">IF(BN230="","",IF(BO230&gt;=BN230,"На складе",IF(BO230&gt;0,"Частично","Ждём")))</f>
        <v/>
      </c>
      <c r="BR230" s="43"/>
      <c r="BS230" s="47" t="str">
        <f aca="false">IF(BN230="","",IF(_xlfn.MAXIFS(ЗАКАЗЫ!$AK$3:$AK$500,ЗАКАЗЫ!$F$3:$F$500,$A230)=0,"",_xlfn.MAXIFS(ЗАКАЗЫ!$AK$3:$AK$500,ЗАКАЗЫ!$F$3:$F$500,$A230)))</f>
        <v/>
      </c>
    </row>
    <row r="231" customFormat="false" ht="15.75" hidden="false" customHeight="true" outlineLevel="0" collapsed="false">
      <c r="A231" s="80" t="s">
        <v>1754</v>
      </c>
      <c r="B231" s="81"/>
      <c r="C231" s="81"/>
      <c r="D231" s="81"/>
      <c r="E231" s="83"/>
      <c r="F231" s="81"/>
      <c r="G231" s="83"/>
      <c r="H231" s="83"/>
      <c r="I231" s="84" t="str">
        <f aca="false">IF(E231="","",A231&amp;"_1.jpg")</f>
        <v/>
      </c>
      <c r="J231" s="84" t="str">
        <f aca="false">IF(E231="","",A231&amp;"_2.jpg; "&amp;A231&amp;"_3.jpg")</f>
        <v/>
      </c>
      <c r="K231" s="84" t="str">
        <f aca="false">IF(E231="","",A231&amp;"_schema.jpg")</f>
        <v/>
      </c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 t="s">
        <v>96</v>
      </c>
      <c r="W231" s="81"/>
      <c r="X231" s="81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6" t="str">
        <f aca="false">IF(SUM(Y231:AJ231)=0,"",SUM(Y231:AJ231))</f>
        <v/>
      </c>
      <c r="AL231" s="84" t="str">
        <f aca="false">MID(IF(N(Y231)&gt;0,", "&amp;Y$2,"")&amp;IF(N(Z231)&gt;0,", "&amp;Z$2,"")&amp;IF(N(AA231)&gt;0,", "&amp;AA$2,"")&amp;IF(N(AB231)&gt;0,", "&amp;AB$2,"")&amp;IF(N(AC231)&gt;0,", "&amp;AC$2,"")&amp;IF(N(AD231)&gt;0,", "&amp;AD$2,"")&amp;IF(N(AE231)&gt;0,", "&amp;AE$2,"")&amp;IF(N(AF231)&gt;0,", "&amp;AF$2,"")&amp;IF(N(AG231)&gt;0,", "&amp;AG$2,"")&amp;IF(N(AH231)&gt;0,", "&amp;AH$2,"")&amp;IF(N(AI231)&gt;0,", "&amp;AI$2,"")&amp;IF(N(AJ231)&gt;0,", "&amp;AJ$2,""),3,999)</f>
        <v/>
      </c>
      <c r="AM231" s="87" t="str">
        <f aca="false">IF(E231="","",MID(IF(N(Y231)&gt;0,", "&amp;A231&amp;"-"&amp;Y$2,"")&amp;IF(N(Z231)&gt;0,", "&amp;A231&amp;"-"&amp;Z$2,"")&amp;IF(N(AA231)&gt;0,", "&amp;A231&amp;"-"&amp;AA$2,"")&amp;IF(N(AB231)&gt;0,", "&amp;A231&amp;"-"&amp;AB$2,"")&amp;IF(N(AC231)&gt;0,", "&amp;A231&amp;"-"&amp;AC$2,"")&amp;IF(N(AD231)&gt;0,", "&amp;A231&amp;"-"&amp;AD$2,"")&amp;IF(N(AE231)&gt;0,", "&amp;A231&amp;"-"&amp;AE$2,"")&amp;IF(N(AF231)&gt;0,", "&amp;A231&amp;"-"&amp;AF$2,"")&amp;IF(N(AG231)&gt;0,", "&amp;A231&amp;"-"&amp;AG$2,"")&amp;IF(N(AH231)&gt;0,", "&amp;A231&amp;"-"&amp;AH$2,"")&amp;IF(N(AI231)&gt;0,", "&amp;A231&amp;"-"&amp;AI$2,"")&amp;IF(N(AJ231)&gt;0,", "&amp;A231&amp;"-"&amp;AJ$2,""),3,999))</f>
        <v/>
      </c>
      <c r="AN231" s="81"/>
      <c r="AO231" s="88"/>
      <c r="AP231" s="89" t="str">
        <f aca="false">IF(AO231="","",ROUND(AO231/(1+Справочники!$B$13),2))</f>
        <v/>
      </c>
      <c r="AQ231" s="90" t="str">
        <f aca="false" t="array" ref="AQ231:AQ231">IF(AP231="","",AP231*INDEX(Справочники!$B$4:$B$7,MATCH("RUB",Справочники!$A$4:$A$7,0)))</f>
        <v/>
      </c>
      <c r="AR231" s="90" t="str">
        <f aca="false">IF(AQ231="","",ROUND(AQ231*(1+Справочники!$B$12),0))</f>
        <v/>
      </c>
      <c r="AS231" s="90" t="str">
        <f aca="false">IF(AR231="","",ROUND(AR231*(1-Справочники!$B$11),0))</f>
        <v/>
      </c>
      <c r="AT231" s="88"/>
      <c r="AU231" s="90" t="str">
        <f aca="false">IF(AT231="","",ROUND(AT231/(1+Справочники!$B$12),0))</f>
        <v/>
      </c>
      <c r="AV231" s="90" t="str">
        <f aca="false">IF(AT231="","",ROUND(AT231*(1-Справочники!$B$15),0))</f>
        <v/>
      </c>
      <c r="AW231" s="90" t="str">
        <f aca="false">IF(AT231="","",ROUND(AT231*(1-Справочники!$B$16),0))</f>
        <v/>
      </c>
      <c r="AX231" s="90" t="str">
        <f aca="false">IF(AT231="","",ROUND(AT231*(1-Справочники!$B$17),0))</f>
        <v/>
      </c>
      <c r="AY231" s="90" t="str">
        <f aca="false">IF(AT231="","",ROUND(AT231*(1-Справочники!$B$18),0))</f>
        <v/>
      </c>
      <c r="AZ231" s="90" t="str">
        <f aca="false">IF(AT231="","",ROUND(AT231*(1-Справочники!$B$19),0))</f>
        <v/>
      </c>
      <c r="BA231" s="81"/>
      <c r="BB231" s="81"/>
      <c r="BC231" s="81"/>
      <c r="BD231" s="81"/>
      <c r="BE231" s="91"/>
      <c r="BF231" s="81" t="s">
        <v>103</v>
      </c>
      <c r="BG231" s="89" t="n">
        <f aca="false" t="array" ref="BG231:BG231">IF(BF231="","",IFERROR(INDEX(Справочники!$B$4:$B$7,MATCH(BF231,Справочники!$A$4:$A$7,0)),""))</f>
        <v>68.5</v>
      </c>
      <c r="BH231" s="90" t="str">
        <f aca="false">IF(N(BN231)&gt;0,ROUND(SUMIF(ЗАКАЗЫ!$F$3:$F$500,$A231,ЗАКАЗЫ!$Y$3:$Y$500)/BN231,0),IF(OR(BE231="",BG231=""),"",ROUND(BE231*BG231*(1+Справочники!$B$10),0)))</f>
        <v/>
      </c>
      <c r="BI231" s="92" t="str">
        <f aca="false">IF(OR(AU231="",BH231="",AU231=0),"",(AU231-BH231)/AU231)</f>
        <v/>
      </c>
      <c r="BJ231" s="81"/>
      <c r="BK231" s="83"/>
      <c r="BL231" s="43" t="str">
        <f aca="false">IFERROR(INDEX(ЗАКАЗЫ!$N$3:$N$500,MATCH($A231,ЗАКАЗЫ!$F$3:$F$500,0)),"")</f>
        <v/>
      </c>
      <c r="BM231" s="8" t="str">
        <f aca="false">IF(BL231="","",IFERROR(VLOOKUP(BL231,'ТН ВЭД'!$A$4:$C$40,3,0),""))</f>
        <v/>
      </c>
      <c r="BN231" s="7" t="str">
        <f aca="false">IF(COUNTIF(ЗАКАЗЫ!$F$3:$F$500,$A231)=0,"",SUMIF(ЗАКАЗЫ!$F$3:$F$500,$A231,ЗАКАЗЫ!$J$3:$J$500))</f>
        <v/>
      </c>
      <c r="BO231" s="7" t="str">
        <f aca="false">IF(BN231="","",SUMIF(ЗАКАЗЫ!$F$3:$F$500,$A231,ЗАКАЗЫ!$AL$3:$AL$500))</f>
        <v/>
      </c>
      <c r="BP231" s="7" t="str">
        <f aca="false">IF(BN231="","",BN231-BO231)</f>
        <v/>
      </c>
      <c r="BQ231" s="55" t="str">
        <f aca="false">IF(BN231="","",IF(BO231&gt;=BN231,"На складе",IF(BO231&gt;0,"Частично","Ждём")))</f>
        <v/>
      </c>
      <c r="BR231" s="43"/>
      <c r="BS231" s="47" t="str">
        <f aca="false">IF(BN231="","",IF(_xlfn.MAXIFS(ЗАКАЗЫ!$AK$3:$AK$500,ЗАКАЗЫ!$F$3:$F$500,$A231)=0,"",_xlfn.MAXIFS(ЗАКАЗЫ!$AK$3:$AK$500,ЗАКАЗЫ!$F$3:$F$500,$A231)))</f>
        <v/>
      </c>
    </row>
    <row r="232" customFormat="false" ht="15.75" hidden="false" customHeight="true" outlineLevel="0" collapsed="false">
      <c r="A232" s="80" t="s">
        <v>1755</v>
      </c>
      <c r="B232" s="81"/>
      <c r="C232" s="81"/>
      <c r="D232" s="81"/>
      <c r="E232" s="83"/>
      <c r="F232" s="81"/>
      <c r="G232" s="83"/>
      <c r="H232" s="83"/>
      <c r="I232" s="84" t="str">
        <f aca="false">IF(E232="","",A232&amp;"_1.jpg")</f>
        <v/>
      </c>
      <c r="J232" s="84" t="str">
        <f aca="false">IF(E232="","",A232&amp;"_2.jpg; "&amp;A232&amp;"_3.jpg")</f>
        <v/>
      </c>
      <c r="K232" s="84" t="str">
        <f aca="false">IF(E232="","",A232&amp;"_schema.jpg")</f>
        <v/>
      </c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 t="s">
        <v>96</v>
      </c>
      <c r="W232" s="81"/>
      <c r="X232" s="81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6" t="str">
        <f aca="false">IF(SUM(Y232:AJ232)=0,"",SUM(Y232:AJ232))</f>
        <v/>
      </c>
      <c r="AL232" s="84" t="str">
        <f aca="false">MID(IF(N(Y232)&gt;0,", "&amp;Y$2,"")&amp;IF(N(Z232)&gt;0,", "&amp;Z$2,"")&amp;IF(N(AA232)&gt;0,", "&amp;AA$2,"")&amp;IF(N(AB232)&gt;0,", "&amp;AB$2,"")&amp;IF(N(AC232)&gt;0,", "&amp;AC$2,"")&amp;IF(N(AD232)&gt;0,", "&amp;AD$2,"")&amp;IF(N(AE232)&gt;0,", "&amp;AE$2,"")&amp;IF(N(AF232)&gt;0,", "&amp;AF$2,"")&amp;IF(N(AG232)&gt;0,", "&amp;AG$2,"")&amp;IF(N(AH232)&gt;0,", "&amp;AH$2,"")&amp;IF(N(AI232)&gt;0,", "&amp;AI$2,"")&amp;IF(N(AJ232)&gt;0,", "&amp;AJ$2,""),3,999)</f>
        <v/>
      </c>
      <c r="AM232" s="87" t="str">
        <f aca="false">IF(E232="","",MID(IF(N(Y232)&gt;0,", "&amp;A232&amp;"-"&amp;Y$2,"")&amp;IF(N(Z232)&gt;0,", "&amp;A232&amp;"-"&amp;Z$2,"")&amp;IF(N(AA232)&gt;0,", "&amp;A232&amp;"-"&amp;AA$2,"")&amp;IF(N(AB232)&gt;0,", "&amp;A232&amp;"-"&amp;AB$2,"")&amp;IF(N(AC232)&gt;0,", "&amp;A232&amp;"-"&amp;AC$2,"")&amp;IF(N(AD232)&gt;0,", "&amp;A232&amp;"-"&amp;AD$2,"")&amp;IF(N(AE232)&gt;0,", "&amp;A232&amp;"-"&amp;AE$2,"")&amp;IF(N(AF232)&gt;0,", "&amp;A232&amp;"-"&amp;AF$2,"")&amp;IF(N(AG232)&gt;0,", "&amp;A232&amp;"-"&amp;AG$2,"")&amp;IF(N(AH232)&gt;0,", "&amp;A232&amp;"-"&amp;AH$2,"")&amp;IF(N(AI232)&gt;0,", "&amp;A232&amp;"-"&amp;AI$2,"")&amp;IF(N(AJ232)&gt;0,", "&amp;A232&amp;"-"&amp;AJ$2,""),3,999))</f>
        <v/>
      </c>
      <c r="AN232" s="81"/>
      <c r="AO232" s="88"/>
      <c r="AP232" s="89" t="str">
        <f aca="false">IF(AO232="","",ROUND(AO232/(1+Справочники!$B$13),2))</f>
        <v/>
      </c>
      <c r="AQ232" s="90" t="str">
        <f aca="false" t="array" ref="AQ232:AQ232">IF(AP232="","",AP232*INDEX(Справочники!$B$4:$B$7,MATCH("RUB",Справочники!$A$4:$A$7,0)))</f>
        <v/>
      </c>
      <c r="AR232" s="90" t="str">
        <f aca="false">IF(AQ232="","",ROUND(AQ232*(1+Справочники!$B$12),0))</f>
        <v/>
      </c>
      <c r="AS232" s="90" t="str">
        <f aca="false">IF(AR232="","",ROUND(AR232*(1-Справочники!$B$11),0))</f>
        <v/>
      </c>
      <c r="AT232" s="88"/>
      <c r="AU232" s="90" t="str">
        <f aca="false">IF(AT232="","",ROUND(AT232/(1+Справочники!$B$12),0))</f>
        <v/>
      </c>
      <c r="AV232" s="90" t="str">
        <f aca="false">IF(AT232="","",ROUND(AT232*(1-Справочники!$B$15),0))</f>
        <v/>
      </c>
      <c r="AW232" s="90" t="str">
        <f aca="false">IF(AT232="","",ROUND(AT232*(1-Справочники!$B$16),0))</f>
        <v/>
      </c>
      <c r="AX232" s="90" t="str">
        <f aca="false">IF(AT232="","",ROUND(AT232*(1-Справочники!$B$17),0))</f>
        <v/>
      </c>
      <c r="AY232" s="90" t="str">
        <f aca="false">IF(AT232="","",ROUND(AT232*(1-Справочники!$B$18),0))</f>
        <v/>
      </c>
      <c r="AZ232" s="90" t="str">
        <f aca="false">IF(AT232="","",ROUND(AT232*(1-Справочники!$B$19),0))</f>
        <v/>
      </c>
      <c r="BA232" s="81"/>
      <c r="BB232" s="81"/>
      <c r="BC232" s="81"/>
      <c r="BD232" s="81"/>
      <c r="BE232" s="91"/>
      <c r="BF232" s="81" t="s">
        <v>103</v>
      </c>
      <c r="BG232" s="89" t="n">
        <f aca="false" t="array" ref="BG232:BG232">IF(BF232="","",IFERROR(INDEX(Справочники!$B$4:$B$7,MATCH(BF232,Справочники!$A$4:$A$7,0)),""))</f>
        <v>68.5</v>
      </c>
      <c r="BH232" s="90" t="str">
        <f aca="false">IF(N(BN232)&gt;0,ROUND(SUMIF(ЗАКАЗЫ!$F$3:$F$500,$A232,ЗАКАЗЫ!$Y$3:$Y$500)/BN232,0),IF(OR(BE232="",BG232=""),"",ROUND(BE232*BG232*(1+Справочники!$B$10),0)))</f>
        <v/>
      </c>
      <c r="BI232" s="92" t="str">
        <f aca="false">IF(OR(AU232="",BH232="",AU232=0),"",(AU232-BH232)/AU232)</f>
        <v/>
      </c>
      <c r="BJ232" s="81"/>
      <c r="BK232" s="83"/>
      <c r="BL232" s="43" t="str">
        <f aca="false">IFERROR(INDEX(ЗАКАЗЫ!$N$3:$N$500,MATCH($A232,ЗАКАЗЫ!$F$3:$F$500,0)),"")</f>
        <v/>
      </c>
      <c r="BM232" s="8" t="str">
        <f aca="false">IF(BL232="","",IFERROR(VLOOKUP(BL232,'ТН ВЭД'!$A$4:$C$40,3,0),""))</f>
        <v/>
      </c>
      <c r="BN232" s="7" t="str">
        <f aca="false">IF(COUNTIF(ЗАКАЗЫ!$F$3:$F$500,$A232)=0,"",SUMIF(ЗАКАЗЫ!$F$3:$F$500,$A232,ЗАКАЗЫ!$J$3:$J$500))</f>
        <v/>
      </c>
      <c r="BO232" s="7" t="str">
        <f aca="false">IF(BN232="","",SUMIF(ЗАКАЗЫ!$F$3:$F$500,$A232,ЗАКАЗЫ!$AL$3:$AL$500))</f>
        <v/>
      </c>
      <c r="BP232" s="7" t="str">
        <f aca="false">IF(BN232="","",BN232-BO232)</f>
        <v/>
      </c>
      <c r="BQ232" s="55" t="str">
        <f aca="false">IF(BN232="","",IF(BO232&gt;=BN232,"На складе",IF(BO232&gt;0,"Частично","Ждём")))</f>
        <v/>
      </c>
      <c r="BR232" s="43"/>
      <c r="BS232" s="47" t="str">
        <f aca="false">IF(BN232="","",IF(_xlfn.MAXIFS(ЗАКАЗЫ!$AK$3:$AK$500,ЗАКАЗЫ!$F$3:$F$500,$A232)=0,"",_xlfn.MAXIFS(ЗАКАЗЫ!$AK$3:$AK$500,ЗАКАЗЫ!$F$3:$F$500,$A232)))</f>
        <v/>
      </c>
    </row>
    <row r="233" customFormat="false" ht="15.75" hidden="false" customHeight="true" outlineLevel="0" collapsed="false">
      <c r="A233" s="80" t="s">
        <v>1756</v>
      </c>
      <c r="B233" s="81"/>
      <c r="C233" s="81"/>
      <c r="D233" s="81"/>
      <c r="E233" s="83"/>
      <c r="F233" s="81"/>
      <c r="G233" s="83"/>
      <c r="H233" s="83"/>
      <c r="I233" s="84" t="str">
        <f aca="false">IF(E233="","",A233&amp;"_1.jpg")</f>
        <v/>
      </c>
      <c r="J233" s="84" t="str">
        <f aca="false">IF(E233="","",A233&amp;"_2.jpg; "&amp;A233&amp;"_3.jpg")</f>
        <v/>
      </c>
      <c r="K233" s="84" t="str">
        <f aca="false">IF(E233="","",A233&amp;"_schema.jpg")</f>
        <v/>
      </c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 t="s">
        <v>96</v>
      </c>
      <c r="W233" s="81"/>
      <c r="X233" s="81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6" t="str">
        <f aca="false">IF(SUM(Y233:AJ233)=0,"",SUM(Y233:AJ233))</f>
        <v/>
      </c>
      <c r="AL233" s="84" t="str">
        <f aca="false">MID(IF(N(Y233)&gt;0,", "&amp;Y$2,"")&amp;IF(N(Z233)&gt;0,", "&amp;Z$2,"")&amp;IF(N(AA233)&gt;0,", "&amp;AA$2,"")&amp;IF(N(AB233)&gt;0,", "&amp;AB$2,"")&amp;IF(N(AC233)&gt;0,", "&amp;AC$2,"")&amp;IF(N(AD233)&gt;0,", "&amp;AD$2,"")&amp;IF(N(AE233)&gt;0,", "&amp;AE$2,"")&amp;IF(N(AF233)&gt;0,", "&amp;AF$2,"")&amp;IF(N(AG233)&gt;0,", "&amp;AG$2,"")&amp;IF(N(AH233)&gt;0,", "&amp;AH$2,"")&amp;IF(N(AI233)&gt;0,", "&amp;AI$2,"")&amp;IF(N(AJ233)&gt;0,", "&amp;AJ$2,""),3,999)</f>
        <v/>
      </c>
      <c r="AM233" s="87" t="str">
        <f aca="false">IF(E233="","",MID(IF(N(Y233)&gt;0,", "&amp;A233&amp;"-"&amp;Y$2,"")&amp;IF(N(Z233)&gt;0,", "&amp;A233&amp;"-"&amp;Z$2,"")&amp;IF(N(AA233)&gt;0,", "&amp;A233&amp;"-"&amp;AA$2,"")&amp;IF(N(AB233)&gt;0,", "&amp;A233&amp;"-"&amp;AB$2,"")&amp;IF(N(AC233)&gt;0,", "&amp;A233&amp;"-"&amp;AC$2,"")&amp;IF(N(AD233)&gt;0,", "&amp;A233&amp;"-"&amp;AD$2,"")&amp;IF(N(AE233)&gt;0,", "&amp;A233&amp;"-"&amp;AE$2,"")&amp;IF(N(AF233)&gt;0,", "&amp;A233&amp;"-"&amp;AF$2,"")&amp;IF(N(AG233)&gt;0,", "&amp;A233&amp;"-"&amp;AG$2,"")&amp;IF(N(AH233)&gt;0,", "&amp;A233&amp;"-"&amp;AH$2,"")&amp;IF(N(AI233)&gt;0,", "&amp;A233&amp;"-"&amp;AI$2,"")&amp;IF(N(AJ233)&gt;0,", "&amp;A233&amp;"-"&amp;AJ$2,""),3,999))</f>
        <v/>
      </c>
      <c r="AN233" s="81"/>
      <c r="AO233" s="88"/>
      <c r="AP233" s="89" t="str">
        <f aca="false">IF(AO233="","",ROUND(AO233/(1+Справочники!$B$13),2))</f>
        <v/>
      </c>
      <c r="AQ233" s="90" t="str">
        <f aca="false" t="array" ref="AQ233:AQ233">IF(AP233="","",AP233*INDEX(Справочники!$B$4:$B$7,MATCH("RUB",Справочники!$A$4:$A$7,0)))</f>
        <v/>
      </c>
      <c r="AR233" s="90" t="str">
        <f aca="false">IF(AQ233="","",ROUND(AQ233*(1+Справочники!$B$12),0))</f>
        <v/>
      </c>
      <c r="AS233" s="90" t="str">
        <f aca="false">IF(AR233="","",ROUND(AR233*(1-Справочники!$B$11),0))</f>
        <v/>
      </c>
      <c r="AT233" s="88"/>
      <c r="AU233" s="90" t="str">
        <f aca="false">IF(AT233="","",ROUND(AT233/(1+Справочники!$B$12),0))</f>
        <v/>
      </c>
      <c r="AV233" s="90" t="str">
        <f aca="false">IF(AT233="","",ROUND(AT233*(1-Справочники!$B$15),0))</f>
        <v/>
      </c>
      <c r="AW233" s="90" t="str">
        <f aca="false">IF(AT233="","",ROUND(AT233*(1-Справочники!$B$16),0))</f>
        <v/>
      </c>
      <c r="AX233" s="90" t="str">
        <f aca="false">IF(AT233="","",ROUND(AT233*(1-Справочники!$B$17),0))</f>
        <v/>
      </c>
      <c r="AY233" s="90" t="str">
        <f aca="false">IF(AT233="","",ROUND(AT233*(1-Справочники!$B$18),0))</f>
        <v/>
      </c>
      <c r="AZ233" s="90" t="str">
        <f aca="false">IF(AT233="","",ROUND(AT233*(1-Справочники!$B$19),0))</f>
        <v/>
      </c>
      <c r="BA233" s="81"/>
      <c r="BB233" s="81"/>
      <c r="BC233" s="81"/>
      <c r="BD233" s="81"/>
      <c r="BE233" s="91"/>
      <c r="BF233" s="81" t="s">
        <v>103</v>
      </c>
      <c r="BG233" s="89" t="n">
        <f aca="false" t="array" ref="BG233:BG233">IF(BF233="","",IFERROR(INDEX(Справочники!$B$4:$B$7,MATCH(BF233,Справочники!$A$4:$A$7,0)),""))</f>
        <v>68.5</v>
      </c>
      <c r="BH233" s="90" t="str">
        <f aca="false">IF(N(BN233)&gt;0,ROUND(SUMIF(ЗАКАЗЫ!$F$3:$F$500,$A233,ЗАКАЗЫ!$Y$3:$Y$500)/BN233,0),IF(OR(BE233="",BG233=""),"",ROUND(BE233*BG233*(1+Справочники!$B$10),0)))</f>
        <v/>
      </c>
      <c r="BI233" s="92" t="str">
        <f aca="false">IF(OR(AU233="",BH233="",AU233=0),"",(AU233-BH233)/AU233)</f>
        <v/>
      </c>
      <c r="BJ233" s="81"/>
      <c r="BK233" s="83"/>
      <c r="BL233" s="43" t="str">
        <f aca="false">IFERROR(INDEX(ЗАКАЗЫ!$N$3:$N$500,MATCH($A233,ЗАКАЗЫ!$F$3:$F$500,0)),"")</f>
        <v/>
      </c>
      <c r="BM233" s="8" t="str">
        <f aca="false">IF(BL233="","",IFERROR(VLOOKUP(BL233,'ТН ВЭД'!$A$4:$C$40,3,0),""))</f>
        <v/>
      </c>
      <c r="BN233" s="7" t="str">
        <f aca="false">IF(COUNTIF(ЗАКАЗЫ!$F$3:$F$500,$A233)=0,"",SUMIF(ЗАКАЗЫ!$F$3:$F$500,$A233,ЗАКАЗЫ!$J$3:$J$500))</f>
        <v/>
      </c>
      <c r="BO233" s="7" t="str">
        <f aca="false">IF(BN233="","",SUMIF(ЗАКАЗЫ!$F$3:$F$500,$A233,ЗАКАЗЫ!$AL$3:$AL$500))</f>
        <v/>
      </c>
      <c r="BP233" s="7" t="str">
        <f aca="false">IF(BN233="","",BN233-BO233)</f>
        <v/>
      </c>
      <c r="BQ233" s="55" t="str">
        <f aca="false">IF(BN233="","",IF(BO233&gt;=BN233,"На складе",IF(BO233&gt;0,"Частично","Ждём")))</f>
        <v/>
      </c>
      <c r="BR233" s="43"/>
      <c r="BS233" s="47" t="str">
        <f aca="false">IF(BN233="","",IF(_xlfn.MAXIFS(ЗАКАЗЫ!$AK$3:$AK$500,ЗАКАЗЫ!$F$3:$F$500,$A233)=0,"",_xlfn.MAXIFS(ЗАКАЗЫ!$AK$3:$AK$500,ЗАКАЗЫ!$F$3:$F$500,$A233)))</f>
        <v/>
      </c>
    </row>
    <row r="234" customFormat="false" ht="15.75" hidden="false" customHeight="true" outlineLevel="0" collapsed="false">
      <c r="A234" s="80" t="s">
        <v>1757</v>
      </c>
      <c r="B234" s="81"/>
      <c r="C234" s="81"/>
      <c r="D234" s="81"/>
      <c r="E234" s="83"/>
      <c r="F234" s="81"/>
      <c r="G234" s="83"/>
      <c r="H234" s="83"/>
      <c r="I234" s="84" t="str">
        <f aca="false">IF(E234="","",A234&amp;"_1.jpg")</f>
        <v/>
      </c>
      <c r="J234" s="84" t="str">
        <f aca="false">IF(E234="","",A234&amp;"_2.jpg; "&amp;A234&amp;"_3.jpg")</f>
        <v/>
      </c>
      <c r="K234" s="84" t="str">
        <f aca="false">IF(E234="","",A234&amp;"_schema.jpg")</f>
        <v/>
      </c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 t="s">
        <v>96</v>
      </c>
      <c r="W234" s="81"/>
      <c r="X234" s="81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6" t="str">
        <f aca="false">IF(SUM(Y234:AJ234)=0,"",SUM(Y234:AJ234))</f>
        <v/>
      </c>
      <c r="AL234" s="84" t="str">
        <f aca="false">MID(IF(N(Y234)&gt;0,", "&amp;Y$2,"")&amp;IF(N(Z234)&gt;0,", "&amp;Z$2,"")&amp;IF(N(AA234)&gt;0,", "&amp;AA$2,"")&amp;IF(N(AB234)&gt;0,", "&amp;AB$2,"")&amp;IF(N(AC234)&gt;0,", "&amp;AC$2,"")&amp;IF(N(AD234)&gt;0,", "&amp;AD$2,"")&amp;IF(N(AE234)&gt;0,", "&amp;AE$2,"")&amp;IF(N(AF234)&gt;0,", "&amp;AF$2,"")&amp;IF(N(AG234)&gt;0,", "&amp;AG$2,"")&amp;IF(N(AH234)&gt;0,", "&amp;AH$2,"")&amp;IF(N(AI234)&gt;0,", "&amp;AI$2,"")&amp;IF(N(AJ234)&gt;0,", "&amp;AJ$2,""),3,999)</f>
        <v/>
      </c>
      <c r="AM234" s="87" t="str">
        <f aca="false">IF(E234="","",MID(IF(N(Y234)&gt;0,", "&amp;A234&amp;"-"&amp;Y$2,"")&amp;IF(N(Z234)&gt;0,", "&amp;A234&amp;"-"&amp;Z$2,"")&amp;IF(N(AA234)&gt;0,", "&amp;A234&amp;"-"&amp;AA$2,"")&amp;IF(N(AB234)&gt;0,", "&amp;A234&amp;"-"&amp;AB$2,"")&amp;IF(N(AC234)&gt;0,", "&amp;A234&amp;"-"&amp;AC$2,"")&amp;IF(N(AD234)&gt;0,", "&amp;A234&amp;"-"&amp;AD$2,"")&amp;IF(N(AE234)&gt;0,", "&amp;A234&amp;"-"&amp;AE$2,"")&amp;IF(N(AF234)&gt;0,", "&amp;A234&amp;"-"&amp;AF$2,"")&amp;IF(N(AG234)&gt;0,", "&amp;A234&amp;"-"&amp;AG$2,"")&amp;IF(N(AH234)&gt;0,", "&amp;A234&amp;"-"&amp;AH$2,"")&amp;IF(N(AI234)&gt;0,", "&amp;A234&amp;"-"&amp;AI$2,"")&amp;IF(N(AJ234)&gt;0,", "&amp;A234&amp;"-"&amp;AJ$2,""),3,999))</f>
        <v/>
      </c>
      <c r="AN234" s="81"/>
      <c r="AO234" s="88"/>
      <c r="AP234" s="89" t="str">
        <f aca="false">IF(AO234="","",ROUND(AO234/(1+Справочники!$B$13),2))</f>
        <v/>
      </c>
      <c r="AQ234" s="90" t="str">
        <f aca="false" t="array" ref="AQ234:AQ234">IF(AP234="","",AP234*INDEX(Справочники!$B$4:$B$7,MATCH("RUB",Справочники!$A$4:$A$7,0)))</f>
        <v/>
      </c>
      <c r="AR234" s="90" t="str">
        <f aca="false">IF(AQ234="","",ROUND(AQ234*(1+Справочники!$B$12),0))</f>
        <v/>
      </c>
      <c r="AS234" s="90" t="str">
        <f aca="false">IF(AR234="","",ROUND(AR234*(1-Справочники!$B$11),0))</f>
        <v/>
      </c>
      <c r="AT234" s="88"/>
      <c r="AU234" s="90" t="str">
        <f aca="false">IF(AT234="","",ROUND(AT234/(1+Справочники!$B$12),0))</f>
        <v/>
      </c>
      <c r="AV234" s="90" t="str">
        <f aca="false">IF(AT234="","",ROUND(AT234*(1-Справочники!$B$15),0))</f>
        <v/>
      </c>
      <c r="AW234" s="90" t="str">
        <f aca="false">IF(AT234="","",ROUND(AT234*(1-Справочники!$B$16),0))</f>
        <v/>
      </c>
      <c r="AX234" s="90" t="str">
        <f aca="false">IF(AT234="","",ROUND(AT234*(1-Справочники!$B$17),0))</f>
        <v/>
      </c>
      <c r="AY234" s="90" t="str">
        <f aca="false">IF(AT234="","",ROUND(AT234*(1-Справочники!$B$18),0))</f>
        <v/>
      </c>
      <c r="AZ234" s="90" t="str">
        <f aca="false">IF(AT234="","",ROUND(AT234*(1-Справочники!$B$19),0))</f>
        <v/>
      </c>
      <c r="BA234" s="81"/>
      <c r="BB234" s="81"/>
      <c r="BC234" s="81"/>
      <c r="BD234" s="81"/>
      <c r="BE234" s="91"/>
      <c r="BF234" s="81" t="s">
        <v>103</v>
      </c>
      <c r="BG234" s="89" t="n">
        <f aca="false" t="array" ref="BG234:BG234">IF(BF234="","",IFERROR(INDEX(Справочники!$B$4:$B$7,MATCH(BF234,Справочники!$A$4:$A$7,0)),""))</f>
        <v>68.5</v>
      </c>
      <c r="BH234" s="90" t="str">
        <f aca="false">IF(N(BN234)&gt;0,ROUND(SUMIF(ЗАКАЗЫ!$F$3:$F$500,$A234,ЗАКАЗЫ!$Y$3:$Y$500)/BN234,0),IF(OR(BE234="",BG234=""),"",ROUND(BE234*BG234*(1+Справочники!$B$10),0)))</f>
        <v/>
      </c>
      <c r="BI234" s="92" t="str">
        <f aca="false">IF(OR(AU234="",BH234="",AU234=0),"",(AU234-BH234)/AU234)</f>
        <v/>
      </c>
      <c r="BJ234" s="81"/>
      <c r="BK234" s="83"/>
      <c r="BL234" s="43" t="str">
        <f aca="false">IFERROR(INDEX(ЗАКАЗЫ!$N$3:$N$500,MATCH($A234,ЗАКАЗЫ!$F$3:$F$500,0)),"")</f>
        <v/>
      </c>
      <c r="BM234" s="8" t="str">
        <f aca="false">IF(BL234="","",IFERROR(VLOOKUP(BL234,'ТН ВЭД'!$A$4:$C$40,3,0),""))</f>
        <v/>
      </c>
      <c r="BN234" s="7" t="str">
        <f aca="false">IF(COUNTIF(ЗАКАЗЫ!$F$3:$F$500,$A234)=0,"",SUMIF(ЗАКАЗЫ!$F$3:$F$500,$A234,ЗАКАЗЫ!$J$3:$J$500))</f>
        <v/>
      </c>
      <c r="BO234" s="7" t="str">
        <f aca="false">IF(BN234="","",SUMIF(ЗАКАЗЫ!$F$3:$F$500,$A234,ЗАКАЗЫ!$AL$3:$AL$500))</f>
        <v/>
      </c>
      <c r="BP234" s="7" t="str">
        <f aca="false">IF(BN234="","",BN234-BO234)</f>
        <v/>
      </c>
      <c r="BQ234" s="55" t="str">
        <f aca="false">IF(BN234="","",IF(BO234&gt;=BN234,"На складе",IF(BO234&gt;0,"Частично","Ждём")))</f>
        <v/>
      </c>
      <c r="BR234" s="43"/>
      <c r="BS234" s="47" t="str">
        <f aca="false">IF(BN234="","",IF(_xlfn.MAXIFS(ЗАКАЗЫ!$AK$3:$AK$500,ЗАКАЗЫ!$F$3:$F$500,$A234)=0,"",_xlfn.MAXIFS(ЗАКАЗЫ!$AK$3:$AK$500,ЗАКАЗЫ!$F$3:$F$500,$A234)))</f>
        <v/>
      </c>
    </row>
    <row r="235" customFormat="false" ht="15.75" hidden="false" customHeight="true" outlineLevel="0" collapsed="false">
      <c r="A235" s="80" t="s">
        <v>1758</v>
      </c>
      <c r="B235" s="81"/>
      <c r="C235" s="81"/>
      <c r="D235" s="81"/>
      <c r="E235" s="83"/>
      <c r="F235" s="81"/>
      <c r="G235" s="83"/>
      <c r="H235" s="83"/>
      <c r="I235" s="84" t="str">
        <f aca="false">IF(E235="","",A235&amp;"_1.jpg")</f>
        <v/>
      </c>
      <c r="J235" s="84" t="str">
        <f aca="false">IF(E235="","",A235&amp;"_2.jpg; "&amp;A235&amp;"_3.jpg")</f>
        <v/>
      </c>
      <c r="K235" s="84" t="str">
        <f aca="false">IF(E235="","",A235&amp;"_schema.jpg")</f>
        <v/>
      </c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 t="s">
        <v>96</v>
      </c>
      <c r="W235" s="81"/>
      <c r="X235" s="81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6" t="str">
        <f aca="false">IF(SUM(Y235:AJ235)=0,"",SUM(Y235:AJ235))</f>
        <v/>
      </c>
      <c r="AL235" s="84" t="str">
        <f aca="false">MID(IF(N(Y235)&gt;0,", "&amp;Y$2,"")&amp;IF(N(Z235)&gt;0,", "&amp;Z$2,"")&amp;IF(N(AA235)&gt;0,", "&amp;AA$2,"")&amp;IF(N(AB235)&gt;0,", "&amp;AB$2,"")&amp;IF(N(AC235)&gt;0,", "&amp;AC$2,"")&amp;IF(N(AD235)&gt;0,", "&amp;AD$2,"")&amp;IF(N(AE235)&gt;0,", "&amp;AE$2,"")&amp;IF(N(AF235)&gt;0,", "&amp;AF$2,"")&amp;IF(N(AG235)&gt;0,", "&amp;AG$2,"")&amp;IF(N(AH235)&gt;0,", "&amp;AH$2,"")&amp;IF(N(AI235)&gt;0,", "&amp;AI$2,"")&amp;IF(N(AJ235)&gt;0,", "&amp;AJ$2,""),3,999)</f>
        <v/>
      </c>
      <c r="AM235" s="87" t="str">
        <f aca="false">IF(E235="","",MID(IF(N(Y235)&gt;0,", "&amp;A235&amp;"-"&amp;Y$2,"")&amp;IF(N(Z235)&gt;0,", "&amp;A235&amp;"-"&amp;Z$2,"")&amp;IF(N(AA235)&gt;0,", "&amp;A235&amp;"-"&amp;AA$2,"")&amp;IF(N(AB235)&gt;0,", "&amp;A235&amp;"-"&amp;AB$2,"")&amp;IF(N(AC235)&gt;0,", "&amp;A235&amp;"-"&amp;AC$2,"")&amp;IF(N(AD235)&gt;0,", "&amp;A235&amp;"-"&amp;AD$2,"")&amp;IF(N(AE235)&gt;0,", "&amp;A235&amp;"-"&amp;AE$2,"")&amp;IF(N(AF235)&gt;0,", "&amp;A235&amp;"-"&amp;AF$2,"")&amp;IF(N(AG235)&gt;0,", "&amp;A235&amp;"-"&amp;AG$2,"")&amp;IF(N(AH235)&gt;0,", "&amp;A235&amp;"-"&amp;AH$2,"")&amp;IF(N(AI235)&gt;0,", "&amp;A235&amp;"-"&amp;AI$2,"")&amp;IF(N(AJ235)&gt;0,", "&amp;A235&amp;"-"&amp;AJ$2,""),3,999))</f>
        <v/>
      </c>
      <c r="AN235" s="81"/>
      <c r="AO235" s="88"/>
      <c r="AP235" s="89" t="str">
        <f aca="false">IF(AO235="","",ROUND(AO235/(1+Справочники!$B$13),2))</f>
        <v/>
      </c>
      <c r="AQ235" s="90" t="str">
        <f aca="false" t="array" ref="AQ235:AQ235">IF(AP235="","",AP235*INDEX(Справочники!$B$4:$B$7,MATCH("RUB",Справочники!$A$4:$A$7,0)))</f>
        <v/>
      </c>
      <c r="AR235" s="90" t="str">
        <f aca="false">IF(AQ235="","",ROUND(AQ235*(1+Справочники!$B$12),0))</f>
        <v/>
      </c>
      <c r="AS235" s="90" t="str">
        <f aca="false">IF(AR235="","",ROUND(AR235*(1-Справочники!$B$11),0))</f>
        <v/>
      </c>
      <c r="AT235" s="88"/>
      <c r="AU235" s="90" t="str">
        <f aca="false">IF(AT235="","",ROUND(AT235/(1+Справочники!$B$12),0))</f>
        <v/>
      </c>
      <c r="AV235" s="90" t="str">
        <f aca="false">IF(AT235="","",ROUND(AT235*(1-Справочники!$B$15),0))</f>
        <v/>
      </c>
      <c r="AW235" s="90" t="str">
        <f aca="false">IF(AT235="","",ROUND(AT235*(1-Справочники!$B$16),0))</f>
        <v/>
      </c>
      <c r="AX235" s="90" t="str">
        <f aca="false">IF(AT235="","",ROUND(AT235*(1-Справочники!$B$17),0))</f>
        <v/>
      </c>
      <c r="AY235" s="90" t="str">
        <f aca="false">IF(AT235="","",ROUND(AT235*(1-Справочники!$B$18),0))</f>
        <v/>
      </c>
      <c r="AZ235" s="90" t="str">
        <f aca="false">IF(AT235="","",ROUND(AT235*(1-Справочники!$B$19),0))</f>
        <v/>
      </c>
      <c r="BA235" s="81"/>
      <c r="BB235" s="81"/>
      <c r="BC235" s="81"/>
      <c r="BD235" s="81"/>
      <c r="BE235" s="91"/>
      <c r="BF235" s="81" t="s">
        <v>103</v>
      </c>
      <c r="BG235" s="89" t="n">
        <f aca="false" t="array" ref="BG235:BG235">IF(BF235="","",IFERROR(INDEX(Справочники!$B$4:$B$7,MATCH(BF235,Справочники!$A$4:$A$7,0)),""))</f>
        <v>68.5</v>
      </c>
      <c r="BH235" s="90" t="str">
        <f aca="false">IF(N(BN235)&gt;0,ROUND(SUMIF(ЗАКАЗЫ!$F$3:$F$500,$A235,ЗАКАЗЫ!$Y$3:$Y$500)/BN235,0),IF(OR(BE235="",BG235=""),"",ROUND(BE235*BG235*(1+Справочники!$B$10),0)))</f>
        <v/>
      </c>
      <c r="BI235" s="92" t="str">
        <f aca="false">IF(OR(AU235="",BH235="",AU235=0),"",(AU235-BH235)/AU235)</f>
        <v/>
      </c>
      <c r="BJ235" s="81"/>
      <c r="BK235" s="83"/>
      <c r="BL235" s="43" t="str">
        <f aca="false">IFERROR(INDEX(ЗАКАЗЫ!$N$3:$N$500,MATCH($A235,ЗАКАЗЫ!$F$3:$F$500,0)),"")</f>
        <v/>
      </c>
      <c r="BM235" s="8" t="str">
        <f aca="false">IF(BL235="","",IFERROR(VLOOKUP(BL235,'ТН ВЭД'!$A$4:$C$40,3,0),""))</f>
        <v/>
      </c>
      <c r="BN235" s="7" t="str">
        <f aca="false">IF(COUNTIF(ЗАКАЗЫ!$F$3:$F$500,$A235)=0,"",SUMIF(ЗАКАЗЫ!$F$3:$F$500,$A235,ЗАКАЗЫ!$J$3:$J$500))</f>
        <v/>
      </c>
      <c r="BO235" s="7" t="str">
        <f aca="false">IF(BN235="","",SUMIF(ЗАКАЗЫ!$F$3:$F$500,$A235,ЗАКАЗЫ!$AL$3:$AL$500))</f>
        <v/>
      </c>
      <c r="BP235" s="7" t="str">
        <f aca="false">IF(BN235="","",BN235-BO235)</f>
        <v/>
      </c>
      <c r="BQ235" s="55" t="str">
        <f aca="false">IF(BN235="","",IF(BO235&gt;=BN235,"На складе",IF(BO235&gt;0,"Частично","Ждём")))</f>
        <v/>
      </c>
      <c r="BR235" s="43"/>
      <c r="BS235" s="47" t="str">
        <f aca="false">IF(BN235="","",IF(_xlfn.MAXIFS(ЗАКАЗЫ!$AK$3:$AK$500,ЗАКАЗЫ!$F$3:$F$500,$A235)=0,"",_xlfn.MAXIFS(ЗАКАЗЫ!$AK$3:$AK$500,ЗАКАЗЫ!$F$3:$F$500,$A235)))</f>
        <v/>
      </c>
    </row>
    <row r="236" customFormat="false" ht="15.75" hidden="false" customHeight="true" outlineLevel="0" collapsed="false">
      <c r="A236" s="80" t="s">
        <v>1759</v>
      </c>
      <c r="B236" s="81"/>
      <c r="C236" s="81"/>
      <c r="D236" s="81"/>
      <c r="E236" s="83"/>
      <c r="F236" s="81"/>
      <c r="G236" s="83"/>
      <c r="H236" s="83"/>
      <c r="I236" s="84" t="str">
        <f aca="false">IF(E236="","",A236&amp;"_1.jpg")</f>
        <v/>
      </c>
      <c r="J236" s="84" t="str">
        <f aca="false">IF(E236="","",A236&amp;"_2.jpg; "&amp;A236&amp;"_3.jpg")</f>
        <v/>
      </c>
      <c r="K236" s="84" t="str">
        <f aca="false">IF(E236="","",A236&amp;"_schema.jpg")</f>
        <v/>
      </c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 t="s">
        <v>96</v>
      </c>
      <c r="W236" s="81"/>
      <c r="X236" s="81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6" t="str">
        <f aca="false">IF(SUM(Y236:AJ236)=0,"",SUM(Y236:AJ236))</f>
        <v/>
      </c>
      <c r="AL236" s="84" t="str">
        <f aca="false">MID(IF(N(Y236)&gt;0,", "&amp;Y$2,"")&amp;IF(N(Z236)&gt;0,", "&amp;Z$2,"")&amp;IF(N(AA236)&gt;0,", "&amp;AA$2,"")&amp;IF(N(AB236)&gt;0,", "&amp;AB$2,"")&amp;IF(N(AC236)&gt;0,", "&amp;AC$2,"")&amp;IF(N(AD236)&gt;0,", "&amp;AD$2,"")&amp;IF(N(AE236)&gt;0,", "&amp;AE$2,"")&amp;IF(N(AF236)&gt;0,", "&amp;AF$2,"")&amp;IF(N(AG236)&gt;0,", "&amp;AG$2,"")&amp;IF(N(AH236)&gt;0,", "&amp;AH$2,"")&amp;IF(N(AI236)&gt;0,", "&amp;AI$2,"")&amp;IF(N(AJ236)&gt;0,", "&amp;AJ$2,""),3,999)</f>
        <v/>
      </c>
      <c r="AM236" s="87" t="str">
        <f aca="false">IF(E236="","",MID(IF(N(Y236)&gt;0,", "&amp;A236&amp;"-"&amp;Y$2,"")&amp;IF(N(Z236)&gt;0,", "&amp;A236&amp;"-"&amp;Z$2,"")&amp;IF(N(AA236)&gt;0,", "&amp;A236&amp;"-"&amp;AA$2,"")&amp;IF(N(AB236)&gt;0,", "&amp;A236&amp;"-"&amp;AB$2,"")&amp;IF(N(AC236)&gt;0,", "&amp;A236&amp;"-"&amp;AC$2,"")&amp;IF(N(AD236)&gt;0,", "&amp;A236&amp;"-"&amp;AD$2,"")&amp;IF(N(AE236)&gt;0,", "&amp;A236&amp;"-"&amp;AE$2,"")&amp;IF(N(AF236)&gt;0,", "&amp;A236&amp;"-"&amp;AF$2,"")&amp;IF(N(AG236)&gt;0,", "&amp;A236&amp;"-"&amp;AG$2,"")&amp;IF(N(AH236)&gt;0,", "&amp;A236&amp;"-"&amp;AH$2,"")&amp;IF(N(AI236)&gt;0,", "&amp;A236&amp;"-"&amp;AI$2,"")&amp;IF(N(AJ236)&gt;0,", "&amp;A236&amp;"-"&amp;AJ$2,""),3,999))</f>
        <v/>
      </c>
      <c r="AN236" s="81"/>
      <c r="AO236" s="88"/>
      <c r="AP236" s="89" t="str">
        <f aca="false">IF(AO236="","",ROUND(AO236/(1+Справочники!$B$13),2))</f>
        <v/>
      </c>
      <c r="AQ236" s="90" t="str">
        <f aca="false" t="array" ref="AQ236:AQ236">IF(AP236="","",AP236*INDEX(Справочники!$B$4:$B$7,MATCH("RUB",Справочники!$A$4:$A$7,0)))</f>
        <v/>
      </c>
      <c r="AR236" s="90" t="str">
        <f aca="false">IF(AQ236="","",ROUND(AQ236*(1+Справочники!$B$12),0))</f>
        <v/>
      </c>
      <c r="AS236" s="90" t="str">
        <f aca="false">IF(AR236="","",ROUND(AR236*(1-Справочники!$B$11),0))</f>
        <v/>
      </c>
      <c r="AT236" s="88"/>
      <c r="AU236" s="90" t="str">
        <f aca="false">IF(AT236="","",ROUND(AT236/(1+Справочники!$B$12),0))</f>
        <v/>
      </c>
      <c r="AV236" s="90" t="str">
        <f aca="false">IF(AT236="","",ROUND(AT236*(1-Справочники!$B$15),0))</f>
        <v/>
      </c>
      <c r="AW236" s="90" t="str">
        <f aca="false">IF(AT236="","",ROUND(AT236*(1-Справочники!$B$16),0))</f>
        <v/>
      </c>
      <c r="AX236" s="90" t="str">
        <f aca="false">IF(AT236="","",ROUND(AT236*(1-Справочники!$B$17),0))</f>
        <v/>
      </c>
      <c r="AY236" s="90" t="str">
        <f aca="false">IF(AT236="","",ROUND(AT236*(1-Справочники!$B$18),0))</f>
        <v/>
      </c>
      <c r="AZ236" s="90" t="str">
        <f aca="false">IF(AT236="","",ROUND(AT236*(1-Справочники!$B$19),0))</f>
        <v/>
      </c>
      <c r="BA236" s="81"/>
      <c r="BB236" s="81"/>
      <c r="BC236" s="81"/>
      <c r="BD236" s="81"/>
      <c r="BE236" s="91"/>
      <c r="BF236" s="81" t="s">
        <v>103</v>
      </c>
      <c r="BG236" s="89" t="n">
        <f aca="false" t="array" ref="BG236:BG236">IF(BF236="","",IFERROR(INDEX(Справочники!$B$4:$B$7,MATCH(BF236,Справочники!$A$4:$A$7,0)),""))</f>
        <v>68.5</v>
      </c>
      <c r="BH236" s="90" t="str">
        <f aca="false">IF(N(BN236)&gt;0,ROUND(SUMIF(ЗАКАЗЫ!$F$3:$F$500,$A236,ЗАКАЗЫ!$Y$3:$Y$500)/BN236,0),IF(OR(BE236="",BG236=""),"",ROUND(BE236*BG236*(1+Справочники!$B$10),0)))</f>
        <v/>
      </c>
      <c r="BI236" s="92" t="str">
        <f aca="false">IF(OR(AU236="",BH236="",AU236=0),"",(AU236-BH236)/AU236)</f>
        <v/>
      </c>
      <c r="BJ236" s="81"/>
      <c r="BK236" s="83"/>
      <c r="BL236" s="43" t="str">
        <f aca="false">IFERROR(INDEX(ЗАКАЗЫ!$N$3:$N$500,MATCH($A236,ЗАКАЗЫ!$F$3:$F$500,0)),"")</f>
        <v/>
      </c>
      <c r="BM236" s="8" t="str">
        <f aca="false">IF(BL236="","",IFERROR(VLOOKUP(BL236,'ТН ВЭД'!$A$4:$C$40,3,0),""))</f>
        <v/>
      </c>
      <c r="BN236" s="7" t="str">
        <f aca="false">IF(COUNTIF(ЗАКАЗЫ!$F$3:$F$500,$A236)=0,"",SUMIF(ЗАКАЗЫ!$F$3:$F$500,$A236,ЗАКАЗЫ!$J$3:$J$500))</f>
        <v/>
      </c>
      <c r="BO236" s="7" t="str">
        <f aca="false">IF(BN236="","",SUMIF(ЗАКАЗЫ!$F$3:$F$500,$A236,ЗАКАЗЫ!$AL$3:$AL$500))</f>
        <v/>
      </c>
      <c r="BP236" s="7" t="str">
        <f aca="false">IF(BN236="","",BN236-BO236)</f>
        <v/>
      </c>
      <c r="BQ236" s="55" t="str">
        <f aca="false">IF(BN236="","",IF(BO236&gt;=BN236,"На складе",IF(BO236&gt;0,"Частично","Ждём")))</f>
        <v/>
      </c>
      <c r="BR236" s="43"/>
      <c r="BS236" s="47" t="str">
        <f aca="false">IF(BN236="","",IF(_xlfn.MAXIFS(ЗАКАЗЫ!$AK$3:$AK$500,ЗАКАЗЫ!$F$3:$F$500,$A236)=0,"",_xlfn.MAXIFS(ЗАКАЗЫ!$AK$3:$AK$500,ЗАКАЗЫ!$F$3:$F$500,$A236)))</f>
        <v/>
      </c>
    </row>
    <row r="237" customFormat="false" ht="15.75" hidden="false" customHeight="true" outlineLevel="0" collapsed="false">
      <c r="A237" s="80" t="s">
        <v>1760</v>
      </c>
      <c r="B237" s="81"/>
      <c r="C237" s="81"/>
      <c r="D237" s="81"/>
      <c r="E237" s="83"/>
      <c r="F237" s="81"/>
      <c r="G237" s="83"/>
      <c r="H237" s="83"/>
      <c r="I237" s="84" t="str">
        <f aca="false">IF(E237="","",A237&amp;"_1.jpg")</f>
        <v/>
      </c>
      <c r="J237" s="84" t="str">
        <f aca="false">IF(E237="","",A237&amp;"_2.jpg; "&amp;A237&amp;"_3.jpg")</f>
        <v/>
      </c>
      <c r="K237" s="84" t="str">
        <f aca="false">IF(E237="","",A237&amp;"_schema.jpg")</f>
        <v/>
      </c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 t="s">
        <v>96</v>
      </c>
      <c r="W237" s="81"/>
      <c r="X237" s="81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6" t="str">
        <f aca="false">IF(SUM(Y237:AJ237)=0,"",SUM(Y237:AJ237))</f>
        <v/>
      </c>
      <c r="AL237" s="84" t="str">
        <f aca="false">MID(IF(N(Y237)&gt;0,", "&amp;Y$2,"")&amp;IF(N(Z237)&gt;0,", "&amp;Z$2,"")&amp;IF(N(AA237)&gt;0,", "&amp;AA$2,"")&amp;IF(N(AB237)&gt;0,", "&amp;AB$2,"")&amp;IF(N(AC237)&gt;0,", "&amp;AC$2,"")&amp;IF(N(AD237)&gt;0,", "&amp;AD$2,"")&amp;IF(N(AE237)&gt;0,", "&amp;AE$2,"")&amp;IF(N(AF237)&gt;0,", "&amp;AF$2,"")&amp;IF(N(AG237)&gt;0,", "&amp;AG$2,"")&amp;IF(N(AH237)&gt;0,", "&amp;AH$2,"")&amp;IF(N(AI237)&gt;0,", "&amp;AI$2,"")&amp;IF(N(AJ237)&gt;0,", "&amp;AJ$2,""),3,999)</f>
        <v/>
      </c>
      <c r="AM237" s="87" t="str">
        <f aca="false">IF(E237="","",MID(IF(N(Y237)&gt;0,", "&amp;A237&amp;"-"&amp;Y$2,"")&amp;IF(N(Z237)&gt;0,", "&amp;A237&amp;"-"&amp;Z$2,"")&amp;IF(N(AA237)&gt;0,", "&amp;A237&amp;"-"&amp;AA$2,"")&amp;IF(N(AB237)&gt;0,", "&amp;A237&amp;"-"&amp;AB$2,"")&amp;IF(N(AC237)&gt;0,", "&amp;A237&amp;"-"&amp;AC$2,"")&amp;IF(N(AD237)&gt;0,", "&amp;A237&amp;"-"&amp;AD$2,"")&amp;IF(N(AE237)&gt;0,", "&amp;A237&amp;"-"&amp;AE$2,"")&amp;IF(N(AF237)&gt;0,", "&amp;A237&amp;"-"&amp;AF$2,"")&amp;IF(N(AG237)&gt;0,", "&amp;A237&amp;"-"&amp;AG$2,"")&amp;IF(N(AH237)&gt;0,", "&amp;A237&amp;"-"&amp;AH$2,"")&amp;IF(N(AI237)&gt;0,", "&amp;A237&amp;"-"&amp;AI$2,"")&amp;IF(N(AJ237)&gt;0,", "&amp;A237&amp;"-"&amp;AJ$2,""),3,999))</f>
        <v/>
      </c>
      <c r="AN237" s="81"/>
      <c r="AO237" s="88"/>
      <c r="AP237" s="89" t="str">
        <f aca="false">IF(AO237="","",ROUND(AO237/(1+Справочники!$B$13),2))</f>
        <v/>
      </c>
      <c r="AQ237" s="90" t="str">
        <f aca="false" t="array" ref="AQ237:AQ237">IF(AP237="","",AP237*INDEX(Справочники!$B$4:$B$7,MATCH("RUB",Справочники!$A$4:$A$7,0)))</f>
        <v/>
      </c>
      <c r="AR237" s="90" t="str">
        <f aca="false">IF(AQ237="","",ROUND(AQ237*(1+Справочники!$B$12),0))</f>
        <v/>
      </c>
      <c r="AS237" s="90" t="str">
        <f aca="false">IF(AR237="","",ROUND(AR237*(1-Справочники!$B$11),0))</f>
        <v/>
      </c>
      <c r="AT237" s="88"/>
      <c r="AU237" s="90" t="str">
        <f aca="false">IF(AT237="","",ROUND(AT237/(1+Справочники!$B$12),0))</f>
        <v/>
      </c>
      <c r="AV237" s="90" t="str">
        <f aca="false">IF(AT237="","",ROUND(AT237*(1-Справочники!$B$15),0))</f>
        <v/>
      </c>
      <c r="AW237" s="90" t="str">
        <f aca="false">IF(AT237="","",ROUND(AT237*(1-Справочники!$B$16),0))</f>
        <v/>
      </c>
      <c r="AX237" s="90" t="str">
        <f aca="false">IF(AT237="","",ROUND(AT237*(1-Справочники!$B$17),0))</f>
        <v/>
      </c>
      <c r="AY237" s="90" t="str">
        <f aca="false">IF(AT237="","",ROUND(AT237*(1-Справочники!$B$18),0))</f>
        <v/>
      </c>
      <c r="AZ237" s="90" t="str">
        <f aca="false">IF(AT237="","",ROUND(AT237*(1-Справочники!$B$19),0))</f>
        <v/>
      </c>
      <c r="BA237" s="81"/>
      <c r="BB237" s="81"/>
      <c r="BC237" s="81"/>
      <c r="BD237" s="81"/>
      <c r="BE237" s="91"/>
      <c r="BF237" s="81" t="s">
        <v>103</v>
      </c>
      <c r="BG237" s="89" t="n">
        <f aca="false" t="array" ref="BG237:BG237">IF(BF237="","",IFERROR(INDEX(Справочники!$B$4:$B$7,MATCH(BF237,Справочники!$A$4:$A$7,0)),""))</f>
        <v>68.5</v>
      </c>
      <c r="BH237" s="90" t="str">
        <f aca="false">IF(N(BN237)&gt;0,ROUND(SUMIF(ЗАКАЗЫ!$F$3:$F$500,$A237,ЗАКАЗЫ!$Y$3:$Y$500)/BN237,0),IF(OR(BE237="",BG237=""),"",ROUND(BE237*BG237*(1+Справочники!$B$10),0)))</f>
        <v/>
      </c>
      <c r="BI237" s="92" t="str">
        <f aca="false">IF(OR(AU237="",BH237="",AU237=0),"",(AU237-BH237)/AU237)</f>
        <v/>
      </c>
      <c r="BJ237" s="81"/>
      <c r="BK237" s="83"/>
      <c r="BL237" s="43" t="str">
        <f aca="false">IFERROR(INDEX(ЗАКАЗЫ!$N$3:$N$500,MATCH($A237,ЗАКАЗЫ!$F$3:$F$500,0)),"")</f>
        <v/>
      </c>
      <c r="BM237" s="8" t="str">
        <f aca="false">IF(BL237="","",IFERROR(VLOOKUP(BL237,'ТН ВЭД'!$A$4:$C$40,3,0),""))</f>
        <v/>
      </c>
      <c r="BN237" s="7" t="str">
        <f aca="false">IF(COUNTIF(ЗАКАЗЫ!$F$3:$F$500,$A237)=0,"",SUMIF(ЗАКАЗЫ!$F$3:$F$500,$A237,ЗАКАЗЫ!$J$3:$J$500))</f>
        <v/>
      </c>
      <c r="BO237" s="7" t="str">
        <f aca="false">IF(BN237="","",SUMIF(ЗАКАЗЫ!$F$3:$F$500,$A237,ЗАКАЗЫ!$AL$3:$AL$500))</f>
        <v/>
      </c>
      <c r="BP237" s="7" t="str">
        <f aca="false">IF(BN237="","",BN237-BO237)</f>
        <v/>
      </c>
      <c r="BQ237" s="55" t="str">
        <f aca="false">IF(BN237="","",IF(BO237&gt;=BN237,"На складе",IF(BO237&gt;0,"Частично","Ждём")))</f>
        <v/>
      </c>
      <c r="BR237" s="43"/>
      <c r="BS237" s="47" t="str">
        <f aca="false">IF(BN237="","",IF(_xlfn.MAXIFS(ЗАКАЗЫ!$AK$3:$AK$500,ЗАКАЗЫ!$F$3:$F$500,$A237)=0,"",_xlfn.MAXIFS(ЗАКАЗЫ!$AK$3:$AK$500,ЗАКАЗЫ!$F$3:$F$500,$A237)))</f>
        <v/>
      </c>
    </row>
    <row r="238" customFormat="false" ht="15.75" hidden="false" customHeight="true" outlineLevel="0" collapsed="false">
      <c r="A238" s="80" t="s">
        <v>1761</v>
      </c>
      <c r="B238" s="81"/>
      <c r="C238" s="81"/>
      <c r="D238" s="81"/>
      <c r="E238" s="83"/>
      <c r="F238" s="81"/>
      <c r="G238" s="83"/>
      <c r="H238" s="83"/>
      <c r="I238" s="84" t="str">
        <f aca="false">IF(E238="","",A238&amp;"_1.jpg")</f>
        <v/>
      </c>
      <c r="J238" s="84" t="str">
        <f aca="false">IF(E238="","",A238&amp;"_2.jpg; "&amp;A238&amp;"_3.jpg")</f>
        <v/>
      </c>
      <c r="K238" s="84" t="str">
        <f aca="false">IF(E238="","",A238&amp;"_schema.jpg")</f>
        <v/>
      </c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 t="s">
        <v>96</v>
      </c>
      <c r="W238" s="81"/>
      <c r="X238" s="81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6" t="str">
        <f aca="false">IF(SUM(Y238:AJ238)=0,"",SUM(Y238:AJ238))</f>
        <v/>
      </c>
      <c r="AL238" s="84" t="str">
        <f aca="false">MID(IF(N(Y238)&gt;0,", "&amp;Y$2,"")&amp;IF(N(Z238)&gt;0,", "&amp;Z$2,"")&amp;IF(N(AA238)&gt;0,", "&amp;AA$2,"")&amp;IF(N(AB238)&gt;0,", "&amp;AB$2,"")&amp;IF(N(AC238)&gt;0,", "&amp;AC$2,"")&amp;IF(N(AD238)&gt;0,", "&amp;AD$2,"")&amp;IF(N(AE238)&gt;0,", "&amp;AE$2,"")&amp;IF(N(AF238)&gt;0,", "&amp;AF$2,"")&amp;IF(N(AG238)&gt;0,", "&amp;AG$2,"")&amp;IF(N(AH238)&gt;0,", "&amp;AH$2,"")&amp;IF(N(AI238)&gt;0,", "&amp;AI$2,"")&amp;IF(N(AJ238)&gt;0,", "&amp;AJ$2,""),3,999)</f>
        <v/>
      </c>
      <c r="AM238" s="87" t="str">
        <f aca="false">IF(E238="","",MID(IF(N(Y238)&gt;0,", "&amp;A238&amp;"-"&amp;Y$2,"")&amp;IF(N(Z238)&gt;0,", "&amp;A238&amp;"-"&amp;Z$2,"")&amp;IF(N(AA238)&gt;0,", "&amp;A238&amp;"-"&amp;AA$2,"")&amp;IF(N(AB238)&gt;0,", "&amp;A238&amp;"-"&amp;AB$2,"")&amp;IF(N(AC238)&gt;0,", "&amp;A238&amp;"-"&amp;AC$2,"")&amp;IF(N(AD238)&gt;0,", "&amp;A238&amp;"-"&amp;AD$2,"")&amp;IF(N(AE238)&gt;0,", "&amp;A238&amp;"-"&amp;AE$2,"")&amp;IF(N(AF238)&gt;0,", "&amp;A238&amp;"-"&amp;AF$2,"")&amp;IF(N(AG238)&gt;0,", "&amp;A238&amp;"-"&amp;AG$2,"")&amp;IF(N(AH238)&gt;0,", "&amp;A238&amp;"-"&amp;AH$2,"")&amp;IF(N(AI238)&gt;0,", "&amp;A238&amp;"-"&amp;AI$2,"")&amp;IF(N(AJ238)&gt;0,", "&amp;A238&amp;"-"&amp;AJ$2,""),3,999))</f>
        <v/>
      </c>
      <c r="AN238" s="81"/>
      <c r="AO238" s="88"/>
      <c r="AP238" s="89" t="str">
        <f aca="false">IF(AO238="","",ROUND(AO238/(1+Справочники!$B$13),2))</f>
        <v/>
      </c>
      <c r="AQ238" s="90" t="str">
        <f aca="false" t="array" ref="AQ238:AQ238">IF(AP238="","",AP238*INDEX(Справочники!$B$4:$B$7,MATCH("RUB",Справочники!$A$4:$A$7,0)))</f>
        <v/>
      </c>
      <c r="AR238" s="90" t="str">
        <f aca="false">IF(AQ238="","",ROUND(AQ238*(1+Справочники!$B$12),0))</f>
        <v/>
      </c>
      <c r="AS238" s="90" t="str">
        <f aca="false">IF(AR238="","",ROUND(AR238*(1-Справочники!$B$11),0))</f>
        <v/>
      </c>
      <c r="AT238" s="88"/>
      <c r="AU238" s="90" t="str">
        <f aca="false">IF(AT238="","",ROUND(AT238/(1+Справочники!$B$12),0))</f>
        <v/>
      </c>
      <c r="AV238" s="90" t="str">
        <f aca="false">IF(AT238="","",ROUND(AT238*(1-Справочники!$B$15),0))</f>
        <v/>
      </c>
      <c r="AW238" s="90" t="str">
        <f aca="false">IF(AT238="","",ROUND(AT238*(1-Справочники!$B$16),0))</f>
        <v/>
      </c>
      <c r="AX238" s="90" t="str">
        <f aca="false">IF(AT238="","",ROUND(AT238*(1-Справочники!$B$17),0))</f>
        <v/>
      </c>
      <c r="AY238" s="90" t="str">
        <f aca="false">IF(AT238="","",ROUND(AT238*(1-Справочники!$B$18),0))</f>
        <v/>
      </c>
      <c r="AZ238" s="90" t="str">
        <f aca="false">IF(AT238="","",ROUND(AT238*(1-Справочники!$B$19),0))</f>
        <v/>
      </c>
      <c r="BA238" s="81"/>
      <c r="BB238" s="81"/>
      <c r="BC238" s="81"/>
      <c r="BD238" s="81"/>
      <c r="BE238" s="91"/>
      <c r="BF238" s="81" t="s">
        <v>103</v>
      </c>
      <c r="BG238" s="89" t="n">
        <f aca="false" t="array" ref="BG238:BG238">IF(BF238="","",IFERROR(INDEX(Справочники!$B$4:$B$7,MATCH(BF238,Справочники!$A$4:$A$7,0)),""))</f>
        <v>68.5</v>
      </c>
      <c r="BH238" s="90" t="str">
        <f aca="false">IF(N(BN238)&gt;0,ROUND(SUMIF(ЗАКАЗЫ!$F$3:$F$500,$A238,ЗАКАЗЫ!$Y$3:$Y$500)/BN238,0),IF(OR(BE238="",BG238=""),"",ROUND(BE238*BG238*(1+Справочники!$B$10),0)))</f>
        <v/>
      </c>
      <c r="BI238" s="92" t="str">
        <f aca="false">IF(OR(AU238="",BH238="",AU238=0),"",(AU238-BH238)/AU238)</f>
        <v/>
      </c>
      <c r="BJ238" s="81"/>
      <c r="BK238" s="83"/>
      <c r="BL238" s="43" t="str">
        <f aca="false">IFERROR(INDEX(ЗАКАЗЫ!$N$3:$N$500,MATCH($A238,ЗАКАЗЫ!$F$3:$F$500,0)),"")</f>
        <v/>
      </c>
      <c r="BM238" s="8" t="str">
        <f aca="false">IF(BL238="","",IFERROR(VLOOKUP(BL238,'ТН ВЭД'!$A$4:$C$40,3,0),""))</f>
        <v/>
      </c>
      <c r="BN238" s="7" t="str">
        <f aca="false">IF(COUNTIF(ЗАКАЗЫ!$F$3:$F$500,$A238)=0,"",SUMIF(ЗАКАЗЫ!$F$3:$F$500,$A238,ЗАКАЗЫ!$J$3:$J$500))</f>
        <v/>
      </c>
      <c r="BO238" s="7" t="str">
        <f aca="false">IF(BN238="","",SUMIF(ЗАКАЗЫ!$F$3:$F$500,$A238,ЗАКАЗЫ!$AL$3:$AL$500))</f>
        <v/>
      </c>
      <c r="BP238" s="7" t="str">
        <f aca="false">IF(BN238="","",BN238-BO238)</f>
        <v/>
      </c>
      <c r="BQ238" s="55" t="str">
        <f aca="false">IF(BN238="","",IF(BO238&gt;=BN238,"На складе",IF(BO238&gt;0,"Частично","Ждём")))</f>
        <v/>
      </c>
      <c r="BR238" s="43"/>
      <c r="BS238" s="47" t="str">
        <f aca="false">IF(BN238="","",IF(_xlfn.MAXIFS(ЗАКАЗЫ!$AK$3:$AK$500,ЗАКАЗЫ!$F$3:$F$500,$A238)=0,"",_xlfn.MAXIFS(ЗАКАЗЫ!$AK$3:$AK$500,ЗАКАЗЫ!$F$3:$F$500,$A238)))</f>
        <v/>
      </c>
    </row>
    <row r="239" customFormat="false" ht="15.75" hidden="false" customHeight="true" outlineLevel="0" collapsed="false">
      <c r="A239" s="80" t="s">
        <v>1762</v>
      </c>
      <c r="B239" s="81"/>
      <c r="C239" s="81"/>
      <c r="D239" s="81"/>
      <c r="E239" s="83"/>
      <c r="F239" s="81"/>
      <c r="G239" s="83"/>
      <c r="H239" s="83"/>
      <c r="I239" s="84" t="str">
        <f aca="false">IF(E239="","",A239&amp;"_1.jpg")</f>
        <v/>
      </c>
      <c r="J239" s="84" t="str">
        <f aca="false">IF(E239="","",A239&amp;"_2.jpg; "&amp;A239&amp;"_3.jpg")</f>
        <v/>
      </c>
      <c r="K239" s="84" t="str">
        <f aca="false">IF(E239="","",A239&amp;"_schema.jpg")</f>
        <v/>
      </c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 t="s">
        <v>96</v>
      </c>
      <c r="W239" s="81"/>
      <c r="X239" s="81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6" t="str">
        <f aca="false">IF(SUM(Y239:AJ239)=0,"",SUM(Y239:AJ239))</f>
        <v/>
      </c>
      <c r="AL239" s="84" t="str">
        <f aca="false">MID(IF(N(Y239)&gt;0,", "&amp;Y$2,"")&amp;IF(N(Z239)&gt;0,", "&amp;Z$2,"")&amp;IF(N(AA239)&gt;0,", "&amp;AA$2,"")&amp;IF(N(AB239)&gt;0,", "&amp;AB$2,"")&amp;IF(N(AC239)&gt;0,", "&amp;AC$2,"")&amp;IF(N(AD239)&gt;0,", "&amp;AD$2,"")&amp;IF(N(AE239)&gt;0,", "&amp;AE$2,"")&amp;IF(N(AF239)&gt;0,", "&amp;AF$2,"")&amp;IF(N(AG239)&gt;0,", "&amp;AG$2,"")&amp;IF(N(AH239)&gt;0,", "&amp;AH$2,"")&amp;IF(N(AI239)&gt;0,", "&amp;AI$2,"")&amp;IF(N(AJ239)&gt;0,", "&amp;AJ$2,""),3,999)</f>
        <v/>
      </c>
      <c r="AM239" s="87" t="str">
        <f aca="false">IF(E239="","",MID(IF(N(Y239)&gt;0,", "&amp;A239&amp;"-"&amp;Y$2,"")&amp;IF(N(Z239)&gt;0,", "&amp;A239&amp;"-"&amp;Z$2,"")&amp;IF(N(AA239)&gt;0,", "&amp;A239&amp;"-"&amp;AA$2,"")&amp;IF(N(AB239)&gt;0,", "&amp;A239&amp;"-"&amp;AB$2,"")&amp;IF(N(AC239)&gt;0,", "&amp;A239&amp;"-"&amp;AC$2,"")&amp;IF(N(AD239)&gt;0,", "&amp;A239&amp;"-"&amp;AD$2,"")&amp;IF(N(AE239)&gt;0,", "&amp;A239&amp;"-"&amp;AE$2,"")&amp;IF(N(AF239)&gt;0,", "&amp;A239&amp;"-"&amp;AF$2,"")&amp;IF(N(AG239)&gt;0,", "&amp;A239&amp;"-"&amp;AG$2,"")&amp;IF(N(AH239)&gt;0,", "&amp;A239&amp;"-"&amp;AH$2,"")&amp;IF(N(AI239)&gt;0,", "&amp;A239&amp;"-"&amp;AI$2,"")&amp;IF(N(AJ239)&gt;0,", "&amp;A239&amp;"-"&amp;AJ$2,""),3,999))</f>
        <v/>
      </c>
      <c r="AN239" s="81"/>
      <c r="AO239" s="88"/>
      <c r="AP239" s="89" t="str">
        <f aca="false">IF(AO239="","",ROUND(AO239/(1+Справочники!$B$13),2))</f>
        <v/>
      </c>
      <c r="AQ239" s="90" t="str">
        <f aca="false" t="array" ref="AQ239:AQ239">IF(AP239="","",AP239*INDEX(Справочники!$B$4:$B$7,MATCH("RUB",Справочники!$A$4:$A$7,0)))</f>
        <v/>
      </c>
      <c r="AR239" s="90" t="str">
        <f aca="false">IF(AQ239="","",ROUND(AQ239*(1+Справочники!$B$12),0))</f>
        <v/>
      </c>
      <c r="AS239" s="90" t="str">
        <f aca="false">IF(AR239="","",ROUND(AR239*(1-Справочники!$B$11),0))</f>
        <v/>
      </c>
      <c r="AT239" s="88"/>
      <c r="AU239" s="90" t="str">
        <f aca="false">IF(AT239="","",ROUND(AT239/(1+Справочники!$B$12),0))</f>
        <v/>
      </c>
      <c r="AV239" s="90" t="str">
        <f aca="false">IF(AT239="","",ROUND(AT239*(1-Справочники!$B$15),0))</f>
        <v/>
      </c>
      <c r="AW239" s="90" t="str">
        <f aca="false">IF(AT239="","",ROUND(AT239*(1-Справочники!$B$16),0))</f>
        <v/>
      </c>
      <c r="AX239" s="90" t="str">
        <f aca="false">IF(AT239="","",ROUND(AT239*(1-Справочники!$B$17),0))</f>
        <v/>
      </c>
      <c r="AY239" s="90" t="str">
        <f aca="false">IF(AT239="","",ROUND(AT239*(1-Справочники!$B$18),0))</f>
        <v/>
      </c>
      <c r="AZ239" s="90" t="str">
        <f aca="false">IF(AT239="","",ROUND(AT239*(1-Справочники!$B$19),0))</f>
        <v/>
      </c>
      <c r="BA239" s="81"/>
      <c r="BB239" s="81"/>
      <c r="BC239" s="81"/>
      <c r="BD239" s="81"/>
      <c r="BE239" s="91"/>
      <c r="BF239" s="81" t="s">
        <v>103</v>
      </c>
      <c r="BG239" s="89" t="n">
        <f aca="false" t="array" ref="BG239:BG239">IF(BF239="","",IFERROR(INDEX(Справочники!$B$4:$B$7,MATCH(BF239,Справочники!$A$4:$A$7,0)),""))</f>
        <v>68.5</v>
      </c>
      <c r="BH239" s="90" t="str">
        <f aca="false">IF(N(BN239)&gt;0,ROUND(SUMIF(ЗАКАЗЫ!$F$3:$F$500,$A239,ЗАКАЗЫ!$Y$3:$Y$500)/BN239,0),IF(OR(BE239="",BG239=""),"",ROUND(BE239*BG239*(1+Справочники!$B$10),0)))</f>
        <v/>
      </c>
      <c r="BI239" s="92" t="str">
        <f aca="false">IF(OR(AU239="",BH239="",AU239=0),"",(AU239-BH239)/AU239)</f>
        <v/>
      </c>
      <c r="BJ239" s="81"/>
      <c r="BK239" s="83"/>
      <c r="BL239" s="43" t="str">
        <f aca="false">IFERROR(INDEX(ЗАКАЗЫ!$N$3:$N$500,MATCH($A239,ЗАКАЗЫ!$F$3:$F$500,0)),"")</f>
        <v/>
      </c>
      <c r="BM239" s="8" t="str">
        <f aca="false">IF(BL239="","",IFERROR(VLOOKUP(BL239,'ТН ВЭД'!$A$4:$C$40,3,0),""))</f>
        <v/>
      </c>
      <c r="BN239" s="7" t="str">
        <f aca="false">IF(COUNTIF(ЗАКАЗЫ!$F$3:$F$500,$A239)=0,"",SUMIF(ЗАКАЗЫ!$F$3:$F$500,$A239,ЗАКАЗЫ!$J$3:$J$500))</f>
        <v/>
      </c>
      <c r="BO239" s="7" t="str">
        <f aca="false">IF(BN239="","",SUMIF(ЗАКАЗЫ!$F$3:$F$500,$A239,ЗАКАЗЫ!$AL$3:$AL$500))</f>
        <v/>
      </c>
      <c r="BP239" s="7" t="str">
        <f aca="false">IF(BN239="","",BN239-BO239)</f>
        <v/>
      </c>
      <c r="BQ239" s="55" t="str">
        <f aca="false">IF(BN239="","",IF(BO239&gt;=BN239,"На складе",IF(BO239&gt;0,"Частично","Ждём")))</f>
        <v/>
      </c>
      <c r="BR239" s="43"/>
      <c r="BS239" s="47" t="str">
        <f aca="false">IF(BN239="","",IF(_xlfn.MAXIFS(ЗАКАЗЫ!$AK$3:$AK$500,ЗАКАЗЫ!$F$3:$F$500,$A239)=0,"",_xlfn.MAXIFS(ЗАКАЗЫ!$AK$3:$AK$500,ЗАКАЗЫ!$F$3:$F$500,$A239)))</f>
        <v/>
      </c>
    </row>
    <row r="240" customFormat="false" ht="15.75" hidden="false" customHeight="true" outlineLevel="0" collapsed="false">
      <c r="A240" s="80" t="s">
        <v>1763</v>
      </c>
      <c r="B240" s="81"/>
      <c r="C240" s="81"/>
      <c r="D240" s="81"/>
      <c r="E240" s="83"/>
      <c r="F240" s="81"/>
      <c r="G240" s="83"/>
      <c r="H240" s="83"/>
      <c r="I240" s="84" t="str">
        <f aca="false">IF(E240="","",A240&amp;"_1.jpg")</f>
        <v/>
      </c>
      <c r="J240" s="84" t="str">
        <f aca="false">IF(E240="","",A240&amp;"_2.jpg; "&amp;A240&amp;"_3.jpg")</f>
        <v/>
      </c>
      <c r="K240" s="84" t="str">
        <f aca="false">IF(E240="","",A240&amp;"_schema.jpg")</f>
        <v/>
      </c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 t="s">
        <v>96</v>
      </c>
      <c r="W240" s="81"/>
      <c r="X240" s="81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6" t="str">
        <f aca="false">IF(SUM(Y240:AJ240)=0,"",SUM(Y240:AJ240))</f>
        <v/>
      </c>
      <c r="AL240" s="84" t="str">
        <f aca="false">MID(IF(N(Y240)&gt;0,", "&amp;Y$2,"")&amp;IF(N(Z240)&gt;0,", "&amp;Z$2,"")&amp;IF(N(AA240)&gt;0,", "&amp;AA$2,"")&amp;IF(N(AB240)&gt;0,", "&amp;AB$2,"")&amp;IF(N(AC240)&gt;0,", "&amp;AC$2,"")&amp;IF(N(AD240)&gt;0,", "&amp;AD$2,"")&amp;IF(N(AE240)&gt;0,", "&amp;AE$2,"")&amp;IF(N(AF240)&gt;0,", "&amp;AF$2,"")&amp;IF(N(AG240)&gt;0,", "&amp;AG$2,"")&amp;IF(N(AH240)&gt;0,", "&amp;AH$2,"")&amp;IF(N(AI240)&gt;0,", "&amp;AI$2,"")&amp;IF(N(AJ240)&gt;0,", "&amp;AJ$2,""),3,999)</f>
        <v/>
      </c>
      <c r="AM240" s="87" t="str">
        <f aca="false">IF(E240="","",MID(IF(N(Y240)&gt;0,", "&amp;A240&amp;"-"&amp;Y$2,"")&amp;IF(N(Z240)&gt;0,", "&amp;A240&amp;"-"&amp;Z$2,"")&amp;IF(N(AA240)&gt;0,", "&amp;A240&amp;"-"&amp;AA$2,"")&amp;IF(N(AB240)&gt;0,", "&amp;A240&amp;"-"&amp;AB$2,"")&amp;IF(N(AC240)&gt;0,", "&amp;A240&amp;"-"&amp;AC$2,"")&amp;IF(N(AD240)&gt;0,", "&amp;A240&amp;"-"&amp;AD$2,"")&amp;IF(N(AE240)&gt;0,", "&amp;A240&amp;"-"&amp;AE$2,"")&amp;IF(N(AF240)&gt;0,", "&amp;A240&amp;"-"&amp;AF$2,"")&amp;IF(N(AG240)&gt;0,", "&amp;A240&amp;"-"&amp;AG$2,"")&amp;IF(N(AH240)&gt;0,", "&amp;A240&amp;"-"&amp;AH$2,"")&amp;IF(N(AI240)&gt;0,", "&amp;A240&amp;"-"&amp;AI$2,"")&amp;IF(N(AJ240)&gt;0,", "&amp;A240&amp;"-"&amp;AJ$2,""),3,999))</f>
        <v/>
      </c>
      <c r="AN240" s="81"/>
      <c r="AO240" s="88"/>
      <c r="AP240" s="89" t="str">
        <f aca="false">IF(AO240="","",ROUND(AO240/(1+Справочники!$B$13),2))</f>
        <v/>
      </c>
      <c r="AQ240" s="90" t="str">
        <f aca="false" t="array" ref="AQ240:AQ240">IF(AP240="","",AP240*INDEX(Справочники!$B$4:$B$7,MATCH("RUB",Справочники!$A$4:$A$7,0)))</f>
        <v/>
      </c>
      <c r="AR240" s="90" t="str">
        <f aca="false">IF(AQ240="","",ROUND(AQ240*(1+Справочники!$B$12),0))</f>
        <v/>
      </c>
      <c r="AS240" s="90" t="str">
        <f aca="false">IF(AR240="","",ROUND(AR240*(1-Справочники!$B$11),0))</f>
        <v/>
      </c>
      <c r="AT240" s="88"/>
      <c r="AU240" s="90" t="str">
        <f aca="false">IF(AT240="","",ROUND(AT240/(1+Справочники!$B$12),0))</f>
        <v/>
      </c>
      <c r="AV240" s="90" t="str">
        <f aca="false">IF(AT240="","",ROUND(AT240*(1-Справочники!$B$15),0))</f>
        <v/>
      </c>
      <c r="AW240" s="90" t="str">
        <f aca="false">IF(AT240="","",ROUND(AT240*(1-Справочники!$B$16),0))</f>
        <v/>
      </c>
      <c r="AX240" s="90" t="str">
        <f aca="false">IF(AT240="","",ROUND(AT240*(1-Справочники!$B$17),0))</f>
        <v/>
      </c>
      <c r="AY240" s="90" t="str">
        <f aca="false">IF(AT240="","",ROUND(AT240*(1-Справочники!$B$18),0))</f>
        <v/>
      </c>
      <c r="AZ240" s="90" t="str">
        <f aca="false">IF(AT240="","",ROUND(AT240*(1-Справочники!$B$19),0))</f>
        <v/>
      </c>
      <c r="BA240" s="81"/>
      <c r="BB240" s="81"/>
      <c r="BC240" s="81"/>
      <c r="BD240" s="81"/>
      <c r="BE240" s="91"/>
      <c r="BF240" s="81" t="s">
        <v>103</v>
      </c>
      <c r="BG240" s="89" t="n">
        <f aca="false" t="array" ref="BG240:BG240">IF(BF240="","",IFERROR(INDEX(Справочники!$B$4:$B$7,MATCH(BF240,Справочники!$A$4:$A$7,0)),""))</f>
        <v>68.5</v>
      </c>
      <c r="BH240" s="90" t="str">
        <f aca="false">IF(N(BN240)&gt;0,ROUND(SUMIF(ЗАКАЗЫ!$F$3:$F$500,$A240,ЗАКАЗЫ!$Y$3:$Y$500)/BN240,0),IF(OR(BE240="",BG240=""),"",ROUND(BE240*BG240*(1+Справочники!$B$10),0)))</f>
        <v/>
      </c>
      <c r="BI240" s="92" t="str">
        <f aca="false">IF(OR(AU240="",BH240="",AU240=0),"",(AU240-BH240)/AU240)</f>
        <v/>
      </c>
      <c r="BJ240" s="81"/>
      <c r="BK240" s="83"/>
      <c r="BL240" s="43" t="str">
        <f aca="false">IFERROR(INDEX(ЗАКАЗЫ!$N$3:$N$500,MATCH($A240,ЗАКАЗЫ!$F$3:$F$500,0)),"")</f>
        <v/>
      </c>
      <c r="BM240" s="8" t="str">
        <f aca="false">IF(BL240="","",IFERROR(VLOOKUP(BL240,'ТН ВЭД'!$A$4:$C$40,3,0),""))</f>
        <v/>
      </c>
      <c r="BN240" s="7" t="str">
        <f aca="false">IF(COUNTIF(ЗАКАЗЫ!$F$3:$F$500,$A240)=0,"",SUMIF(ЗАКАЗЫ!$F$3:$F$500,$A240,ЗАКАЗЫ!$J$3:$J$500))</f>
        <v/>
      </c>
      <c r="BO240" s="7" t="str">
        <f aca="false">IF(BN240="","",SUMIF(ЗАКАЗЫ!$F$3:$F$500,$A240,ЗАКАЗЫ!$AL$3:$AL$500))</f>
        <v/>
      </c>
      <c r="BP240" s="7" t="str">
        <f aca="false">IF(BN240="","",BN240-BO240)</f>
        <v/>
      </c>
      <c r="BQ240" s="55" t="str">
        <f aca="false">IF(BN240="","",IF(BO240&gt;=BN240,"На складе",IF(BO240&gt;0,"Частично","Ждём")))</f>
        <v/>
      </c>
      <c r="BR240" s="43"/>
      <c r="BS240" s="47" t="str">
        <f aca="false">IF(BN240="","",IF(_xlfn.MAXIFS(ЗАКАЗЫ!$AK$3:$AK$500,ЗАКАЗЫ!$F$3:$F$500,$A240)=0,"",_xlfn.MAXIFS(ЗАКАЗЫ!$AK$3:$AK$500,ЗАКАЗЫ!$F$3:$F$500,$A240)))</f>
        <v/>
      </c>
    </row>
    <row r="241" customFormat="false" ht="15.75" hidden="false" customHeight="true" outlineLevel="0" collapsed="false">
      <c r="A241" s="80" t="s">
        <v>1764</v>
      </c>
      <c r="B241" s="81"/>
      <c r="C241" s="81"/>
      <c r="D241" s="81"/>
      <c r="E241" s="83"/>
      <c r="F241" s="81"/>
      <c r="G241" s="83"/>
      <c r="H241" s="83"/>
      <c r="I241" s="84" t="str">
        <f aca="false">IF(E241="","",A241&amp;"_1.jpg")</f>
        <v/>
      </c>
      <c r="J241" s="84" t="str">
        <f aca="false">IF(E241="","",A241&amp;"_2.jpg; "&amp;A241&amp;"_3.jpg")</f>
        <v/>
      </c>
      <c r="K241" s="84" t="str">
        <f aca="false">IF(E241="","",A241&amp;"_schema.jpg")</f>
        <v/>
      </c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 t="s">
        <v>96</v>
      </c>
      <c r="W241" s="81"/>
      <c r="X241" s="81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6" t="str">
        <f aca="false">IF(SUM(Y241:AJ241)=0,"",SUM(Y241:AJ241))</f>
        <v/>
      </c>
      <c r="AL241" s="84" t="str">
        <f aca="false">MID(IF(N(Y241)&gt;0,", "&amp;Y$2,"")&amp;IF(N(Z241)&gt;0,", "&amp;Z$2,"")&amp;IF(N(AA241)&gt;0,", "&amp;AA$2,"")&amp;IF(N(AB241)&gt;0,", "&amp;AB$2,"")&amp;IF(N(AC241)&gt;0,", "&amp;AC$2,"")&amp;IF(N(AD241)&gt;0,", "&amp;AD$2,"")&amp;IF(N(AE241)&gt;0,", "&amp;AE$2,"")&amp;IF(N(AF241)&gt;0,", "&amp;AF$2,"")&amp;IF(N(AG241)&gt;0,", "&amp;AG$2,"")&amp;IF(N(AH241)&gt;0,", "&amp;AH$2,"")&amp;IF(N(AI241)&gt;0,", "&amp;AI$2,"")&amp;IF(N(AJ241)&gt;0,", "&amp;AJ$2,""),3,999)</f>
        <v/>
      </c>
      <c r="AM241" s="87" t="str">
        <f aca="false">IF(E241="","",MID(IF(N(Y241)&gt;0,", "&amp;A241&amp;"-"&amp;Y$2,"")&amp;IF(N(Z241)&gt;0,", "&amp;A241&amp;"-"&amp;Z$2,"")&amp;IF(N(AA241)&gt;0,", "&amp;A241&amp;"-"&amp;AA$2,"")&amp;IF(N(AB241)&gt;0,", "&amp;A241&amp;"-"&amp;AB$2,"")&amp;IF(N(AC241)&gt;0,", "&amp;A241&amp;"-"&amp;AC$2,"")&amp;IF(N(AD241)&gt;0,", "&amp;A241&amp;"-"&amp;AD$2,"")&amp;IF(N(AE241)&gt;0,", "&amp;A241&amp;"-"&amp;AE$2,"")&amp;IF(N(AF241)&gt;0,", "&amp;A241&amp;"-"&amp;AF$2,"")&amp;IF(N(AG241)&gt;0,", "&amp;A241&amp;"-"&amp;AG$2,"")&amp;IF(N(AH241)&gt;0,", "&amp;A241&amp;"-"&amp;AH$2,"")&amp;IF(N(AI241)&gt;0,", "&amp;A241&amp;"-"&amp;AI$2,"")&amp;IF(N(AJ241)&gt;0,", "&amp;A241&amp;"-"&amp;AJ$2,""),3,999))</f>
        <v/>
      </c>
      <c r="AN241" s="81"/>
      <c r="AO241" s="88"/>
      <c r="AP241" s="89" t="str">
        <f aca="false">IF(AO241="","",ROUND(AO241/(1+Справочники!$B$13),2))</f>
        <v/>
      </c>
      <c r="AQ241" s="90" t="str">
        <f aca="false" t="array" ref="AQ241:AQ241">IF(AP241="","",AP241*INDEX(Справочники!$B$4:$B$7,MATCH("RUB",Справочники!$A$4:$A$7,0)))</f>
        <v/>
      </c>
      <c r="AR241" s="90" t="str">
        <f aca="false">IF(AQ241="","",ROUND(AQ241*(1+Справочники!$B$12),0))</f>
        <v/>
      </c>
      <c r="AS241" s="90" t="str">
        <f aca="false">IF(AR241="","",ROUND(AR241*(1-Справочники!$B$11),0))</f>
        <v/>
      </c>
      <c r="AT241" s="88"/>
      <c r="AU241" s="90" t="str">
        <f aca="false">IF(AT241="","",ROUND(AT241/(1+Справочники!$B$12),0))</f>
        <v/>
      </c>
      <c r="AV241" s="90" t="str">
        <f aca="false">IF(AT241="","",ROUND(AT241*(1-Справочники!$B$15),0))</f>
        <v/>
      </c>
      <c r="AW241" s="90" t="str">
        <f aca="false">IF(AT241="","",ROUND(AT241*(1-Справочники!$B$16),0))</f>
        <v/>
      </c>
      <c r="AX241" s="90" t="str">
        <f aca="false">IF(AT241="","",ROUND(AT241*(1-Справочники!$B$17),0))</f>
        <v/>
      </c>
      <c r="AY241" s="90" t="str">
        <f aca="false">IF(AT241="","",ROUND(AT241*(1-Справочники!$B$18),0))</f>
        <v/>
      </c>
      <c r="AZ241" s="90" t="str">
        <f aca="false">IF(AT241="","",ROUND(AT241*(1-Справочники!$B$19),0))</f>
        <v/>
      </c>
      <c r="BA241" s="81"/>
      <c r="BB241" s="81"/>
      <c r="BC241" s="81"/>
      <c r="BD241" s="81"/>
      <c r="BE241" s="91"/>
      <c r="BF241" s="81" t="s">
        <v>103</v>
      </c>
      <c r="BG241" s="89" t="n">
        <f aca="false" t="array" ref="BG241:BG241">IF(BF241="","",IFERROR(INDEX(Справочники!$B$4:$B$7,MATCH(BF241,Справочники!$A$4:$A$7,0)),""))</f>
        <v>68.5</v>
      </c>
      <c r="BH241" s="90" t="str">
        <f aca="false">IF(N(BN241)&gt;0,ROUND(SUMIF(ЗАКАЗЫ!$F$3:$F$500,$A241,ЗАКАЗЫ!$Y$3:$Y$500)/BN241,0),IF(OR(BE241="",BG241=""),"",ROUND(BE241*BG241*(1+Справочники!$B$10),0)))</f>
        <v/>
      </c>
      <c r="BI241" s="92" t="str">
        <f aca="false">IF(OR(AU241="",BH241="",AU241=0),"",(AU241-BH241)/AU241)</f>
        <v/>
      </c>
      <c r="BJ241" s="81"/>
      <c r="BK241" s="83"/>
      <c r="BL241" s="43" t="str">
        <f aca="false">IFERROR(INDEX(ЗАКАЗЫ!$N$3:$N$500,MATCH($A241,ЗАКАЗЫ!$F$3:$F$500,0)),"")</f>
        <v/>
      </c>
      <c r="BM241" s="8" t="str">
        <f aca="false">IF(BL241="","",IFERROR(VLOOKUP(BL241,'ТН ВЭД'!$A$4:$C$40,3,0),""))</f>
        <v/>
      </c>
      <c r="BN241" s="7" t="str">
        <f aca="false">IF(COUNTIF(ЗАКАЗЫ!$F$3:$F$500,$A241)=0,"",SUMIF(ЗАКАЗЫ!$F$3:$F$500,$A241,ЗАКАЗЫ!$J$3:$J$500))</f>
        <v/>
      </c>
      <c r="BO241" s="7" t="str">
        <f aca="false">IF(BN241="","",SUMIF(ЗАКАЗЫ!$F$3:$F$500,$A241,ЗАКАЗЫ!$AL$3:$AL$500))</f>
        <v/>
      </c>
      <c r="BP241" s="7" t="str">
        <f aca="false">IF(BN241="","",BN241-BO241)</f>
        <v/>
      </c>
      <c r="BQ241" s="55" t="str">
        <f aca="false">IF(BN241="","",IF(BO241&gt;=BN241,"На складе",IF(BO241&gt;0,"Частично","Ждём")))</f>
        <v/>
      </c>
      <c r="BR241" s="43"/>
      <c r="BS241" s="47" t="str">
        <f aca="false">IF(BN241="","",IF(_xlfn.MAXIFS(ЗАКАЗЫ!$AK$3:$AK$500,ЗАКАЗЫ!$F$3:$F$500,$A241)=0,"",_xlfn.MAXIFS(ЗАКАЗЫ!$AK$3:$AK$500,ЗАКАЗЫ!$F$3:$F$500,$A241)))</f>
        <v/>
      </c>
    </row>
    <row r="242" customFormat="false" ht="15.75" hidden="false" customHeight="true" outlineLevel="0" collapsed="false">
      <c r="A242" s="80" t="s">
        <v>1765</v>
      </c>
      <c r="B242" s="81"/>
      <c r="C242" s="81"/>
      <c r="D242" s="81"/>
      <c r="E242" s="83"/>
      <c r="F242" s="81"/>
      <c r="G242" s="83"/>
      <c r="H242" s="83"/>
      <c r="I242" s="84" t="str">
        <f aca="false">IF(E242="","",A242&amp;"_1.jpg")</f>
        <v/>
      </c>
      <c r="J242" s="84" t="str">
        <f aca="false">IF(E242="","",A242&amp;"_2.jpg; "&amp;A242&amp;"_3.jpg")</f>
        <v/>
      </c>
      <c r="K242" s="84" t="str">
        <f aca="false">IF(E242="","",A242&amp;"_schema.jpg")</f>
        <v/>
      </c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 t="s">
        <v>96</v>
      </c>
      <c r="W242" s="81"/>
      <c r="X242" s="81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6" t="str">
        <f aca="false">IF(SUM(Y242:AJ242)=0,"",SUM(Y242:AJ242))</f>
        <v/>
      </c>
      <c r="AL242" s="84" t="str">
        <f aca="false">MID(IF(N(Y242)&gt;0,", "&amp;Y$2,"")&amp;IF(N(Z242)&gt;0,", "&amp;Z$2,"")&amp;IF(N(AA242)&gt;0,", "&amp;AA$2,"")&amp;IF(N(AB242)&gt;0,", "&amp;AB$2,"")&amp;IF(N(AC242)&gt;0,", "&amp;AC$2,"")&amp;IF(N(AD242)&gt;0,", "&amp;AD$2,"")&amp;IF(N(AE242)&gt;0,", "&amp;AE$2,"")&amp;IF(N(AF242)&gt;0,", "&amp;AF$2,"")&amp;IF(N(AG242)&gt;0,", "&amp;AG$2,"")&amp;IF(N(AH242)&gt;0,", "&amp;AH$2,"")&amp;IF(N(AI242)&gt;0,", "&amp;AI$2,"")&amp;IF(N(AJ242)&gt;0,", "&amp;AJ$2,""),3,999)</f>
        <v/>
      </c>
      <c r="AM242" s="87" t="str">
        <f aca="false">IF(E242="","",MID(IF(N(Y242)&gt;0,", "&amp;A242&amp;"-"&amp;Y$2,"")&amp;IF(N(Z242)&gt;0,", "&amp;A242&amp;"-"&amp;Z$2,"")&amp;IF(N(AA242)&gt;0,", "&amp;A242&amp;"-"&amp;AA$2,"")&amp;IF(N(AB242)&gt;0,", "&amp;A242&amp;"-"&amp;AB$2,"")&amp;IF(N(AC242)&gt;0,", "&amp;A242&amp;"-"&amp;AC$2,"")&amp;IF(N(AD242)&gt;0,", "&amp;A242&amp;"-"&amp;AD$2,"")&amp;IF(N(AE242)&gt;0,", "&amp;A242&amp;"-"&amp;AE$2,"")&amp;IF(N(AF242)&gt;0,", "&amp;A242&amp;"-"&amp;AF$2,"")&amp;IF(N(AG242)&gt;0,", "&amp;A242&amp;"-"&amp;AG$2,"")&amp;IF(N(AH242)&gt;0,", "&amp;A242&amp;"-"&amp;AH$2,"")&amp;IF(N(AI242)&gt;0,", "&amp;A242&amp;"-"&amp;AI$2,"")&amp;IF(N(AJ242)&gt;0,", "&amp;A242&amp;"-"&amp;AJ$2,""),3,999))</f>
        <v/>
      </c>
      <c r="AN242" s="81"/>
      <c r="AO242" s="88"/>
      <c r="AP242" s="89" t="str">
        <f aca="false">IF(AO242="","",ROUND(AO242/(1+Справочники!$B$13),2))</f>
        <v/>
      </c>
      <c r="AQ242" s="90" t="str">
        <f aca="false" t="array" ref="AQ242:AQ242">IF(AP242="","",AP242*INDEX(Справочники!$B$4:$B$7,MATCH("RUB",Справочники!$A$4:$A$7,0)))</f>
        <v/>
      </c>
      <c r="AR242" s="90" t="str">
        <f aca="false">IF(AQ242="","",ROUND(AQ242*(1+Справочники!$B$12),0))</f>
        <v/>
      </c>
      <c r="AS242" s="90" t="str">
        <f aca="false">IF(AR242="","",ROUND(AR242*(1-Справочники!$B$11),0))</f>
        <v/>
      </c>
      <c r="AT242" s="88"/>
      <c r="AU242" s="90" t="str">
        <f aca="false">IF(AT242="","",ROUND(AT242/(1+Справочники!$B$12),0))</f>
        <v/>
      </c>
      <c r="AV242" s="90" t="str">
        <f aca="false">IF(AT242="","",ROUND(AT242*(1-Справочники!$B$15),0))</f>
        <v/>
      </c>
      <c r="AW242" s="90" t="str">
        <f aca="false">IF(AT242="","",ROUND(AT242*(1-Справочники!$B$16),0))</f>
        <v/>
      </c>
      <c r="AX242" s="90" t="str">
        <f aca="false">IF(AT242="","",ROUND(AT242*(1-Справочники!$B$17),0))</f>
        <v/>
      </c>
      <c r="AY242" s="90" t="str">
        <f aca="false">IF(AT242="","",ROUND(AT242*(1-Справочники!$B$18),0))</f>
        <v/>
      </c>
      <c r="AZ242" s="90" t="str">
        <f aca="false">IF(AT242="","",ROUND(AT242*(1-Справочники!$B$19),0))</f>
        <v/>
      </c>
      <c r="BA242" s="81"/>
      <c r="BB242" s="81"/>
      <c r="BC242" s="81"/>
      <c r="BD242" s="81"/>
      <c r="BE242" s="91"/>
      <c r="BF242" s="81" t="s">
        <v>103</v>
      </c>
      <c r="BG242" s="89" t="n">
        <f aca="false" t="array" ref="BG242:BG242">IF(BF242="","",IFERROR(INDEX(Справочники!$B$4:$B$7,MATCH(BF242,Справочники!$A$4:$A$7,0)),""))</f>
        <v>68.5</v>
      </c>
      <c r="BH242" s="90" t="str">
        <f aca="false">IF(N(BN242)&gt;0,ROUND(SUMIF(ЗАКАЗЫ!$F$3:$F$500,$A242,ЗАКАЗЫ!$Y$3:$Y$500)/BN242,0),IF(OR(BE242="",BG242=""),"",ROUND(BE242*BG242*(1+Справочники!$B$10),0)))</f>
        <v/>
      </c>
      <c r="BI242" s="92" t="str">
        <f aca="false">IF(OR(AU242="",BH242="",AU242=0),"",(AU242-BH242)/AU242)</f>
        <v/>
      </c>
      <c r="BJ242" s="81"/>
      <c r="BK242" s="83"/>
      <c r="BL242" s="43" t="str">
        <f aca="false">IFERROR(INDEX(ЗАКАЗЫ!$N$3:$N$500,MATCH($A242,ЗАКАЗЫ!$F$3:$F$500,0)),"")</f>
        <v/>
      </c>
      <c r="BM242" s="8" t="str">
        <f aca="false">IF(BL242="","",IFERROR(VLOOKUP(BL242,'ТН ВЭД'!$A$4:$C$40,3,0),""))</f>
        <v/>
      </c>
      <c r="BN242" s="7" t="str">
        <f aca="false">IF(COUNTIF(ЗАКАЗЫ!$F$3:$F$500,$A242)=0,"",SUMIF(ЗАКАЗЫ!$F$3:$F$500,$A242,ЗАКАЗЫ!$J$3:$J$500))</f>
        <v/>
      </c>
      <c r="BO242" s="7" t="str">
        <f aca="false">IF(BN242="","",SUMIF(ЗАКАЗЫ!$F$3:$F$500,$A242,ЗАКАЗЫ!$AL$3:$AL$500))</f>
        <v/>
      </c>
      <c r="BP242" s="7" t="str">
        <f aca="false">IF(BN242="","",BN242-BO242)</f>
        <v/>
      </c>
      <c r="BQ242" s="55" t="str">
        <f aca="false">IF(BN242="","",IF(BO242&gt;=BN242,"На складе",IF(BO242&gt;0,"Частично","Ждём")))</f>
        <v/>
      </c>
      <c r="BR242" s="43"/>
      <c r="BS242" s="47" t="str">
        <f aca="false">IF(BN242="","",IF(_xlfn.MAXIFS(ЗАКАЗЫ!$AK$3:$AK$500,ЗАКАЗЫ!$F$3:$F$500,$A242)=0,"",_xlfn.MAXIFS(ЗАКАЗЫ!$AK$3:$AK$500,ЗАКАЗЫ!$F$3:$F$500,$A242)))</f>
        <v/>
      </c>
    </row>
    <row r="243" customFormat="false" ht="15.75" hidden="false" customHeight="true" outlineLevel="0" collapsed="false">
      <c r="A243" s="80" t="s">
        <v>1766</v>
      </c>
      <c r="B243" s="81"/>
      <c r="C243" s="81"/>
      <c r="D243" s="81"/>
      <c r="E243" s="83"/>
      <c r="F243" s="81"/>
      <c r="G243" s="83"/>
      <c r="H243" s="83"/>
      <c r="I243" s="84" t="str">
        <f aca="false">IF(E243="","",A243&amp;"_1.jpg")</f>
        <v/>
      </c>
      <c r="J243" s="84" t="str">
        <f aca="false">IF(E243="","",A243&amp;"_2.jpg; "&amp;A243&amp;"_3.jpg")</f>
        <v/>
      </c>
      <c r="K243" s="84" t="str">
        <f aca="false">IF(E243="","",A243&amp;"_schema.jpg")</f>
        <v/>
      </c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 t="s">
        <v>96</v>
      </c>
      <c r="W243" s="81"/>
      <c r="X243" s="81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6" t="str">
        <f aca="false">IF(SUM(Y243:AJ243)=0,"",SUM(Y243:AJ243))</f>
        <v/>
      </c>
      <c r="AL243" s="84" t="str">
        <f aca="false">MID(IF(N(Y243)&gt;0,", "&amp;Y$2,"")&amp;IF(N(Z243)&gt;0,", "&amp;Z$2,"")&amp;IF(N(AA243)&gt;0,", "&amp;AA$2,"")&amp;IF(N(AB243)&gt;0,", "&amp;AB$2,"")&amp;IF(N(AC243)&gt;0,", "&amp;AC$2,"")&amp;IF(N(AD243)&gt;0,", "&amp;AD$2,"")&amp;IF(N(AE243)&gt;0,", "&amp;AE$2,"")&amp;IF(N(AF243)&gt;0,", "&amp;AF$2,"")&amp;IF(N(AG243)&gt;0,", "&amp;AG$2,"")&amp;IF(N(AH243)&gt;0,", "&amp;AH$2,"")&amp;IF(N(AI243)&gt;0,", "&amp;AI$2,"")&amp;IF(N(AJ243)&gt;0,", "&amp;AJ$2,""),3,999)</f>
        <v/>
      </c>
      <c r="AM243" s="87" t="str">
        <f aca="false">IF(E243="","",MID(IF(N(Y243)&gt;0,", "&amp;A243&amp;"-"&amp;Y$2,"")&amp;IF(N(Z243)&gt;0,", "&amp;A243&amp;"-"&amp;Z$2,"")&amp;IF(N(AA243)&gt;0,", "&amp;A243&amp;"-"&amp;AA$2,"")&amp;IF(N(AB243)&gt;0,", "&amp;A243&amp;"-"&amp;AB$2,"")&amp;IF(N(AC243)&gt;0,", "&amp;A243&amp;"-"&amp;AC$2,"")&amp;IF(N(AD243)&gt;0,", "&amp;A243&amp;"-"&amp;AD$2,"")&amp;IF(N(AE243)&gt;0,", "&amp;A243&amp;"-"&amp;AE$2,"")&amp;IF(N(AF243)&gt;0,", "&amp;A243&amp;"-"&amp;AF$2,"")&amp;IF(N(AG243)&gt;0,", "&amp;A243&amp;"-"&amp;AG$2,"")&amp;IF(N(AH243)&gt;0,", "&amp;A243&amp;"-"&amp;AH$2,"")&amp;IF(N(AI243)&gt;0,", "&amp;A243&amp;"-"&amp;AI$2,"")&amp;IF(N(AJ243)&gt;0,", "&amp;A243&amp;"-"&amp;AJ$2,""),3,999))</f>
        <v/>
      </c>
      <c r="AN243" s="81"/>
      <c r="AO243" s="88"/>
      <c r="AP243" s="89" t="str">
        <f aca="false">IF(AO243="","",ROUND(AO243/(1+Справочники!$B$13),2))</f>
        <v/>
      </c>
      <c r="AQ243" s="90" t="str">
        <f aca="false" t="array" ref="AQ243:AQ243">IF(AP243="","",AP243*INDEX(Справочники!$B$4:$B$7,MATCH("RUB",Справочники!$A$4:$A$7,0)))</f>
        <v/>
      </c>
      <c r="AR243" s="90" t="str">
        <f aca="false">IF(AQ243="","",ROUND(AQ243*(1+Справочники!$B$12),0))</f>
        <v/>
      </c>
      <c r="AS243" s="90" t="str">
        <f aca="false">IF(AR243="","",ROUND(AR243*(1-Справочники!$B$11),0))</f>
        <v/>
      </c>
      <c r="AT243" s="88"/>
      <c r="AU243" s="90" t="str">
        <f aca="false">IF(AT243="","",ROUND(AT243/(1+Справочники!$B$12),0))</f>
        <v/>
      </c>
      <c r="AV243" s="90" t="str">
        <f aca="false">IF(AT243="","",ROUND(AT243*(1-Справочники!$B$15),0))</f>
        <v/>
      </c>
      <c r="AW243" s="90" t="str">
        <f aca="false">IF(AT243="","",ROUND(AT243*(1-Справочники!$B$16),0))</f>
        <v/>
      </c>
      <c r="AX243" s="90" t="str">
        <f aca="false">IF(AT243="","",ROUND(AT243*(1-Справочники!$B$17),0))</f>
        <v/>
      </c>
      <c r="AY243" s="90" t="str">
        <f aca="false">IF(AT243="","",ROUND(AT243*(1-Справочники!$B$18),0))</f>
        <v/>
      </c>
      <c r="AZ243" s="90" t="str">
        <f aca="false">IF(AT243="","",ROUND(AT243*(1-Справочники!$B$19),0))</f>
        <v/>
      </c>
      <c r="BA243" s="81"/>
      <c r="BB243" s="81"/>
      <c r="BC243" s="81"/>
      <c r="BD243" s="81"/>
      <c r="BE243" s="91"/>
      <c r="BF243" s="81" t="s">
        <v>103</v>
      </c>
      <c r="BG243" s="89" t="n">
        <f aca="false" t="array" ref="BG243:BG243">IF(BF243="","",IFERROR(INDEX(Справочники!$B$4:$B$7,MATCH(BF243,Справочники!$A$4:$A$7,0)),""))</f>
        <v>68.5</v>
      </c>
      <c r="BH243" s="90" t="str">
        <f aca="false">IF(N(BN243)&gt;0,ROUND(SUMIF(ЗАКАЗЫ!$F$3:$F$500,$A243,ЗАКАЗЫ!$Y$3:$Y$500)/BN243,0),IF(OR(BE243="",BG243=""),"",ROUND(BE243*BG243*(1+Справочники!$B$10),0)))</f>
        <v/>
      </c>
      <c r="BI243" s="92" t="str">
        <f aca="false">IF(OR(AU243="",BH243="",AU243=0),"",(AU243-BH243)/AU243)</f>
        <v/>
      </c>
      <c r="BJ243" s="81"/>
      <c r="BK243" s="83"/>
      <c r="BL243" s="43" t="str">
        <f aca="false">IFERROR(INDEX(ЗАКАЗЫ!$N$3:$N$500,MATCH($A243,ЗАКАЗЫ!$F$3:$F$500,0)),"")</f>
        <v/>
      </c>
      <c r="BM243" s="8" t="str">
        <f aca="false">IF(BL243="","",IFERROR(VLOOKUP(BL243,'ТН ВЭД'!$A$4:$C$40,3,0),""))</f>
        <v/>
      </c>
      <c r="BN243" s="7" t="str">
        <f aca="false">IF(COUNTIF(ЗАКАЗЫ!$F$3:$F$500,$A243)=0,"",SUMIF(ЗАКАЗЫ!$F$3:$F$500,$A243,ЗАКАЗЫ!$J$3:$J$500))</f>
        <v/>
      </c>
      <c r="BO243" s="7" t="str">
        <f aca="false">IF(BN243="","",SUMIF(ЗАКАЗЫ!$F$3:$F$500,$A243,ЗАКАЗЫ!$AL$3:$AL$500))</f>
        <v/>
      </c>
      <c r="BP243" s="7" t="str">
        <f aca="false">IF(BN243="","",BN243-BO243)</f>
        <v/>
      </c>
      <c r="BQ243" s="55" t="str">
        <f aca="false">IF(BN243="","",IF(BO243&gt;=BN243,"На складе",IF(BO243&gt;0,"Частично","Ждём")))</f>
        <v/>
      </c>
      <c r="BR243" s="43"/>
      <c r="BS243" s="47" t="str">
        <f aca="false">IF(BN243="","",IF(_xlfn.MAXIFS(ЗАКАЗЫ!$AK$3:$AK$500,ЗАКАЗЫ!$F$3:$F$500,$A243)=0,"",_xlfn.MAXIFS(ЗАКАЗЫ!$AK$3:$AK$500,ЗАКАЗЫ!$F$3:$F$500,$A243)))</f>
        <v/>
      </c>
    </row>
    <row r="244" customFormat="false" ht="15.75" hidden="false" customHeight="true" outlineLevel="0" collapsed="false">
      <c r="A244" s="80" t="s">
        <v>1767</v>
      </c>
      <c r="B244" s="81"/>
      <c r="C244" s="81"/>
      <c r="D244" s="81"/>
      <c r="E244" s="83"/>
      <c r="F244" s="81"/>
      <c r="G244" s="83"/>
      <c r="H244" s="83"/>
      <c r="I244" s="84" t="str">
        <f aca="false">IF(E244="","",A244&amp;"_1.jpg")</f>
        <v/>
      </c>
      <c r="J244" s="84" t="str">
        <f aca="false">IF(E244="","",A244&amp;"_2.jpg; "&amp;A244&amp;"_3.jpg")</f>
        <v/>
      </c>
      <c r="K244" s="84" t="str">
        <f aca="false">IF(E244="","",A244&amp;"_schema.jpg")</f>
        <v/>
      </c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 t="s">
        <v>96</v>
      </c>
      <c r="W244" s="81"/>
      <c r="X244" s="81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6" t="str">
        <f aca="false">IF(SUM(Y244:AJ244)=0,"",SUM(Y244:AJ244))</f>
        <v/>
      </c>
      <c r="AL244" s="84" t="str">
        <f aca="false">MID(IF(N(Y244)&gt;0,", "&amp;Y$2,"")&amp;IF(N(Z244)&gt;0,", "&amp;Z$2,"")&amp;IF(N(AA244)&gt;0,", "&amp;AA$2,"")&amp;IF(N(AB244)&gt;0,", "&amp;AB$2,"")&amp;IF(N(AC244)&gt;0,", "&amp;AC$2,"")&amp;IF(N(AD244)&gt;0,", "&amp;AD$2,"")&amp;IF(N(AE244)&gt;0,", "&amp;AE$2,"")&amp;IF(N(AF244)&gt;0,", "&amp;AF$2,"")&amp;IF(N(AG244)&gt;0,", "&amp;AG$2,"")&amp;IF(N(AH244)&gt;0,", "&amp;AH$2,"")&amp;IF(N(AI244)&gt;0,", "&amp;AI$2,"")&amp;IF(N(AJ244)&gt;0,", "&amp;AJ$2,""),3,999)</f>
        <v/>
      </c>
      <c r="AM244" s="87" t="str">
        <f aca="false">IF(E244="","",MID(IF(N(Y244)&gt;0,", "&amp;A244&amp;"-"&amp;Y$2,"")&amp;IF(N(Z244)&gt;0,", "&amp;A244&amp;"-"&amp;Z$2,"")&amp;IF(N(AA244)&gt;0,", "&amp;A244&amp;"-"&amp;AA$2,"")&amp;IF(N(AB244)&gt;0,", "&amp;A244&amp;"-"&amp;AB$2,"")&amp;IF(N(AC244)&gt;0,", "&amp;A244&amp;"-"&amp;AC$2,"")&amp;IF(N(AD244)&gt;0,", "&amp;A244&amp;"-"&amp;AD$2,"")&amp;IF(N(AE244)&gt;0,", "&amp;A244&amp;"-"&amp;AE$2,"")&amp;IF(N(AF244)&gt;0,", "&amp;A244&amp;"-"&amp;AF$2,"")&amp;IF(N(AG244)&gt;0,", "&amp;A244&amp;"-"&amp;AG$2,"")&amp;IF(N(AH244)&gt;0,", "&amp;A244&amp;"-"&amp;AH$2,"")&amp;IF(N(AI244)&gt;0,", "&amp;A244&amp;"-"&amp;AI$2,"")&amp;IF(N(AJ244)&gt;0,", "&amp;A244&amp;"-"&amp;AJ$2,""),3,999))</f>
        <v/>
      </c>
      <c r="AN244" s="81"/>
      <c r="AO244" s="88"/>
      <c r="AP244" s="89" t="str">
        <f aca="false">IF(AO244="","",ROUND(AO244/(1+Справочники!$B$13),2))</f>
        <v/>
      </c>
      <c r="AQ244" s="90" t="str">
        <f aca="false" t="array" ref="AQ244:AQ244">IF(AP244="","",AP244*INDEX(Справочники!$B$4:$B$7,MATCH("RUB",Справочники!$A$4:$A$7,0)))</f>
        <v/>
      </c>
      <c r="AR244" s="90" t="str">
        <f aca="false">IF(AQ244="","",ROUND(AQ244*(1+Справочники!$B$12),0))</f>
        <v/>
      </c>
      <c r="AS244" s="90" t="str">
        <f aca="false">IF(AR244="","",ROUND(AR244*(1-Справочники!$B$11),0))</f>
        <v/>
      </c>
      <c r="AT244" s="88"/>
      <c r="AU244" s="90" t="str">
        <f aca="false">IF(AT244="","",ROUND(AT244/(1+Справочники!$B$12),0))</f>
        <v/>
      </c>
      <c r="AV244" s="90" t="str">
        <f aca="false">IF(AT244="","",ROUND(AT244*(1-Справочники!$B$15),0))</f>
        <v/>
      </c>
      <c r="AW244" s="90" t="str">
        <f aca="false">IF(AT244="","",ROUND(AT244*(1-Справочники!$B$16),0))</f>
        <v/>
      </c>
      <c r="AX244" s="90" t="str">
        <f aca="false">IF(AT244="","",ROUND(AT244*(1-Справочники!$B$17),0))</f>
        <v/>
      </c>
      <c r="AY244" s="90" t="str">
        <f aca="false">IF(AT244="","",ROUND(AT244*(1-Справочники!$B$18),0))</f>
        <v/>
      </c>
      <c r="AZ244" s="90" t="str">
        <f aca="false">IF(AT244="","",ROUND(AT244*(1-Справочники!$B$19),0))</f>
        <v/>
      </c>
      <c r="BA244" s="81"/>
      <c r="BB244" s="81"/>
      <c r="BC244" s="81"/>
      <c r="BD244" s="81"/>
      <c r="BE244" s="91"/>
      <c r="BF244" s="81" t="s">
        <v>103</v>
      </c>
      <c r="BG244" s="89" t="n">
        <f aca="false" t="array" ref="BG244:BG244">IF(BF244="","",IFERROR(INDEX(Справочники!$B$4:$B$7,MATCH(BF244,Справочники!$A$4:$A$7,0)),""))</f>
        <v>68.5</v>
      </c>
      <c r="BH244" s="90" t="str">
        <f aca="false">IF(N(BN244)&gt;0,ROUND(SUMIF(ЗАКАЗЫ!$F$3:$F$500,$A244,ЗАКАЗЫ!$Y$3:$Y$500)/BN244,0),IF(OR(BE244="",BG244=""),"",ROUND(BE244*BG244*(1+Справочники!$B$10),0)))</f>
        <v/>
      </c>
      <c r="BI244" s="92" t="str">
        <f aca="false">IF(OR(AU244="",BH244="",AU244=0),"",(AU244-BH244)/AU244)</f>
        <v/>
      </c>
      <c r="BJ244" s="81"/>
      <c r="BK244" s="83"/>
      <c r="BL244" s="43" t="str">
        <f aca="false">IFERROR(INDEX(ЗАКАЗЫ!$N$3:$N$500,MATCH($A244,ЗАКАЗЫ!$F$3:$F$500,0)),"")</f>
        <v/>
      </c>
      <c r="BM244" s="8" t="str">
        <f aca="false">IF(BL244="","",IFERROR(VLOOKUP(BL244,'ТН ВЭД'!$A$4:$C$40,3,0),""))</f>
        <v/>
      </c>
      <c r="BN244" s="7" t="str">
        <f aca="false">IF(COUNTIF(ЗАКАЗЫ!$F$3:$F$500,$A244)=0,"",SUMIF(ЗАКАЗЫ!$F$3:$F$500,$A244,ЗАКАЗЫ!$J$3:$J$500))</f>
        <v/>
      </c>
      <c r="BO244" s="7" t="str">
        <f aca="false">IF(BN244="","",SUMIF(ЗАКАЗЫ!$F$3:$F$500,$A244,ЗАКАЗЫ!$AL$3:$AL$500))</f>
        <v/>
      </c>
      <c r="BP244" s="7" t="str">
        <f aca="false">IF(BN244="","",BN244-BO244)</f>
        <v/>
      </c>
      <c r="BQ244" s="55" t="str">
        <f aca="false">IF(BN244="","",IF(BO244&gt;=BN244,"На складе",IF(BO244&gt;0,"Частично","Ждём")))</f>
        <v/>
      </c>
      <c r="BR244" s="43"/>
      <c r="BS244" s="47" t="str">
        <f aca="false">IF(BN244="","",IF(_xlfn.MAXIFS(ЗАКАЗЫ!$AK$3:$AK$500,ЗАКАЗЫ!$F$3:$F$500,$A244)=0,"",_xlfn.MAXIFS(ЗАКАЗЫ!$AK$3:$AK$500,ЗАКАЗЫ!$F$3:$F$500,$A244)))</f>
        <v/>
      </c>
    </row>
    <row r="245" customFormat="false" ht="15.75" hidden="false" customHeight="true" outlineLevel="0" collapsed="false">
      <c r="A245" s="80" t="s">
        <v>1768</v>
      </c>
      <c r="B245" s="81"/>
      <c r="C245" s="81"/>
      <c r="D245" s="81"/>
      <c r="E245" s="83"/>
      <c r="F245" s="81"/>
      <c r="G245" s="83"/>
      <c r="H245" s="83"/>
      <c r="I245" s="84" t="str">
        <f aca="false">IF(E245="","",A245&amp;"_1.jpg")</f>
        <v/>
      </c>
      <c r="J245" s="84" t="str">
        <f aca="false">IF(E245="","",A245&amp;"_2.jpg; "&amp;A245&amp;"_3.jpg")</f>
        <v/>
      </c>
      <c r="K245" s="84" t="str">
        <f aca="false">IF(E245="","",A245&amp;"_schema.jpg")</f>
        <v/>
      </c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 t="s">
        <v>96</v>
      </c>
      <c r="W245" s="81"/>
      <c r="X245" s="81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6" t="str">
        <f aca="false">IF(SUM(Y245:AJ245)=0,"",SUM(Y245:AJ245))</f>
        <v/>
      </c>
      <c r="AL245" s="84" t="str">
        <f aca="false">MID(IF(N(Y245)&gt;0,", "&amp;Y$2,"")&amp;IF(N(Z245)&gt;0,", "&amp;Z$2,"")&amp;IF(N(AA245)&gt;0,", "&amp;AA$2,"")&amp;IF(N(AB245)&gt;0,", "&amp;AB$2,"")&amp;IF(N(AC245)&gt;0,", "&amp;AC$2,"")&amp;IF(N(AD245)&gt;0,", "&amp;AD$2,"")&amp;IF(N(AE245)&gt;0,", "&amp;AE$2,"")&amp;IF(N(AF245)&gt;0,", "&amp;AF$2,"")&amp;IF(N(AG245)&gt;0,", "&amp;AG$2,"")&amp;IF(N(AH245)&gt;0,", "&amp;AH$2,"")&amp;IF(N(AI245)&gt;0,", "&amp;AI$2,"")&amp;IF(N(AJ245)&gt;0,", "&amp;AJ$2,""),3,999)</f>
        <v/>
      </c>
      <c r="AM245" s="87" t="str">
        <f aca="false">IF(E245="","",MID(IF(N(Y245)&gt;0,", "&amp;A245&amp;"-"&amp;Y$2,"")&amp;IF(N(Z245)&gt;0,", "&amp;A245&amp;"-"&amp;Z$2,"")&amp;IF(N(AA245)&gt;0,", "&amp;A245&amp;"-"&amp;AA$2,"")&amp;IF(N(AB245)&gt;0,", "&amp;A245&amp;"-"&amp;AB$2,"")&amp;IF(N(AC245)&gt;0,", "&amp;A245&amp;"-"&amp;AC$2,"")&amp;IF(N(AD245)&gt;0,", "&amp;A245&amp;"-"&amp;AD$2,"")&amp;IF(N(AE245)&gt;0,", "&amp;A245&amp;"-"&amp;AE$2,"")&amp;IF(N(AF245)&gt;0,", "&amp;A245&amp;"-"&amp;AF$2,"")&amp;IF(N(AG245)&gt;0,", "&amp;A245&amp;"-"&amp;AG$2,"")&amp;IF(N(AH245)&gt;0,", "&amp;A245&amp;"-"&amp;AH$2,"")&amp;IF(N(AI245)&gt;0,", "&amp;A245&amp;"-"&amp;AI$2,"")&amp;IF(N(AJ245)&gt;0,", "&amp;A245&amp;"-"&amp;AJ$2,""),3,999))</f>
        <v/>
      </c>
      <c r="AN245" s="81"/>
      <c r="AO245" s="88"/>
      <c r="AP245" s="89" t="str">
        <f aca="false">IF(AO245="","",ROUND(AO245/(1+Справочники!$B$13),2))</f>
        <v/>
      </c>
      <c r="AQ245" s="90" t="str">
        <f aca="false" t="array" ref="AQ245:AQ245">IF(AP245="","",AP245*INDEX(Справочники!$B$4:$B$7,MATCH("RUB",Справочники!$A$4:$A$7,0)))</f>
        <v/>
      </c>
      <c r="AR245" s="90" t="str">
        <f aca="false">IF(AQ245="","",ROUND(AQ245*(1+Справочники!$B$12),0))</f>
        <v/>
      </c>
      <c r="AS245" s="90" t="str">
        <f aca="false">IF(AR245="","",ROUND(AR245*(1-Справочники!$B$11),0))</f>
        <v/>
      </c>
      <c r="AT245" s="88"/>
      <c r="AU245" s="90" t="str">
        <f aca="false">IF(AT245="","",ROUND(AT245/(1+Справочники!$B$12),0))</f>
        <v/>
      </c>
      <c r="AV245" s="90" t="str">
        <f aca="false">IF(AT245="","",ROUND(AT245*(1-Справочники!$B$15),0))</f>
        <v/>
      </c>
      <c r="AW245" s="90" t="str">
        <f aca="false">IF(AT245="","",ROUND(AT245*(1-Справочники!$B$16),0))</f>
        <v/>
      </c>
      <c r="AX245" s="90" t="str">
        <f aca="false">IF(AT245="","",ROUND(AT245*(1-Справочники!$B$17),0))</f>
        <v/>
      </c>
      <c r="AY245" s="90" t="str">
        <f aca="false">IF(AT245="","",ROUND(AT245*(1-Справочники!$B$18),0))</f>
        <v/>
      </c>
      <c r="AZ245" s="90" t="str">
        <f aca="false">IF(AT245="","",ROUND(AT245*(1-Справочники!$B$19),0))</f>
        <v/>
      </c>
      <c r="BA245" s="81"/>
      <c r="BB245" s="81"/>
      <c r="BC245" s="81"/>
      <c r="BD245" s="81"/>
      <c r="BE245" s="91"/>
      <c r="BF245" s="81" t="s">
        <v>103</v>
      </c>
      <c r="BG245" s="89" t="n">
        <f aca="false" t="array" ref="BG245:BG245">IF(BF245="","",IFERROR(INDEX(Справочники!$B$4:$B$7,MATCH(BF245,Справочники!$A$4:$A$7,0)),""))</f>
        <v>68.5</v>
      </c>
      <c r="BH245" s="90" t="str">
        <f aca="false">IF(N(BN245)&gt;0,ROUND(SUMIF(ЗАКАЗЫ!$F$3:$F$500,$A245,ЗАКАЗЫ!$Y$3:$Y$500)/BN245,0),IF(OR(BE245="",BG245=""),"",ROUND(BE245*BG245*(1+Справочники!$B$10),0)))</f>
        <v/>
      </c>
      <c r="BI245" s="92" t="str">
        <f aca="false">IF(OR(AU245="",BH245="",AU245=0),"",(AU245-BH245)/AU245)</f>
        <v/>
      </c>
      <c r="BJ245" s="81"/>
      <c r="BK245" s="83"/>
      <c r="BL245" s="43" t="str">
        <f aca="false">IFERROR(INDEX(ЗАКАЗЫ!$N$3:$N$500,MATCH($A245,ЗАКАЗЫ!$F$3:$F$500,0)),"")</f>
        <v/>
      </c>
      <c r="BM245" s="8" t="str">
        <f aca="false">IF(BL245="","",IFERROR(VLOOKUP(BL245,'ТН ВЭД'!$A$4:$C$40,3,0),""))</f>
        <v/>
      </c>
      <c r="BN245" s="7" t="str">
        <f aca="false">IF(COUNTIF(ЗАКАЗЫ!$F$3:$F$500,$A245)=0,"",SUMIF(ЗАКАЗЫ!$F$3:$F$500,$A245,ЗАКАЗЫ!$J$3:$J$500))</f>
        <v/>
      </c>
      <c r="BO245" s="7" t="str">
        <f aca="false">IF(BN245="","",SUMIF(ЗАКАЗЫ!$F$3:$F$500,$A245,ЗАКАЗЫ!$AL$3:$AL$500))</f>
        <v/>
      </c>
      <c r="BP245" s="7" t="str">
        <f aca="false">IF(BN245="","",BN245-BO245)</f>
        <v/>
      </c>
      <c r="BQ245" s="55" t="str">
        <f aca="false">IF(BN245="","",IF(BO245&gt;=BN245,"На складе",IF(BO245&gt;0,"Частично","Ждём")))</f>
        <v/>
      </c>
      <c r="BR245" s="43"/>
      <c r="BS245" s="47" t="str">
        <f aca="false">IF(BN245="","",IF(_xlfn.MAXIFS(ЗАКАЗЫ!$AK$3:$AK$500,ЗАКАЗЫ!$F$3:$F$500,$A245)=0,"",_xlfn.MAXIFS(ЗАКАЗЫ!$AK$3:$AK$500,ЗАКАЗЫ!$F$3:$F$500,$A245)))</f>
        <v/>
      </c>
    </row>
    <row r="246" customFormat="false" ht="15.75" hidden="false" customHeight="true" outlineLevel="0" collapsed="false">
      <c r="A246" s="80" t="s">
        <v>1769</v>
      </c>
      <c r="B246" s="81"/>
      <c r="C246" s="81"/>
      <c r="D246" s="81"/>
      <c r="E246" s="83"/>
      <c r="F246" s="81"/>
      <c r="G246" s="83"/>
      <c r="H246" s="83"/>
      <c r="I246" s="84" t="str">
        <f aca="false">IF(E246="","",A246&amp;"_1.jpg")</f>
        <v/>
      </c>
      <c r="J246" s="84" t="str">
        <f aca="false">IF(E246="","",A246&amp;"_2.jpg; "&amp;A246&amp;"_3.jpg")</f>
        <v/>
      </c>
      <c r="K246" s="84" t="str">
        <f aca="false">IF(E246="","",A246&amp;"_schema.jpg")</f>
        <v/>
      </c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 t="s">
        <v>96</v>
      </c>
      <c r="W246" s="81"/>
      <c r="X246" s="81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6" t="str">
        <f aca="false">IF(SUM(Y246:AJ246)=0,"",SUM(Y246:AJ246))</f>
        <v/>
      </c>
      <c r="AL246" s="84" t="str">
        <f aca="false">MID(IF(N(Y246)&gt;0,", "&amp;Y$2,"")&amp;IF(N(Z246)&gt;0,", "&amp;Z$2,"")&amp;IF(N(AA246)&gt;0,", "&amp;AA$2,"")&amp;IF(N(AB246)&gt;0,", "&amp;AB$2,"")&amp;IF(N(AC246)&gt;0,", "&amp;AC$2,"")&amp;IF(N(AD246)&gt;0,", "&amp;AD$2,"")&amp;IF(N(AE246)&gt;0,", "&amp;AE$2,"")&amp;IF(N(AF246)&gt;0,", "&amp;AF$2,"")&amp;IF(N(AG246)&gt;0,", "&amp;AG$2,"")&amp;IF(N(AH246)&gt;0,", "&amp;AH$2,"")&amp;IF(N(AI246)&gt;0,", "&amp;AI$2,"")&amp;IF(N(AJ246)&gt;0,", "&amp;AJ$2,""),3,999)</f>
        <v/>
      </c>
      <c r="AM246" s="87" t="str">
        <f aca="false">IF(E246="","",MID(IF(N(Y246)&gt;0,", "&amp;A246&amp;"-"&amp;Y$2,"")&amp;IF(N(Z246)&gt;0,", "&amp;A246&amp;"-"&amp;Z$2,"")&amp;IF(N(AA246)&gt;0,", "&amp;A246&amp;"-"&amp;AA$2,"")&amp;IF(N(AB246)&gt;0,", "&amp;A246&amp;"-"&amp;AB$2,"")&amp;IF(N(AC246)&gt;0,", "&amp;A246&amp;"-"&amp;AC$2,"")&amp;IF(N(AD246)&gt;0,", "&amp;A246&amp;"-"&amp;AD$2,"")&amp;IF(N(AE246)&gt;0,", "&amp;A246&amp;"-"&amp;AE$2,"")&amp;IF(N(AF246)&gt;0,", "&amp;A246&amp;"-"&amp;AF$2,"")&amp;IF(N(AG246)&gt;0,", "&amp;A246&amp;"-"&amp;AG$2,"")&amp;IF(N(AH246)&gt;0,", "&amp;A246&amp;"-"&amp;AH$2,"")&amp;IF(N(AI246)&gt;0,", "&amp;A246&amp;"-"&amp;AI$2,"")&amp;IF(N(AJ246)&gt;0,", "&amp;A246&amp;"-"&amp;AJ$2,""),3,999))</f>
        <v/>
      </c>
      <c r="AN246" s="81"/>
      <c r="AO246" s="88"/>
      <c r="AP246" s="89" t="str">
        <f aca="false">IF(AO246="","",ROUND(AO246/(1+Справочники!$B$13),2))</f>
        <v/>
      </c>
      <c r="AQ246" s="90" t="str">
        <f aca="false" t="array" ref="AQ246:AQ246">IF(AP246="","",AP246*INDEX(Справочники!$B$4:$B$7,MATCH("RUB",Справочники!$A$4:$A$7,0)))</f>
        <v/>
      </c>
      <c r="AR246" s="90" t="str">
        <f aca="false">IF(AQ246="","",ROUND(AQ246*(1+Справочники!$B$12),0))</f>
        <v/>
      </c>
      <c r="AS246" s="90" t="str">
        <f aca="false">IF(AR246="","",ROUND(AR246*(1-Справочники!$B$11),0))</f>
        <v/>
      </c>
      <c r="AT246" s="88"/>
      <c r="AU246" s="90" t="str">
        <f aca="false">IF(AT246="","",ROUND(AT246/(1+Справочники!$B$12),0))</f>
        <v/>
      </c>
      <c r="AV246" s="90" t="str">
        <f aca="false">IF(AT246="","",ROUND(AT246*(1-Справочники!$B$15),0))</f>
        <v/>
      </c>
      <c r="AW246" s="90" t="str">
        <f aca="false">IF(AT246="","",ROUND(AT246*(1-Справочники!$B$16),0))</f>
        <v/>
      </c>
      <c r="AX246" s="90" t="str">
        <f aca="false">IF(AT246="","",ROUND(AT246*(1-Справочники!$B$17),0))</f>
        <v/>
      </c>
      <c r="AY246" s="90" t="str">
        <f aca="false">IF(AT246="","",ROUND(AT246*(1-Справочники!$B$18),0))</f>
        <v/>
      </c>
      <c r="AZ246" s="90" t="str">
        <f aca="false">IF(AT246="","",ROUND(AT246*(1-Справочники!$B$19),0))</f>
        <v/>
      </c>
      <c r="BA246" s="81"/>
      <c r="BB246" s="81"/>
      <c r="BC246" s="81"/>
      <c r="BD246" s="81"/>
      <c r="BE246" s="91"/>
      <c r="BF246" s="81" t="s">
        <v>103</v>
      </c>
      <c r="BG246" s="89" t="n">
        <f aca="false" t="array" ref="BG246:BG246">IF(BF246="","",IFERROR(INDEX(Справочники!$B$4:$B$7,MATCH(BF246,Справочники!$A$4:$A$7,0)),""))</f>
        <v>68.5</v>
      </c>
      <c r="BH246" s="90" t="str">
        <f aca="false">IF(N(BN246)&gt;0,ROUND(SUMIF(ЗАКАЗЫ!$F$3:$F$500,$A246,ЗАКАЗЫ!$Y$3:$Y$500)/BN246,0),IF(OR(BE246="",BG246=""),"",ROUND(BE246*BG246*(1+Справочники!$B$10),0)))</f>
        <v/>
      </c>
      <c r="BI246" s="92" t="str">
        <f aca="false">IF(OR(AU246="",BH246="",AU246=0),"",(AU246-BH246)/AU246)</f>
        <v/>
      </c>
      <c r="BJ246" s="81"/>
      <c r="BK246" s="83"/>
      <c r="BL246" s="43" t="str">
        <f aca="false">IFERROR(INDEX(ЗАКАЗЫ!$N$3:$N$500,MATCH($A246,ЗАКАЗЫ!$F$3:$F$500,0)),"")</f>
        <v/>
      </c>
      <c r="BM246" s="8" t="str">
        <f aca="false">IF(BL246="","",IFERROR(VLOOKUP(BL246,'ТН ВЭД'!$A$4:$C$40,3,0),""))</f>
        <v/>
      </c>
      <c r="BN246" s="7" t="str">
        <f aca="false">IF(COUNTIF(ЗАКАЗЫ!$F$3:$F$500,$A246)=0,"",SUMIF(ЗАКАЗЫ!$F$3:$F$500,$A246,ЗАКАЗЫ!$J$3:$J$500))</f>
        <v/>
      </c>
      <c r="BO246" s="7" t="str">
        <f aca="false">IF(BN246="","",SUMIF(ЗАКАЗЫ!$F$3:$F$500,$A246,ЗАКАЗЫ!$AL$3:$AL$500))</f>
        <v/>
      </c>
      <c r="BP246" s="7" t="str">
        <f aca="false">IF(BN246="","",BN246-BO246)</f>
        <v/>
      </c>
      <c r="BQ246" s="55" t="str">
        <f aca="false">IF(BN246="","",IF(BO246&gt;=BN246,"На складе",IF(BO246&gt;0,"Частично","Ждём")))</f>
        <v/>
      </c>
      <c r="BR246" s="43"/>
      <c r="BS246" s="47" t="str">
        <f aca="false">IF(BN246="","",IF(_xlfn.MAXIFS(ЗАКАЗЫ!$AK$3:$AK$500,ЗАКАЗЫ!$F$3:$F$500,$A246)=0,"",_xlfn.MAXIFS(ЗАКАЗЫ!$AK$3:$AK$500,ЗАКАЗЫ!$F$3:$F$500,$A246)))</f>
        <v/>
      </c>
    </row>
    <row r="247" customFormat="false" ht="15.75" hidden="false" customHeight="true" outlineLevel="0" collapsed="false">
      <c r="A247" s="80" t="s">
        <v>1770</v>
      </c>
      <c r="B247" s="81"/>
      <c r="C247" s="81"/>
      <c r="D247" s="81"/>
      <c r="E247" s="83"/>
      <c r="F247" s="81"/>
      <c r="G247" s="83"/>
      <c r="H247" s="83"/>
      <c r="I247" s="84" t="str">
        <f aca="false">IF(E247="","",A247&amp;"_1.jpg")</f>
        <v/>
      </c>
      <c r="J247" s="84" t="str">
        <f aca="false">IF(E247="","",A247&amp;"_2.jpg; "&amp;A247&amp;"_3.jpg")</f>
        <v/>
      </c>
      <c r="K247" s="84" t="str">
        <f aca="false">IF(E247="","",A247&amp;"_schema.jpg")</f>
        <v/>
      </c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 t="s">
        <v>96</v>
      </c>
      <c r="W247" s="81"/>
      <c r="X247" s="81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6" t="str">
        <f aca="false">IF(SUM(Y247:AJ247)=0,"",SUM(Y247:AJ247))</f>
        <v/>
      </c>
      <c r="AL247" s="84" t="str">
        <f aca="false">MID(IF(N(Y247)&gt;0,", "&amp;Y$2,"")&amp;IF(N(Z247)&gt;0,", "&amp;Z$2,"")&amp;IF(N(AA247)&gt;0,", "&amp;AA$2,"")&amp;IF(N(AB247)&gt;0,", "&amp;AB$2,"")&amp;IF(N(AC247)&gt;0,", "&amp;AC$2,"")&amp;IF(N(AD247)&gt;0,", "&amp;AD$2,"")&amp;IF(N(AE247)&gt;0,", "&amp;AE$2,"")&amp;IF(N(AF247)&gt;0,", "&amp;AF$2,"")&amp;IF(N(AG247)&gt;0,", "&amp;AG$2,"")&amp;IF(N(AH247)&gt;0,", "&amp;AH$2,"")&amp;IF(N(AI247)&gt;0,", "&amp;AI$2,"")&amp;IF(N(AJ247)&gt;0,", "&amp;AJ$2,""),3,999)</f>
        <v/>
      </c>
      <c r="AM247" s="87" t="str">
        <f aca="false">IF(E247="","",MID(IF(N(Y247)&gt;0,", "&amp;A247&amp;"-"&amp;Y$2,"")&amp;IF(N(Z247)&gt;0,", "&amp;A247&amp;"-"&amp;Z$2,"")&amp;IF(N(AA247)&gt;0,", "&amp;A247&amp;"-"&amp;AA$2,"")&amp;IF(N(AB247)&gt;0,", "&amp;A247&amp;"-"&amp;AB$2,"")&amp;IF(N(AC247)&gt;0,", "&amp;A247&amp;"-"&amp;AC$2,"")&amp;IF(N(AD247)&gt;0,", "&amp;A247&amp;"-"&amp;AD$2,"")&amp;IF(N(AE247)&gt;0,", "&amp;A247&amp;"-"&amp;AE$2,"")&amp;IF(N(AF247)&gt;0,", "&amp;A247&amp;"-"&amp;AF$2,"")&amp;IF(N(AG247)&gt;0,", "&amp;A247&amp;"-"&amp;AG$2,"")&amp;IF(N(AH247)&gt;0,", "&amp;A247&amp;"-"&amp;AH$2,"")&amp;IF(N(AI247)&gt;0,", "&amp;A247&amp;"-"&amp;AI$2,"")&amp;IF(N(AJ247)&gt;0,", "&amp;A247&amp;"-"&amp;AJ$2,""),3,999))</f>
        <v/>
      </c>
      <c r="AN247" s="81"/>
      <c r="AO247" s="88"/>
      <c r="AP247" s="89" t="str">
        <f aca="false">IF(AO247="","",ROUND(AO247/(1+Справочники!$B$13),2))</f>
        <v/>
      </c>
      <c r="AQ247" s="90" t="str">
        <f aca="false" t="array" ref="AQ247:AQ247">IF(AP247="","",AP247*INDEX(Справочники!$B$4:$B$7,MATCH("RUB",Справочники!$A$4:$A$7,0)))</f>
        <v/>
      </c>
      <c r="AR247" s="90" t="str">
        <f aca="false">IF(AQ247="","",ROUND(AQ247*(1+Справочники!$B$12),0))</f>
        <v/>
      </c>
      <c r="AS247" s="90" t="str">
        <f aca="false">IF(AR247="","",ROUND(AR247*(1-Справочники!$B$11),0))</f>
        <v/>
      </c>
      <c r="AT247" s="88"/>
      <c r="AU247" s="90" t="str">
        <f aca="false">IF(AT247="","",ROUND(AT247/(1+Справочники!$B$12),0))</f>
        <v/>
      </c>
      <c r="AV247" s="90" t="str">
        <f aca="false">IF(AT247="","",ROUND(AT247*(1-Справочники!$B$15),0))</f>
        <v/>
      </c>
      <c r="AW247" s="90" t="str">
        <f aca="false">IF(AT247="","",ROUND(AT247*(1-Справочники!$B$16),0))</f>
        <v/>
      </c>
      <c r="AX247" s="90" t="str">
        <f aca="false">IF(AT247="","",ROUND(AT247*(1-Справочники!$B$17),0))</f>
        <v/>
      </c>
      <c r="AY247" s="90" t="str">
        <f aca="false">IF(AT247="","",ROUND(AT247*(1-Справочники!$B$18),0))</f>
        <v/>
      </c>
      <c r="AZ247" s="90" t="str">
        <f aca="false">IF(AT247="","",ROUND(AT247*(1-Справочники!$B$19),0))</f>
        <v/>
      </c>
      <c r="BA247" s="81"/>
      <c r="BB247" s="81"/>
      <c r="BC247" s="81"/>
      <c r="BD247" s="81"/>
      <c r="BE247" s="91"/>
      <c r="BF247" s="81" t="s">
        <v>103</v>
      </c>
      <c r="BG247" s="89" t="n">
        <f aca="false" t="array" ref="BG247:BG247">IF(BF247="","",IFERROR(INDEX(Справочники!$B$4:$B$7,MATCH(BF247,Справочники!$A$4:$A$7,0)),""))</f>
        <v>68.5</v>
      </c>
      <c r="BH247" s="90" t="str">
        <f aca="false">IF(N(BN247)&gt;0,ROUND(SUMIF(ЗАКАЗЫ!$F$3:$F$500,$A247,ЗАКАЗЫ!$Y$3:$Y$500)/BN247,0),IF(OR(BE247="",BG247=""),"",ROUND(BE247*BG247*(1+Справочники!$B$10),0)))</f>
        <v/>
      </c>
      <c r="BI247" s="92" t="str">
        <f aca="false">IF(OR(AU247="",BH247="",AU247=0),"",(AU247-BH247)/AU247)</f>
        <v/>
      </c>
      <c r="BJ247" s="81"/>
      <c r="BK247" s="83"/>
      <c r="BL247" s="43" t="str">
        <f aca="false">IFERROR(INDEX(ЗАКАЗЫ!$N$3:$N$500,MATCH($A247,ЗАКАЗЫ!$F$3:$F$500,0)),"")</f>
        <v/>
      </c>
      <c r="BM247" s="8" t="str">
        <f aca="false">IF(BL247="","",IFERROR(VLOOKUP(BL247,'ТН ВЭД'!$A$4:$C$40,3,0),""))</f>
        <v/>
      </c>
      <c r="BN247" s="7" t="str">
        <f aca="false">IF(COUNTIF(ЗАКАЗЫ!$F$3:$F$500,$A247)=0,"",SUMIF(ЗАКАЗЫ!$F$3:$F$500,$A247,ЗАКАЗЫ!$J$3:$J$500))</f>
        <v/>
      </c>
      <c r="BO247" s="7" t="str">
        <f aca="false">IF(BN247="","",SUMIF(ЗАКАЗЫ!$F$3:$F$500,$A247,ЗАКАЗЫ!$AL$3:$AL$500))</f>
        <v/>
      </c>
      <c r="BP247" s="7" t="str">
        <f aca="false">IF(BN247="","",BN247-BO247)</f>
        <v/>
      </c>
      <c r="BQ247" s="55" t="str">
        <f aca="false">IF(BN247="","",IF(BO247&gt;=BN247,"На складе",IF(BO247&gt;0,"Частично","Ждём")))</f>
        <v/>
      </c>
      <c r="BR247" s="43"/>
      <c r="BS247" s="47" t="str">
        <f aca="false">IF(BN247="","",IF(_xlfn.MAXIFS(ЗАКАЗЫ!$AK$3:$AK$500,ЗАКАЗЫ!$F$3:$F$500,$A247)=0,"",_xlfn.MAXIFS(ЗАКАЗЫ!$AK$3:$AK$500,ЗАКАЗЫ!$F$3:$F$500,$A247)))</f>
        <v/>
      </c>
    </row>
    <row r="248" customFormat="false" ht="15.75" hidden="false" customHeight="true" outlineLevel="0" collapsed="false">
      <c r="A248" s="80" t="s">
        <v>1771</v>
      </c>
      <c r="B248" s="81"/>
      <c r="C248" s="81"/>
      <c r="D248" s="81"/>
      <c r="E248" s="83"/>
      <c r="F248" s="81"/>
      <c r="G248" s="83"/>
      <c r="H248" s="83"/>
      <c r="I248" s="84" t="str">
        <f aca="false">IF(E248="","",A248&amp;"_1.jpg")</f>
        <v/>
      </c>
      <c r="J248" s="84" t="str">
        <f aca="false">IF(E248="","",A248&amp;"_2.jpg; "&amp;A248&amp;"_3.jpg")</f>
        <v/>
      </c>
      <c r="K248" s="84" t="str">
        <f aca="false">IF(E248="","",A248&amp;"_schema.jpg")</f>
        <v/>
      </c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 t="s">
        <v>96</v>
      </c>
      <c r="W248" s="81"/>
      <c r="X248" s="81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6" t="str">
        <f aca="false">IF(SUM(Y248:AJ248)=0,"",SUM(Y248:AJ248))</f>
        <v/>
      </c>
      <c r="AL248" s="84" t="str">
        <f aca="false">MID(IF(N(Y248)&gt;0,", "&amp;Y$2,"")&amp;IF(N(Z248)&gt;0,", "&amp;Z$2,"")&amp;IF(N(AA248)&gt;0,", "&amp;AA$2,"")&amp;IF(N(AB248)&gt;0,", "&amp;AB$2,"")&amp;IF(N(AC248)&gt;0,", "&amp;AC$2,"")&amp;IF(N(AD248)&gt;0,", "&amp;AD$2,"")&amp;IF(N(AE248)&gt;0,", "&amp;AE$2,"")&amp;IF(N(AF248)&gt;0,", "&amp;AF$2,"")&amp;IF(N(AG248)&gt;0,", "&amp;AG$2,"")&amp;IF(N(AH248)&gt;0,", "&amp;AH$2,"")&amp;IF(N(AI248)&gt;0,", "&amp;AI$2,"")&amp;IF(N(AJ248)&gt;0,", "&amp;AJ$2,""),3,999)</f>
        <v/>
      </c>
      <c r="AM248" s="87" t="str">
        <f aca="false">IF(E248="","",MID(IF(N(Y248)&gt;0,", "&amp;A248&amp;"-"&amp;Y$2,"")&amp;IF(N(Z248)&gt;0,", "&amp;A248&amp;"-"&amp;Z$2,"")&amp;IF(N(AA248)&gt;0,", "&amp;A248&amp;"-"&amp;AA$2,"")&amp;IF(N(AB248)&gt;0,", "&amp;A248&amp;"-"&amp;AB$2,"")&amp;IF(N(AC248)&gt;0,", "&amp;A248&amp;"-"&amp;AC$2,"")&amp;IF(N(AD248)&gt;0,", "&amp;A248&amp;"-"&amp;AD$2,"")&amp;IF(N(AE248)&gt;0,", "&amp;A248&amp;"-"&amp;AE$2,"")&amp;IF(N(AF248)&gt;0,", "&amp;A248&amp;"-"&amp;AF$2,"")&amp;IF(N(AG248)&gt;0,", "&amp;A248&amp;"-"&amp;AG$2,"")&amp;IF(N(AH248)&gt;0,", "&amp;A248&amp;"-"&amp;AH$2,"")&amp;IF(N(AI248)&gt;0,", "&amp;A248&amp;"-"&amp;AI$2,"")&amp;IF(N(AJ248)&gt;0,", "&amp;A248&amp;"-"&amp;AJ$2,""),3,999))</f>
        <v/>
      </c>
      <c r="AN248" s="81"/>
      <c r="AO248" s="88"/>
      <c r="AP248" s="89" t="str">
        <f aca="false">IF(AO248="","",ROUND(AO248/(1+Справочники!$B$13),2))</f>
        <v/>
      </c>
      <c r="AQ248" s="90" t="str">
        <f aca="false" t="array" ref="AQ248:AQ248">IF(AP248="","",AP248*INDEX(Справочники!$B$4:$B$7,MATCH("RUB",Справочники!$A$4:$A$7,0)))</f>
        <v/>
      </c>
      <c r="AR248" s="90" t="str">
        <f aca="false">IF(AQ248="","",ROUND(AQ248*(1+Справочники!$B$12),0))</f>
        <v/>
      </c>
      <c r="AS248" s="90" t="str">
        <f aca="false">IF(AR248="","",ROUND(AR248*(1-Справочники!$B$11),0))</f>
        <v/>
      </c>
      <c r="AT248" s="88"/>
      <c r="AU248" s="90" t="str">
        <f aca="false">IF(AT248="","",ROUND(AT248/(1+Справочники!$B$12),0))</f>
        <v/>
      </c>
      <c r="AV248" s="90" t="str">
        <f aca="false">IF(AT248="","",ROUND(AT248*(1-Справочники!$B$15),0))</f>
        <v/>
      </c>
      <c r="AW248" s="90" t="str">
        <f aca="false">IF(AT248="","",ROUND(AT248*(1-Справочники!$B$16),0))</f>
        <v/>
      </c>
      <c r="AX248" s="90" t="str">
        <f aca="false">IF(AT248="","",ROUND(AT248*(1-Справочники!$B$17),0))</f>
        <v/>
      </c>
      <c r="AY248" s="90" t="str">
        <f aca="false">IF(AT248="","",ROUND(AT248*(1-Справочники!$B$18),0))</f>
        <v/>
      </c>
      <c r="AZ248" s="90" t="str">
        <f aca="false">IF(AT248="","",ROUND(AT248*(1-Справочники!$B$19),0))</f>
        <v/>
      </c>
      <c r="BA248" s="81"/>
      <c r="BB248" s="81"/>
      <c r="BC248" s="81"/>
      <c r="BD248" s="81"/>
      <c r="BE248" s="91"/>
      <c r="BF248" s="81" t="s">
        <v>103</v>
      </c>
      <c r="BG248" s="89" t="n">
        <f aca="false" t="array" ref="BG248:BG248">IF(BF248="","",IFERROR(INDEX(Справочники!$B$4:$B$7,MATCH(BF248,Справочники!$A$4:$A$7,0)),""))</f>
        <v>68.5</v>
      </c>
      <c r="BH248" s="90" t="str">
        <f aca="false">IF(N(BN248)&gt;0,ROUND(SUMIF(ЗАКАЗЫ!$F$3:$F$500,$A248,ЗАКАЗЫ!$Y$3:$Y$500)/BN248,0),IF(OR(BE248="",BG248=""),"",ROUND(BE248*BG248*(1+Справочники!$B$10),0)))</f>
        <v/>
      </c>
      <c r="BI248" s="92" t="str">
        <f aca="false">IF(OR(AU248="",BH248="",AU248=0),"",(AU248-BH248)/AU248)</f>
        <v/>
      </c>
      <c r="BJ248" s="81"/>
      <c r="BK248" s="83"/>
      <c r="BL248" s="43" t="str">
        <f aca="false">IFERROR(INDEX(ЗАКАЗЫ!$N$3:$N$500,MATCH($A248,ЗАКАЗЫ!$F$3:$F$500,0)),"")</f>
        <v/>
      </c>
      <c r="BM248" s="8" t="str">
        <f aca="false">IF(BL248="","",IFERROR(VLOOKUP(BL248,'ТН ВЭД'!$A$4:$C$40,3,0),""))</f>
        <v/>
      </c>
      <c r="BN248" s="7" t="str">
        <f aca="false">IF(COUNTIF(ЗАКАЗЫ!$F$3:$F$500,$A248)=0,"",SUMIF(ЗАКАЗЫ!$F$3:$F$500,$A248,ЗАКАЗЫ!$J$3:$J$500))</f>
        <v/>
      </c>
      <c r="BO248" s="7" t="str">
        <f aca="false">IF(BN248="","",SUMIF(ЗАКАЗЫ!$F$3:$F$500,$A248,ЗАКАЗЫ!$AL$3:$AL$500))</f>
        <v/>
      </c>
      <c r="BP248" s="7" t="str">
        <f aca="false">IF(BN248="","",BN248-BO248)</f>
        <v/>
      </c>
      <c r="BQ248" s="55" t="str">
        <f aca="false">IF(BN248="","",IF(BO248&gt;=BN248,"На складе",IF(BO248&gt;0,"Частично","Ждём")))</f>
        <v/>
      </c>
      <c r="BR248" s="43"/>
      <c r="BS248" s="47" t="str">
        <f aca="false">IF(BN248="","",IF(_xlfn.MAXIFS(ЗАКАЗЫ!$AK$3:$AK$500,ЗАКАЗЫ!$F$3:$F$500,$A248)=0,"",_xlfn.MAXIFS(ЗАКАЗЫ!$AK$3:$AK$500,ЗАКАЗЫ!$F$3:$F$500,$A248)))</f>
        <v/>
      </c>
    </row>
    <row r="249" customFormat="false" ht="15.75" hidden="false" customHeight="true" outlineLevel="0" collapsed="false">
      <c r="A249" s="80" t="s">
        <v>1772</v>
      </c>
      <c r="B249" s="81"/>
      <c r="C249" s="81"/>
      <c r="D249" s="81"/>
      <c r="E249" s="83"/>
      <c r="F249" s="81"/>
      <c r="G249" s="83"/>
      <c r="H249" s="83"/>
      <c r="I249" s="84" t="str">
        <f aca="false">IF(E249="","",A249&amp;"_1.jpg")</f>
        <v/>
      </c>
      <c r="J249" s="84" t="str">
        <f aca="false">IF(E249="","",A249&amp;"_2.jpg; "&amp;A249&amp;"_3.jpg")</f>
        <v/>
      </c>
      <c r="K249" s="84" t="str">
        <f aca="false">IF(E249="","",A249&amp;"_schema.jpg")</f>
        <v/>
      </c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 t="s">
        <v>96</v>
      </c>
      <c r="W249" s="81"/>
      <c r="X249" s="81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6" t="str">
        <f aca="false">IF(SUM(Y249:AJ249)=0,"",SUM(Y249:AJ249))</f>
        <v/>
      </c>
      <c r="AL249" s="84" t="str">
        <f aca="false">MID(IF(N(Y249)&gt;0,", "&amp;Y$2,"")&amp;IF(N(Z249)&gt;0,", "&amp;Z$2,"")&amp;IF(N(AA249)&gt;0,", "&amp;AA$2,"")&amp;IF(N(AB249)&gt;0,", "&amp;AB$2,"")&amp;IF(N(AC249)&gt;0,", "&amp;AC$2,"")&amp;IF(N(AD249)&gt;0,", "&amp;AD$2,"")&amp;IF(N(AE249)&gt;0,", "&amp;AE$2,"")&amp;IF(N(AF249)&gt;0,", "&amp;AF$2,"")&amp;IF(N(AG249)&gt;0,", "&amp;AG$2,"")&amp;IF(N(AH249)&gt;0,", "&amp;AH$2,"")&amp;IF(N(AI249)&gt;0,", "&amp;AI$2,"")&amp;IF(N(AJ249)&gt;0,", "&amp;AJ$2,""),3,999)</f>
        <v/>
      </c>
      <c r="AM249" s="87" t="str">
        <f aca="false">IF(E249="","",MID(IF(N(Y249)&gt;0,", "&amp;A249&amp;"-"&amp;Y$2,"")&amp;IF(N(Z249)&gt;0,", "&amp;A249&amp;"-"&amp;Z$2,"")&amp;IF(N(AA249)&gt;0,", "&amp;A249&amp;"-"&amp;AA$2,"")&amp;IF(N(AB249)&gt;0,", "&amp;A249&amp;"-"&amp;AB$2,"")&amp;IF(N(AC249)&gt;0,", "&amp;A249&amp;"-"&amp;AC$2,"")&amp;IF(N(AD249)&gt;0,", "&amp;A249&amp;"-"&amp;AD$2,"")&amp;IF(N(AE249)&gt;0,", "&amp;A249&amp;"-"&amp;AE$2,"")&amp;IF(N(AF249)&gt;0,", "&amp;A249&amp;"-"&amp;AF$2,"")&amp;IF(N(AG249)&gt;0,", "&amp;A249&amp;"-"&amp;AG$2,"")&amp;IF(N(AH249)&gt;0,", "&amp;A249&amp;"-"&amp;AH$2,"")&amp;IF(N(AI249)&gt;0,", "&amp;A249&amp;"-"&amp;AI$2,"")&amp;IF(N(AJ249)&gt;0,", "&amp;A249&amp;"-"&amp;AJ$2,""),3,999))</f>
        <v/>
      </c>
      <c r="AN249" s="81"/>
      <c r="AO249" s="88"/>
      <c r="AP249" s="89" t="str">
        <f aca="false">IF(AO249="","",ROUND(AO249/(1+Справочники!$B$13),2))</f>
        <v/>
      </c>
      <c r="AQ249" s="90" t="str">
        <f aca="false" t="array" ref="AQ249:AQ249">IF(AP249="","",AP249*INDEX(Справочники!$B$4:$B$7,MATCH("RUB",Справочники!$A$4:$A$7,0)))</f>
        <v/>
      </c>
      <c r="AR249" s="90" t="str">
        <f aca="false">IF(AQ249="","",ROUND(AQ249*(1+Справочники!$B$12),0))</f>
        <v/>
      </c>
      <c r="AS249" s="90" t="str">
        <f aca="false">IF(AR249="","",ROUND(AR249*(1-Справочники!$B$11),0))</f>
        <v/>
      </c>
      <c r="AT249" s="88"/>
      <c r="AU249" s="90" t="str">
        <f aca="false">IF(AT249="","",ROUND(AT249/(1+Справочники!$B$12),0))</f>
        <v/>
      </c>
      <c r="AV249" s="90" t="str">
        <f aca="false">IF(AT249="","",ROUND(AT249*(1-Справочники!$B$15),0))</f>
        <v/>
      </c>
      <c r="AW249" s="90" t="str">
        <f aca="false">IF(AT249="","",ROUND(AT249*(1-Справочники!$B$16),0))</f>
        <v/>
      </c>
      <c r="AX249" s="90" t="str">
        <f aca="false">IF(AT249="","",ROUND(AT249*(1-Справочники!$B$17),0))</f>
        <v/>
      </c>
      <c r="AY249" s="90" t="str">
        <f aca="false">IF(AT249="","",ROUND(AT249*(1-Справочники!$B$18),0))</f>
        <v/>
      </c>
      <c r="AZ249" s="90" t="str">
        <f aca="false">IF(AT249="","",ROUND(AT249*(1-Справочники!$B$19),0))</f>
        <v/>
      </c>
      <c r="BA249" s="81"/>
      <c r="BB249" s="81"/>
      <c r="BC249" s="81"/>
      <c r="BD249" s="81"/>
      <c r="BE249" s="91"/>
      <c r="BF249" s="81" t="s">
        <v>103</v>
      </c>
      <c r="BG249" s="89" t="n">
        <f aca="false" t="array" ref="BG249:BG249">IF(BF249="","",IFERROR(INDEX(Справочники!$B$4:$B$7,MATCH(BF249,Справочники!$A$4:$A$7,0)),""))</f>
        <v>68.5</v>
      </c>
      <c r="BH249" s="90" t="str">
        <f aca="false">IF(N(BN249)&gt;0,ROUND(SUMIF(ЗАКАЗЫ!$F$3:$F$500,$A249,ЗАКАЗЫ!$Y$3:$Y$500)/BN249,0),IF(OR(BE249="",BG249=""),"",ROUND(BE249*BG249*(1+Справочники!$B$10),0)))</f>
        <v/>
      </c>
      <c r="BI249" s="92" t="str">
        <f aca="false">IF(OR(AU249="",BH249="",AU249=0),"",(AU249-BH249)/AU249)</f>
        <v/>
      </c>
      <c r="BJ249" s="81"/>
      <c r="BK249" s="83"/>
      <c r="BL249" s="43" t="str">
        <f aca="false">IFERROR(INDEX(ЗАКАЗЫ!$N$3:$N$500,MATCH($A249,ЗАКАЗЫ!$F$3:$F$500,0)),"")</f>
        <v/>
      </c>
      <c r="BM249" s="8" t="str">
        <f aca="false">IF(BL249="","",IFERROR(VLOOKUP(BL249,'ТН ВЭД'!$A$4:$C$40,3,0),""))</f>
        <v/>
      </c>
      <c r="BN249" s="7" t="str">
        <f aca="false">IF(COUNTIF(ЗАКАЗЫ!$F$3:$F$500,$A249)=0,"",SUMIF(ЗАКАЗЫ!$F$3:$F$500,$A249,ЗАКАЗЫ!$J$3:$J$500))</f>
        <v/>
      </c>
      <c r="BO249" s="7" t="str">
        <f aca="false">IF(BN249="","",SUMIF(ЗАКАЗЫ!$F$3:$F$500,$A249,ЗАКАЗЫ!$AL$3:$AL$500))</f>
        <v/>
      </c>
      <c r="BP249" s="7" t="str">
        <f aca="false">IF(BN249="","",BN249-BO249)</f>
        <v/>
      </c>
      <c r="BQ249" s="55" t="str">
        <f aca="false">IF(BN249="","",IF(BO249&gt;=BN249,"На складе",IF(BO249&gt;0,"Частично","Ждём")))</f>
        <v/>
      </c>
      <c r="BR249" s="43"/>
      <c r="BS249" s="47" t="str">
        <f aca="false">IF(BN249="","",IF(_xlfn.MAXIFS(ЗАКАЗЫ!$AK$3:$AK$500,ЗАКАЗЫ!$F$3:$F$500,$A249)=0,"",_xlfn.MAXIFS(ЗАКАЗЫ!$AK$3:$AK$500,ЗАКАЗЫ!$F$3:$F$500,$A249)))</f>
        <v/>
      </c>
    </row>
    <row r="250" customFormat="false" ht="15.75" hidden="false" customHeight="true" outlineLevel="0" collapsed="false">
      <c r="A250" s="80" t="s">
        <v>1773</v>
      </c>
      <c r="B250" s="81"/>
      <c r="C250" s="81"/>
      <c r="D250" s="81"/>
      <c r="E250" s="83"/>
      <c r="F250" s="81"/>
      <c r="G250" s="83"/>
      <c r="H250" s="83"/>
      <c r="I250" s="84" t="str">
        <f aca="false">IF(E250="","",A250&amp;"_1.jpg")</f>
        <v/>
      </c>
      <c r="J250" s="84" t="str">
        <f aca="false">IF(E250="","",A250&amp;"_2.jpg; "&amp;A250&amp;"_3.jpg")</f>
        <v/>
      </c>
      <c r="K250" s="84" t="str">
        <f aca="false">IF(E250="","",A250&amp;"_schema.jpg")</f>
        <v/>
      </c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 t="s">
        <v>96</v>
      </c>
      <c r="W250" s="81"/>
      <c r="X250" s="81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6" t="str">
        <f aca="false">IF(SUM(Y250:AJ250)=0,"",SUM(Y250:AJ250))</f>
        <v/>
      </c>
      <c r="AL250" s="84" t="str">
        <f aca="false">MID(IF(N(Y250)&gt;0,", "&amp;Y$2,"")&amp;IF(N(Z250)&gt;0,", "&amp;Z$2,"")&amp;IF(N(AA250)&gt;0,", "&amp;AA$2,"")&amp;IF(N(AB250)&gt;0,", "&amp;AB$2,"")&amp;IF(N(AC250)&gt;0,", "&amp;AC$2,"")&amp;IF(N(AD250)&gt;0,", "&amp;AD$2,"")&amp;IF(N(AE250)&gt;0,", "&amp;AE$2,"")&amp;IF(N(AF250)&gt;0,", "&amp;AF$2,"")&amp;IF(N(AG250)&gt;0,", "&amp;AG$2,"")&amp;IF(N(AH250)&gt;0,", "&amp;AH$2,"")&amp;IF(N(AI250)&gt;0,", "&amp;AI$2,"")&amp;IF(N(AJ250)&gt;0,", "&amp;AJ$2,""),3,999)</f>
        <v/>
      </c>
      <c r="AM250" s="87" t="str">
        <f aca="false">IF(E250="","",MID(IF(N(Y250)&gt;0,", "&amp;A250&amp;"-"&amp;Y$2,"")&amp;IF(N(Z250)&gt;0,", "&amp;A250&amp;"-"&amp;Z$2,"")&amp;IF(N(AA250)&gt;0,", "&amp;A250&amp;"-"&amp;AA$2,"")&amp;IF(N(AB250)&gt;0,", "&amp;A250&amp;"-"&amp;AB$2,"")&amp;IF(N(AC250)&gt;0,", "&amp;A250&amp;"-"&amp;AC$2,"")&amp;IF(N(AD250)&gt;0,", "&amp;A250&amp;"-"&amp;AD$2,"")&amp;IF(N(AE250)&gt;0,", "&amp;A250&amp;"-"&amp;AE$2,"")&amp;IF(N(AF250)&gt;0,", "&amp;A250&amp;"-"&amp;AF$2,"")&amp;IF(N(AG250)&gt;0,", "&amp;A250&amp;"-"&amp;AG$2,"")&amp;IF(N(AH250)&gt;0,", "&amp;A250&amp;"-"&amp;AH$2,"")&amp;IF(N(AI250)&gt;0,", "&amp;A250&amp;"-"&amp;AI$2,"")&amp;IF(N(AJ250)&gt;0,", "&amp;A250&amp;"-"&amp;AJ$2,""),3,999))</f>
        <v/>
      </c>
      <c r="AN250" s="81"/>
      <c r="AO250" s="88"/>
      <c r="AP250" s="89" t="str">
        <f aca="false">IF(AO250="","",ROUND(AO250/(1+Справочники!$B$13),2))</f>
        <v/>
      </c>
      <c r="AQ250" s="90" t="str">
        <f aca="false" t="array" ref="AQ250:AQ250">IF(AP250="","",AP250*INDEX(Справочники!$B$4:$B$7,MATCH("RUB",Справочники!$A$4:$A$7,0)))</f>
        <v/>
      </c>
      <c r="AR250" s="90" t="str">
        <f aca="false">IF(AQ250="","",ROUND(AQ250*(1+Справочники!$B$12),0))</f>
        <v/>
      </c>
      <c r="AS250" s="90" t="str">
        <f aca="false">IF(AR250="","",ROUND(AR250*(1-Справочники!$B$11),0))</f>
        <v/>
      </c>
      <c r="AT250" s="88"/>
      <c r="AU250" s="90" t="str">
        <f aca="false">IF(AT250="","",ROUND(AT250/(1+Справочники!$B$12),0))</f>
        <v/>
      </c>
      <c r="AV250" s="90" t="str">
        <f aca="false">IF(AT250="","",ROUND(AT250*(1-Справочники!$B$15),0))</f>
        <v/>
      </c>
      <c r="AW250" s="90" t="str">
        <f aca="false">IF(AT250="","",ROUND(AT250*(1-Справочники!$B$16),0))</f>
        <v/>
      </c>
      <c r="AX250" s="90" t="str">
        <f aca="false">IF(AT250="","",ROUND(AT250*(1-Справочники!$B$17),0))</f>
        <v/>
      </c>
      <c r="AY250" s="90" t="str">
        <f aca="false">IF(AT250="","",ROUND(AT250*(1-Справочники!$B$18),0))</f>
        <v/>
      </c>
      <c r="AZ250" s="90" t="str">
        <f aca="false">IF(AT250="","",ROUND(AT250*(1-Справочники!$B$19),0))</f>
        <v/>
      </c>
      <c r="BA250" s="81"/>
      <c r="BB250" s="81"/>
      <c r="BC250" s="81"/>
      <c r="BD250" s="81"/>
      <c r="BE250" s="91"/>
      <c r="BF250" s="81" t="s">
        <v>103</v>
      </c>
      <c r="BG250" s="89" t="n">
        <f aca="false" t="array" ref="BG250:BG250">IF(BF250="","",IFERROR(INDEX(Справочники!$B$4:$B$7,MATCH(BF250,Справочники!$A$4:$A$7,0)),""))</f>
        <v>68.5</v>
      </c>
      <c r="BH250" s="90" t="str">
        <f aca="false">IF(N(BN250)&gt;0,ROUND(SUMIF(ЗАКАЗЫ!$F$3:$F$500,$A250,ЗАКАЗЫ!$Y$3:$Y$500)/BN250,0),IF(OR(BE250="",BG250=""),"",ROUND(BE250*BG250*(1+Справочники!$B$10),0)))</f>
        <v/>
      </c>
      <c r="BI250" s="92" t="str">
        <f aca="false">IF(OR(AU250="",BH250="",AU250=0),"",(AU250-BH250)/AU250)</f>
        <v/>
      </c>
      <c r="BJ250" s="81"/>
      <c r="BK250" s="83"/>
      <c r="BL250" s="43" t="str">
        <f aca="false">IFERROR(INDEX(ЗАКАЗЫ!$N$3:$N$500,MATCH($A250,ЗАКАЗЫ!$F$3:$F$500,0)),"")</f>
        <v/>
      </c>
      <c r="BM250" s="8" t="str">
        <f aca="false">IF(BL250="","",IFERROR(VLOOKUP(BL250,'ТН ВЭД'!$A$4:$C$40,3,0),""))</f>
        <v/>
      </c>
      <c r="BN250" s="7" t="str">
        <f aca="false">IF(COUNTIF(ЗАКАЗЫ!$F$3:$F$500,$A250)=0,"",SUMIF(ЗАКАЗЫ!$F$3:$F$500,$A250,ЗАКАЗЫ!$J$3:$J$500))</f>
        <v/>
      </c>
      <c r="BO250" s="7" t="str">
        <f aca="false">IF(BN250="","",SUMIF(ЗАКАЗЫ!$F$3:$F$500,$A250,ЗАКАЗЫ!$AL$3:$AL$500))</f>
        <v/>
      </c>
      <c r="BP250" s="7" t="str">
        <f aca="false">IF(BN250="","",BN250-BO250)</f>
        <v/>
      </c>
      <c r="BQ250" s="55" t="str">
        <f aca="false">IF(BN250="","",IF(BO250&gt;=BN250,"На складе",IF(BO250&gt;0,"Частично","Ждём")))</f>
        <v/>
      </c>
      <c r="BR250" s="43"/>
      <c r="BS250" s="47" t="str">
        <f aca="false">IF(BN250="","",IF(_xlfn.MAXIFS(ЗАКАЗЫ!$AK$3:$AK$500,ЗАКАЗЫ!$F$3:$F$500,$A250)=0,"",_xlfn.MAXIFS(ЗАКАЗЫ!$AK$3:$AK$500,ЗАКАЗЫ!$F$3:$F$500,$A250)))</f>
        <v/>
      </c>
    </row>
    <row r="251" customFormat="false" ht="15.75" hidden="false" customHeight="true" outlineLevel="0" collapsed="false">
      <c r="A251" s="80" t="s">
        <v>1774</v>
      </c>
      <c r="B251" s="81"/>
      <c r="C251" s="81"/>
      <c r="D251" s="81"/>
      <c r="E251" s="83"/>
      <c r="F251" s="81"/>
      <c r="G251" s="83"/>
      <c r="H251" s="83"/>
      <c r="I251" s="84" t="str">
        <f aca="false">IF(E251="","",A251&amp;"_1.jpg")</f>
        <v/>
      </c>
      <c r="J251" s="84" t="str">
        <f aca="false">IF(E251="","",A251&amp;"_2.jpg; "&amp;A251&amp;"_3.jpg")</f>
        <v/>
      </c>
      <c r="K251" s="84" t="str">
        <f aca="false">IF(E251="","",A251&amp;"_schema.jpg")</f>
        <v/>
      </c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 t="s">
        <v>96</v>
      </c>
      <c r="W251" s="81"/>
      <c r="X251" s="81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6" t="str">
        <f aca="false">IF(SUM(Y251:AJ251)=0,"",SUM(Y251:AJ251))</f>
        <v/>
      </c>
      <c r="AL251" s="84" t="str">
        <f aca="false">MID(IF(N(Y251)&gt;0,", "&amp;Y$2,"")&amp;IF(N(Z251)&gt;0,", "&amp;Z$2,"")&amp;IF(N(AA251)&gt;0,", "&amp;AA$2,"")&amp;IF(N(AB251)&gt;0,", "&amp;AB$2,"")&amp;IF(N(AC251)&gt;0,", "&amp;AC$2,"")&amp;IF(N(AD251)&gt;0,", "&amp;AD$2,"")&amp;IF(N(AE251)&gt;0,", "&amp;AE$2,"")&amp;IF(N(AF251)&gt;0,", "&amp;AF$2,"")&amp;IF(N(AG251)&gt;0,", "&amp;AG$2,"")&amp;IF(N(AH251)&gt;0,", "&amp;AH$2,"")&amp;IF(N(AI251)&gt;0,", "&amp;AI$2,"")&amp;IF(N(AJ251)&gt;0,", "&amp;AJ$2,""),3,999)</f>
        <v/>
      </c>
      <c r="AM251" s="87" t="str">
        <f aca="false">IF(E251="","",MID(IF(N(Y251)&gt;0,", "&amp;A251&amp;"-"&amp;Y$2,"")&amp;IF(N(Z251)&gt;0,", "&amp;A251&amp;"-"&amp;Z$2,"")&amp;IF(N(AA251)&gt;0,", "&amp;A251&amp;"-"&amp;AA$2,"")&amp;IF(N(AB251)&gt;0,", "&amp;A251&amp;"-"&amp;AB$2,"")&amp;IF(N(AC251)&gt;0,", "&amp;A251&amp;"-"&amp;AC$2,"")&amp;IF(N(AD251)&gt;0,", "&amp;A251&amp;"-"&amp;AD$2,"")&amp;IF(N(AE251)&gt;0,", "&amp;A251&amp;"-"&amp;AE$2,"")&amp;IF(N(AF251)&gt;0,", "&amp;A251&amp;"-"&amp;AF$2,"")&amp;IF(N(AG251)&gt;0,", "&amp;A251&amp;"-"&amp;AG$2,"")&amp;IF(N(AH251)&gt;0,", "&amp;A251&amp;"-"&amp;AH$2,"")&amp;IF(N(AI251)&gt;0,", "&amp;A251&amp;"-"&amp;AI$2,"")&amp;IF(N(AJ251)&gt;0,", "&amp;A251&amp;"-"&amp;AJ$2,""),3,999))</f>
        <v/>
      </c>
      <c r="AN251" s="81"/>
      <c r="AO251" s="88"/>
      <c r="AP251" s="89" t="str">
        <f aca="false">IF(AO251="","",ROUND(AO251/(1+Справочники!$B$13),2))</f>
        <v/>
      </c>
      <c r="AQ251" s="90" t="str">
        <f aca="false" t="array" ref="AQ251:AQ251">IF(AP251="","",AP251*INDEX(Справочники!$B$4:$B$7,MATCH("RUB",Справочники!$A$4:$A$7,0)))</f>
        <v/>
      </c>
      <c r="AR251" s="90" t="str">
        <f aca="false">IF(AQ251="","",ROUND(AQ251*(1+Справочники!$B$12),0))</f>
        <v/>
      </c>
      <c r="AS251" s="90" t="str">
        <f aca="false">IF(AR251="","",ROUND(AR251*(1-Справочники!$B$11),0))</f>
        <v/>
      </c>
      <c r="AT251" s="88"/>
      <c r="AU251" s="90" t="str">
        <f aca="false">IF(AT251="","",ROUND(AT251/(1+Справочники!$B$12),0))</f>
        <v/>
      </c>
      <c r="AV251" s="90" t="str">
        <f aca="false">IF(AT251="","",ROUND(AT251*(1-Справочники!$B$15),0))</f>
        <v/>
      </c>
      <c r="AW251" s="90" t="str">
        <f aca="false">IF(AT251="","",ROUND(AT251*(1-Справочники!$B$16),0))</f>
        <v/>
      </c>
      <c r="AX251" s="90" t="str">
        <f aca="false">IF(AT251="","",ROUND(AT251*(1-Справочники!$B$17),0))</f>
        <v/>
      </c>
      <c r="AY251" s="90" t="str">
        <f aca="false">IF(AT251="","",ROUND(AT251*(1-Справочники!$B$18),0))</f>
        <v/>
      </c>
      <c r="AZ251" s="90" t="str">
        <f aca="false">IF(AT251="","",ROUND(AT251*(1-Справочники!$B$19),0))</f>
        <v/>
      </c>
      <c r="BA251" s="81"/>
      <c r="BB251" s="81"/>
      <c r="BC251" s="81"/>
      <c r="BD251" s="81"/>
      <c r="BE251" s="91"/>
      <c r="BF251" s="81" t="s">
        <v>103</v>
      </c>
      <c r="BG251" s="89" t="n">
        <f aca="false" t="array" ref="BG251:BG251">IF(BF251="","",IFERROR(INDEX(Справочники!$B$4:$B$7,MATCH(BF251,Справочники!$A$4:$A$7,0)),""))</f>
        <v>68.5</v>
      </c>
      <c r="BH251" s="90" t="str">
        <f aca="false">IF(N(BN251)&gt;0,ROUND(SUMIF(ЗАКАЗЫ!$F$3:$F$500,$A251,ЗАКАЗЫ!$Y$3:$Y$500)/BN251,0),IF(OR(BE251="",BG251=""),"",ROUND(BE251*BG251*(1+Справочники!$B$10),0)))</f>
        <v/>
      </c>
      <c r="BI251" s="92" t="str">
        <f aca="false">IF(OR(AU251="",BH251="",AU251=0),"",(AU251-BH251)/AU251)</f>
        <v/>
      </c>
      <c r="BJ251" s="81"/>
      <c r="BK251" s="83"/>
      <c r="BL251" s="43" t="str">
        <f aca="false">IFERROR(INDEX(ЗАКАЗЫ!$N$3:$N$500,MATCH($A251,ЗАКАЗЫ!$F$3:$F$500,0)),"")</f>
        <v/>
      </c>
      <c r="BM251" s="8" t="str">
        <f aca="false">IF(BL251="","",IFERROR(VLOOKUP(BL251,'ТН ВЭД'!$A$4:$C$40,3,0),""))</f>
        <v/>
      </c>
      <c r="BN251" s="7" t="str">
        <f aca="false">IF(COUNTIF(ЗАКАЗЫ!$F$3:$F$500,$A251)=0,"",SUMIF(ЗАКАЗЫ!$F$3:$F$500,$A251,ЗАКАЗЫ!$J$3:$J$500))</f>
        <v/>
      </c>
      <c r="BO251" s="7" t="str">
        <f aca="false">IF(BN251="","",SUMIF(ЗАКАЗЫ!$F$3:$F$500,$A251,ЗАКАЗЫ!$AL$3:$AL$500))</f>
        <v/>
      </c>
      <c r="BP251" s="7" t="str">
        <f aca="false">IF(BN251="","",BN251-BO251)</f>
        <v/>
      </c>
      <c r="BQ251" s="55" t="str">
        <f aca="false">IF(BN251="","",IF(BO251&gt;=BN251,"На складе",IF(BO251&gt;0,"Частично","Ждём")))</f>
        <v/>
      </c>
      <c r="BR251" s="43"/>
      <c r="BS251" s="47" t="str">
        <f aca="false">IF(BN251="","",IF(_xlfn.MAXIFS(ЗАКАЗЫ!$AK$3:$AK$500,ЗАКАЗЫ!$F$3:$F$500,$A251)=0,"",_xlfn.MAXIFS(ЗАКАЗЫ!$AK$3:$AK$500,ЗАКАЗЫ!$F$3:$F$500,$A251)))</f>
        <v/>
      </c>
    </row>
    <row r="252" customFormat="false" ht="15.75" hidden="false" customHeight="true" outlineLevel="0" collapsed="false">
      <c r="A252" s="80" t="s">
        <v>1775</v>
      </c>
      <c r="B252" s="81"/>
      <c r="C252" s="81"/>
      <c r="D252" s="81"/>
      <c r="E252" s="83"/>
      <c r="F252" s="81"/>
      <c r="G252" s="83"/>
      <c r="H252" s="83"/>
      <c r="I252" s="84" t="str">
        <f aca="false">IF(E252="","",A252&amp;"_1.jpg")</f>
        <v/>
      </c>
      <c r="J252" s="84" t="str">
        <f aca="false">IF(E252="","",A252&amp;"_2.jpg; "&amp;A252&amp;"_3.jpg")</f>
        <v/>
      </c>
      <c r="K252" s="84" t="str">
        <f aca="false">IF(E252="","",A252&amp;"_schema.jpg")</f>
        <v/>
      </c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 t="s">
        <v>96</v>
      </c>
      <c r="W252" s="81"/>
      <c r="X252" s="81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6" t="str">
        <f aca="false">IF(SUM(Y252:AJ252)=0,"",SUM(Y252:AJ252))</f>
        <v/>
      </c>
      <c r="AL252" s="84" t="str">
        <f aca="false">MID(IF(N(Y252)&gt;0,", "&amp;Y$2,"")&amp;IF(N(Z252)&gt;0,", "&amp;Z$2,"")&amp;IF(N(AA252)&gt;0,", "&amp;AA$2,"")&amp;IF(N(AB252)&gt;0,", "&amp;AB$2,"")&amp;IF(N(AC252)&gt;0,", "&amp;AC$2,"")&amp;IF(N(AD252)&gt;0,", "&amp;AD$2,"")&amp;IF(N(AE252)&gt;0,", "&amp;AE$2,"")&amp;IF(N(AF252)&gt;0,", "&amp;AF$2,"")&amp;IF(N(AG252)&gt;0,", "&amp;AG$2,"")&amp;IF(N(AH252)&gt;0,", "&amp;AH$2,"")&amp;IF(N(AI252)&gt;0,", "&amp;AI$2,"")&amp;IF(N(AJ252)&gt;0,", "&amp;AJ$2,""),3,999)</f>
        <v/>
      </c>
      <c r="AM252" s="87" t="str">
        <f aca="false">IF(E252="","",MID(IF(N(Y252)&gt;0,", "&amp;A252&amp;"-"&amp;Y$2,"")&amp;IF(N(Z252)&gt;0,", "&amp;A252&amp;"-"&amp;Z$2,"")&amp;IF(N(AA252)&gt;0,", "&amp;A252&amp;"-"&amp;AA$2,"")&amp;IF(N(AB252)&gt;0,", "&amp;A252&amp;"-"&amp;AB$2,"")&amp;IF(N(AC252)&gt;0,", "&amp;A252&amp;"-"&amp;AC$2,"")&amp;IF(N(AD252)&gt;0,", "&amp;A252&amp;"-"&amp;AD$2,"")&amp;IF(N(AE252)&gt;0,", "&amp;A252&amp;"-"&amp;AE$2,"")&amp;IF(N(AF252)&gt;0,", "&amp;A252&amp;"-"&amp;AF$2,"")&amp;IF(N(AG252)&gt;0,", "&amp;A252&amp;"-"&amp;AG$2,"")&amp;IF(N(AH252)&gt;0,", "&amp;A252&amp;"-"&amp;AH$2,"")&amp;IF(N(AI252)&gt;0,", "&amp;A252&amp;"-"&amp;AI$2,"")&amp;IF(N(AJ252)&gt;0,", "&amp;A252&amp;"-"&amp;AJ$2,""),3,999))</f>
        <v/>
      </c>
      <c r="AN252" s="81"/>
      <c r="AO252" s="88"/>
      <c r="AP252" s="89" t="str">
        <f aca="false">IF(AO252="","",ROUND(AO252/(1+Справочники!$B$13),2))</f>
        <v/>
      </c>
      <c r="AQ252" s="90" t="str">
        <f aca="false" t="array" ref="AQ252:AQ252">IF(AP252="","",AP252*INDEX(Справочники!$B$4:$B$7,MATCH("RUB",Справочники!$A$4:$A$7,0)))</f>
        <v/>
      </c>
      <c r="AR252" s="90" t="str">
        <f aca="false">IF(AQ252="","",ROUND(AQ252*(1+Справочники!$B$12),0))</f>
        <v/>
      </c>
      <c r="AS252" s="90" t="str">
        <f aca="false">IF(AR252="","",ROUND(AR252*(1-Справочники!$B$11),0))</f>
        <v/>
      </c>
      <c r="AT252" s="88"/>
      <c r="AU252" s="90" t="str">
        <f aca="false">IF(AT252="","",ROUND(AT252/(1+Справочники!$B$12),0))</f>
        <v/>
      </c>
      <c r="AV252" s="90" t="str">
        <f aca="false">IF(AT252="","",ROUND(AT252*(1-Справочники!$B$15),0))</f>
        <v/>
      </c>
      <c r="AW252" s="90" t="str">
        <f aca="false">IF(AT252="","",ROUND(AT252*(1-Справочники!$B$16),0))</f>
        <v/>
      </c>
      <c r="AX252" s="90" t="str">
        <f aca="false">IF(AT252="","",ROUND(AT252*(1-Справочники!$B$17),0))</f>
        <v/>
      </c>
      <c r="AY252" s="90" t="str">
        <f aca="false">IF(AT252="","",ROUND(AT252*(1-Справочники!$B$18),0))</f>
        <v/>
      </c>
      <c r="AZ252" s="90" t="str">
        <f aca="false">IF(AT252="","",ROUND(AT252*(1-Справочники!$B$19),0))</f>
        <v/>
      </c>
      <c r="BA252" s="81"/>
      <c r="BB252" s="81"/>
      <c r="BC252" s="81"/>
      <c r="BD252" s="81"/>
      <c r="BE252" s="91"/>
      <c r="BF252" s="81" t="s">
        <v>103</v>
      </c>
      <c r="BG252" s="89" t="n">
        <f aca="false" t="array" ref="BG252:BG252">IF(BF252="","",IFERROR(INDEX(Справочники!$B$4:$B$7,MATCH(BF252,Справочники!$A$4:$A$7,0)),""))</f>
        <v>68.5</v>
      </c>
      <c r="BH252" s="90" t="str">
        <f aca="false">IF(N(BN252)&gt;0,ROUND(SUMIF(ЗАКАЗЫ!$F$3:$F$500,$A252,ЗАКАЗЫ!$Y$3:$Y$500)/BN252,0),IF(OR(BE252="",BG252=""),"",ROUND(BE252*BG252*(1+Справочники!$B$10),0)))</f>
        <v/>
      </c>
      <c r="BI252" s="92" t="str">
        <f aca="false">IF(OR(AU252="",BH252="",AU252=0),"",(AU252-BH252)/AU252)</f>
        <v/>
      </c>
      <c r="BJ252" s="81"/>
      <c r="BK252" s="83"/>
      <c r="BL252" s="43" t="str">
        <f aca="false">IFERROR(INDEX(ЗАКАЗЫ!$N$3:$N$500,MATCH($A252,ЗАКАЗЫ!$F$3:$F$500,0)),"")</f>
        <v/>
      </c>
      <c r="BM252" s="8" t="str">
        <f aca="false">IF(BL252="","",IFERROR(VLOOKUP(BL252,'ТН ВЭД'!$A$4:$C$40,3,0),""))</f>
        <v/>
      </c>
      <c r="BN252" s="7" t="str">
        <f aca="false">IF(COUNTIF(ЗАКАЗЫ!$F$3:$F$500,$A252)=0,"",SUMIF(ЗАКАЗЫ!$F$3:$F$500,$A252,ЗАКАЗЫ!$J$3:$J$500))</f>
        <v/>
      </c>
      <c r="BO252" s="7" t="str">
        <f aca="false">IF(BN252="","",SUMIF(ЗАКАЗЫ!$F$3:$F$500,$A252,ЗАКАЗЫ!$AL$3:$AL$500))</f>
        <v/>
      </c>
      <c r="BP252" s="7" t="str">
        <f aca="false">IF(BN252="","",BN252-BO252)</f>
        <v/>
      </c>
      <c r="BQ252" s="55" t="str">
        <f aca="false">IF(BN252="","",IF(BO252&gt;=BN252,"На складе",IF(BO252&gt;0,"Частично","Ждём")))</f>
        <v/>
      </c>
      <c r="BR252" s="43"/>
      <c r="BS252" s="47" t="str">
        <f aca="false">IF(BN252="","",IF(_xlfn.MAXIFS(ЗАКАЗЫ!$AK$3:$AK$500,ЗАКАЗЫ!$F$3:$F$500,$A252)=0,"",_xlfn.MAXIFS(ЗАКАЗЫ!$AK$3:$AK$500,ЗАКАЗЫ!$F$3:$F$500,$A252)))</f>
        <v/>
      </c>
    </row>
    <row r="253" customFormat="false" ht="15.75" hidden="false" customHeight="true" outlineLevel="0" collapsed="false">
      <c r="A253" s="80" t="s">
        <v>1776</v>
      </c>
      <c r="B253" s="81"/>
      <c r="C253" s="81"/>
      <c r="D253" s="81"/>
      <c r="E253" s="83"/>
      <c r="F253" s="81"/>
      <c r="G253" s="83"/>
      <c r="H253" s="83"/>
      <c r="I253" s="84" t="str">
        <f aca="false">IF(E253="","",A253&amp;"_1.jpg")</f>
        <v/>
      </c>
      <c r="J253" s="84" t="str">
        <f aca="false">IF(E253="","",A253&amp;"_2.jpg; "&amp;A253&amp;"_3.jpg")</f>
        <v/>
      </c>
      <c r="K253" s="84" t="str">
        <f aca="false">IF(E253="","",A253&amp;"_schema.jpg")</f>
        <v/>
      </c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 t="s">
        <v>96</v>
      </c>
      <c r="W253" s="81"/>
      <c r="X253" s="81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6" t="str">
        <f aca="false">IF(SUM(Y253:AJ253)=0,"",SUM(Y253:AJ253))</f>
        <v/>
      </c>
      <c r="AL253" s="84" t="str">
        <f aca="false">MID(IF(N(Y253)&gt;0,", "&amp;Y$2,"")&amp;IF(N(Z253)&gt;0,", "&amp;Z$2,"")&amp;IF(N(AA253)&gt;0,", "&amp;AA$2,"")&amp;IF(N(AB253)&gt;0,", "&amp;AB$2,"")&amp;IF(N(AC253)&gt;0,", "&amp;AC$2,"")&amp;IF(N(AD253)&gt;0,", "&amp;AD$2,"")&amp;IF(N(AE253)&gt;0,", "&amp;AE$2,"")&amp;IF(N(AF253)&gt;0,", "&amp;AF$2,"")&amp;IF(N(AG253)&gt;0,", "&amp;AG$2,"")&amp;IF(N(AH253)&gt;0,", "&amp;AH$2,"")&amp;IF(N(AI253)&gt;0,", "&amp;AI$2,"")&amp;IF(N(AJ253)&gt;0,", "&amp;AJ$2,""),3,999)</f>
        <v/>
      </c>
      <c r="AM253" s="87" t="str">
        <f aca="false">IF(E253="","",MID(IF(N(Y253)&gt;0,", "&amp;A253&amp;"-"&amp;Y$2,"")&amp;IF(N(Z253)&gt;0,", "&amp;A253&amp;"-"&amp;Z$2,"")&amp;IF(N(AA253)&gt;0,", "&amp;A253&amp;"-"&amp;AA$2,"")&amp;IF(N(AB253)&gt;0,", "&amp;A253&amp;"-"&amp;AB$2,"")&amp;IF(N(AC253)&gt;0,", "&amp;A253&amp;"-"&amp;AC$2,"")&amp;IF(N(AD253)&gt;0,", "&amp;A253&amp;"-"&amp;AD$2,"")&amp;IF(N(AE253)&gt;0,", "&amp;A253&amp;"-"&amp;AE$2,"")&amp;IF(N(AF253)&gt;0,", "&amp;A253&amp;"-"&amp;AF$2,"")&amp;IF(N(AG253)&gt;0,", "&amp;A253&amp;"-"&amp;AG$2,"")&amp;IF(N(AH253)&gt;0,", "&amp;A253&amp;"-"&amp;AH$2,"")&amp;IF(N(AI253)&gt;0,", "&amp;A253&amp;"-"&amp;AI$2,"")&amp;IF(N(AJ253)&gt;0,", "&amp;A253&amp;"-"&amp;AJ$2,""),3,999))</f>
        <v/>
      </c>
      <c r="AN253" s="81"/>
      <c r="AO253" s="88"/>
      <c r="AP253" s="89" t="str">
        <f aca="false">IF(AO253="","",ROUND(AO253/(1+Справочники!$B$13),2))</f>
        <v/>
      </c>
      <c r="AQ253" s="90" t="str">
        <f aca="false" t="array" ref="AQ253:AQ253">IF(AP253="","",AP253*INDEX(Справочники!$B$4:$B$7,MATCH("RUB",Справочники!$A$4:$A$7,0)))</f>
        <v/>
      </c>
      <c r="AR253" s="90" t="str">
        <f aca="false">IF(AQ253="","",ROUND(AQ253*(1+Справочники!$B$12),0))</f>
        <v/>
      </c>
      <c r="AS253" s="90" t="str">
        <f aca="false">IF(AR253="","",ROUND(AR253*(1-Справочники!$B$11),0))</f>
        <v/>
      </c>
      <c r="AT253" s="88"/>
      <c r="AU253" s="90" t="str">
        <f aca="false">IF(AT253="","",ROUND(AT253/(1+Справочники!$B$12),0))</f>
        <v/>
      </c>
      <c r="AV253" s="90" t="str">
        <f aca="false">IF(AT253="","",ROUND(AT253*(1-Справочники!$B$15),0))</f>
        <v/>
      </c>
      <c r="AW253" s="90" t="str">
        <f aca="false">IF(AT253="","",ROUND(AT253*(1-Справочники!$B$16),0))</f>
        <v/>
      </c>
      <c r="AX253" s="90" t="str">
        <f aca="false">IF(AT253="","",ROUND(AT253*(1-Справочники!$B$17),0))</f>
        <v/>
      </c>
      <c r="AY253" s="90" t="str">
        <f aca="false">IF(AT253="","",ROUND(AT253*(1-Справочники!$B$18),0))</f>
        <v/>
      </c>
      <c r="AZ253" s="90" t="str">
        <f aca="false">IF(AT253="","",ROUND(AT253*(1-Справочники!$B$19),0))</f>
        <v/>
      </c>
      <c r="BA253" s="81"/>
      <c r="BB253" s="81"/>
      <c r="BC253" s="81"/>
      <c r="BD253" s="81"/>
      <c r="BE253" s="91"/>
      <c r="BF253" s="81" t="s">
        <v>103</v>
      </c>
      <c r="BG253" s="89" t="n">
        <f aca="false" t="array" ref="BG253:BG253">IF(BF253="","",IFERROR(INDEX(Справочники!$B$4:$B$7,MATCH(BF253,Справочники!$A$4:$A$7,0)),""))</f>
        <v>68.5</v>
      </c>
      <c r="BH253" s="90" t="str">
        <f aca="false">IF(N(BN253)&gt;0,ROUND(SUMIF(ЗАКАЗЫ!$F$3:$F$500,$A253,ЗАКАЗЫ!$Y$3:$Y$500)/BN253,0),IF(OR(BE253="",BG253=""),"",ROUND(BE253*BG253*(1+Справочники!$B$10),0)))</f>
        <v/>
      </c>
      <c r="BI253" s="92" t="str">
        <f aca="false">IF(OR(AU253="",BH253="",AU253=0),"",(AU253-BH253)/AU253)</f>
        <v/>
      </c>
      <c r="BJ253" s="81"/>
      <c r="BK253" s="83"/>
      <c r="BL253" s="43" t="str">
        <f aca="false">IFERROR(INDEX(ЗАКАЗЫ!$N$3:$N$500,MATCH($A253,ЗАКАЗЫ!$F$3:$F$500,0)),"")</f>
        <v/>
      </c>
      <c r="BM253" s="8" t="str">
        <f aca="false">IF(BL253="","",IFERROR(VLOOKUP(BL253,'ТН ВЭД'!$A$4:$C$40,3,0),""))</f>
        <v/>
      </c>
      <c r="BN253" s="7" t="str">
        <f aca="false">IF(COUNTIF(ЗАКАЗЫ!$F$3:$F$500,$A253)=0,"",SUMIF(ЗАКАЗЫ!$F$3:$F$500,$A253,ЗАКАЗЫ!$J$3:$J$500))</f>
        <v/>
      </c>
      <c r="BO253" s="7" t="str">
        <f aca="false">IF(BN253="","",SUMIF(ЗАКАЗЫ!$F$3:$F$500,$A253,ЗАКАЗЫ!$AL$3:$AL$500))</f>
        <v/>
      </c>
      <c r="BP253" s="7" t="str">
        <f aca="false">IF(BN253="","",BN253-BO253)</f>
        <v/>
      </c>
      <c r="BQ253" s="55" t="str">
        <f aca="false">IF(BN253="","",IF(BO253&gt;=BN253,"На складе",IF(BO253&gt;0,"Частично","Ждём")))</f>
        <v/>
      </c>
      <c r="BR253" s="43"/>
      <c r="BS253" s="47" t="str">
        <f aca="false">IF(BN253="","",IF(_xlfn.MAXIFS(ЗАКАЗЫ!$AK$3:$AK$500,ЗАКАЗЫ!$F$3:$F$500,$A253)=0,"",_xlfn.MAXIFS(ЗАКАЗЫ!$AK$3:$AK$500,ЗАКАЗЫ!$F$3:$F$500,$A253)))</f>
        <v/>
      </c>
    </row>
    <row r="254" customFormat="false" ht="15.75" hidden="false" customHeight="true" outlineLevel="0" collapsed="false">
      <c r="A254" s="80" t="s">
        <v>1777</v>
      </c>
      <c r="B254" s="81"/>
      <c r="C254" s="81"/>
      <c r="D254" s="81"/>
      <c r="E254" s="83"/>
      <c r="F254" s="81"/>
      <c r="G254" s="83"/>
      <c r="H254" s="83"/>
      <c r="I254" s="84" t="str">
        <f aca="false">IF(E254="","",A254&amp;"_1.jpg")</f>
        <v/>
      </c>
      <c r="J254" s="84" t="str">
        <f aca="false">IF(E254="","",A254&amp;"_2.jpg; "&amp;A254&amp;"_3.jpg")</f>
        <v/>
      </c>
      <c r="K254" s="84" t="str">
        <f aca="false">IF(E254="","",A254&amp;"_schema.jpg")</f>
        <v/>
      </c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 t="s">
        <v>96</v>
      </c>
      <c r="W254" s="81"/>
      <c r="X254" s="81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6" t="str">
        <f aca="false">IF(SUM(Y254:AJ254)=0,"",SUM(Y254:AJ254))</f>
        <v/>
      </c>
      <c r="AL254" s="84" t="str">
        <f aca="false">MID(IF(N(Y254)&gt;0,", "&amp;Y$2,"")&amp;IF(N(Z254)&gt;0,", "&amp;Z$2,"")&amp;IF(N(AA254)&gt;0,", "&amp;AA$2,"")&amp;IF(N(AB254)&gt;0,", "&amp;AB$2,"")&amp;IF(N(AC254)&gt;0,", "&amp;AC$2,"")&amp;IF(N(AD254)&gt;0,", "&amp;AD$2,"")&amp;IF(N(AE254)&gt;0,", "&amp;AE$2,"")&amp;IF(N(AF254)&gt;0,", "&amp;AF$2,"")&amp;IF(N(AG254)&gt;0,", "&amp;AG$2,"")&amp;IF(N(AH254)&gt;0,", "&amp;AH$2,"")&amp;IF(N(AI254)&gt;0,", "&amp;AI$2,"")&amp;IF(N(AJ254)&gt;0,", "&amp;AJ$2,""),3,999)</f>
        <v/>
      </c>
      <c r="AM254" s="87" t="str">
        <f aca="false">IF(E254="","",MID(IF(N(Y254)&gt;0,", "&amp;A254&amp;"-"&amp;Y$2,"")&amp;IF(N(Z254)&gt;0,", "&amp;A254&amp;"-"&amp;Z$2,"")&amp;IF(N(AA254)&gt;0,", "&amp;A254&amp;"-"&amp;AA$2,"")&amp;IF(N(AB254)&gt;0,", "&amp;A254&amp;"-"&amp;AB$2,"")&amp;IF(N(AC254)&gt;0,", "&amp;A254&amp;"-"&amp;AC$2,"")&amp;IF(N(AD254)&gt;0,", "&amp;A254&amp;"-"&amp;AD$2,"")&amp;IF(N(AE254)&gt;0,", "&amp;A254&amp;"-"&amp;AE$2,"")&amp;IF(N(AF254)&gt;0,", "&amp;A254&amp;"-"&amp;AF$2,"")&amp;IF(N(AG254)&gt;0,", "&amp;A254&amp;"-"&amp;AG$2,"")&amp;IF(N(AH254)&gt;0,", "&amp;A254&amp;"-"&amp;AH$2,"")&amp;IF(N(AI254)&gt;0,", "&amp;A254&amp;"-"&amp;AI$2,"")&amp;IF(N(AJ254)&gt;0,", "&amp;A254&amp;"-"&amp;AJ$2,""),3,999))</f>
        <v/>
      </c>
      <c r="AN254" s="81"/>
      <c r="AO254" s="88"/>
      <c r="AP254" s="89" t="str">
        <f aca="false">IF(AO254="","",ROUND(AO254/(1+Справочники!$B$13),2))</f>
        <v/>
      </c>
      <c r="AQ254" s="90" t="str">
        <f aca="false" t="array" ref="AQ254:AQ254">IF(AP254="","",AP254*INDEX(Справочники!$B$4:$B$7,MATCH("RUB",Справочники!$A$4:$A$7,0)))</f>
        <v/>
      </c>
      <c r="AR254" s="90" t="str">
        <f aca="false">IF(AQ254="","",ROUND(AQ254*(1+Справочники!$B$12),0))</f>
        <v/>
      </c>
      <c r="AS254" s="90" t="str">
        <f aca="false">IF(AR254="","",ROUND(AR254*(1-Справочники!$B$11),0))</f>
        <v/>
      </c>
      <c r="AT254" s="88"/>
      <c r="AU254" s="90" t="str">
        <f aca="false">IF(AT254="","",ROUND(AT254/(1+Справочники!$B$12),0))</f>
        <v/>
      </c>
      <c r="AV254" s="90" t="str">
        <f aca="false">IF(AT254="","",ROUND(AT254*(1-Справочники!$B$15),0))</f>
        <v/>
      </c>
      <c r="AW254" s="90" t="str">
        <f aca="false">IF(AT254="","",ROUND(AT254*(1-Справочники!$B$16),0))</f>
        <v/>
      </c>
      <c r="AX254" s="90" t="str">
        <f aca="false">IF(AT254="","",ROUND(AT254*(1-Справочники!$B$17),0))</f>
        <v/>
      </c>
      <c r="AY254" s="90" t="str">
        <f aca="false">IF(AT254="","",ROUND(AT254*(1-Справочники!$B$18),0))</f>
        <v/>
      </c>
      <c r="AZ254" s="90" t="str">
        <f aca="false">IF(AT254="","",ROUND(AT254*(1-Справочники!$B$19),0))</f>
        <v/>
      </c>
      <c r="BA254" s="81"/>
      <c r="BB254" s="81"/>
      <c r="BC254" s="81"/>
      <c r="BD254" s="81"/>
      <c r="BE254" s="91"/>
      <c r="BF254" s="81" t="s">
        <v>103</v>
      </c>
      <c r="BG254" s="89" t="n">
        <f aca="false" t="array" ref="BG254:BG254">IF(BF254="","",IFERROR(INDEX(Справочники!$B$4:$B$7,MATCH(BF254,Справочники!$A$4:$A$7,0)),""))</f>
        <v>68.5</v>
      </c>
      <c r="BH254" s="90" t="str">
        <f aca="false">IF(N(BN254)&gt;0,ROUND(SUMIF(ЗАКАЗЫ!$F$3:$F$500,$A254,ЗАКАЗЫ!$Y$3:$Y$500)/BN254,0),IF(OR(BE254="",BG254=""),"",ROUND(BE254*BG254*(1+Справочники!$B$10),0)))</f>
        <v/>
      </c>
      <c r="BI254" s="92" t="str">
        <f aca="false">IF(OR(AU254="",BH254="",AU254=0),"",(AU254-BH254)/AU254)</f>
        <v/>
      </c>
      <c r="BJ254" s="81"/>
      <c r="BK254" s="83"/>
      <c r="BL254" s="43" t="str">
        <f aca="false">IFERROR(INDEX(ЗАКАЗЫ!$N$3:$N$500,MATCH($A254,ЗАКАЗЫ!$F$3:$F$500,0)),"")</f>
        <v/>
      </c>
      <c r="BM254" s="8" t="str">
        <f aca="false">IF(BL254="","",IFERROR(VLOOKUP(BL254,'ТН ВЭД'!$A$4:$C$40,3,0),""))</f>
        <v/>
      </c>
      <c r="BN254" s="7" t="str">
        <f aca="false">IF(COUNTIF(ЗАКАЗЫ!$F$3:$F$500,$A254)=0,"",SUMIF(ЗАКАЗЫ!$F$3:$F$500,$A254,ЗАКАЗЫ!$J$3:$J$500))</f>
        <v/>
      </c>
      <c r="BO254" s="7" t="str">
        <f aca="false">IF(BN254="","",SUMIF(ЗАКАЗЫ!$F$3:$F$500,$A254,ЗАКАЗЫ!$AL$3:$AL$500))</f>
        <v/>
      </c>
      <c r="BP254" s="7" t="str">
        <f aca="false">IF(BN254="","",BN254-BO254)</f>
        <v/>
      </c>
      <c r="BQ254" s="55" t="str">
        <f aca="false">IF(BN254="","",IF(BO254&gt;=BN254,"На складе",IF(BO254&gt;0,"Частично","Ждём")))</f>
        <v/>
      </c>
      <c r="BR254" s="43"/>
      <c r="BS254" s="47" t="str">
        <f aca="false">IF(BN254="","",IF(_xlfn.MAXIFS(ЗАКАЗЫ!$AK$3:$AK$500,ЗАКАЗЫ!$F$3:$F$500,$A254)=0,"",_xlfn.MAXIFS(ЗАКАЗЫ!$AK$3:$AK$500,ЗАКАЗЫ!$F$3:$F$500,$A254)))</f>
        <v/>
      </c>
    </row>
    <row r="255" customFormat="false" ht="15.75" hidden="false" customHeight="true" outlineLevel="0" collapsed="false">
      <c r="A255" s="80" t="s">
        <v>1778</v>
      </c>
      <c r="B255" s="81"/>
      <c r="C255" s="81"/>
      <c r="D255" s="81"/>
      <c r="E255" s="83"/>
      <c r="F255" s="81"/>
      <c r="G255" s="83"/>
      <c r="H255" s="83"/>
      <c r="I255" s="84" t="str">
        <f aca="false">IF(E255="","",A255&amp;"_1.jpg")</f>
        <v/>
      </c>
      <c r="J255" s="84" t="str">
        <f aca="false">IF(E255="","",A255&amp;"_2.jpg; "&amp;A255&amp;"_3.jpg")</f>
        <v/>
      </c>
      <c r="K255" s="84" t="str">
        <f aca="false">IF(E255="","",A255&amp;"_schema.jpg")</f>
        <v/>
      </c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 t="s">
        <v>96</v>
      </c>
      <c r="W255" s="81"/>
      <c r="X255" s="81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6" t="str">
        <f aca="false">IF(SUM(Y255:AJ255)=0,"",SUM(Y255:AJ255))</f>
        <v/>
      </c>
      <c r="AL255" s="84" t="str">
        <f aca="false">MID(IF(N(Y255)&gt;0,", "&amp;Y$2,"")&amp;IF(N(Z255)&gt;0,", "&amp;Z$2,"")&amp;IF(N(AA255)&gt;0,", "&amp;AA$2,"")&amp;IF(N(AB255)&gt;0,", "&amp;AB$2,"")&amp;IF(N(AC255)&gt;0,", "&amp;AC$2,"")&amp;IF(N(AD255)&gt;0,", "&amp;AD$2,"")&amp;IF(N(AE255)&gt;0,", "&amp;AE$2,"")&amp;IF(N(AF255)&gt;0,", "&amp;AF$2,"")&amp;IF(N(AG255)&gt;0,", "&amp;AG$2,"")&amp;IF(N(AH255)&gt;0,", "&amp;AH$2,"")&amp;IF(N(AI255)&gt;0,", "&amp;AI$2,"")&amp;IF(N(AJ255)&gt;0,", "&amp;AJ$2,""),3,999)</f>
        <v/>
      </c>
      <c r="AM255" s="87" t="str">
        <f aca="false">IF(E255="","",MID(IF(N(Y255)&gt;0,", "&amp;A255&amp;"-"&amp;Y$2,"")&amp;IF(N(Z255)&gt;0,", "&amp;A255&amp;"-"&amp;Z$2,"")&amp;IF(N(AA255)&gt;0,", "&amp;A255&amp;"-"&amp;AA$2,"")&amp;IF(N(AB255)&gt;0,", "&amp;A255&amp;"-"&amp;AB$2,"")&amp;IF(N(AC255)&gt;0,", "&amp;A255&amp;"-"&amp;AC$2,"")&amp;IF(N(AD255)&gt;0,", "&amp;A255&amp;"-"&amp;AD$2,"")&amp;IF(N(AE255)&gt;0,", "&amp;A255&amp;"-"&amp;AE$2,"")&amp;IF(N(AF255)&gt;0,", "&amp;A255&amp;"-"&amp;AF$2,"")&amp;IF(N(AG255)&gt;0,", "&amp;A255&amp;"-"&amp;AG$2,"")&amp;IF(N(AH255)&gt;0,", "&amp;A255&amp;"-"&amp;AH$2,"")&amp;IF(N(AI255)&gt;0,", "&amp;A255&amp;"-"&amp;AI$2,"")&amp;IF(N(AJ255)&gt;0,", "&amp;A255&amp;"-"&amp;AJ$2,""),3,999))</f>
        <v/>
      </c>
      <c r="AN255" s="81"/>
      <c r="AO255" s="88"/>
      <c r="AP255" s="89" t="str">
        <f aca="false">IF(AO255="","",ROUND(AO255/(1+Справочники!$B$13),2))</f>
        <v/>
      </c>
      <c r="AQ255" s="90" t="str">
        <f aca="false" t="array" ref="AQ255:AQ255">IF(AP255="","",AP255*INDEX(Справочники!$B$4:$B$7,MATCH("RUB",Справочники!$A$4:$A$7,0)))</f>
        <v/>
      </c>
      <c r="AR255" s="90" t="str">
        <f aca="false">IF(AQ255="","",ROUND(AQ255*(1+Справочники!$B$12),0))</f>
        <v/>
      </c>
      <c r="AS255" s="90" t="str">
        <f aca="false">IF(AR255="","",ROUND(AR255*(1-Справочники!$B$11),0))</f>
        <v/>
      </c>
      <c r="AT255" s="88"/>
      <c r="AU255" s="90" t="str">
        <f aca="false">IF(AT255="","",ROUND(AT255/(1+Справочники!$B$12),0))</f>
        <v/>
      </c>
      <c r="AV255" s="90" t="str">
        <f aca="false">IF(AT255="","",ROUND(AT255*(1-Справочники!$B$15),0))</f>
        <v/>
      </c>
      <c r="AW255" s="90" t="str">
        <f aca="false">IF(AT255="","",ROUND(AT255*(1-Справочники!$B$16),0))</f>
        <v/>
      </c>
      <c r="AX255" s="90" t="str">
        <f aca="false">IF(AT255="","",ROUND(AT255*(1-Справочники!$B$17),0))</f>
        <v/>
      </c>
      <c r="AY255" s="90" t="str">
        <f aca="false">IF(AT255="","",ROUND(AT255*(1-Справочники!$B$18),0))</f>
        <v/>
      </c>
      <c r="AZ255" s="90" t="str">
        <f aca="false">IF(AT255="","",ROUND(AT255*(1-Справочники!$B$19),0))</f>
        <v/>
      </c>
      <c r="BA255" s="81"/>
      <c r="BB255" s="81"/>
      <c r="BC255" s="81"/>
      <c r="BD255" s="81"/>
      <c r="BE255" s="91"/>
      <c r="BF255" s="81" t="s">
        <v>103</v>
      </c>
      <c r="BG255" s="89" t="n">
        <f aca="false" t="array" ref="BG255:BG255">IF(BF255="","",IFERROR(INDEX(Справочники!$B$4:$B$7,MATCH(BF255,Справочники!$A$4:$A$7,0)),""))</f>
        <v>68.5</v>
      </c>
      <c r="BH255" s="90" t="str">
        <f aca="false">IF(N(BN255)&gt;0,ROUND(SUMIF(ЗАКАЗЫ!$F$3:$F$500,$A255,ЗАКАЗЫ!$Y$3:$Y$500)/BN255,0),IF(OR(BE255="",BG255=""),"",ROUND(BE255*BG255*(1+Справочники!$B$10),0)))</f>
        <v/>
      </c>
      <c r="BI255" s="92" t="str">
        <f aca="false">IF(OR(AU255="",BH255="",AU255=0),"",(AU255-BH255)/AU255)</f>
        <v/>
      </c>
      <c r="BJ255" s="81"/>
      <c r="BK255" s="83"/>
      <c r="BL255" s="43" t="str">
        <f aca="false">IFERROR(INDEX(ЗАКАЗЫ!$N$3:$N$500,MATCH($A255,ЗАКАЗЫ!$F$3:$F$500,0)),"")</f>
        <v/>
      </c>
      <c r="BM255" s="8" t="str">
        <f aca="false">IF(BL255="","",IFERROR(VLOOKUP(BL255,'ТН ВЭД'!$A$4:$C$40,3,0),""))</f>
        <v/>
      </c>
      <c r="BN255" s="7" t="str">
        <f aca="false">IF(COUNTIF(ЗАКАЗЫ!$F$3:$F$500,$A255)=0,"",SUMIF(ЗАКАЗЫ!$F$3:$F$500,$A255,ЗАКАЗЫ!$J$3:$J$500))</f>
        <v/>
      </c>
      <c r="BO255" s="7" t="str">
        <f aca="false">IF(BN255="","",SUMIF(ЗАКАЗЫ!$F$3:$F$500,$A255,ЗАКАЗЫ!$AL$3:$AL$500))</f>
        <v/>
      </c>
      <c r="BP255" s="7" t="str">
        <f aca="false">IF(BN255="","",BN255-BO255)</f>
        <v/>
      </c>
      <c r="BQ255" s="55" t="str">
        <f aca="false">IF(BN255="","",IF(BO255&gt;=BN255,"На складе",IF(BO255&gt;0,"Частично","Ждём")))</f>
        <v/>
      </c>
      <c r="BR255" s="43"/>
      <c r="BS255" s="47" t="str">
        <f aca="false">IF(BN255="","",IF(_xlfn.MAXIFS(ЗАКАЗЫ!$AK$3:$AK$500,ЗАКАЗЫ!$F$3:$F$500,$A255)=0,"",_xlfn.MAXIFS(ЗАКАЗЫ!$AK$3:$AK$500,ЗАКАЗЫ!$F$3:$F$500,$A255)))</f>
        <v/>
      </c>
    </row>
    <row r="256" customFormat="false" ht="15.75" hidden="false" customHeight="true" outlineLevel="0" collapsed="false">
      <c r="A256" s="80" t="s">
        <v>1779</v>
      </c>
      <c r="B256" s="81"/>
      <c r="C256" s="81"/>
      <c r="D256" s="81"/>
      <c r="E256" s="83"/>
      <c r="F256" s="81"/>
      <c r="G256" s="83"/>
      <c r="H256" s="83"/>
      <c r="I256" s="84" t="str">
        <f aca="false">IF(E256="","",A256&amp;"_1.jpg")</f>
        <v/>
      </c>
      <c r="J256" s="84" t="str">
        <f aca="false">IF(E256="","",A256&amp;"_2.jpg; "&amp;A256&amp;"_3.jpg")</f>
        <v/>
      </c>
      <c r="K256" s="84" t="str">
        <f aca="false">IF(E256="","",A256&amp;"_schema.jpg")</f>
        <v/>
      </c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 t="s">
        <v>96</v>
      </c>
      <c r="W256" s="81"/>
      <c r="X256" s="81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6" t="str">
        <f aca="false">IF(SUM(Y256:AJ256)=0,"",SUM(Y256:AJ256))</f>
        <v/>
      </c>
      <c r="AL256" s="84" t="str">
        <f aca="false">MID(IF(N(Y256)&gt;0,", "&amp;Y$2,"")&amp;IF(N(Z256)&gt;0,", "&amp;Z$2,"")&amp;IF(N(AA256)&gt;0,", "&amp;AA$2,"")&amp;IF(N(AB256)&gt;0,", "&amp;AB$2,"")&amp;IF(N(AC256)&gt;0,", "&amp;AC$2,"")&amp;IF(N(AD256)&gt;0,", "&amp;AD$2,"")&amp;IF(N(AE256)&gt;0,", "&amp;AE$2,"")&amp;IF(N(AF256)&gt;0,", "&amp;AF$2,"")&amp;IF(N(AG256)&gt;0,", "&amp;AG$2,"")&amp;IF(N(AH256)&gt;0,", "&amp;AH$2,"")&amp;IF(N(AI256)&gt;0,", "&amp;AI$2,"")&amp;IF(N(AJ256)&gt;0,", "&amp;AJ$2,""),3,999)</f>
        <v/>
      </c>
      <c r="AM256" s="87" t="str">
        <f aca="false">IF(E256="","",MID(IF(N(Y256)&gt;0,", "&amp;A256&amp;"-"&amp;Y$2,"")&amp;IF(N(Z256)&gt;0,", "&amp;A256&amp;"-"&amp;Z$2,"")&amp;IF(N(AA256)&gt;0,", "&amp;A256&amp;"-"&amp;AA$2,"")&amp;IF(N(AB256)&gt;0,", "&amp;A256&amp;"-"&amp;AB$2,"")&amp;IF(N(AC256)&gt;0,", "&amp;A256&amp;"-"&amp;AC$2,"")&amp;IF(N(AD256)&gt;0,", "&amp;A256&amp;"-"&amp;AD$2,"")&amp;IF(N(AE256)&gt;0,", "&amp;A256&amp;"-"&amp;AE$2,"")&amp;IF(N(AF256)&gt;0,", "&amp;A256&amp;"-"&amp;AF$2,"")&amp;IF(N(AG256)&gt;0,", "&amp;A256&amp;"-"&amp;AG$2,"")&amp;IF(N(AH256)&gt;0,", "&amp;A256&amp;"-"&amp;AH$2,"")&amp;IF(N(AI256)&gt;0,", "&amp;A256&amp;"-"&amp;AI$2,"")&amp;IF(N(AJ256)&gt;0,", "&amp;A256&amp;"-"&amp;AJ$2,""),3,999))</f>
        <v/>
      </c>
      <c r="AN256" s="81"/>
      <c r="AO256" s="88"/>
      <c r="AP256" s="89" t="str">
        <f aca="false">IF(AO256="","",ROUND(AO256/(1+Справочники!$B$13),2))</f>
        <v/>
      </c>
      <c r="AQ256" s="90" t="str">
        <f aca="false" t="array" ref="AQ256:AQ256">IF(AP256="","",AP256*INDEX(Справочники!$B$4:$B$7,MATCH("RUB",Справочники!$A$4:$A$7,0)))</f>
        <v/>
      </c>
      <c r="AR256" s="90" t="str">
        <f aca="false">IF(AQ256="","",ROUND(AQ256*(1+Справочники!$B$12),0))</f>
        <v/>
      </c>
      <c r="AS256" s="90" t="str">
        <f aca="false">IF(AR256="","",ROUND(AR256*(1-Справочники!$B$11),0))</f>
        <v/>
      </c>
      <c r="AT256" s="88"/>
      <c r="AU256" s="90" t="str">
        <f aca="false">IF(AT256="","",ROUND(AT256/(1+Справочники!$B$12),0))</f>
        <v/>
      </c>
      <c r="AV256" s="90" t="str">
        <f aca="false">IF(AT256="","",ROUND(AT256*(1-Справочники!$B$15),0))</f>
        <v/>
      </c>
      <c r="AW256" s="90" t="str">
        <f aca="false">IF(AT256="","",ROUND(AT256*(1-Справочники!$B$16),0))</f>
        <v/>
      </c>
      <c r="AX256" s="90" t="str">
        <f aca="false">IF(AT256="","",ROUND(AT256*(1-Справочники!$B$17),0))</f>
        <v/>
      </c>
      <c r="AY256" s="90" t="str">
        <f aca="false">IF(AT256="","",ROUND(AT256*(1-Справочники!$B$18),0))</f>
        <v/>
      </c>
      <c r="AZ256" s="90" t="str">
        <f aca="false">IF(AT256="","",ROUND(AT256*(1-Справочники!$B$19),0))</f>
        <v/>
      </c>
      <c r="BA256" s="81"/>
      <c r="BB256" s="81"/>
      <c r="BC256" s="81"/>
      <c r="BD256" s="81"/>
      <c r="BE256" s="91"/>
      <c r="BF256" s="81" t="s">
        <v>103</v>
      </c>
      <c r="BG256" s="89" t="n">
        <f aca="false" t="array" ref="BG256:BG256">IF(BF256="","",IFERROR(INDEX(Справочники!$B$4:$B$7,MATCH(BF256,Справочники!$A$4:$A$7,0)),""))</f>
        <v>68.5</v>
      </c>
      <c r="BH256" s="90" t="str">
        <f aca="false">IF(N(BN256)&gt;0,ROUND(SUMIF(ЗАКАЗЫ!$F$3:$F$500,$A256,ЗАКАЗЫ!$Y$3:$Y$500)/BN256,0),IF(OR(BE256="",BG256=""),"",ROUND(BE256*BG256*(1+Справочники!$B$10),0)))</f>
        <v/>
      </c>
      <c r="BI256" s="92" t="str">
        <f aca="false">IF(OR(AU256="",BH256="",AU256=0),"",(AU256-BH256)/AU256)</f>
        <v/>
      </c>
      <c r="BJ256" s="81"/>
      <c r="BK256" s="83"/>
      <c r="BL256" s="43" t="str">
        <f aca="false">IFERROR(INDEX(ЗАКАЗЫ!$N$3:$N$500,MATCH($A256,ЗАКАЗЫ!$F$3:$F$500,0)),"")</f>
        <v/>
      </c>
      <c r="BM256" s="8" t="str">
        <f aca="false">IF(BL256="","",IFERROR(VLOOKUP(BL256,'ТН ВЭД'!$A$4:$C$40,3,0),""))</f>
        <v/>
      </c>
      <c r="BN256" s="7" t="str">
        <f aca="false">IF(COUNTIF(ЗАКАЗЫ!$F$3:$F$500,$A256)=0,"",SUMIF(ЗАКАЗЫ!$F$3:$F$500,$A256,ЗАКАЗЫ!$J$3:$J$500))</f>
        <v/>
      </c>
      <c r="BO256" s="7" t="str">
        <f aca="false">IF(BN256="","",SUMIF(ЗАКАЗЫ!$F$3:$F$500,$A256,ЗАКАЗЫ!$AL$3:$AL$500))</f>
        <v/>
      </c>
      <c r="BP256" s="7" t="str">
        <f aca="false">IF(BN256="","",BN256-BO256)</f>
        <v/>
      </c>
      <c r="BQ256" s="55" t="str">
        <f aca="false">IF(BN256="","",IF(BO256&gt;=BN256,"На складе",IF(BO256&gt;0,"Частично","Ждём")))</f>
        <v/>
      </c>
      <c r="BR256" s="43"/>
      <c r="BS256" s="47" t="str">
        <f aca="false">IF(BN256="","",IF(_xlfn.MAXIFS(ЗАКАЗЫ!$AK$3:$AK$500,ЗАКАЗЫ!$F$3:$F$500,$A256)=0,"",_xlfn.MAXIFS(ЗАКАЗЫ!$AK$3:$AK$500,ЗАКАЗЫ!$F$3:$F$500,$A256)))</f>
        <v/>
      </c>
    </row>
    <row r="257" customFormat="false" ht="15.75" hidden="false" customHeight="true" outlineLevel="0" collapsed="false">
      <c r="A257" s="80" t="s">
        <v>1780</v>
      </c>
      <c r="B257" s="81"/>
      <c r="C257" s="81"/>
      <c r="D257" s="81"/>
      <c r="E257" s="83"/>
      <c r="F257" s="81"/>
      <c r="G257" s="83"/>
      <c r="H257" s="83"/>
      <c r="I257" s="84" t="str">
        <f aca="false">IF(E257="","",A257&amp;"_1.jpg")</f>
        <v/>
      </c>
      <c r="J257" s="84" t="str">
        <f aca="false">IF(E257="","",A257&amp;"_2.jpg; "&amp;A257&amp;"_3.jpg")</f>
        <v/>
      </c>
      <c r="K257" s="84" t="str">
        <f aca="false">IF(E257="","",A257&amp;"_schema.jpg")</f>
        <v/>
      </c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 t="s">
        <v>96</v>
      </c>
      <c r="W257" s="81"/>
      <c r="X257" s="81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6" t="str">
        <f aca="false">IF(SUM(Y257:AJ257)=0,"",SUM(Y257:AJ257))</f>
        <v/>
      </c>
      <c r="AL257" s="84" t="str">
        <f aca="false">MID(IF(N(Y257)&gt;0,", "&amp;Y$2,"")&amp;IF(N(Z257)&gt;0,", "&amp;Z$2,"")&amp;IF(N(AA257)&gt;0,", "&amp;AA$2,"")&amp;IF(N(AB257)&gt;0,", "&amp;AB$2,"")&amp;IF(N(AC257)&gt;0,", "&amp;AC$2,"")&amp;IF(N(AD257)&gt;0,", "&amp;AD$2,"")&amp;IF(N(AE257)&gt;0,", "&amp;AE$2,"")&amp;IF(N(AF257)&gt;0,", "&amp;AF$2,"")&amp;IF(N(AG257)&gt;0,", "&amp;AG$2,"")&amp;IF(N(AH257)&gt;0,", "&amp;AH$2,"")&amp;IF(N(AI257)&gt;0,", "&amp;AI$2,"")&amp;IF(N(AJ257)&gt;0,", "&amp;AJ$2,""),3,999)</f>
        <v/>
      </c>
      <c r="AM257" s="87" t="str">
        <f aca="false">IF(E257="","",MID(IF(N(Y257)&gt;0,", "&amp;A257&amp;"-"&amp;Y$2,"")&amp;IF(N(Z257)&gt;0,", "&amp;A257&amp;"-"&amp;Z$2,"")&amp;IF(N(AA257)&gt;0,", "&amp;A257&amp;"-"&amp;AA$2,"")&amp;IF(N(AB257)&gt;0,", "&amp;A257&amp;"-"&amp;AB$2,"")&amp;IF(N(AC257)&gt;0,", "&amp;A257&amp;"-"&amp;AC$2,"")&amp;IF(N(AD257)&gt;0,", "&amp;A257&amp;"-"&amp;AD$2,"")&amp;IF(N(AE257)&gt;0,", "&amp;A257&amp;"-"&amp;AE$2,"")&amp;IF(N(AF257)&gt;0,", "&amp;A257&amp;"-"&amp;AF$2,"")&amp;IF(N(AG257)&gt;0,", "&amp;A257&amp;"-"&amp;AG$2,"")&amp;IF(N(AH257)&gt;0,", "&amp;A257&amp;"-"&amp;AH$2,"")&amp;IF(N(AI257)&gt;0,", "&amp;A257&amp;"-"&amp;AI$2,"")&amp;IF(N(AJ257)&gt;0,", "&amp;A257&amp;"-"&amp;AJ$2,""),3,999))</f>
        <v/>
      </c>
      <c r="AN257" s="81"/>
      <c r="AO257" s="88"/>
      <c r="AP257" s="89" t="str">
        <f aca="false">IF(AO257="","",ROUND(AO257/(1+Справочники!$B$13),2))</f>
        <v/>
      </c>
      <c r="AQ257" s="90" t="str">
        <f aca="false" t="array" ref="AQ257:AQ257">IF(AP257="","",AP257*INDEX(Справочники!$B$4:$B$7,MATCH("RUB",Справочники!$A$4:$A$7,0)))</f>
        <v/>
      </c>
      <c r="AR257" s="90" t="str">
        <f aca="false">IF(AQ257="","",ROUND(AQ257*(1+Справочники!$B$12),0))</f>
        <v/>
      </c>
      <c r="AS257" s="90" t="str">
        <f aca="false">IF(AR257="","",ROUND(AR257*(1-Справочники!$B$11),0))</f>
        <v/>
      </c>
      <c r="AT257" s="88"/>
      <c r="AU257" s="90" t="str">
        <f aca="false">IF(AT257="","",ROUND(AT257/(1+Справочники!$B$12),0))</f>
        <v/>
      </c>
      <c r="AV257" s="90" t="str">
        <f aca="false">IF(AT257="","",ROUND(AT257*(1-Справочники!$B$15),0))</f>
        <v/>
      </c>
      <c r="AW257" s="90" t="str">
        <f aca="false">IF(AT257="","",ROUND(AT257*(1-Справочники!$B$16),0))</f>
        <v/>
      </c>
      <c r="AX257" s="90" t="str">
        <f aca="false">IF(AT257="","",ROUND(AT257*(1-Справочники!$B$17),0))</f>
        <v/>
      </c>
      <c r="AY257" s="90" t="str">
        <f aca="false">IF(AT257="","",ROUND(AT257*(1-Справочники!$B$18),0))</f>
        <v/>
      </c>
      <c r="AZ257" s="90" t="str">
        <f aca="false">IF(AT257="","",ROUND(AT257*(1-Справочники!$B$19),0))</f>
        <v/>
      </c>
      <c r="BA257" s="81"/>
      <c r="BB257" s="81"/>
      <c r="BC257" s="81"/>
      <c r="BD257" s="81"/>
      <c r="BE257" s="91"/>
      <c r="BF257" s="81" t="s">
        <v>103</v>
      </c>
      <c r="BG257" s="89" t="n">
        <f aca="false" t="array" ref="BG257:BG257">IF(BF257="","",IFERROR(INDEX(Справочники!$B$4:$B$7,MATCH(BF257,Справочники!$A$4:$A$7,0)),""))</f>
        <v>68.5</v>
      </c>
      <c r="BH257" s="90" t="str">
        <f aca="false">IF(N(BN257)&gt;0,ROUND(SUMIF(ЗАКАЗЫ!$F$3:$F$500,$A257,ЗАКАЗЫ!$Y$3:$Y$500)/BN257,0),IF(OR(BE257="",BG257=""),"",ROUND(BE257*BG257*(1+Справочники!$B$10),0)))</f>
        <v/>
      </c>
      <c r="BI257" s="92" t="str">
        <f aca="false">IF(OR(AU257="",BH257="",AU257=0),"",(AU257-BH257)/AU257)</f>
        <v/>
      </c>
      <c r="BJ257" s="81"/>
      <c r="BK257" s="83"/>
      <c r="BL257" s="43" t="str">
        <f aca="false">IFERROR(INDEX(ЗАКАЗЫ!$N$3:$N$500,MATCH($A257,ЗАКАЗЫ!$F$3:$F$500,0)),"")</f>
        <v/>
      </c>
      <c r="BM257" s="8" t="str">
        <f aca="false">IF(BL257="","",IFERROR(VLOOKUP(BL257,'ТН ВЭД'!$A$4:$C$40,3,0),""))</f>
        <v/>
      </c>
      <c r="BN257" s="7" t="str">
        <f aca="false">IF(COUNTIF(ЗАКАЗЫ!$F$3:$F$500,$A257)=0,"",SUMIF(ЗАКАЗЫ!$F$3:$F$500,$A257,ЗАКАЗЫ!$J$3:$J$500))</f>
        <v/>
      </c>
      <c r="BO257" s="7" t="str">
        <f aca="false">IF(BN257="","",SUMIF(ЗАКАЗЫ!$F$3:$F$500,$A257,ЗАКАЗЫ!$AL$3:$AL$500))</f>
        <v/>
      </c>
      <c r="BP257" s="7" t="str">
        <f aca="false">IF(BN257="","",BN257-BO257)</f>
        <v/>
      </c>
      <c r="BQ257" s="55" t="str">
        <f aca="false">IF(BN257="","",IF(BO257&gt;=BN257,"На складе",IF(BO257&gt;0,"Частично","Ждём")))</f>
        <v/>
      </c>
      <c r="BR257" s="43"/>
      <c r="BS257" s="47" t="str">
        <f aca="false">IF(BN257="","",IF(_xlfn.MAXIFS(ЗАКАЗЫ!$AK$3:$AK$500,ЗАКАЗЫ!$F$3:$F$500,$A257)=0,"",_xlfn.MAXIFS(ЗАКАЗЫ!$AK$3:$AK$500,ЗАКАЗЫ!$F$3:$F$500,$A257)))</f>
        <v/>
      </c>
    </row>
    <row r="258" customFormat="false" ht="15.75" hidden="false" customHeight="true" outlineLevel="0" collapsed="false">
      <c r="A258" s="80" t="s">
        <v>1781</v>
      </c>
      <c r="B258" s="81"/>
      <c r="C258" s="81"/>
      <c r="D258" s="81"/>
      <c r="E258" s="83"/>
      <c r="F258" s="81"/>
      <c r="G258" s="83"/>
      <c r="H258" s="83"/>
      <c r="I258" s="84" t="str">
        <f aca="false">IF(E258="","",A258&amp;"_1.jpg")</f>
        <v/>
      </c>
      <c r="J258" s="84" t="str">
        <f aca="false">IF(E258="","",A258&amp;"_2.jpg; "&amp;A258&amp;"_3.jpg")</f>
        <v/>
      </c>
      <c r="K258" s="84" t="str">
        <f aca="false">IF(E258="","",A258&amp;"_schema.jpg")</f>
        <v/>
      </c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 t="s">
        <v>96</v>
      </c>
      <c r="W258" s="81"/>
      <c r="X258" s="81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6" t="str">
        <f aca="false">IF(SUM(Y258:AJ258)=0,"",SUM(Y258:AJ258))</f>
        <v/>
      </c>
      <c r="AL258" s="84" t="str">
        <f aca="false">MID(IF(N(Y258)&gt;0,", "&amp;Y$2,"")&amp;IF(N(Z258)&gt;0,", "&amp;Z$2,"")&amp;IF(N(AA258)&gt;0,", "&amp;AA$2,"")&amp;IF(N(AB258)&gt;0,", "&amp;AB$2,"")&amp;IF(N(AC258)&gt;0,", "&amp;AC$2,"")&amp;IF(N(AD258)&gt;0,", "&amp;AD$2,"")&amp;IF(N(AE258)&gt;0,", "&amp;AE$2,"")&amp;IF(N(AF258)&gt;0,", "&amp;AF$2,"")&amp;IF(N(AG258)&gt;0,", "&amp;AG$2,"")&amp;IF(N(AH258)&gt;0,", "&amp;AH$2,"")&amp;IF(N(AI258)&gt;0,", "&amp;AI$2,"")&amp;IF(N(AJ258)&gt;0,", "&amp;AJ$2,""),3,999)</f>
        <v/>
      </c>
      <c r="AM258" s="87" t="str">
        <f aca="false">IF(E258="","",MID(IF(N(Y258)&gt;0,", "&amp;A258&amp;"-"&amp;Y$2,"")&amp;IF(N(Z258)&gt;0,", "&amp;A258&amp;"-"&amp;Z$2,"")&amp;IF(N(AA258)&gt;0,", "&amp;A258&amp;"-"&amp;AA$2,"")&amp;IF(N(AB258)&gt;0,", "&amp;A258&amp;"-"&amp;AB$2,"")&amp;IF(N(AC258)&gt;0,", "&amp;A258&amp;"-"&amp;AC$2,"")&amp;IF(N(AD258)&gt;0,", "&amp;A258&amp;"-"&amp;AD$2,"")&amp;IF(N(AE258)&gt;0,", "&amp;A258&amp;"-"&amp;AE$2,"")&amp;IF(N(AF258)&gt;0,", "&amp;A258&amp;"-"&amp;AF$2,"")&amp;IF(N(AG258)&gt;0,", "&amp;A258&amp;"-"&amp;AG$2,"")&amp;IF(N(AH258)&gt;0,", "&amp;A258&amp;"-"&amp;AH$2,"")&amp;IF(N(AI258)&gt;0,", "&amp;A258&amp;"-"&amp;AI$2,"")&amp;IF(N(AJ258)&gt;0,", "&amp;A258&amp;"-"&amp;AJ$2,""),3,999))</f>
        <v/>
      </c>
      <c r="AN258" s="81"/>
      <c r="AO258" s="88"/>
      <c r="AP258" s="89" t="str">
        <f aca="false">IF(AO258="","",ROUND(AO258/(1+Справочники!$B$13),2))</f>
        <v/>
      </c>
      <c r="AQ258" s="90" t="str">
        <f aca="false" t="array" ref="AQ258:AQ258">IF(AP258="","",AP258*INDEX(Справочники!$B$4:$B$7,MATCH("RUB",Справочники!$A$4:$A$7,0)))</f>
        <v/>
      </c>
      <c r="AR258" s="90" t="str">
        <f aca="false">IF(AQ258="","",ROUND(AQ258*(1+Справочники!$B$12),0))</f>
        <v/>
      </c>
      <c r="AS258" s="90" t="str">
        <f aca="false">IF(AR258="","",ROUND(AR258*(1-Справочники!$B$11),0))</f>
        <v/>
      </c>
      <c r="AT258" s="88"/>
      <c r="AU258" s="90" t="str">
        <f aca="false">IF(AT258="","",ROUND(AT258/(1+Справочники!$B$12),0))</f>
        <v/>
      </c>
      <c r="AV258" s="90" t="str">
        <f aca="false">IF(AT258="","",ROUND(AT258*(1-Справочники!$B$15),0))</f>
        <v/>
      </c>
      <c r="AW258" s="90" t="str">
        <f aca="false">IF(AT258="","",ROUND(AT258*(1-Справочники!$B$16),0))</f>
        <v/>
      </c>
      <c r="AX258" s="90" t="str">
        <f aca="false">IF(AT258="","",ROUND(AT258*(1-Справочники!$B$17),0))</f>
        <v/>
      </c>
      <c r="AY258" s="90" t="str">
        <f aca="false">IF(AT258="","",ROUND(AT258*(1-Справочники!$B$18),0))</f>
        <v/>
      </c>
      <c r="AZ258" s="90" t="str">
        <f aca="false">IF(AT258="","",ROUND(AT258*(1-Справочники!$B$19),0))</f>
        <v/>
      </c>
      <c r="BA258" s="81"/>
      <c r="BB258" s="81"/>
      <c r="BC258" s="81"/>
      <c r="BD258" s="81"/>
      <c r="BE258" s="91"/>
      <c r="BF258" s="81" t="s">
        <v>103</v>
      </c>
      <c r="BG258" s="89" t="n">
        <f aca="false" t="array" ref="BG258:BG258">IF(BF258="","",IFERROR(INDEX(Справочники!$B$4:$B$7,MATCH(BF258,Справочники!$A$4:$A$7,0)),""))</f>
        <v>68.5</v>
      </c>
      <c r="BH258" s="90" t="str">
        <f aca="false">IF(N(BN258)&gt;0,ROUND(SUMIF(ЗАКАЗЫ!$F$3:$F$500,$A258,ЗАКАЗЫ!$Y$3:$Y$500)/BN258,0),IF(OR(BE258="",BG258=""),"",ROUND(BE258*BG258*(1+Справочники!$B$10),0)))</f>
        <v/>
      </c>
      <c r="BI258" s="92" t="str">
        <f aca="false">IF(OR(AU258="",BH258="",AU258=0),"",(AU258-BH258)/AU258)</f>
        <v/>
      </c>
      <c r="BJ258" s="81"/>
      <c r="BK258" s="83"/>
      <c r="BL258" s="43" t="str">
        <f aca="false">IFERROR(INDEX(ЗАКАЗЫ!$N$3:$N$500,MATCH($A258,ЗАКАЗЫ!$F$3:$F$500,0)),"")</f>
        <v/>
      </c>
      <c r="BM258" s="8" t="str">
        <f aca="false">IF(BL258="","",IFERROR(VLOOKUP(BL258,'ТН ВЭД'!$A$4:$C$40,3,0),""))</f>
        <v/>
      </c>
      <c r="BN258" s="7" t="str">
        <f aca="false">IF(COUNTIF(ЗАКАЗЫ!$F$3:$F$500,$A258)=0,"",SUMIF(ЗАКАЗЫ!$F$3:$F$500,$A258,ЗАКАЗЫ!$J$3:$J$500))</f>
        <v/>
      </c>
      <c r="BO258" s="7" t="str">
        <f aca="false">IF(BN258="","",SUMIF(ЗАКАЗЫ!$F$3:$F$500,$A258,ЗАКАЗЫ!$AL$3:$AL$500))</f>
        <v/>
      </c>
      <c r="BP258" s="7" t="str">
        <f aca="false">IF(BN258="","",BN258-BO258)</f>
        <v/>
      </c>
      <c r="BQ258" s="55" t="str">
        <f aca="false">IF(BN258="","",IF(BO258&gt;=BN258,"На складе",IF(BO258&gt;0,"Частично","Ждём")))</f>
        <v/>
      </c>
      <c r="BR258" s="43"/>
      <c r="BS258" s="47" t="str">
        <f aca="false">IF(BN258="","",IF(_xlfn.MAXIFS(ЗАКАЗЫ!$AK$3:$AK$500,ЗАКАЗЫ!$F$3:$F$500,$A258)=0,"",_xlfn.MAXIFS(ЗАКАЗЫ!$AK$3:$AK$500,ЗАКАЗЫ!$F$3:$F$500,$A258)))</f>
        <v/>
      </c>
    </row>
    <row r="259" customFormat="false" ht="15.75" hidden="false" customHeight="true" outlineLevel="0" collapsed="false">
      <c r="A259" s="80" t="s">
        <v>1782</v>
      </c>
      <c r="B259" s="81"/>
      <c r="C259" s="81"/>
      <c r="D259" s="81"/>
      <c r="E259" s="83"/>
      <c r="F259" s="81"/>
      <c r="G259" s="83"/>
      <c r="H259" s="83"/>
      <c r="I259" s="84" t="str">
        <f aca="false">IF(E259="","",A259&amp;"_1.jpg")</f>
        <v/>
      </c>
      <c r="J259" s="84" t="str">
        <f aca="false">IF(E259="","",A259&amp;"_2.jpg; "&amp;A259&amp;"_3.jpg")</f>
        <v/>
      </c>
      <c r="K259" s="84" t="str">
        <f aca="false">IF(E259="","",A259&amp;"_schema.jpg")</f>
        <v/>
      </c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 t="s">
        <v>96</v>
      </c>
      <c r="W259" s="81"/>
      <c r="X259" s="81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6" t="str">
        <f aca="false">IF(SUM(Y259:AJ259)=0,"",SUM(Y259:AJ259))</f>
        <v/>
      </c>
      <c r="AL259" s="84" t="str">
        <f aca="false">MID(IF(N(Y259)&gt;0,", "&amp;Y$2,"")&amp;IF(N(Z259)&gt;0,", "&amp;Z$2,"")&amp;IF(N(AA259)&gt;0,", "&amp;AA$2,"")&amp;IF(N(AB259)&gt;0,", "&amp;AB$2,"")&amp;IF(N(AC259)&gt;0,", "&amp;AC$2,"")&amp;IF(N(AD259)&gt;0,", "&amp;AD$2,"")&amp;IF(N(AE259)&gt;0,", "&amp;AE$2,"")&amp;IF(N(AF259)&gt;0,", "&amp;AF$2,"")&amp;IF(N(AG259)&gt;0,", "&amp;AG$2,"")&amp;IF(N(AH259)&gt;0,", "&amp;AH$2,"")&amp;IF(N(AI259)&gt;0,", "&amp;AI$2,"")&amp;IF(N(AJ259)&gt;0,", "&amp;AJ$2,""),3,999)</f>
        <v/>
      </c>
      <c r="AM259" s="87" t="str">
        <f aca="false">IF(E259="","",MID(IF(N(Y259)&gt;0,", "&amp;A259&amp;"-"&amp;Y$2,"")&amp;IF(N(Z259)&gt;0,", "&amp;A259&amp;"-"&amp;Z$2,"")&amp;IF(N(AA259)&gt;0,", "&amp;A259&amp;"-"&amp;AA$2,"")&amp;IF(N(AB259)&gt;0,", "&amp;A259&amp;"-"&amp;AB$2,"")&amp;IF(N(AC259)&gt;0,", "&amp;A259&amp;"-"&amp;AC$2,"")&amp;IF(N(AD259)&gt;0,", "&amp;A259&amp;"-"&amp;AD$2,"")&amp;IF(N(AE259)&gt;0,", "&amp;A259&amp;"-"&amp;AE$2,"")&amp;IF(N(AF259)&gt;0,", "&amp;A259&amp;"-"&amp;AF$2,"")&amp;IF(N(AG259)&gt;0,", "&amp;A259&amp;"-"&amp;AG$2,"")&amp;IF(N(AH259)&gt;0,", "&amp;A259&amp;"-"&amp;AH$2,"")&amp;IF(N(AI259)&gt;0,", "&amp;A259&amp;"-"&amp;AI$2,"")&amp;IF(N(AJ259)&gt;0,", "&amp;A259&amp;"-"&amp;AJ$2,""),3,999))</f>
        <v/>
      </c>
      <c r="AN259" s="81"/>
      <c r="AO259" s="88"/>
      <c r="AP259" s="89" t="str">
        <f aca="false">IF(AO259="","",ROUND(AO259/(1+Справочники!$B$13),2))</f>
        <v/>
      </c>
      <c r="AQ259" s="90" t="str">
        <f aca="false" t="array" ref="AQ259:AQ259">IF(AP259="","",AP259*INDEX(Справочники!$B$4:$B$7,MATCH("RUB",Справочники!$A$4:$A$7,0)))</f>
        <v/>
      </c>
      <c r="AR259" s="90" t="str">
        <f aca="false">IF(AQ259="","",ROUND(AQ259*(1+Справочники!$B$12),0))</f>
        <v/>
      </c>
      <c r="AS259" s="90" t="str">
        <f aca="false">IF(AR259="","",ROUND(AR259*(1-Справочники!$B$11),0))</f>
        <v/>
      </c>
      <c r="AT259" s="88"/>
      <c r="AU259" s="90" t="str">
        <f aca="false">IF(AT259="","",ROUND(AT259/(1+Справочники!$B$12),0))</f>
        <v/>
      </c>
      <c r="AV259" s="90" t="str">
        <f aca="false">IF(AT259="","",ROUND(AT259*(1-Справочники!$B$15),0))</f>
        <v/>
      </c>
      <c r="AW259" s="90" t="str">
        <f aca="false">IF(AT259="","",ROUND(AT259*(1-Справочники!$B$16),0))</f>
        <v/>
      </c>
      <c r="AX259" s="90" t="str">
        <f aca="false">IF(AT259="","",ROUND(AT259*(1-Справочники!$B$17),0))</f>
        <v/>
      </c>
      <c r="AY259" s="90" t="str">
        <f aca="false">IF(AT259="","",ROUND(AT259*(1-Справочники!$B$18),0))</f>
        <v/>
      </c>
      <c r="AZ259" s="90" t="str">
        <f aca="false">IF(AT259="","",ROUND(AT259*(1-Справочники!$B$19),0))</f>
        <v/>
      </c>
      <c r="BA259" s="81"/>
      <c r="BB259" s="81"/>
      <c r="BC259" s="81"/>
      <c r="BD259" s="81"/>
      <c r="BE259" s="91"/>
      <c r="BF259" s="81" t="s">
        <v>103</v>
      </c>
      <c r="BG259" s="89" t="n">
        <f aca="false" t="array" ref="BG259:BG259">IF(BF259="","",IFERROR(INDEX(Справочники!$B$4:$B$7,MATCH(BF259,Справочники!$A$4:$A$7,0)),""))</f>
        <v>68.5</v>
      </c>
      <c r="BH259" s="90" t="str">
        <f aca="false">IF(N(BN259)&gt;0,ROUND(SUMIF(ЗАКАЗЫ!$F$3:$F$500,$A259,ЗАКАЗЫ!$Y$3:$Y$500)/BN259,0),IF(OR(BE259="",BG259=""),"",ROUND(BE259*BG259*(1+Справочники!$B$10),0)))</f>
        <v/>
      </c>
      <c r="BI259" s="92" t="str">
        <f aca="false">IF(OR(AU259="",BH259="",AU259=0),"",(AU259-BH259)/AU259)</f>
        <v/>
      </c>
      <c r="BJ259" s="81"/>
      <c r="BK259" s="83"/>
      <c r="BL259" s="43" t="str">
        <f aca="false">IFERROR(INDEX(ЗАКАЗЫ!$N$3:$N$500,MATCH($A259,ЗАКАЗЫ!$F$3:$F$500,0)),"")</f>
        <v/>
      </c>
      <c r="BM259" s="8" t="str">
        <f aca="false">IF(BL259="","",IFERROR(VLOOKUP(BL259,'ТН ВЭД'!$A$4:$C$40,3,0),""))</f>
        <v/>
      </c>
      <c r="BN259" s="7" t="str">
        <f aca="false">IF(COUNTIF(ЗАКАЗЫ!$F$3:$F$500,$A259)=0,"",SUMIF(ЗАКАЗЫ!$F$3:$F$500,$A259,ЗАКАЗЫ!$J$3:$J$500))</f>
        <v/>
      </c>
      <c r="BO259" s="7" t="str">
        <f aca="false">IF(BN259="","",SUMIF(ЗАКАЗЫ!$F$3:$F$500,$A259,ЗАКАЗЫ!$AL$3:$AL$500))</f>
        <v/>
      </c>
      <c r="BP259" s="7" t="str">
        <f aca="false">IF(BN259="","",BN259-BO259)</f>
        <v/>
      </c>
      <c r="BQ259" s="55" t="str">
        <f aca="false">IF(BN259="","",IF(BO259&gt;=BN259,"На складе",IF(BO259&gt;0,"Частично","Ждём")))</f>
        <v/>
      </c>
      <c r="BR259" s="43"/>
      <c r="BS259" s="47" t="str">
        <f aca="false">IF(BN259="","",IF(_xlfn.MAXIFS(ЗАКАЗЫ!$AK$3:$AK$500,ЗАКАЗЫ!$F$3:$F$500,$A259)=0,"",_xlfn.MAXIFS(ЗАКАЗЫ!$AK$3:$AK$500,ЗАКАЗЫ!$F$3:$F$500,$A259)))</f>
        <v/>
      </c>
    </row>
    <row r="260" customFormat="false" ht="15.75" hidden="false" customHeight="true" outlineLevel="0" collapsed="false">
      <c r="A260" s="80" t="s">
        <v>1783</v>
      </c>
      <c r="B260" s="81"/>
      <c r="C260" s="81"/>
      <c r="D260" s="81"/>
      <c r="E260" s="83"/>
      <c r="F260" s="81"/>
      <c r="G260" s="83"/>
      <c r="H260" s="83"/>
      <c r="I260" s="84" t="str">
        <f aca="false">IF(E260="","",A260&amp;"_1.jpg")</f>
        <v/>
      </c>
      <c r="J260" s="84" t="str">
        <f aca="false">IF(E260="","",A260&amp;"_2.jpg; "&amp;A260&amp;"_3.jpg")</f>
        <v/>
      </c>
      <c r="K260" s="84" t="str">
        <f aca="false">IF(E260="","",A260&amp;"_schema.jpg")</f>
        <v/>
      </c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 t="s">
        <v>96</v>
      </c>
      <c r="W260" s="81"/>
      <c r="X260" s="81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6" t="str">
        <f aca="false">IF(SUM(Y260:AJ260)=0,"",SUM(Y260:AJ260))</f>
        <v/>
      </c>
      <c r="AL260" s="84" t="str">
        <f aca="false">MID(IF(N(Y260)&gt;0,", "&amp;Y$2,"")&amp;IF(N(Z260)&gt;0,", "&amp;Z$2,"")&amp;IF(N(AA260)&gt;0,", "&amp;AA$2,"")&amp;IF(N(AB260)&gt;0,", "&amp;AB$2,"")&amp;IF(N(AC260)&gt;0,", "&amp;AC$2,"")&amp;IF(N(AD260)&gt;0,", "&amp;AD$2,"")&amp;IF(N(AE260)&gt;0,", "&amp;AE$2,"")&amp;IF(N(AF260)&gt;0,", "&amp;AF$2,"")&amp;IF(N(AG260)&gt;0,", "&amp;AG$2,"")&amp;IF(N(AH260)&gt;0,", "&amp;AH$2,"")&amp;IF(N(AI260)&gt;0,", "&amp;AI$2,"")&amp;IF(N(AJ260)&gt;0,", "&amp;AJ$2,""),3,999)</f>
        <v/>
      </c>
      <c r="AM260" s="87" t="str">
        <f aca="false">IF(E260="","",MID(IF(N(Y260)&gt;0,", "&amp;A260&amp;"-"&amp;Y$2,"")&amp;IF(N(Z260)&gt;0,", "&amp;A260&amp;"-"&amp;Z$2,"")&amp;IF(N(AA260)&gt;0,", "&amp;A260&amp;"-"&amp;AA$2,"")&amp;IF(N(AB260)&gt;0,", "&amp;A260&amp;"-"&amp;AB$2,"")&amp;IF(N(AC260)&gt;0,", "&amp;A260&amp;"-"&amp;AC$2,"")&amp;IF(N(AD260)&gt;0,", "&amp;A260&amp;"-"&amp;AD$2,"")&amp;IF(N(AE260)&gt;0,", "&amp;A260&amp;"-"&amp;AE$2,"")&amp;IF(N(AF260)&gt;0,", "&amp;A260&amp;"-"&amp;AF$2,"")&amp;IF(N(AG260)&gt;0,", "&amp;A260&amp;"-"&amp;AG$2,"")&amp;IF(N(AH260)&gt;0,", "&amp;A260&amp;"-"&amp;AH$2,"")&amp;IF(N(AI260)&gt;0,", "&amp;A260&amp;"-"&amp;AI$2,"")&amp;IF(N(AJ260)&gt;0,", "&amp;A260&amp;"-"&amp;AJ$2,""),3,999))</f>
        <v/>
      </c>
      <c r="AN260" s="81"/>
      <c r="AO260" s="88"/>
      <c r="AP260" s="89" t="str">
        <f aca="false">IF(AO260="","",ROUND(AO260/(1+Справочники!$B$13),2))</f>
        <v/>
      </c>
      <c r="AQ260" s="90" t="str">
        <f aca="false" t="array" ref="AQ260:AQ260">IF(AP260="","",AP260*INDEX(Справочники!$B$4:$B$7,MATCH("RUB",Справочники!$A$4:$A$7,0)))</f>
        <v/>
      </c>
      <c r="AR260" s="90" t="str">
        <f aca="false">IF(AQ260="","",ROUND(AQ260*(1+Справочники!$B$12),0))</f>
        <v/>
      </c>
      <c r="AS260" s="90" t="str">
        <f aca="false">IF(AR260="","",ROUND(AR260*(1-Справочники!$B$11),0))</f>
        <v/>
      </c>
      <c r="AT260" s="88"/>
      <c r="AU260" s="90" t="str">
        <f aca="false">IF(AT260="","",ROUND(AT260/(1+Справочники!$B$12),0))</f>
        <v/>
      </c>
      <c r="AV260" s="90" t="str">
        <f aca="false">IF(AT260="","",ROUND(AT260*(1-Справочники!$B$15),0))</f>
        <v/>
      </c>
      <c r="AW260" s="90" t="str">
        <f aca="false">IF(AT260="","",ROUND(AT260*(1-Справочники!$B$16),0))</f>
        <v/>
      </c>
      <c r="AX260" s="90" t="str">
        <f aca="false">IF(AT260="","",ROUND(AT260*(1-Справочники!$B$17),0))</f>
        <v/>
      </c>
      <c r="AY260" s="90" t="str">
        <f aca="false">IF(AT260="","",ROUND(AT260*(1-Справочники!$B$18),0))</f>
        <v/>
      </c>
      <c r="AZ260" s="90" t="str">
        <f aca="false">IF(AT260="","",ROUND(AT260*(1-Справочники!$B$19),0))</f>
        <v/>
      </c>
      <c r="BA260" s="81"/>
      <c r="BB260" s="81"/>
      <c r="BC260" s="81"/>
      <c r="BD260" s="81"/>
      <c r="BE260" s="91"/>
      <c r="BF260" s="81" t="s">
        <v>103</v>
      </c>
      <c r="BG260" s="89" t="n">
        <f aca="false" t="array" ref="BG260:BG260">IF(BF260="","",IFERROR(INDEX(Справочники!$B$4:$B$7,MATCH(BF260,Справочники!$A$4:$A$7,0)),""))</f>
        <v>68.5</v>
      </c>
      <c r="BH260" s="90" t="str">
        <f aca="false">IF(N(BN260)&gt;0,ROUND(SUMIF(ЗАКАЗЫ!$F$3:$F$500,$A260,ЗАКАЗЫ!$Y$3:$Y$500)/BN260,0),IF(OR(BE260="",BG260=""),"",ROUND(BE260*BG260*(1+Справочники!$B$10),0)))</f>
        <v/>
      </c>
      <c r="BI260" s="92" t="str">
        <f aca="false">IF(OR(AU260="",BH260="",AU260=0),"",(AU260-BH260)/AU260)</f>
        <v/>
      </c>
      <c r="BJ260" s="81"/>
      <c r="BK260" s="83"/>
      <c r="BL260" s="43" t="str">
        <f aca="false">IFERROR(INDEX(ЗАКАЗЫ!$N$3:$N$500,MATCH($A260,ЗАКАЗЫ!$F$3:$F$500,0)),"")</f>
        <v/>
      </c>
      <c r="BM260" s="8" t="str">
        <f aca="false">IF(BL260="","",IFERROR(VLOOKUP(BL260,'ТН ВЭД'!$A$4:$C$40,3,0),""))</f>
        <v/>
      </c>
      <c r="BN260" s="7" t="str">
        <f aca="false">IF(COUNTIF(ЗАКАЗЫ!$F$3:$F$500,$A260)=0,"",SUMIF(ЗАКАЗЫ!$F$3:$F$500,$A260,ЗАКАЗЫ!$J$3:$J$500))</f>
        <v/>
      </c>
      <c r="BO260" s="7" t="str">
        <f aca="false">IF(BN260="","",SUMIF(ЗАКАЗЫ!$F$3:$F$500,$A260,ЗАКАЗЫ!$AL$3:$AL$500))</f>
        <v/>
      </c>
      <c r="BP260" s="7" t="str">
        <f aca="false">IF(BN260="","",BN260-BO260)</f>
        <v/>
      </c>
      <c r="BQ260" s="55" t="str">
        <f aca="false">IF(BN260="","",IF(BO260&gt;=BN260,"На складе",IF(BO260&gt;0,"Частично","Ждём")))</f>
        <v/>
      </c>
      <c r="BR260" s="43"/>
      <c r="BS260" s="47" t="str">
        <f aca="false">IF(BN260="","",IF(_xlfn.MAXIFS(ЗАКАЗЫ!$AK$3:$AK$500,ЗАКАЗЫ!$F$3:$F$500,$A260)=0,"",_xlfn.MAXIFS(ЗАКАЗЫ!$AK$3:$AK$500,ЗАКАЗЫ!$F$3:$F$500,$A260)))</f>
        <v/>
      </c>
    </row>
    <row r="261" customFormat="false" ht="15.75" hidden="false" customHeight="true" outlineLevel="0" collapsed="false">
      <c r="A261" s="80" t="s">
        <v>1784</v>
      </c>
      <c r="B261" s="81"/>
      <c r="C261" s="81"/>
      <c r="D261" s="81"/>
      <c r="E261" s="83"/>
      <c r="F261" s="81"/>
      <c r="G261" s="83"/>
      <c r="H261" s="83"/>
      <c r="I261" s="84" t="str">
        <f aca="false">IF(E261="","",A261&amp;"_1.jpg")</f>
        <v/>
      </c>
      <c r="J261" s="84" t="str">
        <f aca="false">IF(E261="","",A261&amp;"_2.jpg; "&amp;A261&amp;"_3.jpg")</f>
        <v/>
      </c>
      <c r="K261" s="84" t="str">
        <f aca="false">IF(E261="","",A261&amp;"_schema.jpg")</f>
        <v/>
      </c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 t="s">
        <v>96</v>
      </c>
      <c r="W261" s="81"/>
      <c r="X261" s="81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6" t="str">
        <f aca="false">IF(SUM(Y261:AJ261)=0,"",SUM(Y261:AJ261))</f>
        <v/>
      </c>
      <c r="AL261" s="84" t="str">
        <f aca="false">MID(IF(N(Y261)&gt;0,", "&amp;Y$2,"")&amp;IF(N(Z261)&gt;0,", "&amp;Z$2,"")&amp;IF(N(AA261)&gt;0,", "&amp;AA$2,"")&amp;IF(N(AB261)&gt;0,", "&amp;AB$2,"")&amp;IF(N(AC261)&gt;0,", "&amp;AC$2,"")&amp;IF(N(AD261)&gt;0,", "&amp;AD$2,"")&amp;IF(N(AE261)&gt;0,", "&amp;AE$2,"")&amp;IF(N(AF261)&gt;0,", "&amp;AF$2,"")&amp;IF(N(AG261)&gt;0,", "&amp;AG$2,"")&amp;IF(N(AH261)&gt;0,", "&amp;AH$2,"")&amp;IF(N(AI261)&gt;0,", "&amp;AI$2,"")&amp;IF(N(AJ261)&gt;0,", "&amp;AJ$2,""),3,999)</f>
        <v/>
      </c>
      <c r="AM261" s="87" t="str">
        <f aca="false">IF(E261="","",MID(IF(N(Y261)&gt;0,", "&amp;A261&amp;"-"&amp;Y$2,"")&amp;IF(N(Z261)&gt;0,", "&amp;A261&amp;"-"&amp;Z$2,"")&amp;IF(N(AA261)&gt;0,", "&amp;A261&amp;"-"&amp;AA$2,"")&amp;IF(N(AB261)&gt;0,", "&amp;A261&amp;"-"&amp;AB$2,"")&amp;IF(N(AC261)&gt;0,", "&amp;A261&amp;"-"&amp;AC$2,"")&amp;IF(N(AD261)&gt;0,", "&amp;A261&amp;"-"&amp;AD$2,"")&amp;IF(N(AE261)&gt;0,", "&amp;A261&amp;"-"&amp;AE$2,"")&amp;IF(N(AF261)&gt;0,", "&amp;A261&amp;"-"&amp;AF$2,"")&amp;IF(N(AG261)&gt;0,", "&amp;A261&amp;"-"&amp;AG$2,"")&amp;IF(N(AH261)&gt;0,", "&amp;A261&amp;"-"&amp;AH$2,"")&amp;IF(N(AI261)&gt;0,", "&amp;A261&amp;"-"&amp;AI$2,"")&amp;IF(N(AJ261)&gt;0,", "&amp;A261&amp;"-"&amp;AJ$2,""),3,999))</f>
        <v/>
      </c>
      <c r="AN261" s="81"/>
      <c r="AO261" s="88"/>
      <c r="AP261" s="89" t="str">
        <f aca="false">IF(AO261="","",ROUND(AO261/(1+Справочники!$B$13),2))</f>
        <v/>
      </c>
      <c r="AQ261" s="90" t="str">
        <f aca="false" t="array" ref="AQ261:AQ261">IF(AP261="","",AP261*INDEX(Справочники!$B$4:$B$7,MATCH("RUB",Справочники!$A$4:$A$7,0)))</f>
        <v/>
      </c>
      <c r="AR261" s="90" t="str">
        <f aca="false">IF(AQ261="","",ROUND(AQ261*(1+Справочники!$B$12),0))</f>
        <v/>
      </c>
      <c r="AS261" s="90" t="str">
        <f aca="false">IF(AR261="","",ROUND(AR261*(1-Справочники!$B$11),0))</f>
        <v/>
      </c>
      <c r="AT261" s="88"/>
      <c r="AU261" s="90" t="str">
        <f aca="false">IF(AT261="","",ROUND(AT261/(1+Справочники!$B$12),0))</f>
        <v/>
      </c>
      <c r="AV261" s="90" t="str">
        <f aca="false">IF(AT261="","",ROUND(AT261*(1-Справочники!$B$15),0))</f>
        <v/>
      </c>
      <c r="AW261" s="90" t="str">
        <f aca="false">IF(AT261="","",ROUND(AT261*(1-Справочники!$B$16),0))</f>
        <v/>
      </c>
      <c r="AX261" s="90" t="str">
        <f aca="false">IF(AT261="","",ROUND(AT261*(1-Справочники!$B$17),0))</f>
        <v/>
      </c>
      <c r="AY261" s="90" t="str">
        <f aca="false">IF(AT261="","",ROUND(AT261*(1-Справочники!$B$18),0))</f>
        <v/>
      </c>
      <c r="AZ261" s="90" t="str">
        <f aca="false">IF(AT261="","",ROUND(AT261*(1-Справочники!$B$19),0))</f>
        <v/>
      </c>
      <c r="BA261" s="81"/>
      <c r="BB261" s="81"/>
      <c r="BC261" s="81"/>
      <c r="BD261" s="81"/>
      <c r="BE261" s="91"/>
      <c r="BF261" s="81" t="s">
        <v>103</v>
      </c>
      <c r="BG261" s="89" t="n">
        <f aca="false" t="array" ref="BG261:BG261">IF(BF261="","",IFERROR(INDEX(Справочники!$B$4:$B$7,MATCH(BF261,Справочники!$A$4:$A$7,0)),""))</f>
        <v>68.5</v>
      </c>
      <c r="BH261" s="90" t="str">
        <f aca="false">IF(N(BN261)&gt;0,ROUND(SUMIF(ЗАКАЗЫ!$F$3:$F$500,$A261,ЗАКАЗЫ!$Y$3:$Y$500)/BN261,0),IF(OR(BE261="",BG261=""),"",ROUND(BE261*BG261*(1+Справочники!$B$10),0)))</f>
        <v/>
      </c>
      <c r="BI261" s="92" t="str">
        <f aca="false">IF(OR(AU261="",BH261="",AU261=0),"",(AU261-BH261)/AU261)</f>
        <v/>
      </c>
      <c r="BJ261" s="81"/>
      <c r="BK261" s="83"/>
      <c r="BL261" s="43" t="str">
        <f aca="false">IFERROR(INDEX(ЗАКАЗЫ!$N$3:$N$500,MATCH($A261,ЗАКАЗЫ!$F$3:$F$500,0)),"")</f>
        <v/>
      </c>
      <c r="BM261" s="8" t="str">
        <f aca="false">IF(BL261="","",IFERROR(VLOOKUP(BL261,'ТН ВЭД'!$A$4:$C$40,3,0),""))</f>
        <v/>
      </c>
      <c r="BN261" s="7" t="str">
        <f aca="false">IF(COUNTIF(ЗАКАЗЫ!$F$3:$F$500,$A261)=0,"",SUMIF(ЗАКАЗЫ!$F$3:$F$500,$A261,ЗАКАЗЫ!$J$3:$J$500))</f>
        <v/>
      </c>
      <c r="BO261" s="7" t="str">
        <f aca="false">IF(BN261="","",SUMIF(ЗАКАЗЫ!$F$3:$F$500,$A261,ЗАКАЗЫ!$AL$3:$AL$500))</f>
        <v/>
      </c>
      <c r="BP261" s="7" t="str">
        <f aca="false">IF(BN261="","",BN261-BO261)</f>
        <v/>
      </c>
      <c r="BQ261" s="55" t="str">
        <f aca="false">IF(BN261="","",IF(BO261&gt;=BN261,"На складе",IF(BO261&gt;0,"Частично","Ждём")))</f>
        <v/>
      </c>
      <c r="BR261" s="43"/>
      <c r="BS261" s="47" t="str">
        <f aca="false">IF(BN261="","",IF(_xlfn.MAXIFS(ЗАКАЗЫ!$AK$3:$AK$500,ЗАКАЗЫ!$F$3:$F$500,$A261)=0,"",_xlfn.MAXIFS(ЗАКАЗЫ!$AK$3:$AK$500,ЗАКАЗЫ!$F$3:$F$500,$A261)))</f>
        <v/>
      </c>
    </row>
    <row r="262" customFormat="false" ht="15.75" hidden="false" customHeight="true" outlineLevel="0" collapsed="false">
      <c r="A262" s="80" t="s">
        <v>1785</v>
      </c>
      <c r="B262" s="81"/>
      <c r="C262" s="81"/>
      <c r="D262" s="81"/>
      <c r="E262" s="83"/>
      <c r="F262" s="81"/>
      <c r="G262" s="83"/>
      <c r="H262" s="83"/>
      <c r="I262" s="84" t="str">
        <f aca="false">IF(E262="","",A262&amp;"_1.jpg")</f>
        <v/>
      </c>
      <c r="J262" s="84" t="str">
        <f aca="false">IF(E262="","",A262&amp;"_2.jpg; "&amp;A262&amp;"_3.jpg")</f>
        <v/>
      </c>
      <c r="K262" s="84" t="str">
        <f aca="false">IF(E262="","",A262&amp;"_schema.jpg")</f>
        <v/>
      </c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 t="s">
        <v>96</v>
      </c>
      <c r="W262" s="81"/>
      <c r="X262" s="81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6" t="str">
        <f aca="false">IF(SUM(Y262:AJ262)=0,"",SUM(Y262:AJ262))</f>
        <v/>
      </c>
      <c r="AL262" s="84" t="str">
        <f aca="false">MID(IF(N(Y262)&gt;0,", "&amp;Y$2,"")&amp;IF(N(Z262)&gt;0,", "&amp;Z$2,"")&amp;IF(N(AA262)&gt;0,", "&amp;AA$2,"")&amp;IF(N(AB262)&gt;0,", "&amp;AB$2,"")&amp;IF(N(AC262)&gt;0,", "&amp;AC$2,"")&amp;IF(N(AD262)&gt;0,", "&amp;AD$2,"")&amp;IF(N(AE262)&gt;0,", "&amp;AE$2,"")&amp;IF(N(AF262)&gt;0,", "&amp;AF$2,"")&amp;IF(N(AG262)&gt;0,", "&amp;AG$2,"")&amp;IF(N(AH262)&gt;0,", "&amp;AH$2,"")&amp;IF(N(AI262)&gt;0,", "&amp;AI$2,"")&amp;IF(N(AJ262)&gt;0,", "&amp;AJ$2,""),3,999)</f>
        <v/>
      </c>
      <c r="AM262" s="87" t="str">
        <f aca="false">IF(E262="","",MID(IF(N(Y262)&gt;0,", "&amp;A262&amp;"-"&amp;Y$2,"")&amp;IF(N(Z262)&gt;0,", "&amp;A262&amp;"-"&amp;Z$2,"")&amp;IF(N(AA262)&gt;0,", "&amp;A262&amp;"-"&amp;AA$2,"")&amp;IF(N(AB262)&gt;0,", "&amp;A262&amp;"-"&amp;AB$2,"")&amp;IF(N(AC262)&gt;0,", "&amp;A262&amp;"-"&amp;AC$2,"")&amp;IF(N(AD262)&gt;0,", "&amp;A262&amp;"-"&amp;AD$2,"")&amp;IF(N(AE262)&gt;0,", "&amp;A262&amp;"-"&amp;AE$2,"")&amp;IF(N(AF262)&gt;0,", "&amp;A262&amp;"-"&amp;AF$2,"")&amp;IF(N(AG262)&gt;0,", "&amp;A262&amp;"-"&amp;AG$2,"")&amp;IF(N(AH262)&gt;0,", "&amp;A262&amp;"-"&amp;AH$2,"")&amp;IF(N(AI262)&gt;0,", "&amp;A262&amp;"-"&amp;AI$2,"")&amp;IF(N(AJ262)&gt;0,", "&amp;A262&amp;"-"&amp;AJ$2,""),3,999))</f>
        <v/>
      </c>
      <c r="AN262" s="81"/>
      <c r="AO262" s="88"/>
      <c r="AP262" s="89" t="str">
        <f aca="false">IF(AO262="","",ROUND(AO262/(1+Справочники!$B$13),2))</f>
        <v/>
      </c>
      <c r="AQ262" s="90" t="str">
        <f aca="false" t="array" ref="AQ262:AQ262">IF(AP262="","",AP262*INDEX(Справочники!$B$4:$B$7,MATCH("RUB",Справочники!$A$4:$A$7,0)))</f>
        <v/>
      </c>
      <c r="AR262" s="90" t="str">
        <f aca="false">IF(AQ262="","",ROUND(AQ262*(1+Справочники!$B$12),0))</f>
        <v/>
      </c>
      <c r="AS262" s="90" t="str">
        <f aca="false">IF(AR262="","",ROUND(AR262*(1-Справочники!$B$11),0))</f>
        <v/>
      </c>
      <c r="AT262" s="88"/>
      <c r="AU262" s="90" t="str">
        <f aca="false">IF(AT262="","",ROUND(AT262/(1+Справочники!$B$12),0))</f>
        <v/>
      </c>
      <c r="AV262" s="90" t="str">
        <f aca="false">IF(AT262="","",ROUND(AT262*(1-Справочники!$B$15),0))</f>
        <v/>
      </c>
      <c r="AW262" s="90" t="str">
        <f aca="false">IF(AT262="","",ROUND(AT262*(1-Справочники!$B$16),0))</f>
        <v/>
      </c>
      <c r="AX262" s="90" t="str">
        <f aca="false">IF(AT262="","",ROUND(AT262*(1-Справочники!$B$17),0))</f>
        <v/>
      </c>
      <c r="AY262" s="90" t="str">
        <f aca="false">IF(AT262="","",ROUND(AT262*(1-Справочники!$B$18),0))</f>
        <v/>
      </c>
      <c r="AZ262" s="90" t="str">
        <f aca="false">IF(AT262="","",ROUND(AT262*(1-Справочники!$B$19),0))</f>
        <v/>
      </c>
      <c r="BA262" s="81"/>
      <c r="BB262" s="81"/>
      <c r="BC262" s="81"/>
      <c r="BD262" s="81"/>
      <c r="BE262" s="91"/>
      <c r="BF262" s="81" t="s">
        <v>103</v>
      </c>
      <c r="BG262" s="89" t="n">
        <f aca="false" t="array" ref="BG262:BG262">IF(BF262="","",IFERROR(INDEX(Справочники!$B$4:$B$7,MATCH(BF262,Справочники!$A$4:$A$7,0)),""))</f>
        <v>68.5</v>
      </c>
      <c r="BH262" s="90" t="str">
        <f aca="false">IF(N(BN262)&gt;0,ROUND(SUMIF(ЗАКАЗЫ!$F$3:$F$500,$A262,ЗАКАЗЫ!$Y$3:$Y$500)/BN262,0),IF(OR(BE262="",BG262=""),"",ROUND(BE262*BG262*(1+Справочники!$B$10),0)))</f>
        <v/>
      </c>
      <c r="BI262" s="92" t="str">
        <f aca="false">IF(OR(AU262="",BH262="",AU262=0),"",(AU262-BH262)/AU262)</f>
        <v/>
      </c>
      <c r="BJ262" s="81"/>
      <c r="BK262" s="83"/>
      <c r="BL262" s="43" t="str">
        <f aca="false">IFERROR(INDEX(ЗАКАЗЫ!$N$3:$N$500,MATCH($A262,ЗАКАЗЫ!$F$3:$F$500,0)),"")</f>
        <v/>
      </c>
      <c r="BM262" s="8" t="str">
        <f aca="false">IF(BL262="","",IFERROR(VLOOKUP(BL262,'ТН ВЭД'!$A$4:$C$40,3,0),""))</f>
        <v/>
      </c>
      <c r="BN262" s="7" t="str">
        <f aca="false">IF(COUNTIF(ЗАКАЗЫ!$F$3:$F$500,$A262)=0,"",SUMIF(ЗАКАЗЫ!$F$3:$F$500,$A262,ЗАКАЗЫ!$J$3:$J$500))</f>
        <v/>
      </c>
      <c r="BO262" s="7" t="str">
        <f aca="false">IF(BN262="","",SUMIF(ЗАКАЗЫ!$F$3:$F$500,$A262,ЗАКАЗЫ!$AL$3:$AL$500))</f>
        <v/>
      </c>
      <c r="BP262" s="7" t="str">
        <f aca="false">IF(BN262="","",BN262-BO262)</f>
        <v/>
      </c>
      <c r="BQ262" s="55" t="str">
        <f aca="false">IF(BN262="","",IF(BO262&gt;=BN262,"На складе",IF(BO262&gt;0,"Частично","Ждём")))</f>
        <v/>
      </c>
      <c r="BR262" s="43"/>
      <c r="BS262" s="47" t="str">
        <f aca="false">IF(BN262="","",IF(_xlfn.MAXIFS(ЗАКАЗЫ!$AK$3:$AK$500,ЗАКАЗЫ!$F$3:$F$500,$A262)=0,"",_xlfn.MAXIFS(ЗАКАЗЫ!$AK$3:$AK$500,ЗАКАЗЫ!$F$3:$F$500,$A262)))</f>
        <v/>
      </c>
    </row>
    <row r="263" customFormat="false" ht="15.75" hidden="false" customHeight="true" outlineLevel="0" collapsed="false">
      <c r="A263" s="80" t="s">
        <v>1786</v>
      </c>
      <c r="B263" s="81"/>
      <c r="C263" s="81"/>
      <c r="D263" s="81"/>
      <c r="E263" s="83"/>
      <c r="F263" s="81"/>
      <c r="G263" s="83"/>
      <c r="H263" s="83"/>
      <c r="I263" s="84" t="str">
        <f aca="false">IF(E263="","",A263&amp;"_1.jpg")</f>
        <v/>
      </c>
      <c r="J263" s="84" t="str">
        <f aca="false">IF(E263="","",A263&amp;"_2.jpg; "&amp;A263&amp;"_3.jpg")</f>
        <v/>
      </c>
      <c r="K263" s="84" t="str">
        <f aca="false">IF(E263="","",A263&amp;"_schema.jpg")</f>
        <v/>
      </c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 t="s">
        <v>96</v>
      </c>
      <c r="W263" s="81"/>
      <c r="X263" s="81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6" t="str">
        <f aca="false">IF(SUM(Y263:AJ263)=0,"",SUM(Y263:AJ263))</f>
        <v/>
      </c>
      <c r="AL263" s="84" t="str">
        <f aca="false">MID(IF(N(Y263)&gt;0,", "&amp;Y$2,"")&amp;IF(N(Z263)&gt;0,", "&amp;Z$2,"")&amp;IF(N(AA263)&gt;0,", "&amp;AA$2,"")&amp;IF(N(AB263)&gt;0,", "&amp;AB$2,"")&amp;IF(N(AC263)&gt;0,", "&amp;AC$2,"")&amp;IF(N(AD263)&gt;0,", "&amp;AD$2,"")&amp;IF(N(AE263)&gt;0,", "&amp;AE$2,"")&amp;IF(N(AF263)&gt;0,", "&amp;AF$2,"")&amp;IF(N(AG263)&gt;0,", "&amp;AG$2,"")&amp;IF(N(AH263)&gt;0,", "&amp;AH$2,"")&amp;IF(N(AI263)&gt;0,", "&amp;AI$2,"")&amp;IF(N(AJ263)&gt;0,", "&amp;AJ$2,""),3,999)</f>
        <v/>
      </c>
      <c r="AM263" s="87" t="str">
        <f aca="false">IF(E263="","",MID(IF(N(Y263)&gt;0,", "&amp;A263&amp;"-"&amp;Y$2,"")&amp;IF(N(Z263)&gt;0,", "&amp;A263&amp;"-"&amp;Z$2,"")&amp;IF(N(AA263)&gt;0,", "&amp;A263&amp;"-"&amp;AA$2,"")&amp;IF(N(AB263)&gt;0,", "&amp;A263&amp;"-"&amp;AB$2,"")&amp;IF(N(AC263)&gt;0,", "&amp;A263&amp;"-"&amp;AC$2,"")&amp;IF(N(AD263)&gt;0,", "&amp;A263&amp;"-"&amp;AD$2,"")&amp;IF(N(AE263)&gt;0,", "&amp;A263&amp;"-"&amp;AE$2,"")&amp;IF(N(AF263)&gt;0,", "&amp;A263&amp;"-"&amp;AF$2,"")&amp;IF(N(AG263)&gt;0,", "&amp;A263&amp;"-"&amp;AG$2,"")&amp;IF(N(AH263)&gt;0,", "&amp;A263&amp;"-"&amp;AH$2,"")&amp;IF(N(AI263)&gt;0,", "&amp;A263&amp;"-"&amp;AI$2,"")&amp;IF(N(AJ263)&gt;0,", "&amp;A263&amp;"-"&amp;AJ$2,""),3,999))</f>
        <v/>
      </c>
      <c r="AN263" s="81"/>
      <c r="AO263" s="88"/>
      <c r="AP263" s="89" t="str">
        <f aca="false">IF(AO263="","",ROUND(AO263/(1+Справочники!$B$13),2))</f>
        <v/>
      </c>
      <c r="AQ263" s="90" t="str">
        <f aca="false" t="array" ref="AQ263:AQ263">IF(AP263="","",AP263*INDEX(Справочники!$B$4:$B$7,MATCH("RUB",Справочники!$A$4:$A$7,0)))</f>
        <v/>
      </c>
      <c r="AR263" s="90" t="str">
        <f aca="false">IF(AQ263="","",ROUND(AQ263*(1+Справочники!$B$12),0))</f>
        <v/>
      </c>
      <c r="AS263" s="90" t="str">
        <f aca="false">IF(AR263="","",ROUND(AR263*(1-Справочники!$B$11),0))</f>
        <v/>
      </c>
      <c r="AT263" s="88"/>
      <c r="AU263" s="90" t="str">
        <f aca="false">IF(AT263="","",ROUND(AT263/(1+Справочники!$B$12),0))</f>
        <v/>
      </c>
      <c r="AV263" s="90" t="str">
        <f aca="false">IF(AT263="","",ROUND(AT263*(1-Справочники!$B$15),0))</f>
        <v/>
      </c>
      <c r="AW263" s="90" t="str">
        <f aca="false">IF(AT263="","",ROUND(AT263*(1-Справочники!$B$16),0))</f>
        <v/>
      </c>
      <c r="AX263" s="90" t="str">
        <f aca="false">IF(AT263="","",ROUND(AT263*(1-Справочники!$B$17),0))</f>
        <v/>
      </c>
      <c r="AY263" s="90" t="str">
        <f aca="false">IF(AT263="","",ROUND(AT263*(1-Справочники!$B$18),0))</f>
        <v/>
      </c>
      <c r="AZ263" s="90" t="str">
        <f aca="false">IF(AT263="","",ROUND(AT263*(1-Справочники!$B$19),0))</f>
        <v/>
      </c>
      <c r="BA263" s="81"/>
      <c r="BB263" s="81"/>
      <c r="BC263" s="81"/>
      <c r="BD263" s="81"/>
      <c r="BE263" s="91"/>
      <c r="BF263" s="81" t="s">
        <v>103</v>
      </c>
      <c r="BG263" s="89" t="n">
        <f aca="false" t="array" ref="BG263:BG263">IF(BF263="","",IFERROR(INDEX(Справочники!$B$4:$B$7,MATCH(BF263,Справочники!$A$4:$A$7,0)),""))</f>
        <v>68.5</v>
      </c>
      <c r="BH263" s="90" t="str">
        <f aca="false">IF(N(BN263)&gt;0,ROUND(SUMIF(ЗАКАЗЫ!$F$3:$F$500,$A263,ЗАКАЗЫ!$Y$3:$Y$500)/BN263,0),IF(OR(BE263="",BG263=""),"",ROUND(BE263*BG263*(1+Справочники!$B$10),0)))</f>
        <v/>
      </c>
      <c r="BI263" s="92" t="str">
        <f aca="false">IF(OR(AU263="",BH263="",AU263=0),"",(AU263-BH263)/AU263)</f>
        <v/>
      </c>
      <c r="BJ263" s="81"/>
      <c r="BK263" s="83"/>
      <c r="BL263" s="43" t="str">
        <f aca="false">IFERROR(INDEX(ЗАКАЗЫ!$N$3:$N$500,MATCH($A263,ЗАКАЗЫ!$F$3:$F$500,0)),"")</f>
        <v/>
      </c>
      <c r="BM263" s="8" t="str">
        <f aca="false">IF(BL263="","",IFERROR(VLOOKUP(BL263,'ТН ВЭД'!$A$4:$C$40,3,0),""))</f>
        <v/>
      </c>
      <c r="BN263" s="7" t="str">
        <f aca="false">IF(COUNTIF(ЗАКАЗЫ!$F$3:$F$500,$A263)=0,"",SUMIF(ЗАКАЗЫ!$F$3:$F$500,$A263,ЗАКАЗЫ!$J$3:$J$500))</f>
        <v/>
      </c>
      <c r="BO263" s="7" t="str">
        <f aca="false">IF(BN263="","",SUMIF(ЗАКАЗЫ!$F$3:$F$500,$A263,ЗАКАЗЫ!$AL$3:$AL$500))</f>
        <v/>
      </c>
      <c r="BP263" s="7" t="str">
        <f aca="false">IF(BN263="","",BN263-BO263)</f>
        <v/>
      </c>
      <c r="BQ263" s="55" t="str">
        <f aca="false">IF(BN263="","",IF(BO263&gt;=BN263,"На складе",IF(BO263&gt;0,"Частично","Ждём")))</f>
        <v/>
      </c>
      <c r="BR263" s="43"/>
      <c r="BS263" s="47" t="str">
        <f aca="false">IF(BN263="","",IF(_xlfn.MAXIFS(ЗАКАЗЫ!$AK$3:$AK$500,ЗАКАЗЫ!$F$3:$F$500,$A263)=0,"",_xlfn.MAXIFS(ЗАКАЗЫ!$AK$3:$AK$500,ЗАКАЗЫ!$F$3:$F$500,$A263)))</f>
        <v/>
      </c>
    </row>
    <row r="264" customFormat="false" ht="15.75" hidden="false" customHeight="true" outlineLevel="0" collapsed="false">
      <c r="A264" s="80" t="s">
        <v>1787</v>
      </c>
      <c r="B264" s="81"/>
      <c r="C264" s="81"/>
      <c r="D264" s="81"/>
      <c r="E264" s="83"/>
      <c r="F264" s="81"/>
      <c r="G264" s="83"/>
      <c r="H264" s="83"/>
      <c r="I264" s="84" t="str">
        <f aca="false">IF(E264="","",A264&amp;"_1.jpg")</f>
        <v/>
      </c>
      <c r="J264" s="84" t="str">
        <f aca="false">IF(E264="","",A264&amp;"_2.jpg; "&amp;A264&amp;"_3.jpg")</f>
        <v/>
      </c>
      <c r="K264" s="84" t="str">
        <f aca="false">IF(E264="","",A264&amp;"_schema.jpg")</f>
        <v/>
      </c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 t="s">
        <v>96</v>
      </c>
      <c r="W264" s="81"/>
      <c r="X264" s="81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6" t="str">
        <f aca="false">IF(SUM(Y264:AJ264)=0,"",SUM(Y264:AJ264))</f>
        <v/>
      </c>
      <c r="AL264" s="84" t="str">
        <f aca="false">MID(IF(N(Y264)&gt;0,", "&amp;Y$2,"")&amp;IF(N(Z264)&gt;0,", "&amp;Z$2,"")&amp;IF(N(AA264)&gt;0,", "&amp;AA$2,"")&amp;IF(N(AB264)&gt;0,", "&amp;AB$2,"")&amp;IF(N(AC264)&gt;0,", "&amp;AC$2,"")&amp;IF(N(AD264)&gt;0,", "&amp;AD$2,"")&amp;IF(N(AE264)&gt;0,", "&amp;AE$2,"")&amp;IF(N(AF264)&gt;0,", "&amp;AF$2,"")&amp;IF(N(AG264)&gt;0,", "&amp;AG$2,"")&amp;IF(N(AH264)&gt;0,", "&amp;AH$2,"")&amp;IF(N(AI264)&gt;0,", "&amp;AI$2,"")&amp;IF(N(AJ264)&gt;0,", "&amp;AJ$2,""),3,999)</f>
        <v/>
      </c>
      <c r="AM264" s="87" t="str">
        <f aca="false">IF(E264="","",MID(IF(N(Y264)&gt;0,", "&amp;A264&amp;"-"&amp;Y$2,"")&amp;IF(N(Z264)&gt;0,", "&amp;A264&amp;"-"&amp;Z$2,"")&amp;IF(N(AA264)&gt;0,", "&amp;A264&amp;"-"&amp;AA$2,"")&amp;IF(N(AB264)&gt;0,", "&amp;A264&amp;"-"&amp;AB$2,"")&amp;IF(N(AC264)&gt;0,", "&amp;A264&amp;"-"&amp;AC$2,"")&amp;IF(N(AD264)&gt;0,", "&amp;A264&amp;"-"&amp;AD$2,"")&amp;IF(N(AE264)&gt;0,", "&amp;A264&amp;"-"&amp;AE$2,"")&amp;IF(N(AF264)&gt;0,", "&amp;A264&amp;"-"&amp;AF$2,"")&amp;IF(N(AG264)&gt;0,", "&amp;A264&amp;"-"&amp;AG$2,"")&amp;IF(N(AH264)&gt;0,", "&amp;A264&amp;"-"&amp;AH$2,"")&amp;IF(N(AI264)&gt;0,", "&amp;A264&amp;"-"&amp;AI$2,"")&amp;IF(N(AJ264)&gt;0,", "&amp;A264&amp;"-"&amp;AJ$2,""),3,999))</f>
        <v/>
      </c>
      <c r="AN264" s="81"/>
      <c r="AO264" s="88"/>
      <c r="AP264" s="89" t="str">
        <f aca="false">IF(AO264="","",ROUND(AO264/(1+Справочники!$B$13),2))</f>
        <v/>
      </c>
      <c r="AQ264" s="90" t="str">
        <f aca="false" t="array" ref="AQ264:AQ264">IF(AP264="","",AP264*INDEX(Справочники!$B$4:$B$7,MATCH("RUB",Справочники!$A$4:$A$7,0)))</f>
        <v/>
      </c>
      <c r="AR264" s="90" t="str">
        <f aca="false">IF(AQ264="","",ROUND(AQ264*(1+Справочники!$B$12),0))</f>
        <v/>
      </c>
      <c r="AS264" s="90" t="str">
        <f aca="false">IF(AR264="","",ROUND(AR264*(1-Справочники!$B$11),0))</f>
        <v/>
      </c>
      <c r="AT264" s="88"/>
      <c r="AU264" s="90" t="str">
        <f aca="false">IF(AT264="","",ROUND(AT264/(1+Справочники!$B$12),0))</f>
        <v/>
      </c>
      <c r="AV264" s="90" t="str">
        <f aca="false">IF(AT264="","",ROUND(AT264*(1-Справочники!$B$15),0))</f>
        <v/>
      </c>
      <c r="AW264" s="90" t="str">
        <f aca="false">IF(AT264="","",ROUND(AT264*(1-Справочники!$B$16),0))</f>
        <v/>
      </c>
      <c r="AX264" s="90" t="str">
        <f aca="false">IF(AT264="","",ROUND(AT264*(1-Справочники!$B$17),0))</f>
        <v/>
      </c>
      <c r="AY264" s="90" t="str">
        <f aca="false">IF(AT264="","",ROUND(AT264*(1-Справочники!$B$18),0))</f>
        <v/>
      </c>
      <c r="AZ264" s="90" t="str">
        <f aca="false">IF(AT264="","",ROUND(AT264*(1-Справочники!$B$19),0))</f>
        <v/>
      </c>
      <c r="BA264" s="81"/>
      <c r="BB264" s="81"/>
      <c r="BC264" s="81"/>
      <c r="BD264" s="81"/>
      <c r="BE264" s="91"/>
      <c r="BF264" s="81" t="s">
        <v>103</v>
      </c>
      <c r="BG264" s="89" t="n">
        <f aca="false" t="array" ref="BG264:BG264">IF(BF264="","",IFERROR(INDEX(Справочники!$B$4:$B$7,MATCH(BF264,Справочники!$A$4:$A$7,0)),""))</f>
        <v>68.5</v>
      </c>
      <c r="BH264" s="90" t="str">
        <f aca="false">IF(N(BN264)&gt;0,ROUND(SUMIF(ЗАКАЗЫ!$F$3:$F$500,$A264,ЗАКАЗЫ!$Y$3:$Y$500)/BN264,0),IF(OR(BE264="",BG264=""),"",ROUND(BE264*BG264*(1+Справочники!$B$10),0)))</f>
        <v/>
      </c>
      <c r="BI264" s="92" t="str">
        <f aca="false">IF(OR(AU264="",BH264="",AU264=0),"",(AU264-BH264)/AU264)</f>
        <v/>
      </c>
      <c r="BJ264" s="81"/>
      <c r="BK264" s="83"/>
      <c r="BL264" s="43" t="str">
        <f aca="false">IFERROR(INDEX(ЗАКАЗЫ!$N$3:$N$500,MATCH($A264,ЗАКАЗЫ!$F$3:$F$500,0)),"")</f>
        <v/>
      </c>
      <c r="BM264" s="8" t="str">
        <f aca="false">IF(BL264="","",IFERROR(VLOOKUP(BL264,'ТН ВЭД'!$A$4:$C$40,3,0),""))</f>
        <v/>
      </c>
      <c r="BN264" s="7" t="str">
        <f aca="false">IF(COUNTIF(ЗАКАЗЫ!$F$3:$F$500,$A264)=0,"",SUMIF(ЗАКАЗЫ!$F$3:$F$500,$A264,ЗАКАЗЫ!$J$3:$J$500))</f>
        <v/>
      </c>
      <c r="BO264" s="7" t="str">
        <f aca="false">IF(BN264="","",SUMIF(ЗАКАЗЫ!$F$3:$F$500,$A264,ЗАКАЗЫ!$AL$3:$AL$500))</f>
        <v/>
      </c>
      <c r="BP264" s="7" t="str">
        <f aca="false">IF(BN264="","",BN264-BO264)</f>
        <v/>
      </c>
      <c r="BQ264" s="55" t="str">
        <f aca="false">IF(BN264="","",IF(BO264&gt;=BN264,"На складе",IF(BO264&gt;0,"Частично","Ждём")))</f>
        <v/>
      </c>
      <c r="BR264" s="43"/>
      <c r="BS264" s="47" t="str">
        <f aca="false">IF(BN264="","",IF(_xlfn.MAXIFS(ЗАКАЗЫ!$AK$3:$AK$500,ЗАКАЗЫ!$F$3:$F$500,$A264)=0,"",_xlfn.MAXIFS(ЗАКАЗЫ!$AK$3:$AK$500,ЗАКАЗЫ!$F$3:$F$500,$A264)))</f>
        <v/>
      </c>
    </row>
    <row r="265" customFormat="false" ht="15.75" hidden="false" customHeight="true" outlineLevel="0" collapsed="false">
      <c r="A265" s="80" t="s">
        <v>1788</v>
      </c>
      <c r="B265" s="81"/>
      <c r="C265" s="81"/>
      <c r="D265" s="81"/>
      <c r="E265" s="83"/>
      <c r="F265" s="81"/>
      <c r="G265" s="83"/>
      <c r="H265" s="83"/>
      <c r="I265" s="84" t="str">
        <f aca="false">IF(E265="","",A265&amp;"_1.jpg")</f>
        <v/>
      </c>
      <c r="J265" s="84" t="str">
        <f aca="false">IF(E265="","",A265&amp;"_2.jpg; "&amp;A265&amp;"_3.jpg")</f>
        <v/>
      </c>
      <c r="K265" s="84" t="str">
        <f aca="false">IF(E265="","",A265&amp;"_schema.jpg")</f>
        <v/>
      </c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 t="s">
        <v>96</v>
      </c>
      <c r="W265" s="81"/>
      <c r="X265" s="81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6" t="str">
        <f aca="false">IF(SUM(Y265:AJ265)=0,"",SUM(Y265:AJ265))</f>
        <v/>
      </c>
      <c r="AL265" s="84" t="str">
        <f aca="false">MID(IF(N(Y265)&gt;0,", "&amp;Y$2,"")&amp;IF(N(Z265)&gt;0,", "&amp;Z$2,"")&amp;IF(N(AA265)&gt;0,", "&amp;AA$2,"")&amp;IF(N(AB265)&gt;0,", "&amp;AB$2,"")&amp;IF(N(AC265)&gt;0,", "&amp;AC$2,"")&amp;IF(N(AD265)&gt;0,", "&amp;AD$2,"")&amp;IF(N(AE265)&gt;0,", "&amp;AE$2,"")&amp;IF(N(AF265)&gt;0,", "&amp;AF$2,"")&amp;IF(N(AG265)&gt;0,", "&amp;AG$2,"")&amp;IF(N(AH265)&gt;0,", "&amp;AH$2,"")&amp;IF(N(AI265)&gt;0,", "&amp;AI$2,"")&amp;IF(N(AJ265)&gt;0,", "&amp;AJ$2,""),3,999)</f>
        <v/>
      </c>
      <c r="AM265" s="87" t="str">
        <f aca="false">IF(E265="","",MID(IF(N(Y265)&gt;0,", "&amp;A265&amp;"-"&amp;Y$2,"")&amp;IF(N(Z265)&gt;0,", "&amp;A265&amp;"-"&amp;Z$2,"")&amp;IF(N(AA265)&gt;0,", "&amp;A265&amp;"-"&amp;AA$2,"")&amp;IF(N(AB265)&gt;0,", "&amp;A265&amp;"-"&amp;AB$2,"")&amp;IF(N(AC265)&gt;0,", "&amp;A265&amp;"-"&amp;AC$2,"")&amp;IF(N(AD265)&gt;0,", "&amp;A265&amp;"-"&amp;AD$2,"")&amp;IF(N(AE265)&gt;0,", "&amp;A265&amp;"-"&amp;AE$2,"")&amp;IF(N(AF265)&gt;0,", "&amp;A265&amp;"-"&amp;AF$2,"")&amp;IF(N(AG265)&gt;0,", "&amp;A265&amp;"-"&amp;AG$2,"")&amp;IF(N(AH265)&gt;0,", "&amp;A265&amp;"-"&amp;AH$2,"")&amp;IF(N(AI265)&gt;0,", "&amp;A265&amp;"-"&amp;AI$2,"")&amp;IF(N(AJ265)&gt;0,", "&amp;A265&amp;"-"&amp;AJ$2,""),3,999))</f>
        <v/>
      </c>
      <c r="AN265" s="81"/>
      <c r="AO265" s="88"/>
      <c r="AP265" s="89" t="str">
        <f aca="false">IF(AO265="","",ROUND(AO265/(1+Справочники!$B$13),2))</f>
        <v/>
      </c>
      <c r="AQ265" s="90" t="str">
        <f aca="false" t="array" ref="AQ265:AQ265">IF(AP265="","",AP265*INDEX(Справочники!$B$4:$B$7,MATCH("RUB",Справочники!$A$4:$A$7,0)))</f>
        <v/>
      </c>
      <c r="AR265" s="90" t="str">
        <f aca="false">IF(AQ265="","",ROUND(AQ265*(1+Справочники!$B$12),0))</f>
        <v/>
      </c>
      <c r="AS265" s="90" t="str">
        <f aca="false">IF(AR265="","",ROUND(AR265*(1-Справочники!$B$11),0))</f>
        <v/>
      </c>
      <c r="AT265" s="88"/>
      <c r="AU265" s="90" t="str">
        <f aca="false">IF(AT265="","",ROUND(AT265/(1+Справочники!$B$12),0))</f>
        <v/>
      </c>
      <c r="AV265" s="90" t="str">
        <f aca="false">IF(AT265="","",ROUND(AT265*(1-Справочники!$B$15),0))</f>
        <v/>
      </c>
      <c r="AW265" s="90" t="str">
        <f aca="false">IF(AT265="","",ROUND(AT265*(1-Справочники!$B$16),0))</f>
        <v/>
      </c>
      <c r="AX265" s="90" t="str">
        <f aca="false">IF(AT265="","",ROUND(AT265*(1-Справочники!$B$17),0))</f>
        <v/>
      </c>
      <c r="AY265" s="90" t="str">
        <f aca="false">IF(AT265="","",ROUND(AT265*(1-Справочники!$B$18),0))</f>
        <v/>
      </c>
      <c r="AZ265" s="90" t="str">
        <f aca="false">IF(AT265="","",ROUND(AT265*(1-Справочники!$B$19),0))</f>
        <v/>
      </c>
      <c r="BA265" s="81"/>
      <c r="BB265" s="81"/>
      <c r="BC265" s="81"/>
      <c r="BD265" s="81"/>
      <c r="BE265" s="91"/>
      <c r="BF265" s="81" t="s">
        <v>103</v>
      </c>
      <c r="BG265" s="89" t="n">
        <f aca="false" t="array" ref="BG265:BG265">IF(BF265="","",IFERROR(INDEX(Справочники!$B$4:$B$7,MATCH(BF265,Справочники!$A$4:$A$7,0)),""))</f>
        <v>68.5</v>
      </c>
      <c r="BH265" s="90" t="str">
        <f aca="false">IF(N(BN265)&gt;0,ROUND(SUMIF(ЗАКАЗЫ!$F$3:$F$500,$A265,ЗАКАЗЫ!$Y$3:$Y$500)/BN265,0),IF(OR(BE265="",BG265=""),"",ROUND(BE265*BG265*(1+Справочники!$B$10),0)))</f>
        <v/>
      </c>
      <c r="BI265" s="92" t="str">
        <f aca="false">IF(OR(AU265="",BH265="",AU265=0),"",(AU265-BH265)/AU265)</f>
        <v/>
      </c>
      <c r="BJ265" s="81"/>
      <c r="BK265" s="83"/>
      <c r="BL265" s="43" t="str">
        <f aca="false">IFERROR(INDEX(ЗАКАЗЫ!$N$3:$N$500,MATCH($A265,ЗАКАЗЫ!$F$3:$F$500,0)),"")</f>
        <v/>
      </c>
      <c r="BM265" s="8" t="str">
        <f aca="false">IF(BL265="","",IFERROR(VLOOKUP(BL265,'ТН ВЭД'!$A$4:$C$40,3,0),""))</f>
        <v/>
      </c>
      <c r="BN265" s="7" t="str">
        <f aca="false">IF(COUNTIF(ЗАКАЗЫ!$F$3:$F$500,$A265)=0,"",SUMIF(ЗАКАЗЫ!$F$3:$F$500,$A265,ЗАКАЗЫ!$J$3:$J$500))</f>
        <v/>
      </c>
      <c r="BO265" s="7" t="str">
        <f aca="false">IF(BN265="","",SUMIF(ЗАКАЗЫ!$F$3:$F$500,$A265,ЗАКАЗЫ!$AL$3:$AL$500))</f>
        <v/>
      </c>
      <c r="BP265" s="7" t="str">
        <f aca="false">IF(BN265="","",BN265-BO265)</f>
        <v/>
      </c>
      <c r="BQ265" s="55" t="str">
        <f aca="false">IF(BN265="","",IF(BO265&gt;=BN265,"На складе",IF(BO265&gt;0,"Частично","Ждём")))</f>
        <v/>
      </c>
      <c r="BR265" s="43"/>
      <c r="BS265" s="47" t="str">
        <f aca="false">IF(BN265="","",IF(_xlfn.MAXIFS(ЗАКАЗЫ!$AK$3:$AK$500,ЗАКАЗЫ!$F$3:$F$500,$A265)=0,"",_xlfn.MAXIFS(ЗАКАЗЫ!$AK$3:$AK$500,ЗАКАЗЫ!$F$3:$F$500,$A265)))</f>
        <v/>
      </c>
    </row>
    <row r="266" customFormat="false" ht="15.75" hidden="false" customHeight="true" outlineLevel="0" collapsed="false">
      <c r="A266" s="80" t="s">
        <v>1789</v>
      </c>
      <c r="B266" s="81"/>
      <c r="C266" s="81"/>
      <c r="D266" s="81"/>
      <c r="E266" s="83"/>
      <c r="F266" s="81"/>
      <c r="G266" s="83"/>
      <c r="H266" s="83"/>
      <c r="I266" s="84" t="str">
        <f aca="false">IF(E266="","",A266&amp;"_1.jpg")</f>
        <v/>
      </c>
      <c r="J266" s="84" t="str">
        <f aca="false">IF(E266="","",A266&amp;"_2.jpg; "&amp;A266&amp;"_3.jpg")</f>
        <v/>
      </c>
      <c r="K266" s="84" t="str">
        <f aca="false">IF(E266="","",A266&amp;"_schema.jpg")</f>
        <v/>
      </c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 t="s">
        <v>96</v>
      </c>
      <c r="W266" s="81"/>
      <c r="X266" s="81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6" t="str">
        <f aca="false">IF(SUM(Y266:AJ266)=0,"",SUM(Y266:AJ266))</f>
        <v/>
      </c>
      <c r="AL266" s="84" t="str">
        <f aca="false">MID(IF(N(Y266)&gt;0,", "&amp;Y$2,"")&amp;IF(N(Z266)&gt;0,", "&amp;Z$2,"")&amp;IF(N(AA266)&gt;0,", "&amp;AA$2,"")&amp;IF(N(AB266)&gt;0,", "&amp;AB$2,"")&amp;IF(N(AC266)&gt;0,", "&amp;AC$2,"")&amp;IF(N(AD266)&gt;0,", "&amp;AD$2,"")&amp;IF(N(AE266)&gt;0,", "&amp;AE$2,"")&amp;IF(N(AF266)&gt;0,", "&amp;AF$2,"")&amp;IF(N(AG266)&gt;0,", "&amp;AG$2,"")&amp;IF(N(AH266)&gt;0,", "&amp;AH$2,"")&amp;IF(N(AI266)&gt;0,", "&amp;AI$2,"")&amp;IF(N(AJ266)&gt;0,", "&amp;AJ$2,""),3,999)</f>
        <v/>
      </c>
      <c r="AM266" s="87" t="str">
        <f aca="false">IF(E266="","",MID(IF(N(Y266)&gt;0,", "&amp;A266&amp;"-"&amp;Y$2,"")&amp;IF(N(Z266)&gt;0,", "&amp;A266&amp;"-"&amp;Z$2,"")&amp;IF(N(AA266)&gt;0,", "&amp;A266&amp;"-"&amp;AA$2,"")&amp;IF(N(AB266)&gt;0,", "&amp;A266&amp;"-"&amp;AB$2,"")&amp;IF(N(AC266)&gt;0,", "&amp;A266&amp;"-"&amp;AC$2,"")&amp;IF(N(AD266)&gt;0,", "&amp;A266&amp;"-"&amp;AD$2,"")&amp;IF(N(AE266)&gt;0,", "&amp;A266&amp;"-"&amp;AE$2,"")&amp;IF(N(AF266)&gt;0,", "&amp;A266&amp;"-"&amp;AF$2,"")&amp;IF(N(AG266)&gt;0,", "&amp;A266&amp;"-"&amp;AG$2,"")&amp;IF(N(AH266)&gt;0,", "&amp;A266&amp;"-"&amp;AH$2,"")&amp;IF(N(AI266)&gt;0,", "&amp;A266&amp;"-"&amp;AI$2,"")&amp;IF(N(AJ266)&gt;0,", "&amp;A266&amp;"-"&amp;AJ$2,""),3,999))</f>
        <v/>
      </c>
      <c r="AN266" s="81"/>
      <c r="AO266" s="88"/>
      <c r="AP266" s="89" t="str">
        <f aca="false">IF(AO266="","",ROUND(AO266/(1+Справочники!$B$13),2))</f>
        <v/>
      </c>
      <c r="AQ266" s="90" t="str">
        <f aca="false" t="array" ref="AQ266:AQ266">IF(AP266="","",AP266*INDEX(Справочники!$B$4:$B$7,MATCH("RUB",Справочники!$A$4:$A$7,0)))</f>
        <v/>
      </c>
      <c r="AR266" s="90" t="str">
        <f aca="false">IF(AQ266="","",ROUND(AQ266*(1+Справочники!$B$12),0))</f>
        <v/>
      </c>
      <c r="AS266" s="90" t="str">
        <f aca="false">IF(AR266="","",ROUND(AR266*(1-Справочники!$B$11),0))</f>
        <v/>
      </c>
      <c r="AT266" s="88"/>
      <c r="AU266" s="90" t="str">
        <f aca="false">IF(AT266="","",ROUND(AT266/(1+Справочники!$B$12),0))</f>
        <v/>
      </c>
      <c r="AV266" s="90" t="str">
        <f aca="false">IF(AT266="","",ROUND(AT266*(1-Справочники!$B$15),0))</f>
        <v/>
      </c>
      <c r="AW266" s="90" t="str">
        <f aca="false">IF(AT266="","",ROUND(AT266*(1-Справочники!$B$16),0))</f>
        <v/>
      </c>
      <c r="AX266" s="90" t="str">
        <f aca="false">IF(AT266="","",ROUND(AT266*(1-Справочники!$B$17),0))</f>
        <v/>
      </c>
      <c r="AY266" s="90" t="str">
        <f aca="false">IF(AT266="","",ROUND(AT266*(1-Справочники!$B$18),0))</f>
        <v/>
      </c>
      <c r="AZ266" s="90" t="str">
        <f aca="false">IF(AT266="","",ROUND(AT266*(1-Справочники!$B$19),0))</f>
        <v/>
      </c>
      <c r="BA266" s="81"/>
      <c r="BB266" s="81"/>
      <c r="BC266" s="81"/>
      <c r="BD266" s="81"/>
      <c r="BE266" s="91"/>
      <c r="BF266" s="81" t="s">
        <v>103</v>
      </c>
      <c r="BG266" s="89" t="n">
        <f aca="false" t="array" ref="BG266:BG266">IF(BF266="","",IFERROR(INDEX(Справочники!$B$4:$B$7,MATCH(BF266,Справочники!$A$4:$A$7,0)),""))</f>
        <v>68.5</v>
      </c>
      <c r="BH266" s="90" t="str">
        <f aca="false">IF(N(BN266)&gt;0,ROUND(SUMIF(ЗАКАЗЫ!$F$3:$F$500,$A266,ЗАКАЗЫ!$Y$3:$Y$500)/BN266,0),IF(OR(BE266="",BG266=""),"",ROUND(BE266*BG266*(1+Справочники!$B$10),0)))</f>
        <v/>
      </c>
      <c r="BI266" s="92" t="str">
        <f aca="false">IF(OR(AU266="",BH266="",AU266=0),"",(AU266-BH266)/AU266)</f>
        <v/>
      </c>
      <c r="BJ266" s="81"/>
      <c r="BK266" s="83"/>
      <c r="BL266" s="43" t="str">
        <f aca="false">IFERROR(INDEX(ЗАКАЗЫ!$N$3:$N$500,MATCH($A266,ЗАКАЗЫ!$F$3:$F$500,0)),"")</f>
        <v/>
      </c>
      <c r="BM266" s="8" t="str">
        <f aca="false">IF(BL266="","",IFERROR(VLOOKUP(BL266,'ТН ВЭД'!$A$4:$C$40,3,0),""))</f>
        <v/>
      </c>
      <c r="BN266" s="7" t="str">
        <f aca="false">IF(COUNTIF(ЗАКАЗЫ!$F$3:$F$500,$A266)=0,"",SUMIF(ЗАКАЗЫ!$F$3:$F$500,$A266,ЗАКАЗЫ!$J$3:$J$500))</f>
        <v/>
      </c>
      <c r="BO266" s="7" t="str">
        <f aca="false">IF(BN266="","",SUMIF(ЗАКАЗЫ!$F$3:$F$500,$A266,ЗАКАЗЫ!$AL$3:$AL$500))</f>
        <v/>
      </c>
      <c r="BP266" s="7" t="str">
        <f aca="false">IF(BN266="","",BN266-BO266)</f>
        <v/>
      </c>
      <c r="BQ266" s="55" t="str">
        <f aca="false">IF(BN266="","",IF(BO266&gt;=BN266,"На складе",IF(BO266&gt;0,"Частично","Ждём")))</f>
        <v/>
      </c>
      <c r="BR266" s="43"/>
      <c r="BS266" s="47" t="str">
        <f aca="false">IF(BN266="","",IF(_xlfn.MAXIFS(ЗАКАЗЫ!$AK$3:$AK$500,ЗАКАЗЫ!$F$3:$F$500,$A266)=0,"",_xlfn.MAXIFS(ЗАКАЗЫ!$AK$3:$AK$500,ЗАКАЗЫ!$F$3:$F$500,$A266)))</f>
        <v/>
      </c>
    </row>
    <row r="267" customFormat="false" ht="15.75" hidden="false" customHeight="true" outlineLevel="0" collapsed="false">
      <c r="A267" s="80" t="s">
        <v>1790</v>
      </c>
      <c r="B267" s="81"/>
      <c r="C267" s="81"/>
      <c r="D267" s="81"/>
      <c r="E267" s="83"/>
      <c r="F267" s="81"/>
      <c r="G267" s="83"/>
      <c r="H267" s="83"/>
      <c r="I267" s="84" t="str">
        <f aca="false">IF(E267="","",A267&amp;"_1.jpg")</f>
        <v/>
      </c>
      <c r="J267" s="84" t="str">
        <f aca="false">IF(E267="","",A267&amp;"_2.jpg; "&amp;A267&amp;"_3.jpg")</f>
        <v/>
      </c>
      <c r="K267" s="84" t="str">
        <f aca="false">IF(E267="","",A267&amp;"_schema.jpg")</f>
        <v/>
      </c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 t="s">
        <v>96</v>
      </c>
      <c r="W267" s="81"/>
      <c r="X267" s="81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6" t="str">
        <f aca="false">IF(SUM(Y267:AJ267)=0,"",SUM(Y267:AJ267))</f>
        <v/>
      </c>
      <c r="AL267" s="84" t="str">
        <f aca="false">MID(IF(N(Y267)&gt;0,", "&amp;Y$2,"")&amp;IF(N(Z267)&gt;0,", "&amp;Z$2,"")&amp;IF(N(AA267)&gt;0,", "&amp;AA$2,"")&amp;IF(N(AB267)&gt;0,", "&amp;AB$2,"")&amp;IF(N(AC267)&gt;0,", "&amp;AC$2,"")&amp;IF(N(AD267)&gt;0,", "&amp;AD$2,"")&amp;IF(N(AE267)&gt;0,", "&amp;AE$2,"")&amp;IF(N(AF267)&gt;0,", "&amp;AF$2,"")&amp;IF(N(AG267)&gt;0,", "&amp;AG$2,"")&amp;IF(N(AH267)&gt;0,", "&amp;AH$2,"")&amp;IF(N(AI267)&gt;0,", "&amp;AI$2,"")&amp;IF(N(AJ267)&gt;0,", "&amp;AJ$2,""),3,999)</f>
        <v/>
      </c>
      <c r="AM267" s="87" t="str">
        <f aca="false">IF(E267="","",MID(IF(N(Y267)&gt;0,", "&amp;A267&amp;"-"&amp;Y$2,"")&amp;IF(N(Z267)&gt;0,", "&amp;A267&amp;"-"&amp;Z$2,"")&amp;IF(N(AA267)&gt;0,", "&amp;A267&amp;"-"&amp;AA$2,"")&amp;IF(N(AB267)&gt;0,", "&amp;A267&amp;"-"&amp;AB$2,"")&amp;IF(N(AC267)&gt;0,", "&amp;A267&amp;"-"&amp;AC$2,"")&amp;IF(N(AD267)&gt;0,", "&amp;A267&amp;"-"&amp;AD$2,"")&amp;IF(N(AE267)&gt;0,", "&amp;A267&amp;"-"&amp;AE$2,"")&amp;IF(N(AF267)&gt;0,", "&amp;A267&amp;"-"&amp;AF$2,"")&amp;IF(N(AG267)&gt;0,", "&amp;A267&amp;"-"&amp;AG$2,"")&amp;IF(N(AH267)&gt;0,", "&amp;A267&amp;"-"&amp;AH$2,"")&amp;IF(N(AI267)&gt;0,", "&amp;A267&amp;"-"&amp;AI$2,"")&amp;IF(N(AJ267)&gt;0,", "&amp;A267&amp;"-"&amp;AJ$2,""),3,999))</f>
        <v/>
      </c>
      <c r="AN267" s="81"/>
      <c r="AO267" s="88"/>
      <c r="AP267" s="89" t="str">
        <f aca="false">IF(AO267="","",ROUND(AO267/(1+Справочники!$B$13),2))</f>
        <v/>
      </c>
      <c r="AQ267" s="90" t="str">
        <f aca="false" t="array" ref="AQ267:AQ267">IF(AP267="","",AP267*INDEX(Справочники!$B$4:$B$7,MATCH("RUB",Справочники!$A$4:$A$7,0)))</f>
        <v/>
      </c>
      <c r="AR267" s="90" t="str">
        <f aca="false">IF(AQ267="","",ROUND(AQ267*(1+Справочники!$B$12),0))</f>
        <v/>
      </c>
      <c r="AS267" s="90" t="str">
        <f aca="false">IF(AR267="","",ROUND(AR267*(1-Справочники!$B$11),0))</f>
        <v/>
      </c>
      <c r="AT267" s="88"/>
      <c r="AU267" s="90" t="str">
        <f aca="false">IF(AT267="","",ROUND(AT267/(1+Справочники!$B$12),0))</f>
        <v/>
      </c>
      <c r="AV267" s="90" t="str">
        <f aca="false">IF(AT267="","",ROUND(AT267*(1-Справочники!$B$15),0))</f>
        <v/>
      </c>
      <c r="AW267" s="90" t="str">
        <f aca="false">IF(AT267="","",ROUND(AT267*(1-Справочники!$B$16),0))</f>
        <v/>
      </c>
      <c r="AX267" s="90" t="str">
        <f aca="false">IF(AT267="","",ROUND(AT267*(1-Справочники!$B$17),0))</f>
        <v/>
      </c>
      <c r="AY267" s="90" t="str">
        <f aca="false">IF(AT267="","",ROUND(AT267*(1-Справочники!$B$18),0))</f>
        <v/>
      </c>
      <c r="AZ267" s="90" t="str">
        <f aca="false">IF(AT267="","",ROUND(AT267*(1-Справочники!$B$19),0))</f>
        <v/>
      </c>
      <c r="BA267" s="81"/>
      <c r="BB267" s="81"/>
      <c r="BC267" s="81"/>
      <c r="BD267" s="81"/>
      <c r="BE267" s="91"/>
      <c r="BF267" s="81" t="s">
        <v>103</v>
      </c>
      <c r="BG267" s="89" t="n">
        <f aca="false" t="array" ref="BG267:BG267">IF(BF267="","",IFERROR(INDEX(Справочники!$B$4:$B$7,MATCH(BF267,Справочники!$A$4:$A$7,0)),""))</f>
        <v>68.5</v>
      </c>
      <c r="BH267" s="90" t="str">
        <f aca="false">IF(N(BN267)&gt;0,ROUND(SUMIF(ЗАКАЗЫ!$F$3:$F$500,$A267,ЗАКАЗЫ!$Y$3:$Y$500)/BN267,0),IF(OR(BE267="",BG267=""),"",ROUND(BE267*BG267*(1+Справочники!$B$10),0)))</f>
        <v/>
      </c>
      <c r="BI267" s="92" t="str">
        <f aca="false">IF(OR(AU267="",BH267="",AU267=0),"",(AU267-BH267)/AU267)</f>
        <v/>
      </c>
      <c r="BJ267" s="81"/>
      <c r="BK267" s="83"/>
      <c r="BL267" s="43" t="str">
        <f aca="false">IFERROR(INDEX(ЗАКАЗЫ!$N$3:$N$500,MATCH($A267,ЗАКАЗЫ!$F$3:$F$500,0)),"")</f>
        <v/>
      </c>
      <c r="BM267" s="8" t="str">
        <f aca="false">IF(BL267="","",IFERROR(VLOOKUP(BL267,'ТН ВЭД'!$A$4:$C$40,3,0),""))</f>
        <v/>
      </c>
      <c r="BN267" s="7" t="str">
        <f aca="false">IF(COUNTIF(ЗАКАЗЫ!$F$3:$F$500,$A267)=0,"",SUMIF(ЗАКАЗЫ!$F$3:$F$500,$A267,ЗАКАЗЫ!$J$3:$J$500))</f>
        <v/>
      </c>
      <c r="BO267" s="7" t="str">
        <f aca="false">IF(BN267="","",SUMIF(ЗАКАЗЫ!$F$3:$F$500,$A267,ЗАКАЗЫ!$AL$3:$AL$500))</f>
        <v/>
      </c>
      <c r="BP267" s="7" t="str">
        <f aca="false">IF(BN267="","",BN267-BO267)</f>
        <v/>
      </c>
      <c r="BQ267" s="55" t="str">
        <f aca="false">IF(BN267="","",IF(BO267&gt;=BN267,"На складе",IF(BO267&gt;0,"Частично","Ждём")))</f>
        <v/>
      </c>
      <c r="BR267" s="43"/>
      <c r="BS267" s="47" t="str">
        <f aca="false">IF(BN267="","",IF(_xlfn.MAXIFS(ЗАКАЗЫ!$AK$3:$AK$500,ЗАКАЗЫ!$F$3:$F$500,$A267)=0,"",_xlfn.MAXIFS(ЗАКАЗЫ!$AK$3:$AK$500,ЗАКАЗЫ!$F$3:$F$500,$A267)))</f>
        <v/>
      </c>
    </row>
    <row r="268" customFormat="false" ht="15.75" hidden="false" customHeight="true" outlineLevel="0" collapsed="false">
      <c r="A268" s="80" t="s">
        <v>1791</v>
      </c>
      <c r="B268" s="81"/>
      <c r="C268" s="81"/>
      <c r="D268" s="81"/>
      <c r="E268" s="83"/>
      <c r="F268" s="81"/>
      <c r="G268" s="83"/>
      <c r="H268" s="83"/>
      <c r="I268" s="84" t="str">
        <f aca="false">IF(E268="","",A268&amp;"_1.jpg")</f>
        <v/>
      </c>
      <c r="J268" s="84" t="str">
        <f aca="false">IF(E268="","",A268&amp;"_2.jpg; "&amp;A268&amp;"_3.jpg")</f>
        <v/>
      </c>
      <c r="K268" s="84" t="str">
        <f aca="false">IF(E268="","",A268&amp;"_schema.jpg")</f>
        <v/>
      </c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 t="s">
        <v>96</v>
      </c>
      <c r="W268" s="81"/>
      <c r="X268" s="81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6" t="str">
        <f aca="false">IF(SUM(Y268:AJ268)=0,"",SUM(Y268:AJ268))</f>
        <v/>
      </c>
      <c r="AL268" s="84" t="str">
        <f aca="false">MID(IF(N(Y268)&gt;0,", "&amp;Y$2,"")&amp;IF(N(Z268)&gt;0,", "&amp;Z$2,"")&amp;IF(N(AA268)&gt;0,", "&amp;AA$2,"")&amp;IF(N(AB268)&gt;0,", "&amp;AB$2,"")&amp;IF(N(AC268)&gt;0,", "&amp;AC$2,"")&amp;IF(N(AD268)&gt;0,", "&amp;AD$2,"")&amp;IF(N(AE268)&gt;0,", "&amp;AE$2,"")&amp;IF(N(AF268)&gt;0,", "&amp;AF$2,"")&amp;IF(N(AG268)&gt;0,", "&amp;AG$2,"")&amp;IF(N(AH268)&gt;0,", "&amp;AH$2,"")&amp;IF(N(AI268)&gt;0,", "&amp;AI$2,"")&amp;IF(N(AJ268)&gt;0,", "&amp;AJ$2,""),3,999)</f>
        <v/>
      </c>
      <c r="AM268" s="87" t="str">
        <f aca="false">IF(E268="","",MID(IF(N(Y268)&gt;0,", "&amp;A268&amp;"-"&amp;Y$2,"")&amp;IF(N(Z268)&gt;0,", "&amp;A268&amp;"-"&amp;Z$2,"")&amp;IF(N(AA268)&gt;0,", "&amp;A268&amp;"-"&amp;AA$2,"")&amp;IF(N(AB268)&gt;0,", "&amp;A268&amp;"-"&amp;AB$2,"")&amp;IF(N(AC268)&gt;0,", "&amp;A268&amp;"-"&amp;AC$2,"")&amp;IF(N(AD268)&gt;0,", "&amp;A268&amp;"-"&amp;AD$2,"")&amp;IF(N(AE268)&gt;0,", "&amp;A268&amp;"-"&amp;AE$2,"")&amp;IF(N(AF268)&gt;0,", "&amp;A268&amp;"-"&amp;AF$2,"")&amp;IF(N(AG268)&gt;0,", "&amp;A268&amp;"-"&amp;AG$2,"")&amp;IF(N(AH268)&gt;0,", "&amp;A268&amp;"-"&amp;AH$2,"")&amp;IF(N(AI268)&gt;0,", "&amp;A268&amp;"-"&amp;AI$2,"")&amp;IF(N(AJ268)&gt;0,", "&amp;A268&amp;"-"&amp;AJ$2,""),3,999))</f>
        <v/>
      </c>
      <c r="AN268" s="81"/>
      <c r="AO268" s="88"/>
      <c r="AP268" s="89" t="str">
        <f aca="false">IF(AO268="","",ROUND(AO268/(1+Справочники!$B$13),2))</f>
        <v/>
      </c>
      <c r="AQ268" s="90" t="str">
        <f aca="false" t="array" ref="AQ268:AQ268">IF(AP268="","",AP268*INDEX(Справочники!$B$4:$B$7,MATCH("RUB",Справочники!$A$4:$A$7,0)))</f>
        <v/>
      </c>
      <c r="AR268" s="90" t="str">
        <f aca="false">IF(AQ268="","",ROUND(AQ268*(1+Справочники!$B$12),0))</f>
        <v/>
      </c>
      <c r="AS268" s="90" t="str">
        <f aca="false">IF(AR268="","",ROUND(AR268*(1-Справочники!$B$11),0))</f>
        <v/>
      </c>
      <c r="AT268" s="88"/>
      <c r="AU268" s="90" t="str">
        <f aca="false">IF(AT268="","",ROUND(AT268/(1+Справочники!$B$12),0))</f>
        <v/>
      </c>
      <c r="AV268" s="90" t="str">
        <f aca="false">IF(AT268="","",ROUND(AT268*(1-Справочники!$B$15),0))</f>
        <v/>
      </c>
      <c r="AW268" s="90" t="str">
        <f aca="false">IF(AT268="","",ROUND(AT268*(1-Справочники!$B$16),0))</f>
        <v/>
      </c>
      <c r="AX268" s="90" t="str">
        <f aca="false">IF(AT268="","",ROUND(AT268*(1-Справочники!$B$17),0))</f>
        <v/>
      </c>
      <c r="AY268" s="90" t="str">
        <f aca="false">IF(AT268="","",ROUND(AT268*(1-Справочники!$B$18),0))</f>
        <v/>
      </c>
      <c r="AZ268" s="90" t="str">
        <f aca="false">IF(AT268="","",ROUND(AT268*(1-Справочники!$B$19),0))</f>
        <v/>
      </c>
      <c r="BA268" s="81"/>
      <c r="BB268" s="81"/>
      <c r="BC268" s="81"/>
      <c r="BD268" s="81"/>
      <c r="BE268" s="91"/>
      <c r="BF268" s="81" t="s">
        <v>103</v>
      </c>
      <c r="BG268" s="89" t="n">
        <f aca="false" t="array" ref="BG268:BG268">IF(BF268="","",IFERROR(INDEX(Справочники!$B$4:$B$7,MATCH(BF268,Справочники!$A$4:$A$7,0)),""))</f>
        <v>68.5</v>
      </c>
      <c r="BH268" s="90" t="str">
        <f aca="false">IF(N(BN268)&gt;0,ROUND(SUMIF(ЗАКАЗЫ!$F$3:$F$500,$A268,ЗАКАЗЫ!$Y$3:$Y$500)/BN268,0),IF(OR(BE268="",BG268=""),"",ROUND(BE268*BG268*(1+Справочники!$B$10),0)))</f>
        <v/>
      </c>
      <c r="BI268" s="92" t="str">
        <f aca="false">IF(OR(AU268="",BH268="",AU268=0),"",(AU268-BH268)/AU268)</f>
        <v/>
      </c>
      <c r="BJ268" s="81"/>
      <c r="BK268" s="83"/>
      <c r="BL268" s="43" t="str">
        <f aca="false">IFERROR(INDEX(ЗАКАЗЫ!$N$3:$N$500,MATCH($A268,ЗАКАЗЫ!$F$3:$F$500,0)),"")</f>
        <v/>
      </c>
      <c r="BM268" s="8" t="str">
        <f aca="false">IF(BL268="","",IFERROR(VLOOKUP(BL268,'ТН ВЭД'!$A$4:$C$40,3,0),""))</f>
        <v/>
      </c>
      <c r="BN268" s="7" t="str">
        <f aca="false">IF(COUNTIF(ЗАКАЗЫ!$F$3:$F$500,$A268)=0,"",SUMIF(ЗАКАЗЫ!$F$3:$F$500,$A268,ЗАКАЗЫ!$J$3:$J$500))</f>
        <v/>
      </c>
      <c r="BO268" s="7" t="str">
        <f aca="false">IF(BN268="","",SUMIF(ЗАКАЗЫ!$F$3:$F$500,$A268,ЗАКАЗЫ!$AL$3:$AL$500))</f>
        <v/>
      </c>
      <c r="BP268" s="7" t="str">
        <f aca="false">IF(BN268="","",BN268-BO268)</f>
        <v/>
      </c>
      <c r="BQ268" s="55" t="str">
        <f aca="false">IF(BN268="","",IF(BO268&gt;=BN268,"На складе",IF(BO268&gt;0,"Частично","Ждём")))</f>
        <v/>
      </c>
      <c r="BR268" s="43"/>
      <c r="BS268" s="47" t="str">
        <f aca="false">IF(BN268="","",IF(_xlfn.MAXIFS(ЗАКАЗЫ!$AK$3:$AK$500,ЗАКАЗЫ!$F$3:$F$500,$A268)=0,"",_xlfn.MAXIFS(ЗАКАЗЫ!$AK$3:$AK$500,ЗАКАЗЫ!$F$3:$F$500,$A268)))</f>
        <v/>
      </c>
    </row>
    <row r="269" customFormat="false" ht="15.75" hidden="false" customHeight="true" outlineLevel="0" collapsed="false">
      <c r="A269" s="80" t="s">
        <v>1792</v>
      </c>
      <c r="B269" s="81"/>
      <c r="C269" s="81"/>
      <c r="D269" s="81"/>
      <c r="E269" s="83"/>
      <c r="F269" s="81"/>
      <c r="G269" s="83"/>
      <c r="H269" s="83"/>
      <c r="I269" s="84" t="str">
        <f aca="false">IF(E269="","",A269&amp;"_1.jpg")</f>
        <v/>
      </c>
      <c r="J269" s="84" t="str">
        <f aca="false">IF(E269="","",A269&amp;"_2.jpg; "&amp;A269&amp;"_3.jpg")</f>
        <v/>
      </c>
      <c r="K269" s="84" t="str">
        <f aca="false">IF(E269="","",A269&amp;"_schema.jpg")</f>
        <v/>
      </c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 t="s">
        <v>96</v>
      </c>
      <c r="W269" s="81"/>
      <c r="X269" s="81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6" t="str">
        <f aca="false">IF(SUM(Y269:AJ269)=0,"",SUM(Y269:AJ269))</f>
        <v/>
      </c>
      <c r="AL269" s="84" t="str">
        <f aca="false">MID(IF(N(Y269)&gt;0,", "&amp;Y$2,"")&amp;IF(N(Z269)&gt;0,", "&amp;Z$2,"")&amp;IF(N(AA269)&gt;0,", "&amp;AA$2,"")&amp;IF(N(AB269)&gt;0,", "&amp;AB$2,"")&amp;IF(N(AC269)&gt;0,", "&amp;AC$2,"")&amp;IF(N(AD269)&gt;0,", "&amp;AD$2,"")&amp;IF(N(AE269)&gt;0,", "&amp;AE$2,"")&amp;IF(N(AF269)&gt;0,", "&amp;AF$2,"")&amp;IF(N(AG269)&gt;0,", "&amp;AG$2,"")&amp;IF(N(AH269)&gt;0,", "&amp;AH$2,"")&amp;IF(N(AI269)&gt;0,", "&amp;AI$2,"")&amp;IF(N(AJ269)&gt;0,", "&amp;AJ$2,""),3,999)</f>
        <v/>
      </c>
      <c r="AM269" s="87" t="str">
        <f aca="false">IF(E269="","",MID(IF(N(Y269)&gt;0,", "&amp;A269&amp;"-"&amp;Y$2,"")&amp;IF(N(Z269)&gt;0,", "&amp;A269&amp;"-"&amp;Z$2,"")&amp;IF(N(AA269)&gt;0,", "&amp;A269&amp;"-"&amp;AA$2,"")&amp;IF(N(AB269)&gt;0,", "&amp;A269&amp;"-"&amp;AB$2,"")&amp;IF(N(AC269)&gt;0,", "&amp;A269&amp;"-"&amp;AC$2,"")&amp;IF(N(AD269)&gt;0,", "&amp;A269&amp;"-"&amp;AD$2,"")&amp;IF(N(AE269)&gt;0,", "&amp;A269&amp;"-"&amp;AE$2,"")&amp;IF(N(AF269)&gt;0,", "&amp;A269&amp;"-"&amp;AF$2,"")&amp;IF(N(AG269)&gt;0,", "&amp;A269&amp;"-"&amp;AG$2,"")&amp;IF(N(AH269)&gt;0,", "&amp;A269&amp;"-"&amp;AH$2,"")&amp;IF(N(AI269)&gt;0,", "&amp;A269&amp;"-"&amp;AI$2,"")&amp;IF(N(AJ269)&gt;0,", "&amp;A269&amp;"-"&amp;AJ$2,""),3,999))</f>
        <v/>
      </c>
      <c r="AN269" s="81"/>
      <c r="AO269" s="88"/>
      <c r="AP269" s="89" t="str">
        <f aca="false">IF(AO269="","",ROUND(AO269/(1+Справочники!$B$13),2))</f>
        <v/>
      </c>
      <c r="AQ269" s="90" t="str">
        <f aca="false" t="array" ref="AQ269:AQ269">IF(AP269="","",AP269*INDEX(Справочники!$B$4:$B$7,MATCH("RUB",Справочники!$A$4:$A$7,0)))</f>
        <v/>
      </c>
      <c r="AR269" s="90" t="str">
        <f aca="false">IF(AQ269="","",ROUND(AQ269*(1+Справочники!$B$12),0))</f>
        <v/>
      </c>
      <c r="AS269" s="90" t="str">
        <f aca="false">IF(AR269="","",ROUND(AR269*(1-Справочники!$B$11),0))</f>
        <v/>
      </c>
      <c r="AT269" s="88"/>
      <c r="AU269" s="90" t="str">
        <f aca="false">IF(AT269="","",ROUND(AT269/(1+Справочники!$B$12),0))</f>
        <v/>
      </c>
      <c r="AV269" s="90" t="str">
        <f aca="false">IF(AT269="","",ROUND(AT269*(1-Справочники!$B$15),0))</f>
        <v/>
      </c>
      <c r="AW269" s="90" t="str">
        <f aca="false">IF(AT269="","",ROUND(AT269*(1-Справочники!$B$16),0))</f>
        <v/>
      </c>
      <c r="AX269" s="90" t="str">
        <f aca="false">IF(AT269="","",ROUND(AT269*(1-Справочники!$B$17),0))</f>
        <v/>
      </c>
      <c r="AY269" s="90" t="str">
        <f aca="false">IF(AT269="","",ROUND(AT269*(1-Справочники!$B$18),0))</f>
        <v/>
      </c>
      <c r="AZ269" s="90" t="str">
        <f aca="false">IF(AT269="","",ROUND(AT269*(1-Справочники!$B$19),0))</f>
        <v/>
      </c>
      <c r="BA269" s="81"/>
      <c r="BB269" s="81"/>
      <c r="BC269" s="81"/>
      <c r="BD269" s="81"/>
      <c r="BE269" s="91"/>
      <c r="BF269" s="81" t="s">
        <v>103</v>
      </c>
      <c r="BG269" s="89" t="n">
        <f aca="false" t="array" ref="BG269:BG269">IF(BF269="","",IFERROR(INDEX(Справочники!$B$4:$B$7,MATCH(BF269,Справочники!$A$4:$A$7,0)),""))</f>
        <v>68.5</v>
      </c>
      <c r="BH269" s="90" t="str">
        <f aca="false">IF(N(BN269)&gt;0,ROUND(SUMIF(ЗАКАЗЫ!$F$3:$F$500,$A269,ЗАКАЗЫ!$Y$3:$Y$500)/BN269,0),IF(OR(BE269="",BG269=""),"",ROUND(BE269*BG269*(1+Справочники!$B$10),0)))</f>
        <v/>
      </c>
      <c r="BI269" s="92" t="str">
        <f aca="false">IF(OR(AU269="",BH269="",AU269=0),"",(AU269-BH269)/AU269)</f>
        <v/>
      </c>
      <c r="BJ269" s="81"/>
      <c r="BK269" s="83"/>
      <c r="BL269" s="43" t="str">
        <f aca="false">IFERROR(INDEX(ЗАКАЗЫ!$N$3:$N$500,MATCH($A269,ЗАКАЗЫ!$F$3:$F$500,0)),"")</f>
        <v/>
      </c>
      <c r="BM269" s="8" t="str">
        <f aca="false">IF(BL269="","",IFERROR(VLOOKUP(BL269,'ТН ВЭД'!$A$4:$C$40,3,0),""))</f>
        <v/>
      </c>
      <c r="BN269" s="7" t="str">
        <f aca="false">IF(COUNTIF(ЗАКАЗЫ!$F$3:$F$500,$A269)=0,"",SUMIF(ЗАКАЗЫ!$F$3:$F$500,$A269,ЗАКАЗЫ!$J$3:$J$500))</f>
        <v/>
      </c>
      <c r="BO269" s="7" t="str">
        <f aca="false">IF(BN269="","",SUMIF(ЗАКАЗЫ!$F$3:$F$500,$A269,ЗАКАЗЫ!$AL$3:$AL$500))</f>
        <v/>
      </c>
      <c r="BP269" s="7" t="str">
        <f aca="false">IF(BN269="","",BN269-BO269)</f>
        <v/>
      </c>
      <c r="BQ269" s="55" t="str">
        <f aca="false">IF(BN269="","",IF(BO269&gt;=BN269,"На складе",IF(BO269&gt;0,"Частично","Ждём")))</f>
        <v/>
      </c>
      <c r="BR269" s="43"/>
      <c r="BS269" s="47" t="str">
        <f aca="false">IF(BN269="","",IF(_xlfn.MAXIFS(ЗАКАЗЫ!$AK$3:$AK$500,ЗАКАЗЫ!$F$3:$F$500,$A269)=0,"",_xlfn.MAXIFS(ЗАКАЗЫ!$AK$3:$AK$500,ЗАКАЗЫ!$F$3:$F$500,$A269)))</f>
        <v/>
      </c>
    </row>
    <row r="270" customFormat="false" ht="15.75" hidden="false" customHeight="true" outlineLevel="0" collapsed="false">
      <c r="A270" s="80" t="s">
        <v>1793</v>
      </c>
      <c r="B270" s="81"/>
      <c r="C270" s="81"/>
      <c r="D270" s="81"/>
      <c r="E270" s="83"/>
      <c r="F270" s="81"/>
      <c r="G270" s="83"/>
      <c r="H270" s="83"/>
      <c r="I270" s="84" t="str">
        <f aca="false">IF(E270="","",A270&amp;"_1.jpg")</f>
        <v/>
      </c>
      <c r="J270" s="84" t="str">
        <f aca="false">IF(E270="","",A270&amp;"_2.jpg; "&amp;A270&amp;"_3.jpg")</f>
        <v/>
      </c>
      <c r="K270" s="84" t="str">
        <f aca="false">IF(E270="","",A270&amp;"_schema.jpg")</f>
        <v/>
      </c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 t="s">
        <v>96</v>
      </c>
      <c r="W270" s="81"/>
      <c r="X270" s="81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6" t="str">
        <f aca="false">IF(SUM(Y270:AJ270)=0,"",SUM(Y270:AJ270))</f>
        <v/>
      </c>
      <c r="AL270" s="84" t="str">
        <f aca="false">MID(IF(N(Y270)&gt;0,", "&amp;Y$2,"")&amp;IF(N(Z270)&gt;0,", "&amp;Z$2,"")&amp;IF(N(AA270)&gt;0,", "&amp;AA$2,"")&amp;IF(N(AB270)&gt;0,", "&amp;AB$2,"")&amp;IF(N(AC270)&gt;0,", "&amp;AC$2,"")&amp;IF(N(AD270)&gt;0,", "&amp;AD$2,"")&amp;IF(N(AE270)&gt;0,", "&amp;AE$2,"")&amp;IF(N(AF270)&gt;0,", "&amp;AF$2,"")&amp;IF(N(AG270)&gt;0,", "&amp;AG$2,"")&amp;IF(N(AH270)&gt;0,", "&amp;AH$2,"")&amp;IF(N(AI270)&gt;0,", "&amp;AI$2,"")&amp;IF(N(AJ270)&gt;0,", "&amp;AJ$2,""),3,999)</f>
        <v/>
      </c>
      <c r="AM270" s="87" t="str">
        <f aca="false">IF(E270="","",MID(IF(N(Y270)&gt;0,", "&amp;A270&amp;"-"&amp;Y$2,"")&amp;IF(N(Z270)&gt;0,", "&amp;A270&amp;"-"&amp;Z$2,"")&amp;IF(N(AA270)&gt;0,", "&amp;A270&amp;"-"&amp;AA$2,"")&amp;IF(N(AB270)&gt;0,", "&amp;A270&amp;"-"&amp;AB$2,"")&amp;IF(N(AC270)&gt;0,", "&amp;A270&amp;"-"&amp;AC$2,"")&amp;IF(N(AD270)&gt;0,", "&amp;A270&amp;"-"&amp;AD$2,"")&amp;IF(N(AE270)&gt;0,", "&amp;A270&amp;"-"&amp;AE$2,"")&amp;IF(N(AF270)&gt;0,", "&amp;A270&amp;"-"&amp;AF$2,"")&amp;IF(N(AG270)&gt;0,", "&amp;A270&amp;"-"&amp;AG$2,"")&amp;IF(N(AH270)&gt;0,", "&amp;A270&amp;"-"&amp;AH$2,"")&amp;IF(N(AI270)&gt;0,", "&amp;A270&amp;"-"&amp;AI$2,"")&amp;IF(N(AJ270)&gt;0,", "&amp;A270&amp;"-"&amp;AJ$2,""),3,999))</f>
        <v/>
      </c>
      <c r="AN270" s="81"/>
      <c r="AO270" s="88"/>
      <c r="AP270" s="89" t="str">
        <f aca="false">IF(AO270="","",ROUND(AO270/(1+Справочники!$B$13),2))</f>
        <v/>
      </c>
      <c r="AQ270" s="90" t="str">
        <f aca="false" t="array" ref="AQ270:AQ270">IF(AP270="","",AP270*INDEX(Справочники!$B$4:$B$7,MATCH("RUB",Справочники!$A$4:$A$7,0)))</f>
        <v/>
      </c>
      <c r="AR270" s="90" t="str">
        <f aca="false">IF(AQ270="","",ROUND(AQ270*(1+Справочники!$B$12),0))</f>
        <v/>
      </c>
      <c r="AS270" s="90" t="str">
        <f aca="false">IF(AR270="","",ROUND(AR270*(1-Справочники!$B$11),0))</f>
        <v/>
      </c>
      <c r="AT270" s="88"/>
      <c r="AU270" s="90" t="str">
        <f aca="false">IF(AT270="","",ROUND(AT270/(1+Справочники!$B$12),0))</f>
        <v/>
      </c>
      <c r="AV270" s="90" t="str">
        <f aca="false">IF(AT270="","",ROUND(AT270*(1-Справочники!$B$15),0))</f>
        <v/>
      </c>
      <c r="AW270" s="90" t="str">
        <f aca="false">IF(AT270="","",ROUND(AT270*(1-Справочники!$B$16),0))</f>
        <v/>
      </c>
      <c r="AX270" s="90" t="str">
        <f aca="false">IF(AT270="","",ROUND(AT270*(1-Справочники!$B$17),0))</f>
        <v/>
      </c>
      <c r="AY270" s="90" t="str">
        <f aca="false">IF(AT270="","",ROUND(AT270*(1-Справочники!$B$18),0))</f>
        <v/>
      </c>
      <c r="AZ270" s="90" t="str">
        <f aca="false">IF(AT270="","",ROUND(AT270*(1-Справочники!$B$19),0))</f>
        <v/>
      </c>
      <c r="BA270" s="81"/>
      <c r="BB270" s="81"/>
      <c r="BC270" s="81"/>
      <c r="BD270" s="81"/>
      <c r="BE270" s="91"/>
      <c r="BF270" s="81" t="s">
        <v>103</v>
      </c>
      <c r="BG270" s="89" t="n">
        <f aca="false" t="array" ref="BG270:BG270">IF(BF270="","",IFERROR(INDEX(Справочники!$B$4:$B$7,MATCH(BF270,Справочники!$A$4:$A$7,0)),""))</f>
        <v>68.5</v>
      </c>
      <c r="BH270" s="90" t="str">
        <f aca="false">IF(N(BN270)&gt;0,ROUND(SUMIF(ЗАКАЗЫ!$F$3:$F$500,$A270,ЗАКАЗЫ!$Y$3:$Y$500)/BN270,0),IF(OR(BE270="",BG270=""),"",ROUND(BE270*BG270*(1+Справочники!$B$10),0)))</f>
        <v/>
      </c>
      <c r="BI270" s="92" t="str">
        <f aca="false">IF(OR(AU270="",BH270="",AU270=0),"",(AU270-BH270)/AU270)</f>
        <v/>
      </c>
      <c r="BJ270" s="81"/>
      <c r="BK270" s="83"/>
      <c r="BL270" s="43" t="str">
        <f aca="false">IFERROR(INDEX(ЗАКАЗЫ!$N$3:$N$500,MATCH($A270,ЗАКАЗЫ!$F$3:$F$500,0)),"")</f>
        <v/>
      </c>
      <c r="BM270" s="8" t="str">
        <f aca="false">IF(BL270="","",IFERROR(VLOOKUP(BL270,'ТН ВЭД'!$A$4:$C$40,3,0),""))</f>
        <v/>
      </c>
      <c r="BN270" s="7" t="str">
        <f aca="false">IF(COUNTIF(ЗАКАЗЫ!$F$3:$F$500,$A270)=0,"",SUMIF(ЗАКАЗЫ!$F$3:$F$500,$A270,ЗАКАЗЫ!$J$3:$J$500))</f>
        <v/>
      </c>
      <c r="BO270" s="7" t="str">
        <f aca="false">IF(BN270="","",SUMIF(ЗАКАЗЫ!$F$3:$F$500,$A270,ЗАКАЗЫ!$AL$3:$AL$500))</f>
        <v/>
      </c>
      <c r="BP270" s="7" t="str">
        <f aca="false">IF(BN270="","",BN270-BO270)</f>
        <v/>
      </c>
      <c r="BQ270" s="55" t="str">
        <f aca="false">IF(BN270="","",IF(BO270&gt;=BN270,"На складе",IF(BO270&gt;0,"Частично","Ждём")))</f>
        <v/>
      </c>
      <c r="BR270" s="43"/>
      <c r="BS270" s="47" t="str">
        <f aca="false">IF(BN270="","",IF(_xlfn.MAXIFS(ЗАКАЗЫ!$AK$3:$AK$500,ЗАКАЗЫ!$F$3:$F$500,$A270)=0,"",_xlfn.MAXIFS(ЗАКАЗЫ!$AK$3:$AK$500,ЗАКАЗЫ!$F$3:$F$500,$A270)))</f>
        <v/>
      </c>
    </row>
    <row r="271" customFormat="false" ht="15.75" hidden="false" customHeight="true" outlineLevel="0" collapsed="false">
      <c r="A271" s="80" t="s">
        <v>1794</v>
      </c>
      <c r="B271" s="81"/>
      <c r="C271" s="81"/>
      <c r="D271" s="81"/>
      <c r="E271" s="83"/>
      <c r="F271" s="81"/>
      <c r="G271" s="83"/>
      <c r="H271" s="83"/>
      <c r="I271" s="84" t="str">
        <f aca="false">IF(E271="","",A271&amp;"_1.jpg")</f>
        <v/>
      </c>
      <c r="J271" s="84" t="str">
        <f aca="false">IF(E271="","",A271&amp;"_2.jpg; "&amp;A271&amp;"_3.jpg")</f>
        <v/>
      </c>
      <c r="K271" s="84" t="str">
        <f aca="false">IF(E271="","",A271&amp;"_schema.jpg")</f>
        <v/>
      </c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 t="s">
        <v>96</v>
      </c>
      <c r="W271" s="81"/>
      <c r="X271" s="81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6" t="str">
        <f aca="false">IF(SUM(Y271:AJ271)=0,"",SUM(Y271:AJ271))</f>
        <v/>
      </c>
      <c r="AL271" s="84" t="str">
        <f aca="false">MID(IF(N(Y271)&gt;0,", "&amp;Y$2,"")&amp;IF(N(Z271)&gt;0,", "&amp;Z$2,"")&amp;IF(N(AA271)&gt;0,", "&amp;AA$2,"")&amp;IF(N(AB271)&gt;0,", "&amp;AB$2,"")&amp;IF(N(AC271)&gt;0,", "&amp;AC$2,"")&amp;IF(N(AD271)&gt;0,", "&amp;AD$2,"")&amp;IF(N(AE271)&gt;0,", "&amp;AE$2,"")&amp;IF(N(AF271)&gt;0,", "&amp;AF$2,"")&amp;IF(N(AG271)&gt;0,", "&amp;AG$2,"")&amp;IF(N(AH271)&gt;0,", "&amp;AH$2,"")&amp;IF(N(AI271)&gt;0,", "&amp;AI$2,"")&amp;IF(N(AJ271)&gt;0,", "&amp;AJ$2,""),3,999)</f>
        <v/>
      </c>
      <c r="AM271" s="87" t="str">
        <f aca="false">IF(E271="","",MID(IF(N(Y271)&gt;0,", "&amp;A271&amp;"-"&amp;Y$2,"")&amp;IF(N(Z271)&gt;0,", "&amp;A271&amp;"-"&amp;Z$2,"")&amp;IF(N(AA271)&gt;0,", "&amp;A271&amp;"-"&amp;AA$2,"")&amp;IF(N(AB271)&gt;0,", "&amp;A271&amp;"-"&amp;AB$2,"")&amp;IF(N(AC271)&gt;0,", "&amp;A271&amp;"-"&amp;AC$2,"")&amp;IF(N(AD271)&gt;0,", "&amp;A271&amp;"-"&amp;AD$2,"")&amp;IF(N(AE271)&gt;0,", "&amp;A271&amp;"-"&amp;AE$2,"")&amp;IF(N(AF271)&gt;0,", "&amp;A271&amp;"-"&amp;AF$2,"")&amp;IF(N(AG271)&gt;0,", "&amp;A271&amp;"-"&amp;AG$2,"")&amp;IF(N(AH271)&gt;0,", "&amp;A271&amp;"-"&amp;AH$2,"")&amp;IF(N(AI271)&gt;0,", "&amp;A271&amp;"-"&amp;AI$2,"")&amp;IF(N(AJ271)&gt;0,", "&amp;A271&amp;"-"&amp;AJ$2,""),3,999))</f>
        <v/>
      </c>
      <c r="AN271" s="81"/>
      <c r="AO271" s="88"/>
      <c r="AP271" s="89" t="str">
        <f aca="false">IF(AO271="","",ROUND(AO271/(1+Справочники!$B$13),2))</f>
        <v/>
      </c>
      <c r="AQ271" s="90" t="str">
        <f aca="false" t="array" ref="AQ271:AQ271">IF(AP271="","",AP271*INDEX(Справочники!$B$4:$B$7,MATCH("RUB",Справочники!$A$4:$A$7,0)))</f>
        <v/>
      </c>
      <c r="AR271" s="90" t="str">
        <f aca="false">IF(AQ271="","",ROUND(AQ271*(1+Справочники!$B$12),0))</f>
        <v/>
      </c>
      <c r="AS271" s="90" t="str">
        <f aca="false">IF(AR271="","",ROUND(AR271*(1-Справочники!$B$11),0))</f>
        <v/>
      </c>
      <c r="AT271" s="88"/>
      <c r="AU271" s="90" t="str">
        <f aca="false">IF(AT271="","",ROUND(AT271/(1+Справочники!$B$12),0))</f>
        <v/>
      </c>
      <c r="AV271" s="90" t="str">
        <f aca="false">IF(AT271="","",ROUND(AT271*(1-Справочники!$B$15),0))</f>
        <v/>
      </c>
      <c r="AW271" s="90" t="str">
        <f aca="false">IF(AT271="","",ROUND(AT271*(1-Справочники!$B$16),0))</f>
        <v/>
      </c>
      <c r="AX271" s="90" t="str">
        <f aca="false">IF(AT271="","",ROUND(AT271*(1-Справочники!$B$17),0))</f>
        <v/>
      </c>
      <c r="AY271" s="90" t="str">
        <f aca="false">IF(AT271="","",ROUND(AT271*(1-Справочники!$B$18),0))</f>
        <v/>
      </c>
      <c r="AZ271" s="90" t="str">
        <f aca="false">IF(AT271="","",ROUND(AT271*(1-Справочники!$B$19),0))</f>
        <v/>
      </c>
      <c r="BA271" s="81"/>
      <c r="BB271" s="81"/>
      <c r="BC271" s="81"/>
      <c r="BD271" s="81"/>
      <c r="BE271" s="91"/>
      <c r="BF271" s="81" t="s">
        <v>103</v>
      </c>
      <c r="BG271" s="89" t="n">
        <f aca="false" t="array" ref="BG271:BG271">IF(BF271="","",IFERROR(INDEX(Справочники!$B$4:$B$7,MATCH(BF271,Справочники!$A$4:$A$7,0)),""))</f>
        <v>68.5</v>
      </c>
      <c r="BH271" s="90" t="str">
        <f aca="false">IF(N(BN271)&gt;0,ROUND(SUMIF(ЗАКАЗЫ!$F$3:$F$500,$A271,ЗАКАЗЫ!$Y$3:$Y$500)/BN271,0),IF(OR(BE271="",BG271=""),"",ROUND(BE271*BG271*(1+Справочники!$B$10),0)))</f>
        <v/>
      </c>
      <c r="BI271" s="92" t="str">
        <f aca="false">IF(OR(AU271="",BH271="",AU271=0),"",(AU271-BH271)/AU271)</f>
        <v/>
      </c>
      <c r="BJ271" s="81"/>
      <c r="BK271" s="83"/>
      <c r="BL271" s="43" t="str">
        <f aca="false">IFERROR(INDEX(ЗАКАЗЫ!$N$3:$N$500,MATCH($A271,ЗАКАЗЫ!$F$3:$F$500,0)),"")</f>
        <v/>
      </c>
      <c r="BM271" s="8" t="str">
        <f aca="false">IF(BL271="","",IFERROR(VLOOKUP(BL271,'ТН ВЭД'!$A$4:$C$40,3,0),""))</f>
        <v/>
      </c>
      <c r="BN271" s="7" t="str">
        <f aca="false">IF(COUNTIF(ЗАКАЗЫ!$F$3:$F$500,$A271)=0,"",SUMIF(ЗАКАЗЫ!$F$3:$F$500,$A271,ЗАКАЗЫ!$J$3:$J$500))</f>
        <v/>
      </c>
      <c r="BO271" s="7" t="str">
        <f aca="false">IF(BN271="","",SUMIF(ЗАКАЗЫ!$F$3:$F$500,$A271,ЗАКАЗЫ!$AL$3:$AL$500))</f>
        <v/>
      </c>
      <c r="BP271" s="7" t="str">
        <f aca="false">IF(BN271="","",BN271-BO271)</f>
        <v/>
      </c>
      <c r="BQ271" s="55" t="str">
        <f aca="false">IF(BN271="","",IF(BO271&gt;=BN271,"На складе",IF(BO271&gt;0,"Частично","Ждём")))</f>
        <v/>
      </c>
      <c r="BR271" s="43"/>
      <c r="BS271" s="47" t="str">
        <f aca="false">IF(BN271="","",IF(_xlfn.MAXIFS(ЗАКАЗЫ!$AK$3:$AK$500,ЗАКАЗЫ!$F$3:$F$500,$A271)=0,"",_xlfn.MAXIFS(ЗАКАЗЫ!$AK$3:$AK$500,ЗАКАЗЫ!$F$3:$F$500,$A271)))</f>
        <v/>
      </c>
    </row>
    <row r="272" customFormat="false" ht="15.75" hidden="false" customHeight="true" outlineLevel="0" collapsed="false">
      <c r="A272" s="80" t="s">
        <v>1795</v>
      </c>
      <c r="B272" s="81"/>
      <c r="C272" s="81"/>
      <c r="D272" s="81"/>
      <c r="E272" s="83"/>
      <c r="F272" s="81"/>
      <c r="G272" s="83"/>
      <c r="H272" s="83"/>
      <c r="I272" s="84" t="str">
        <f aca="false">IF(E272="","",A272&amp;"_1.jpg")</f>
        <v/>
      </c>
      <c r="J272" s="84" t="str">
        <f aca="false">IF(E272="","",A272&amp;"_2.jpg; "&amp;A272&amp;"_3.jpg")</f>
        <v/>
      </c>
      <c r="K272" s="84" t="str">
        <f aca="false">IF(E272="","",A272&amp;"_schema.jpg")</f>
        <v/>
      </c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 t="s">
        <v>96</v>
      </c>
      <c r="W272" s="81"/>
      <c r="X272" s="81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6" t="str">
        <f aca="false">IF(SUM(Y272:AJ272)=0,"",SUM(Y272:AJ272))</f>
        <v/>
      </c>
      <c r="AL272" s="84" t="str">
        <f aca="false">MID(IF(N(Y272)&gt;0,", "&amp;Y$2,"")&amp;IF(N(Z272)&gt;0,", "&amp;Z$2,"")&amp;IF(N(AA272)&gt;0,", "&amp;AA$2,"")&amp;IF(N(AB272)&gt;0,", "&amp;AB$2,"")&amp;IF(N(AC272)&gt;0,", "&amp;AC$2,"")&amp;IF(N(AD272)&gt;0,", "&amp;AD$2,"")&amp;IF(N(AE272)&gt;0,", "&amp;AE$2,"")&amp;IF(N(AF272)&gt;0,", "&amp;AF$2,"")&amp;IF(N(AG272)&gt;0,", "&amp;AG$2,"")&amp;IF(N(AH272)&gt;0,", "&amp;AH$2,"")&amp;IF(N(AI272)&gt;0,", "&amp;AI$2,"")&amp;IF(N(AJ272)&gt;0,", "&amp;AJ$2,""),3,999)</f>
        <v/>
      </c>
      <c r="AM272" s="87" t="str">
        <f aca="false">IF(E272="","",MID(IF(N(Y272)&gt;0,", "&amp;A272&amp;"-"&amp;Y$2,"")&amp;IF(N(Z272)&gt;0,", "&amp;A272&amp;"-"&amp;Z$2,"")&amp;IF(N(AA272)&gt;0,", "&amp;A272&amp;"-"&amp;AA$2,"")&amp;IF(N(AB272)&gt;0,", "&amp;A272&amp;"-"&amp;AB$2,"")&amp;IF(N(AC272)&gt;0,", "&amp;A272&amp;"-"&amp;AC$2,"")&amp;IF(N(AD272)&gt;0,", "&amp;A272&amp;"-"&amp;AD$2,"")&amp;IF(N(AE272)&gt;0,", "&amp;A272&amp;"-"&amp;AE$2,"")&amp;IF(N(AF272)&gt;0,", "&amp;A272&amp;"-"&amp;AF$2,"")&amp;IF(N(AG272)&gt;0,", "&amp;A272&amp;"-"&amp;AG$2,"")&amp;IF(N(AH272)&gt;0,", "&amp;A272&amp;"-"&amp;AH$2,"")&amp;IF(N(AI272)&gt;0,", "&amp;A272&amp;"-"&amp;AI$2,"")&amp;IF(N(AJ272)&gt;0,", "&amp;A272&amp;"-"&amp;AJ$2,""),3,999))</f>
        <v/>
      </c>
      <c r="AN272" s="81"/>
      <c r="AO272" s="88"/>
      <c r="AP272" s="89" t="str">
        <f aca="false">IF(AO272="","",ROUND(AO272/(1+Справочники!$B$13),2))</f>
        <v/>
      </c>
      <c r="AQ272" s="90" t="str">
        <f aca="false" t="array" ref="AQ272:AQ272">IF(AP272="","",AP272*INDEX(Справочники!$B$4:$B$7,MATCH("RUB",Справочники!$A$4:$A$7,0)))</f>
        <v/>
      </c>
      <c r="AR272" s="90" t="str">
        <f aca="false">IF(AQ272="","",ROUND(AQ272*(1+Справочники!$B$12),0))</f>
        <v/>
      </c>
      <c r="AS272" s="90" t="str">
        <f aca="false">IF(AR272="","",ROUND(AR272*(1-Справочники!$B$11),0))</f>
        <v/>
      </c>
      <c r="AT272" s="88"/>
      <c r="AU272" s="90" t="str">
        <f aca="false">IF(AT272="","",ROUND(AT272/(1+Справочники!$B$12),0))</f>
        <v/>
      </c>
      <c r="AV272" s="90" t="str">
        <f aca="false">IF(AT272="","",ROUND(AT272*(1-Справочники!$B$15),0))</f>
        <v/>
      </c>
      <c r="AW272" s="90" t="str">
        <f aca="false">IF(AT272="","",ROUND(AT272*(1-Справочники!$B$16),0))</f>
        <v/>
      </c>
      <c r="AX272" s="90" t="str">
        <f aca="false">IF(AT272="","",ROUND(AT272*(1-Справочники!$B$17),0))</f>
        <v/>
      </c>
      <c r="AY272" s="90" t="str">
        <f aca="false">IF(AT272="","",ROUND(AT272*(1-Справочники!$B$18),0))</f>
        <v/>
      </c>
      <c r="AZ272" s="90" t="str">
        <f aca="false">IF(AT272="","",ROUND(AT272*(1-Справочники!$B$19),0))</f>
        <v/>
      </c>
      <c r="BA272" s="81"/>
      <c r="BB272" s="81"/>
      <c r="BC272" s="81"/>
      <c r="BD272" s="81"/>
      <c r="BE272" s="91"/>
      <c r="BF272" s="81" t="s">
        <v>103</v>
      </c>
      <c r="BG272" s="89" t="n">
        <f aca="false" t="array" ref="BG272:BG272">IF(BF272="","",IFERROR(INDEX(Справочники!$B$4:$B$7,MATCH(BF272,Справочники!$A$4:$A$7,0)),""))</f>
        <v>68.5</v>
      </c>
      <c r="BH272" s="90" t="str">
        <f aca="false">IF(N(BN272)&gt;0,ROUND(SUMIF(ЗАКАЗЫ!$F$3:$F$500,$A272,ЗАКАЗЫ!$Y$3:$Y$500)/BN272,0),IF(OR(BE272="",BG272=""),"",ROUND(BE272*BG272*(1+Справочники!$B$10),0)))</f>
        <v/>
      </c>
      <c r="BI272" s="92" t="str">
        <f aca="false">IF(OR(AU272="",BH272="",AU272=0),"",(AU272-BH272)/AU272)</f>
        <v/>
      </c>
      <c r="BJ272" s="81"/>
      <c r="BK272" s="83"/>
      <c r="BL272" s="43" t="str">
        <f aca="false">IFERROR(INDEX(ЗАКАЗЫ!$N$3:$N$500,MATCH($A272,ЗАКАЗЫ!$F$3:$F$500,0)),"")</f>
        <v/>
      </c>
      <c r="BM272" s="8" t="str">
        <f aca="false">IF(BL272="","",IFERROR(VLOOKUP(BL272,'ТН ВЭД'!$A$4:$C$40,3,0),""))</f>
        <v/>
      </c>
      <c r="BN272" s="7" t="str">
        <f aca="false">IF(COUNTIF(ЗАКАЗЫ!$F$3:$F$500,$A272)=0,"",SUMIF(ЗАКАЗЫ!$F$3:$F$500,$A272,ЗАКАЗЫ!$J$3:$J$500))</f>
        <v/>
      </c>
      <c r="BO272" s="7" t="str">
        <f aca="false">IF(BN272="","",SUMIF(ЗАКАЗЫ!$F$3:$F$500,$A272,ЗАКАЗЫ!$AL$3:$AL$500))</f>
        <v/>
      </c>
      <c r="BP272" s="7" t="str">
        <f aca="false">IF(BN272="","",BN272-BO272)</f>
        <v/>
      </c>
      <c r="BQ272" s="55" t="str">
        <f aca="false">IF(BN272="","",IF(BO272&gt;=BN272,"На складе",IF(BO272&gt;0,"Частично","Ждём")))</f>
        <v/>
      </c>
      <c r="BR272" s="43"/>
      <c r="BS272" s="47" t="str">
        <f aca="false">IF(BN272="","",IF(_xlfn.MAXIFS(ЗАКАЗЫ!$AK$3:$AK$500,ЗАКАЗЫ!$F$3:$F$500,$A272)=0,"",_xlfn.MAXIFS(ЗАКАЗЫ!$AK$3:$AK$500,ЗАКАЗЫ!$F$3:$F$500,$A272)))</f>
        <v/>
      </c>
    </row>
    <row r="273" customFormat="false" ht="15.75" hidden="false" customHeight="true" outlineLevel="0" collapsed="false">
      <c r="A273" s="80" t="s">
        <v>1796</v>
      </c>
      <c r="B273" s="81"/>
      <c r="C273" s="81"/>
      <c r="D273" s="81"/>
      <c r="E273" s="83"/>
      <c r="F273" s="81"/>
      <c r="G273" s="83"/>
      <c r="H273" s="83"/>
      <c r="I273" s="84" t="str">
        <f aca="false">IF(E273="","",A273&amp;"_1.jpg")</f>
        <v/>
      </c>
      <c r="J273" s="84" t="str">
        <f aca="false">IF(E273="","",A273&amp;"_2.jpg; "&amp;A273&amp;"_3.jpg")</f>
        <v/>
      </c>
      <c r="K273" s="84" t="str">
        <f aca="false">IF(E273="","",A273&amp;"_schema.jpg")</f>
        <v/>
      </c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 t="s">
        <v>96</v>
      </c>
      <c r="W273" s="81"/>
      <c r="X273" s="81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6" t="str">
        <f aca="false">IF(SUM(Y273:AJ273)=0,"",SUM(Y273:AJ273))</f>
        <v/>
      </c>
      <c r="AL273" s="84" t="str">
        <f aca="false">MID(IF(N(Y273)&gt;0,", "&amp;Y$2,"")&amp;IF(N(Z273)&gt;0,", "&amp;Z$2,"")&amp;IF(N(AA273)&gt;0,", "&amp;AA$2,"")&amp;IF(N(AB273)&gt;0,", "&amp;AB$2,"")&amp;IF(N(AC273)&gt;0,", "&amp;AC$2,"")&amp;IF(N(AD273)&gt;0,", "&amp;AD$2,"")&amp;IF(N(AE273)&gt;0,", "&amp;AE$2,"")&amp;IF(N(AF273)&gt;0,", "&amp;AF$2,"")&amp;IF(N(AG273)&gt;0,", "&amp;AG$2,"")&amp;IF(N(AH273)&gt;0,", "&amp;AH$2,"")&amp;IF(N(AI273)&gt;0,", "&amp;AI$2,"")&amp;IF(N(AJ273)&gt;0,", "&amp;AJ$2,""),3,999)</f>
        <v/>
      </c>
      <c r="AM273" s="87" t="str">
        <f aca="false">IF(E273="","",MID(IF(N(Y273)&gt;0,", "&amp;A273&amp;"-"&amp;Y$2,"")&amp;IF(N(Z273)&gt;0,", "&amp;A273&amp;"-"&amp;Z$2,"")&amp;IF(N(AA273)&gt;0,", "&amp;A273&amp;"-"&amp;AA$2,"")&amp;IF(N(AB273)&gt;0,", "&amp;A273&amp;"-"&amp;AB$2,"")&amp;IF(N(AC273)&gt;0,", "&amp;A273&amp;"-"&amp;AC$2,"")&amp;IF(N(AD273)&gt;0,", "&amp;A273&amp;"-"&amp;AD$2,"")&amp;IF(N(AE273)&gt;0,", "&amp;A273&amp;"-"&amp;AE$2,"")&amp;IF(N(AF273)&gt;0,", "&amp;A273&amp;"-"&amp;AF$2,"")&amp;IF(N(AG273)&gt;0,", "&amp;A273&amp;"-"&amp;AG$2,"")&amp;IF(N(AH273)&gt;0,", "&amp;A273&amp;"-"&amp;AH$2,"")&amp;IF(N(AI273)&gt;0,", "&amp;A273&amp;"-"&amp;AI$2,"")&amp;IF(N(AJ273)&gt;0,", "&amp;A273&amp;"-"&amp;AJ$2,""),3,999))</f>
        <v/>
      </c>
      <c r="AN273" s="81"/>
      <c r="AO273" s="88"/>
      <c r="AP273" s="89" t="str">
        <f aca="false">IF(AO273="","",ROUND(AO273/(1+Справочники!$B$13),2))</f>
        <v/>
      </c>
      <c r="AQ273" s="90" t="str">
        <f aca="false" t="array" ref="AQ273:AQ273">IF(AP273="","",AP273*INDEX(Справочники!$B$4:$B$7,MATCH("RUB",Справочники!$A$4:$A$7,0)))</f>
        <v/>
      </c>
      <c r="AR273" s="90" t="str">
        <f aca="false">IF(AQ273="","",ROUND(AQ273*(1+Справочники!$B$12),0))</f>
        <v/>
      </c>
      <c r="AS273" s="90" t="str">
        <f aca="false">IF(AR273="","",ROUND(AR273*(1-Справочники!$B$11),0))</f>
        <v/>
      </c>
      <c r="AT273" s="88"/>
      <c r="AU273" s="90" t="str">
        <f aca="false">IF(AT273="","",ROUND(AT273/(1+Справочники!$B$12),0))</f>
        <v/>
      </c>
      <c r="AV273" s="90" t="str">
        <f aca="false">IF(AT273="","",ROUND(AT273*(1-Справочники!$B$15),0))</f>
        <v/>
      </c>
      <c r="AW273" s="90" t="str">
        <f aca="false">IF(AT273="","",ROUND(AT273*(1-Справочники!$B$16),0))</f>
        <v/>
      </c>
      <c r="AX273" s="90" t="str">
        <f aca="false">IF(AT273="","",ROUND(AT273*(1-Справочники!$B$17),0))</f>
        <v/>
      </c>
      <c r="AY273" s="90" t="str">
        <f aca="false">IF(AT273="","",ROUND(AT273*(1-Справочники!$B$18),0))</f>
        <v/>
      </c>
      <c r="AZ273" s="90" t="str">
        <f aca="false">IF(AT273="","",ROUND(AT273*(1-Справочники!$B$19),0))</f>
        <v/>
      </c>
      <c r="BA273" s="81"/>
      <c r="BB273" s="81"/>
      <c r="BC273" s="81"/>
      <c r="BD273" s="81"/>
      <c r="BE273" s="91"/>
      <c r="BF273" s="81" t="s">
        <v>103</v>
      </c>
      <c r="BG273" s="89" t="n">
        <f aca="false" t="array" ref="BG273:BG273">IF(BF273="","",IFERROR(INDEX(Справочники!$B$4:$B$7,MATCH(BF273,Справочники!$A$4:$A$7,0)),""))</f>
        <v>68.5</v>
      </c>
      <c r="BH273" s="90" t="str">
        <f aca="false">IF(N(BN273)&gt;0,ROUND(SUMIF(ЗАКАЗЫ!$F$3:$F$500,$A273,ЗАКАЗЫ!$Y$3:$Y$500)/BN273,0),IF(OR(BE273="",BG273=""),"",ROUND(BE273*BG273*(1+Справочники!$B$10),0)))</f>
        <v/>
      </c>
      <c r="BI273" s="92" t="str">
        <f aca="false">IF(OR(AU273="",BH273="",AU273=0),"",(AU273-BH273)/AU273)</f>
        <v/>
      </c>
      <c r="BJ273" s="81"/>
      <c r="BK273" s="83"/>
      <c r="BL273" s="43" t="str">
        <f aca="false">IFERROR(INDEX(ЗАКАЗЫ!$N$3:$N$500,MATCH($A273,ЗАКАЗЫ!$F$3:$F$500,0)),"")</f>
        <v/>
      </c>
      <c r="BM273" s="8" t="str">
        <f aca="false">IF(BL273="","",IFERROR(VLOOKUP(BL273,'ТН ВЭД'!$A$4:$C$40,3,0),""))</f>
        <v/>
      </c>
      <c r="BN273" s="7" t="str">
        <f aca="false">IF(COUNTIF(ЗАКАЗЫ!$F$3:$F$500,$A273)=0,"",SUMIF(ЗАКАЗЫ!$F$3:$F$500,$A273,ЗАКАЗЫ!$J$3:$J$500))</f>
        <v/>
      </c>
      <c r="BO273" s="7" t="str">
        <f aca="false">IF(BN273="","",SUMIF(ЗАКАЗЫ!$F$3:$F$500,$A273,ЗАКАЗЫ!$AL$3:$AL$500))</f>
        <v/>
      </c>
      <c r="BP273" s="7" t="str">
        <f aca="false">IF(BN273="","",BN273-BO273)</f>
        <v/>
      </c>
      <c r="BQ273" s="55" t="str">
        <f aca="false">IF(BN273="","",IF(BO273&gt;=BN273,"На складе",IF(BO273&gt;0,"Частично","Ждём")))</f>
        <v/>
      </c>
      <c r="BR273" s="43"/>
      <c r="BS273" s="47" t="str">
        <f aca="false">IF(BN273="","",IF(_xlfn.MAXIFS(ЗАКАЗЫ!$AK$3:$AK$500,ЗАКАЗЫ!$F$3:$F$500,$A273)=0,"",_xlfn.MAXIFS(ЗАКАЗЫ!$AK$3:$AK$500,ЗАКАЗЫ!$F$3:$F$500,$A273)))</f>
        <v/>
      </c>
    </row>
    <row r="274" customFormat="false" ht="15.75" hidden="false" customHeight="true" outlineLevel="0" collapsed="false">
      <c r="A274" s="80" t="s">
        <v>1797</v>
      </c>
      <c r="B274" s="81"/>
      <c r="C274" s="81"/>
      <c r="D274" s="81"/>
      <c r="E274" s="83"/>
      <c r="F274" s="81"/>
      <c r="G274" s="83"/>
      <c r="H274" s="83"/>
      <c r="I274" s="84" t="str">
        <f aca="false">IF(E274="","",A274&amp;"_1.jpg")</f>
        <v/>
      </c>
      <c r="J274" s="84" t="str">
        <f aca="false">IF(E274="","",A274&amp;"_2.jpg; "&amp;A274&amp;"_3.jpg")</f>
        <v/>
      </c>
      <c r="K274" s="84" t="str">
        <f aca="false">IF(E274="","",A274&amp;"_schema.jpg")</f>
        <v/>
      </c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 t="s">
        <v>96</v>
      </c>
      <c r="W274" s="81"/>
      <c r="X274" s="81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6" t="str">
        <f aca="false">IF(SUM(Y274:AJ274)=0,"",SUM(Y274:AJ274))</f>
        <v/>
      </c>
      <c r="AL274" s="84" t="str">
        <f aca="false">MID(IF(N(Y274)&gt;0,", "&amp;Y$2,"")&amp;IF(N(Z274)&gt;0,", "&amp;Z$2,"")&amp;IF(N(AA274)&gt;0,", "&amp;AA$2,"")&amp;IF(N(AB274)&gt;0,", "&amp;AB$2,"")&amp;IF(N(AC274)&gt;0,", "&amp;AC$2,"")&amp;IF(N(AD274)&gt;0,", "&amp;AD$2,"")&amp;IF(N(AE274)&gt;0,", "&amp;AE$2,"")&amp;IF(N(AF274)&gt;0,", "&amp;AF$2,"")&amp;IF(N(AG274)&gt;0,", "&amp;AG$2,"")&amp;IF(N(AH274)&gt;0,", "&amp;AH$2,"")&amp;IF(N(AI274)&gt;0,", "&amp;AI$2,"")&amp;IF(N(AJ274)&gt;0,", "&amp;AJ$2,""),3,999)</f>
        <v/>
      </c>
      <c r="AM274" s="87" t="str">
        <f aca="false">IF(E274="","",MID(IF(N(Y274)&gt;0,", "&amp;A274&amp;"-"&amp;Y$2,"")&amp;IF(N(Z274)&gt;0,", "&amp;A274&amp;"-"&amp;Z$2,"")&amp;IF(N(AA274)&gt;0,", "&amp;A274&amp;"-"&amp;AA$2,"")&amp;IF(N(AB274)&gt;0,", "&amp;A274&amp;"-"&amp;AB$2,"")&amp;IF(N(AC274)&gt;0,", "&amp;A274&amp;"-"&amp;AC$2,"")&amp;IF(N(AD274)&gt;0,", "&amp;A274&amp;"-"&amp;AD$2,"")&amp;IF(N(AE274)&gt;0,", "&amp;A274&amp;"-"&amp;AE$2,"")&amp;IF(N(AF274)&gt;0,", "&amp;A274&amp;"-"&amp;AF$2,"")&amp;IF(N(AG274)&gt;0,", "&amp;A274&amp;"-"&amp;AG$2,"")&amp;IF(N(AH274)&gt;0,", "&amp;A274&amp;"-"&amp;AH$2,"")&amp;IF(N(AI274)&gt;0,", "&amp;A274&amp;"-"&amp;AI$2,"")&amp;IF(N(AJ274)&gt;0,", "&amp;A274&amp;"-"&amp;AJ$2,""),3,999))</f>
        <v/>
      </c>
      <c r="AN274" s="81"/>
      <c r="AO274" s="88"/>
      <c r="AP274" s="89" t="str">
        <f aca="false">IF(AO274="","",ROUND(AO274/(1+Справочники!$B$13),2))</f>
        <v/>
      </c>
      <c r="AQ274" s="90" t="str">
        <f aca="false" t="array" ref="AQ274:AQ274">IF(AP274="","",AP274*INDEX(Справочники!$B$4:$B$7,MATCH("RUB",Справочники!$A$4:$A$7,0)))</f>
        <v/>
      </c>
      <c r="AR274" s="90" t="str">
        <f aca="false">IF(AQ274="","",ROUND(AQ274*(1+Справочники!$B$12),0))</f>
        <v/>
      </c>
      <c r="AS274" s="90" t="str">
        <f aca="false">IF(AR274="","",ROUND(AR274*(1-Справочники!$B$11),0))</f>
        <v/>
      </c>
      <c r="AT274" s="88"/>
      <c r="AU274" s="90" t="str">
        <f aca="false">IF(AT274="","",ROUND(AT274/(1+Справочники!$B$12),0))</f>
        <v/>
      </c>
      <c r="AV274" s="90" t="str">
        <f aca="false">IF(AT274="","",ROUND(AT274*(1-Справочники!$B$15),0))</f>
        <v/>
      </c>
      <c r="AW274" s="90" t="str">
        <f aca="false">IF(AT274="","",ROUND(AT274*(1-Справочники!$B$16),0))</f>
        <v/>
      </c>
      <c r="AX274" s="90" t="str">
        <f aca="false">IF(AT274="","",ROUND(AT274*(1-Справочники!$B$17),0))</f>
        <v/>
      </c>
      <c r="AY274" s="90" t="str">
        <f aca="false">IF(AT274="","",ROUND(AT274*(1-Справочники!$B$18),0))</f>
        <v/>
      </c>
      <c r="AZ274" s="90" t="str">
        <f aca="false">IF(AT274="","",ROUND(AT274*(1-Справочники!$B$19),0))</f>
        <v/>
      </c>
      <c r="BA274" s="81"/>
      <c r="BB274" s="81"/>
      <c r="BC274" s="81"/>
      <c r="BD274" s="81"/>
      <c r="BE274" s="91"/>
      <c r="BF274" s="81" t="s">
        <v>103</v>
      </c>
      <c r="BG274" s="89" t="n">
        <f aca="false" t="array" ref="BG274:BG274">IF(BF274="","",IFERROR(INDEX(Справочники!$B$4:$B$7,MATCH(BF274,Справочники!$A$4:$A$7,0)),""))</f>
        <v>68.5</v>
      </c>
      <c r="BH274" s="90" t="str">
        <f aca="false">IF(N(BN274)&gt;0,ROUND(SUMIF(ЗАКАЗЫ!$F$3:$F$500,$A274,ЗАКАЗЫ!$Y$3:$Y$500)/BN274,0),IF(OR(BE274="",BG274=""),"",ROUND(BE274*BG274*(1+Справочники!$B$10),0)))</f>
        <v/>
      </c>
      <c r="BI274" s="92" t="str">
        <f aca="false">IF(OR(AU274="",BH274="",AU274=0),"",(AU274-BH274)/AU274)</f>
        <v/>
      </c>
      <c r="BJ274" s="81"/>
      <c r="BK274" s="83"/>
      <c r="BL274" s="43" t="str">
        <f aca="false">IFERROR(INDEX(ЗАКАЗЫ!$N$3:$N$500,MATCH($A274,ЗАКАЗЫ!$F$3:$F$500,0)),"")</f>
        <v/>
      </c>
      <c r="BM274" s="8" t="str">
        <f aca="false">IF(BL274="","",IFERROR(VLOOKUP(BL274,'ТН ВЭД'!$A$4:$C$40,3,0),""))</f>
        <v/>
      </c>
      <c r="BN274" s="7" t="str">
        <f aca="false">IF(COUNTIF(ЗАКАЗЫ!$F$3:$F$500,$A274)=0,"",SUMIF(ЗАКАЗЫ!$F$3:$F$500,$A274,ЗАКАЗЫ!$J$3:$J$500))</f>
        <v/>
      </c>
      <c r="BO274" s="7" t="str">
        <f aca="false">IF(BN274="","",SUMIF(ЗАКАЗЫ!$F$3:$F$500,$A274,ЗАКАЗЫ!$AL$3:$AL$500))</f>
        <v/>
      </c>
      <c r="BP274" s="7" t="str">
        <f aca="false">IF(BN274="","",BN274-BO274)</f>
        <v/>
      </c>
      <c r="BQ274" s="55" t="str">
        <f aca="false">IF(BN274="","",IF(BO274&gt;=BN274,"На складе",IF(BO274&gt;0,"Частично","Ждём")))</f>
        <v/>
      </c>
      <c r="BR274" s="43"/>
      <c r="BS274" s="47" t="str">
        <f aca="false">IF(BN274="","",IF(_xlfn.MAXIFS(ЗАКАЗЫ!$AK$3:$AK$500,ЗАКАЗЫ!$F$3:$F$500,$A274)=0,"",_xlfn.MAXIFS(ЗАКАЗЫ!$AK$3:$AK$500,ЗАКАЗЫ!$F$3:$F$500,$A274)))</f>
        <v/>
      </c>
    </row>
    <row r="275" customFormat="false" ht="15.75" hidden="false" customHeight="true" outlineLevel="0" collapsed="false">
      <c r="A275" s="80" t="s">
        <v>1798</v>
      </c>
      <c r="B275" s="81"/>
      <c r="C275" s="81"/>
      <c r="D275" s="81"/>
      <c r="E275" s="83"/>
      <c r="F275" s="81"/>
      <c r="G275" s="83"/>
      <c r="H275" s="83"/>
      <c r="I275" s="84" t="str">
        <f aca="false">IF(E275="","",A275&amp;"_1.jpg")</f>
        <v/>
      </c>
      <c r="J275" s="84" t="str">
        <f aca="false">IF(E275="","",A275&amp;"_2.jpg; "&amp;A275&amp;"_3.jpg")</f>
        <v/>
      </c>
      <c r="K275" s="84" t="str">
        <f aca="false">IF(E275="","",A275&amp;"_schema.jpg")</f>
        <v/>
      </c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 t="s">
        <v>96</v>
      </c>
      <c r="W275" s="81"/>
      <c r="X275" s="81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6" t="str">
        <f aca="false">IF(SUM(Y275:AJ275)=0,"",SUM(Y275:AJ275))</f>
        <v/>
      </c>
      <c r="AL275" s="84" t="str">
        <f aca="false">MID(IF(N(Y275)&gt;0,", "&amp;Y$2,"")&amp;IF(N(Z275)&gt;0,", "&amp;Z$2,"")&amp;IF(N(AA275)&gt;0,", "&amp;AA$2,"")&amp;IF(N(AB275)&gt;0,", "&amp;AB$2,"")&amp;IF(N(AC275)&gt;0,", "&amp;AC$2,"")&amp;IF(N(AD275)&gt;0,", "&amp;AD$2,"")&amp;IF(N(AE275)&gt;0,", "&amp;AE$2,"")&amp;IF(N(AF275)&gt;0,", "&amp;AF$2,"")&amp;IF(N(AG275)&gt;0,", "&amp;AG$2,"")&amp;IF(N(AH275)&gt;0,", "&amp;AH$2,"")&amp;IF(N(AI275)&gt;0,", "&amp;AI$2,"")&amp;IF(N(AJ275)&gt;0,", "&amp;AJ$2,""),3,999)</f>
        <v/>
      </c>
      <c r="AM275" s="87" t="str">
        <f aca="false">IF(E275="","",MID(IF(N(Y275)&gt;0,", "&amp;A275&amp;"-"&amp;Y$2,"")&amp;IF(N(Z275)&gt;0,", "&amp;A275&amp;"-"&amp;Z$2,"")&amp;IF(N(AA275)&gt;0,", "&amp;A275&amp;"-"&amp;AA$2,"")&amp;IF(N(AB275)&gt;0,", "&amp;A275&amp;"-"&amp;AB$2,"")&amp;IF(N(AC275)&gt;0,", "&amp;A275&amp;"-"&amp;AC$2,"")&amp;IF(N(AD275)&gt;0,", "&amp;A275&amp;"-"&amp;AD$2,"")&amp;IF(N(AE275)&gt;0,", "&amp;A275&amp;"-"&amp;AE$2,"")&amp;IF(N(AF275)&gt;0,", "&amp;A275&amp;"-"&amp;AF$2,"")&amp;IF(N(AG275)&gt;0,", "&amp;A275&amp;"-"&amp;AG$2,"")&amp;IF(N(AH275)&gt;0,", "&amp;A275&amp;"-"&amp;AH$2,"")&amp;IF(N(AI275)&gt;0,", "&amp;A275&amp;"-"&amp;AI$2,"")&amp;IF(N(AJ275)&gt;0,", "&amp;A275&amp;"-"&amp;AJ$2,""),3,999))</f>
        <v/>
      </c>
      <c r="AN275" s="81"/>
      <c r="AO275" s="88"/>
      <c r="AP275" s="89" t="str">
        <f aca="false">IF(AO275="","",ROUND(AO275/(1+Справочники!$B$13),2))</f>
        <v/>
      </c>
      <c r="AQ275" s="90" t="str">
        <f aca="false" t="array" ref="AQ275:AQ275">IF(AP275="","",AP275*INDEX(Справочники!$B$4:$B$7,MATCH("RUB",Справочники!$A$4:$A$7,0)))</f>
        <v/>
      </c>
      <c r="AR275" s="90" t="str">
        <f aca="false">IF(AQ275="","",ROUND(AQ275*(1+Справочники!$B$12),0))</f>
        <v/>
      </c>
      <c r="AS275" s="90" t="str">
        <f aca="false">IF(AR275="","",ROUND(AR275*(1-Справочники!$B$11),0))</f>
        <v/>
      </c>
      <c r="AT275" s="88"/>
      <c r="AU275" s="90" t="str">
        <f aca="false">IF(AT275="","",ROUND(AT275/(1+Справочники!$B$12),0))</f>
        <v/>
      </c>
      <c r="AV275" s="90" t="str">
        <f aca="false">IF(AT275="","",ROUND(AT275*(1-Справочники!$B$15),0))</f>
        <v/>
      </c>
      <c r="AW275" s="90" t="str">
        <f aca="false">IF(AT275="","",ROUND(AT275*(1-Справочники!$B$16),0))</f>
        <v/>
      </c>
      <c r="AX275" s="90" t="str">
        <f aca="false">IF(AT275="","",ROUND(AT275*(1-Справочники!$B$17),0))</f>
        <v/>
      </c>
      <c r="AY275" s="90" t="str">
        <f aca="false">IF(AT275="","",ROUND(AT275*(1-Справочники!$B$18),0))</f>
        <v/>
      </c>
      <c r="AZ275" s="90" t="str">
        <f aca="false">IF(AT275="","",ROUND(AT275*(1-Справочники!$B$19),0))</f>
        <v/>
      </c>
      <c r="BA275" s="81"/>
      <c r="BB275" s="81"/>
      <c r="BC275" s="81"/>
      <c r="BD275" s="81"/>
      <c r="BE275" s="91"/>
      <c r="BF275" s="81" t="s">
        <v>103</v>
      </c>
      <c r="BG275" s="89" t="n">
        <f aca="false" t="array" ref="BG275:BG275">IF(BF275="","",IFERROR(INDEX(Справочники!$B$4:$B$7,MATCH(BF275,Справочники!$A$4:$A$7,0)),""))</f>
        <v>68.5</v>
      </c>
      <c r="BH275" s="90" t="str">
        <f aca="false">IF(N(BN275)&gt;0,ROUND(SUMIF(ЗАКАЗЫ!$F$3:$F$500,$A275,ЗАКАЗЫ!$Y$3:$Y$500)/BN275,0),IF(OR(BE275="",BG275=""),"",ROUND(BE275*BG275*(1+Справочники!$B$10),0)))</f>
        <v/>
      </c>
      <c r="BI275" s="92" t="str">
        <f aca="false">IF(OR(AU275="",BH275="",AU275=0),"",(AU275-BH275)/AU275)</f>
        <v/>
      </c>
      <c r="BJ275" s="81"/>
      <c r="BK275" s="83"/>
      <c r="BL275" s="43" t="str">
        <f aca="false">IFERROR(INDEX(ЗАКАЗЫ!$N$3:$N$500,MATCH($A275,ЗАКАЗЫ!$F$3:$F$500,0)),"")</f>
        <v/>
      </c>
      <c r="BM275" s="8" t="str">
        <f aca="false">IF(BL275="","",IFERROR(VLOOKUP(BL275,'ТН ВЭД'!$A$4:$C$40,3,0),""))</f>
        <v/>
      </c>
      <c r="BN275" s="7" t="str">
        <f aca="false">IF(COUNTIF(ЗАКАЗЫ!$F$3:$F$500,$A275)=0,"",SUMIF(ЗАКАЗЫ!$F$3:$F$500,$A275,ЗАКАЗЫ!$J$3:$J$500))</f>
        <v/>
      </c>
      <c r="BO275" s="7" t="str">
        <f aca="false">IF(BN275="","",SUMIF(ЗАКАЗЫ!$F$3:$F$500,$A275,ЗАКАЗЫ!$AL$3:$AL$500))</f>
        <v/>
      </c>
      <c r="BP275" s="7" t="str">
        <f aca="false">IF(BN275="","",BN275-BO275)</f>
        <v/>
      </c>
      <c r="BQ275" s="55" t="str">
        <f aca="false">IF(BN275="","",IF(BO275&gt;=BN275,"На складе",IF(BO275&gt;0,"Частично","Ждём")))</f>
        <v/>
      </c>
      <c r="BR275" s="43"/>
      <c r="BS275" s="47" t="str">
        <f aca="false">IF(BN275="","",IF(_xlfn.MAXIFS(ЗАКАЗЫ!$AK$3:$AK$500,ЗАКАЗЫ!$F$3:$F$500,$A275)=0,"",_xlfn.MAXIFS(ЗАКАЗЫ!$AK$3:$AK$500,ЗАКАЗЫ!$F$3:$F$500,$A275)))</f>
        <v/>
      </c>
    </row>
    <row r="276" customFormat="false" ht="15.75" hidden="false" customHeight="true" outlineLevel="0" collapsed="false">
      <c r="A276" s="80" t="s">
        <v>1799</v>
      </c>
      <c r="B276" s="81"/>
      <c r="C276" s="81"/>
      <c r="D276" s="81"/>
      <c r="E276" s="83"/>
      <c r="F276" s="81"/>
      <c r="G276" s="83"/>
      <c r="H276" s="83"/>
      <c r="I276" s="84" t="str">
        <f aca="false">IF(E276="","",A276&amp;"_1.jpg")</f>
        <v/>
      </c>
      <c r="J276" s="84" t="str">
        <f aca="false">IF(E276="","",A276&amp;"_2.jpg; "&amp;A276&amp;"_3.jpg")</f>
        <v/>
      </c>
      <c r="K276" s="84" t="str">
        <f aca="false">IF(E276="","",A276&amp;"_schema.jpg")</f>
        <v/>
      </c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 t="s">
        <v>96</v>
      </c>
      <c r="W276" s="81"/>
      <c r="X276" s="81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6" t="str">
        <f aca="false">IF(SUM(Y276:AJ276)=0,"",SUM(Y276:AJ276))</f>
        <v/>
      </c>
      <c r="AL276" s="84" t="str">
        <f aca="false">MID(IF(N(Y276)&gt;0,", "&amp;Y$2,"")&amp;IF(N(Z276)&gt;0,", "&amp;Z$2,"")&amp;IF(N(AA276)&gt;0,", "&amp;AA$2,"")&amp;IF(N(AB276)&gt;0,", "&amp;AB$2,"")&amp;IF(N(AC276)&gt;0,", "&amp;AC$2,"")&amp;IF(N(AD276)&gt;0,", "&amp;AD$2,"")&amp;IF(N(AE276)&gt;0,", "&amp;AE$2,"")&amp;IF(N(AF276)&gt;0,", "&amp;AF$2,"")&amp;IF(N(AG276)&gt;0,", "&amp;AG$2,"")&amp;IF(N(AH276)&gt;0,", "&amp;AH$2,"")&amp;IF(N(AI276)&gt;0,", "&amp;AI$2,"")&amp;IF(N(AJ276)&gt;0,", "&amp;AJ$2,""),3,999)</f>
        <v/>
      </c>
      <c r="AM276" s="87" t="str">
        <f aca="false">IF(E276="","",MID(IF(N(Y276)&gt;0,", "&amp;A276&amp;"-"&amp;Y$2,"")&amp;IF(N(Z276)&gt;0,", "&amp;A276&amp;"-"&amp;Z$2,"")&amp;IF(N(AA276)&gt;0,", "&amp;A276&amp;"-"&amp;AA$2,"")&amp;IF(N(AB276)&gt;0,", "&amp;A276&amp;"-"&amp;AB$2,"")&amp;IF(N(AC276)&gt;0,", "&amp;A276&amp;"-"&amp;AC$2,"")&amp;IF(N(AD276)&gt;0,", "&amp;A276&amp;"-"&amp;AD$2,"")&amp;IF(N(AE276)&gt;0,", "&amp;A276&amp;"-"&amp;AE$2,"")&amp;IF(N(AF276)&gt;0,", "&amp;A276&amp;"-"&amp;AF$2,"")&amp;IF(N(AG276)&gt;0,", "&amp;A276&amp;"-"&amp;AG$2,"")&amp;IF(N(AH276)&gt;0,", "&amp;A276&amp;"-"&amp;AH$2,"")&amp;IF(N(AI276)&gt;0,", "&amp;A276&amp;"-"&amp;AI$2,"")&amp;IF(N(AJ276)&gt;0,", "&amp;A276&amp;"-"&amp;AJ$2,""),3,999))</f>
        <v/>
      </c>
      <c r="AN276" s="81"/>
      <c r="AO276" s="88"/>
      <c r="AP276" s="89" t="str">
        <f aca="false">IF(AO276="","",ROUND(AO276/(1+Справочники!$B$13),2))</f>
        <v/>
      </c>
      <c r="AQ276" s="90" t="str">
        <f aca="false" t="array" ref="AQ276:AQ276">IF(AP276="","",AP276*INDEX(Справочники!$B$4:$B$7,MATCH("RUB",Справочники!$A$4:$A$7,0)))</f>
        <v/>
      </c>
      <c r="AR276" s="90" t="str">
        <f aca="false">IF(AQ276="","",ROUND(AQ276*(1+Справочники!$B$12),0))</f>
        <v/>
      </c>
      <c r="AS276" s="90" t="str">
        <f aca="false">IF(AR276="","",ROUND(AR276*(1-Справочники!$B$11),0))</f>
        <v/>
      </c>
      <c r="AT276" s="88"/>
      <c r="AU276" s="90" t="str">
        <f aca="false">IF(AT276="","",ROUND(AT276/(1+Справочники!$B$12),0))</f>
        <v/>
      </c>
      <c r="AV276" s="90" t="str">
        <f aca="false">IF(AT276="","",ROUND(AT276*(1-Справочники!$B$15),0))</f>
        <v/>
      </c>
      <c r="AW276" s="90" t="str">
        <f aca="false">IF(AT276="","",ROUND(AT276*(1-Справочники!$B$16),0))</f>
        <v/>
      </c>
      <c r="AX276" s="90" t="str">
        <f aca="false">IF(AT276="","",ROUND(AT276*(1-Справочники!$B$17),0))</f>
        <v/>
      </c>
      <c r="AY276" s="90" t="str">
        <f aca="false">IF(AT276="","",ROUND(AT276*(1-Справочники!$B$18),0))</f>
        <v/>
      </c>
      <c r="AZ276" s="90" t="str">
        <f aca="false">IF(AT276="","",ROUND(AT276*(1-Справочники!$B$19),0))</f>
        <v/>
      </c>
      <c r="BA276" s="81"/>
      <c r="BB276" s="81"/>
      <c r="BC276" s="81"/>
      <c r="BD276" s="81"/>
      <c r="BE276" s="91"/>
      <c r="BF276" s="81" t="s">
        <v>103</v>
      </c>
      <c r="BG276" s="89" t="n">
        <f aca="false" t="array" ref="BG276:BG276">IF(BF276="","",IFERROR(INDEX(Справочники!$B$4:$B$7,MATCH(BF276,Справочники!$A$4:$A$7,0)),""))</f>
        <v>68.5</v>
      </c>
      <c r="BH276" s="90" t="str">
        <f aca="false">IF(N(BN276)&gt;0,ROUND(SUMIF(ЗАКАЗЫ!$F$3:$F$500,$A276,ЗАКАЗЫ!$Y$3:$Y$500)/BN276,0),IF(OR(BE276="",BG276=""),"",ROUND(BE276*BG276*(1+Справочники!$B$10),0)))</f>
        <v/>
      </c>
      <c r="BI276" s="92" t="str">
        <f aca="false">IF(OR(AU276="",BH276="",AU276=0),"",(AU276-BH276)/AU276)</f>
        <v/>
      </c>
      <c r="BJ276" s="81"/>
      <c r="BK276" s="83"/>
      <c r="BL276" s="43" t="str">
        <f aca="false">IFERROR(INDEX(ЗАКАЗЫ!$N$3:$N$500,MATCH($A276,ЗАКАЗЫ!$F$3:$F$500,0)),"")</f>
        <v/>
      </c>
      <c r="BM276" s="8" t="str">
        <f aca="false">IF(BL276="","",IFERROR(VLOOKUP(BL276,'ТН ВЭД'!$A$4:$C$40,3,0),""))</f>
        <v/>
      </c>
      <c r="BN276" s="7" t="str">
        <f aca="false">IF(COUNTIF(ЗАКАЗЫ!$F$3:$F$500,$A276)=0,"",SUMIF(ЗАКАЗЫ!$F$3:$F$500,$A276,ЗАКАЗЫ!$J$3:$J$500))</f>
        <v/>
      </c>
      <c r="BO276" s="7" t="str">
        <f aca="false">IF(BN276="","",SUMIF(ЗАКАЗЫ!$F$3:$F$500,$A276,ЗАКАЗЫ!$AL$3:$AL$500))</f>
        <v/>
      </c>
      <c r="BP276" s="7" t="str">
        <f aca="false">IF(BN276="","",BN276-BO276)</f>
        <v/>
      </c>
      <c r="BQ276" s="55" t="str">
        <f aca="false">IF(BN276="","",IF(BO276&gt;=BN276,"На складе",IF(BO276&gt;0,"Частично","Ждём")))</f>
        <v/>
      </c>
      <c r="BR276" s="43"/>
      <c r="BS276" s="47" t="str">
        <f aca="false">IF(BN276="","",IF(_xlfn.MAXIFS(ЗАКАЗЫ!$AK$3:$AK$500,ЗАКАЗЫ!$F$3:$F$500,$A276)=0,"",_xlfn.MAXIFS(ЗАКАЗЫ!$AK$3:$AK$500,ЗАКАЗЫ!$F$3:$F$500,$A276)))</f>
        <v/>
      </c>
    </row>
    <row r="277" customFormat="false" ht="15.75" hidden="false" customHeight="true" outlineLevel="0" collapsed="false">
      <c r="A277" s="80" t="s">
        <v>1800</v>
      </c>
      <c r="B277" s="81"/>
      <c r="C277" s="81"/>
      <c r="D277" s="81"/>
      <c r="E277" s="83"/>
      <c r="F277" s="81"/>
      <c r="G277" s="83"/>
      <c r="H277" s="83"/>
      <c r="I277" s="84" t="str">
        <f aca="false">IF(E277="","",A277&amp;"_1.jpg")</f>
        <v/>
      </c>
      <c r="J277" s="84" t="str">
        <f aca="false">IF(E277="","",A277&amp;"_2.jpg; "&amp;A277&amp;"_3.jpg")</f>
        <v/>
      </c>
      <c r="K277" s="84" t="str">
        <f aca="false">IF(E277="","",A277&amp;"_schema.jpg")</f>
        <v/>
      </c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 t="s">
        <v>96</v>
      </c>
      <c r="W277" s="81"/>
      <c r="X277" s="81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6" t="str">
        <f aca="false">IF(SUM(Y277:AJ277)=0,"",SUM(Y277:AJ277))</f>
        <v/>
      </c>
      <c r="AL277" s="84" t="str">
        <f aca="false">MID(IF(N(Y277)&gt;0,", "&amp;Y$2,"")&amp;IF(N(Z277)&gt;0,", "&amp;Z$2,"")&amp;IF(N(AA277)&gt;0,", "&amp;AA$2,"")&amp;IF(N(AB277)&gt;0,", "&amp;AB$2,"")&amp;IF(N(AC277)&gt;0,", "&amp;AC$2,"")&amp;IF(N(AD277)&gt;0,", "&amp;AD$2,"")&amp;IF(N(AE277)&gt;0,", "&amp;AE$2,"")&amp;IF(N(AF277)&gt;0,", "&amp;AF$2,"")&amp;IF(N(AG277)&gt;0,", "&amp;AG$2,"")&amp;IF(N(AH277)&gt;0,", "&amp;AH$2,"")&amp;IF(N(AI277)&gt;0,", "&amp;AI$2,"")&amp;IF(N(AJ277)&gt;0,", "&amp;AJ$2,""),3,999)</f>
        <v/>
      </c>
      <c r="AM277" s="87" t="str">
        <f aca="false">IF(E277="","",MID(IF(N(Y277)&gt;0,", "&amp;A277&amp;"-"&amp;Y$2,"")&amp;IF(N(Z277)&gt;0,", "&amp;A277&amp;"-"&amp;Z$2,"")&amp;IF(N(AA277)&gt;0,", "&amp;A277&amp;"-"&amp;AA$2,"")&amp;IF(N(AB277)&gt;0,", "&amp;A277&amp;"-"&amp;AB$2,"")&amp;IF(N(AC277)&gt;0,", "&amp;A277&amp;"-"&amp;AC$2,"")&amp;IF(N(AD277)&gt;0,", "&amp;A277&amp;"-"&amp;AD$2,"")&amp;IF(N(AE277)&gt;0,", "&amp;A277&amp;"-"&amp;AE$2,"")&amp;IF(N(AF277)&gt;0,", "&amp;A277&amp;"-"&amp;AF$2,"")&amp;IF(N(AG277)&gt;0,", "&amp;A277&amp;"-"&amp;AG$2,"")&amp;IF(N(AH277)&gt;0,", "&amp;A277&amp;"-"&amp;AH$2,"")&amp;IF(N(AI277)&gt;0,", "&amp;A277&amp;"-"&amp;AI$2,"")&amp;IF(N(AJ277)&gt;0,", "&amp;A277&amp;"-"&amp;AJ$2,""),3,999))</f>
        <v/>
      </c>
      <c r="AN277" s="81"/>
      <c r="AO277" s="88"/>
      <c r="AP277" s="89" t="str">
        <f aca="false">IF(AO277="","",ROUND(AO277/(1+Справочники!$B$13),2))</f>
        <v/>
      </c>
      <c r="AQ277" s="90" t="str">
        <f aca="false" t="array" ref="AQ277:AQ277">IF(AP277="","",AP277*INDEX(Справочники!$B$4:$B$7,MATCH("RUB",Справочники!$A$4:$A$7,0)))</f>
        <v/>
      </c>
      <c r="AR277" s="90" t="str">
        <f aca="false">IF(AQ277="","",ROUND(AQ277*(1+Справочники!$B$12),0))</f>
        <v/>
      </c>
      <c r="AS277" s="90" t="str">
        <f aca="false">IF(AR277="","",ROUND(AR277*(1-Справочники!$B$11),0))</f>
        <v/>
      </c>
      <c r="AT277" s="88"/>
      <c r="AU277" s="90" t="str">
        <f aca="false">IF(AT277="","",ROUND(AT277/(1+Справочники!$B$12),0))</f>
        <v/>
      </c>
      <c r="AV277" s="90" t="str">
        <f aca="false">IF(AT277="","",ROUND(AT277*(1-Справочники!$B$15),0))</f>
        <v/>
      </c>
      <c r="AW277" s="90" t="str">
        <f aca="false">IF(AT277="","",ROUND(AT277*(1-Справочники!$B$16),0))</f>
        <v/>
      </c>
      <c r="AX277" s="90" t="str">
        <f aca="false">IF(AT277="","",ROUND(AT277*(1-Справочники!$B$17),0))</f>
        <v/>
      </c>
      <c r="AY277" s="90" t="str">
        <f aca="false">IF(AT277="","",ROUND(AT277*(1-Справочники!$B$18),0))</f>
        <v/>
      </c>
      <c r="AZ277" s="90" t="str">
        <f aca="false">IF(AT277="","",ROUND(AT277*(1-Справочники!$B$19),0))</f>
        <v/>
      </c>
      <c r="BA277" s="81"/>
      <c r="BB277" s="81"/>
      <c r="BC277" s="81"/>
      <c r="BD277" s="81"/>
      <c r="BE277" s="91"/>
      <c r="BF277" s="81" t="s">
        <v>103</v>
      </c>
      <c r="BG277" s="89" t="n">
        <f aca="false" t="array" ref="BG277:BG277">IF(BF277="","",IFERROR(INDEX(Справочники!$B$4:$B$7,MATCH(BF277,Справочники!$A$4:$A$7,0)),""))</f>
        <v>68.5</v>
      </c>
      <c r="BH277" s="90" t="str">
        <f aca="false">IF(N(BN277)&gt;0,ROUND(SUMIF(ЗАКАЗЫ!$F$3:$F$500,$A277,ЗАКАЗЫ!$Y$3:$Y$500)/BN277,0),IF(OR(BE277="",BG277=""),"",ROUND(BE277*BG277*(1+Справочники!$B$10),0)))</f>
        <v/>
      </c>
      <c r="BI277" s="92" t="str">
        <f aca="false">IF(OR(AU277="",BH277="",AU277=0),"",(AU277-BH277)/AU277)</f>
        <v/>
      </c>
      <c r="BJ277" s="81"/>
      <c r="BK277" s="83"/>
      <c r="BL277" s="43" t="str">
        <f aca="false">IFERROR(INDEX(ЗАКАЗЫ!$N$3:$N$500,MATCH($A277,ЗАКАЗЫ!$F$3:$F$500,0)),"")</f>
        <v/>
      </c>
      <c r="BM277" s="8" t="str">
        <f aca="false">IF(BL277="","",IFERROR(VLOOKUP(BL277,'ТН ВЭД'!$A$4:$C$40,3,0),""))</f>
        <v/>
      </c>
      <c r="BN277" s="7" t="str">
        <f aca="false">IF(COUNTIF(ЗАКАЗЫ!$F$3:$F$500,$A277)=0,"",SUMIF(ЗАКАЗЫ!$F$3:$F$500,$A277,ЗАКАЗЫ!$J$3:$J$500))</f>
        <v/>
      </c>
      <c r="BO277" s="7" t="str">
        <f aca="false">IF(BN277="","",SUMIF(ЗАКАЗЫ!$F$3:$F$500,$A277,ЗАКАЗЫ!$AL$3:$AL$500))</f>
        <v/>
      </c>
      <c r="BP277" s="7" t="str">
        <f aca="false">IF(BN277="","",BN277-BO277)</f>
        <v/>
      </c>
      <c r="BQ277" s="55" t="str">
        <f aca="false">IF(BN277="","",IF(BO277&gt;=BN277,"На складе",IF(BO277&gt;0,"Частично","Ждём")))</f>
        <v/>
      </c>
      <c r="BR277" s="43"/>
      <c r="BS277" s="47" t="str">
        <f aca="false">IF(BN277="","",IF(_xlfn.MAXIFS(ЗАКАЗЫ!$AK$3:$AK$500,ЗАКАЗЫ!$F$3:$F$500,$A277)=0,"",_xlfn.MAXIFS(ЗАКАЗЫ!$AK$3:$AK$500,ЗАКАЗЫ!$F$3:$F$500,$A277)))</f>
        <v/>
      </c>
    </row>
    <row r="278" customFormat="false" ht="15.75" hidden="false" customHeight="true" outlineLevel="0" collapsed="false">
      <c r="A278" s="80" t="s">
        <v>1801</v>
      </c>
      <c r="B278" s="81"/>
      <c r="C278" s="81"/>
      <c r="D278" s="81"/>
      <c r="E278" s="83"/>
      <c r="F278" s="81"/>
      <c r="G278" s="83"/>
      <c r="H278" s="83"/>
      <c r="I278" s="84" t="str">
        <f aca="false">IF(E278="","",A278&amp;"_1.jpg")</f>
        <v/>
      </c>
      <c r="J278" s="84" t="str">
        <f aca="false">IF(E278="","",A278&amp;"_2.jpg; "&amp;A278&amp;"_3.jpg")</f>
        <v/>
      </c>
      <c r="K278" s="84" t="str">
        <f aca="false">IF(E278="","",A278&amp;"_schema.jpg")</f>
        <v/>
      </c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 t="s">
        <v>96</v>
      </c>
      <c r="W278" s="81"/>
      <c r="X278" s="81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6" t="str">
        <f aca="false">IF(SUM(Y278:AJ278)=0,"",SUM(Y278:AJ278))</f>
        <v/>
      </c>
      <c r="AL278" s="84" t="str">
        <f aca="false">MID(IF(N(Y278)&gt;0,", "&amp;Y$2,"")&amp;IF(N(Z278)&gt;0,", "&amp;Z$2,"")&amp;IF(N(AA278)&gt;0,", "&amp;AA$2,"")&amp;IF(N(AB278)&gt;0,", "&amp;AB$2,"")&amp;IF(N(AC278)&gt;0,", "&amp;AC$2,"")&amp;IF(N(AD278)&gt;0,", "&amp;AD$2,"")&amp;IF(N(AE278)&gt;0,", "&amp;AE$2,"")&amp;IF(N(AF278)&gt;0,", "&amp;AF$2,"")&amp;IF(N(AG278)&gt;0,", "&amp;AG$2,"")&amp;IF(N(AH278)&gt;0,", "&amp;AH$2,"")&amp;IF(N(AI278)&gt;0,", "&amp;AI$2,"")&amp;IF(N(AJ278)&gt;0,", "&amp;AJ$2,""),3,999)</f>
        <v/>
      </c>
      <c r="AM278" s="87" t="str">
        <f aca="false">IF(E278="","",MID(IF(N(Y278)&gt;0,", "&amp;A278&amp;"-"&amp;Y$2,"")&amp;IF(N(Z278)&gt;0,", "&amp;A278&amp;"-"&amp;Z$2,"")&amp;IF(N(AA278)&gt;0,", "&amp;A278&amp;"-"&amp;AA$2,"")&amp;IF(N(AB278)&gt;0,", "&amp;A278&amp;"-"&amp;AB$2,"")&amp;IF(N(AC278)&gt;0,", "&amp;A278&amp;"-"&amp;AC$2,"")&amp;IF(N(AD278)&gt;0,", "&amp;A278&amp;"-"&amp;AD$2,"")&amp;IF(N(AE278)&gt;0,", "&amp;A278&amp;"-"&amp;AE$2,"")&amp;IF(N(AF278)&gt;0,", "&amp;A278&amp;"-"&amp;AF$2,"")&amp;IF(N(AG278)&gt;0,", "&amp;A278&amp;"-"&amp;AG$2,"")&amp;IF(N(AH278)&gt;0,", "&amp;A278&amp;"-"&amp;AH$2,"")&amp;IF(N(AI278)&gt;0,", "&amp;A278&amp;"-"&amp;AI$2,"")&amp;IF(N(AJ278)&gt;0,", "&amp;A278&amp;"-"&amp;AJ$2,""),3,999))</f>
        <v/>
      </c>
      <c r="AN278" s="81"/>
      <c r="AO278" s="88"/>
      <c r="AP278" s="89" t="str">
        <f aca="false">IF(AO278="","",ROUND(AO278/(1+Справочники!$B$13),2))</f>
        <v/>
      </c>
      <c r="AQ278" s="90" t="str">
        <f aca="false" t="array" ref="AQ278:AQ278">IF(AP278="","",AP278*INDEX(Справочники!$B$4:$B$7,MATCH("RUB",Справочники!$A$4:$A$7,0)))</f>
        <v/>
      </c>
      <c r="AR278" s="90" t="str">
        <f aca="false">IF(AQ278="","",ROUND(AQ278*(1+Справочники!$B$12),0))</f>
        <v/>
      </c>
      <c r="AS278" s="90" t="str">
        <f aca="false">IF(AR278="","",ROUND(AR278*(1-Справочники!$B$11),0))</f>
        <v/>
      </c>
      <c r="AT278" s="88"/>
      <c r="AU278" s="90" t="str">
        <f aca="false">IF(AT278="","",ROUND(AT278/(1+Справочники!$B$12),0))</f>
        <v/>
      </c>
      <c r="AV278" s="90" t="str">
        <f aca="false">IF(AT278="","",ROUND(AT278*(1-Справочники!$B$15),0))</f>
        <v/>
      </c>
      <c r="AW278" s="90" t="str">
        <f aca="false">IF(AT278="","",ROUND(AT278*(1-Справочники!$B$16),0))</f>
        <v/>
      </c>
      <c r="AX278" s="90" t="str">
        <f aca="false">IF(AT278="","",ROUND(AT278*(1-Справочники!$B$17),0))</f>
        <v/>
      </c>
      <c r="AY278" s="90" t="str">
        <f aca="false">IF(AT278="","",ROUND(AT278*(1-Справочники!$B$18),0))</f>
        <v/>
      </c>
      <c r="AZ278" s="90" t="str">
        <f aca="false">IF(AT278="","",ROUND(AT278*(1-Справочники!$B$19),0))</f>
        <v/>
      </c>
      <c r="BA278" s="81"/>
      <c r="BB278" s="81"/>
      <c r="BC278" s="81"/>
      <c r="BD278" s="81"/>
      <c r="BE278" s="91"/>
      <c r="BF278" s="81" t="s">
        <v>103</v>
      </c>
      <c r="BG278" s="89" t="n">
        <f aca="false" t="array" ref="BG278:BG278">IF(BF278="","",IFERROR(INDEX(Справочники!$B$4:$B$7,MATCH(BF278,Справочники!$A$4:$A$7,0)),""))</f>
        <v>68.5</v>
      </c>
      <c r="BH278" s="90" t="str">
        <f aca="false">IF(N(BN278)&gt;0,ROUND(SUMIF(ЗАКАЗЫ!$F$3:$F$500,$A278,ЗАКАЗЫ!$Y$3:$Y$500)/BN278,0),IF(OR(BE278="",BG278=""),"",ROUND(BE278*BG278*(1+Справочники!$B$10),0)))</f>
        <v/>
      </c>
      <c r="BI278" s="92" t="str">
        <f aca="false">IF(OR(AU278="",BH278="",AU278=0),"",(AU278-BH278)/AU278)</f>
        <v/>
      </c>
      <c r="BJ278" s="81"/>
      <c r="BK278" s="83"/>
      <c r="BL278" s="43" t="str">
        <f aca="false">IFERROR(INDEX(ЗАКАЗЫ!$N$3:$N$500,MATCH($A278,ЗАКАЗЫ!$F$3:$F$500,0)),"")</f>
        <v/>
      </c>
      <c r="BM278" s="8" t="str">
        <f aca="false">IF(BL278="","",IFERROR(VLOOKUP(BL278,'ТН ВЭД'!$A$4:$C$40,3,0),""))</f>
        <v/>
      </c>
      <c r="BN278" s="7" t="str">
        <f aca="false">IF(COUNTIF(ЗАКАЗЫ!$F$3:$F$500,$A278)=0,"",SUMIF(ЗАКАЗЫ!$F$3:$F$500,$A278,ЗАКАЗЫ!$J$3:$J$500))</f>
        <v/>
      </c>
      <c r="BO278" s="7" t="str">
        <f aca="false">IF(BN278="","",SUMIF(ЗАКАЗЫ!$F$3:$F$500,$A278,ЗАКАЗЫ!$AL$3:$AL$500))</f>
        <v/>
      </c>
      <c r="BP278" s="7" t="str">
        <f aca="false">IF(BN278="","",BN278-BO278)</f>
        <v/>
      </c>
      <c r="BQ278" s="55" t="str">
        <f aca="false">IF(BN278="","",IF(BO278&gt;=BN278,"На складе",IF(BO278&gt;0,"Частично","Ждём")))</f>
        <v/>
      </c>
      <c r="BR278" s="43"/>
      <c r="BS278" s="47" t="str">
        <f aca="false">IF(BN278="","",IF(_xlfn.MAXIFS(ЗАКАЗЫ!$AK$3:$AK$500,ЗАКАЗЫ!$F$3:$F$500,$A278)=0,"",_xlfn.MAXIFS(ЗАКАЗЫ!$AK$3:$AK$500,ЗАКАЗЫ!$F$3:$F$500,$A278)))</f>
        <v/>
      </c>
    </row>
    <row r="279" customFormat="false" ht="15.75" hidden="false" customHeight="true" outlineLevel="0" collapsed="false">
      <c r="A279" s="80" t="s">
        <v>1802</v>
      </c>
      <c r="B279" s="81"/>
      <c r="C279" s="81"/>
      <c r="D279" s="81"/>
      <c r="E279" s="83"/>
      <c r="F279" s="81"/>
      <c r="G279" s="83"/>
      <c r="H279" s="83"/>
      <c r="I279" s="84" t="str">
        <f aca="false">IF(E279="","",A279&amp;"_1.jpg")</f>
        <v/>
      </c>
      <c r="J279" s="84" t="str">
        <f aca="false">IF(E279="","",A279&amp;"_2.jpg; "&amp;A279&amp;"_3.jpg")</f>
        <v/>
      </c>
      <c r="K279" s="84" t="str">
        <f aca="false">IF(E279="","",A279&amp;"_schema.jpg")</f>
        <v/>
      </c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 t="s">
        <v>96</v>
      </c>
      <c r="W279" s="81"/>
      <c r="X279" s="81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6" t="str">
        <f aca="false">IF(SUM(Y279:AJ279)=0,"",SUM(Y279:AJ279))</f>
        <v/>
      </c>
      <c r="AL279" s="84" t="str">
        <f aca="false">MID(IF(N(Y279)&gt;0,", "&amp;Y$2,"")&amp;IF(N(Z279)&gt;0,", "&amp;Z$2,"")&amp;IF(N(AA279)&gt;0,", "&amp;AA$2,"")&amp;IF(N(AB279)&gt;0,", "&amp;AB$2,"")&amp;IF(N(AC279)&gt;0,", "&amp;AC$2,"")&amp;IF(N(AD279)&gt;0,", "&amp;AD$2,"")&amp;IF(N(AE279)&gt;0,", "&amp;AE$2,"")&amp;IF(N(AF279)&gt;0,", "&amp;AF$2,"")&amp;IF(N(AG279)&gt;0,", "&amp;AG$2,"")&amp;IF(N(AH279)&gt;0,", "&amp;AH$2,"")&amp;IF(N(AI279)&gt;0,", "&amp;AI$2,"")&amp;IF(N(AJ279)&gt;0,", "&amp;AJ$2,""),3,999)</f>
        <v/>
      </c>
      <c r="AM279" s="87" t="str">
        <f aca="false">IF(E279="","",MID(IF(N(Y279)&gt;0,", "&amp;A279&amp;"-"&amp;Y$2,"")&amp;IF(N(Z279)&gt;0,", "&amp;A279&amp;"-"&amp;Z$2,"")&amp;IF(N(AA279)&gt;0,", "&amp;A279&amp;"-"&amp;AA$2,"")&amp;IF(N(AB279)&gt;0,", "&amp;A279&amp;"-"&amp;AB$2,"")&amp;IF(N(AC279)&gt;0,", "&amp;A279&amp;"-"&amp;AC$2,"")&amp;IF(N(AD279)&gt;0,", "&amp;A279&amp;"-"&amp;AD$2,"")&amp;IF(N(AE279)&gt;0,", "&amp;A279&amp;"-"&amp;AE$2,"")&amp;IF(N(AF279)&gt;0,", "&amp;A279&amp;"-"&amp;AF$2,"")&amp;IF(N(AG279)&gt;0,", "&amp;A279&amp;"-"&amp;AG$2,"")&amp;IF(N(AH279)&gt;0,", "&amp;A279&amp;"-"&amp;AH$2,"")&amp;IF(N(AI279)&gt;0,", "&amp;A279&amp;"-"&amp;AI$2,"")&amp;IF(N(AJ279)&gt;0,", "&amp;A279&amp;"-"&amp;AJ$2,""),3,999))</f>
        <v/>
      </c>
      <c r="AN279" s="81"/>
      <c r="AO279" s="88"/>
      <c r="AP279" s="89" t="str">
        <f aca="false">IF(AO279="","",ROUND(AO279/(1+Справочники!$B$13),2))</f>
        <v/>
      </c>
      <c r="AQ279" s="90" t="str">
        <f aca="false" t="array" ref="AQ279:AQ279">IF(AP279="","",AP279*INDEX(Справочники!$B$4:$B$7,MATCH("RUB",Справочники!$A$4:$A$7,0)))</f>
        <v/>
      </c>
      <c r="AR279" s="90" t="str">
        <f aca="false">IF(AQ279="","",ROUND(AQ279*(1+Справочники!$B$12),0))</f>
        <v/>
      </c>
      <c r="AS279" s="90" t="str">
        <f aca="false">IF(AR279="","",ROUND(AR279*(1-Справочники!$B$11),0))</f>
        <v/>
      </c>
      <c r="AT279" s="88"/>
      <c r="AU279" s="90" t="str">
        <f aca="false">IF(AT279="","",ROUND(AT279/(1+Справочники!$B$12),0))</f>
        <v/>
      </c>
      <c r="AV279" s="90" t="str">
        <f aca="false">IF(AT279="","",ROUND(AT279*(1-Справочники!$B$15),0))</f>
        <v/>
      </c>
      <c r="AW279" s="90" t="str">
        <f aca="false">IF(AT279="","",ROUND(AT279*(1-Справочники!$B$16),0))</f>
        <v/>
      </c>
      <c r="AX279" s="90" t="str">
        <f aca="false">IF(AT279="","",ROUND(AT279*(1-Справочники!$B$17),0))</f>
        <v/>
      </c>
      <c r="AY279" s="90" t="str">
        <f aca="false">IF(AT279="","",ROUND(AT279*(1-Справочники!$B$18),0))</f>
        <v/>
      </c>
      <c r="AZ279" s="90" t="str">
        <f aca="false">IF(AT279="","",ROUND(AT279*(1-Справочники!$B$19),0))</f>
        <v/>
      </c>
      <c r="BA279" s="81"/>
      <c r="BB279" s="81"/>
      <c r="BC279" s="81"/>
      <c r="BD279" s="81"/>
      <c r="BE279" s="91"/>
      <c r="BF279" s="81" t="s">
        <v>103</v>
      </c>
      <c r="BG279" s="89" t="n">
        <f aca="false" t="array" ref="BG279:BG279">IF(BF279="","",IFERROR(INDEX(Справочники!$B$4:$B$7,MATCH(BF279,Справочники!$A$4:$A$7,0)),""))</f>
        <v>68.5</v>
      </c>
      <c r="BH279" s="90" t="str">
        <f aca="false">IF(N(BN279)&gt;0,ROUND(SUMIF(ЗАКАЗЫ!$F$3:$F$500,$A279,ЗАКАЗЫ!$Y$3:$Y$500)/BN279,0),IF(OR(BE279="",BG279=""),"",ROUND(BE279*BG279*(1+Справочники!$B$10),0)))</f>
        <v/>
      </c>
      <c r="BI279" s="92" t="str">
        <f aca="false">IF(OR(AU279="",BH279="",AU279=0),"",(AU279-BH279)/AU279)</f>
        <v/>
      </c>
      <c r="BJ279" s="81"/>
      <c r="BK279" s="83"/>
      <c r="BL279" s="43" t="str">
        <f aca="false">IFERROR(INDEX(ЗАКАЗЫ!$N$3:$N$500,MATCH($A279,ЗАКАЗЫ!$F$3:$F$500,0)),"")</f>
        <v/>
      </c>
      <c r="BM279" s="8" t="str">
        <f aca="false">IF(BL279="","",IFERROR(VLOOKUP(BL279,'ТН ВЭД'!$A$4:$C$40,3,0),""))</f>
        <v/>
      </c>
      <c r="BN279" s="7" t="str">
        <f aca="false">IF(COUNTIF(ЗАКАЗЫ!$F$3:$F$500,$A279)=0,"",SUMIF(ЗАКАЗЫ!$F$3:$F$500,$A279,ЗАКАЗЫ!$J$3:$J$500))</f>
        <v/>
      </c>
      <c r="BO279" s="7" t="str">
        <f aca="false">IF(BN279="","",SUMIF(ЗАКАЗЫ!$F$3:$F$500,$A279,ЗАКАЗЫ!$AL$3:$AL$500))</f>
        <v/>
      </c>
      <c r="BP279" s="7" t="str">
        <f aca="false">IF(BN279="","",BN279-BO279)</f>
        <v/>
      </c>
      <c r="BQ279" s="55" t="str">
        <f aca="false">IF(BN279="","",IF(BO279&gt;=BN279,"На складе",IF(BO279&gt;0,"Частично","Ждём")))</f>
        <v/>
      </c>
      <c r="BR279" s="43"/>
      <c r="BS279" s="47" t="str">
        <f aca="false">IF(BN279="","",IF(_xlfn.MAXIFS(ЗАКАЗЫ!$AK$3:$AK$500,ЗАКАЗЫ!$F$3:$F$500,$A279)=0,"",_xlfn.MAXIFS(ЗАКАЗЫ!$AK$3:$AK$500,ЗАКАЗЫ!$F$3:$F$500,$A279)))</f>
        <v/>
      </c>
    </row>
    <row r="280" customFormat="false" ht="15.75" hidden="false" customHeight="true" outlineLevel="0" collapsed="false">
      <c r="A280" s="80" t="s">
        <v>1803</v>
      </c>
      <c r="B280" s="81"/>
      <c r="C280" s="81"/>
      <c r="D280" s="81"/>
      <c r="E280" s="83"/>
      <c r="F280" s="81"/>
      <c r="G280" s="83"/>
      <c r="H280" s="83"/>
      <c r="I280" s="84" t="str">
        <f aca="false">IF(E280="","",A280&amp;"_1.jpg")</f>
        <v/>
      </c>
      <c r="J280" s="84" t="str">
        <f aca="false">IF(E280="","",A280&amp;"_2.jpg; "&amp;A280&amp;"_3.jpg")</f>
        <v/>
      </c>
      <c r="K280" s="84" t="str">
        <f aca="false">IF(E280="","",A280&amp;"_schema.jpg")</f>
        <v/>
      </c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 t="s">
        <v>96</v>
      </c>
      <c r="W280" s="81"/>
      <c r="X280" s="81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6" t="str">
        <f aca="false">IF(SUM(Y280:AJ280)=0,"",SUM(Y280:AJ280))</f>
        <v/>
      </c>
      <c r="AL280" s="84" t="str">
        <f aca="false">MID(IF(N(Y280)&gt;0,", "&amp;Y$2,"")&amp;IF(N(Z280)&gt;0,", "&amp;Z$2,"")&amp;IF(N(AA280)&gt;0,", "&amp;AA$2,"")&amp;IF(N(AB280)&gt;0,", "&amp;AB$2,"")&amp;IF(N(AC280)&gt;0,", "&amp;AC$2,"")&amp;IF(N(AD280)&gt;0,", "&amp;AD$2,"")&amp;IF(N(AE280)&gt;0,", "&amp;AE$2,"")&amp;IF(N(AF280)&gt;0,", "&amp;AF$2,"")&amp;IF(N(AG280)&gt;0,", "&amp;AG$2,"")&amp;IF(N(AH280)&gt;0,", "&amp;AH$2,"")&amp;IF(N(AI280)&gt;0,", "&amp;AI$2,"")&amp;IF(N(AJ280)&gt;0,", "&amp;AJ$2,""),3,999)</f>
        <v/>
      </c>
      <c r="AM280" s="87" t="str">
        <f aca="false">IF(E280="","",MID(IF(N(Y280)&gt;0,", "&amp;A280&amp;"-"&amp;Y$2,"")&amp;IF(N(Z280)&gt;0,", "&amp;A280&amp;"-"&amp;Z$2,"")&amp;IF(N(AA280)&gt;0,", "&amp;A280&amp;"-"&amp;AA$2,"")&amp;IF(N(AB280)&gt;0,", "&amp;A280&amp;"-"&amp;AB$2,"")&amp;IF(N(AC280)&gt;0,", "&amp;A280&amp;"-"&amp;AC$2,"")&amp;IF(N(AD280)&gt;0,", "&amp;A280&amp;"-"&amp;AD$2,"")&amp;IF(N(AE280)&gt;0,", "&amp;A280&amp;"-"&amp;AE$2,"")&amp;IF(N(AF280)&gt;0,", "&amp;A280&amp;"-"&amp;AF$2,"")&amp;IF(N(AG280)&gt;0,", "&amp;A280&amp;"-"&amp;AG$2,"")&amp;IF(N(AH280)&gt;0,", "&amp;A280&amp;"-"&amp;AH$2,"")&amp;IF(N(AI280)&gt;0,", "&amp;A280&amp;"-"&amp;AI$2,"")&amp;IF(N(AJ280)&gt;0,", "&amp;A280&amp;"-"&amp;AJ$2,""),3,999))</f>
        <v/>
      </c>
      <c r="AN280" s="81"/>
      <c r="AO280" s="88"/>
      <c r="AP280" s="89" t="str">
        <f aca="false">IF(AO280="","",ROUND(AO280/(1+Справочники!$B$13),2))</f>
        <v/>
      </c>
      <c r="AQ280" s="90" t="str">
        <f aca="false" t="array" ref="AQ280:AQ280">IF(AP280="","",AP280*INDEX(Справочники!$B$4:$B$7,MATCH("RUB",Справочники!$A$4:$A$7,0)))</f>
        <v/>
      </c>
      <c r="AR280" s="90" t="str">
        <f aca="false">IF(AQ280="","",ROUND(AQ280*(1+Справочники!$B$12),0))</f>
        <v/>
      </c>
      <c r="AS280" s="90" t="str">
        <f aca="false">IF(AR280="","",ROUND(AR280*(1-Справочники!$B$11),0))</f>
        <v/>
      </c>
      <c r="AT280" s="88"/>
      <c r="AU280" s="90" t="str">
        <f aca="false">IF(AT280="","",ROUND(AT280/(1+Справочники!$B$12),0))</f>
        <v/>
      </c>
      <c r="AV280" s="90" t="str">
        <f aca="false">IF(AT280="","",ROUND(AT280*(1-Справочники!$B$15),0))</f>
        <v/>
      </c>
      <c r="AW280" s="90" t="str">
        <f aca="false">IF(AT280="","",ROUND(AT280*(1-Справочники!$B$16),0))</f>
        <v/>
      </c>
      <c r="AX280" s="90" t="str">
        <f aca="false">IF(AT280="","",ROUND(AT280*(1-Справочники!$B$17),0))</f>
        <v/>
      </c>
      <c r="AY280" s="90" t="str">
        <f aca="false">IF(AT280="","",ROUND(AT280*(1-Справочники!$B$18),0))</f>
        <v/>
      </c>
      <c r="AZ280" s="90" t="str">
        <f aca="false">IF(AT280="","",ROUND(AT280*(1-Справочники!$B$19),0))</f>
        <v/>
      </c>
      <c r="BA280" s="81"/>
      <c r="BB280" s="81"/>
      <c r="BC280" s="81"/>
      <c r="BD280" s="81"/>
      <c r="BE280" s="91"/>
      <c r="BF280" s="81" t="s">
        <v>103</v>
      </c>
      <c r="BG280" s="89" t="n">
        <f aca="false" t="array" ref="BG280:BG280">IF(BF280="","",IFERROR(INDEX(Справочники!$B$4:$B$7,MATCH(BF280,Справочники!$A$4:$A$7,0)),""))</f>
        <v>68.5</v>
      </c>
      <c r="BH280" s="90" t="str">
        <f aca="false">IF(N(BN280)&gt;0,ROUND(SUMIF(ЗАКАЗЫ!$F$3:$F$500,$A280,ЗАКАЗЫ!$Y$3:$Y$500)/BN280,0),IF(OR(BE280="",BG280=""),"",ROUND(BE280*BG280*(1+Справочники!$B$10),0)))</f>
        <v/>
      </c>
      <c r="BI280" s="92" t="str">
        <f aca="false">IF(OR(AU280="",BH280="",AU280=0),"",(AU280-BH280)/AU280)</f>
        <v/>
      </c>
      <c r="BJ280" s="81"/>
      <c r="BK280" s="83"/>
      <c r="BL280" s="43" t="str">
        <f aca="false">IFERROR(INDEX(ЗАКАЗЫ!$N$3:$N$500,MATCH($A280,ЗАКАЗЫ!$F$3:$F$500,0)),"")</f>
        <v/>
      </c>
      <c r="BM280" s="8" t="str">
        <f aca="false">IF(BL280="","",IFERROR(VLOOKUP(BL280,'ТН ВЭД'!$A$4:$C$40,3,0),""))</f>
        <v/>
      </c>
      <c r="BN280" s="7" t="str">
        <f aca="false">IF(COUNTIF(ЗАКАЗЫ!$F$3:$F$500,$A280)=0,"",SUMIF(ЗАКАЗЫ!$F$3:$F$500,$A280,ЗАКАЗЫ!$J$3:$J$500))</f>
        <v/>
      </c>
      <c r="BO280" s="7" t="str">
        <f aca="false">IF(BN280="","",SUMIF(ЗАКАЗЫ!$F$3:$F$500,$A280,ЗАКАЗЫ!$AL$3:$AL$500))</f>
        <v/>
      </c>
      <c r="BP280" s="7" t="str">
        <f aca="false">IF(BN280="","",BN280-BO280)</f>
        <v/>
      </c>
      <c r="BQ280" s="55" t="str">
        <f aca="false">IF(BN280="","",IF(BO280&gt;=BN280,"На складе",IF(BO280&gt;0,"Частично","Ждём")))</f>
        <v/>
      </c>
      <c r="BR280" s="43"/>
      <c r="BS280" s="47" t="str">
        <f aca="false">IF(BN280="","",IF(_xlfn.MAXIFS(ЗАКАЗЫ!$AK$3:$AK$500,ЗАКАЗЫ!$F$3:$F$500,$A280)=0,"",_xlfn.MAXIFS(ЗАКАЗЫ!$AK$3:$AK$500,ЗАКАЗЫ!$F$3:$F$500,$A280)))</f>
        <v/>
      </c>
    </row>
    <row r="281" customFormat="false" ht="15.75" hidden="false" customHeight="true" outlineLevel="0" collapsed="false">
      <c r="A281" s="80" t="s">
        <v>1804</v>
      </c>
      <c r="B281" s="81"/>
      <c r="C281" s="81"/>
      <c r="D281" s="81"/>
      <c r="E281" s="83"/>
      <c r="F281" s="81"/>
      <c r="G281" s="83"/>
      <c r="H281" s="83"/>
      <c r="I281" s="84" t="str">
        <f aca="false">IF(E281="","",A281&amp;"_1.jpg")</f>
        <v/>
      </c>
      <c r="J281" s="84" t="str">
        <f aca="false">IF(E281="","",A281&amp;"_2.jpg; "&amp;A281&amp;"_3.jpg")</f>
        <v/>
      </c>
      <c r="K281" s="84" t="str">
        <f aca="false">IF(E281="","",A281&amp;"_schema.jpg")</f>
        <v/>
      </c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 t="s">
        <v>96</v>
      </c>
      <c r="W281" s="81"/>
      <c r="X281" s="81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6" t="str">
        <f aca="false">IF(SUM(Y281:AJ281)=0,"",SUM(Y281:AJ281))</f>
        <v/>
      </c>
      <c r="AL281" s="84" t="str">
        <f aca="false">MID(IF(N(Y281)&gt;0,", "&amp;Y$2,"")&amp;IF(N(Z281)&gt;0,", "&amp;Z$2,"")&amp;IF(N(AA281)&gt;0,", "&amp;AA$2,"")&amp;IF(N(AB281)&gt;0,", "&amp;AB$2,"")&amp;IF(N(AC281)&gt;0,", "&amp;AC$2,"")&amp;IF(N(AD281)&gt;0,", "&amp;AD$2,"")&amp;IF(N(AE281)&gt;0,", "&amp;AE$2,"")&amp;IF(N(AF281)&gt;0,", "&amp;AF$2,"")&amp;IF(N(AG281)&gt;0,", "&amp;AG$2,"")&amp;IF(N(AH281)&gt;0,", "&amp;AH$2,"")&amp;IF(N(AI281)&gt;0,", "&amp;AI$2,"")&amp;IF(N(AJ281)&gt;0,", "&amp;AJ$2,""),3,999)</f>
        <v/>
      </c>
      <c r="AM281" s="87" t="str">
        <f aca="false">IF(E281="","",MID(IF(N(Y281)&gt;0,", "&amp;A281&amp;"-"&amp;Y$2,"")&amp;IF(N(Z281)&gt;0,", "&amp;A281&amp;"-"&amp;Z$2,"")&amp;IF(N(AA281)&gt;0,", "&amp;A281&amp;"-"&amp;AA$2,"")&amp;IF(N(AB281)&gt;0,", "&amp;A281&amp;"-"&amp;AB$2,"")&amp;IF(N(AC281)&gt;0,", "&amp;A281&amp;"-"&amp;AC$2,"")&amp;IF(N(AD281)&gt;0,", "&amp;A281&amp;"-"&amp;AD$2,"")&amp;IF(N(AE281)&gt;0,", "&amp;A281&amp;"-"&amp;AE$2,"")&amp;IF(N(AF281)&gt;0,", "&amp;A281&amp;"-"&amp;AF$2,"")&amp;IF(N(AG281)&gt;0,", "&amp;A281&amp;"-"&amp;AG$2,"")&amp;IF(N(AH281)&gt;0,", "&amp;A281&amp;"-"&amp;AH$2,"")&amp;IF(N(AI281)&gt;0,", "&amp;A281&amp;"-"&amp;AI$2,"")&amp;IF(N(AJ281)&gt;0,", "&amp;A281&amp;"-"&amp;AJ$2,""),3,999))</f>
        <v/>
      </c>
      <c r="AN281" s="81"/>
      <c r="AO281" s="88"/>
      <c r="AP281" s="89" t="str">
        <f aca="false">IF(AO281="","",ROUND(AO281/(1+Справочники!$B$13),2))</f>
        <v/>
      </c>
      <c r="AQ281" s="90" t="str">
        <f aca="false" t="array" ref="AQ281:AQ281">IF(AP281="","",AP281*INDEX(Справочники!$B$4:$B$7,MATCH("RUB",Справочники!$A$4:$A$7,0)))</f>
        <v/>
      </c>
      <c r="AR281" s="90" t="str">
        <f aca="false">IF(AQ281="","",ROUND(AQ281*(1+Справочники!$B$12),0))</f>
        <v/>
      </c>
      <c r="AS281" s="90" t="str">
        <f aca="false">IF(AR281="","",ROUND(AR281*(1-Справочники!$B$11),0))</f>
        <v/>
      </c>
      <c r="AT281" s="88"/>
      <c r="AU281" s="90" t="str">
        <f aca="false">IF(AT281="","",ROUND(AT281/(1+Справочники!$B$12),0))</f>
        <v/>
      </c>
      <c r="AV281" s="90" t="str">
        <f aca="false">IF(AT281="","",ROUND(AT281*(1-Справочники!$B$15),0))</f>
        <v/>
      </c>
      <c r="AW281" s="90" t="str">
        <f aca="false">IF(AT281="","",ROUND(AT281*(1-Справочники!$B$16),0))</f>
        <v/>
      </c>
      <c r="AX281" s="90" t="str">
        <f aca="false">IF(AT281="","",ROUND(AT281*(1-Справочники!$B$17),0))</f>
        <v/>
      </c>
      <c r="AY281" s="90" t="str">
        <f aca="false">IF(AT281="","",ROUND(AT281*(1-Справочники!$B$18),0))</f>
        <v/>
      </c>
      <c r="AZ281" s="90" t="str">
        <f aca="false">IF(AT281="","",ROUND(AT281*(1-Справочники!$B$19),0))</f>
        <v/>
      </c>
      <c r="BA281" s="81"/>
      <c r="BB281" s="81"/>
      <c r="BC281" s="81"/>
      <c r="BD281" s="81"/>
      <c r="BE281" s="91"/>
      <c r="BF281" s="81" t="s">
        <v>103</v>
      </c>
      <c r="BG281" s="89" t="n">
        <f aca="false" t="array" ref="BG281:BG281">IF(BF281="","",IFERROR(INDEX(Справочники!$B$4:$B$7,MATCH(BF281,Справочники!$A$4:$A$7,0)),""))</f>
        <v>68.5</v>
      </c>
      <c r="BH281" s="90" t="str">
        <f aca="false">IF(N(BN281)&gt;0,ROUND(SUMIF(ЗАКАЗЫ!$F$3:$F$500,$A281,ЗАКАЗЫ!$Y$3:$Y$500)/BN281,0),IF(OR(BE281="",BG281=""),"",ROUND(BE281*BG281*(1+Справочники!$B$10),0)))</f>
        <v/>
      </c>
      <c r="BI281" s="92" t="str">
        <f aca="false">IF(OR(AU281="",BH281="",AU281=0),"",(AU281-BH281)/AU281)</f>
        <v/>
      </c>
      <c r="BJ281" s="81"/>
      <c r="BK281" s="83"/>
      <c r="BL281" s="43" t="str">
        <f aca="false">IFERROR(INDEX(ЗАКАЗЫ!$N$3:$N$500,MATCH($A281,ЗАКАЗЫ!$F$3:$F$500,0)),"")</f>
        <v/>
      </c>
      <c r="BM281" s="8" t="str">
        <f aca="false">IF(BL281="","",IFERROR(VLOOKUP(BL281,'ТН ВЭД'!$A$4:$C$40,3,0),""))</f>
        <v/>
      </c>
      <c r="BN281" s="7" t="str">
        <f aca="false">IF(COUNTIF(ЗАКАЗЫ!$F$3:$F$500,$A281)=0,"",SUMIF(ЗАКАЗЫ!$F$3:$F$500,$A281,ЗАКАЗЫ!$J$3:$J$500))</f>
        <v/>
      </c>
      <c r="BO281" s="7" t="str">
        <f aca="false">IF(BN281="","",SUMIF(ЗАКАЗЫ!$F$3:$F$500,$A281,ЗАКАЗЫ!$AL$3:$AL$500))</f>
        <v/>
      </c>
      <c r="BP281" s="7" t="str">
        <f aca="false">IF(BN281="","",BN281-BO281)</f>
        <v/>
      </c>
      <c r="BQ281" s="55" t="str">
        <f aca="false">IF(BN281="","",IF(BO281&gt;=BN281,"На складе",IF(BO281&gt;0,"Частично","Ждём")))</f>
        <v/>
      </c>
      <c r="BR281" s="43"/>
      <c r="BS281" s="47" t="str">
        <f aca="false">IF(BN281="","",IF(_xlfn.MAXIFS(ЗАКАЗЫ!$AK$3:$AK$500,ЗАКАЗЫ!$F$3:$F$500,$A281)=0,"",_xlfn.MAXIFS(ЗАКАЗЫ!$AK$3:$AK$500,ЗАКАЗЫ!$F$3:$F$500,$A281)))</f>
        <v/>
      </c>
    </row>
    <row r="282" customFormat="false" ht="15.75" hidden="false" customHeight="true" outlineLevel="0" collapsed="false">
      <c r="A282" s="80" t="s">
        <v>1805</v>
      </c>
      <c r="B282" s="81"/>
      <c r="C282" s="81"/>
      <c r="D282" s="81"/>
      <c r="E282" s="83"/>
      <c r="F282" s="81"/>
      <c r="G282" s="83"/>
      <c r="H282" s="83"/>
      <c r="I282" s="84" t="str">
        <f aca="false">IF(E282="","",A282&amp;"_1.jpg")</f>
        <v/>
      </c>
      <c r="J282" s="84" t="str">
        <f aca="false">IF(E282="","",A282&amp;"_2.jpg; "&amp;A282&amp;"_3.jpg")</f>
        <v/>
      </c>
      <c r="K282" s="84" t="str">
        <f aca="false">IF(E282="","",A282&amp;"_schema.jpg")</f>
        <v/>
      </c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 t="s">
        <v>96</v>
      </c>
      <c r="W282" s="81"/>
      <c r="X282" s="81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6" t="str">
        <f aca="false">IF(SUM(Y282:AJ282)=0,"",SUM(Y282:AJ282))</f>
        <v/>
      </c>
      <c r="AL282" s="84" t="str">
        <f aca="false">MID(IF(N(Y282)&gt;0,", "&amp;Y$2,"")&amp;IF(N(Z282)&gt;0,", "&amp;Z$2,"")&amp;IF(N(AA282)&gt;0,", "&amp;AA$2,"")&amp;IF(N(AB282)&gt;0,", "&amp;AB$2,"")&amp;IF(N(AC282)&gt;0,", "&amp;AC$2,"")&amp;IF(N(AD282)&gt;0,", "&amp;AD$2,"")&amp;IF(N(AE282)&gt;0,", "&amp;AE$2,"")&amp;IF(N(AF282)&gt;0,", "&amp;AF$2,"")&amp;IF(N(AG282)&gt;0,", "&amp;AG$2,"")&amp;IF(N(AH282)&gt;0,", "&amp;AH$2,"")&amp;IF(N(AI282)&gt;0,", "&amp;AI$2,"")&amp;IF(N(AJ282)&gt;0,", "&amp;AJ$2,""),3,999)</f>
        <v/>
      </c>
      <c r="AM282" s="87" t="str">
        <f aca="false">IF(E282="","",MID(IF(N(Y282)&gt;0,", "&amp;A282&amp;"-"&amp;Y$2,"")&amp;IF(N(Z282)&gt;0,", "&amp;A282&amp;"-"&amp;Z$2,"")&amp;IF(N(AA282)&gt;0,", "&amp;A282&amp;"-"&amp;AA$2,"")&amp;IF(N(AB282)&gt;0,", "&amp;A282&amp;"-"&amp;AB$2,"")&amp;IF(N(AC282)&gt;0,", "&amp;A282&amp;"-"&amp;AC$2,"")&amp;IF(N(AD282)&gt;0,", "&amp;A282&amp;"-"&amp;AD$2,"")&amp;IF(N(AE282)&gt;0,", "&amp;A282&amp;"-"&amp;AE$2,"")&amp;IF(N(AF282)&gt;0,", "&amp;A282&amp;"-"&amp;AF$2,"")&amp;IF(N(AG282)&gt;0,", "&amp;A282&amp;"-"&amp;AG$2,"")&amp;IF(N(AH282)&gt;0,", "&amp;A282&amp;"-"&amp;AH$2,"")&amp;IF(N(AI282)&gt;0,", "&amp;A282&amp;"-"&amp;AI$2,"")&amp;IF(N(AJ282)&gt;0,", "&amp;A282&amp;"-"&amp;AJ$2,""),3,999))</f>
        <v/>
      </c>
      <c r="AN282" s="81"/>
      <c r="AO282" s="88"/>
      <c r="AP282" s="89" t="str">
        <f aca="false">IF(AO282="","",ROUND(AO282/(1+Справочники!$B$13),2))</f>
        <v/>
      </c>
      <c r="AQ282" s="90" t="str">
        <f aca="false" t="array" ref="AQ282:AQ282">IF(AP282="","",AP282*INDEX(Справочники!$B$4:$B$7,MATCH("RUB",Справочники!$A$4:$A$7,0)))</f>
        <v/>
      </c>
      <c r="AR282" s="90" t="str">
        <f aca="false">IF(AQ282="","",ROUND(AQ282*(1+Справочники!$B$12),0))</f>
        <v/>
      </c>
      <c r="AS282" s="90" t="str">
        <f aca="false">IF(AR282="","",ROUND(AR282*(1-Справочники!$B$11),0))</f>
        <v/>
      </c>
      <c r="AT282" s="88"/>
      <c r="AU282" s="90" t="str">
        <f aca="false">IF(AT282="","",ROUND(AT282/(1+Справочники!$B$12),0))</f>
        <v/>
      </c>
      <c r="AV282" s="90" t="str">
        <f aca="false">IF(AT282="","",ROUND(AT282*(1-Справочники!$B$15),0))</f>
        <v/>
      </c>
      <c r="AW282" s="90" t="str">
        <f aca="false">IF(AT282="","",ROUND(AT282*(1-Справочники!$B$16),0))</f>
        <v/>
      </c>
      <c r="AX282" s="90" t="str">
        <f aca="false">IF(AT282="","",ROUND(AT282*(1-Справочники!$B$17),0))</f>
        <v/>
      </c>
      <c r="AY282" s="90" t="str">
        <f aca="false">IF(AT282="","",ROUND(AT282*(1-Справочники!$B$18),0))</f>
        <v/>
      </c>
      <c r="AZ282" s="90" t="str">
        <f aca="false">IF(AT282="","",ROUND(AT282*(1-Справочники!$B$19),0))</f>
        <v/>
      </c>
      <c r="BA282" s="81"/>
      <c r="BB282" s="81"/>
      <c r="BC282" s="81"/>
      <c r="BD282" s="81"/>
      <c r="BE282" s="91"/>
      <c r="BF282" s="81" t="s">
        <v>103</v>
      </c>
      <c r="BG282" s="89" t="n">
        <f aca="false" t="array" ref="BG282:BG282">IF(BF282="","",IFERROR(INDEX(Справочники!$B$4:$B$7,MATCH(BF282,Справочники!$A$4:$A$7,0)),""))</f>
        <v>68.5</v>
      </c>
      <c r="BH282" s="90" t="str">
        <f aca="false">IF(N(BN282)&gt;0,ROUND(SUMIF(ЗАКАЗЫ!$F$3:$F$500,$A282,ЗАКАЗЫ!$Y$3:$Y$500)/BN282,0),IF(OR(BE282="",BG282=""),"",ROUND(BE282*BG282*(1+Справочники!$B$10),0)))</f>
        <v/>
      </c>
      <c r="BI282" s="92" t="str">
        <f aca="false">IF(OR(AU282="",BH282="",AU282=0),"",(AU282-BH282)/AU282)</f>
        <v/>
      </c>
      <c r="BJ282" s="81"/>
      <c r="BK282" s="83"/>
      <c r="BL282" s="43" t="str">
        <f aca="false">IFERROR(INDEX(ЗАКАЗЫ!$N$3:$N$500,MATCH($A282,ЗАКАЗЫ!$F$3:$F$500,0)),"")</f>
        <v/>
      </c>
      <c r="BM282" s="8" t="str">
        <f aca="false">IF(BL282="","",IFERROR(VLOOKUP(BL282,'ТН ВЭД'!$A$4:$C$40,3,0),""))</f>
        <v/>
      </c>
      <c r="BN282" s="7" t="str">
        <f aca="false">IF(COUNTIF(ЗАКАЗЫ!$F$3:$F$500,$A282)=0,"",SUMIF(ЗАКАЗЫ!$F$3:$F$500,$A282,ЗАКАЗЫ!$J$3:$J$500))</f>
        <v/>
      </c>
      <c r="BO282" s="7" t="str">
        <f aca="false">IF(BN282="","",SUMIF(ЗАКАЗЫ!$F$3:$F$500,$A282,ЗАКАЗЫ!$AL$3:$AL$500))</f>
        <v/>
      </c>
      <c r="BP282" s="7" t="str">
        <f aca="false">IF(BN282="","",BN282-BO282)</f>
        <v/>
      </c>
      <c r="BQ282" s="55" t="str">
        <f aca="false">IF(BN282="","",IF(BO282&gt;=BN282,"На складе",IF(BO282&gt;0,"Частично","Ждём")))</f>
        <v/>
      </c>
      <c r="BR282" s="43"/>
      <c r="BS282" s="47" t="str">
        <f aca="false">IF(BN282="","",IF(_xlfn.MAXIFS(ЗАКАЗЫ!$AK$3:$AK$500,ЗАКАЗЫ!$F$3:$F$500,$A282)=0,"",_xlfn.MAXIFS(ЗАКАЗЫ!$AK$3:$AK$500,ЗАКАЗЫ!$F$3:$F$500,$A282)))</f>
        <v/>
      </c>
    </row>
    <row r="283" customFormat="false" ht="15.75" hidden="false" customHeight="true" outlineLevel="0" collapsed="false">
      <c r="A283" s="80" t="s">
        <v>1806</v>
      </c>
      <c r="B283" s="81"/>
      <c r="C283" s="81"/>
      <c r="D283" s="81"/>
      <c r="E283" s="83"/>
      <c r="F283" s="81"/>
      <c r="G283" s="83"/>
      <c r="H283" s="83"/>
      <c r="I283" s="84" t="str">
        <f aca="false">IF(E283="","",A283&amp;"_1.jpg")</f>
        <v/>
      </c>
      <c r="J283" s="84" t="str">
        <f aca="false">IF(E283="","",A283&amp;"_2.jpg; "&amp;A283&amp;"_3.jpg")</f>
        <v/>
      </c>
      <c r="K283" s="84" t="str">
        <f aca="false">IF(E283="","",A283&amp;"_schema.jpg")</f>
        <v/>
      </c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 t="s">
        <v>96</v>
      </c>
      <c r="W283" s="81"/>
      <c r="X283" s="81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6" t="str">
        <f aca="false">IF(SUM(Y283:AJ283)=0,"",SUM(Y283:AJ283))</f>
        <v/>
      </c>
      <c r="AL283" s="84" t="str">
        <f aca="false">MID(IF(N(Y283)&gt;0,", "&amp;Y$2,"")&amp;IF(N(Z283)&gt;0,", "&amp;Z$2,"")&amp;IF(N(AA283)&gt;0,", "&amp;AA$2,"")&amp;IF(N(AB283)&gt;0,", "&amp;AB$2,"")&amp;IF(N(AC283)&gt;0,", "&amp;AC$2,"")&amp;IF(N(AD283)&gt;0,", "&amp;AD$2,"")&amp;IF(N(AE283)&gt;0,", "&amp;AE$2,"")&amp;IF(N(AF283)&gt;0,", "&amp;AF$2,"")&amp;IF(N(AG283)&gt;0,", "&amp;AG$2,"")&amp;IF(N(AH283)&gt;0,", "&amp;AH$2,"")&amp;IF(N(AI283)&gt;0,", "&amp;AI$2,"")&amp;IF(N(AJ283)&gt;0,", "&amp;AJ$2,""),3,999)</f>
        <v/>
      </c>
      <c r="AM283" s="87" t="str">
        <f aca="false">IF(E283="","",MID(IF(N(Y283)&gt;0,", "&amp;A283&amp;"-"&amp;Y$2,"")&amp;IF(N(Z283)&gt;0,", "&amp;A283&amp;"-"&amp;Z$2,"")&amp;IF(N(AA283)&gt;0,", "&amp;A283&amp;"-"&amp;AA$2,"")&amp;IF(N(AB283)&gt;0,", "&amp;A283&amp;"-"&amp;AB$2,"")&amp;IF(N(AC283)&gt;0,", "&amp;A283&amp;"-"&amp;AC$2,"")&amp;IF(N(AD283)&gt;0,", "&amp;A283&amp;"-"&amp;AD$2,"")&amp;IF(N(AE283)&gt;0,", "&amp;A283&amp;"-"&amp;AE$2,"")&amp;IF(N(AF283)&gt;0,", "&amp;A283&amp;"-"&amp;AF$2,"")&amp;IF(N(AG283)&gt;0,", "&amp;A283&amp;"-"&amp;AG$2,"")&amp;IF(N(AH283)&gt;0,", "&amp;A283&amp;"-"&amp;AH$2,"")&amp;IF(N(AI283)&gt;0,", "&amp;A283&amp;"-"&amp;AI$2,"")&amp;IF(N(AJ283)&gt;0,", "&amp;A283&amp;"-"&amp;AJ$2,""),3,999))</f>
        <v/>
      </c>
      <c r="AN283" s="81"/>
      <c r="AO283" s="88"/>
      <c r="AP283" s="89" t="str">
        <f aca="false">IF(AO283="","",ROUND(AO283/(1+Справочники!$B$13),2))</f>
        <v/>
      </c>
      <c r="AQ283" s="90" t="str">
        <f aca="false" t="array" ref="AQ283:AQ283">IF(AP283="","",AP283*INDEX(Справочники!$B$4:$B$7,MATCH("RUB",Справочники!$A$4:$A$7,0)))</f>
        <v/>
      </c>
      <c r="AR283" s="90" t="str">
        <f aca="false">IF(AQ283="","",ROUND(AQ283*(1+Справочники!$B$12),0))</f>
        <v/>
      </c>
      <c r="AS283" s="90" t="str">
        <f aca="false">IF(AR283="","",ROUND(AR283*(1-Справочники!$B$11),0))</f>
        <v/>
      </c>
      <c r="AT283" s="88"/>
      <c r="AU283" s="90" t="str">
        <f aca="false">IF(AT283="","",ROUND(AT283/(1+Справочники!$B$12),0))</f>
        <v/>
      </c>
      <c r="AV283" s="90" t="str">
        <f aca="false">IF(AT283="","",ROUND(AT283*(1-Справочники!$B$15),0))</f>
        <v/>
      </c>
      <c r="AW283" s="90" t="str">
        <f aca="false">IF(AT283="","",ROUND(AT283*(1-Справочники!$B$16),0))</f>
        <v/>
      </c>
      <c r="AX283" s="90" t="str">
        <f aca="false">IF(AT283="","",ROUND(AT283*(1-Справочники!$B$17),0))</f>
        <v/>
      </c>
      <c r="AY283" s="90" t="str">
        <f aca="false">IF(AT283="","",ROUND(AT283*(1-Справочники!$B$18),0))</f>
        <v/>
      </c>
      <c r="AZ283" s="90" t="str">
        <f aca="false">IF(AT283="","",ROUND(AT283*(1-Справочники!$B$19),0))</f>
        <v/>
      </c>
      <c r="BA283" s="81"/>
      <c r="BB283" s="81"/>
      <c r="BC283" s="81"/>
      <c r="BD283" s="81"/>
      <c r="BE283" s="91"/>
      <c r="BF283" s="81" t="s">
        <v>103</v>
      </c>
      <c r="BG283" s="89" t="n">
        <f aca="false" t="array" ref="BG283:BG283">IF(BF283="","",IFERROR(INDEX(Справочники!$B$4:$B$7,MATCH(BF283,Справочники!$A$4:$A$7,0)),""))</f>
        <v>68.5</v>
      </c>
      <c r="BH283" s="90" t="str">
        <f aca="false">IF(N(BN283)&gt;0,ROUND(SUMIF(ЗАКАЗЫ!$F$3:$F$500,$A283,ЗАКАЗЫ!$Y$3:$Y$500)/BN283,0),IF(OR(BE283="",BG283=""),"",ROUND(BE283*BG283*(1+Справочники!$B$10),0)))</f>
        <v/>
      </c>
      <c r="BI283" s="92" t="str">
        <f aca="false">IF(OR(AU283="",BH283="",AU283=0),"",(AU283-BH283)/AU283)</f>
        <v/>
      </c>
      <c r="BJ283" s="81"/>
      <c r="BK283" s="83"/>
      <c r="BL283" s="43" t="str">
        <f aca="false">IFERROR(INDEX(ЗАКАЗЫ!$N$3:$N$500,MATCH($A283,ЗАКАЗЫ!$F$3:$F$500,0)),"")</f>
        <v/>
      </c>
      <c r="BM283" s="8" t="str">
        <f aca="false">IF(BL283="","",IFERROR(VLOOKUP(BL283,'ТН ВЭД'!$A$4:$C$40,3,0),""))</f>
        <v/>
      </c>
      <c r="BN283" s="7" t="str">
        <f aca="false">IF(COUNTIF(ЗАКАЗЫ!$F$3:$F$500,$A283)=0,"",SUMIF(ЗАКАЗЫ!$F$3:$F$500,$A283,ЗАКАЗЫ!$J$3:$J$500))</f>
        <v/>
      </c>
      <c r="BO283" s="7" t="str">
        <f aca="false">IF(BN283="","",SUMIF(ЗАКАЗЫ!$F$3:$F$500,$A283,ЗАКАЗЫ!$AL$3:$AL$500))</f>
        <v/>
      </c>
      <c r="BP283" s="7" t="str">
        <f aca="false">IF(BN283="","",BN283-BO283)</f>
        <v/>
      </c>
      <c r="BQ283" s="55" t="str">
        <f aca="false">IF(BN283="","",IF(BO283&gt;=BN283,"На складе",IF(BO283&gt;0,"Частично","Ждём")))</f>
        <v/>
      </c>
      <c r="BR283" s="43"/>
      <c r="BS283" s="47" t="str">
        <f aca="false">IF(BN283="","",IF(_xlfn.MAXIFS(ЗАКАЗЫ!$AK$3:$AK$500,ЗАКАЗЫ!$F$3:$F$500,$A283)=0,"",_xlfn.MAXIFS(ЗАКАЗЫ!$AK$3:$AK$500,ЗАКАЗЫ!$F$3:$F$500,$A283)))</f>
        <v/>
      </c>
    </row>
    <row r="284" customFormat="false" ht="15.75" hidden="false" customHeight="true" outlineLevel="0" collapsed="false">
      <c r="A284" s="80" t="s">
        <v>1807</v>
      </c>
      <c r="B284" s="81"/>
      <c r="C284" s="81"/>
      <c r="D284" s="81"/>
      <c r="E284" s="83"/>
      <c r="F284" s="81"/>
      <c r="G284" s="83"/>
      <c r="H284" s="83"/>
      <c r="I284" s="84" t="str">
        <f aca="false">IF(E284="","",A284&amp;"_1.jpg")</f>
        <v/>
      </c>
      <c r="J284" s="84" t="str">
        <f aca="false">IF(E284="","",A284&amp;"_2.jpg; "&amp;A284&amp;"_3.jpg")</f>
        <v/>
      </c>
      <c r="K284" s="84" t="str">
        <f aca="false">IF(E284="","",A284&amp;"_schema.jpg")</f>
        <v/>
      </c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 t="s">
        <v>96</v>
      </c>
      <c r="W284" s="81"/>
      <c r="X284" s="81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6" t="str">
        <f aca="false">IF(SUM(Y284:AJ284)=0,"",SUM(Y284:AJ284))</f>
        <v/>
      </c>
      <c r="AL284" s="84" t="str">
        <f aca="false">MID(IF(N(Y284)&gt;0,", "&amp;Y$2,"")&amp;IF(N(Z284)&gt;0,", "&amp;Z$2,"")&amp;IF(N(AA284)&gt;0,", "&amp;AA$2,"")&amp;IF(N(AB284)&gt;0,", "&amp;AB$2,"")&amp;IF(N(AC284)&gt;0,", "&amp;AC$2,"")&amp;IF(N(AD284)&gt;0,", "&amp;AD$2,"")&amp;IF(N(AE284)&gt;0,", "&amp;AE$2,"")&amp;IF(N(AF284)&gt;0,", "&amp;AF$2,"")&amp;IF(N(AG284)&gt;0,", "&amp;AG$2,"")&amp;IF(N(AH284)&gt;0,", "&amp;AH$2,"")&amp;IF(N(AI284)&gt;0,", "&amp;AI$2,"")&amp;IF(N(AJ284)&gt;0,", "&amp;AJ$2,""),3,999)</f>
        <v/>
      </c>
      <c r="AM284" s="87" t="str">
        <f aca="false">IF(E284="","",MID(IF(N(Y284)&gt;0,", "&amp;A284&amp;"-"&amp;Y$2,"")&amp;IF(N(Z284)&gt;0,", "&amp;A284&amp;"-"&amp;Z$2,"")&amp;IF(N(AA284)&gt;0,", "&amp;A284&amp;"-"&amp;AA$2,"")&amp;IF(N(AB284)&gt;0,", "&amp;A284&amp;"-"&amp;AB$2,"")&amp;IF(N(AC284)&gt;0,", "&amp;A284&amp;"-"&amp;AC$2,"")&amp;IF(N(AD284)&gt;0,", "&amp;A284&amp;"-"&amp;AD$2,"")&amp;IF(N(AE284)&gt;0,", "&amp;A284&amp;"-"&amp;AE$2,"")&amp;IF(N(AF284)&gt;0,", "&amp;A284&amp;"-"&amp;AF$2,"")&amp;IF(N(AG284)&gt;0,", "&amp;A284&amp;"-"&amp;AG$2,"")&amp;IF(N(AH284)&gt;0,", "&amp;A284&amp;"-"&amp;AH$2,"")&amp;IF(N(AI284)&gt;0,", "&amp;A284&amp;"-"&amp;AI$2,"")&amp;IF(N(AJ284)&gt;0,", "&amp;A284&amp;"-"&amp;AJ$2,""),3,999))</f>
        <v/>
      </c>
      <c r="AN284" s="81"/>
      <c r="AO284" s="88"/>
      <c r="AP284" s="89" t="str">
        <f aca="false">IF(AO284="","",ROUND(AO284/(1+Справочники!$B$13),2))</f>
        <v/>
      </c>
      <c r="AQ284" s="90" t="str">
        <f aca="false" t="array" ref="AQ284:AQ284">IF(AP284="","",AP284*INDEX(Справочники!$B$4:$B$7,MATCH("RUB",Справочники!$A$4:$A$7,0)))</f>
        <v/>
      </c>
      <c r="AR284" s="90" t="str">
        <f aca="false">IF(AQ284="","",ROUND(AQ284*(1+Справочники!$B$12),0))</f>
        <v/>
      </c>
      <c r="AS284" s="90" t="str">
        <f aca="false">IF(AR284="","",ROUND(AR284*(1-Справочники!$B$11),0))</f>
        <v/>
      </c>
      <c r="AT284" s="88"/>
      <c r="AU284" s="90" t="str">
        <f aca="false">IF(AT284="","",ROUND(AT284/(1+Справочники!$B$12),0))</f>
        <v/>
      </c>
      <c r="AV284" s="90" t="str">
        <f aca="false">IF(AT284="","",ROUND(AT284*(1-Справочники!$B$15),0))</f>
        <v/>
      </c>
      <c r="AW284" s="90" t="str">
        <f aca="false">IF(AT284="","",ROUND(AT284*(1-Справочники!$B$16),0))</f>
        <v/>
      </c>
      <c r="AX284" s="90" t="str">
        <f aca="false">IF(AT284="","",ROUND(AT284*(1-Справочники!$B$17),0))</f>
        <v/>
      </c>
      <c r="AY284" s="90" t="str">
        <f aca="false">IF(AT284="","",ROUND(AT284*(1-Справочники!$B$18),0))</f>
        <v/>
      </c>
      <c r="AZ284" s="90" t="str">
        <f aca="false">IF(AT284="","",ROUND(AT284*(1-Справочники!$B$19),0))</f>
        <v/>
      </c>
      <c r="BA284" s="81"/>
      <c r="BB284" s="81"/>
      <c r="BC284" s="81"/>
      <c r="BD284" s="81"/>
      <c r="BE284" s="91"/>
      <c r="BF284" s="81" t="s">
        <v>103</v>
      </c>
      <c r="BG284" s="89" t="n">
        <f aca="false" t="array" ref="BG284:BG284">IF(BF284="","",IFERROR(INDEX(Справочники!$B$4:$B$7,MATCH(BF284,Справочники!$A$4:$A$7,0)),""))</f>
        <v>68.5</v>
      </c>
      <c r="BH284" s="90" t="str">
        <f aca="false">IF(N(BN284)&gt;0,ROUND(SUMIF(ЗАКАЗЫ!$F$3:$F$500,$A284,ЗАКАЗЫ!$Y$3:$Y$500)/BN284,0),IF(OR(BE284="",BG284=""),"",ROUND(BE284*BG284*(1+Справочники!$B$10),0)))</f>
        <v/>
      </c>
      <c r="BI284" s="92" t="str">
        <f aca="false">IF(OR(AU284="",BH284="",AU284=0),"",(AU284-BH284)/AU284)</f>
        <v/>
      </c>
      <c r="BJ284" s="81"/>
      <c r="BK284" s="83"/>
      <c r="BL284" s="43" t="str">
        <f aca="false">IFERROR(INDEX(ЗАКАЗЫ!$N$3:$N$500,MATCH($A284,ЗАКАЗЫ!$F$3:$F$500,0)),"")</f>
        <v/>
      </c>
      <c r="BM284" s="8" t="str">
        <f aca="false">IF(BL284="","",IFERROR(VLOOKUP(BL284,'ТН ВЭД'!$A$4:$C$40,3,0),""))</f>
        <v/>
      </c>
      <c r="BN284" s="7" t="str">
        <f aca="false">IF(COUNTIF(ЗАКАЗЫ!$F$3:$F$500,$A284)=0,"",SUMIF(ЗАКАЗЫ!$F$3:$F$500,$A284,ЗАКАЗЫ!$J$3:$J$500))</f>
        <v/>
      </c>
      <c r="BO284" s="7" t="str">
        <f aca="false">IF(BN284="","",SUMIF(ЗАКАЗЫ!$F$3:$F$500,$A284,ЗАКАЗЫ!$AL$3:$AL$500))</f>
        <v/>
      </c>
      <c r="BP284" s="7" t="str">
        <f aca="false">IF(BN284="","",BN284-BO284)</f>
        <v/>
      </c>
      <c r="BQ284" s="55" t="str">
        <f aca="false">IF(BN284="","",IF(BO284&gt;=BN284,"На складе",IF(BO284&gt;0,"Частично","Ждём")))</f>
        <v/>
      </c>
      <c r="BR284" s="43"/>
      <c r="BS284" s="47" t="str">
        <f aca="false">IF(BN284="","",IF(_xlfn.MAXIFS(ЗАКАЗЫ!$AK$3:$AK$500,ЗАКАЗЫ!$F$3:$F$500,$A284)=0,"",_xlfn.MAXIFS(ЗАКАЗЫ!$AK$3:$AK$500,ЗАКАЗЫ!$F$3:$F$500,$A284)))</f>
        <v/>
      </c>
    </row>
    <row r="285" customFormat="false" ht="15.75" hidden="false" customHeight="true" outlineLevel="0" collapsed="false">
      <c r="A285" s="80" t="s">
        <v>1808</v>
      </c>
      <c r="B285" s="81"/>
      <c r="C285" s="81"/>
      <c r="D285" s="81"/>
      <c r="E285" s="83"/>
      <c r="F285" s="81"/>
      <c r="G285" s="83"/>
      <c r="H285" s="83"/>
      <c r="I285" s="84" t="str">
        <f aca="false">IF(E285="","",A285&amp;"_1.jpg")</f>
        <v/>
      </c>
      <c r="J285" s="84" t="str">
        <f aca="false">IF(E285="","",A285&amp;"_2.jpg; "&amp;A285&amp;"_3.jpg")</f>
        <v/>
      </c>
      <c r="K285" s="84" t="str">
        <f aca="false">IF(E285="","",A285&amp;"_schema.jpg")</f>
        <v/>
      </c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 t="s">
        <v>96</v>
      </c>
      <c r="W285" s="81"/>
      <c r="X285" s="81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6" t="str">
        <f aca="false">IF(SUM(Y285:AJ285)=0,"",SUM(Y285:AJ285))</f>
        <v/>
      </c>
      <c r="AL285" s="84" t="str">
        <f aca="false">MID(IF(N(Y285)&gt;0,", "&amp;Y$2,"")&amp;IF(N(Z285)&gt;0,", "&amp;Z$2,"")&amp;IF(N(AA285)&gt;0,", "&amp;AA$2,"")&amp;IF(N(AB285)&gt;0,", "&amp;AB$2,"")&amp;IF(N(AC285)&gt;0,", "&amp;AC$2,"")&amp;IF(N(AD285)&gt;0,", "&amp;AD$2,"")&amp;IF(N(AE285)&gt;0,", "&amp;AE$2,"")&amp;IF(N(AF285)&gt;0,", "&amp;AF$2,"")&amp;IF(N(AG285)&gt;0,", "&amp;AG$2,"")&amp;IF(N(AH285)&gt;0,", "&amp;AH$2,"")&amp;IF(N(AI285)&gt;0,", "&amp;AI$2,"")&amp;IF(N(AJ285)&gt;0,", "&amp;AJ$2,""),3,999)</f>
        <v/>
      </c>
      <c r="AM285" s="87" t="str">
        <f aca="false">IF(E285="","",MID(IF(N(Y285)&gt;0,", "&amp;A285&amp;"-"&amp;Y$2,"")&amp;IF(N(Z285)&gt;0,", "&amp;A285&amp;"-"&amp;Z$2,"")&amp;IF(N(AA285)&gt;0,", "&amp;A285&amp;"-"&amp;AA$2,"")&amp;IF(N(AB285)&gt;0,", "&amp;A285&amp;"-"&amp;AB$2,"")&amp;IF(N(AC285)&gt;0,", "&amp;A285&amp;"-"&amp;AC$2,"")&amp;IF(N(AD285)&gt;0,", "&amp;A285&amp;"-"&amp;AD$2,"")&amp;IF(N(AE285)&gt;0,", "&amp;A285&amp;"-"&amp;AE$2,"")&amp;IF(N(AF285)&gt;0,", "&amp;A285&amp;"-"&amp;AF$2,"")&amp;IF(N(AG285)&gt;0,", "&amp;A285&amp;"-"&amp;AG$2,"")&amp;IF(N(AH285)&gt;0,", "&amp;A285&amp;"-"&amp;AH$2,"")&amp;IF(N(AI285)&gt;0,", "&amp;A285&amp;"-"&amp;AI$2,"")&amp;IF(N(AJ285)&gt;0,", "&amp;A285&amp;"-"&amp;AJ$2,""),3,999))</f>
        <v/>
      </c>
      <c r="AN285" s="81"/>
      <c r="AO285" s="88"/>
      <c r="AP285" s="89" t="str">
        <f aca="false">IF(AO285="","",ROUND(AO285/(1+Справочники!$B$13),2))</f>
        <v/>
      </c>
      <c r="AQ285" s="90" t="str">
        <f aca="false" t="array" ref="AQ285:AQ285">IF(AP285="","",AP285*INDEX(Справочники!$B$4:$B$7,MATCH("RUB",Справочники!$A$4:$A$7,0)))</f>
        <v/>
      </c>
      <c r="AR285" s="90" t="str">
        <f aca="false">IF(AQ285="","",ROUND(AQ285*(1+Справочники!$B$12),0))</f>
        <v/>
      </c>
      <c r="AS285" s="90" t="str">
        <f aca="false">IF(AR285="","",ROUND(AR285*(1-Справочники!$B$11),0))</f>
        <v/>
      </c>
      <c r="AT285" s="88"/>
      <c r="AU285" s="90" t="str">
        <f aca="false">IF(AT285="","",ROUND(AT285/(1+Справочники!$B$12),0))</f>
        <v/>
      </c>
      <c r="AV285" s="90" t="str">
        <f aca="false">IF(AT285="","",ROUND(AT285*(1-Справочники!$B$15),0))</f>
        <v/>
      </c>
      <c r="AW285" s="90" t="str">
        <f aca="false">IF(AT285="","",ROUND(AT285*(1-Справочники!$B$16),0))</f>
        <v/>
      </c>
      <c r="AX285" s="90" t="str">
        <f aca="false">IF(AT285="","",ROUND(AT285*(1-Справочники!$B$17),0))</f>
        <v/>
      </c>
      <c r="AY285" s="90" t="str">
        <f aca="false">IF(AT285="","",ROUND(AT285*(1-Справочники!$B$18),0))</f>
        <v/>
      </c>
      <c r="AZ285" s="90" t="str">
        <f aca="false">IF(AT285="","",ROUND(AT285*(1-Справочники!$B$19),0))</f>
        <v/>
      </c>
      <c r="BA285" s="81"/>
      <c r="BB285" s="81"/>
      <c r="BC285" s="81"/>
      <c r="BD285" s="81"/>
      <c r="BE285" s="91"/>
      <c r="BF285" s="81" t="s">
        <v>103</v>
      </c>
      <c r="BG285" s="89" t="n">
        <f aca="false" t="array" ref="BG285:BG285">IF(BF285="","",IFERROR(INDEX(Справочники!$B$4:$B$7,MATCH(BF285,Справочники!$A$4:$A$7,0)),""))</f>
        <v>68.5</v>
      </c>
      <c r="BH285" s="90" t="str">
        <f aca="false">IF(N(BN285)&gt;0,ROUND(SUMIF(ЗАКАЗЫ!$F$3:$F$500,$A285,ЗАКАЗЫ!$Y$3:$Y$500)/BN285,0),IF(OR(BE285="",BG285=""),"",ROUND(BE285*BG285*(1+Справочники!$B$10),0)))</f>
        <v/>
      </c>
      <c r="BI285" s="92" t="str">
        <f aca="false">IF(OR(AU285="",BH285="",AU285=0),"",(AU285-BH285)/AU285)</f>
        <v/>
      </c>
      <c r="BJ285" s="81"/>
      <c r="BK285" s="83"/>
      <c r="BL285" s="43" t="str">
        <f aca="false">IFERROR(INDEX(ЗАКАЗЫ!$N$3:$N$500,MATCH($A285,ЗАКАЗЫ!$F$3:$F$500,0)),"")</f>
        <v/>
      </c>
      <c r="BM285" s="8" t="str">
        <f aca="false">IF(BL285="","",IFERROR(VLOOKUP(BL285,'ТН ВЭД'!$A$4:$C$40,3,0),""))</f>
        <v/>
      </c>
      <c r="BN285" s="7" t="str">
        <f aca="false">IF(COUNTIF(ЗАКАЗЫ!$F$3:$F$500,$A285)=0,"",SUMIF(ЗАКАЗЫ!$F$3:$F$500,$A285,ЗАКАЗЫ!$J$3:$J$500))</f>
        <v/>
      </c>
      <c r="BO285" s="7" t="str">
        <f aca="false">IF(BN285="","",SUMIF(ЗАКАЗЫ!$F$3:$F$500,$A285,ЗАКАЗЫ!$AL$3:$AL$500))</f>
        <v/>
      </c>
      <c r="BP285" s="7" t="str">
        <f aca="false">IF(BN285="","",BN285-BO285)</f>
        <v/>
      </c>
      <c r="BQ285" s="55" t="str">
        <f aca="false">IF(BN285="","",IF(BO285&gt;=BN285,"На складе",IF(BO285&gt;0,"Частично","Ждём")))</f>
        <v/>
      </c>
      <c r="BR285" s="43"/>
      <c r="BS285" s="47" t="str">
        <f aca="false">IF(BN285="","",IF(_xlfn.MAXIFS(ЗАКАЗЫ!$AK$3:$AK$500,ЗАКАЗЫ!$F$3:$F$500,$A285)=0,"",_xlfn.MAXIFS(ЗАКАЗЫ!$AK$3:$AK$500,ЗАКАЗЫ!$F$3:$F$500,$A285)))</f>
        <v/>
      </c>
    </row>
    <row r="286" customFormat="false" ht="15.75" hidden="false" customHeight="true" outlineLevel="0" collapsed="false">
      <c r="A286" s="80" t="s">
        <v>1809</v>
      </c>
      <c r="B286" s="81"/>
      <c r="C286" s="81"/>
      <c r="D286" s="81"/>
      <c r="E286" s="83"/>
      <c r="F286" s="81"/>
      <c r="G286" s="83"/>
      <c r="H286" s="83"/>
      <c r="I286" s="84" t="str">
        <f aca="false">IF(E286="","",A286&amp;"_1.jpg")</f>
        <v/>
      </c>
      <c r="J286" s="84" t="str">
        <f aca="false">IF(E286="","",A286&amp;"_2.jpg; "&amp;A286&amp;"_3.jpg")</f>
        <v/>
      </c>
      <c r="K286" s="84" t="str">
        <f aca="false">IF(E286="","",A286&amp;"_schema.jpg")</f>
        <v/>
      </c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 t="s">
        <v>96</v>
      </c>
      <c r="W286" s="81"/>
      <c r="X286" s="81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6" t="str">
        <f aca="false">IF(SUM(Y286:AJ286)=0,"",SUM(Y286:AJ286))</f>
        <v/>
      </c>
      <c r="AL286" s="84" t="str">
        <f aca="false">MID(IF(N(Y286)&gt;0,", "&amp;Y$2,"")&amp;IF(N(Z286)&gt;0,", "&amp;Z$2,"")&amp;IF(N(AA286)&gt;0,", "&amp;AA$2,"")&amp;IF(N(AB286)&gt;0,", "&amp;AB$2,"")&amp;IF(N(AC286)&gt;0,", "&amp;AC$2,"")&amp;IF(N(AD286)&gt;0,", "&amp;AD$2,"")&amp;IF(N(AE286)&gt;0,", "&amp;AE$2,"")&amp;IF(N(AF286)&gt;0,", "&amp;AF$2,"")&amp;IF(N(AG286)&gt;0,", "&amp;AG$2,"")&amp;IF(N(AH286)&gt;0,", "&amp;AH$2,"")&amp;IF(N(AI286)&gt;0,", "&amp;AI$2,"")&amp;IF(N(AJ286)&gt;0,", "&amp;AJ$2,""),3,999)</f>
        <v/>
      </c>
      <c r="AM286" s="87" t="str">
        <f aca="false">IF(E286="","",MID(IF(N(Y286)&gt;0,", "&amp;A286&amp;"-"&amp;Y$2,"")&amp;IF(N(Z286)&gt;0,", "&amp;A286&amp;"-"&amp;Z$2,"")&amp;IF(N(AA286)&gt;0,", "&amp;A286&amp;"-"&amp;AA$2,"")&amp;IF(N(AB286)&gt;0,", "&amp;A286&amp;"-"&amp;AB$2,"")&amp;IF(N(AC286)&gt;0,", "&amp;A286&amp;"-"&amp;AC$2,"")&amp;IF(N(AD286)&gt;0,", "&amp;A286&amp;"-"&amp;AD$2,"")&amp;IF(N(AE286)&gt;0,", "&amp;A286&amp;"-"&amp;AE$2,"")&amp;IF(N(AF286)&gt;0,", "&amp;A286&amp;"-"&amp;AF$2,"")&amp;IF(N(AG286)&gt;0,", "&amp;A286&amp;"-"&amp;AG$2,"")&amp;IF(N(AH286)&gt;0,", "&amp;A286&amp;"-"&amp;AH$2,"")&amp;IF(N(AI286)&gt;0,", "&amp;A286&amp;"-"&amp;AI$2,"")&amp;IF(N(AJ286)&gt;0,", "&amp;A286&amp;"-"&amp;AJ$2,""),3,999))</f>
        <v/>
      </c>
      <c r="AN286" s="81"/>
      <c r="AO286" s="88"/>
      <c r="AP286" s="89" t="str">
        <f aca="false">IF(AO286="","",ROUND(AO286/(1+Справочники!$B$13),2))</f>
        <v/>
      </c>
      <c r="AQ286" s="90" t="str">
        <f aca="false" t="array" ref="AQ286:AQ286">IF(AP286="","",AP286*INDEX(Справочники!$B$4:$B$7,MATCH("RUB",Справочники!$A$4:$A$7,0)))</f>
        <v/>
      </c>
      <c r="AR286" s="90" t="str">
        <f aca="false">IF(AQ286="","",ROUND(AQ286*(1+Справочники!$B$12),0))</f>
        <v/>
      </c>
      <c r="AS286" s="90" t="str">
        <f aca="false">IF(AR286="","",ROUND(AR286*(1-Справочники!$B$11),0))</f>
        <v/>
      </c>
      <c r="AT286" s="88"/>
      <c r="AU286" s="90" t="str">
        <f aca="false">IF(AT286="","",ROUND(AT286/(1+Справочники!$B$12),0))</f>
        <v/>
      </c>
      <c r="AV286" s="90" t="str">
        <f aca="false">IF(AT286="","",ROUND(AT286*(1-Справочники!$B$15),0))</f>
        <v/>
      </c>
      <c r="AW286" s="90" t="str">
        <f aca="false">IF(AT286="","",ROUND(AT286*(1-Справочники!$B$16),0))</f>
        <v/>
      </c>
      <c r="AX286" s="90" t="str">
        <f aca="false">IF(AT286="","",ROUND(AT286*(1-Справочники!$B$17),0))</f>
        <v/>
      </c>
      <c r="AY286" s="90" t="str">
        <f aca="false">IF(AT286="","",ROUND(AT286*(1-Справочники!$B$18),0))</f>
        <v/>
      </c>
      <c r="AZ286" s="90" t="str">
        <f aca="false">IF(AT286="","",ROUND(AT286*(1-Справочники!$B$19),0))</f>
        <v/>
      </c>
      <c r="BA286" s="81"/>
      <c r="BB286" s="81"/>
      <c r="BC286" s="81"/>
      <c r="BD286" s="81"/>
      <c r="BE286" s="91"/>
      <c r="BF286" s="81" t="s">
        <v>103</v>
      </c>
      <c r="BG286" s="89" t="n">
        <f aca="false" t="array" ref="BG286:BG286">IF(BF286="","",IFERROR(INDEX(Справочники!$B$4:$B$7,MATCH(BF286,Справочники!$A$4:$A$7,0)),""))</f>
        <v>68.5</v>
      </c>
      <c r="BH286" s="90" t="str">
        <f aca="false">IF(N(BN286)&gt;0,ROUND(SUMIF(ЗАКАЗЫ!$F$3:$F$500,$A286,ЗАКАЗЫ!$Y$3:$Y$500)/BN286,0),IF(OR(BE286="",BG286=""),"",ROUND(BE286*BG286*(1+Справочники!$B$10),0)))</f>
        <v/>
      </c>
      <c r="BI286" s="92" t="str">
        <f aca="false">IF(OR(AU286="",BH286="",AU286=0),"",(AU286-BH286)/AU286)</f>
        <v/>
      </c>
      <c r="BJ286" s="81"/>
      <c r="BK286" s="83"/>
      <c r="BL286" s="43" t="str">
        <f aca="false">IFERROR(INDEX(ЗАКАЗЫ!$N$3:$N$500,MATCH($A286,ЗАКАЗЫ!$F$3:$F$500,0)),"")</f>
        <v/>
      </c>
      <c r="BM286" s="8" t="str">
        <f aca="false">IF(BL286="","",IFERROR(VLOOKUP(BL286,'ТН ВЭД'!$A$4:$C$40,3,0),""))</f>
        <v/>
      </c>
      <c r="BN286" s="7" t="str">
        <f aca="false">IF(COUNTIF(ЗАКАЗЫ!$F$3:$F$500,$A286)=0,"",SUMIF(ЗАКАЗЫ!$F$3:$F$500,$A286,ЗАКАЗЫ!$J$3:$J$500))</f>
        <v/>
      </c>
      <c r="BO286" s="7" t="str">
        <f aca="false">IF(BN286="","",SUMIF(ЗАКАЗЫ!$F$3:$F$500,$A286,ЗАКАЗЫ!$AL$3:$AL$500))</f>
        <v/>
      </c>
      <c r="BP286" s="7" t="str">
        <f aca="false">IF(BN286="","",BN286-BO286)</f>
        <v/>
      </c>
      <c r="BQ286" s="55" t="str">
        <f aca="false">IF(BN286="","",IF(BO286&gt;=BN286,"На складе",IF(BO286&gt;0,"Частично","Ждём")))</f>
        <v/>
      </c>
      <c r="BR286" s="43"/>
      <c r="BS286" s="47" t="str">
        <f aca="false">IF(BN286="","",IF(_xlfn.MAXIFS(ЗАКАЗЫ!$AK$3:$AK$500,ЗАКАЗЫ!$F$3:$F$500,$A286)=0,"",_xlfn.MAXIFS(ЗАКАЗЫ!$AK$3:$AK$500,ЗАКАЗЫ!$F$3:$F$500,$A286)))</f>
        <v/>
      </c>
    </row>
    <row r="287" customFormat="false" ht="15.75" hidden="false" customHeight="true" outlineLevel="0" collapsed="false">
      <c r="A287" s="80" t="s">
        <v>1810</v>
      </c>
      <c r="B287" s="81"/>
      <c r="C287" s="81"/>
      <c r="D287" s="81"/>
      <c r="E287" s="83"/>
      <c r="F287" s="81"/>
      <c r="G287" s="83"/>
      <c r="H287" s="83"/>
      <c r="I287" s="84" t="str">
        <f aca="false">IF(E287="","",A287&amp;"_1.jpg")</f>
        <v/>
      </c>
      <c r="J287" s="84" t="str">
        <f aca="false">IF(E287="","",A287&amp;"_2.jpg; "&amp;A287&amp;"_3.jpg")</f>
        <v/>
      </c>
      <c r="K287" s="84" t="str">
        <f aca="false">IF(E287="","",A287&amp;"_schema.jpg")</f>
        <v/>
      </c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 t="s">
        <v>96</v>
      </c>
      <c r="W287" s="81"/>
      <c r="X287" s="81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6" t="str">
        <f aca="false">IF(SUM(Y287:AJ287)=0,"",SUM(Y287:AJ287))</f>
        <v/>
      </c>
      <c r="AL287" s="84" t="str">
        <f aca="false">MID(IF(N(Y287)&gt;0,", "&amp;Y$2,"")&amp;IF(N(Z287)&gt;0,", "&amp;Z$2,"")&amp;IF(N(AA287)&gt;0,", "&amp;AA$2,"")&amp;IF(N(AB287)&gt;0,", "&amp;AB$2,"")&amp;IF(N(AC287)&gt;0,", "&amp;AC$2,"")&amp;IF(N(AD287)&gt;0,", "&amp;AD$2,"")&amp;IF(N(AE287)&gt;0,", "&amp;AE$2,"")&amp;IF(N(AF287)&gt;0,", "&amp;AF$2,"")&amp;IF(N(AG287)&gt;0,", "&amp;AG$2,"")&amp;IF(N(AH287)&gt;0,", "&amp;AH$2,"")&amp;IF(N(AI287)&gt;0,", "&amp;AI$2,"")&amp;IF(N(AJ287)&gt;0,", "&amp;AJ$2,""),3,999)</f>
        <v/>
      </c>
      <c r="AM287" s="87" t="str">
        <f aca="false">IF(E287="","",MID(IF(N(Y287)&gt;0,", "&amp;A287&amp;"-"&amp;Y$2,"")&amp;IF(N(Z287)&gt;0,", "&amp;A287&amp;"-"&amp;Z$2,"")&amp;IF(N(AA287)&gt;0,", "&amp;A287&amp;"-"&amp;AA$2,"")&amp;IF(N(AB287)&gt;0,", "&amp;A287&amp;"-"&amp;AB$2,"")&amp;IF(N(AC287)&gt;0,", "&amp;A287&amp;"-"&amp;AC$2,"")&amp;IF(N(AD287)&gt;0,", "&amp;A287&amp;"-"&amp;AD$2,"")&amp;IF(N(AE287)&gt;0,", "&amp;A287&amp;"-"&amp;AE$2,"")&amp;IF(N(AF287)&gt;0,", "&amp;A287&amp;"-"&amp;AF$2,"")&amp;IF(N(AG287)&gt;0,", "&amp;A287&amp;"-"&amp;AG$2,"")&amp;IF(N(AH287)&gt;0,", "&amp;A287&amp;"-"&amp;AH$2,"")&amp;IF(N(AI287)&gt;0,", "&amp;A287&amp;"-"&amp;AI$2,"")&amp;IF(N(AJ287)&gt;0,", "&amp;A287&amp;"-"&amp;AJ$2,""),3,999))</f>
        <v/>
      </c>
      <c r="AN287" s="81"/>
      <c r="AO287" s="88"/>
      <c r="AP287" s="89" t="str">
        <f aca="false">IF(AO287="","",ROUND(AO287/(1+Справочники!$B$13),2))</f>
        <v/>
      </c>
      <c r="AQ287" s="90" t="str">
        <f aca="false" t="array" ref="AQ287:AQ287">IF(AP287="","",AP287*INDEX(Справочники!$B$4:$B$7,MATCH("RUB",Справочники!$A$4:$A$7,0)))</f>
        <v/>
      </c>
      <c r="AR287" s="90" t="str">
        <f aca="false">IF(AQ287="","",ROUND(AQ287*(1+Справочники!$B$12),0))</f>
        <v/>
      </c>
      <c r="AS287" s="90" t="str">
        <f aca="false">IF(AR287="","",ROUND(AR287*(1-Справочники!$B$11),0))</f>
        <v/>
      </c>
      <c r="AT287" s="88"/>
      <c r="AU287" s="90" t="str">
        <f aca="false">IF(AT287="","",ROUND(AT287/(1+Справочники!$B$12),0))</f>
        <v/>
      </c>
      <c r="AV287" s="90" t="str">
        <f aca="false">IF(AT287="","",ROUND(AT287*(1-Справочники!$B$15),0))</f>
        <v/>
      </c>
      <c r="AW287" s="90" t="str">
        <f aca="false">IF(AT287="","",ROUND(AT287*(1-Справочники!$B$16),0))</f>
        <v/>
      </c>
      <c r="AX287" s="90" t="str">
        <f aca="false">IF(AT287="","",ROUND(AT287*(1-Справочники!$B$17),0))</f>
        <v/>
      </c>
      <c r="AY287" s="90" t="str">
        <f aca="false">IF(AT287="","",ROUND(AT287*(1-Справочники!$B$18),0))</f>
        <v/>
      </c>
      <c r="AZ287" s="90" t="str">
        <f aca="false">IF(AT287="","",ROUND(AT287*(1-Справочники!$B$19),0))</f>
        <v/>
      </c>
      <c r="BA287" s="81"/>
      <c r="BB287" s="81"/>
      <c r="BC287" s="81"/>
      <c r="BD287" s="81"/>
      <c r="BE287" s="91"/>
      <c r="BF287" s="81" t="s">
        <v>103</v>
      </c>
      <c r="BG287" s="89" t="n">
        <f aca="false" t="array" ref="BG287:BG287">IF(BF287="","",IFERROR(INDEX(Справочники!$B$4:$B$7,MATCH(BF287,Справочники!$A$4:$A$7,0)),""))</f>
        <v>68.5</v>
      </c>
      <c r="BH287" s="90" t="str">
        <f aca="false">IF(N(BN287)&gt;0,ROUND(SUMIF(ЗАКАЗЫ!$F$3:$F$500,$A287,ЗАКАЗЫ!$Y$3:$Y$500)/BN287,0),IF(OR(BE287="",BG287=""),"",ROUND(BE287*BG287*(1+Справочники!$B$10),0)))</f>
        <v/>
      </c>
      <c r="BI287" s="92" t="str">
        <f aca="false">IF(OR(AU287="",BH287="",AU287=0),"",(AU287-BH287)/AU287)</f>
        <v/>
      </c>
      <c r="BJ287" s="81"/>
      <c r="BK287" s="83"/>
      <c r="BL287" s="43" t="str">
        <f aca="false">IFERROR(INDEX(ЗАКАЗЫ!$N$3:$N$500,MATCH($A287,ЗАКАЗЫ!$F$3:$F$500,0)),"")</f>
        <v/>
      </c>
      <c r="BM287" s="8" t="str">
        <f aca="false">IF(BL287="","",IFERROR(VLOOKUP(BL287,'ТН ВЭД'!$A$4:$C$40,3,0),""))</f>
        <v/>
      </c>
      <c r="BN287" s="7" t="str">
        <f aca="false">IF(COUNTIF(ЗАКАЗЫ!$F$3:$F$500,$A287)=0,"",SUMIF(ЗАКАЗЫ!$F$3:$F$500,$A287,ЗАКАЗЫ!$J$3:$J$500))</f>
        <v/>
      </c>
      <c r="BO287" s="7" t="str">
        <f aca="false">IF(BN287="","",SUMIF(ЗАКАЗЫ!$F$3:$F$500,$A287,ЗАКАЗЫ!$AL$3:$AL$500))</f>
        <v/>
      </c>
      <c r="BP287" s="7" t="str">
        <f aca="false">IF(BN287="","",BN287-BO287)</f>
        <v/>
      </c>
      <c r="BQ287" s="55" t="str">
        <f aca="false">IF(BN287="","",IF(BO287&gt;=BN287,"На складе",IF(BO287&gt;0,"Частично","Ждём")))</f>
        <v/>
      </c>
      <c r="BR287" s="43"/>
      <c r="BS287" s="47" t="str">
        <f aca="false">IF(BN287="","",IF(_xlfn.MAXIFS(ЗАКАЗЫ!$AK$3:$AK$500,ЗАКАЗЫ!$F$3:$F$500,$A287)=0,"",_xlfn.MAXIFS(ЗАКАЗЫ!$AK$3:$AK$500,ЗАКАЗЫ!$F$3:$F$500,$A287)))</f>
        <v/>
      </c>
    </row>
    <row r="288" customFormat="false" ht="15.75" hidden="false" customHeight="true" outlineLevel="0" collapsed="false">
      <c r="A288" s="80" t="s">
        <v>1811</v>
      </c>
      <c r="B288" s="81"/>
      <c r="C288" s="81"/>
      <c r="D288" s="81"/>
      <c r="E288" s="83"/>
      <c r="F288" s="81"/>
      <c r="G288" s="83"/>
      <c r="H288" s="83"/>
      <c r="I288" s="84" t="str">
        <f aca="false">IF(E288="","",A288&amp;"_1.jpg")</f>
        <v/>
      </c>
      <c r="J288" s="84" t="str">
        <f aca="false">IF(E288="","",A288&amp;"_2.jpg; "&amp;A288&amp;"_3.jpg")</f>
        <v/>
      </c>
      <c r="K288" s="84" t="str">
        <f aca="false">IF(E288="","",A288&amp;"_schema.jpg")</f>
        <v/>
      </c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 t="s">
        <v>96</v>
      </c>
      <c r="W288" s="81"/>
      <c r="X288" s="81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6" t="str">
        <f aca="false">IF(SUM(Y288:AJ288)=0,"",SUM(Y288:AJ288))</f>
        <v/>
      </c>
      <c r="AL288" s="84" t="str">
        <f aca="false">MID(IF(N(Y288)&gt;0,", "&amp;Y$2,"")&amp;IF(N(Z288)&gt;0,", "&amp;Z$2,"")&amp;IF(N(AA288)&gt;0,", "&amp;AA$2,"")&amp;IF(N(AB288)&gt;0,", "&amp;AB$2,"")&amp;IF(N(AC288)&gt;0,", "&amp;AC$2,"")&amp;IF(N(AD288)&gt;0,", "&amp;AD$2,"")&amp;IF(N(AE288)&gt;0,", "&amp;AE$2,"")&amp;IF(N(AF288)&gt;0,", "&amp;AF$2,"")&amp;IF(N(AG288)&gt;0,", "&amp;AG$2,"")&amp;IF(N(AH288)&gt;0,", "&amp;AH$2,"")&amp;IF(N(AI288)&gt;0,", "&amp;AI$2,"")&amp;IF(N(AJ288)&gt;0,", "&amp;AJ$2,""),3,999)</f>
        <v/>
      </c>
      <c r="AM288" s="87" t="str">
        <f aca="false">IF(E288="","",MID(IF(N(Y288)&gt;0,", "&amp;A288&amp;"-"&amp;Y$2,"")&amp;IF(N(Z288)&gt;0,", "&amp;A288&amp;"-"&amp;Z$2,"")&amp;IF(N(AA288)&gt;0,", "&amp;A288&amp;"-"&amp;AA$2,"")&amp;IF(N(AB288)&gt;0,", "&amp;A288&amp;"-"&amp;AB$2,"")&amp;IF(N(AC288)&gt;0,", "&amp;A288&amp;"-"&amp;AC$2,"")&amp;IF(N(AD288)&gt;0,", "&amp;A288&amp;"-"&amp;AD$2,"")&amp;IF(N(AE288)&gt;0,", "&amp;A288&amp;"-"&amp;AE$2,"")&amp;IF(N(AF288)&gt;0,", "&amp;A288&amp;"-"&amp;AF$2,"")&amp;IF(N(AG288)&gt;0,", "&amp;A288&amp;"-"&amp;AG$2,"")&amp;IF(N(AH288)&gt;0,", "&amp;A288&amp;"-"&amp;AH$2,"")&amp;IF(N(AI288)&gt;0,", "&amp;A288&amp;"-"&amp;AI$2,"")&amp;IF(N(AJ288)&gt;0,", "&amp;A288&amp;"-"&amp;AJ$2,""),3,999))</f>
        <v/>
      </c>
      <c r="AN288" s="81"/>
      <c r="AO288" s="88"/>
      <c r="AP288" s="89" t="str">
        <f aca="false">IF(AO288="","",ROUND(AO288/(1+Справочники!$B$13),2))</f>
        <v/>
      </c>
      <c r="AQ288" s="90" t="str">
        <f aca="false" t="array" ref="AQ288:AQ288">IF(AP288="","",AP288*INDEX(Справочники!$B$4:$B$7,MATCH("RUB",Справочники!$A$4:$A$7,0)))</f>
        <v/>
      </c>
      <c r="AR288" s="90" t="str">
        <f aca="false">IF(AQ288="","",ROUND(AQ288*(1+Справочники!$B$12),0))</f>
        <v/>
      </c>
      <c r="AS288" s="90" t="str">
        <f aca="false">IF(AR288="","",ROUND(AR288*(1-Справочники!$B$11),0))</f>
        <v/>
      </c>
      <c r="AT288" s="88"/>
      <c r="AU288" s="90" t="str">
        <f aca="false">IF(AT288="","",ROUND(AT288/(1+Справочники!$B$12),0))</f>
        <v/>
      </c>
      <c r="AV288" s="90" t="str">
        <f aca="false">IF(AT288="","",ROUND(AT288*(1-Справочники!$B$15),0))</f>
        <v/>
      </c>
      <c r="AW288" s="90" t="str">
        <f aca="false">IF(AT288="","",ROUND(AT288*(1-Справочники!$B$16),0))</f>
        <v/>
      </c>
      <c r="AX288" s="90" t="str">
        <f aca="false">IF(AT288="","",ROUND(AT288*(1-Справочники!$B$17),0))</f>
        <v/>
      </c>
      <c r="AY288" s="90" t="str">
        <f aca="false">IF(AT288="","",ROUND(AT288*(1-Справочники!$B$18),0))</f>
        <v/>
      </c>
      <c r="AZ288" s="90" t="str">
        <f aca="false">IF(AT288="","",ROUND(AT288*(1-Справочники!$B$19),0))</f>
        <v/>
      </c>
      <c r="BA288" s="81"/>
      <c r="BB288" s="81"/>
      <c r="BC288" s="81"/>
      <c r="BD288" s="81"/>
      <c r="BE288" s="91"/>
      <c r="BF288" s="81" t="s">
        <v>103</v>
      </c>
      <c r="BG288" s="89" t="n">
        <f aca="false" t="array" ref="BG288:BG288">IF(BF288="","",IFERROR(INDEX(Справочники!$B$4:$B$7,MATCH(BF288,Справочники!$A$4:$A$7,0)),""))</f>
        <v>68.5</v>
      </c>
      <c r="BH288" s="90" t="str">
        <f aca="false">IF(N(BN288)&gt;0,ROUND(SUMIF(ЗАКАЗЫ!$F$3:$F$500,$A288,ЗАКАЗЫ!$Y$3:$Y$500)/BN288,0),IF(OR(BE288="",BG288=""),"",ROUND(BE288*BG288*(1+Справочники!$B$10),0)))</f>
        <v/>
      </c>
      <c r="BI288" s="92" t="str">
        <f aca="false">IF(OR(AU288="",BH288="",AU288=0),"",(AU288-BH288)/AU288)</f>
        <v/>
      </c>
      <c r="BJ288" s="81"/>
      <c r="BK288" s="83"/>
      <c r="BL288" s="43" t="str">
        <f aca="false">IFERROR(INDEX(ЗАКАЗЫ!$N$3:$N$500,MATCH($A288,ЗАКАЗЫ!$F$3:$F$500,0)),"")</f>
        <v/>
      </c>
      <c r="BM288" s="8" t="str">
        <f aca="false">IF(BL288="","",IFERROR(VLOOKUP(BL288,'ТН ВЭД'!$A$4:$C$40,3,0),""))</f>
        <v/>
      </c>
      <c r="BN288" s="7" t="str">
        <f aca="false">IF(COUNTIF(ЗАКАЗЫ!$F$3:$F$500,$A288)=0,"",SUMIF(ЗАКАЗЫ!$F$3:$F$500,$A288,ЗАКАЗЫ!$J$3:$J$500))</f>
        <v/>
      </c>
      <c r="BO288" s="7" t="str">
        <f aca="false">IF(BN288="","",SUMIF(ЗАКАЗЫ!$F$3:$F$500,$A288,ЗАКАЗЫ!$AL$3:$AL$500))</f>
        <v/>
      </c>
      <c r="BP288" s="7" t="str">
        <f aca="false">IF(BN288="","",BN288-BO288)</f>
        <v/>
      </c>
      <c r="BQ288" s="55" t="str">
        <f aca="false">IF(BN288="","",IF(BO288&gt;=BN288,"На складе",IF(BO288&gt;0,"Частично","Ждём")))</f>
        <v/>
      </c>
      <c r="BR288" s="43"/>
      <c r="BS288" s="47" t="str">
        <f aca="false">IF(BN288="","",IF(_xlfn.MAXIFS(ЗАКАЗЫ!$AK$3:$AK$500,ЗАКАЗЫ!$F$3:$F$500,$A288)=0,"",_xlfn.MAXIFS(ЗАКАЗЫ!$AK$3:$AK$500,ЗАКАЗЫ!$F$3:$F$500,$A288)))</f>
        <v/>
      </c>
    </row>
    <row r="289" customFormat="false" ht="15.75" hidden="false" customHeight="true" outlineLevel="0" collapsed="false">
      <c r="A289" s="80" t="s">
        <v>1812</v>
      </c>
      <c r="B289" s="81"/>
      <c r="C289" s="81"/>
      <c r="D289" s="81"/>
      <c r="E289" s="83"/>
      <c r="F289" s="81"/>
      <c r="G289" s="83"/>
      <c r="H289" s="83"/>
      <c r="I289" s="84" t="str">
        <f aca="false">IF(E289="","",A289&amp;"_1.jpg")</f>
        <v/>
      </c>
      <c r="J289" s="84" t="str">
        <f aca="false">IF(E289="","",A289&amp;"_2.jpg; "&amp;A289&amp;"_3.jpg")</f>
        <v/>
      </c>
      <c r="K289" s="84" t="str">
        <f aca="false">IF(E289="","",A289&amp;"_schema.jpg")</f>
        <v/>
      </c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 t="s">
        <v>96</v>
      </c>
      <c r="W289" s="81"/>
      <c r="X289" s="81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6" t="str">
        <f aca="false">IF(SUM(Y289:AJ289)=0,"",SUM(Y289:AJ289))</f>
        <v/>
      </c>
      <c r="AL289" s="84" t="str">
        <f aca="false">MID(IF(N(Y289)&gt;0,", "&amp;Y$2,"")&amp;IF(N(Z289)&gt;0,", "&amp;Z$2,"")&amp;IF(N(AA289)&gt;0,", "&amp;AA$2,"")&amp;IF(N(AB289)&gt;0,", "&amp;AB$2,"")&amp;IF(N(AC289)&gt;0,", "&amp;AC$2,"")&amp;IF(N(AD289)&gt;0,", "&amp;AD$2,"")&amp;IF(N(AE289)&gt;0,", "&amp;AE$2,"")&amp;IF(N(AF289)&gt;0,", "&amp;AF$2,"")&amp;IF(N(AG289)&gt;0,", "&amp;AG$2,"")&amp;IF(N(AH289)&gt;0,", "&amp;AH$2,"")&amp;IF(N(AI289)&gt;0,", "&amp;AI$2,"")&amp;IF(N(AJ289)&gt;0,", "&amp;AJ$2,""),3,999)</f>
        <v/>
      </c>
      <c r="AM289" s="87" t="str">
        <f aca="false">IF(E289="","",MID(IF(N(Y289)&gt;0,", "&amp;A289&amp;"-"&amp;Y$2,"")&amp;IF(N(Z289)&gt;0,", "&amp;A289&amp;"-"&amp;Z$2,"")&amp;IF(N(AA289)&gt;0,", "&amp;A289&amp;"-"&amp;AA$2,"")&amp;IF(N(AB289)&gt;0,", "&amp;A289&amp;"-"&amp;AB$2,"")&amp;IF(N(AC289)&gt;0,", "&amp;A289&amp;"-"&amp;AC$2,"")&amp;IF(N(AD289)&gt;0,", "&amp;A289&amp;"-"&amp;AD$2,"")&amp;IF(N(AE289)&gt;0,", "&amp;A289&amp;"-"&amp;AE$2,"")&amp;IF(N(AF289)&gt;0,", "&amp;A289&amp;"-"&amp;AF$2,"")&amp;IF(N(AG289)&gt;0,", "&amp;A289&amp;"-"&amp;AG$2,"")&amp;IF(N(AH289)&gt;0,", "&amp;A289&amp;"-"&amp;AH$2,"")&amp;IF(N(AI289)&gt;0,", "&amp;A289&amp;"-"&amp;AI$2,"")&amp;IF(N(AJ289)&gt;0,", "&amp;A289&amp;"-"&amp;AJ$2,""),3,999))</f>
        <v/>
      </c>
      <c r="AN289" s="81"/>
      <c r="AO289" s="88"/>
      <c r="AP289" s="89" t="str">
        <f aca="false">IF(AO289="","",ROUND(AO289/(1+Справочники!$B$13),2))</f>
        <v/>
      </c>
      <c r="AQ289" s="90" t="str">
        <f aca="false" t="array" ref="AQ289:AQ289">IF(AP289="","",AP289*INDEX(Справочники!$B$4:$B$7,MATCH("RUB",Справочники!$A$4:$A$7,0)))</f>
        <v/>
      </c>
      <c r="AR289" s="90" t="str">
        <f aca="false">IF(AQ289="","",ROUND(AQ289*(1+Справочники!$B$12),0))</f>
        <v/>
      </c>
      <c r="AS289" s="90" t="str">
        <f aca="false">IF(AR289="","",ROUND(AR289*(1-Справочники!$B$11),0))</f>
        <v/>
      </c>
      <c r="AT289" s="88"/>
      <c r="AU289" s="90" t="str">
        <f aca="false">IF(AT289="","",ROUND(AT289/(1+Справочники!$B$12),0))</f>
        <v/>
      </c>
      <c r="AV289" s="90" t="str">
        <f aca="false">IF(AT289="","",ROUND(AT289*(1-Справочники!$B$15),0))</f>
        <v/>
      </c>
      <c r="AW289" s="90" t="str">
        <f aca="false">IF(AT289="","",ROUND(AT289*(1-Справочники!$B$16),0))</f>
        <v/>
      </c>
      <c r="AX289" s="90" t="str">
        <f aca="false">IF(AT289="","",ROUND(AT289*(1-Справочники!$B$17),0))</f>
        <v/>
      </c>
      <c r="AY289" s="90" t="str">
        <f aca="false">IF(AT289="","",ROUND(AT289*(1-Справочники!$B$18),0))</f>
        <v/>
      </c>
      <c r="AZ289" s="90" t="str">
        <f aca="false">IF(AT289="","",ROUND(AT289*(1-Справочники!$B$19),0))</f>
        <v/>
      </c>
      <c r="BA289" s="81"/>
      <c r="BB289" s="81"/>
      <c r="BC289" s="81"/>
      <c r="BD289" s="81"/>
      <c r="BE289" s="91"/>
      <c r="BF289" s="81" t="s">
        <v>103</v>
      </c>
      <c r="BG289" s="89" t="n">
        <f aca="false" t="array" ref="BG289:BG289">IF(BF289="","",IFERROR(INDEX(Справочники!$B$4:$B$7,MATCH(BF289,Справочники!$A$4:$A$7,0)),""))</f>
        <v>68.5</v>
      </c>
      <c r="BH289" s="90" t="str">
        <f aca="false">IF(N(BN289)&gt;0,ROUND(SUMIF(ЗАКАЗЫ!$F$3:$F$500,$A289,ЗАКАЗЫ!$Y$3:$Y$500)/BN289,0),IF(OR(BE289="",BG289=""),"",ROUND(BE289*BG289*(1+Справочники!$B$10),0)))</f>
        <v/>
      </c>
      <c r="BI289" s="92" t="str">
        <f aca="false">IF(OR(AU289="",BH289="",AU289=0),"",(AU289-BH289)/AU289)</f>
        <v/>
      </c>
      <c r="BJ289" s="81"/>
      <c r="BK289" s="83"/>
      <c r="BL289" s="43" t="str">
        <f aca="false">IFERROR(INDEX(ЗАКАЗЫ!$N$3:$N$500,MATCH($A289,ЗАКАЗЫ!$F$3:$F$500,0)),"")</f>
        <v/>
      </c>
      <c r="BM289" s="8" t="str">
        <f aca="false">IF(BL289="","",IFERROR(VLOOKUP(BL289,'ТН ВЭД'!$A$4:$C$40,3,0),""))</f>
        <v/>
      </c>
      <c r="BN289" s="7" t="str">
        <f aca="false">IF(COUNTIF(ЗАКАЗЫ!$F$3:$F$500,$A289)=0,"",SUMIF(ЗАКАЗЫ!$F$3:$F$500,$A289,ЗАКАЗЫ!$J$3:$J$500))</f>
        <v/>
      </c>
      <c r="BO289" s="7" t="str">
        <f aca="false">IF(BN289="","",SUMIF(ЗАКАЗЫ!$F$3:$F$500,$A289,ЗАКАЗЫ!$AL$3:$AL$500))</f>
        <v/>
      </c>
      <c r="BP289" s="7" t="str">
        <f aca="false">IF(BN289="","",BN289-BO289)</f>
        <v/>
      </c>
      <c r="BQ289" s="55" t="str">
        <f aca="false">IF(BN289="","",IF(BO289&gt;=BN289,"На складе",IF(BO289&gt;0,"Частично","Ждём")))</f>
        <v/>
      </c>
      <c r="BR289" s="43"/>
      <c r="BS289" s="47" t="str">
        <f aca="false">IF(BN289="","",IF(_xlfn.MAXIFS(ЗАКАЗЫ!$AK$3:$AK$500,ЗАКАЗЫ!$F$3:$F$500,$A289)=0,"",_xlfn.MAXIFS(ЗАКАЗЫ!$AK$3:$AK$500,ЗАКАЗЫ!$F$3:$F$500,$A289)))</f>
        <v/>
      </c>
    </row>
    <row r="290" customFormat="false" ht="15.75" hidden="false" customHeight="true" outlineLevel="0" collapsed="false">
      <c r="A290" s="80" t="s">
        <v>1813</v>
      </c>
      <c r="B290" s="81"/>
      <c r="C290" s="81"/>
      <c r="D290" s="81"/>
      <c r="E290" s="83"/>
      <c r="F290" s="81"/>
      <c r="G290" s="83"/>
      <c r="H290" s="83"/>
      <c r="I290" s="84" t="str">
        <f aca="false">IF(E290="","",A290&amp;"_1.jpg")</f>
        <v/>
      </c>
      <c r="J290" s="84" t="str">
        <f aca="false">IF(E290="","",A290&amp;"_2.jpg; "&amp;A290&amp;"_3.jpg")</f>
        <v/>
      </c>
      <c r="K290" s="84" t="str">
        <f aca="false">IF(E290="","",A290&amp;"_schema.jpg")</f>
        <v/>
      </c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 t="s">
        <v>96</v>
      </c>
      <c r="W290" s="81"/>
      <c r="X290" s="81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6" t="str">
        <f aca="false">IF(SUM(Y290:AJ290)=0,"",SUM(Y290:AJ290))</f>
        <v/>
      </c>
      <c r="AL290" s="84" t="str">
        <f aca="false">MID(IF(N(Y290)&gt;0,", "&amp;Y$2,"")&amp;IF(N(Z290)&gt;0,", "&amp;Z$2,"")&amp;IF(N(AA290)&gt;0,", "&amp;AA$2,"")&amp;IF(N(AB290)&gt;0,", "&amp;AB$2,"")&amp;IF(N(AC290)&gt;0,", "&amp;AC$2,"")&amp;IF(N(AD290)&gt;0,", "&amp;AD$2,"")&amp;IF(N(AE290)&gt;0,", "&amp;AE$2,"")&amp;IF(N(AF290)&gt;0,", "&amp;AF$2,"")&amp;IF(N(AG290)&gt;0,", "&amp;AG$2,"")&amp;IF(N(AH290)&gt;0,", "&amp;AH$2,"")&amp;IF(N(AI290)&gt;0,", "&amp;AI$2,"")&amp;IF(N(AJ290)&gt;0,", "&amp;AJ$2,""),3,999)</f>
        <v/>
      </c>
      <c r="AM290" s="87" t="str">
        <f aca="false">IF(E290="","",MID(IF(N(Y290)&gt;0,", "&amp;A290&amp;"-"&amp;Y$2,"")&amp;IF(N(Z290)&gt;0,", "&amp;A290&amp;"-"&amp;Z$2,"")&amp;IF(N(AA290)&gt;0,", "&amp;A290&amp;"-"&amp;AA$2,"")&amp;IF(N(AB290)&gt;0,", "&amp;A290&amp;"-"&amp;AB$2,"")&amp;IF(N(AC290)&gt;0,", "&amp;A290&amp;"-"&amp;AC$2,"")&amp;IF(N(AD290)&gt;0,", "&amp;A290&amp;"-"&amp;AD$2,"")&amp;IF(N(AE290)&gt;0,", "&amp;A290&amp;"-"&amp;AE$2,"")&amp;IF(N(AF290)&gt;0,", "&amp;A290&amp;"-"&amp;AF$2,"")&amp;IF(N(AG290)&gt;0,", "&amp;A290&amp;"-"&amp;AG$2,"")&amp;IF(N(AH290)&gt;0,", "&amp;A290&amp;"-"&amp;AH$2,"")&amp;IF(N(AI290)&gt;0,", "&amp;A290&amp;"-"&amp;AI$2,"")&amp;IF(N(AJ290)&gt;0,", "&amp;A290&amp;"-"&amp;AJ$2,""),3,999))</f>
        <v/>
      </c>
      <c r="AN290" s="81"/>
      <c r="AO290" s="88"/>
      <c r="AP290" s="89" t="str">
        <f aca="false">IF(AO290="","",ROUND(AO290/(1+Справочники!$B$13),2))</f>
        <v/>
      </c>
      <c r="AQ290" s="90" t="str">
        <f aca="false" t="array" ref="AQ290:AQ290">IF(AP290="","",AP290*INDEX(Справочники!$B$4:$B$7,MATCH("RUB",Справочники!$A$4:$A$7,0)))</f>
        <v/>
      </c>
      <c r="AR290" s="90" t="str">
        <f aca="false">IF(AQ290="","",ROUND(AQ290*(1+Справочники!$B$12),0))</f>
        <v/>
      </c>
      <c r="AS290" s="90" t="str">
        <f aca="false">IF(AR290="","",ROUND(AR290*(1-Справочники!$B$11),0))</f>
        <v/>
      </c>
      <c r="AT290" s="88"/>
      <c r="AU290" s="90" t="str">
        <f aca="false">IF(AT290="","",ROUND(AT290/(1+Справочники!$B$12),0))</f>
        <v/>
      </c>
      <c r="AV290" s="90" t="str">
        <f aca="false">IF(AT290="","",ROUND(AT290*(1-Справочники!$B$15),0))</f>
        <v/>
      </c>
      <c r="AW290" s="90" t="str">
        <f aca="false">IF(AT290="","",ROUND(AT290*(1-Справочники!$B$16),0))</f>
        <v/>
      </c>
      <c r="AX290" s="90" t="str">
        <f aca="false">IF(AT290="","",ROUND(AT290*(1-Справочники!$B$17),0))</f>
        <v/>
      </c>
      <c r="AY290" s="90" t="str">
        <f aca="false">IF(AT290="","",ROUND(AT290*(1-Справочники!$B$18),0))</f>
        <v/>
      </c>
      <c r="AZ290" s="90" t="str">
        <f aca="false">IF(AT290="","",ROUND(AT290*(1-Справочники!$B$19),0))</f>
        <v/>
      </c>
      <c r="BA290" s="81"/>
      <c r="BB290" s="81"/>
      <c r="BC290" s="81"/>
      <c r="BD290" s="81"/>
      <c r="BE290" s="91"/>
      <c r="BF290" s="81" t="s">
        <v>103</v>
      </c>
      <c r="BG290" s="89" t="n">
        <f aca="false" t="array" ref="BG290:BG290">IF(BF290="","",IFERROR(INDEX(Справочники!$B$4:$B$7,MATCH(BF290,Справочники!$A$4:$A$7,0)),""))</f>
        <v>68.5</v>
      </c>
      <c r="BH290" s="90" t="str">
        <f aca="false">IF(N(BN290)&gt;0,ROUND(SUMIF(ЗАКАЗЫ!$F$3:$F$500,$A290,ЗАКАЗЫ!$Y$3:$Y$500)/BN290,0),IF(OR(BE290="",BG290=""),"",ROUND(BE290*BG290*(1+Справочники!$B$10),0)))</f>
        <v/>
      </c>
      <c r="BI290" s="92" t="str">
        <f aca="false">IF(OR(AU290="",BH290="",AU290=0),"",(AU290-BH290)/AU290)</f>
        <v/>
      </c>
      <c r="BJ290" s="81"/>
      <c r="BK290" s="83"/>
      <c r="BL290" s="43" t="str">
        <f aca="false">IFERROR(INDEX(ЗАКАЗЫ!$N$3:$N$500,MATCH($A290,ЗАКАЗЫ!$F$3:$F$500,0)),"")</f>
        <v/>
      </c>
      <c r="BM290" s="8" t="str">
        <f aca="false">IF(BL290="","",IFERROR(VLOOKUP(BL290,'ТН ВЭД'!$A$4:$C$40,3,0),""))</f>
        <v/>
      </c>
      <c r="BN290" s="7" t="str">
        <f aca="false">IF(COUNTIF(ЗАКАЗЫ!$F$3:$F$500,$A290)=0,"",SUMIF(ЗАКАЗЫ!$F$3:$F$500,$A290,ЗАКАЗЫ!$J$3:$J$500))</f>
        <v/>
      </c>
      <c r="BO290" s="7" t="str">
        <f aca="false">IF(BN290="","",SUMIF(ЗАКАЗЫ!$F$3:$F$500,$A290,ЗАКАЗЫ!$AL$3:$AL$500))</f>
        <v/>
      </c>
      <c r="BP290" s="7" t="str">
        <f aca="false">IF(BN290="","",BN290-BO290)</f>
        <v/>
      </c>
      <c r="BQ290" s="55" t="str">
        <f aca="false">IF(BN290="","",IF(BO290&gt;=BN290,"На складе",IF(BO290&gt;0,"Частично","Ждём")))</f>
        <v/>
      </c>
      <c r="BR290" s="43"/>
      <c r="BS290" s="47" t="str">
        <f aca="false">IF(BN290="","",IF(_xlfn.MAXIFS(ЗАКАЗЫ!$AK$3:$AK$500,ЗАКАЗЫ!$F$3:$F$500,$A290)=0,"",_xlfn.MAXIFS(ЗАКАЗЫ!$AK$3:$AK$500,ЗАКАЗЫ!$F$3:$F$500,$A290)))</f>
        <v/>
      </c>
    </row>
    <row r="291" customFormat="false" ht="15.75" hidden="false" customHeight="true" outlineLevel="0" collapsed="false">
      <c r="A291" s="80" t="s">
        <v>1814</v>
      </c>
      <c r="B291" s="81"/>
      <c r="C291" s="81"/>
      <c r="D291" s="81"/>
      <c r="E291" s="83"/>
      <c r="F291" s="81"/>
      <c r="G291" s="83"/>
      <c r="H291" s="83"/>
      <c r="I291" s="84" t="str">
        <f aca="false">IF(E291="","",A291&amp;"_1.jpg")</f>
        <v/>
      </c>
      <c r="J291" s="84" t="str">
        <f aca="false">IF(E291="","",A291&amp;"_2.jpg; "&amp;A291&amp;"_3.jpg")</f>
        <v/>
      </c>
      <c r="K291" s="84" t="str">
        <f aca="false">IF(E291="","",A291&amp;"_schema.jpg")</f>
        <v/>
      </c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 t="s">
        <v>96</v>
      </c>
      <c r="W291" s="81"/>
      <c r="X291" s="81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6" t="str">
        <f aca="false">IF(SUM(Y291:AJ291)=0,"",SUM(Y291:AJ291))</f>
        <v/>
      </c>
      <c r="AL291" s="84" t="str">
        <f aca="false">MID(IF(N(Y291)&gt;0,", "&amp;Y$2,"")&amp;IF(N(Z291)&gt;0,", "&amp;Z$2,"")&amp;IF(N(AA291)&gt;0,", "&amp;AA$2,"")&amp;IF(N(AB291)&gt;0,", "&amp;AB$2,"")&amp;IF(N(AC291)&gt;0,", "&amp;AC$2,"")&amp;IF(N(AD291)&gt;0,", "&amp;AD$2,"")&amp;IF(N(AE291)&gt;0,", "&amp;AE$2,"")&amp;IF(N(AF291)&gt;0,", "&amp;AF$2,"")&amp;IF(N(AG291)&gt;0,", "&amp;AG$2,"")&amp;IF(N(AH291)&gt;0,", "&amp;AH$2,"")&amp;IF(N(AI291)&gt;0,", "&amp;AI$2,"")&amp;IF(N(AJ291)&gt;0,", "&amp;AJ$2,""),3,999)</f>
        <v/>
      </c>
      <c r="AM291" s="87" t="str">
        <f aca="false">IF(E291="","",MID(IF(N(Y291)&gt;0,", "&amp;A291&amp;"-"&amp;Y$2,"")&amp;IF(N(Z291)&gt;0,", "&amp;A291&amp;"-"&amp;Z$2,"")&amp;IF(N(AA291)&gt;0,", "&amp;A291&amp;"-"&amp;AA$2,"")&amp;IF(N(AB291)&gt;0,", "&amp;A291&amp;"-"&amp;AB$2,"")&amp;IF(N(AC291)&gt;0,", "&amp;A291&amp;"-"&amp;AC$2,"")&amp;IF(N(AD291)&gt;0,", "&amp;A291&amp;"-"&amp;AD$2,"")&amp;IF(N(AE291)&gt;0,", "&amp;A291&amp;"-"&amp;AE$2,"")&amp;IF(N(AF291)&gt;0,", "&amp;A291&amp;"-"&amp;AF$2,"")&amp;IF(N(AG291)&gt;0,", "&amp;A291&amp;"-"&amp;AG$2,"")&amp;IF(N(AH291)&gt;0,", "&amp;A291&amp;"-"&amp;AH$2,"")&amp;IF(N(AI291)&gt;0,", "&amp;A291&amp;"-"&amp;AI$2,"")&amp;IF(N(AJ291)&gt;0,", "&amp;A291&amp;"-"&amp;AJ$2,""),3,999))</f>
        <v/>
      </c>
      <c r="AN291" s="81"/>
      <c r="AO291" s="88"/>
      <c r="AP291" s="89" t="str">
        <f aca="false">IF(AO291="","",ROUND(AO291/(1+Справочники!$B$13),2))</f>
        <v/>
      </c>
      <c r="AQ291" s="90" t="str">
        <f aca="false" t="array" ref="AQ291:AQ291">IF(AP291="","",AP291*INDEX(Справочники!$B$4:$B$7,MATCH("RUB",Справочники!$A$4:$A$7,0)))</f>
        <v/>
      </c>
      <c r="AR291" s="90" t="str">
        <f aca="false">IF(AQ291="","",ROUND(AQ291*(1+Справочники!$B$12),0))</f>
        <v/>
      </c>
      <c r="AS291" s="90" t="str">
        <f aca="false">IF(AR291="","",ROUND(AR291*(1-Справочники!$B$11),0))</f>
        <v/>
      </c>
      <c r="AT291" s="88"/>
      <c r="AU291" s="90" t="str">
        <f aca="false">IF(AT291="","",ROUND(AT291/(1+Справочники!$B$12),0))</f>
        <v/>
      </c>
      <c r="AV291" s="90" t="str">
        <f aca="false">IF(AT291="","",ROUND(AT291*(1-Справочники!$B$15),0))</f>
        <v/>
      </c>
      <c r="AW291" s="90" t="str">
        <f aca="false">IF(AT291="","",ROUND(AT291*(1-Справочники!$B$16),0))</f>
        <v/>
      </c>
      <c r="AX291" s="90" t="str">
        <f aca="false">IF(AT291="","",ROUND(AT291*(1-Справочники!$B$17),0))</f>
        <v/>
      </c>
      <c r="AY291" s="90" t="str">
        <f aca="false">IF(AT291="","",ROUND(AT291*(1-Справочники!$B$18),0))</f>
        <v/>
      </c>
      <c r="AZ291" s="90" t="str">
        <f aca="false">IF(AT291="","",ROUND(AT291*(1-Справочники!$B$19),0))</f>
        <v/>
      </c>
      <c r="BA291" s="81"/>
      <c r="BB291" s="81"/>
      <c r="BC291" s="81"/>
      <c r="BD291" s="81"/>
      <c r="BE291" s="91"/>
      <c r="BF291" s="81" t="s">
        <v>103</v>
      </c>
      <c r="BG291" s="89" t="n">
        <f aca="false" t="array" ref="BG291:BG291">IF(BF291="","",IFERROR(INDEX(Справочники!$B$4:$B$7,MATCH(BF291,Справочники!$A$4:$A$7,0)),""))</f>
        <v>68.5</v>
      </c>
      <c r="BH291" s="90" t="str">
        <f aca="false">IF(N(BN291)&gt;0,ROUND(SUMIF(ЗАКАЗЫ!$F$3:$F$500,$A291,ЗАКАЗЫ!$Y$3:$Y$500)/BN291,0),IF(OR(BE291="",BG291=""),"",ROUND(BE291*BG291*(1+Справочники!$B$10),0)))</f>
        <v/>
      </c>
      <c r="BI291" s="92" t="str">
        <f aca="false">IF(OR(AU291="",BH291="",AU291=0),"",(AU291-BH291)/AU291)</f>
        <v/>
      </c>
      <c r="BJ291" s="81"/>
      <c r="BK291" s="83"/>
      <c r="BL291" s="43" t="str">
        <f aca="false">IFERROR(INDEX(ЗАКАЗЫ!$N$3:$N$500,MATCH($A291,ЗАКАЗЫ!$F$3:$F$500,0)),"")</f>
        <v/>
      </c>
      <c r="BM291" s="8" t="str">
        <f aca="false">IF(BL291="","",IFERROR(VLOOKUP(BL291,'ТН ВЭД'!$A$4:$C$40,3,0),""))</f>
        <v/>
      </c>
      <c r="BN291" s="7" t="str">
        <f aca="false">IF(COUNTIF(ЗАКАЗЫ!$F$3:$F$500,$A291)=0,"",SUMIF(ЗАКАЗЫ!$F$3:$F$500,$A291,ЗАКАЗЫ!$J$3:$J$500))</f>
        <v/>
      </c>
      <c r="BO291" s="7" t="str">
        <f aca="false">IF(BN291="","",SUMIF(ЗАКАЗЫ!$F$3:$F$500,$A291,ЗАКАЗЫ!$AL$3:$AL$500))</f>
        <v/>
      </c>
      <c r="BP291" s="7" t="str">
        <f aca="false">IF(BN291="","",BN291-BO291)</f>
        <v/>
      </c>
      <c r="BQ291" s="55" t="str">
        <f aca="false">IF(BN291="","",IF(BO291&gt;=BN291,"На складе",IF(BO291&gt;0,"Частично","Ждём")))</f>
        <v/>
      </c>
      <c r="BR291" s="43"/>
      <c r="BS291" s="47" t="str">
        <f aca="false">IF(BN291="","",IF(_xlfn.MAXIFS(ЗАКАЗЫ!$AK$3:$AK$500,ЗАКАЗЫ!$F$3:$F$500,$A291)=0,"",_xlfn.MAXIFS(ЗАКАЗЫ!$AK$3:$AK$500,ЗАКАЗЫ!$F$3:$F$500,$A291)))</f>
        <v/>
      </c>
    </row>
    <row r="292" customFormat="false" ht="15.75" hidden="false" customHeight="true" outlineLevel="0" collapsed="false">
      <c r="A292" s="80" t="s">
        <v>1815</v>
      </c>
      <c r="B292" s="81"/>
      <c r="C292" s="81"/>
      <c r="D292" s="81"/>
      <c r="E292" s="83"/>
      <c r="F292" s="81"/>
      <c r="G292" s="83"/>
      <c r="H292" s="83"/>
      <c r="I292" s="84" t="str">
        <f aca="false">IF(E292="","",A292&amp;"_1.jpg")</f>
        <v/>
      </c>
      <c r="J292" s="84" t="str">
        <f aca="false">IF(E292="","",A292&amp;"_2.jpg; "&amp;A292&amp;"_3.jpg")</f>
        <v/>
      </c>
      <c r="K292" s="84" t="str">
        <f aca="false">IF(E292="","",A292&amp;"_schema.jpg")</f>
        <v/>
      </c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 t="s">
        <v>96</v>
      </c>
      <c r="W292" s="81"/>
      <c r="X292" s="81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6" t="str">
        <f aca="false">IF(SUM(Y292:AJ292)=0,"",SUM(Y292:AJ292))</f>
        <v/>
      </c>
      <c r="AL292" s="84" t="str">
        <f aca="false">MID(IF(N(Y292)&gt;0,", "&amp;Y$2,"")&amp;IF(N(Z292)&gt;0,", "&amp;Z$2,"")&amp;IF(N(AA292)&gt;0,", "&amp;AA$2,"")&amp;IF(N(AB292)&gt;0,", "&amp;AB$2,"")&amp;IF(N(AC292)&gt;0,", "&amp;AC$2,"")&amp;IF(N(AD292)&gt;0,", "&amp;AD$2,"")&amp;IF(N(AE292)&gt;0,", "&amp;AE$2,"")&amp;IF(N(AF292)&gt;0,", "&amp;AF$2,"")&amp;IF(N(AG292)&gt;0,", "&amp;AG$2,"")&amp;IF(N(AH292)&gt;0,", "&amp;AH$2,"")&amp;IF(N(AI292)&gt;0,", "&amp;AI$2,"")&amp;IF(N(AJ292)&gt;0,", "&amp;AJ$2,""),3,999)</f>
        <v/>
      </c>
      <c r="AM292" s="87" t="str">
        <f aca="false">IF(E292="","",MID(IF(N(Y292)&gt;0,", "&amp;A292&amp;"-"&amp;Y$2,"")&amp;IF(N(Z292)&gt;0,", "&amp;A292&amp;"-"&amp;Z$2,"")&amp;IF(N(AA292)&gt;0,", "&amp;A292&amp;"-"&amp;AA$2,"")&amp;IF(N(AB292)&gt;0,", "&amp;A292&amp;"-"&amp;AB$2,"")&amp;IF(N(AC292)&gt;0,", "&amp;A292&amp;"-"&amp;AC$2,"")&amp;IF(N(AD292)&gt;0,", "&amp;A292&amp;"-"&amp;AD$2,"")&amp;IF(N(AE292)&gt;0,", "&amp;A292&amp;"-"&amp;AE$2,"")&amp;IF(N(AF292)&gt;0,", "&amp;A292&amp;"-"&amp;AF$2,"")&amp;IF(N(AG292)&gt;0,", "&amp;A292&amp;"-"&amp;AG$2,"")&amp;IF(N(AH292)&gt;0,", "&amp;A292&amp;"-"&amp;AH$2,"")&amp;IF(N(AI292)&gt;0,", "&amp;A292&amp;"-"&amp;AI$2,"")&amp;IF(N(AJ292)&gt;0,", "&amp;A292&amp;"-"&amp;AJ$2,""),3,999))</f>
        <v/>
      </c>
      <c r="AN292" s="81"/>
      <c r="AO292" s="88"/>
      <c r="AP292" s="89" t="str">
        <f aca="false">IF(AO292="","",ROUND(AO292/(1+Справочники!$B$13),2))</f>
        <v/>
      </c>
      <c r="AQ292" s="90" t="str">
        <f aca="false" t="array" ref="AQ292:AQ292">IF(AP292="","",AP292*INDEX(Справочники!$B$4:$B$7,MATCH("RUB",Справочники!$A$4:$A$7,0)))</f>
        <v/>
      </c>
      <c r="AR292" s="90" t="str">
        <f aca="false">IF(AQ292="","",ROUND(AQ292*(1+Справочники!$B$12),0))</f>
        <v/>
      </c>
      <c r="AS292" s="90" t="str">
        <f aca="false">IF(AR292="","",ROUND(AR292*(1-Справочники!$B$11),0))</f>
        <v/>
      </c>
      <c r="AT292" s="88"/>
      <c r="AU292" s="90" t="str">
        <f aca="false">IF(AT292="","",ROUND(AT292/(1+Справочники!$B$12),0))</f>
        <v/>
      </c>
      <c r="AV292" s="90" t="str">
        <f aca="false">IF(AT292="","",ROUND(AT292*(1-Справочники!$B$15),0))</f>
        <v/>
      </c>
      <c r="AW292" s="90" t="str">
        <f aca="false">IF(AT292="","",ROUND(AT292*(1-Справочники!$B$16),0))</f>
        <v/>
      </c>
      <c r="AX292" s="90" t="str">
        <f aca="false">IF(AT292="","",ROUND(AT292*(1-Справочники!$B$17),0))</f>
        <v/>
      </c>
      <c r="AY292" s="90" t="str">
        <f aca="false">IF(AT292="","",ROUND(AT292*(1-Справочники!$B$18),0))</f>
        <v/>
      </c>
      <c r="AZ292" s="90" t="str">
        <f aca="false">IF(AT292="","",ROUND(AT292*(1-Справочники!$B$19),0))</f>
        <v/>
      </c>
      <c r="BA292" s="81"/>
      <c r="BB292" s="81"/>
      <c r="BC292" s="81"/>
      <c r="BD292" s="81"/>
      <c r="BE292" s="91"/>
      <c r="BF292" s="81" t="s">
        <v>103</v>
      </c>
      <c r="BG292" s="89" t="n">
        <f aca="false" t="array" ref="BG292:BG292">IF(BF292="","",IFERROR(INDEX(Справочники!$B$4:$B$7,MATCH(BF292,Справочники!$A$4:$A$7,0)),""))</f>
        <v>68.5</v>
      </c>
      <c r="BH292" s="90" t="str">
        <f aca="false">IF(N(BN292)&gt;0,ROUND(SUMIF(ЗАКАЗЫ!$F$3:$F$500,$A292,ЗАКАЗЫ!$Y$3:$Y$500)/BN292,0),IF(OR(BE292="",BG292=""),"",ROUND(BE292*BG292*(1+Справочники!$B$10),0)))</f>
        <v/>
      </c>
      <c r="BI292" s="92" t="str">
        <f aca="false">IF(OR(AU292="",BH292="",AU292=0),"",(AU292-BH292)/AU292)</f>
        <v/>
      </c>
      <c r="BJ292" s="81"/>
      <c r="BK292" s="83"/>
      <c r="BL292" s="43" t="str">
        <f aca="false">IFERROR(INDEX(ЗАКАЗЫ!$N$3:$N$500,MATCH($A292,ЗАКАЗЫ!$F$3:$F$500,0)),"")</f>
        <v/>
      </c>
      <c r="BM292" s="8" t="str">
        <f aca="false">IF(BL292="","",IFERROR(VLOOKUP(BL292,'ТН ВЭД'!$A$4:$C$40,3,0),""))</f>
        <v/>
      </c>
      <c r="BN292" s="7" t="str">
        <f aca="false">IF(COUNTIF(ЗАКАЗЫ!$F$3:$F$500,$A292)=0,"",SUMIF(ЗАКАЗЫ!$F$3:$F$500,$A292,ЗАКАЗЫ!$J$3:$J$500))</f>
        <v/>
      </c>
      <c r="BO292" s="7" t="str">
        <f aca="false">IF(BN292="","",SUMIF(ЗАКАЗЫ!$F$3:$F$500,$A292,ЗАКАЗЫ!$AL$3:$AL$500))</f>
        <v/>
      </c>
      <c r="BP292" s="7" t="str">
        <f aca="false">IF(BN292="","",BN292-BO292)</f>
        <v/>
      </c>
      <c r="BQ292" s="55" t="str">
        <f aca="false">IF(BN292="","",IF(BO292&gt;=BN292,"На складе",IF(BO292&gt;0,"Частично","Ждём")))</f>
        <v/>
      </c>
      <c r="BR292" s="43"/>
      <c r="BS292" s="47" t="str">
        <f aca="false">IF(BN292="","",IF(_xlfn.MAXIFS(ЗАКАЗЫ!$AK$3:$AK$500,ЗАКАЗЫ!$F$3:$F$500,$A292)=0,"",_xlfn.MAXIFS(ЗАКАЗЫ!$AK$3:$AK$500,ЗАКАЗЫ!$F$3:$F$500,$A292)))</f>
        <v/>
      </c>
    </row>
    <row r="293" customFormat="false" ht="15.75" hidden="false" customHeight="true" outlineLevel="0" collapsed="false">
      <c r="A293" s="80" t="s">
        <v>1816</v>
      </c>
      <c r="B293" s="81"/>
      <c r="C293" s="81"/>
      <c r="D293" s="81"/>
      <c r="E293" s="83"/>
      <c r="F293" s="81"/>
      <c r="G293" s="83"/>
      <c r="H293" s="83"/>
      <c r="I293" s="84" t="str">
        <f aca="false">IF(E293="","",A293&amp;"_1.jpg")</f>
        <v/>
      </c>
      <c r="J293" s="84" t="str">
        <f aca="false">IF(E293="","",A293&amp;"_2.jpg; "&amp;A293&amp;"_3.jpg")</f>
        <v/>
      </c>
      <c r="K293" s="84" t="str">
        <f aca="false">IF(E293="","",A293&amp;"_schema.jpg")</f>
        <v/>
      </c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 t="s">
        <v>96</v>
      </c>
      <c r="W293" s="81"/>
      <c r="X293" s="81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6" t="str">
        <f aca="false">IF(SUM(Y293:AJ293)=0,"",SUM(Y293:AJ293))</f>
        <v/>
      </c>
      <c r="AL293" s="84" t="str">
        <f aca="false">MID(IF(N(Y293)&gt;0,", "&amp;Y$2,"")&amp;IF(N(Z293)&gt;0,", "&amp;Z$2,"")&amp;IF(N(AA293)&gt;0,", "&amp;AA$2,"")&amp;IF(N(AB293)&gt;0,", "&amp;AB$2,"")&amp;IF(N(AC293)&gt;0,", "&amp;AC$2,"")&amp;IF(N(AD293)&gt;0,", "&amp;AD$2,"")&amp;IF(N(AE293)&gt;0,", "&amp;AE$2,"")&amp;IF(N(AF293)&gt;0,", "&amp;AF$2,"")&amp;IF(N(AG293)&gt;0,", "&amp;AG$2,"")&amp;IF(N(AH293)&gt;0,", "&amp;AH$2,"")&amp;IF(N(AI293)&gt;0,", "&amp;AI$2,"")&amp;IF(N(AJ293)&gt;0,", "&amp;AJ$2,""),3,999)</f>
        <v/>
      </c>
      <c r="AM293" s="87" t="str">
        <f aca="false">IF(E293="","",MID(IF(N(Y293)&gt;0,", "&amp;A293&amp;"-"&amp;Y$2,"")&amp;IF(N(Z293)&gt;0,", "&amp;A293&amp;"-"&amp;Z$2,"")&amp;IF(N(AA293)&gt;0,", "&amp;A293&amp;"-"&amp;AA$2,"")&amp;IF(N(AB293)&gt;0,", "&amp;A293&amp;"-"&amp;AB$2,"")&amp;IF(N(AC293)&gt;0,", "&amp;A293&amp;"-"&amp;AC$2,"")&amp;IF(N(AD293)&gt;0,", "&amp;A293&amp;"-"&amp;AD$2,"")&amp;IF(N(AE293)&gt;0,", "&amp;A293&amp;"-"&amp;AE$2,"")&amp;IF(N(AF293)&gt;0,", "&amp;A293&amp;"-"&amp;AF$2,"")&amp;IF(N(AG293)&gt;0,", "&amp;A293&amp;"-"&amp;AG$2,"")&amp;IF(N(AH293)&gt;0,", "&amp;A293&amp;"-"&amp;AH$2,"")&amp;IF(N(AI293)&gt;0,", "&amp;A293&amp;"-"&amp;AI$2,"")&amp;IF(N(AJ293)&gt;0,", "&amp;A293&amp;"-"&amp;AJ$2,""),3,999))</f>
        <v/>
      </c>
      <c r="AN293" s="81"/>
      <c r="AO293" s="88"/>
      <c r="AP293" s="89" t="str">
        <f aca="false">IF(AO293="","",ROUND(AO293/(1+Справочники!$B$13),2))</f>
        <v/>
      </c>
      <c r="AQ293" s="90" t="str">
        <f aca="false" t="array" ref="AQ293:AQ293">IF(AP293="","",AP293*INDEX(Справочники!$B$4:$B$7,MATCH("RUB",Справочники!$A$4:$A$7,0)))</f>
        <v/>
      </c>
      <c r="AR293" s="90" t="str">
        <f aca="false">IF(AQ293="","",ROUND(AQ293*(1+Справочники!$B$12),0))</f>
        <v/>
      </c>
      <c r="AS293" s="90" t="str">
        <f aca="false">IF(AR293="","",ROUND(AR293*(1-Справочники!$B$11),0))</f>
        <v/>
      </c>
      <c r="AT293" s="88"/>
      <c r="AU293" s="90" t="str">
        <f aca="false">IF(AT293="","",ROUND(AT293/(1+Справочники!$B$12),0))</f>
        <v/>
      </c>
      <c r="AV293" s="90" t="str">
        <f aca="false">IF(AT293="","",ROUND(AT293*(1-Справочники!$B$15),0))</f>
        <v/>
      </c>
      <c r="AW293" s="90" t="str">
        <f aca="false">IF(AT293="","",ROUND(AT293*(1-Справочники!$B$16),0))</f>
        <v/>
      </c>
      <c r="AX293" s="90" t="str">
        <f aca="false">IF(AT293="","",ROUND(AT293*(1-Справочники!$B$17),0))</f>
        <v/>
      </c>
      <c r="AY293" s="90" t="str">
        <f aca="false">IF(AT293="","",ROUND(AT293*(1-Справочники!$B$18),0))</f>
        <v/>
      </c>
      <c r="AZ293" s="90" t="str">
        <f aca="false">IF(AT293="","",ROUND(AT293*(1-Справочники!$B$19),0))</f>
        <v/>
      </c>
      <c r="BA293" s="81"/>
      <c r="BB293" s="81"/>
      <c r="BC293" s="81"/>
      <c r="BD293" s="81"/>
      <c r="BE293" s="91"/>
      <c r="BF293" s="81" t="s">
        <v>103</v>
      </c>
      <c r="BG293" s="89" t="n">
        <f aca="false" t="array" ref="BG293:BG293">IF(BF293="","",IFERROR(INDEX(Справочники!$B$4:$B$7,MATCH(BF293,Справочники!$A$4:$A$7,0)),""))</f>
        <v>68.5</v>
      </c>
      <c r="BH293" s="90" t="str">
        <f aca="false">IF(N(BN293)&gt;0,ROUND(SUMIF(ЗАКАЗЫ!$F$3:$F$500,$A293,ЗАКАЗЫ!$Y$3:$Y$500)/BN293,0),IF(OR(BE293="",BG293=""),"",ROUND(BE293*BG293*(1+Справочники!$B$10),0)))</f>
        <v/>
      </c>
      <c r="BI293" s="92" t="str">
        <f aca="false">IF(OR(AU293="",BH293="",AU293=0),"",(AU293-BH293)/AU293)</f>
        <v/>
      </c>
      <c r="BJ293" s="81"/>
      <c r="BK293" s="83"/>
      <c r="BL293" s="43" t="str">
        <f aca="false">IFERROR(INDEX(ЗАКАЗЫ!$N$3:$N$500,MATCH($A293,ЗАКАЗЫ!$F$3:$F$500,0)),"")</f>
        <v/>
      </c>
      <c r="BM293" s="8" t="str">
        <f aca="false">IF(BL293="","",IFERROR(VLOOKUP(BL293,'ТН ВЭД'!$A$4:$C$40,3,0),""))</f>
        <v/>
      </c>
      <c r="BN293" s="7" t="str">
        <f aca="false">IF(COUNTIF(ЗАКАЗЫ!$F$3:$F$500,$A293)=0,"",SUMIF(ЗАКАЗЫ!$F$3:$F$500,$A293,ЗАКАЗЫ!$J$3:$J$500))</f>
        <v/>
      </c>
      <c r="BO293" s="7" t="str">
        <f aca="false">IF(BN293="","",SUMIF(ЗАКАЗЫ!$F$3:$F$500,$A293,ЗАКАЗЫ!$AL$3:$AL$500))</f>
        <v/>
      </c>
      <c r="BP293" s="7" t="str">
        <f aca="false">IF(BN293="","",BN293-BO293)</f>
        <v/>
      </c>
      <c r="BQ293" s="55" t="str">
        <f aca="false">IF(BN293="","",IF(BO293&gt;=BN293,"На складе",IF(BO293&gt;0,"Частично","Ждём")))</f>
        <v/>
      </c>
      <c r="BR293" s="43"/>
      <c r="BS293" s="47" t="str">
        <f aca="false">IF(BN293="","",IF(_xlfn.MAXIFS(ЗАКАЗЫ!$AK$3:$AK$500,ЗАКАЗЫ!$F$3:$F$500,$A293)=0,"",_xlfn.MAXIFS(ЗАКАЗЫ!$AK$3:$AK$500,ЗАКАЗЫ!$F$3:$F$500,$A293)))</f>
        <v/>
      </c>
    </row>
    <row r="294" customFormat="false" ht="15.75" hidden="false" customHeight="true" outlineLevel="0" collapsed="false">
      <c r="A294" s="80" t="s">
        <v>1817</v>
      </c>
      <c r="B294" s="81"/>
      <c r="C294" s="81"/>
      <c r="D294" s="81"/>
      <c r="E294" s="83"/>
      <c r="F294" s="81"/>
      <c r="G294" s="83"/>
      <c r="H294" s="83"/>
      <c r="I294" s="84" t="str">
        <f aca="false">IF(E294="","",A294&amp;"_1.jpg")</f>
        <v/>
      </c>
      <c r="J294" s="84" t="str">
        <f aca="false">IF(E294="","",A294&amp;"_2.jpg; "&amp;A294&amp;"_3.jpg")</f>
        <v/>
      </c>
      <c r="K294" s="84" t="str">
        <f aca="false">IF(E294="","",A294&amp;"_schema.jpg")</f>
        <v/>
      </c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 t="s">
        <v>96</v>
      </c>
      <c r="W294" s="81"/>
      <c r="X294" s="81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6" t="str">
        <f aca="false">IF(SUM(Y294:AJ294)=0,"",SUM(Y294:AJ294))</f>
        <v/>
      </c>
      <c r="AL294" s="84" t="str">
        <f aca="false">MID(IF(N(Y294)&gt;0,", "&amp;Y$2,"")&amp;IF(N(Z294)&gt;0,", "&amp;Z$2,"")&amp;IF(N(AA294)&gt;0,", "&amp;AA$2,"")&amp;IF(N(AB294)&gt;0,", "&amp;AB$2,"")&amp;IF(N(AC294)&gt;0,", "&amp;AC$2,"")&amp;IF(N(AD294)&gt;0,", "&amp;AD$2,"")&amp;IF(N(AE294)&gt;0,", "&amp;AE$2,"")&amp;IF(N(AF294)&gt;0,", "&amp;AF$2,"")&amp;IF(N(AG294)&gt;0,", "&amp;AG$2,"")&amp;IF(N(AH294)&gt;0,", "&amp;AH$2,"")&amp;IF(N(AI294)&gt;0,", "&amp;AI$2,"")&amp;IF(N(AJ294)&gt;0,", "&amp;AJ$2,""),3,999)</f>
        <v/>
      </c>
      <c r="AM294" s="87" t="str">
        <f aca="false">IF(E294="","",MID(IF(N(Y294)&gt;0,", "&amp;A294&amp;"-"&amp;Y$2,"")&amp;IF(N(Z294)&gt;0,", "&amp;A294&amp;"-"&amp;Z$2,"")&amp;IF(N(AA294)&gt;0,", "&amp;A294&amp;"-"&amp;AA$2,"")&amp;IF(N(AB294)&gt;0,", "&amp;A294&amp;"-"&amp;AB$2,"")&amp;IF(N(AC294)&gt;0,", "&amp;A294&amp;"-"&amp;AC$2,"")&amp;IF(N(AD294)&gt;0,", "&amp;A294&amp;"-"&amp;AD$2,"")&amp;IF(N(AE294)&gt;0,", "&amp;A294&amp;"-"&amp;AE$2,"")&amp;IF(N(AF294)&gt;0,", "&amp;A294&amp;"-"&amp;AF$2,"")&amp;IF(N(AG294)&gt;0,", "&amp;A294&amp;"-"&amp;AG$2,"")&amp;IF(N(AH294)&gt;0,", "&amp;A294&amp;"-"&amp;AH$2,"")&amp;IF(N(AI294)&gt;0,", "&amp;A294&amp;"-"&amp;AI$2,"")&amp;IF(N(AJ294)&gt;0,", "&amp;A294&amp;"-"&amp;AJ$2,""),3,999))</f>
        <v/>
      </c>
      <c r="AN294" s="81"/>
      <c r="AO294" s="88"/>
      <c r="AP294" s="89" t="str">
        <f aca="false">IF(AO294="","",ROUND(AO294/(1+Справочники!$B$13),2))</f>
        <v/>
      </c>
      <c r="AQ294" s="90" t="str">
        <f aca="false" t="array" ref="AQ294:AQ294">IF(AP294="","",AP294*INDEX(Справочники!$B$4:$B$7,MATCH("RUB",Справочники!$A$4:$A$7,0)))</f>
        <v/>
      </c>
      <c r="AR294" s="90" t="str">
        <f aca="false">IF(AQ294="","",ROUND(AQ294*(1+Справочники!$B$12),0))</f>
        <v/>
      </c>
      <c r="AS294" s="90" t="str">
        <f aca="false">IF(AR294="","",ROUND(AR294*(1-Справочники!$B$11),0))</f>
        <v/>
      </c>
      <c r="AT294" s="88"/>
      <c r="AU294" s="90" t="str">
        <f aca="false">IF(AT294="","",ROUND(AT294/(1+Справочники!$B$12),0))</f>
        <v/>
      </c>
      <c r="AV294" s="90" t="str">
        <f aca="false">IF(AT294="","",ROUND(AT294*(1-Справочники!$B$15),0))</f>
        <v/>
      </c>
      <c r="AW294" s="90" t="str">
        <f aca="false">IF(AT294="","",ROUND(AT294*(1-Справочники!$B$16),0))</f>
        <v/>
      </c>
      <c r="AX294" s="90" t="str">
        <f aca="false">IF(AT294="","",ROUND(AT294*(1-Справочники!$B$17),0))</f>
        <v/>
      </c>
      <c r="AY294" s="90" t="str">
        <f aca="false">IF(AT294="","",ROUND(AT294*(1-Справочники!$B$18),0))</f>
        <v/>
      </c>
      <c r="AZ294" s="90" t="str">
        <f aca="false">IF(AT294="","",ROUND(AT294*(1-Справочники!$B$19),0))</f>
        <v/>
      </c>
      <c r="BA294" s="81"/>
      <c r="BB294" s="81"/>
      <c r="BC294" s="81"/>
      <c r="BD294" s="81"/>
      <c r="BE294" s="91"/>
      <c r="BF294" s="81" t="s">
        <v>103</v>
      </c>
      <c r="BG294" s="89" t="n">
        <f aca="false" t="array" ref="BG294:BG294">IF(BF294="","",IFERROR(INDEX(Справочники!$B$4:$B$7,MATCH(BF294,Справочники!$A$4:$A$7,0)),""))</f>
        <v>68.5</v>
      </c>
      <c r="BH294" s="90" t="str">
        <f aca="false">IF(N(BN294)&gt;0,ROUND(SUMIF(ЗАКАЗЫ!$F$3:$F$500,$A294,ЗАКАЗЫ!$Y$3:$Y$500)/BN294,0),IF(OR(BE294="",BG294=""),"",ROUND(BE294*BG294*(1+Справочники!$B$10),0)))</f>
        <v/>
      </c>
      <c r="BI294" s="92" t="str">
        <f aca="false">IF(OR(AU294="",BH294="",AU294=0),"",(AU294-BH294)/AU294)</f>
        <v/>
      </c>
      <c r="BJ294" s="81"/>
      <c r="BK294" s="83"/>
      <c r="BL294" s="43" t="str">
        <f aca="false">IFERROR(INDEX(ЗАКАЗЫ!$N$3:$N$500,MATCH($A294,ЗАКАЗЫ!$F$3:$F$500,0)),"")</f>
        <v/>
      </c>
      <c r="BM294" s="8" t="str">
        <f aca="false">IF(BL294="","",IFERROR(VLOOKUP(BL294,'ТН ВЭД'!$A$4:$C$40,3,0),""))</f>
        <v/>
      </c>
      <c r="BN294" s="7" t="str">
        <f aca="false">IF(COUNTIF(ЗАКАЗЫ!$F$3:$F$500,$A294)=0,"",SUMIF(ЗАКАЗЫ!$F$3:$F$500,$A294,ЗАКАЗЫ!$J$3:$J$500))</f>
        <v/>
      </c>
      <c r="BO294" s="7" t="str">
        <f aca="false">IF(BN294="","",SUMIF(ЗАКАЗЫ!$F$3:$F$500,$A294,ЗАКАЗЫ!$AL$3:$AL$500))</f>
        <v/>
      </c>
      <c r="BP294" s="7" t="str">
        <f aca="false">IF(BN294="","",BN294-BO294)</f>
        <v/>
      </c>
      <c r="BQ294" s="55" t="str">
        <f aca="false">IF(BN294="","",IF(BO294&gt;=BN294,"На складе",IF(BO294&gt;0,"Частично","Ждём")))</f>
        <v/>
      </c>
      <c r="BR294" s="43"/>
      <c r="BS294" s="47" t="str">
        <f aca="false">IF(BN294="","",IF(_xlfn.MAXIFS(ЗАКАЗЫ!$AK$3:$AK$500,ЗАКАЗЫ!$F$3:$F$500,$A294)=0,"",_xlfn.MAXIFS(ЗАКАЗЫ!$AK$3:$AK$500,ЗАКАЗЫ!$F$3:$F$500,$A294)))</f>
        <v/>
      </c>
    </row>
    <row r="295" customFormat="false" ht="15.75" hidden="false" customHeight="true" outlineLevel="0" collapsed="false">
      <c r="A295" s="80" t="s">
        <v>1818</v>
      </c>
      <c r="B295" s="81"/>
      <c r="C295" s="81"/>
      <c r="D295" s="81"/>
      <c r="E295" s="83"/>
      <c r="F295" s="81"/>
      <c r="G295" s="83"/>
      <c r="H295" s="83"/>
      <c r="I295" s="84" t="str">
        <f aca="false">IF(E295="","",A295&amp;"_1.jpg")</f>
        <v/>
      </c>
      <c r="J295" s="84" t="str">
        <f aca="false">IF(E295="","",A295&amp;"_2.jpg; "&amp;A295&amp;"_3.jpg")</f>
        <v/>
      </c>
      <c r="K295" s="84" t="str">
        <f aca="false">IF(E295="","",A295&amp;"_schema.jpg")</f>
        <v/>
      </c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 t="s">
        <v>96</v>
      </c>
      <c r="W295" s="81"/>
      <c r="X295" s="81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6" t="str">
        <f aca="false">IF(SUM(Y295:AJ295)=0,"",SUM(Y295:AJ295))</f>
        <v/>
      </c>
      <c r="AL295" s="84" t="str">
        <f aca="false">MID(IF(N(Y295)&gt;0,", "&amp;Y$2,"")&amp;IF(N(Z295)&gt;0,", "&amp;Z$2,"")&amp;IF(N(AA295)&gt;0,", "&amp;AA$2,"")&amp;IF(N(AB295)&gt;0,", "&amp;AB$2,"")&amp;IF(N(AC295)&gt;0,", "&amp;AC$2,"")&amp;IF(N(AD295)&gt;0,", "&amp;AD$2,"")&amp;IF(N(AE295)&gt;0,", "&amp;AE$2,"")&amp;IF(N(AF295)&gt;0,", "&amp;AF$2,"")&amp;IF(N(AG295)&gt;0,", "&amp;AG$2,"")&amp;IF(N(AH295)&gt;0,", "&amp;AH$2,"")&amp;IF(N(AI295)&gt;0,", "&amp;AI$2,"")&amp;IF(N(AJ295)&gt;0,", "&amp;AJ$2,""),3,999)</f>
        <v/>
      </c>
      <c r="AM295" s="87" t="str">
        <f aca="false">IF(E295="","",MID(IF(N(Y295)&gt;0,", "&amp;A295&amp;"-"&amp;Y$2,"")&amp;IF(N(Z295)&gt;0,", "&amp;A295&amp;"-"&amp;Z$2,"")&amp;IF(N(AA295)&gt;0,", "&amp;A295&amp;"-"&amp;AA$2,"")&amp;IF(N(AB295)&gt;0,", "&amp;A295&amp;"-"&amp;AB$2,"")&amp;IF(N(AC295)&gt;0,", "&amp;A295&amp;"-"&amp;AC$2,"")&amp;IF(N(AD295)&gt;0,", "&amp;A295&amp;"-"&amp;AD$2,"")&amp;IF(N(AE295)&gt;0,", "&amp;A295&amp;"-"&amp;AE$2,"")&amp;IF(N(AF295)&gt;0,", "&amp;A295&amp;"-"&amp;AF$2,"")&amp;IF(N(AG295)&gt;0,", "&amp;A295&amp;"-"&amp;AG$2,"")&amp;IF(N(AH295)&gt;0,", "&amp;A295&amp;"-"&amp;AH$2,"")&amp;IF(N(AI295)&gt;0,", "&amp;A295&amp;"-"&amp;AI$2,"")&amp;IF(N(AJ295)&gt;0,", "&amp;A295&amp;"-"&amp;AJ$2,""),3,999))</f>
        <v/>
      </c>
      <c r="AN295" s="81"/>
      <c r="AO295" s="88"/>
      <c r="AP295" s="89" t="str">
        <f aca="false">IF(AO295="","",ROUND(AO295/(1+Справочники!$B$13),2))</f>
        <v/>
      </c>
      <c r="AQ295" s="90" t="str">
        <f aca="false" t="array" ref="AQ295:AQ295">IF(AP295="","",AP295*INDEX(Справочники!$B$4:$B$7,MATCH("RUB",Справочники!$A$4:$A$7,0)))</f>
        <v/>
      </c>
      <c r="AR295" s="90" t="str">
        <f aca="false">IF(AQ295="","",ROUND(AQ295*(1+Справочники!$B$12),0))</f>
        <v/>
      </c>
      <c r="AS295" s="90" t="str">
        <f aca="false">IF(AR295="","",ROUND(AR295*(1-Справочники!$B$11),0))</f>
        <v/>
      </c>
      <c r="AT295" s="88"/>
      <c r="AU295" s="90" t="str">
        <f aca="false">IF(AT295="","",ROUND(AT295/(1+Справочники!$B$12),0))</f>
        <v/>
      </c>
      <c r="AV295" s="90" t="str">
        <f aca="false">IF(AT295="","",ROUND(AT295*(1-Справочники!$B$15),0))</f>
        <v/>
      </c>
      <c r="AW295" s="90" t="str">
        <f aca="false">IF(AT295="","",ROUND(AT295*(1-Справочники!$B$16),0))</f>
        <v/>
      </c>
      <c r="AX295" s="90" t="str">
        <f aca="false">IF(AT295="","",ROUND(AT295*(1-Справочники!$B$17),0))</f>
        <v/>
      </c>
      <c r="AY295" s="90" t="str">
        <f aca="false">IF(AT295="","",ROUND(AT295*(1-Справочники!$B$18),0))</f>
        <v/>
      </c>
      <c r="AZ295" s="90" t="str">
        <f aca="false">IF(AT295="","",ROUND(AT295*(1-Справочники!$B$19),0))</f>
        <v/>
      </c>
      <c r="BA295" s="81"/>
      <c r="BB295" s="81"/>
      <c r="BC295" s="81"/>
      <c r="BD295" s="81"/>
      <c r="BE295" s="91"/>
      <c r="BF295" s="81" t="s">
        <v>103</v>
      </c>
      <c r="BG295" s="89" t="n">
        <f aca="false" t="array" ref="BG295:BG295">IF(BF295="","",IFERROR(INDEX(Справочники!$B$4:$B$7,MATCH(BF295,Справочники!$A$4:$A$7,0)),""))</f>
        <v>68.5</v>
      </c>
      <c r="BH295" s="90" t="str">
        <f aca="false">IF(N(BN295)&gt;0,ROUND(SUMIF(ЗАКАЗЫ!$F$3:$F$500,$A295,ЗАКАЗЫ!$Y$3:$Y$500)/BN295,0),IF(OR(BE295="",BG295=""),"",ROUND(BE295*BG295*(1+Справочники!$B$10),0)))</f>
        <v/>
      </c>
      <c r="BI295" s="92" t="str">
        <f aca="false">IF(OR(AU295="",BH295="",AU295=0),"",(AU295-BH295)/AU295)</f>
        <v/>
      </c>
      <c r="BJ295" s="81"/>
      <c r="BK295" s="83"/>
      <c r="BL295" s="43" t="str">
        <f aca="false">IFERROR(INDEX(ЗАКАЗЫ!$N$3:$N$500,MATCH($A295,ЗАКАЗЫ!$F$3:$F$500,0)),"")</f>
        <v/>
      </c>
      <c r="BM295" s="8" t="str">
        <f aca="false">IF(BL295="","",IFERROR(VLOOKUP(BL295,'ТН ВЭД'!$A$4:$C$40,3,0),""))</f>
        <v/>
      </c>
      <c r="BN295" s="7" t="str">
        <f aca="false">IF(COUNTIF(ЗАКАЗЫ!$F$3:$F$500,$A295)=0,"",SUMIF(ЗАКАЗЫ!$F$3:$F$500,$A295,ЗАКАЗЫ!$J$3:$J$500))</f>
        <v/>
      </c>
      <c r="BO295" s="7" t="str">
        <f aca="false">IF(BN295="","",SUMIF(ЗАКАЗЫ!$F$3:$F$500,$A295,ЗАКАЗЫ!$AL$3:$AL$500))</f>
        <v/>
      </c>
      <c r="BP295" s="7" t="str">
        <f aca="false">IF(BN295="","",BN295-BO295)</f>
        <v/>
      </c>
      <c r="BQ295" s="55" t="str">
        <f aca="false">IF(BN295="","",IF(BO295&gt;=BN295,"На складе",IF(BO295&gt;0,"Частично","Ждём")))</f>
        <v/>
      </c>
      <c r="BR295" s="43"/>
      <c r="BS295" s="47" t="str">
        <f aca="false">IF(BN295="","",IF(_xlfn.MAXIFS(ЗАКАЗЫ!$AK$3:$AK$500,ЗАКАЗЫ!$F$3:$F$500,$A295)=0,"",_xlfn.MAXIFS(ЗАКАЗЫ!$AK$3:$AK$500,ЗАКАЗЫ!$F$3:$F$500,$A295)))</f>
        <v/>
      </c>
    </row>
    <row r="296" customFormat="false" ht="15.75" hidden="false" customHeight="true" outlineLevel="0" collapsed="false">
      <c r="A296" s="80" t="s">
        <v>1819</v>
      </c>
      <c r="B296" s="81"/>
      <c r="C296" s="81"/>
      <c r="D296" s="81"/>
      <c r="E296" s="83"/>
      <c r="F296" s="81"/>
      <c r="G296" s="83"/>
      <c r="H296" s="83"/>
      <c r="I296" s="84" t="str">
        <f aca="false">IF(E296="","",A296&amp;"_1.jpg")</f>
        <v/>
      </c>
      <c r="J296" s="84" t="str">
        <f aca="false">IF(E296="","",A296&amp;"_2.jpg; "&amp;A296&amp;"_3.jpg")</f>
        <v/>
      </c>
      <c r="K296" s="84" t="str">
        <f aca="false">IF(E296="","",A296&amp;"_schema.jpg")</f>
        <v/>
      </c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 t="s">
        <v>96</v>
      </c>
      <c r="W296" s="81"/>
      <c r="X296" s="81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6" t="str">
        <f aca="false">IF(SUM(Y296:AJ296)=0,"",SUM(Y296:AJ296))</f>
        <v/>
      </c>
      <c r="AL296" s="84" t="str">
        <f aca="false">MID(IF(N(Y296)&gt;0,", "&amp;Y$2,"")&amp;IF(N(Z296)&gt;0,", "&amp;Z$2,"")&amp;IF(N(AA296)&gt;0,", "&amp;AA$2,"")&amp;IF(N(AB296)&gt;0,", "&amp;AB$2,"")&amp;IF(N(AC296)&gt;0,", "&amp;AC$2,"")&amp;IF(N(AD296)&gt;0,", "&amp;AD$2,"")&amp;IF(N(AE296)&gt;0,", "&amp;AE$2,"")&amp;IF(N(AF296)&gt;0,", "&amp;AF$2,"")&amp;IF(N(AG296)&gt;0,", "&amp;AG$2,"")&amp;IF(N(AH296)&gt;0,", "&amp;AH$2,"")&amp;IF(N(AI296)&gt;0,", "&amp;AI$2,"")&amp;IF(N(AJ296)&gt;0,", "&amp;AJ$2,""),3,999)</f>
        <v/>
      </c>
      <c r="AM296" s="87" t="str">
        <f aca="false">IF(E296="","",MID(IF(N(Y296)&gt;0,", "&amp;A296&amp;"-"&amp;Y$2,"")&amp;IF(N(Z296)&gt;0,", "&amp;A296&amp;"-"&amp;Z$2,"")&amp;IF(N(AA296)&gt;0,", "&amp;A296&amp;"-"&amp;AA$2,"")&amp;IF(N(AB296)&gt;0,", "&amp;A296&amp;"-"&amp;AB$2,"")&amp;IF(N(AC296)&gt;0,", "&amp;A296&amp;"-"&amp;AC$2,"")&amp;IF(N(AD296)&gt;0,", "&amp;A296&amp;"-"&amp;AD$2,"")&amp;IF(N(AE296)&gt;0,", "&amp;A296&amp;"-"&amp;AE$2,"")&amp;IF(N(AF296)&gt;0,", "&amp;A296&amp;"-"&amp;AF$2,"")&amp;IF(N(AG296)&gt;0,", "&amp;A296&amp;"-"&amp;AG$2,"")&amp;IF(N(AH296)&gt;0,", "&amp;A296&amp;"-"&amp;AH$2,"")&amp;IF(N(AI296)&gt;0,", "&amp;A296&amp;"-"&amp;AI$2,"")&amp;IF(N(AJ296)&gt;0,", "&amp;A296&amp;"-"&amp;AJ$2,""),3,999))</f>
        <v/>
      </c>
      <c r="AN296" s="81"/>
      <c r="AO296" s="88"/>
      <c r="AP296" s="89" t="str">
        <f aca="false">IF(AO296="","",ROUND(AO296/(1+Справочники!$B$13),2))</f>
        <v/>
      </c>
      <c r="AQ296" s="90" t="str">
        <f aca="false" t="array" ref="AQ296:AQ296">IF(AP296="","",AP296*INDEX(Справочники!$B$4:$B$7,MATCH("RUB",Справочники!$A$4:$A$7,0)))</f>
        <v/>
      </c>
      <c r="AR296" s="90" t="str">
        <f aca="false">IF(AQ296="","",ROUND(AQ296*(1+Справочники!$B$12),0))</f>
        <v/>
      </c>
      <c r="AS296" s="90" t="str">
        <f aca="false">IF(AR296="","",ROUND(AR296*(1-Справочники!$B$11),0))</f>
        <v/>
      </c>
      <c r="AT296" s="88"/>
      <c r="AU296" s="90" t="str">
        <f aca="false">IF(AT296="","",ROUND(AT296/(1+Справочники!$B$12),0))</f>
        <v/>
      </c>
      <c r="AV296" s="90" t="str">
        <f aca="false">IF(AT296="","",ROUND(AT296*(1-Справочники!$B$15),0))</f>
        <v/>
      </c>
      <c r="AW296" s="90" t="str">
        <f aca="false">IF(AT296="","",ROUND(AT296*(1-Справочники!$B$16),0))</f>
        <v/>
      </c>
      <c r="AX296" s="90" t="str">
        <f aca="false">IF(AT296="","",ROUND(AT296*(1-Справочники!$B$17),0))</f>
        <v/>
      </c>
      <c r="AY296" s="90" t="str">
        <f aca="false">IF(AT296="","",ROUND(AT296*(1-Справочники!$B$18),0))</f>
        <v/>
      </c>
      <c r="AZ296" s="90" t="str">
        <f aca="false">IF(AT296="","",ROUND(AT296*(1-Справочники!$B$19),0))</f>
        <v/>
      </c>
      <c r="BA296" s="81"/>
      <c r="BB296" s="81"/>
      <c r="BC296" s="81"/>
      <c r="BD296" s="81"/>
      <c r="BE296" s="91"/>
      <c r="BF296" s="81" t="s">
        <v>103</v>
      </c>
      <c r="BG296" s="89" t="n">
        <f aca="false" t="array" ref="BG296:BG296">IF(BF296="","",IFERROR(INDEX(Справочники!$B$4:$B$7,MATCH(BF296,Справочники!$A$4:$A$7,0)),""))</f>
        <v>68.5</v>
      </c>
      <c r="BH296" s="90" t="str">
        <f aca="false">IF(N(BN296)&gt;0,ROUND(SUMIF(ЗАКАЗЫ!$F$3:$F$500,$A296,ЗАКАЗЫ!$Y$3:$Y$500)/BN296,0),IF(OR(BE296="",BG296=""),"",ROUND(BE296*BG296*(1+Справочники!$B$10),0)))</f>
        <v/>
      </c>
      <c r="BI296" s="92" t="str">
        <f aca="false">IF(OR(AU296="",BH296="",AU296=0),"",(AU296-BH296)/AU296)</f>
        <v/>
      </c>
      <c r="BJ296" s="81"/>
      <c r="BK296" s="83"/>
      <c r="BL296" s="43" t="str">
        <f aca="false">IFERROR(INDEX(ЗАКАЗЫ!$N$3:$N$500,MATCH($A296,ЗАКАЗЫ!$F$3:$F$500,0)),"")</f>
        <v/>
      </c>
      <c r="BM296" s="8" t="str">
        <f aca="false">IF(BL296="","",IFERROR(VLOOKUP(BL296,'ТН ВЭД'!$A$4:$C$40,3,0),""))</f>
        <v/>
      </c>
      <c r="BN296" s="7" t="str">
        <f aca="false">IF(COUNTIF(ЗАКАЗЫ!$F$3:$F$500,$A296)=0,"",SUMIF(ЗАКАЗЫ!$F$3:$F$500,$A296,ЗАКАЗЫ!$J$3:$J$500))</f>
        <v/>
      </c>
      <c r="BO296" s="7" t="str">
        <f aca="false">IF(BN296="","",SUMIF(ЗАКАЗЫ!$F$3:$F$500,$A296,ЗАКАЗЫ!$AL$3:$AL$500))</f>
        <v/>
      </c>
      <c r="BP296" s="7" t="str">
        <f aca="false">IF(BN296="","",BN296-BO296)</f>
        <v/>
      </c>
      <c r="BQ296" s="55" t="str">
        <f aca="false">IF(BN296="","",IF(BO296&gt;=BN296,"На складе",IF(BO296&gt;0,"Частично","Ждём")))</f>
        <v/>
      </c>
      <c r="BR296" s="43"/>
      <c r="BS296" s="47" t="str">
        <f aca="false">IF(BN296="","",IF(_xlfn.MAXIFS(ЗАКАЗЫ!$AK$3:$AK$500,ЗАКАЗЫ!$F$3:$F$500,$A296)=0,"",_xlfn.MAXIFS(ЗАКАЗЫ!$AK$3:$AK$500,ЗАКАЗЫ!$F$3:$F$500,$A296)))</f>
        <v/>
      </c>
    </row>
    <row r="297" customFormat="false" ht="15.75" hidden="false" customHeight="true" outlineLevel="0" collapsed="false">
      <c r="A297" s="80" t="s">
        <v>1820</v>
      </c>
      <c r="B297" s="81"/>
      <c r="C297" s="81"/>
      <c r="D297" s="81"/>
      <c r="E297" s="83"/>
      <c r="F297" s="81"/>
      <c r="G297" s="83"/>
      <c r="H297" s="83"/>
      <c r="I297" s="84" t="str">
        <f aca="false">IF(E297="","",A297&amp;"_1.jpg")</f>
        <v/>
      </c>
      <c r="J297" s="84" t="str">
        <f aca="false">IF(E297="","",A297&amp;"_2.jpg; "&amp;A297&amp;"_3.jpg")</f>
        <v/>
      </c>
      <c r="K297" s="84" t="str">
        <f aca="false">IF(E297="","",A297&amp;"_schema.jpg")</f>
        <v/>
      </c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 t="s">
        <v>96</v>
      </c>
      <c r="W297" s="81"/>
      <c r="X297" s="81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6" t="str">
        <f aca="false">IF(SUM(Y297:AJ297)=0,"",SUM(Y297:AJ297))</f>
        <v/>
      </c>
      <c r="AL297" s="84" t="str">
        <f aca="false">MID(IF(N(Y297)&gt;0,", "&amp;Y$2,"")&amp;IF(N(Z297)&gt;0,", "&amp;Z$2,"")&amp;IF(N(AA297)&gt;0,", "&amp;AA$2,"")&amp;IF(N(AB297)&gt;0,", "&amp;AB$2,"")&amp;IF(N(AC297)&gt;0,", "&amp;AC$2,"")&amp;IF(N(AD297)&gt;0,", "&amp;AD$2,"")&amp;IF(N(AE297)&gt;0,", "&amp;AE$2,"")&amp;IF(N(AF297)&gt;0,", "&amp;AF$2,"")&amp;IF(N(AG297)&gt;0,", "&amp;AG$2,"")&amp;IF(N(AH297)&gt;0,", "&amp;AH$2,"")&amp;IF(N(AI297)&gt;0,", "&amp;AI$2,"")&amp;IF(N(AJ297)&gt;0,", "&amp;AJ$2,""),3,999)</f>
        <v/>
      </c>
      <c r="AM297" s="87" t="str">
        <f aca="false">IF(E297="","",MID(IF(N(Y297)&gt;0,", "&amp;A297&amp;"-"&amp;Y$2,"")&amp;IF(N(Z297)&gt;0,", "&amp;A297&amp;"-"&amp;Z$2,"")&amp;IF(N(AA297)&gt;0,", "&amp;A297&amp;"-"&amp;AA$2,"")&amp;IF(N(AB297)&gt;0,", "&amp;A297&amp;"-"&amp;AB$2,"")&amp;IF(N(AC297)&gt;0,", "&amp;A297&amp;"-"&amp;AC$2,"")&amp;IF(N(AD297)&gt;0,", "&amp;A297&amp;"-"&amp;AD$2,"")&amp;IF(N(AE297)&gt;0,", "&amp;A297&amp;"-"&amp;AE$2,"")&amp;IF(N(AF297)&gt;0,", "&amp;A297&amp;"-"&amp;AF$2,"")&amp;IF(N(AG297)&gt;0,", "&amp;A297&amp;"-"&amp;AG$2,"")&amp;IF(N(AH297)&gt;0,", "&amp;A297&amp;"-"&amp;AH$2,"")&amp;IF(N(AI297)&gt;0,", "&amp;A297&amp;"-"&amp;AI$2,"")&amp;IF(N(AJ297)&gt;0,", "&amp;A297&amp;"-"&amp;AJ$2,""),3,999))</f>
        <v/>
      </c>
      <c r="AN297" s="81"/>
      <c r="AO297" s="88"/>
      <c r="AP297" s="89" t="str">
        <f aca="false">IF(AO297="","",ROUND(AO297/(1+Справочники!$B$13),2))</f>
        <v/>
      </c>
      <c r="AQ297" s="90" t="str">
        <f aca="false" t="array" ref="AQ297:AQ297">IF(AP297="","",AP297*INDEX(Справочники!$B$4:$B$7,MATCH("RUB",Справочники!$A$4:$A$7,0)))</f>
        <v/>
      </c>
      <c r="AR297" s="90" t="str">
        <f aca="false">IF(AQ297="","",ROUND(AQ297*(1+Справочники!$B$12),0))</f>
        <v/>
      </c>
      <c r="AS297" s="90" t="str">
        <f aca="false">IF(AR297="","",ROUND(AR297*(1-Справочники!$B$11),0))</f>
        <v/>
      </c>
      <c r="AT297" s="88"/>
      <c r="AU297" s="90" t="str">
        <f aca="false">IF(AT297="","",ROUND(AT297/(1+Справочники!$B$12),0))</f>
        <v/>
      </c>
      <c r="AV297" s="90" t="str">
        <f aca="false">IF(AT297="","",ROUND(AT297*(1-Справочники!$B$15),0))</f>
        <v/>
      </c>
      <c r="AW297" s="90" t="str">
        <f aca="false">IF(AT297="","",ROUND(AT297*(1-Справочники!$B$16),0))</f>
        <v/>
      </c>
      <c r="AX297" s="90" t="str">
        <f aca="false">IF(AT297="","",ROUND(AT297*(1-Справочники!$B$17),0))</f>
        <v/>
      </c>
      <c r="AY297" s="90" t="str">
        <f aca="false">IF(AT297="","",ROUND(AT297*(1-Справочники!$B$18),0))</f>
        <v/>
      </c>
      <c r="AZ297" s="90" t="str">
        <f aca="false">IF(AT297="","",ROUND(AT297*(1-Справочники!$B$19),0))</f>
        <v/>
      </c>
      <c r="BA297" s="81"/>
      <c r="BB297" s="81"/>
      <c r="BC297" s="81"/>
      <c r="BD297" s="81"/>
      <c r="BE297" s="91"/>
      <c r="BF297" s="81" t="s">
        <v>103</v>
      </c>
      <c r="BG297" s="89" t="n">
        <f aca="false" t="array" ref="BG297:BG297">IF(BF297="","",IFERROR(INDEX(Справочники!$B$4:$B$7,MATCH(BF297,Справочники!$A$4:$A$7,0)),""))</f>
        <v>68.5</v>
      </c>
      <c r="BH297" s="90" t="str">
        <f aca="false">IF(N(BN297)&gt;0,ROUND(SUMIF(ЗАКАЗЫ!$F$3:$F$500,$A297,ЗАКАЗЫ!$Y$3:$Y$500)/BN297,0),IF(OR(BE297="",BG297=""),"",ROUND(BE297*BG297*(1+Справочники!$B$10),0)))</f>
        <v/>
      </c>
      <c r="BI297" s="92" t="str">
        <f aca="false">IF(OR(AU297="",BH297="",AU297=0),"",(AU297-BH297)/AU297)</f>
        <v/>
      </c>
      <c r="BJ297" s="81"/>
      <c r="BK297" s="83"/>
      <c r="BL297" s="43" t="str">
        <f aca="false">IFERROR(INDEX(ЗАКАЗЫ!$N$3:$N$500,MATCH($A297,ЗАКАЗЫ!$F$3:$F$500,0)),"")</f>
        <v/>
      </c>
      <c r="BM297" s="8" t="str">
        <f aca="false">IF(BL297="","",IFERROR(VLOOKUP(BL297,'ТН ВЭД'!$A$4:$C$40,3,0),""))</f>
        <v/>
      </c>
      <c r="BN297" s="7" t="str">
        <f aca="false">IF(COUNTIF(ЗАКАЗЫ!$F$3:$F$500,$A297)=0,"",SUMIF(ЗАКАЗЫ!$F$3:$F$500,$A297,ЗАКАЗЫ!$J$3:$J$500))</f>
        <v/>
      </c>
      <c r="BO297" s="7" t="str">
        <f aca="false">IF(BN297="","",SUMIF(ЗАКАЗЫ!$F$3:$F$500,$A297,ЗАКАЗЫ!$AL$3:$AL$500))</f>
        <v/>
      </c>
      <c r="BP297" s="7" t="str">
        <f aca="false">IF(BN297="","",BN297-BO297)</f>
        <v/>
      </c>
      <c r="BQ297" s="55" t="str">
        <f aca="false">IF(BN297="","",IF(BO297&gt;=BN297,"На складе",IF(BO297&gt;0,"Частично","Ждём")))</f>
        <v/>
      </c>
      <c r="BR297" s="43"/>
      <c r="BS297" s="47" t="str">
        <f aca="false">IF(BN297="","",IF(_xlfn.MAXIFS(ЗАКАЗЫ!$AK$3:$AK$500,ЗАКАЗЫ!$F$3:$F$500,$A297)=0,"",_xlfn.MAXIFS(ЗАКАЗЫ!$AK$3:$AK$500,ЗАКАЗЫ!$F$3:$F$500,$A297)))</f>
        <v/>
      </c>
    </row>
    <row r="298" customFormat="false" ht="15.75" hidden="false" customHeight="true" outlineLevel="0" collapsed="false">
      <c r="A298" s="80" t="s">
        <v>1821</v>
      </c>
      <c r="B298" s="81"/>
      <c r="C298" s="81"/>
      <c r="D298" s="81"/>
      <c r="E298" s="83"/>
      <c r="F298" s="81"/>
      <c r="G298" s="83"/>
      <c r="H298" s="83"/>
      <c r="I298" s="84" t="str">
        <f aca="false">IF(E298="","",A298&amp;"_1.jpg")</f>
        <v/>
      </c>
      <c r="J298" s="84" t="str">
        <f aca="false">IF(E298="","",A298&amp;"_2.jpg; "&amp;A298&amp;"_3.jpg")</f>
        <v/>
      </c>
      <c r="K298" s="84" t="str">
        <f aca="false">IF(E298="","",A298&amp;"_schema.jpg")</f>
        <v/>
      </c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 t="s">
        <v>96</v>
      </c>
      <c r="W298" s="81"/>
      <c r="X298" s="81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6" t="str">
        <f aca="false">IF(SUM(Y298:AJ298)=0,"",SUM(Y298:AJ298))</f>
        <v/>
      </c>
      <c r="AL298" s="84" t="str">
        <f aca="false">MID(IF(N(Y298)&gt;0,", "&amp;Y$2,"")&amp;IF(N(Z298)&gt;0,", "&amp;Z$2,"")&amp;IF(N(AA298)&gt;0,", "&amp;AA$2,"")&amp;IF(N(AB298)&gt;0,", "&amp;AB$2,"")&amp;IF(N(AC298)&gt;0,", "&amp;AC$2,"")&amp;IF(N(AD298)&gt;0,", "&amp;AD$2,"")&amp;IF(N(AE298)&gt;0,", "&amp;AE$2,"")&amp;IF(N(AF298)&gt;0,", "&amp;AF$2,"")&amp;IF(N(AG298)&gt;0,", "&amp;AG$2,"")&amp;IF(N(AH298)&gt;0,", "&amp;AH$2,"")&amp;IF(N(AI298)&gt;0,", "&amp;AI$2,"")&amp;IF(N(AJ298)&gt;0,", "&amp;AJ$2,""),3,999)</f>
        <v/>
      </c>
      <c r="AM298" s="87" t="str">
        <f aca="false">IF(E298="","",MID(IF(N(Y298)&gt;0,", "&amp;A298&amp;"-"&amp;Y$2,"")&amp;IF(N(Z298)&gt;0,", "&amp;A298&amp;"-"&amp;Z$2,"")&amp;IF(N(AA298)&gt;0,", "&amp;A298&amp;"-"&amp;AA$2,"")&amp;IF(N(AB298)&gt;0,", "&amp;A298&amp;"-"&amp;AB$2,"")&amp;IF(N(AC298)&gt;0,", "&amp;A298&amp;"-"&amp;AC$2,"")&amp;IF(N(AD298)&gt;0,", "&amp;A298&amp;"-"&amp;AD$2,"")&amp;IF(N(AE298)&gt;0,", "&amp;A298&amp;"-"&amp;AE$2,"")&amp;IF(N(AF298)&gt;0,", "&amp;A298&amp;"-"&amp;AF$2,"")&amp;IF(N(AG298)&gt;0,", "&amp;A298&amp;"-"&amp;AG$2,"")&amp;IF(N(AH298)&gt;0,", "&amp;A298&amp;"-"&amp;AH$2,"")&amp;IF(N(AI298)&gt;0,", "&amp;A298&amp;"-"&amp;AI$2,"")&amp;IF(N(AJ298)&gt;0,", "&amp;A298&amp;"-"&amp;AJ$2,""),3,999))</f>
        <v/>
      </c>
      <c r="AN298" s="81"/>
      <c r="AO298" s="88"/>
      <c r="AP298" s="89" t="str">
        <f aca="false">IF(AO298="","",ROUND(AO298/(1+Справочники!$B$13),2))</f>
        <v/>
      </c>
      <c r="AQ298" s="90" t="str">
        <f aca="false" t="array" ref="AQ298:AQ298">IF(AP298="","",AP298*INDEX(Справочники!$B$4:$B$7,MATCH("RUB",Справочники!$A$4:$A$7,0)))</f>
        <v/>
      </c>
      <c r="AR298" s="90" t="str">
        <f aca="false">IF(AQ298="","",ROUND(AQ298*(1+Справочники!$B$12),0))</f>
        <v/>
      </c>
      <c r="AS298" s="90" t="str">
        <f aca="false">IF(AR298="","",ROUND(AR298*(1-Справочники!$B$11),0))</f>
        <v/>
      </c>
      <c r="AT298" s="88"/>
      <c r="AU298" s="90" t="str">
        <f aca="false">IF(AT298="","",ROUND(AT298/(1+Справочники!$B$12),0))</f>
        <v/>
      </c>
      <c r="AV298" s="90" t="str">
        <f aca="false">IF(AT298="","",ROUND(AT298*(1-Справочники!$B$15),0))</f>
        <v/>
      </c>
      <c r="AW298" s="90" t="str">
        <f aca="false">IF(AT298="","",ROUND(AT298*(1-Справочники!$B$16),0))</f>
        <v/>
      </c>
      <c r="AX298" s="90" t="str">
        <f aca="false">IF(AT298="","",ROUND(AT298*(1-Справочники!$B$17),0))</f>
        <v/>
      </c>
      <c r="AY298" s="90" t="str">
        <f aca="false">IF(AT298="","",ROUND(AT298*(1-Справочники!$B$18),0))</f>
        <v/>
      </c>
      <c r="AZ298" s="90" t="str">
        <f aca="false">IF(AT298="","",ROUND(AT298*(1-Справочники!$B$19),0))</f>
        <v/>
      </c>
      <c r="BA298" s="81"/>
      <c r="BB298" s="81"/>
      <c r="BC298" s="81"/>
      <c r="BD298" s="81"/>
      <c r="BE298" s="91"/>
      <c r="BF298" s="81" t="s">
        <v>103</v>
      </c>
      <c r="BG298" s="89" t="n">
        <f aca="false" t="array" ref="BG298:BG298">IF(BF298="","",IFERROR(INDEX(Справочники!$B$4:$B$7,MATCH(BF298,Справочники!$A$4:$A$7,0)),""))</f>
        <v>68.5</v>
      </c>
      <c r="BH298" s="90" t="str">
        <f aca="false">IF(N(BN298)&gt;0,ROUND(SUMIF(ЗАКАЗЫ!$F$3:$F$500,$A298,ЗАКАЗЫ!$Y$3:$Y$500)/BN298,0),IF(OR(BE298="",BG298=""),"",ROUND(BE298*BG298*(1+Справочники!$B$10),0)))</f>
        <v/>
      </c>
      <c r="BI298" s="92" t="str">
        <f aca="false">IF(OR(AU298="",BH298="",AU298=0),"",(AU298-BH298)/AU298)</f>
        <v/>
      </c>
      <c r="BJ298" s="81"/>
      <c r="BK298" s="83"/>
      <c r="BL298" s="43" t="str">
        <f aca="false">IFERROR(INDEX(ЗАКАЗЫ!$N$3:$N$500,MATCH($A298,ЗАКАЗЫ!$F$3:$F$500,0)),"")</f>
        <v/>
      </c>
      <c r="BM298" s="8" t="str">
        <f aca="false">IF(BL298="","",IFERROR(VLOOKUP(BL298,'ТН ВЭД'!$A$4:$C$40,3,0),""))</f>
        <v/>
      </c>
      <c r="BN298" s="7" t="str">
        <f aca="false">IF(COUNTIF(ЗАКАЗЫ!$F$3:$F$500,$A298)=0,"",SUMIF(ЗАКАЗЫ!$F$3:$F$500,$A298,ЗАКАЗЫ!$J$3:$J$500))</f>
        <v/>
      </c>
      <c r="BO298" s="7" t="str">
        <f aca="false">IF(BN298="","",SUMIF(ЗАКАЗЫ!$F$3:$F$500,$A298,ЗАКАЗЫ!$AL$3:$AL$500))</f>
        <v/>
      </c>
      <c r="BP298" s="7" t="str">
        <f aca="false">IF(BN298="","",BN298-BO298)</f>
        <v/>
      </c>
      <c r="BQ298" s="55" t="str">
        <f aca="false">IF(BN298="","",IF(BO298&gt;=BN298,"На складе",IF(BO298&gt;0,"Частично","Ждём")))</f>
        <v/>
      </c>
      <c r="BR298" s="43"/>
      <c r="BS298" s="47" t="str">
        <f aca="false">IF(BN298="","",IF(_xlfn.MAXIFS(ЗАКАЗЫ!$AK$3:$AK$500,ЗАКАЗЫ!$F$3:$F$500,$A298)=0,"",_xlfn.MAXIFS(ЗАКАЗЫ!$AK$3:$AK$500,ЗАКАЗЫ!$F$3:$F$500,$A298)))</f>
        <v/>
      </c>
    </row>
    <row r="299" customFormat="false" ht="15.75" hidden="false" customHeight="true" outlineLevel="0" collapsed="false">
      <c r="A299" s="80" t="s">
        <v>1822</v>
      </c>
      <c r="B299" s="81"/>
      <c r="C299" s="81"/>
      <c r="D299" s="81"/>
      <c r="E299" s="83"/>
      <c r="F299" s="81"/>
      <c r="G299" s="83"/>
      <c r="H299" s="83"/>
      <c r="I299" s="84" t="str">
        <f aca="false">IF(E299="","",A299&amp;"_1.jpg")</f>
        <v/>
      </c>
      <c r="J299" s="84" t="str">
        <f aca="false">IF(E299="","",A299&amp;"_2.jpg; "&amp;A299&amp;"_3.jpg")</f>
        <v/>
      </c>
      <c r="K299" s="84" t="str">
        <f aca="false">IF(E299="","",A299&amp;"_schema.jpg")</f>
        <v/>
      </c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 t="s">
        <v>96</v>
      </c>
      <c r="W299" s="81"/>
      <c r="X299" s="81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6" t="str">
        <f aca="false">IF(SUM(Y299:AJ299)=0,"",SUM(Y299:AJ299))</f>
        <v/>
      </c>
      <c r="AL299" s="84" t="str">
        <f aca="false">MID(IF(N(Y299)&gt;0,", "&amp;Y$2,"")&amp;IF(N(Z299)&gt;0,", "&amp;Z$2,"")&amp;IF(N(AA299)&gt;0,", "&amp;AA$2,"")&amp;IF(N(AB299)&gt;0,", "&amp;AB$2,"")&amp;IF(N(AC299)&gt;0,", "&amp;AC$2,"")&amp;IF(N(AD299)&gt;0,", "&amp;AD$2,"")&amp;IF(N(AE299)&gt;0,", "&amp;AE$2,"")&amp;IF(N(AF299)&gt;0,", "&amp;AF$2,"")&amp;IF(N(AG299)&gt;0,", "&amp;AG$2,"")&amp;IF(N(AH299)&gt;0,", "&amp;AH$2,"")&amp;IF(N(AI299)&gt;0,", "&amp;AI$2,"")&amp;IF(N(AJ299)&gt;0,", "&amp;AJ$2,""),3,999)</f>
        <v/>
      </c>
      <c r="AM299" s="87" t="str">
        <f aca="false">IF(E299="","",MID(IF(N(Y299)&gt;0,", "&amp;A299&amp;"-"&amp;Y$2,"")&amp;IF(N(Z299)&gt;0,", "&amp;A299&amp;"-"&amp;Z$2,"")&amp;IF(N(AA299)&gt;0,", "&amp;A299&amp;"-"&amp;AA$2,"")&amp;IF(N(AB299)&gt;0,", "&amp;A299&amp;"-"&amp;AB$2,"")&amp;IF(N(AC299)&gt;0,", "&amp;A299&amp;"-"&amp;AC$2,"")&amp;IF(N(AD299)&gt;0,", "&amp;A299&amp;"-"&amp;AD$2,"")&amp;IF(N(AE299)&gt;0,", "&amp;A299&amp;"-"&amp;AE$2,"")&amp;IF(N(AF299)&gt;0,", "&amp;A299&amp;"-"&amp;AF$2,"")&amp;IF(N(AG299)&gt;0,", "&amp;A299&amp;"-"&amp;AG$2,"")&amp;IF(N(AH299)&gt;0,", "&amp;A299&amp;"-"&amp;AH$2,"")&amp;IF(N(AI299)&gt;0,", "&amp;A299&amp;"-"&amp;AI$2,"")&amp;IF(N(AJ299)&gt;0,", "&amp;A299&amp;"-"&amp;AJ$2,""),3,999))</f>
        <v/>
      </c>
      <c r="AN299" s="81"/>
      <c r="AO299" s="88"/>
      <c r="AP299" s="89" t="str">
        <f aca="false">IF(AO299="","",ROUND(AO299/(1+Справочники!$B$13),2))</f>
        <v/>
      </c>
      <c r="AQ299" s="90" t="str">
        <f aca="false" t="array" ref="AQ299:AQ299">IF(AP299="","",AP299*INDEX(Справочники!$B$4:$B$7,MATCH("RUB",Справочники!$A$4:$A$7,0)))</f>
        <v/>
      </c>
      <c r="AR299" s="90" t="str">
        <f aca="false">IF(AQ299="","",ROUND(AQ299*(1+Справочники!$B$12),0))</f>
        <v/>
      </c>
      <c r="AS299" s="90" t="str">
        <f aca="false">IF(AR299="","",ROUND(AR299*(1-Справочники!$B$11),0))</f>
        <v/>
      </c>
      <c r="AT299" s="88"/>
      <c r="AU299" s="90" t="str">
        <f aca="false">IF(AT299="","",ROUND(AT299/(1+Справочники!$B$12),0))</f>
        <v/>
      </c>
      <c r="AV299" s="90" t="str">
        <f aca="false">IF(AT299="","",ROUND(AT299*(1-Справочники!$B$15),0))</f>
        <v/>
      </c>
      <c r="AW299" s="90" t="str">
        <f aca="false">IF(AT299="","",ROUND(AT299*(1-Справочники!$B$16),0))</f>
        <v/>
      </c>
      <c r="AX299" s="90" t="str">
        <f aca="false">IF(AT299="","",ROUND(AT299*(1-Справочники!$B$17),0))</f>
        <v/>
      </c>
      <c r="AY299" s="90" t="str">
        <f aca="false">IF(AT299="","",ROUND(AT299*(1-Справочники!$B$18),0))</f>
        <v/>
      </c>
      <c r="AZ299" s="90" t="str">
        <f aca="false">IF(AT299="","",ROUND(AT299*(1-Справочники!$B$19),0))</f>
        <v/>
      </c>
      <c r="BA299" s="81"/>
      <c r="BB299" s="81"/>
      <c r="BC299" s="81"/>
      <c r="BD299" s="81"/>
      <c r="BE299" s="91"/>
      <c r="BF299" s="81" t="s">
        <v>103</v>
      </c>
      <c r="BG299" s="89" t="n">
        <f aca="false" t="array" ref="BG299:BG299">IF(BF299="","",IFERROR(INDEX(Справочники!$B$4:$B$7,MATCH(BF299,Справочники!$A$4:$A$7,0)),""))</f>
        <v>68.5</v>
      </c>
      <c r="BH299" s="90" t="str">
        <f aca="false">IF(N(BN299)&gt;0,ROUND(SUMIF(ЗАКАЗЫ!$F$3:$F$500,$A299,ЗАКАЗЫ!$Y$3:$Y$500)/BN299,0),IF(OR(BE299="",BG299=""),"",ROUND(BE299*BG299*(1+Справочники!$B$10),0)))</f>
        <v/>
      </c>
      <c r="BI299" s="92" t="str">
        <f aca="false">IF(OR(AU299="",BH299="",AU299=0),"",(AU299-BH299)/AU299)</f>
        <v/>
      </c>
      <c r="BJ299" s="81"/>
      <c r="BK299" s="83"/>
      <c r="BL299" s="43" t="str">
        <f aca="false">IFERROR(INDEX(ЗАКАЗЫ!$N$3:$N$500,MATCH($A299,ЗАКАЗЫ!$F$3:$F$500,0)),"")</f>
        <v/>
      </c>
      <c r="BM299" s="8" t="str">
        <f aca="false">IF(BL299="","",IFERROR(VLOOKUP(BL299,'ТН ВЭД'!$A$4:$C$40,3,0),""))</f>
        <v/>
      </c>
      <c r="BN299" s="7" t="str">
        <f aca="false">IF(COUNTIF(ЗАКАЗЫ!$F$3:$F$500,$A299)=0,"",SUMIF(ЗАКАЗЫ!$F$3:$F$500,$A299,ЗАКАЗЫ!$J$3:$J$500))</f>
        <v/>
      </c>
      <c r="BO299" s="7" t="str">
        <f aca="false">IF(BN299="","",SUMIF(ЗАКАЗЫ!$F$3:$F$500,$A299,ЗАКАЗЫ!$AL$3:$AL$500))</f>
        <v/>
      </c>
      <c r="BP299" s="7" t="str">
        <f aca="false">IF(BN299="","",BN299-BO299)</f>
        <v/>
      </c>
      <c r="BQ299" s="55" t="str">
        <f aca="false">IF(BN299="","",IF(BO299&gt;=BN299,"На складе",IF(BO299&gt;0,"Частично","Ждём")))</f>
        <v/>
      </c>
      <c r="BR299" s="43"/>
      <c r="BS299" s="47" t="str">
        <f aca="false">IF(BN299="","",IF(_xlfn.MAXIFS(ЗАКАЗЫ!$AK$3:$AK$500,ЗАКАЗЫ!$F$3:$F$500,$A299)=0,"",_xlfn.MAXIFS(ЗАКАЗЫ!$AK$3:$AK$500,ЗАКАЗЫ!$F$3:$F$500,$A299)))</f>
        <v/>
      </c>
    </row>
    <row r="300" customFormat="false" ht="15.75" hidden="false" customHeight="true" outlineLevel="0" collapsed="false">
      <c r="A300" s="80" t="s">
        <v>1823</v>
      </c>
      <c r="B300" s="81"/>
      <c r="C300" s="81"/>
      <c r="D300" s="81"/>
      <c r="E300" s="83"/>
      <c r="F300" s="81"/>
      <c r="G300" s="83"/>
      <c r="H300" s="83"/>
      <c r="I300" s="84" t="str">
        <f aca="false">IF(E300="","",A300&amp;"_1.jpg")</f>
        <v/>
      </c>
      <c r="J300" s="84" t="str">
        <f aca="false">IF(E300="","",A300&amp;"_2.jpg; "&amp;A300&amp;"_3.jpg")</f>
        <v/>
      </c>
      <c r="K300" s="84" t="str">
        <f aca="false">IF(E300="","",A300&amp;"_schema.jpg")</f>
        <v/>
      </c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 t="s">
        <v>96</v>
      </c>
      <c r="W300" s="81"/>
      <c r="X300" s="81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6" t="str">
        <f aca="false">IF(SUM(Y300:AJ300)=0,"",SUM(Y300:AJ300))</f>
        <v/>
      </c>
      <c r="AL300" s="84" t="str">
        <f aca="false">MID(IF(N(Y300)&gt;0,", "&amp;Y$2,"")&amp;IF(N(Z300)&gt;0,", "&amp;Z$2,"")&amp;IF(N(AA300)&gt;0,", "&amp;AA$2,"")&amp;IF(N(AB300)&gt;0,", "&amp;AB$2,"")&amp;IF(N(AC300)&gt;0,", "&amp;AC$2,"")&amp;IF(N(AD300)&gt;0,", "&amp;AD$2,"")&amp;IF(N(AE300)&gt;0,", "&amp;AE$2,"")&amp;IF(N(AF300)&gt;0,", "&amp;AF$2,"")&amp;IF(N(AG300)&gt;0,", "&amp;AG$2,"")&amp;IF(N(AH300)&gt;0,", "&amp;AH$2,"")&amp;IF(N(AI300)&gt;0,", "&amp;AI$2,"")&amp;IF(N(AJ300)&gt;0,", "&amp;AJ$2,""),3,999)</f>
        <v/>
      </c>
      <c r="AM300" s="87" t="str">
        <f aca="false">IF(E300="","",MID(IF(N(Y300)&gt;0,", "&amp;A300&amp;"-"&amp;Y$2,"")&amp;IF(N(Z300)&gt;0,", "&amp;A300&amp;"-"&amp;Z$2,"")&amp;IF(N(AA300)&gt;0,", "&amp;A300&amp;"-"&amp;AA$2,"")&amp;IF(N(AB300)&gt;0,", "&amp;A300&amp;"-"&amp;AB$2,"")&amp;IF(N(AC300)&gt;0,", "&amp;A300&amp;"-"&amp;AC$2,"")&amp;IF(N(AD300)&gt;0,", "&amp;A300&amp;"-"&amp;AD$2,"")&amp;IF(N(AE300)&gt;0,", "&amp;A300&amp;"-"&amp;AE$2,"")&amp;IF(N(AF300)&gt;0,", "&amp;A300&amp;"-"&amp;AF$2,"")&amp;IF(N(AG300)&gt;0,", "&amp;A300&amp;"-"&amp;AG$2,"")&amp;IF(N(AH300)&gt;0,", "&amp;A300&amp;"-"&amp;AH$2,"")&amp;IF(N(AI300)&gt;0,", "&amp;A300&amp;"-"&amp;AI$2,"")&amp;IF(N(AJ300)&gt;0,", "&amp;A300&amp;"-"&amp;AJ$2,""),3,999))</f>
        <v/>
      </c>
      <c r="AN300" s="81"/>
      <c r="AO300" s="88"/>
      <c r="AP300" s="89" t="str">
        <f aca="false">IF(AO300="","",ROUND(AO300/(1+Справочники!$B$13),2))</f>
        <v/>
      </c>
      <c r="AQ300" s="90" t="str">
        <f aca="false" t="array" ref="AQ300:AQ300">IF(AP300="","",AP300*INDEX(Справочники!$B$4:$B$7,MATCH("RUB",Справочники!$A$4:$A$7,0)))</f>
        <v/>
      </c>
      <c r="AR300" s="90" t="str">
        <f aca="false">IF(AQ300="","",ROUND(AQ300*(1+Справочники!$B$12),0))</f>
        <v/>
      </c>
      <c r="AS300" s="90" t="str">
        <f aca="false">IF(AR300="","",ROUND(AR300*(1-Справочники!$B$11),0))</f>
        <v/>
      </c>
      <c r="AT300" s="88"/>
      <c r="AU300" s="90" t="str">
        <f aca="false">IF(AT300="","",ROUND(AT300/(1+Справочники!$B$12),0))</f>
        <v/>
      </c>
      <c r="AV300" s="90" t="str">
        <f aca="false">IF(AT300="","",ROUND(AT300*(1-Справочники!$B$15),0))</f>
        <v/>
      </c>
      <c r="AW300" s="90" t="str">
        <f aca="false">IF(AT300="","",ROUND(AT300*(1-Справочники!$B$16),0))</f>
        <v/>
      </c>
      <c r="AX300" s="90" t="str">
        <f aca="false">IF(AT300="","",ROUND(AT300*(1-Справочники!$B$17),0))</f>
        <v/>
      </c>
      <c r="AY300" s="90" t="str">
        <f aca="false">IF(AT300="","",ROUND(AT300*(1-Справочники!$B$18),0))</f>
        <v/>
      </c>
      <c r="AZ300" s="90" t="str">
        <f aca="false">IF(AT300="","",ROUND(AT300*(1-Справочники!$B$19),0))</f>
        <v/>
      </c>
      <c r="BA300" s="81"/>
      <c r="BB300" s="81"/>
      <c r="BC300" s="81"/>
      <c r="BD300" s="81"/>
      <c r="BE300" s="91"/>
      <c r="BF300" s="81" t="s">
        <v>103</v>
      </c>
      <c r="BG300" s="89" t="n">
        <f aca="false" t="array" ref="BG300:BG300">IF(BF300="","",IFERROR(INDEX(Справочники!$B$4:$B$7,MATCH(BF300,Справочники!$A$4:$A$7,0)),""))</f>
        <v>68.5</v>
      </c>
      <c r="BH300" s="90" t="str">
        <f aca="false">IF(N(BN300)&gt;0,ROUND(SUMIF(ЗАКАЗЫ!$F$3:$F$500,$A300,ЗАКАЗЫ!$Y$3:$Y$500)/BN300,0),IF(OR(BE300="",BG300=""),"",ROUND(BE300*BG300*(1+Справочники!$B$10),0)))</f>
        <v/>
      </c>
      <c r="BI300" s="92" t="str">
        <f aca="false">IF(OR(AU300="",BH300="",AU300=0),"",(AU300-BH300)/AU300)</f>
        <v/>
      </c>
      <c r="BJ300" s="81"/>
      <c r="BK300" s="83"/>
      <c r="BL300" s="43" t="str">
        <f aca="false">IFERROR(INDEX(ЗАКАЗЫ!$N$3:$N$500,MATCH($A300,ЗАКАЗЫ!$F$3:$F$500,0)),"")</f>
        <v/>
      </c>
      <c r="BM300" s="8" t="str">
        <f aca="false">IF(BL300="","",IFERROR(VLOOKUP(BL300,'ТН ВЭД'!$A$4:$C$40,3,0),""))</f>
        <v/>
      </c>
      <c r="BN300" s="7" t="str">
        <f aca="false">IF(COUNTIF(ЗАКАЗЫ!$F$3:$F$500,$A300)=0,"",SUMIF(ЗАКАЗЫ!$F$3:$F$500,$A300,ЗАКАЗЫ!$J$3:$J$500))</f>
        <v/>
      </c>
      <c r="BO300" s="7" t="str">
        <f aca="false">IF(BN300="","",SUMIF(ЗАКАЗЫ!$F$3:$F$500,$A300,ЗАКАЗЫ!$AL$3:$AL$500))</f>
        <v/>
      </c>
      <c r="BP300" s="7" t="str">
        <f aca="false">IF(BN300="","",BN300-BO300)</f>
        <v/>
      </c>
      <c r="BQ300" s="55" t="str">
        <f aca="false">IF(BN300="","",IF(BO300&gt;=BN300,"На складе",IF(BO300&gt;0,"Частично","Ждём")))</f>
        <v/>
      </c>
      <c r="BR300" s="43"/>
      <c r="BS300" s="47" t="str">
        <f aca="false">IF(BN300="","",IF(_xlfn.MAXIFS(ЗАКАЗЫ!$AK$3:$AK$500,ЗАКАЗЫ!$F$3:$F$500,$A300)=0,"",_xlfn.MAXIFS(ЗАКАЗЫ!$AK$3:$AK$500,ЗАКАЗЫ!$F$3:$F$500,$A300)))</f>
        <v/>
      </c>
    </row>
    <row r="301" customFormat="false" ht="15.75" hidden="false" customHeight="true" outlineLevel="0" collapsed="false">
      <c r="A301" s="80" t="s">
        <v>1824</v>
      </c>
      <c r="B301" s="81"/>
      <c r="C301" s="81"/>
      <c r="D301" s="81"/>
      <c r="E301" s="83"/>
      <c r="F301" s="81"/>
      <c r="G301" s="83"/>
      <c r="H301" s="83"/>
      <c r="I301" s="84" t="str">
        <f aca="false">IF(E301="","",A301&amp;"_1.jpg")</f>
        <v/>
      </c>
      <c r="J301" s="84" t="str">
        <f aca="false">IF(E301="","",A301&amp;"_2.jpg; "&amp;A301&amp;"_3.jpg")</f>
        <v/>
      </c>
      <c r="K301" s="84" t="str">
        <f aca="false">IF(E301="","",A301&amp;"_schema.jpg")</f>
        <v/>
      </c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 t="s">
        <v>96</v>
      </c>
      <c r="W301" s="81"/>
      <c r="X301" s="81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6" t="str">
        <f aca="false">IF(SUM(Y301:AJ301)=0,"",SUM(Y301:AJ301))</f>
        <v/>
      </c>
      <c r="AL301" s="84" t="str">
        <f aca="false">MID(IF(N(Y301)&gt;0,", "&amp;Y$2,"")&amp;IF(N(Z301)&gt;0,", "&amp;Z$2,"")&amp;IF(N(AA301)&gt;0,", "&amp;AA$2,"")&amp;IF(N(AB301)&gt;0,", "&amp;AB$2,"")&amp;IF(N(AC301)&gt;0,", "&amp;AC$2,"")&amp;IF(N(AD301)&gt;0,", "&amp;AD$2,"")&amp;IF(N(AE301)&gt;0,", "&amp;AE$2,"")&amp;IF(N(AF301)&gt;0,", "&amp;AF$2,"")&amp;IF(N(AG301)&gt;0,", "&amp;AG$2,"")&amp;IF(N(AH301)&gt;0,", "&amp;AH$2,"")&amp;IF(N(AI301)&gt;0,", "&amp;AI$2,"")&amp;IF(N(AJ301)&gt;0,", "&amp;AJ$2,""),3,999)</f>
        <v/>
      </c>
      <c r="AM301" s="87" t="str">
        <f aca="false">IF(E301="","",MID(IF(N(Y301)&gt;0,", "&amp;A301&amp;"-"&amp;Y$2,"")&amp;IF(N(Z301)&gt;0,", "&amp;A301&amp;"-"&amp;Z$2,"")&amp;IF(N(AA301)&gt;0,", "&amp;A301&amp;"-"&amp;AA$2,"")&amp;IF(N(AB301)&gt;0,", "&amp;A301&amp;"-"&amp;AB$2,"")&amp;IF(N(AC301)&gt;0,", "&amp;A301&amp;"-"&amp;AC$2,"")&amp;IF(N(AD301)&gt;0,", "&amp;A301&amp;"-"&amp;AD$2,"")&amp;IF(N(AE301)&gt;0,", "&amp;A301&amp;"-"&amp;AE$2,"")&amp;IF(N(AF301)&gt;0,", "&amp;A301&amp;"-"&amp;AF$2,"")&amp;IF(N(AG301)&gt;0,", "&amp;A301&amp;"-"&amp;AG$2,"")&amp;IF(N(AH301)&gt;0,", "&amp;A301&amp;"-"&amp;AH$2,"")&amp;IF(N(AI301)&gt;0,", "&amp;A301&amp;"-"&amp;AI$2,"")&amp;IF(N(AJ301)&gt;0,", "&amp;A301&amp;"-"&amp;AJ$2,""),3,999))</f>
        <v/>
      </c>
      <c r="AN301" s="81"/>
      <c r="AO301" s="88"/>
      <c r="AP301" s="89" t="str">
        <f aca="false">IF(AO301="","",ROUND(AO301/(1+Справочники!$B$13),2))</f>
        <v/>
      </c>
      <c r="AQ301" s="90" t="str">
        <f aca="false" t="array" ref="AQ301:AQ301">IF(AP301="","",AP301*INDEX(Справочники!$B$4:$B$7,MATCH("RUB",Справочники!$A$4:$A$7,0)))</f>
        <v/>
      </c>
      <c r="AR301" s="90" t="str">
        <f aca="false">IF(AQ301="","",ROUND(AQ301*(1+Справочники!$B$12),0))</f>
        <v/>
      </c>
      <c r="AS301" s="90" t="str">
        <f aca="false">IF(AR301="","",ROUND(AR301*(1-Справочники!$B$11),0))</f>
        <v/>
      </c>
      <c r="AT301" s="88"/>
      <c r="AU301" s="90" t="str">
        <f aca="false">IF(AT301="","",ROUND(AT301/(1+Справочники!$B$12),0))</f>
        <v/>
      </c>
      <c r="AV301" s="90" t="str">
        <f aca="false">IF(AT301="","",ROUND(AT301*(1-Справочники!$B$15),0))</f>
        <v/>
      </c>
      <c r="AW301" s="90" t="str">
        <f aca="false">IF(AT301="","",ROUND(AT301*(1-Справочники!$B$16),0))</f>
        <v/>
      </c>
      <c r="AX301" s="90" t="str">
        <f aca="false">IF(AT301="","",ROUND(AT301*(1-Справочники!$B$17),0))</f>
        <v/>
      </c>
      <c r="AY301" s="90" t="str">
        <f aca="false">IF(AT301="","",ROUND(AT301*(1-Справочники!$B$18),0))</f>
        <v/>
      </c>
      <c r="AZ301" s="90" t="str">
        <f aca="false">IF(AT301="","",ROUND(AT301*(1-Справочники!$B$19),0))</f>
        <v/>
      </c>
      <c r="BA301" s="81"/>
      <c r="BB301" s="81"/>
      <c r="BC301" s="81"/>
      <c r="BD301" s="81"/>
      <c r="BE301" s="91"/>
      <c r="BF301" s="81" t="s">
        <v>103</v>
      </c>
      <c r="BG301" s="89" t="n">
        <f aca="false" t="array" ref="BG301:BG301">IF(BF301="","",IFERROR(INDEX(Справочники!$B$4:$B$7,MATCH(BF301,Справочники!$A$4:$A$7,0)),""))</f>
        <v>68.5</v>
      </c>
      <c r="BH301" s="90" t="str">
        <f aca="false">IF(N(BN301)&gt;0,ROUND(SUMIF(ЗАКАЗЫ!$F$3:$F$500,$A301,ЗАКАЗЫ!$Y$3:$Y$500)/BN301,0),IF(OR(BE301="",BG301=""),"",ROUND(BE301*BG301*(1+Справочники!$B$10),0)))</f>
        <v/>
      </c>
      <c r="BI301" s="92" t="str">
        <f aca="false">IF(OR(AU301="",BH301="",AU301=0),"",(AU301-BH301)/AU301)</f>
        <v/>
      </c>
      <c r="BJ301" s="81"/>
      <c r="BK301" s="83"/>
      <c r="BL301" s="43" t="str">
        <f aca="false">IFERROR(INDEX(ЗАКАЗЫ!$N$3:$N$500,MATCH($A301,ЗАКАЗЫ!$F$3:$F$500,0)),"")</f>
        <v/>
      </c>
      <c r="BM301" s="8" t="str">
        <f aca="false">IF(BL301="","",IFERROR(VLOOKUP(BL301,'ТН ВЭД'!$A$4:$C$40,3,0),""))</f>
        <v/>
      </c>
      <c r="BN301" s="7" t="str">
        <f aca="false">IF(COUNTIF(ЗАКАЗЫ!$F$3:$F$500,$A301)=0,"",SUMIF(ЗАКАЗЫ!$F$3:$F$500,$A301,ЗАКАЗЫ!$J$3:$J$500))</f>
        <v/>
      </c>
      <c r="BO301" s="7" t="str">
        <f aca="false">IF(BN301="","",SUMIF(ЗАКАЗЫ!$F$3:$F$500,$A301,ЗАКАЗЫ!$AL$3:$AL$500))</f>
        <v/>
      </c>
      <c r="BP301" s="7" t="str">
        <f aca="false">IF(BN301="","",BN301-BO301)</f>
        <v/>
      </c>
      <c r="BQ301" s="55" t="str">
        <f aca="false">IF(BN301="","",IF(BO301&gt;=BN301,"На складе",IF(BO301&gt;0,"Частично","Ждём")))</f>
        <v/>
      </c>
      <c r="BR301" s="43"/>
      <c r="BS301" s="47" t="str">
        <f aca="false">IF(BN301="","",IF(_xlfn.MAXIFS(ЗАКАЗЫ!$AK$3:$AK$500,ЗАКАЗЫ!$F$3:$F$500,$A301)=0,"",_xlfn.MAXIFS(ЗАКАЗЫ!$AK$3:$AK$500,ЗАКАЗЫ!$F$3:$F$500,$A301)))</f>
        <v/>
      </c>
    </row>
    <row r="302" customFormat="false" ht="15.75" hidden="false" customHeight="true" outlineLevel="0" collapsed="false">
      <c r="A302" s="80" t="s">
        <v>1825</v>
      </c>
      <c r="B302" s="81"/>
      <c r="C302" s="81"/>
      <c r="D302" s="81"/>
      <c r="E302" s="83"/>
      <c r="F302" s="81"/>
      <c r="G302" s="83"/>
      <c r="H302" s="83"/>
      <c r="I302" s="84" t="str">
        <f aca="false">IF(E302="","",A302&amp;"_1.jpg")</f>
        <v/>
      </c>
      <c r="J302" s="84" t="str">
        <f aca="false">IF(E302="","",A302&amp;"_2.jpg; "&amp;A302&amp;"_3.jpg")</f>
        <v/>
      </c>
      <c r="K302" s="84" t="str">
        <f aca="false">IF(E302="","",A302&amp;"_schema.jpg")</f>
        <v/>
      </c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 t="s">
        <v>96</v>
      </c>
      <c r="W302" s="81"/>
      <c r="X302" s="81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6" t="str">
        <f aca="false">IF(SUM(Y302:AJ302)=0,"",SUM(Y302:AJ302))</f>
        <v/>
      </c>
      <c r="AL302" s="84" t="str">
        <f aca="false">MID(IF(N(Y302)&gt;0,", "&amp;Y$2,"")&amp;IF(N(Z302)&gt;0,", "&amp;Z$2,"")&amp;IF(N(AA302)&gt;0,", "&amp;AA$2,"")&amp;IF(N(AB302)&gt;0,", "&amp;AB$2,"")&amp;IF(N(AC302)&gt;0,", "&amp;AC$2,"")&amp;IF(N(AD302)&gt;0,", "&amp;AD$2,"")&amp;IF(N(AE302)&gt;0,", "&amp;AE$2,"")&amp;IF(N(AF302)&gt;0,", "&amp;AF$2,"")&amp;IF(N(AG302)&gt;0,", "&amp;AG$2,"")&amp;IF(N(AH302)&gt;0,", "&amp;AH$2,"")&amp;IF(N(AI302)&gt;0,", "&amp;AI$2,"")&amp;IF(N(AJ302)&gt;0,", "&amp;AJ$2,""),3,999)</f>
        <v/>
      </c>
      <c r="AM302" s="87" t="str">
        <f aca="false">IF(E302="","",MID(IF(N(Y302)&gt;0,", "&amp;A302&amp;"-"&amp;Y$2,"")&amp;IF(N(Z302)&gt;0,", "&amp;A302&amp;"-"&amp;Z$2,"")&amp;IF(N(AA302)&gt;0,", "&amp;A302&amp;"-"&amp;AA$2,"")&amp;IF(N(AB302)&gt;0,", "&amp;A302&amp;"-"&amp;AB$2,"")&amp;IF(N(AC302)&gt;0,", "&amp;A302&amp;"-"&amp;AC$2,"")&amp;IF(N(AD302)&gt;0,", "&amp;A302&amp;"-"&amp;AD$2,"")&amp;IF(N(AE302)&gt;0,", "&amp;A302&amp;"-"&amp;AE$2,"")&amp;IF(N(AF302)&gt;0,", "&amp;A302&amp;"-"&amp;AF$2,"")&amp;IF(N(AG302)&gt;0,", "&amp;A302&amp;"-"&amp;AG$2,"")&amp;IF(N(AH302)&gt;0,", "&amp;A302&amp;"-"&amp;AH$2,"")&amp;IF(N(AI302)&gt;0,", "&amp;A302&amp;"-"&amp;AI$2,"")&amp;IF(N(AJ302)&gt;0,", "&amp;A302&amp;"-"&amp;AJ$2,""),3,999))</f>
        <v/>
      </c>
      <c r="AN302" s="81"/>
      <c r="AO302" s="88"/>
      <c r="AP302" s="89" t="str">
        <f aca="false">IF(AO302="","",ROUND(AO302/(1+Справочники!$B$13),2))</f>
        <v/>
      </c>
      <c r="AQ302" s="90" t="str">
        <f aca="false" t="array" ref="AQ302:AQ302">IF(AP302="","",AP302*INDEX(Справочники!$B$4:$B$7,MATCH("RUB",Справочники!$A$4:$A$7,0)))</f>
        <v/>
      </c>
      <c r="AR302" s="90" t="str">
        <f aca="false">IF(AQ302="","",ROUND(AQ302*(1+Справочники!$B$12),0))</f>
        <v/>
      </c>
      <c r="AS302" s="90" t="str">
        <f aca="false">IF(AR302="","",ROUND(AR302*(1-Справочники!$B$11),0))</f>
        <v/>
      </c>
      <c r="AT302" s="88"/>
      <c r="AU302" s="90" t="str">
        <f aca="false">IF(AT302="","",ROUND(AT302/(1+Справочники!$B$12),0))</f>
        <v/>
      </c>
      <c r="AV302" s="90" t="str">
        <f aca="false">IF(AT302="","",ROUND(AT302*(1-Справочники!$B$15),0))</f>
        <v/>
      </c>
      <c r="AW302" s="90" t="str">
        <f aca="false">IF(AT302="","",ROUND(AT302*(1-Справочники!$B$16),0))</f>
        <v/>
      </c>
      <c r="AX302" s="90" t="str">
        <f aca="false">IF(AT302="","",ROUND(AT302*(1-Справочники!$B$17),0))</f>
        <v/>
      </c>
      <c r="AY302" s="90" t="str">
        <f aca="false">IF(AT302="","",ROUND(AT302*(1-Справочники!$B$18),0))</f>
        <v/>
      </c>
      <c r="AZ302" s="90" t="str">
        <f aca="false">IF(AT302="","",ROUND(AT302*(1-Справочники!$B$19),0))</f>
        <v/>
      </c>
      <c r="BA302" s="81"/>
      <c r="BB302" s="81"/>
      <c r="BC302" s="81"/>
      <c r="BD302" s="81"/>
      <c r="BE302" s="91"/>
      <c r="BF302" s="81" t="s">
        <v>103</v>
      </c>
      <c r="BG302" s="89" t="n">
        <f aca="false" t="array" ref="BG302:BG302">IF(BF302="","",IFERROR(INDEX(Справочники!$B$4:$B$7,MATCH(BF302,Справочники!$A$4:$A$7,0)),""))</f>
        <v>68.5</v>
      </c>
      <c r="BH302" s="90" t="str">
        <f aca="false">IF(N(BN302)&gt;0,ROUND(SUMIF(ЗАКАЗЫ!$F$3:$F$500,$A302,ЗАКАЗЫ!$Y$3:$Y$500)/BN302,0),IF(OR(BE302="",BG302=""),"",ROUND(BE302*BG302*(1+Справочники!$B$10),0)))</f>
        <v/>
      </c>
      <c r="BI302" s="92" t="str">
        <f aca="false">IF(OR(AU302="",BH302="",AU302=0),"",(AU302-BH302)/AU302)</f>
        <v/>
      </c>
      <c r="BJ302" s="81"/>
      <c r="BK302" s="83"/>
      <c r="BL302" s="43" t="str">
        <f aca="false">IFERROR(INDEX(ЗАКАЗЫ!$N$3:$N$500,MATCH($A302,ЗАКАЗЫ!$F$3:$F$500,0)),"")</f>
        <v/>
      </c>
      <c r="BM302" s="8" t="str">
        <f aca="false">IF(BL302="","",IFERROR(VLOOKUP(BL302,'ТН ВЭД'!$A$4:$C$40,3,0),""))</f>
        <v/>
      </c>
      <c r="BN302" s="7" t="str">
        <f aca="false">IF(COUNTIF(ЗАКАЗЫ!$F$3:$F$500,$A302)=0,"",SUMIF(ЗАКАЗЫ!$F$3:$F$500,$A302,ЗАКАЗЫ!$J$3:$J$500))</f>
        <v/>
      </c>
      <c r="BO302" s="7" t="str">
        <f aca="false">IF(BN302="","",SUMIF(ЗАКАЗЫ!$F$3:$F$500,$A302,ЗАКАЗЫ!$AL$3:$AL$500))</f>
        <v/>
      </c>
      <c r="BP302" s="7" t="str">
        <f aca="false">IF(BN302="","",BN302-BO302)</f>
        <v/>
      </c>
      <c r="BQ302" s="55" t="str">
        <f aca="false">IF(BN302="","",IF(BO302&gt;=BN302,"На складе",IF(BO302&gt;0,"Частично","Ждём")))</f>
        <v/>
      </c>
      <c r="BR302" s="43"/>
      <c r="BS302" s="47" t="str">
        <f aca="false">IF(BN302="","",IF(_xlfn.MAXIFS(ЗАКАЗЫ!$AK$3:$AK$500,ЗАКАЗЫ!$F$3:$F$500,$A302)=0,"",_xlfn.MAXIFS(ЗАКАЗЫ!$AK$3:$AK$500,ЗАКАЗЫ!$F$3:$F$500,$A302)))</f>
        <v/>
      </c>
    </row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2:BK302"/>
  <mergeCells count="7">
    <mergeCell ref="A1:H1"/>
    <mergeCell ref="I1:M1"/>
    <mergeCell ref="N1:X1"/>
    <mergeCell ref="Y1:AM1"/>
    <mergeCell ref="AN1:BA1"/>
    <mergeCell ref="BB1:BK1"/>
    <mergeCell ref="BL1:BS1"/>
  </mergeCells>
  <conditionalFormatting sqref="Y3:AJ302">
    <cfRule type="expression" priority="2" aboveAverage="0" equalAverage="0" bottom="0" percent="0" rank="0" text="" dxfId="28">
      <formula>N(Y3)&gt;0</formula>
    </cfRule>
  </conditionalFormatting>
  <conditionalFormatting sqref="A3:A302">
    <cfRule type="expression" priority="3" aboveAverage="0" equalAverage="0" bottom="0" percent="0" rank="0" text="" dxfId="29">
      <formula>$E3=""</formula>
    </cfRule>
  </conditionalFormatting>
  <conditionalFormatting sqref="A3:BK302">
    <cfRule type="expression" priority="4" aboveAverage="0" equalAverage="0" bottom="0" percent="0" rank="0" text="" dxfId="30">
      <formula>$B3="Снят"</formula>
    </cfRule>
  </conditionalFormatting>
  <conditionalFormatting sqref="D3:D302">
    <cfRule type="expression" priority="5" aboveAverage="0" equalAverage="0" bottom="0" percent="0" rank="0" text="" dxfId="31">
      <formula>AND($D3="Да",COUNTIF($D$3:$D$302,"Да")&gt;5)</formula>
    </cfRule>
  </conditionalFormatting>
  <conditionalFormatting sqref="BI3:BI302">
    <cfRule type="expression" priority="6" aboveAverage="0" equalAverage="0" bottom="0" percent="0" rank="0" text="" dxfId="31">
      <formula>AND(ISNUMBER($BI3),$BI3&lt;0.2)</formula>
    </cfRule>
  </conditionalFormatting>
  <conditionalFormatting sqref="BQ3:BQ302">
    <cfRule type="expression" priority="7" aboveAverage="0" equalAverage="0" bottom="0" percent="0" rank="0" text="" dxfId="8">
      <formula>BQ3="На складе"</formula>
    </cfRule>
    <cfRule type="expression" priority="8" aboveAverage="0" equalAverage="0" bottom="0" percent="0" rank="0" text="" dxfId="9">
      <formula>BQ3="Частично"</formula>
    </cfRule>
  </conditionalFormatting>
  <conditionalFormatting sqref="AK3:AK302">
    <cfRule type="expression" priority="9" aboveAverage="0" equalAverage="0" bottom="0" percent="0" rank="0" text="" dxfId="32">
      <formula>AND(N($BN3)&gt;0,N($AK3)&lt;&gt;N($BN3))</formula>
    </cfRule>
  </conditionalFormatting>
  <dataValidations count="7">
    <dataValidation allowBlank="true" errorStyle="stop" operator="greaterThanOrEqual" prompt="Только целое число штук" showDropDown="false" showErrorMessage="true" showInputMessage="true" sqref="Y3:AJ302" type="decimal">
      <formula1>0</formula1>
      <formula2>0</formula2>
    </dataValidation>
    <dataValidation allowBlank="true" errorStyle="stop" operator="between" showDropDown="false" showErrorMessage="true" showInputMessage="false" sqref="D3:D302 L3:M302" type="list">
      <formula1>Справочники!$F$4:$F$40</formula1>
      <formula2>0</formula2>
    </dataValidation>
    <dataValidation allowBlank="true" errorStyle="stop" operator="between" showDropDown="false" showErrorMessage="true" showInputMessage="false" sqref="B3:B27 B28:C302" type="list">
      <formula1>Справочники!$E$4:$E$40</formula1>
      <formula2>0</formula2>
    </dataValidation>
    <dataValidation allowBlank="true" errorStyle="stop" operator="between" showDropDown="false" showErrorMessage="false" showInputMessage="false" sqref="BB3:BB302" type="list">
      <formula1>Поставщики!$A$2:$A$101</formula1>
      <formula2>0</formula2>
    </dataValidation>
    <dataValidation allowBlank="true" errorStyle="stop" operator="between" showDropDown="false" showErrorMessage="false" showInputMessage="false" sqref="V3:V302" type="list">
      <formula1>Справочники!$G$4:$G$40</formula1>
      <formula2>0</formula2>
    </dataValidation>
    <dataValidation allowBlank="true" errorStyle="stop" operator="between" showDropDown="false" showErrorMessage="false" showInputMessage="false" sqref="N3:N302" type="list">
      <formula1>Справочники!$H$4:$H$40</formula1>
      <formula2>0</formula2>
    </dataValidation>
    <dataValidation allowBlank="true" errorStyle="stop" operator="between" showDropDown="false" showErrorMessage="true" showInputMessage="false" sqref="BF3:BF302" type="list">
      <formula1>"KZT,CNY,USD,RUB"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F3" activeCellId="0" sqref="F3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7.5"/>
    <col collapsed="false" customWidth="true" hidden="false" outlineLevel="0" max="4" min="4" style="0" width="9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8" min="8" style="0" width="46"/>
    <col collapsed="false" customWidth="true" hidden="false" outlineLevel="0" max="9" min="9" style="0" width="20"/>
    <col collapsed="false" customWidth="true" hidden="false" outlineLevel="0" max="11" min="10" style="0" width="22"/>
    <col collapsed="false" customWidth="true" hidden="false" outlineLevel="0" max="13" min="12" style="0" width="9"/>
    <col collapsed="false" customWidth="true" hidden="false" outlineLevel="0" max="14" min="14" style="0" width="18"/>
    <col collapsed="false" customWidth="true" hidden="false" outlineLevel="0" max="20" min="15" style="0" width="15"/>
    <col collapsed="false" customWidth="true" hidden="false" outlineLevel="0" max="21" min="21" style="0" width="9"/>
    <col collapsed="false" customWidth="true" hidden="false" outlineLevel="0" max="22" min="22" style="0" width="8"/>
    <col collapsed="false" customWidth="true" hidden="false" outlineLevel="0" max="23" min="23" style="0" width="9"/>
    <col collapsed="false" customWidth="true" hidden="false" outlineLevel="0" max="24" min="24" style="0" width="18"/>
    <col collapsed="false" customWidth="true" hidden="false" outlineLevel="0" max="36" min="25" style="0" width="9"/>
    <col collapsed="false" customWidth="true" hidden="false" outlineLevel="0" max="37" min="37" style="0" width="11"/>
    <col collapsed="false" customWidth="true" hidden="false" outlineLevel="0" max="38" min="38" style="0" width="26"/>
    <col collapsed="false" customWidth="true" hidden="false" outlineLevel="0" max="39" min="39" style="0" width="34"/>
    <col collapsed="false" customWidth="true" hidden="false" outlineLevel="0" max="40" min="40" style="0" width="10"/>
    <col collapsed="false" customWidth="true" hidden="false" outlineLevel="0" max="44" min="41" style="0" width="11"/>
    <col collapsed="false" customWidth="true" hidden="false" outlineLevel="0" max="46" min="45" style="0" width="12"/>
    <col collapsed="false" customWidth="true" hidden="false" outlineLevel="0" max="52" min="47" style="0" width="11"/>
    <col collapsed="false" customWidth="true" hidden="false" outlineLevel="0" max="53" min="53" style="0" width="10"/>
    <col collapsed="false" customWidth="true" hidden="false" outlineLevel="0" max="54" min="54" style="0" width="18"/>
    <col collapsed="false" customWidth="true" hidden="false" outlineLevel="0" max="55" min="55" style="0" width="14"/>
    <col collapsed="false" customWidth="true" hidden="false" outlineLevel="0" max="56" min="56" style="0" width="24"/>
    <col collapsed="false" customWidth="true" hidden="false" outlineLevel="0" max="57" min="57" style="0" width="10"/>
    <col collapsed="false" customWidth="true" hidden="false" outlineLevel="0" max="59" min="58" style="0" width="8"/>
    <col collapsed="false" customWidth="true" hidden="false" outlineLevel="0" max="60" min="60" style="0" width="12"/>
    <col collapsed="false" customWidth="true" hidden="false" outlineLevel="0" max="61" min="61" style="0" width="9"/>
    <col collapsed="false" customWidth="true" hidden="false" outlineLevel="0" max="62" min="62" style="0" width="10"/>
    <col collapsed="false" customWidth="true" hidden="false" outlineLevel="0" max="63" min="63" style="0" width="30"/>
    <col collapsed="false" customWidth="true" hidden="false" outlineLevel="0" max="64" min="64" style="0" width="14"/>
    <col collapsed="false" customWidth="true" hidden="false" outlineLevel="0" max="65" min="65" style="0" width="8"/>
    <col collapsed="false" customWidth="true" hidden="false" outlineLevel="0" max="66" min="66" style="0" width="11"/>
    <col collapsed="false" customWidth="true" hidden="false" outlineLevel="0" max="67" min="67" style="0" width="10"/>
    <col collapsed="false" customWidth="true" hidden="false" outlineLevel="0" max="68" min="68" style="0" width="9"/>
    <col collapsed="false" customWidth="true" hidden="false" outlineLevel="0" max="69" min="69" style="0" width="11"/>
    <col collapsed="false" customWidth="true" hidden="false" outlineLevel="0" max="70" min="70" style="0" width="22"/>
    <col collapsed="false" customWidth="true" hidden="false" outlineLevel="0" max="71" min="71" style="0" width="11"/>
  </cols>
  <sheetData>
    <row r="1" customFormat="false" ht="19.5" hidden="false" customHeight="true" outlineLevel="0" collapsed="false">
      <c r="A1" s="56" t="s">
        <v>416</v>
      </c>
      <c r="B1" s="56"/>
      <c r="C1" s="56"/>
      <c r="D1" s="56"/>
      <c r="E1" s="56"/>
      <c r="F1" s="56"/>
      <c r="G1" s="56"/>
      <c r="H1" s="56"/>
      <c r="I1" s="57" t="s">
        <v>417</v>
      </c>
      <c r="J1" s="57"/>
      <c r="K1" s="57"/>
      <c r="L1" s="57"/>
      <c r="M1" s="57"/>
      <c r="N1" s="58" t="s">
        <v>418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59" t="s">
        <v>419</v>
      </c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60" t="s">
        <v>420</v>
      </c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1" t="s">
        <v>421</v>
      </c>
      <c r="BC1" s="61"/>
      <c r="BD1" s="61"/>
      <c r="BE1" s="61"/>
      <c r="BF1" s="61"/>
      <c r="BG1" s="61"/>
      <c r="BH1" s="61"/>
      <c r="BI1" s="61"/>
      <c r="BJ1" s="61"/>
      <c r="BK1" s="61"/>
      <c r="BL1" s="37" t="s">
        <v>422</v>
      </c>
      <c r="BM1" s="37"/>
      <c r="BN1" s="37"/>
      <c r="BO1" s="37"/>
      <c r="BP1" s="37"/>
      <c r="BQ1" s="37"/>
      <c r="BR1" s="37"/>
      <c r="BS1" s="37"/>
    </row>
    <row r="2" customFormat="false" ht="48" hidden="false" customHeight="true" outlineLevel="0" collapsed="false">
      <c r="A2" s="62" t="s">
        <v>73</v>
      </c>
      <c r="B2" s="62" t="s">
        <v>46</v>
      </c>
      <c r="C2" s="62" t="s">
        <v>186</v>
      </c>
      <c r="D2" s="62" t="s">
        <v>423</v>
      </c>
      <c r="E2" s="62" t="s">
        <v>424</v>
      </c>
      <c r="F2" s="62" t="s">
        <v>80</v>
      </c>
      <c r="G2" s="62" t="s">
        <v>425</v>
      </c>
      <c r="H2" s="62" t="s">
        <v>426</v>
      </c>
      <c r="I2" s="64" t="s">
        <v>427</v>
      </c>
      <c r="J2" s="64" t="s">
        <v>428</v>
      </c>
      <c r="K2" s="64" t="s">
        <v>429</v>
      </c>
      <c r="L2" s="64" t="s">
        <v>430</v>
      </c>
      <c r="M2" s="64" t="s">
        <v>431</v>
      </c>
      <c r="N2" s="65" t="s">
        <v>84</v>
      </c>
      <c r="O2" s="65" t="s">
        <v>1826</v>
      </c>
      <c r="P2" s="65" t="s">
        <v>91</v>
      </c>
      <c r="Q2" s="65" t="s">
        <v>1136</v>
      </c>
      <c r="R2" s="65" t="s">
        <v>1827</v>
      </c>
      <c r="S2" s="65" t="s">
        <v>1507</v>
      </c>
      <c r="T2" s="65" t="s">
        <v>1828</v>
      </c>
      <c r="U2" s="65" t="s">
        <v>94</v>
      </c>
      <c r="V2" s="65" t="s">
        <v>95</v>
      </c>
      <c r="W2" s="65" t="s">
        <v>438</v>
      </c>
      <c r="X2" s="65" t="s">
        <v>439</v>
      </c>
      <c r="Y2" s="66" t="str">
        <f aca="false">Справочники!$K$4</f>
        <v>BLACK</v>
      </c>
      <c r="Z2" s="67" t="str">
        <f aca="false">Справочники!$K$5</f>
        <v>ORANGE</v>
      </c>
      <c r="AA2" s="68" t="str">
        <f aca="false">Справочники!$K$6</f>
        <v>RED</v>
      </c>
      <c r="AB2" s="69" t="str">
        <f aca="false">Справочники!$K$7</f>
        <v>BLUE</v>
      </c>
      <c r="AC2" s="70" t="str">
        <f aca="false">Справочники!$K$8</f>
        <v>GRAY</v>
      </c>
      <c r="AD2" s="71" t="str">
        <f aca="false">Справочники!$K$9</f>
        <v>GREEN</v>
      </c>
      <c r="AE2" s="72" t="str">
        <f aca="false">Справочники!$K$10</f>
        <v>YELLOW</v>
      </c>
      <c r="AF2" s="73" t="str">
        <f aca="false">Справочники!$K$11</f>
        <v>WHITE</v>
      </c>
      <c r="AG2" s="74" t="str">
        <f aca="false">Справочники!$K$12</f>
        <v>BEIGE</v>
      </c>
      <c r="AH2" s="75" t="str">
        <f aca="false">Справочники!$K$13</f>
        <v>BROWN</v>
      </c>
      <c r="AI2" s="76" t="str">
        <f aca="false">Справочники!$K$14</f>
        <v>NATURAL</v>
      </c>
      <c r="AJ2" s="76" t="str">
        <f aca="false">Справочники!$K$15</f>
        <v>MULTI</v>
      </c>
      <c r="AK2" s="77" t="s">
        <v>440</v>
      </c>
      <c r="AL2" s="77" t="s">
        <v>441</v>
      </c>
      <c r="AM2" s="77" t="s">
        <v>442</v>
      </c>
      <c r="AN2" s="78" t="s">
        <v>443</v>
      </c>
      <c r="AO2" s="78" t="s">
        <v>98</v>
      </c>
      <c r="AP2" s="78" t="s">
        <v>444</v>
      </c>
      <c r="AQ2" s="78" t="s">
        <v>445</v>
      </c>
      <c r="AR2" s="78" t="s">
        <v>206</v>
      </c>
      <c r="AS2" s="78" t="s">
        <v>446</v>
      </c>
      <c r="AT2" s="78" t="s">
        <v>99</v>
      </c>
      <c r="AU2" s="78" t="s">
        <v>208</v>
      </c>
      <c r="AV2" s="78" t="s">
        <v>447</v>
      </c>
      <c r="AW2" s="78" t="s">
        <v>448</v>
      </c>
      <c r="AX2" s="78" t="s">
        <v>449</v>
      </c>
      <c r="AY2" s="78" t="s">
        <v>450</v>
      </c>
      <c r="AZ2" s="78" t="s">
        <v>451</v>
      </c>
      <c r="BA2" s="78" t="s">
        <v>452</v>
      </c>
      <c r="BB2" s="79" t="s">
        <v>38</v>
      </c>
      <c r="BC2" s="79" t="s">
        <v>453</v>
      </c>
      <c r="BD2" s="79" t="s">
        <v>454</v>
      </c>
      <c r="BE2" s="79" t="s">
        <v>101</v>
      </c>
      <c r="BF2" s="79" t="s">
        <v>102</v>
      </c>
      <c r="BG2" s="79" t="s">
        <v>455</v>
      </c>
      <c r="BH2" s="79" t="s">
        <v>456</v>
      </c>
      <c r="BI2" s="79" t="s">
        <v>457</v>
      </c>
      <c r="BJ2" s="79" t="s">
        <v>104</v>
      </c>
      <c r="BK2" s="79" t="s">
        <v>145</v>
      </c>
      <c r="BL2" s="4" t="s">
        <v>458</v>
      </c>
      <c r="BM2" s="4" t="s">
        <v>193</v>
      </c>
      <c r="BN2" s="4" t="s">
        <v>459</v>
      </c>
      <c r="BO2" s="4" t="s">
        <v>211</v>
      </c>
      <c r="BP2" s="4" t="s">
        <v>460</v>
      </c>
      <c r="BQ2" s="4" t="s">
        <v>461</v>
      </c>
      <c r="BR2" s="4" t="s">
        <v>462</v>
      </c>
      <c r="BS2" s="4" t="s">
        <v>44</v>
      </c>
    </row>
    <row r="3" customFormat="false" ht="79.5" hidden="false" customHeight="true" outlineLevel="0" collapsed="false">
      <c r="A3" s="80" t="s">
        <v>370</v>
      </c>
      <c r="B3" s="81"/>
      <c r="C3" s="81"/>
      <c r="D3" s="81"/>
      <c r="E3" s="83" t="s">
        <v>1829</v>
      </c>
      <c r="F3" s="81"/>
      <c r="G3" s="83" t="s">
        <v>1830</v>
      </c>
      <c r="H3" s="83" t="s">
        <v>1831</v>
      </c>
      <c r="I3" s="84" t="str">
        <f aca="false">IF(E3="","",A3&amp;"_1.jpg")</f>
        <v>AKO-KK-001_1.jpg</v>
      </c>
      <c r="J3" s="84" t="str">
        <f aca="false">IF(E3="","",A3&amp;"_2.jpg; "&amp;A3&amp;"_3.jpg")</f>
        <v>AKO-KK-001_2.jpg; AKO-KK-001_3.jpg</v>
      </c>
      <c r="K3" s="84" t="str">
        <f aca="false">IF(E3="","",A3&amp;"_schema.jpg")</f>
        <v>AKO-KK-001_schema.jpg</v>
      </c>
      <c r="L3" s="81"/>
      <c r="M3" s="81"/>
      <c r="N3" s="81" t="s">
        <v>1832</v>
      </c>
      <c r="O3" s="81"/>
      <c r="P3" s="81"/>
      <c r="Q3" s="81"/>
      <c r="R3" s="81"/>
      <c r="S3" s="81"/>
      <c r="T3" s="81"/>
      <c r="U3" s="81"/>
      <c r="V3" s="81" t="s">
        <v>96</v>
      </c>
      <c r="W3" s="81"/>
      <c r="X3" s="81" t="s">
        <v>1833</v>
      </c>
      <c r="Y3" s="85" t="n">
        <v>120</v>
      </c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6" t="n">
        <f aca="false">IF(SUM(Y3:AJ3)=0,"",SUM(Y3:AJ3))</f>
        <v>120</v>
      </c>
      <c r="AL3" s="84" t="str">
        <f aca="false">MID(IF(N(Y3)&gt;0,", "&amp;Y$2,"")&amp;IF(N(Z3)&gt;0,", "&amp;Z$2,"")&amp;IF(N(AA3)&gt;0,", "&amp;AA$2,"")&amp;IF(N(AB3)&gt;0,", "&amp;AB$2,"")&amp;IF(N(AC3)&gt;0,", "&amp;AC$2,"")&amp;IF(N(AD3)&gt;0,", "&amp;AD$2,"")&amp;IF(N(AE3)&gt;0,", "&amp;AE$2,"")&amp;IF(N(AF3)&gt;0,", "&amp;AF$2,"")&amp;IF(N(AG3)&gt;0,", "&amp;AG$2,"")&amp;IF(N(AH3)&gt;0,", "&amp;AH$2,"")&amp;IF(N(AI3)&gt;0,", "&amp;AI$2,"")&amp;IF(N(AJ3)&gt;0,", "&amp;AJ$2,""),3,999)</f>
        <v>BLACK</v>
      </c>
      <c r="AM3" s="87" t="str">
        <f aca="false">IF(E3="","",MID(IF(N(Y3)&gt;0,", "&amp;A3&amp;"-"&amp;Y$2,"")&amp;IF(N(Z3)&gt;0,", "&amp;A3&amp;"-"&amp;Z$2,"")&amp;IF(N(AA3)&gt;0,", "&amp;A3&amp;"-"&amp;AA$2,"")&amp;IF(N(AB3)&gt;0,", "&amp;A3&amp;"-"&amp;AB$2,"")&amp;IF(N(AC3)&gt;0,", "&amp;A3&amp;"-"&amp;AC$2,"")&amp;IF(N(AD3)&gt;0,", "&amp;A3&amp;"-"&amp;AD$2,"")&amp;IF(N(AE3)&gt;0,", "&amp;A3&amp;"-"&amp;AE$2,"")&amp;IF(N(AF3)&gt;0,", "&amp;A3&amp;"-"&amp;AF$2,"")&amp;IF(N(AG3)&gt;0,", "&amp;A3&amp;"-"&amp;AG$2,"")&amp;IF(N(AH3)&gt;0,", "&amp;A3&amp;"-"&amp;AH$2,"")&amp;IF(N(AI3)&gt;0,", "&amp;A3&amp;"-"&amp;AI$2,"")&amp;IF(N(AJ3)&gt;0,", "&amp;A3&amp;"-"&amp;AJ$2,""),3,999))</f>
        <v>AKO-KK-001-BLACK</v>
      </c>
      <c r="AN3" s="81" t="n">
        <v>1</v>
      </c>
      <c r="AO3" s="88" t="n">
        <v>2750</v>
      </c>
      <c r="AP3" s="89" t="n">
        <f aca="false">IF(AO3="","",ROUND(AO3/(1+Справочники!$B$13),2))</f>
        <v>2750</v>
      </c>
      <c r="AQ3" s="90" t="n">
        <f aca="false" t="array" ref="AQ3:AQ3">IF(AP3="","",AP3*INDEX(Справочники!$B$4:$B$7,MATCH("RUB",Справочники!$A$4:$A$7,0)))</f>
        <v>14575</v>
      </c>
      <c r="AR3" s="90" t="n">
        <f aca="false">IF(AQ3="","",ROUND(AQ3*(1+Справочники!$B$12),0))</f>
        <v>16907</v>
      </c>
      <c r="AS3" s="90" t="n">
        <f aca="false">IF(AR3="","",ROUND(AR3*(1-Справочники!$B$11),0))</f>
        <v>15554</v>
      </c>
      <c r="AT3" s="88" t="n">
        <v>14000</v>
      </c>
      <c r="AU3" s="90" t="n">
        <f aca="false">IF(AT3="","",ROUND(AT3/(1+Справочники!$B$12),0))</f>
        <v>12069</v>
      </c>
      <c r="AV3" s="90" t="n">
        <f aca="false">IF(AT3="","",ROUND(AT3*(1-Справочники!$B$15),0))</f>
        <v>13580</v>
      </c>
      <c r="AW3" s="90" t="n">
        <f aca="false">IF(AT3="","",ROUND(AT3*(1-Справочники!$B$16),0))</f>
        <v>13160</v>
      </c>
      <c r="AX3" s="90" t="n">
        <f aca="false">IF(AT3="","",ROUND(AT3*(1-Справочники!$B$17),0))</f>
        <v>12740</v>
      </c>
      <c r="AY3" s="90" t="n">
        <f aca="false">IF(AT3="","",ROUND(AT3*(1-Справочники!$B$18),0))</f>
        <v>12320</v>
      </c>
      <c r="AZ3" s="90" t="n">
        <f aca="false">IF(AT3="","",ROUND(AT3*(1-Справочники!$B$19),0))</f>
        <v>11900</v>
      </c>
      <c r="BA3" s="81"/>
      <c r="BB3" s="81" t="s">
        <v>100</v>
      </c>
      <c r="BC3" s="81" t="s">
        <v>371</v>
      </c>
      <c r="BD3" s="81"/>
      <c r="BE3" s="91" t="n">
        <v>68</v>
      </c>
      <c r="BF3" s="81" t="s">
        <v>103</v>
      </c>
      <c r="BG3" s="89" t="n">
        <f aca="false" t="array" ref="BG3:BG3">IF(BF3="","",IFERROR(INDEX(Справочники!$B$4:$B$7,MATCH(BF3,Справочники!$A$4:$A$7,0)),""))</f>
        <v>68.5</v>
      </c>
      <c r="BH3" s="90" t="n">
        <f aca="false">IF(N(BN3)&gt;0,ROUND(SUMIF(ЗАКАЗЫ!$F$3:$F$500,$A3,ЗАКАЗЫ!$Y$3:$Y$500)/BN3,0),IF(OR(BE3="",BG3=""),"",ROUND(BE3*BG3*(1+Справочники!$B$10),0)))</f>
        <v>5590</v>
      </c>
      <c r="BI3" s="92" t="n">
        <f aca="false">IF(OR(AU3="",BH3="",AU3=0),"",(AU3-BH3)/AU3)</f>
        <v>0.536829894771729</v>
      </c>
      <c r="BJ3" s="81"/>
      <c r="BK3" s="83"/>
      <c r="BL3" s="43" t="str">
        <f aca="false">IFERROR(INDEX(ЗАКАЗЫ!$N$3:$N$500,MATCH($A3,ЗАКАЗЫ!$F$3:$F$500,0)),"")</f>
        <v>9506 99 900 0</v>
      </c>
      <c r="BM3" s="8" t="n">
        <f aca="false">IF(BL3="","",IFERROR(VLOOKUP(BL3,'ТН ВЭД'!$A$4:$C$40,3,0),""))</f>
        <v>0.05</v>
      </c>
      <c r="BN3" s="7" t="n">
        <f aca="false">IF(COUNTIF(ЗАКАЗЫ!$F$3:$F$500,$A3)=0,"",SUMIF(ЗАКАЗЫ!$F$3:$F$500,$A3,ЗАКАЗЫ!$J$3:$J$500))</f>
        <v>120</v>
      </c>
      <c r="BO3" s="7" t="n">
        <f aca="false">IF(BN3="","",SUMIF(ЗАКАЗЫ!$F$3:$F$500,$A3,ЗАКАЗЫ!$AL$3:$AL$500))</f>
        <v>0</v>
      </c>
      <c r="BP3" s="7" t="n">
        <f aca="false">IF(BN3="","",BN3-BO3)</f>
        <v>120</v>
      </c>
      <c r="BQ3" s="55" t="str">
        <f aca="false">IF(BN3="","",IF(BO3&gt;=BN3,"На складе",IF(BO3&gt;0,"Частично","Ждём")))</f>
        <v>Ждём</v>
      </c>
      <c r="BR3" s="43" t="s">
        <v>1834</v>
      </c>
      <c r="BS3" s="47" t="str">
        <f aca="false">IF(BN3="","",IF(_xlfn.MAXIFS(ЗАКАЗЫ!$AK$3:$AK$500,ЗАКАЗЫ!$F$3:$F$500,$A3)=0,"",_xlfn.MAXIFS(ЗАКАЗЫ!$AK$3:$AK$500,ЗАКАЗЫ!$F$3:$F$500,$A3)))</f>
        <v/>
      </c>
    </row>
    <row r="4" customFormat="false" ht="79.5" hidden="false" customHeight="true" outlineLevel="0" collapsed="false">
      <c r="A4" s="80" t="s">
        <v>372</v>
      </c>
      <c r="B4" s="81" t="s">
        <v>841</v>
      </c>
      <c r="C4" s="81"/>
      <c r="D4" s="81"/>
      <c r="E4" s="83" t="s">
        <v>1835</v>
      </c>
      <c r="F4" s="81" t="s">
        <v>1836</v>
      </c>
      <c r="G4" s="83" t="s">
        <v>1837</v>
      </c>
      <c r="H4" s="83" t="s">
        <v>1838</v>
      </c>
      <c r="I4" s="84" t="str">
        <f aca="false">IF(E4="","",A4&amp;"_1.jpg")</f>
        <v>AKO-KK-002_1.jpg</v>
      </c>
      <c r="J4" s="84" t="str">
        <f aca="false">IF(E4="","",A4&amp;"_2.jpg; "&amp;A4&amp;"_3.jpg")</f>
        <v>AKO-KK-002_2.jpg; AKO-KK-002_3.jpg</v>
      </c>
      <c r="K4" s="84" t="str">
        <f aca="false">IF(E4="","",A4&amp;"_schema.jpg")</f>
        <v>AKO-KK-002_schema.jpg</v>
      </c>
      <c r="L4" s="81"/>
      <c r="M4" s="81"/>
      <c r="N4" s="81" t="s">
        <v>1839</v>
      </c>
      <c r="O4" s="81" t="s">
        <v>1840</v>
      </c>
      <c r="P4" s="81" t="n">
        <v>660</v>
      </c>
      <c r="Q4" s="81" t="n">
        <v>139</v>
      </c>
      <c r="R4" s="81" t="n">
        <v>12</v>
      </c>
      <c r="S4" s="81"/>
      <c r="T4" s="81"/>
      <c r="U4" s="81"/>
      <c r="V4" s="81" t="s">
        <v>96</v>
      </c>
      <c r="W4" s="81"/>
      <c r="X4" s="81"/>
      <c r="Y4" s="85"/>
      <c r="Z4" s="85"/>
      <c r="AA4" s="85"/>
      <c r="AB4" s="85"/>
      <c r="AC4" s="85"/>
      <c r="AD4" s="85" t="n">
        <v>50</v>
      </c>
      <c r="AE4" s="85"/>
      <c r="AF4" s="85"/>
      <c r="AG4" s="85"/>
      <c r="AH4" s="85"/>
      <c r="AI4" s="85"/>
      <c r="AJ4" s="85"/>
      <c r="AK4" s="86" t="n">
        <f aca="false">IF(SUM(Y4:AJ4)=0,"",SUM(Y4:AJ4))</f>
        <v>50</v>
      </c>
      <c r="AL4" s="84" t="str">
        <f aca="false">MID(IF(N(Y4)&gt;0,", "&amp;Y$2,"")&amp;IF(N(Z4)&gt;0,", "&amp;Z$2,"")&amp;IF(N(AA4)&gt;0,", "&amp;AA$2,"")&amp;IF(N(AB4)&gt;0,", "&amp;AB$2,"")&amp;IF(N(AC4)&gt;0,", "&amp;AC$2,"")&amp;IF(N(AD4)&gt;0,", "&amp;AD$2,"")&amp;IF(N(AE4)&gt;0,", "&amp;AE$2,"")&amp;IF(N(AF4)&gt;0,", "&amp;AF$2,"")&amp;IF(N(AG4)&gt;0,", "&amp;AG$2,"")&amp;IF(N(AH4)&gt;0,", "&amp;AH$2,"")&amp;IF(N(AI4)&gt;0,", "&amp;AI$2,"")&amp;IF(N(AJ4)&gt;0,", "&amp;AJ$2,""),3,999)</f>
        <v>GREEN</v>
      </c>
      <c r="AM4" s="87" t="str">
        <f aca="false">IF(E4="","",MID(IF(N(Y4)&gt;0,", "&amp;A4&amp;"-"&amp;Y$2,"")&amp;IF(N(Z4)&gt;0,", "&amp;A4&amp;"-"&amp;Z$2,"")&amp;IF(N(AA4)&gt;0,", "&amp;A4&amp;"-"&amp;AA$2,"")&amp;IF(N(AB4)&gt;0,", "&amp;A4&amp;"-"&amp;AB$2,"")&amp;IF(N(AC4)&gt;0,", "&amp;A4&amp;"-"&amp;AC$2,"")&amp;IF(N(AD4)&gt;0,", "&amp;A4&amp;"-"&amp;AD$2,"")&amp;IF(N(AE4)&gt;0,", "&amp;A4&amp;"-"&amp;AE$2,"")&amp;IF(N(AF4)&gt;0,", "&amp;A4&amp;"-"&amp;AF$2,"")&amp;IF(N(AG4)&gt;0,", "&amp;A4&amp;"-"&amp;AG$2,"")&amp;IF(N(AH4)&gt;0,", "&amp;A4&amp;"-"&amp;AH$2,"")&amp;IF(N(AI4)&gt;0,", "&amp;A4&amp;"-"&amp;AI$2,"")&amp;IF(N(AJ4)&gt;0,", "&amp;A4&amp;"-"&amp;AJ$2,""),3,999))</f>
        <v>AKO-KK-002-GREEN</v>
      </c>
      <c r="AN4" s="81" t="n">
        <v>1</v>
      </c>
      <c r="AO4" s="88" t="n">
        <v>2350</v>
      </c>
      <c r="AP4" s="89" t="n">
        <f aca="false">IF(AO4="","",ROUND(AO4/(1+Справочники!$B$13),2))</f>
        <v>2350</v>
      </c>
      <c r="AQ4" s="90" t="n">
        <f aca="false" t="array" ref="AQ4:AQ4">IF(AP4="","",AP4*INDEX(Справочники!$B$4:$B$7,MATCH("RUB",Справочники!$A$4:$A$7,0)))</f>
        <v>12455</v>
      </c>
      <c r="AR4" s="90" t="n">
        <f aca="false">IF(AQ4="","",ROUND(AQ4*(1+Справочники!$B$12),0))</f>
        <v>14448</v>
      </c>
      <c r="AS4" s="90" t="n">
        <f aca="false">IF(AR4="","",ROUND(AR4*(1-Справочники!$B$11),0))</f>
        <v>13292</v>
      </c>
      <c r="AT4" s="93" t="n">
        <f aca="false">IF(BH4="","",IF(AS4="",ROUNDUP(BH4/(1-Справочники!$B$23)*(1+Справочники!$B$12),-1),MAX(AS4,ROUNDUP(BH4/(1-Справочники!$B$24)*(1+Справочники!$B$12),-1))))</f>
        <v>13292</v>
      </c>
      <c r="AU4" s="90" t="n">
        <f aca="false">IF(AT4="","",ROUND(AT4/(1+Справочники!$B$12),0))</f>
        <v>11459</v>
      </c>
      <c r="AV4" s="90" t="n">
        <f aca="false">IF(AT4="","",ROUND(AT4*(1-Справочники!$B$15),0))</f>
        <v>12893</v>
      </c>
      <c r="AW4" s="90" t="n">
        <f aca="false">IF(AT4="","",ROUND(AT4*(1-Справочники!$B$16),0))</f>
        <v>12494</v>
      </c>
      <c r="AX4" s="90" t="n">
        <f aca="false">IF(AT4="","",ROUND(AT4*(1-Справочники!$B$17),0))</f>
        <v>12096</v>
      </c>
      <c r="AY4" s="90" t="n">
        <f aca="false">IF(AT4="","",ROUND(AT4*(1-Справочники!$B$18),0))</f>
        <v>11697</v>
      </c>
      <c r="AZ4" s="90" t="n">
        <f aca="false">IF(AT4="","",ROUND(AT4*(1-Справочники!$B$19),0))</f>
        <v>11298</v>
      </c>
      <c r="BA4" s="81"/>
      <c r="BB4" s="81" t="s">
        <v>100</v>
      </c>
      <c r="BC4" s="81" t="s">
        <v>373</v>
      </c>
      <c r="BD4" s="81"/>
      <c r="BE4" s="91" t="n">
        <v>46</v>
      </c>
      <c r="BF4" s="81" t="s">
        <v>103</v>
      </c>
      <c r="BG4" s="89" t="n">
        <f aca="false" t="array" ref="BG4:BG4">IF(BF4="","",IFERROR(INDEX(Справочники!$B$4:$B$7,MATCH(BF4,Справочники!$A$4:$A$7,0)),""))</f>
        <v>68.5</v>
      </c>
      <c r="BH4" s="90" t="n">
        <f aca="false">IF(N(BN4)&gt;0,ROUND(SUMIF(ЗАКАЗЫ!$F$3:$F$500,$A4,ЗАКАЗЫ!$Y$3:$Y$500)/BN4,0),IF(OR(BE4="",BG4=""),"",ROUND(BE4*BG4*(1+Справочники!$B$10),0)))</f>
        <v>3781</v>
      </c>
      <c r="BI4" s="92" t="n">
        <f aca="false">IF(OR(AU4="",BH4="",AU4=0),"",(AU4-BH4)/AU4)</f>
        <v>0.670041015795445</v>
      </c>
      <c r="BJ4" s="81"/>
      <c r="BK4" s="83"/>
      <c r="BL4" s="43" t="str">
        <f aca="false">IFERROR(INDEX(ЗАКАЗЫ!$N$3:$N$500,MATCH($A4,ЗАКАЗЫ!$F$3:$F$500,0)),"")</f>
        <v>9506 99 900 0</v>
      </c>
      <c r="BM4" s="8" t="n">
        <f aca="false">IF(BL4="","",IFERROR(VLOOKUP(BL4,'ТН ВЭД'!$A$4:$C$40,3,0),""))</f>
        <v>0.05</v>
      </c>
      <c r="BN4" s="7" t="n">
        <f aca="false">IF(COUNTIF(ЗАКАЗЫ!$F$3:$F$500,$A4)=0,"",SUMIF(ЗАКАЗЫ!$F$3:$F$500,$A4,ЗАКАЗЫ!$J$3:$J$500))</f>
        <v>50</v>
      </c>
      <c r="BO4" s="7" t="n">
        <f aca="false">IF(BN4="","",SUMIF(ЗАКАЗЫ!$F$3:$F$500,$A4,ЗАКАЗЫ!$AL$3:$AL$500))</f>
        <v>0</v>
      </c>
      <c r="BP4" s="7" t="n">
        <f aca="false">IF(BN4="","",BN4-BO4)</f>
        <v>50</v>
      </c>
      <c r="BQ4" s="55" t="str">
        <f aca="false">IF(BN4="","",IF(BO4&gt;=BN4,"На складе",IF(BO4&gt;0,"Частично","Ждём")))</f>
        <v>Ждём</v>
      </c>
      <c r="BR4" s="43" t="s">
        <v>1841</v>
      </c>
      <c r="BS4" s="47" t="str">
        <f aca="false">IF(BN4="","",IF(_xlfn.MAXIFS(ЗАКАЗЫ!$AK$3:$AK$500,ЗАКАЗЫ!$F$3:$F$500,$A4)=0,"",_xlfn.MAXIFS(ЗАКАЗЫ!$AK$3:$AK$500,ЗАКАЗЫ!$F$3:$F$500,$A4)))</f>
        <v/>
      </c>
    </row>
    <row r="5" customFormat="false" ht="79.5" hidden="false" customHeight="true" outlineLevel="0" collapsed="false">
      <c r="A5" s="80" t="s">
        <v>215</v>
      </c>
      <c r="B5" s="81" t="s">
        <v>841</v>
      </c>
      <c r="C5" s="81"/>
      <c r="D5" s="81"/>
      <c r="E5" s="83" t="s">
        <v>1842</v>
      </c>
      <c r="F5" s="81" t="s">
        <v>1843</v>
      </c>
      <c r="G5" s="83" t="s">
        <v>1844</v>
      </c>
      <c r="H5" s="83" t="s">
        <v>1845</v>
      </c>
      <c r="I5" s="84" t="str">
        <f aca="false">IF(E5="","",A5&amp;"_1.jpg")</f>
        <v>AKO-KK-003_1.jpg</v>
      </c>
      <c r="J5" s="84" t="str">
        <f aca="false">IF(E5="","",A5&amp;"_2.jpg; "&amp;A5&amp;"_3.jpg")</f>
        <v>AKO-KK-003_2.jpg; AKO-KK-003_3.jpg</v>
      </c>
      <c r="K5" s="84" t="str">
        <f aca="false">IF(E5="","",A5&amp;"_schema.jpg")</f>
        <v>AKO-KK-003_schema.jpg</v>
      </c>
      <c r="L5" s="81" t="s">
        <v>150</v>
      </c>
      <c r="M5" s="81"/>
      <c r="N5" s="81" t="s">
        <v>1846</v>
      </c>
      <c r="O5" s="81" t="s">
        <v>1847</v>
      </c>
      <c r="P5" s="81" t="n">
        <v>1000</v>
      </c>
      <c r="Q5" s="81" t="n">
        <v>1000</v>
      </c>
      <c r="R5" s="81"/>
      <c r="S5" s="81" t="n">
        <v>250</v>
      </c>
      <c r="T5" s="81"/>
      <c r="U5" s="81"/>
      <c r="V5" s="81" t="s">
        <v>96</v>
      </c>
      <c r="W5" s="81"/>
      <c r="X5" s="81" t="s">
        <v>1848</v>
      </c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 t="n">
        <v>230</v>
      </c>
      <c r="AK5" s="86" t="n">
        <f aca="false">IF(SUM(Y5:AJ5)=0,"",SUM(Y5:AJ5))</f>
        <v>230</v>
      </c>
      <c r="AL5" s="84" t="str">
        <f aca="false">MID(IF(N(Y5)&gt;0,", "&amp;Y$2,"")&amp;IF(N(Z5)&gt;0,", "&amp;Z$2,"")&amp;IF(N(AA5)&gt;0,", "&amp;AA$2,"")&amp;IF(N(AB5)&gt;0,", "&amp;AB$2,"")&amp;IF(N(AC5)&gt;0,", "&amp;AC$2,"")&amp;IF(N(AD5)&gt;0,", "&amp;AD$2,"")&amp;IF(N(AE5)&gt;0,", "&amp;AE$2,"")&amp;IF(N(AF5)&gt;0,", "&amp;AF$2,"")&amp;IF(N(AG5)&gt;0,", "&amp;AG$2,"")&amp;IF(N(AH5)&gt;0,", "&amp;AH$2,"")&amp;IF(N(AI5)&gt;0,", "&amp;AI$2,"")&amp;IF(N(AJ5)&gt;0,", "&amp;AJ$2,""),3,999)</f>
        <v>MULTI</v>
      </c>
      <c r="AM5" s="87" t="str">
        <f aca="false">IF(E5="","",MID(IF(N(Y5)&gt;0,", "&amp;A5&amp;"-"&amp;Y$2,"")&amp;IF(N(Z5)&gt;0,", "&amp;A5&amp;"-"&amp;Z$2,"")&amp;IF(N(AA5)&gt;0,", "&amp;A5&amp;"-"&amp;AA$2,"")&amp;IF(N(AB5)&gt;0,", "&amp;A5&amp;"-"&amp;AB$2,"")&amp;IF(N(AC5)&gt;0,", "&amp;A5&amp;"-"&amp;AC$2,"")&amp;IF(N(AD5)&gt;0,", "&amp;A5&amp;"-"&amp;AD$2,"")&amp;IF(N(AE5)&gt;0,", "&amp;A5&amp;"-"&amp;AE$2,"")&amp;IF(N(AF5)&gt;0,", "&amp;A5&amp;"-"&amp;AF$2,"")&amp;IF(N(AG5)&gt;0,", "&amp;A5&amp;"-"&amp;AG$2,"")&amp;IF(N(AH5)&gt;0,", "&amp;A5&amp;"-"&amp;AH$2,"")&amp;IF(N(AI5)&gt;0,", "&amp;A5&amp;"-"&amp;AI$2,"")&amp;IF(N(AJ5)&gt;0,", "&amp;A5&amp;"-"&amp;AJ$2,""),3,999))</f>
        <v>AKO-KK-003-MULTI</v>
      </c>
      <c r="AN5" s="81" t="n">
        <v>1</v>
      </c>
      <c r="AO5" s="88" t="n">
        <v>39000</v>
      </c>
      <c r="AP5" s="89" t="n">
        <f aca="false">IF(AO5="","",ROUND(AO5/(1+Справочники!$B$13),2))</f>
        <v>39000</v>
      </c>
      <c r="AQ5" s="90" t="n">
        <f aca="false" t="array" ref="AQ5:AQ5">IF(AP5="","",AP5*INDEX(Справочники!$B$4:$B$7,MATCH("RUB",Справочники!$A$4:$A$7,0)))</f>
        <v>206700</v>
      </c>
      <c r="AR5" s="90" t="n">
        <f aca="false">IF(AQ5="","",ROUND(AQ5*(1+Справочники!$B$12),0))</f>
        <v>239772</v>
      </c>
      <c r="AS5" s="90" t="n">
        <f aca="false">IF(AR5="","",ROUND(AR5*(1-Справочники!$B$11),0))</f>
        <v>220590</v>
      </c>
      <c r="AT5" s="93" t="n">
        <f aca="false">IF(BH5="","",IF(AS5="",ROUNDUP(BH5/(1-Справочники!$B$23)*(1+Справочники!$B$12),-1),MAX(AS5,ROUNDUP(BH5/(1-Справочники!$B$24)*(1+Справочники!$B$12),-1))))</f>
        <v>220590</v>
      </c>
      <c r="AU5" s="90" t="n">
        <f aca="false">IF(AT5="","",ROUND(AT5/(1+Справочники!$B$12),0))</f>
        <v>190164</v>
      </c>
      <c r="AV5" s="90" t="n">
        <f aca="false">IF(AT5="","",ROUND(AT5*(1-Справочники!$B$15),0))</f>
        <v>213972</v>
      </c>
      <c r="AW5" s="90" t="n">
        <f aca="false">IF(AT5="","",ROUND(AT5*(1-Справочники!$B$16),0))</f>
        <v>207355</v>
      </c>
      <c r="AX5" s="90" t="n">
        <f aca="false">IF(AT5="","",ROUND(AT5*(1-Справочники!$B$17),0))</f>
        <v>200737</v>
      </c>
      <c r="AY5" s="90" t="n">
        <f aca="false">IF(AT5="","",ROUND(AT5*(1-Справочники!$B$18),0))</f>
        <v>194119</v>
      </c>
      <c r="AZ5" s="90" t="n">
        <f aca="false">IF(AT5="","",ROUND(AT5*(1-Справочники!$B$19),0))</f>
        <v>187502</v>
      </c>
      <c r="BA5" s="81"/>
      <c r="BB5" s="81" t="s">
        <v>147</v>
      </c>
      <c r="BC5" s="81" t="s">
        <v>340</v>
      </c>
      <c r="BD5" s="81"/>
      <c r="BE5" s="91" t="n">
        <v>850</v>
      </c>
      <c r="BF5" s="81" t="s">
        <v>103</v>
      </c>
      <c r="BG5" s="89" t="n">
        <f aca="false" t="array" ref="BG5:BG5">IF(BF5="","",IFERROR(INDEX(Справочники!$B$4:$B$7,MATCH(BF5,Справочники!$A$4:$A$7,0)),""))</f>
        <v>68.5</v>
      </c>
      <c r="BH5" s="90" t="n">
        <f aca="false">IF(N(BN5)&gt;0,ROUND(SUMIF(ЗАКАЗЫ!$F$3:$F$500,$A5,ЗАКАЗЫ!$Y$3:$Y$500)/BN5,0),IF(OR(BE5="",BG5=""),"",ROUND(BE5*BG5*(1+Справочники!$B$10),0)))</f>
        <v>69870</v>
      </c>
      <c r="BI5" s="92" t="n">
        <f aca="false">IF(OR(AU5="",BH5="",AU5=0),"",(AU5-BH5)/AU5)</f>
        <v>0.632580299110242</v>
      </c>
      <c r="BJ5" s="81" t="n">
        <v>30</v>
      </c>
      <c r="BK5" s="83"/>
      <c r="BL5" s="43" t="str">
        <f aca="false">IFERROR(INDEX(ЗАКАЗЫ!$N$3:$N$500,MATCH($A5,ЗАКАЗЫ!$F$3:$F$500,0)),"")</f>
        <v>9506 99 900 0</v>
      </c>
      <c r="BM5" s="8" t="n">
        <f aca="false">IF(BL5="","",IFERROR(VLOOKUP(BL5,'ТН ВЭД'!$A$4:$C$40,3,0),""))</f>
        <v>0.05</v>
      </c>
      <c r="BN5" s="7" t="n">
        <f aca="false">IF(COUNTIF(ЗАКАЗЫ!$F$3:$F$500,$A5)=0,"",SUMIF(ЗАКАЗЫ!$F$3:$F$500,$A5,ЗАКАЗЫ!$J$3:$J$500))</f>
        <v>230</v>
      </c>
      <c r="BO5" s="7" t="n">
        <f aca="false">IF(BN5="","",SUMIF(ЗАКАЗЫ!$F$3:$F$500,$A5,ЗАКАЗЫ!$AL$3:$AL$500))</f>
        <v>0</v>
      </c>
      <c r="BP5" s="7" t="n">
        <f aca="false">IF(BN5="","",BN5-BO5)</f>
        <v>230</v>
      </c>
      <c r="BQ5" s="55" t="str">
        <f aca="false">IF(BN5="","",IF(BO5&gt;=BN5,"На складе",IF(BO5&gt;0,"Частично","Ждём")))</f>
        <v>Ждём</v>
      </c>
      <c r="BR5" s="43" t="s">
        <v>1849</v>
      </c>
      <c r="BS5" s="47" t="n">
        <f aca="false">IF(BN5="","",IF(_xlfn.MAXIFS(ЗАКАЗЫ!$AK$3:$AK$500,ЗАКАЗЫ!$F$3:$F$500,$A5)=0,"",_xlfn.MAXIFS(ЗАКАЗЫ!$AK$3:$AK$500,ЗАКАЗЫ!$F$3:$F$500,$A5)))</f>
        <v>46372</v>
      </c>
    </row>
    <row r="6" customFormat="false" ht="79.5" hidden="false" customHeight="true" outlineLevel="0" collapsed="false">
      <c r="A6" s="80" t="s">
        <v>355</v>
      </c>
      <c r="B6" s="81" t="s">
        <v>841</v>
      </c>
      <c r="C6" s="81"/>
      <c r="D6" s="81"/>
      <c r="E6" s="83" t="s">
        <v>1850</v>
      </c>
      <c r="F6" s="81" t="s">
        <v>1836</v>
      </c>
      <c r="G6" s="83" t="s">
        <v>1851</v>
      </c>
      <c r="H6" s="83" t="s">
        <v>1852</v>
      </c>
      <c r="I6" s="84" t="str">
        <f aca="false">IF(E6="","",A6&amp;"_1.jpg")</f>
        <v>AKO-KK-004_1.jpg</v>
      </c>
      <c r="J6" s="84" t="str">
        <f aca="false">IF(E6="","",A6&amp;"_2.jpg; "&amp;A6&amp;"_3.jpg")</f>
        <v>AKO-KK-004_2.jpg; AKO-KK-004_3.jpg</v>
      </c>
      <c r="K6" s="84" t="str">
        <f aca="false">IF(E6="","",A6&amp;"_schema.jpg")</f>
        <v>AKO-KK-004_schema.jpg</v>
      </c>
      <c r="L6" s="81" t="s">
        <v>150</v>
      </c>
      <c r="M6" s="81"/>
      <c r="N6" s="81" t="s">
        <v>1511</v>
      </c>
      <c r="O6" s="81" t="s">
        <v>1840</v>
      </c>
      <c r="P6" s="81" t="n">
        <v>420</v>
      </c>
      <c r="Q6" s="81" t="n">
        <v>165</v>
      </c>
      <c r="R6" s="81" t="n">
        <v>85</v>
      </c>
      <c r="S6" s="81" t="n">
        <v>70</v>
      </c>
      <c r="T6" s="81"/>
      <c r="U6" s="81"/>
      <c r="V6" s="81" t="s">
        <v>96</v>
      </c>
      <c r="W6" s="81"/>
      <c r="X6" s="81"/>
      <c r="Y6" s="85"/>
      <c r="Z6" s="85"/>
      <c r="AA6" s="85" t="n">
        <v>100</v>
      </c>
      <c r="AB6" s="85" t="n">
        <v>100</v>
      </c>
      <c r="AC6" s="85"/>
      <c r="AD6" s="85"/>
      <c r="AE6" s="85"/>
      <c r="AF6" s="85"/>
      <c r="AG6" s="85"/>
      <c r="AH6" s="85"/>
      <c r="AI6" s="85"/>
      <c r="AJ6" s="85"/>
      <c r="AK6" s="86" t="n">
        <f aca="false">IF(SUM(Y6:AJ6)=0,"",SUM(Y6:AJ6))</f>
        <v>200</v>
      </c>
      <c r="AL6" s="84" t="str">
        <f aca="false">MID(IF(N(Y6)&gt;0,", "&amp;Y$2,"")&amp;IF(N(Z6)&gt;0,", "&amp;Z$2,"")&amp;IF(N(AA6)&gt;0,", "&amp;AA$2,"")&amp;IF(N(AB6)&gt;0,", "&amp;AB$2,"")&amp;IF(N(AC6)&gt;0,", "&amp;AC$2,"")&amp;IF(N(AD6)&gt;0,", "&amp;AD$2,"")&amp;IF(N(AE6)&gt;0,", "&amp;AE$2,"")&amp;IF(N(AF6)&gt;0,", "&amp;AF$2,"")&amp;IF(N(AG6)&gt;0,", "&amp;AG$2,"")&amp;IF(N(AH6)&gt;0,", "&amp;AH$2,"")&amp;IF(N(AI6)&gt;0,", "&amp;AI$2,"")&amp;IF(N(AJ6)&gt;0,", "&amp;AJ$2,""),3,999)</f>
        <v>RED, BLUE</v>
      </c>
      <c r="AM6" s="87" t="str">
        <f aca="false">IF(E6="","",MID(IF(N(Y6)&gt;0,", "&amp;A6&amp;"-"&amp;Y$2,"")&amp;IF(N(Z6)&gt;0,", "&amp;A6&amp;"-"&amp;Z$2,"")&amp;IF(N(AA6)&gt;0,", "&amp;A6&amp;"-"&amp;AA$2,"")&amp;IF(N(AB6)&gt;0,", "&amp;A6&amp;"-"&amp;AB$2,"")&amp;IF(N(AC6)&gt;0,", "&amp;A6&amp;"-"&amp;AC$2,"")&amp;IF(N(AD6)&gt;0,", "&amp;A6&amp;"-"&amp;AD$2,"")&amp;IF(N(AE6)&gt;0,", "&amp;A6&amp;"-"&amp;AE$2,"")&amp;IF(N(AF6)&gt;0,", "&amp;A6&amp;"-"&amp;AF$2,"")&amp;IF(N(AG6)&gt;0,", "&amp;A6&amp;"-"&amp;AG$2,"")&amp;IF(N(AH6)&gt;0,", "&amp;A6&amp;"-"&amp;AH$2,"")&amp;IF(N(AI6)&gt;0,", "&amp;A6&amp;"-"&amp;AI$2,"")&amp;IF(N(AJ6)&gt;0,", "&amp;A6&amp;"-"&amp;AJ$2,""),3,999))</f>
        <v>AKO-KK-004-RED, AKO-KK-004-BLUE</v>
      </c>
      <c r="AN6" s="81" t="n">
        <v>1</v>
      </c>
      <c r="AO6" s="88"/>
      <c r="AP6" s="89" t="str">
        <f aca="false">IF(AO6="","",ROUND(AO6/(1+Справочники!$B$13),2))</f>
        <v/>
      </c>
      <c r="AQ6" s="90" t="str">
        <f aca="false" t="array" ref="AQ6:AQ6">IF(AP6="","",AP6*INDEX(Справочники!$B$4:$B$7,MATCH("RUB",Справочники!$A$4:$A$7,0)))</f>
        <v/>
      </c>
      <c r="AR6" s="90" t="str">
        <f aca="false">IF(AQ6="","",ROUND(AQ6*(1+Справочники!$B$12),0))</f>
        <v/>
      </c>
      <c r="AS6" s="90" t="str">
        <f aca="false">IF(AR6="","",ROUND(AR6*(1-Справочники!$B$11),0))</f>
        <v/>
      </c>
      <c r="AT6" s="93" t="n">
        <f aca="false">IF(BH6="","",IF(AS6="",ROUNDUP(BH6/(1-Справочники!$B$23)*(1+Справочники!$B$12),-1),MAX(AS6,ROUNDUP(BH6/(1-Справочники!$B$24)*(1+Справочники!$B$12),-1))))</f>
        <v>3820</v>
      </c>
      <c r="AU6" s="90" t="n">
        <f aca="false">IF(AT6="","",ROUND(AT6/(1+Справочники!$B$12),0))</f>
        <v>3293</v>
      </c>
      <c r="AV6" s="90" t="n">
        <f aca="false">IF(AT6="","",ROUND(AT6*(1-Справочники!$B$15),0))</f>
        <v>3705</v>
      </c>
      <c r="AW6" s="90" t="n">
        <f aca="false">IF(AT6="","",ROUND(AT6*(1-Справочники!$B$16),0))</f>
        <v>3591</v>
      </c>
      <c r="AX6" s="90" t="n">
        <f aca="false">IF(AT6="","",ROUND(AT6*(1-Справочники!$B$17),0))</f>
        <v>3476</v>
      </c>
      <c r="AY6" s="90" t="n">
        <f aca="false">IF(AT6="","",ROUND(AT6*(1-Справочники!$B$18),0))</f>
        <v>3362</v>
      </c>
      <c r="AZ6" s="90" t="n">
        <f aca="false">IF(AT6="","",ROUND(AT6*(1-Справочники!$B$19),0))</f>
        <v>3247</v>
      </c>
      <c r="BA6" s="81"/>
      <c r="BB6" s="81" t="s">
        <v>100</v>
      </c>
      <c r="BC6" s="81" t="s">
        <v>356</v>
      </c>
      <c r="BD6" s="81"/>
      <c r="BE6" s="91" t="n">
        <v>20</v>
      </c>
      <c r="BF6" s="81" t="s">
        <v>103</v>
      </c>
      <c r="BG6" s="89" t="n">
        <f aca="false" t="array" ref="BG6:BG6">IF(BF6="","",IFERROR(INDEX(Справочники!$B$4:$B$7,MATCH(BF6,Справочники!$A$4:$A$7,0)),""))</f>
        <v>68.5</v>
      </c>
      <c r="BH6" s="90" t="n">
        <f aca="false">IF(N(BN6)&gt;0,ROUND(SUMIF(ЗАКАЗЫ!$F$3:$F$500,$A6,ЗАКАЗЫ!$Y$3:$Y$500)/BN6,0),IF(OR(BE6="",BG6=""),"",ROUND(BE6*BG6*(1+Справочники!$B$10),0)))</f>
        <v>1644</v>
      </c>
      <c r="BI6" s="92" t="n">
        <f aca="false">IF(OR(AU6="",BH6="",AU6=0),"",(AU6-BH6)/AU6)</f>
        <v>0.500759186152445</v>
      </c>
      <c r="BJ6" s="81"/>
      <c r="BK6" s="83"/>
      <c r="BL6" s="43" t="str">
        <f aca="false">IFERROR(INDEX(ЗАКАЗЫ!$N$3:$N$500,MATCH($A6,ЗАКАЗЫ!$F$3:$F$500,0)),"")</f>
        <v>9506 99 900 0</v>
      </c>
      <c r="BM6" s="8" t="n">
        <f aca="false">IF(BL6="","",IFERROR(VLOOKUP(BL6,'ТН ВЭД'!$A$4:$C$40,3,0),""))</f>
        <v>0.05</v>
      </c>
      <c r="BN6" s="7" t="n">
        <f aca="false">IF(COUNTIF(ЗАКАЗЫ!$F$3:$F$500,$A6)=0,"",SUMIF(ЗАКАЗЫ!$F$3:$F$500,$A6,ЗАКАЗЫ!$J$3:$J$500))</f>
        <v>200</v>
      </c>
      <c r="BO6" s="7" t="n">
        <f aca="false">IF(BN6="","",SUMIF(ЗАКАЗЫ!$F$3:$F$500,$A6,ЗАКАЗЫ!$AL$3:$AL$500))</f>
        <v>0</v>
      </c>
      <c r="BP6" s="7" t="n">
        <f aca="false">IF(BN6="","",BN6-BO6)</f>
        <v>200</v>
      </c>
      <c r="BQ6" s="55" t="str">
        <f aca="false">IF(BN6="","",IF(BO6&gt;=BN6,"На складе",IF(BO6&gt;0,"Частично","Ждём")))</f>
        <v>Ждём</v>
      </c>
      <c r="BR6" s="43" t="s">
        <v>1853</v>
      </c>
      <c r="BS6" s="47" t="str">
        <f aca="false">IF(BN6="","",IF(_xlfn.MAXIFS(ЗАКАЗЫ!$AK$3:$AK$500,ЗАКАЗЫ!$F$3:$F$500,$A6)=0,"",_xlfn.MAXIFS(ЗАКАЗЫ!$AK$3:$AK$500,ЗАКАЗЫ!$F$3:$F$500,$A6)))</f>
        <v/>
      </c>
    </row>
    <row r="7" customFormat="false" ht="79.5" hidden="false" customHeight="true" outlineLevel="0" collapsed="false">
      <c r="A7" s="80" t="s">
        <v>361</v>
      </c>
      <c r="B7" s="81" t="s">
        <v>841</v>
      </c>
      <c r="C7" s="81"/>
      <c r="D7" s="81"/>
      <c r="E7" s="83" t="s">
        <v>1854</v>
      </c>
      <c r="F7" s="81" t="s">
        <v>1855</v>
      </c>
      <c r="G7" s="83" t="s">
        <v>1856</v>
      </c>
      <c r="H7" s="83" t="s">
        <v>1857</v>
      </c>
      <c r="I7" s="84" t="str">
        <f aca="false">IF(E7="","",A7&amp;"_1.jpg")</f>
        <v>AKO-KK-005_1.jpg</v>
      </c>
      <c r="J7" s="84" t="str">
        <f aca="false">IF(E7="","",A7&amp;"_2.jpg; "&amp;A7&amp;"_3.jpg")</f>
        <v>AKO-KK-005_2.jpg; AKO-KK-005_3.jpg</v>
      </c>
      <c r="K7" s="84" t="str">
        <f aca="false">IF(E7="","",A7&amp;"_schema.jpg")</f>
        <v>AKO-KK-005_schema.jpg</v>
      </c>
      <c r="L7" s="81" t="s">
        <v>150</v>
      </c>
      <c r="M7" s="81"/>
      <c r="N7" s="81" t="s">
        <v>1858</v>
      </c>
      <c r="O7" s="81" t="s">
        <v>1859</v>
      </c>
      <c r="P7" s="81" t="n">
        <v>450</v>
      </c>
      <c r="Q7" s="81" t="n">
        <v>355</v>
      </c>
      <c r="R7" s="81" t="n">
        <v>251</v>
      </c>
      <c r="S7" s="81"/>
      <c r="T7" s="81" t="s">
        <v>1860</v>
      </c>
      <c r="U7" s="81"/>
      <c r="V7" s="81" t="s">
        <v>96</v>
      </c>
      <c r="W7" s="81"/>
      <c r="X7" s="81"/>
      <c r="Y7" s="85" t="n">
        <v>30</v>
      </c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6" t="n">
        <f aca="false">IF(SUM(Y7:AJ7)=0,"",SUM(Y7:AJ7))</f>
        <v>30</v>
      </c>
      <c r="AL7" s="84" t="str">
        <f aca="false">MID(IF(N(Y7)&gt;0,", "&amp;Y$2,"")&amp;IF(N(Z7)&gt;0,", "&amp;Z$2,"")&amp;IF(N(AA7)&gt;0,", "&amp;AA$2,"")&amp;IF(N(AB7)&gt;0,", "&amp;AB$2,"")&amp;IF(N(AC7)&gt;0,", "&amp;AC$2,"")&amp;IF(N(AD7)&gt;0,", "&amp;AD$2,"")&amp;IF(N(AE7)&gt;0,", "&amp;AE$2,"")&amp;IF(N(AF7)&gt;0,", "&amp;AF$2,"")&amp;IF(N(AG7)&gt;0,", "&amp;AG$2,"")&amp;IF(N(AH7)&gt;0,", "&amp;AH$2,"")&amp;IF(N(AI7)&gt;0,", "&amp;AI$2,"")&amp;IF(N(AJ7)&gt;0,", "&amp;AJ$2,""),3,999)</f>
        <v>BLACK</v>
      </c>
      <c r="AM7" s="87" t="str">
        <f aca="false">IF(E7="","",MID(IF(N(Y7)&gt;0,", "&amp;A7&amp;"-"&amp;Y$2,"")&amp;IF(N(Z7)&gt;0,", "&amp;A7&amp;"-"&amp;Z$2,"")&amp;IF(N(AA7)&gt;0,", "&amp;A7&amp;"-"&amp;AA$2,"")&amp;IF(N(AB7)&gt;0,", "&amp;A7&amp;"-"&amp;AB$2,"")&amp;IF(N(AC7)&gt;0,", "&amp;A7&amp;"-"&amp;AC$2,"")&amp;IF(N(AD7)&gt;0,", "&amp;A7&amp;"-"&amp;AD$2,"")&amp;IF(N(AE7)&gt;0,", "&amp;A7&amp;"-"&amp;AE$2,"")&amp;IF(N(AF7)&gt;0,", "&amp;A7&amp;"-"&amp;AF$2,"")&amp;IF(N(AG7)&gt;0,", "&amp;A7&amp;"-"&amp;AG$2,"")&amp;IF(N(AH7)&gt;0,", "&amp;A7&amp;"-"&amp;AH$2,"")&amp;IF(N(AI7)&gt;0,", "&amp;A7&amp;"-"&amp;AI$2,"")&amp;IF(N(AJ7)&gt;0,", "&amp;A7&amp;"-"&amp;AJ$2,""),3,999))</f>
        <v>AKO-KK-005-BLACK</v>
      </c>
      <c r="AN7" s="81" t="n">
        <v>1</v>
      </c>
      <c r="AO7" s="88" t="n">
        <v>8250</v>
      </c>
      <c r="AP7" s="89" t="n">
        <f aca="false">IF(AO7="","",ROUND(AO7/(1+Справочники!$B$13),2))</f>
        <v>8250</v>
      </c>
      <c r="AQ7" s="90" t="n">
        <f aca="false" t="array" ref="AQ7:AQ7">IF(AP7="","",AP7*INDEX(Справочники!$B$4:$B$7,MATCH("RUB",Справочники!$A$4:$A$7,0)))</f>
        <v>43725</v>
      </c>
      <c r="AR7" s="90" t="n">
        <f aca="false">IF(AQ7="","",ROUND(AQ7*(1+Справочники!$B$12),0))</f>
        <v>50721</v>
      </c>
      <c r="AS7" s="90" t="n">
        <f aca="false">IF(AR7="","",ROUND(AR7*(1-Справочники!$B$11),0))</f>
        <v>46663</v>
      </c>
      <c r="AT7" s="93" t="n">
        <f aca="false">IF(BH7="","",IF(AS7="",ROUNDUP(BH7/(1-Справочники!$B$23)*(1+Справочники!$B$12),-1),MAX(AS7,ROUNDUP(BH7/(1-Справочники!$B$24)*(1+Справочники!$B$12),-1))))</f>
        <v>46663</v>
      </c>
      <c r="AU7" s="90" t="n">
        <f aca="false">IF(AT7="","",ROUND(AT7/(1+Справочники!$B$12),0))</f>
        <v>40227</v>
      </c>
      <c r="AV7" s="90" t="n">
        <f aca="false">IF(AT7="","",ROUND(AT7*(1-Справочники!$B$15),0))</f>
        <v>45263</v>
      </c>
      <c r="AW7" s="90" t="n">
        <f aca="false">IF(AT7="","",ROUND(AT7*(1-Справочники!$B$16),0))</f>
        <v>43863</v>
      </c>
      <c r="AX7" s="90" t="n">
        <f aca="false">IF(AT7="","",ROUND(AT7*(1-Справочники!$B$17),0))</f>
        <v>42463</v>
      </c>
      <c r="AY7" s="90" t="n">
        <f aca="false">IF(AT7="","",ROUND(AT7*(1-Справочники!$B$18),0))</f>
        <v>41063</v>
      </c>
      <c r="AZ7" s="90" t="n">
        <f aca="false">IF(AT7="","",ROUND(AT7*(1-Справочники!$B$19),0))</f>
        <v>39664</v>
      </c>
      <c r="BA7" s="81"/>
      <c r="BB7" s="81" t="s">
        <v>100</v>
      </c>
      <c r="BC7" s="81" t="s">
        <v>362</v>
      </c>
      <c r="BD7" s="81"/>
      <c r="BE7" s="91" t="n">
        <v>332.5</v>
      </c>
      <c r="BF7" s="81" t="s">
        <v>103</v>
      </c>
      <c r="BG7" s="89" t="n">
        <f aca="false" t="array" ref="BG7:BG7">IF(BF7="","",IFERROR(INDEX(Справочники!$B$4:$B$7,MATCH(BF7,Справочники!$A$4:$A$7,0)),""))</f>
        <v>68.5</v>
      </c>
      <c r="BH7" s="90" t="n">
        <f aca="false">IF(N(BN7)&gt;0,ROUND(SUMIF(ЗАКАЗЫ!$F$3:$F$500,$A7,ЗАКАЗЫ!$Y$3:$Y$500)/BN7,0),IF(OR(BE7="",BG7=""),"",ROUND(BE7*BG7*(1+Справочники!$B$10),0)))</f>
        <v>27332</v>
      </c>
      <c r="BI7" s="92" t="n">
        <f aca="false">IF(OR(AU7="",BH7="",AU7=0),"",(AU7-BH7)/AU7)</f>
        <v>0.320555845576354</v>
      </c>
      <c r="BJ7" s="81"/>
      <c r="BK7" s="83"/>
      <c r="BL7" s="43" t="str">
        <f aca="false">IFERROR(INDEX(ЗАКАЗЫ!$N$3:$N$500,MATCH($A7,ЗАКАЗЫ!$F$3:$F$500,0)),"")</f>
        <v>9506 99 900 0</v>
      </c>
      <c r="BM7" s="8" t="n">
        <f aca="false">IF(BL7="","",IFERROR(VLOOKUP(BL7,'ТН ВЭД'!$A$4:$C$40,3,0),""))</f>
        <v>0.05</v>
      </c>
      <c r="BN7" s="7" t="n">
        <f aca="false">IF(COUNTIF(ЗАКАЗЫ!$F$3:$F$500,$A7)=0,"",SUMIF(ЗАКАЗЫ!$F$3:$F$500,$A7,ЗАКАЗЫ!$J$3:$J$500))</f>
        <v>30</v>
      </c>
      <c r="BO7" s="7" t="n">
        <f aca="false">IF(BN7="","",SUMIF(ЗАКАЗЫ!$F$3:$F$500,$A7,ЗАКАЗЫ!$AL$3:$AL$500))</f>
        <v>0</v>
      </c>
      <c r="BP7" s="7" t="n">
        <f aca="false">IF(BN7="","",BN7-BO7)</f>
        <v>30</v>
      </c>
      <c r="BQ7" s="55" t="str">
        <f aca="false">IF(BN7="","",IF(BO7&gt;=BN7,"На складе",IF(BO7&gt;0,"Частично","Ждём")))</f>
        <v>Ждём</v>
      </c>
      <c r="BR7" s="43" t="s">
        <v>1861</v>
      </c>
      <c r="BS7" s="47" t="str">
        <f aca="false">IF(BN7="","",IF(_xlfn.MAXIFS(ЗАКАЗЫ!$AK$3:$AK$500,ЗАКАЗЫ!$F$3:$F$500,$A7)=0,"",_xlfn.MAXIFS(ЗАКАЗЫ!$AK$3:$AK$500,ЗАКАЗЫ!$F$3:$F$500,$A7)))</f>
        <v/>
      </c>
    </row>
    <row r="8" customFormat="false" ht="79.5" hidden="false" customHeight="true" outlineLevel="0" collapsed="false">
      <c r="A8" s="80" t="s">
        <v>364</v>
      </c>
      <c r="B8" s="81" t="s">
        <v>841</v>
      </c>
      <c r="C8" s="81"/>
      <c r="D8" s="81"/>
      <c r="E8" s="83" t="s">
        <v>1862</v>
      </c>
      <c r="F8" s="81" t="s">
        <v>1855</v>
      </c>
      <c r="G8" s="83" t="s">
        <v>1863</v>
      </c>
      <c r="H8" s="83" t="s">
        <v>1864</v>
      </c>
      <c r="I8" s="84" t="str">
        <f aca="false">IF(E8="","",A8&amp;"_1.jpg")</f>
        <v>AKO-KK-006_1.jpg</v>
      </c>
      <c r="J8" s="84" t="str">
        <f aca="false">IF(E8="","",A8&amp;"_2.jpg; "&amp;A8&amp;"_3.jpg")</f>
        <v>AKO-KK-006_2.jpg; AKO-KK-006_3.jpg</v>
      </c>
      <c r="K8" s="84" t="str">
        <f aca="false">IF(E8="","",A8&amp;"_schema.jpg")</f>
        <v>AKO-KK-006_schema.jpg</v>
      </c>
      <c r="L8" s="81" t="s">
        <v>150</v>
      </c>
      <c r="M8" s="81"/>
      <c r="N8" s="81" t="s">
        <v>1858</v>
      </c>
      <c r="O8" s="81" t="s">
        <v>1859</v>
      </c>
      <c r="P8" s="81" t="n">
        <v>440</v>
      </c>
      <c r="Q8" s="81" t="n">
        <v>175</v>
      </c>
      <c r="R8" s="81" t="n">
        <v>219</v>
      </c>
      <c r="S8" s="81"/>
      <c r="T8" s="81" t="s">
        <v>1860</v>
      </c>
      <c r="U8" s="81"/>
      <c r="V8" s="81" t="s">
        <v>96</v>
      </c>
      <c r="W8" s="81"/>
      <c r="X8" s="81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 t="n">
        <v>200</v>
      </c>
      <c r="AK8" s="86" t="n">
        <f aca="false">IF(SUM(Y8:AJ8)=0,"",SUM(Y8:AJ8))</f>
        <v>200</v>
      </c>
      <c r="AL8" s="84" t="str">
        <f aca="false">MID(IF(N(Y8)&gt;0,", "&amp;Y$2,"")&amp;IF(N(Z8)&gt;0,", "&amp;Z$2,"")&amp;IF(N(AA8)&gt;0,", "&amp;AA$2,"")&amp;IF(N(AB8)&gt;0,", "&amp;AB$2,"")&amp;IF(N(AC8)&gt;0,", "&amp;AC$2,"")&amp;IF(N(AD8)&gt;0,", "&amp;AD$2,"")&amp;IF(N(AE8)&gt;0,", "&amp;AE$2,"")&amp;IF(N(AF8)&gt;0,", "&amp;AF$2,"")&amp;IF(N(AG8)&gt;0,", "&amp;AG$2,"")&amp;IF(N(AH8)&gt;0,", "&amp;AH$2,"")&amp;IF(N(AI8)&gt;0,", "&amp;AI$2,"")&amp;IF(N(AJ8)&gt;0,", "&amp;AJ$2,""),3,999)</f>
        <v>MULTI</v>
      </c>
      <c r="AM8" s="87" t="str">
        <f aca="false">IF(E8="","",MID(IF(N(Y8)&gt;0,", "&amp;A8&amp;"-"&amp;Y$2,"")&amp;IF(N(Z8)&gt;0,", "&amp;A8&amp;"-"&amp;Z$2,"")&amp;IF(N(AA8)&gt;0,", "&amp;A8&amp;"-"&amp;AA$2,"")&amp;IF(N(AB8)&gt;0,", "&amp;A8&amp;"-"&amp;AB$2,"")&amp;IF(N(AC8)&gt;0,", "&amp;A8&amp;"-"&amp;AC$2,"")&amp;IF(N(AD8)&gt;0,", "&amp;A8&amp;"-"&amp;AD$2,"")&amp;IF(N(AE8)&gt;0,", "&amp;A8&amp;"-"&amp;AE$2,"")&amp;IF(N(AF8)&gt;0,", "&amp;A8&amp;"-"&amp;AF$2,"")&amp;IF(N(AG8)&gt;0,", "&amp;A8&amp;"-"&amp;AG$2,"")&amp;IF(N(AH8)&gt;0,", "&amp;A8&amp;"-"&amp;AH$2,"")&amp;IF(N(AI8)&gt;0,", "&amp;A8&amp;"-"&amp;AI$2,"")&amp;IF(N(AJ8)&gt;0,", "&amp;A8&amp;"-"&amp;AJ$2,""),3,999))</f>
        <v>AKO-KK-006-MULTI</v>
      </c>
      <c r="AN8" s="81" t="n">
        <v>1</v>
      </c>
      <c r="AO8" s="88"/>
      <c r="AP8" s="89" t="str">
        <f aca="false">IF(AO8="","",ROUND(AO8/(1+Справочники!$B$13),2))</f>
        <v/>
      </c>
      <c r="AQ8" s="90" t="str">
        <f aca="false" t="array" ref="AQ8:AQ8">IF(AP8="","",AP8*INDEX(Справочники!$B$4:$B$7,MATCH("RUB",Справочники!$A$4:$A$7,0)))</f>
        <v/>
      </c>
      <c r="AR8" s="90" t="str">
        <f aca="false">IF(AQ8="","",ROUND(AQ8*(1+Справочники!$B$12),0))</f>
        <v/>
      </c>
      <c r="AS8" s="90" t="str">
        <f aca="false">IF(AR8="","",ROUND(AR8*(1-Справочники!$B$11),0))</f>
        <v/>
      </c>
      <c r="AT8" s="93" t="n">
        <f aca="false">IF(BH8="","",IF(AS8="",ROUNDUP(BH8/(1-Справочники!$B$23)*(1+Справочники!$B$12),-1),MAX(AS8,ROUNDUP(BH8/(1-Справочники!$B$24)*(1+Справочники!$B$12),-1))))</f>
        <v>49400</v>
      </c>
      <c r="AU8" s="90" t="n">
        <f aca="false">IF(AT8="","",ROUND(AT8/(1+Справочники!$B$12),0))</f>
        <v>42586</v>
      </c>
      <c r="AV8" s="90" t="n">
        <f aca="false">IF(AT8="","",ROUND(AT8*(1-Справочники!$B$15),0))</f>
        <v>47918</v>
      </c>
      <c r="AW8" s="90" t="n">
        <f aca="false">IF(AT8="","",ROUND(AT8*(1-Справочники!$B$16),0))</f>
        <v>46436</v>
      </c>
      <c r="AX8" s="90" t="n">
        <f aca="false">IF(AT8="","",ROUND(AT8*(1-Справочники!$B$17),0))</f>
        <v>44954</v>
      </c>
      <c r="AY8" s="90" t="n">
        <f aca="false">IF(AT8="","",ROUND(AT8*(1-Справочники!$B$18),0))</f>
        <v>43472</v>
      </c>
      <c r="AZ8" s="90" t="n">
        <f aca="false">IF(AT8="","",ROUND(AT8*(1-Справочники!$B$19),0))</f>
        <v>41990</v>
      </c>
      <c r="BA8" s="81"/>
      <c r="BB8" s="81" t="s">
        <v>100</v>
      </c>
      <c r="BC8" s="81" t="s">
        <v>365</v>
      </c>
      <c r="BD8" s="81"/>
      <c r="BE8" s="91" t="n">
        <v>259</v>
      </c>
      <c r="BF8" s="81" t="s">
        <v>103</v>
      </c>
      <c r="BG8" s="89" t="n">
        <f aca="false" t="array" ref="BG8:BG8">IF(BF8="","",IFERROR(INDEX(Справочники!$B$4:$B$7,MATCH(BF8,Справочники!$A$4:$A$7,0)),""))</f>
        <v>68.5</v>
      </c>
      <c r="BH8" s="90" t="n">
        <f aca="false">IF(N(BN8)&gt;0,ROUND(SUMIF(ЗАКАЗЫ!$F$3:$F$500,$A8,ЗАКАЗЫ!$Y$3:$Y$500)/BN8,0),IF(OR(BE8="",BG8=""),"",ROUND(BE8*BG8*(1+Справочники!$B$10),0)))</f>
        <v>21290</v>
      </c>
      <c r="BI8" s="92" t="n">
        <f aca="false">IF(OR(AU8="",BH8="",AU8=0),"",(AU8-BH8)/AU8)</f>
        <v>0.500070445686376</v>
      </c>
      <c r="BJ8" s="81"/>
      <c r="BK8" s="83"/>
      <c r="BL8" s="43" t="str">
        <f aca="false">IFERROR(INDEX(ЗАКАЗЫ!$N$3:$N$500,MATCH($A8,ЗАКАЗЫ!$F$3:$F$500,0)),"")</f>
        <v>9506 99 900 0</v>
      </c>
      <c r="BM8" s="8" t="n">
        <f aca="false">IF(BL8="","",IFERROR(VLOOKUP(BL8,'ТН ВЭД'!$A$4:$C$40,3,0),""))</f>
        <v>0.05</v>
      </c>
      <c r="BN8" s="7" t="n">
        <f aca="false">IF(COUNTIF(ЗАКАЗЫ!$F$3:$F$500,$A8)=0,"",SUMIF(ЗАКАЗЫ!$F$3:$F$500,$A8,ЗАКАЗЫ!$J$3:$J$500))</f>
        <v>200</v>
      </c>
      <c r="BO8" s="7" t="n">
        <f aca="false">IF(BN8="","",SUMIF(ЗАКАЗЫ!$F$3:$F$500,$A8,ЗАКАЗЫ!$AL$3:$AL$500))</f>
        <v>0</v>
      </c>
      <c r="BP8" s="7" t="n">
        <f aca="false">IF(BN8="","",BN8-BO8)</f>
        <v>200</v>
      </c>
      <c r="BQ8" s="55" t="str">
        <f aca="false">IF(BN8="","",IF(BO8&gt;=BN8,"На складе",IF(BO8&gt;0,"Частично","Ждём")))</f>
        <v>Ждём</v>
      </c>
      <c r="BR8" s="43" t="s">
        <v>1865</v>
      </c>
      <c r="BS8" s="47" t="str">
        <f aca="false">IF(BN8="","",IF(_xlfn.MAXIFS(ЗАКАЗЫ!$AK$3:$AK$500,ЗАКАЗЫ!$F$3:$F$500,$A8)=0,"",_xlfn.MAXIFS(ЗАКАЗЫ!$AK$3:$AK$500,ЗАКАЗЫ!$F$3:$F$500,$A8)))</f>
        <v/>
      </c>
    </row>
    <row r="9" customFormat="false" ht="79.5" hidden="false" customHeight="true" outlineLevel="0" collapsed="false">
      <c r="A9" s="80" t="s">
        <v>374</v>
      </c>
      <c r="B9" s="81" t="s">
        <v>841</v>
      </c>
      <c r="C9" s="81"/>
      <c r="D9" s="81"/>
      <c r="E9" s="83" t="s">
        <v>1866</v>
      </c>
      <c r="F9" s="81" t="s">
        <v>1836</v>
      </c>
      <c r="G9" s="83" t="s">
        <v>1867</v>
      </c>
      <c r="H9" s="83" t="s">
        <v>1868</v>
      </c>
      <c r="I9" s="84" t="str">
        <f aca="false">IF(E9="","",A9&amp;"_1.jpg")</f>
        <v>AKO-KK-007_1.jpg</v>
      </c>
      <c r="J9" s="84" t="str">
        <f aca="false">IF(E9="","",A9&amp;"_2.jpg; "&amp;A9&amp;"_3.jpg")</f>
        <v>AKO-KK-007_2.jpg; AKO-KK-007_3.jpg</v>
      </c>
      <c r="K9" s="84" t="str">
        <f aca="false">IF(E9="","",A9&amp;"_schema.jpg")</f>
        <v>AKO-KK-007_schema.jpg</v>
      </c>
      <c r="L9" s="81" t="s">
        <v>150</v>
      </c>
      <c r="M9" s="81"/>
      <c r="N9" s="81" t="s">
        <v>1858</v>
      </c>
      <c r="O9" s="81" t="s">
        <v>1869</v>
      </c>
      <c r="P9" s="81" t="n">
        <v>440</v>
      </c>
      <c r="Q9" s="81" t="n">
        <v>175</v>
      </c>
      <c r="R9" s="81" t="n">
        <v>25</v>
      </c>
      <c r="S9" s="81"/>
      <c r="T9" s="81"/>
      <c r="U9" s="81"/>
      <c r="V9" s="81" t="s">
        <v>96</v>
      </c>
      <c r="W9" s="81"/>
      <c r="X9" s="81"/>
      <c r="Y9" s="85" t="n">
        <v>200</v>
      </c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6" t="n">
        <f aca="false">IF(SUM(Y9:AJ9)=0,"",SUM(Y9:AJ9))</f>
        <v>200</v>
      </c>
      <c r="AL9" s="84" t="str">
        <f aca="false">MID(IF(N(Y9)&gt;0,", "&amp;Y$2,"")&amp;IF(N(Z9)&gt;0,", "&amp;Z$2,"")&amp;IF(N(AA9)&gt;0,", "&amp;AA$2,"")&amp;IF(N(AB9)&gt;0,", "&amp;AB$2,"")&amp;IF(N(AC9)&gt;0,", "&amp;AC$2,"")&amp;IF(N(AD9)&gt;0,", "&amp;AD$2,"")&amp;IF(N(AE9)&gt;0,", "&amp;AE$2,"")&amp;IF(N(AF9)&gt;0,", "&amp;AF$2,"")&amp;IF(N(AG9)&gt;0,", "&amp;AG$2,"")&amp;IF(N(AH9)&gt;0,", "&amp;AH$2,"")&amp;IF(N(AI9)&gt;0,", "&amp;AI$2,"")&amp;IF(N(AJ9)&gt;0,", "&amp;AJ$2,""),3,999)</f>
        <v>BLACK</v>
      </c>
      <c r="AM9" s="87" t="str">
        <f aca="false">IF(E9="","",MID(IF(N(Y9)&gt;0,", "&amp;A9&amp;"-"&amp;Y$2,"")&amp;IF(N(Z9)&gt;0,", "&amp;A9&amp;"-"&amp;Z$2,"")&amp;IF(N(AA9)&gt;0,", "&amp;A9&amp;"-"&amp;AA$2,"")&amp;IF(N(AB9)&gt;0,", "&amp;A9&amp;"-"&amp;AB$2,"")&amp;IF(N(AC9)&gt;0,", "&amp;A9&amp;"-"&amp;AC$2,"")&amp;IF(N(AD9)&gt;0,", "&amp;A9&amp;"-"&amp;AD$2,"")&amp;IF(N(AE9)&gt;0,", "&amp;A9&amp;"-"&amp;AE$2,"")&amp;IF(N(AF9)&gt;0,", "&amp;A9&amp;"-"&amp;AF$2,"")&amp;IF(N(AG9)&gt;0,", "&amp;A9&amp;"-"&amp;AG$2,"")&amp;IF(N(AH9)&gt;0,", "&amp;A9&amp;"-"&amp;AH$2,"")&amp;IF(N(AI9)&gt;0,", "&amp;A9&amp;"-"&amp;AI$2,"")&amp;IF(N(AJ9)&gt;0,", "&amp;A9&amp;"-"&amp;AJ$2,""),3,999))</f>
        <v>AKO-KK-007-BLACK</v>
      </c>
      <c r="AN9" s="81" t="n">
        <v>1</v>
      </c>
      <c r="AO9" s="88" t="n">
        <v>1980</v>
      </c>
      <c r="AP9" s="89" t="n">
        <f aca="false">IF(AO9="","",ROUND(AO9/(1+Справочники!$B$13),2))</f>
        <v>1980</v>
      </c>
      <c r="AQ9" s="90" t="n">
        <f aca="false" t="array" ref="AQ9:AQ9">IF(AP9="","",AP9*INDEX(Справочники!$B$4:$B$7,MATCH("RUB",Справочники!$A$4:$A$7,0)))</f>
        <v>10494</v>
      </c>
      <c r="AR9" s="90" t="n">
        <f aca="false">IF(AQ9="","",ROUND(AQ9*(1+Справочники!$B$12),0))</f>
        <v>12173</v>
      </c>
      <c r="AS9" s="90" t="n">
        <f aca="false">IF(AR9="","",ROUND(AR9*(1-Справочники!$B$11),0))</f>
        <v>11199</v>
      </c>
      <c r="AT9" s="93" t="n">
        <f aca="false">IF(BH9="","",IF(AS9="",ROUNDUP(BH9/(1-Справочники!$B$23)*(1+Справочники!$B$12),-1),MAX(AS9,ROUNDUP(BH9/(1-Справочники!$B$24)*(1+Справочники!$B$12),-1))))</f>
        <v>11199</v>
      </c>
      <c r="AU9" s="90" t="n">
        <f aca="false">IF(AT9="","",ROUND(AT9/(1+Справочники!$B$12),0))</f>
        <v>9654</v>
      </c>
      <c r="AV9" s="90" t="n">
        <f aca="false">IF(AT9="","",ROUND(AT9*(1-Справочники!$B$15),0))</f>
        <v>10863</v>
      </c>
      <c r="AW9" s="90" t="n">
        <f aca="false">IF(AT9="","",ROUND(AT9*(1-Справочники!$B$16),0))</f>
        <v>10527</v>
      </c>
      <c r="AX9" s="90" t="n">
        <f aca="false">IF(AT9="","",ROUND(AT9*(1-Справочники!$B$17),0))</f>
        <v>10191</v>
      </c>
      <c r="AY9" s="90" t="n">
        <f aca="false">IF(AT9="","",ROUND(AT9*(1-Справочники!$B$18),0))</f>
        <v>9855</v>
      </c>
      <c r="AZ9" s="90" t="n">
        <f aca="false">IF(AT9="","",ROUND(AT9*(1-Справочники!$B$19),0))</f>
        <v>9519</v>
      </c>
      <c r="BA9" s="81"/>
      <c r="BB9" s="81" t="s">
        <v>100</v>
      </c>
      <c r="BC9" s="81" t="s">
        <v>375</v>
      </c>
      <c r="BD9" s="81"/>
      <c r="BE9" s="91" t="n">
        <v>74.2</v>
      </c>
      <c r="BF9" s="81" t="s">
        <v>103</v>
      </c>
      <c r="BG9" s="89" t="n">
        <f aca="false" t="array" ref="BG9:BG9">IF(BF9="","",IFERROR(INDEX(Справочники!$B$4:$B$7,MATCH(BF9,Справочники!$A$4:$A$7,0)),""))</f>
        <v>68.5</v>
      </c>
      <c r="BH9" s="90" t="n">
        <f aca="false">IF(N(BN9)&gt;0,ROUND(SUMIF(ЗАКАЗЫ!$F$3:$F$500,$A9,ЗАКАЗЫ!$Y$3:$Y$500)/BN9,0),IF(OR(BE9="",BG9=""),"",ROUND(BE9*BG9*(1+Справочники!$B$10),0)))</f>
        <v>6099</v>
      </c>
      <c r="BI9" s="92" t="n">
        <f aca="false">IF(OR(AU9="",BH9="",AU9=0),"",(AU9-BH9)/AU9)</f>
        <v>0.368241143567433</v>
      </c>
      <c r="BJ9" s="81"/>
      <c r="BK9" s="83"/>
      <c r="BL9" s="43" t="str">
        <f aca="false">IFERROR(INDEX(ЗАКАЗЫ!$N$3:$N$500,MATCH($A9,ЗАКАЗЫ!$F$3:$F$500,0)),"")</f>
        <v>9506 99 900 0</v>
      </c>
      <c r="BM9" s="8" t="n">
        <f aca="false">IF(BL9="","",IFERROR(VLOOKUP(BL9,'ТН ВЭД'!$A$4:$C$40,3,0),""))</f>
        <v>0.05</v>
      </c>
      <c r="BN9" s="7" t="n">
        <f aca="false">IF(COUNTIF(ЗАКАЗЫ!$F$3:$F$500,$A9)=0,"",SUMIF(ЗАКАЗЫ!$F$3:$F$500,$A9,ЗАКАЗЫ!$J$3:$J$500))</f>
        <v>200</v>
      </c>
      <c r="BO9" s="7" t="n">
        <f aca="false">IF(BN9="","",SUMIF(ЗАКАЗЫ!$F$3:$F$500,$A9,ЗАКАЗЫ!$AL$3:$AL$500))</f>
        <v>0</v>
      </c>
      <c r="BP9" s="7" t="n">
        <f aca="false">IF(BN9="","",BN9-BO9)</f>
        <v>200</v>
      </c>
      <c r="BQ9" s="55" t="str">
        <f aca="false">IF(BN9="","",IF(BO9&gt;=BN9,"На складе",IF(BO9&gt;0,"Частично","Ждём")))</f>
        <v>Ждём</v>
      </c>
      <c r="BR9" s="43" t="s">
        <v>1870</v>
      </c>
      <c r="BS9" s="47" t="str">
        <f aca="false">IF(BN9="","",IF(_xlfn.MAXIFS(ЗАКАЗЫ!$AK$3:$AK$500,ЗАКАЗЫ!$F$3:$F$500,$A9)=0,"",_xlfn.MAXIFS(ЗАКАЗЫ!$AK$3:$AK$500,ЗАКАЗЫ!$F$3:$F$500,$A9)))</f>
        <v/>
      </c>
    </row>
    <row r="10" customFormat="false" ht="79.5" hidden="false" customHeight="true" outlineLevel="0" collapsed="false">
      <c r="A10" s="80" t="s">
        <v>376</v>
      </c>
      <c r="B10" s="81" t="s">
        <v>841</v>
      </c>
      <c r="C10" s="81"/>
      <c r="D10" s="81"/>
      <c r="E10" s="83" t="s">
        <v>1871</v>
      </c>
      <c r="F10" s="81" t="s">
        <v>1836</v>
      </c>
      <c r="G10" s="83" t="s">
        <v>1872</v>
      </c>
      <c r="H10" s="83" t="s">
        <v>1873</v>
      </c>
      <c r="I10" s="84" t="str">
        <f aca="false">IF(E10="","",A10&amp;"_1.jpg")</f>
        <v>AKO-KK-008_1.jpg</v>
      </c>
      <c r="J10" s="84" t="str">
        <f aca="false">IF(E10="","",A10&amp;"_2.jpg; "&amp;A10&amp;"_3.jpg")</f>
        <v>AKO-KK-008_2.jpg; AKO-KK-008_3.jpg</v>
      </c>
      <c r="K10" s="84" t="str">
        <f aca="false">IF(E10="","",A10&amp;"_schema.jpg")</f>
        <v>AKO-KK-008_schema.jpg</v>
      </c>
      <c r="L10" s="81" t="s">
        <v>150</v>
      </c>
      <c r="M10" s="81"/>
      <c r="N10" s="81" t="s">
        <v>1858</v>
      </c>
      <c r="O10" s="81" t="s">
        <v>1869</v>
      </c>
      <c r="P10" s="81" t="n">
        <v>438</v>
      </c>
      <c r="Q10" s="81" t="n">
        <v>174</v>
      </c>
      <c r="R10" s="81" t="n">
        <v>26</v>
      </c>
      <c r="S10" s="81"/>
      <c r="T10" s="81"/>
      <c r="U10" s="81"/>
      <c r="V10" s="81" t="s">
        <v>96</v>
      </c>
      <c r="W10" s="81"/>
      <c r="X10" s="81"/>
      <c r="Y10" s="85"/>
      <c r="Z10" s="85"/>
      <c r="AA10" s="85"/>
      <c r="AB10" s="85"/>
      <c r="AC10" s="85"/>
      <c r="AD10" s="85"/>
      <c r="AE10" s="85" t="n">
        <v>200</v>
      </c>
      <c r="AF10" s="85"/>
      <c r="AG10" s="85"/>
      <c r="AH10" s="85"/>
      <c r="AI10" s="85"/>
      <c r="AJ10" s="85"/>
      <c r="AK10" s="86" t="n">
        <f aca="false">IF(SUM(Y10:AJ10)=0,"",SUM(Y10:AJ10))</f>
        <v>200</v>
      </c>
      <c r="AL10" s="84" t="str">
        <f aca="false">MID(IF(N(Y10)&gt;0,", "&amp;Y$2,"")&amp;IF(N(Z10)&gt;0,", "&amp;Z$2,"")&amp;IF(N(AA10)&gt;0,", "&amp;AA$2,"")&amp;IF(N(AB10)&gt;0,", "&amp;AB$2,"")&amp;IF(N(AC10)&gt;0,", "&amp;AC$2,"")&amp;IF(N(AD10)&gt;0,", "&amp;AD$2,"")&amp;IF(N(AE10)&gt;0,", "&amp;AE$2,"")&amp;IF(N(AF10)&gt;0,", "&amp;AF$2,"")&amp;IF(N(AG10)&gt;0,", "&amp;AG$2,"")&amp;IF(N(AH10)&gt;0,", "&amp;AH$2,"")&amp;IF(N(AI10)&gt;0,", "&amp;AI$2,"")&amp;IF(N(AJ10)&gt;0,", "&amp;AJ$2,""),3,999)</f>
        <v>YELLOW</v>
      </c>
      <c r="AM10" s="87" t="str">
        <f aca="false">IF(E10="","",MID(IF(N(Y10)&gt;0,", "&amp;A10&amp;"-"&amp;Y$2,"")&amp;IF(N(Z10)&gt;0,", "&amp;A10&amp;"-"&amp;Z$2,"")&amp;IF(N(AA10)&gt;0,", "&amp;A10&amp;"-"&amp;AA$2,"")&amp;IF(N(AB10)&gt;0,", "&amp;A10&amp;"-"&amp;AB$2,"")&amp;IF(N(AC10)&gt;0,", "&amp;A10&amp;"-"&amp;AC$2,"")&amp;IF(N(AD10)&gt;0,", "&amp;A10&amp;"-"&amp;AD$2,"")&amp;IF(N(AE10)&gt;0,", "&amp;A10&amp;"-"&amp;AE$2,"")&amp;IF(N(AF10)&gt;0,", "&amp;A10&amp;"-"&amp;AF$2,"")&amp;IF(N(AG10)&gt;0,", "&amp;A10&amp;"-"&amp;AG$2,"")&amp;IF(N(AH10)&gt;0,", "&amp;A10&amp;"-"&amp;AH$2,"")&amp;IF(N(AI10)&gt;0,", "&amp;A10&amp;"-"&amp;AI$2,"")&amp;IF(N(AJ10)&gt;0,", "&amp;A10&amp;"-"&amp;AJ$2,""),3,999))</f>
        <v>AKO-KK-008-YELLOW</v>
      </c>
      <c r="AN10" s="81" t="n">
        <v>1</v>
      </c>
      <c r="AO10" s="88" t="n">
        <v>2050</v>
      </c>
      <c r="AP10" s="89" t="n">
        <f aca="false">IF(AO10="","",ROUND(AO10/(1+Справочники!$B$13),2))</f>
        <v>2050</v>
      </c>
      <c r="AQ10" s="90" t="n">
        <f aca="false" t="array" ref="AQ10:AQ10">IF(AP10="","",AP10*INDEX(Справочники!$B$4:$B$7,MATCH("RUB",Справочники!$A$4:$A$7,0)))</f>
        <v>10865</v>
      </c>
      <c r="AR10" s="90" t="n">
        <f aca="false">IF(AQ10="","",ROUND(AQ10*(1+Справочники!$B$12),0))</f>
        <v>12603</v>
      </c>
      <c r="AS10" s="90" t="n">
        <f aca="false">IF(AR10="","",ROUND(AR10*(1-Справочники!$B$11),0))</f>
        <v>11595</v>
      </c>
      <c r="AT10" s="93" t="n">
        <f aca="false">IF(BH10="","",IF(AS10="",ROUNDUP(BH10/(1-Справочники!$B$23)*(1+Справочники!$B$12),-1),MAX(AS10,ROUNDUP(BH10/(1-Справочники!$B$24)*(1+Справочники!$B$12),-1))))</f>
        <v>11595</v>
      </c>
      <c r="AU10" s="90" t="n">
        <f aca="false">IF(AT10="","",ROUND(AT10/(1+Справочники!$B$12),0))</f>
        <v>9996</v>
      </c>
      <c r="AV10" s="90" t="n">
        <f aca="false">IF(AT10="","",ROUND(AT10*(1-Справочники!$B$15),0))</f>
        <v>11247</v>
      </c>
      <c r="AW10" s="90" t="n">
        <f aca="false">IF(AT10="","",ROUND(AT10*(1-Справочники!$B$16),0))</f>
        <v>10899</v>
      </c>
      <c r="AX10" s="90" t="n">
        <f aca="false">IF(AT10="","",ROUND(AT10*(1-Справочники!$B$17),0))</f>
        <v>10551</v>
      </c>
      <c r="AY10" s="90" t="n">
        <f aca="false">IF(AT10="","",ROUND(AT10*(1-Справочники!$B$18),0))</f>
        <v>10204</v>
      </c>
      <c r="AZ10" s="90" t="n">
        <f aca="false">IF(AT10="","",ROUND(AT10*(1-Справочники!$B$19),0))</f>
        <v>9856</v>
      </c>
      <c r="BA10" s="81"/>
      <c r="BB10" s="81" t="s">
        <v>100</v>
      </c>
      <c r="BC10" s="81" t="s">
        <v>377</v>
      </c>
      <c r="BD10" s="81"/>
      <c r="BE10" s="91" t="n">
        <v>79.1</v>
      </c>
      <c r="BF10" s="81" t="s">
        <v>103</v>
      </c>
      <c r="BG10" s="89" t="n">
        <f aca="false" t="array" ref="BG10:BG10">IF(BF10="","",IFERROR(INDEX(Справочники!$B$4:$B$7,MATCH(BF10,Справочники!$A$4:$A$7,0)),""))</f>
        <v>68.5</v>
      </c>
      <c r="BH10" s="90" t="n">
        <f aca="false">IF(N(BN10)&gt;0,ROUND(SUMIF(ЗАКАЗЫ!$F$3:$F$500,$A10,ЗАКАЗЫ!$Y$3:$Y$500)/BN10,0),IF(OR(BE10="",BG10=""),"",ROUND(BE10*BG10*(1+Справочники!$B$10),0)))</f>
        <v>6502</v>
      </c>
      <c r="BI10" s="92" t="n">
        <f aca="false">IF(OR(AU10="",BH10="",AU10=0),"",(AU10-BH10)/AU10)</f>
        <v>0.349539815926371</v>
      </c>
      <c r="BJ10" s="81"/>
      <c r="BK10" s="83"/>
      <c r="BL10" s="43" t="str">
        <f aca="false">IFERROR(INDEX(ЗАКАЗЫ!$N$3:$N$500,MATCH($A10,ЗАКАЗЫ!$F$3:$F$500,0)),"")</f>
        <v>9506 99 900 0</v>
      </c>
      <c r="BM10" s="8" t="n">
        <f aca="false">IF(BL10="","",IFERROR(VLOOKUP(BL10,'ТН ВЭД'!$A$4:$C$40,3,0),""))</f>
        <v>0.05</v>
      </c>
      <c r="BN10" s="7" t="n">
        <f aca="false">IF(COUNTIF(ЗАКАЗЫ!$F$3:$F$500,$A10)=0,"",SUMIF(ЗАКАЗЫ!$F$3:$F$500,$A10,ЗАКАЗЫ!$J$3:$J$500))</f>
        <v>200</v>
      </c>
      <c r="BO10" s="7" t="n">
        <f aca="false">IF(BN10="","",SUMIF(ЗАКАЗЫ!$F$3:$F$500,$A10,ЗАКАЗЫ!$AL$3:$AL$500))</f>
        <v>0</v>
      </c>
      <c r="BP10" s="7" t="n">
        <f aca="false">IF(BN10="","",BN10-BO10)</f>
        <v>200</v>
      </c>
      <c r="BQ10" s="55" t="str">
        <f aca="false">IF(BN10="","",IF(BO10&gt;=BN10,"На складе",IF(BO10&gt;0,"Частично","Ждём")))</f>
        <v>Ждём</v>
      </c>
      <c r="BR10" s="43" t="s">
        <v>1874</v>
      </c>
      <c r="BS10" s="47" t="str">
        <f aca="false">IF(BN10="","",IF(_xlfn.MAXIFS(ЗАКАЗЫ!$AK$3:$AK$500,ЗАКАЗЫ!$F$3:$F$500,$A10)=0,"",_xlfn.MAXIFS(ЗАКАЗЫ!$AK$3:$AK$500,ЗАКАЗЫ!$F$3:$F$500,$A10)))</f>
        <v/>
      </c>
    </row>
    <row r="11" customFormat="false" ht="79.5" hidden="false" customHeight="true" outlineLevel="0" collapsed="false">
      <c r="A11" s="80" t="s">
        <v>246</v>
      </c>
      <c r="B11" s="81" t="s">
        <v>841</v>
      </c>
      <c r="C11" s="81"/>
      <c r="D11" s="81"/>
      <c r="E11" s="83" t="s">
        <v>1875</v>
      </c>
      <c r="F11" s="81" t="s">
        <v>1836</v>
      </c>
      <c r="G11" s="83" t="s">
        <v>1876</v>
      </c>
      <c r="H11" s="83" t="s">
        <v>1877</v>
      </c>
      <c r="I11" s="84" t="str">
        <f aca="false">IF(E11="","",A11&amp;"_1.jpg")</f>
        <v>AKO-KK-009_1.jpg</v>
      </c>
      <c r="J11" s="84" t="str">
        <f aca="false">IF(E11="","",A11&amp;"_2.jpg; "&amp;A11&amp;"_3.jpg")</f>
        <v>AKO-KK-009_2.jpg; AKO-KK-009_3.jpg</v>
      </c>
      <c r="K11" s="84" t="str">
        <f aca="false">IF(E11="","",A11&amp;"_schema.jpg")</f>
        <v>AKO-KK-009_schema.jpg</v>
      </c>
      <c r="L11" s="81" t="s">
        <v>150</v>
      </c>
      <c r="M11" s="81"/>
      <c r="N11" s="81" t="s">
        <v>1511</v>
      </c>
      <c r="O11" s="81" t="s">
        <v>1869</v>
      </c>
      <c r="P11" s="81" t="n">
        <v>440</v>
      </c>
      <c r="Q11" s="81" t="n">
        <v>178</v>
      </c>
      <c r="R11" s="81"/>
      <c r="S11" s="81"/>
      <c r="T11" s="81"/>
      <c r="U11" s="81"/>
      <c r="V11" s="81" t="s">
        <v>96</v>
      </c>
      <c r="W11" s="81"/>
      <c r="X11" s="81"/>
      <c r="Y11" s="85" t="n">
        <v>50</v>
      </c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6" t="n">
        <f aca="false">IF(SUM(Y11:AJ11)=0,"",SUM(Y11:AJ11))</f>
        <v>50</v>
      </c>
      <c r="AL11" s="84" t="str">
        <f aca="false">MID(IF(N(Y11)&gt;0,", "&amp;Y$2,"")&amp;IF(N(Z11)&gt;0,", "&amp;Z$2,"")&amp;IF(N(AA11)&gt;0,", "&amp;AA$2,"")&amp;IF(N(AB11)&gt;0,", "&amp;AB$2,"")&amp;IF(N(AC11)&gt;0,", "&amp;AC$2,"")&amp;IF(N(AD11)&gt;0,", "&amp;AD$2,"")&amp;IF(N(AE11)&gt;0,", "&amp;AE$2,"")&amp;IF(N(AF11)&gt;0,", "&amp;AF$2,"")&amp;IF(N(AG11)&gt;0,", "&amp;AG$2,"")&amp;IF(N(AH11)&gt;0,", "&amp;AH$2,"")&amp;IF(N(AI11)&gt;0,", "&amp;AI$2,"")&amp;IF(N(AJ11)&gt;0,", "&amp;AJ$2,""),3,999)</f>
        <v>BLACK</v>
      </c>
      <c r="AM11" s="87" t="str">
        <f aca="false">IF(E11="","",MID(IF(N(Y11)&gt;0,", "&amp;A11&amp;"-"&amp;Y$2,"")&amp;IF(N(Z11)&gt;0,", "&amp;A11&amp;"-"&amp;Z$2,"")&amp;IF(N(AA11)&gt;0,", "&amp;A11&amp;"-"&amp;AA$2,"")&amp;IF(N(AB11)&gt;0,", "&amp;A11&amp;"-"&amp;AB$2,"")&amp;IF(N(AC11)&gt;0,", "&amp;A11&amp;"-"&amp;AC$2,"")&amp;IF(N(AD11)&gt;0,", "&amp;A11&amp;"-"&amp;AD$2,"")&amp;IF(N(AE11)&gt;0,", "&amp;A11&amp;"-"&amp;AE$2,"")&amp;IF(N(AF11)&gt;0,", "&amp;A11&amp;"-"&amp;AF$2,"")&amp;IF(N(AG11)&gt;0,", "&amp;A11&amp;"-"&amp;AG$2,"")&amp;IF(N(AH11)&gt;0,", "&amp;A11&amp;"-"&amp;AH$2,"")&amp;IF(N(AI11)&gt;0,", "&amp;A11&amp;"-"&amp;AI$2,"")&amp;IF(N(AJ11)&gt;0,", "&amp;A11&amp;"-"&amp;AJ$2,""),3,999))</f>
        <v>AKO-KK-009-BLACK</v>
      </c>
      <c r="AN11" s="81" t="n">
        <v>1</v>
      </c>
      <c r="AO11" s="88"/>
      <c r="AP11" s="89" t="str">
        <f aca="false">IF(AO11="","",ROUND(AO11/(1+Справочники!$B$13),2))</f>
        <v/>
      </c>
      <c r="AQ11" s="90" t="str">
        <f aca="false" t="array" ref="AQ11:AQ11">IF(AP11="","",AP11*INDEX(Справочники!$B$4:$B$7,MATCH("RUB",Справочники!$A$4:$A$7,0)))</f>
        <v/>
      </c>
      <c r="AR11" s="90" t="str">
        <f aca="false">IF(AQ11="","",ROUND(AQ11*(1+Справочники!$B$12),0))</f>
        <v/>
      </c>
      <c r="AS11" s="90" t="str">
        <f aca="false">IF(AR11="","",ROUND(AR11*(1-Справочники!$B$11),0))</f>
        <v/>
      </c>
      <c r="AT11" s="93" t="n">
        <f aca="false">IF(BH11="","",IF(AS11="",ROUNDUP(BH11/(1-Справочники!$B$23)*(1+Справочники!$B$12),-1),MAX(AS11,ROUNDUP(BH11/(1-Справочники!$B$24)*(1+Справочники!$B$12),-1))))</f>
        <v>15260</v>
      </c>
      <c r="AU11" s="90" t="n">
        <f aca="false">IF(AT11="","",ROUND(AT11/(1+Справочники!$B$12),0))</f>
        <v>13155</v>
      </c>
      <c r="AV11" s="90" t="n">
        <f aca="false">IF(AT11="","",ROUND(AT11*(1-Справочники!$B$15),0))</f>
        <v>14802</v>
      </c>
      <c r="AW11" s="90" t="n">
        <f aca="false">IF(AT11="","",ROUND(AT11*(1-Справочники!$B$16),0))</f>
        <v>14344</v>
      </c>
      <c r="AX11" s="90" t="n">
        <f aca="false">IF(AT11="","",ROUND(AT11*(1-Справочники!$B$17),0))</f>
        <v>13887</v>
      </c>
      <c r="AY11" s="90" t="n">
        <f aca="false">IF(AT11="","",ROUND(AT11*(1-Справочники!$B$18),0))</f>
        <v>13429</v>
      </c>
      <c r="AZ11" s="90" t="n">
        <f aca="false">IF(AT11="","",ROUND(AT11*(1-Справочники!$B$19),0))</f>
        <v>12971</v>
      </c>
      <c r="BA11" s="81"/>
      <c r="BB11" s="81" t="s">
        <v>147</v>
      </c>
      <c r="BC11" s="81" t="s">
        <v>247</v>
      </c>
      <c r="BD11" s="81"/>
      <c r="BE11" s="91" t="n">
        <v>80</v>
      </c>
      <c r="BF11" s="81" t="s">
        <v>103</v>
      </c>
      <c r="BG11" s="89" t="n">
        <f aca="false" t="array" ref="BG11:BG11">IF(BF11="","",IFERROR(INDEX(Справочники!$B$4:$B$7,MATCH(BF11,Справочники!$A$4:$A$7,0)),""))</f>
        <v>68.5</v>
      </c>
      <c r="BH11" s="90" t="n">
        <f aca="false">IF(N(BN11)&gt;0,ROUND(SUMIF(ЗАКАЗЫ!$F$3:$F$500,$A11,ЗАКАЗЫ!$Y$3:$Y$500)/BN11,0),IF(OR(BE11="",BG11=""),"",ROUND(BE11*BG11*(1+Справочники!$B$10),0)))</f>
        <v>6576</v>
      </c>
      <c r="BI11" s="92" t="n">
        <f aca="false">IF(OR(AU11="",BH11="",AU11=0),"",(AU11-BH11)/AU11)</f>
        <v>0.500114025085519</v>
      </c>
      <c r="BJ11" s="81" t="n">
        <v>12</v>
      </c>
      <c r="BK11" s="83"/>
      <c r="BL11" s="43" t="str">
        <f aca="false">IFERROR(INDEX(ЗАКАЗЫ!$N$3:$N$500,MATCH($A11,ЗАКАЗЫ!$F$3:$F$500,0)),"")</f>
        <v>9506 99 900 0</v>
      </c>
      <c r="BM11" s="8" t="n">
        <f aca="false">IF(BL11="","",IFERROR(VLOOKUP(BL11,'ТН ВЭД'!$A$4:$C$40,3,0),""))</f>
        <v>0.05</v>
      </c>
      <c r="BN11" s="7" t="n">
        <f aca="false">IF(COUNTIF(ЗАКАЗЫ!$F$3:$F$500,$A11)=0,"",SUMIF(ЗАКАЗЫ!$F$3:$F$500,$A11,ЗАКАЗЫ!$J$3:$J$500))</f>
        <v>50</v>
      </c>
      <c r="BO11" s="7" t="n">
        <f aca="false">IF(BN11="","",SUMIF(ЗАКАЗЫ!$F$3:$F$500,$A11,ЗАКАЗЫ!$AL$3:$AL$500))</f>
        <v>0</v>
      </c>
      <c r="BP11" s="7" t="n">
        <f aca="false">IF(BN11="","",BN11-BO11)</f>
        <v>50</v>
      </c>
      <c r="BQ11" s="55" t="str">
        <f aca="false">IF(BN11="","",IF(BO11&gt;=BN11,"На складе",IF(BO11&gt;0,"Частично","Ждём")))</f>
        <v>Ждём</v>
      </c>
      <c r="BR11" s="43" t="s">
        <v>1878</v>
      </c>
      <c r="BS11" s="47" t="n">
        <f aca="false">IF(BN11="","",IF(_xlfn.MAXIFS(ЗАКАЗЫ!$AK$3:$AK$500,ЗАКАЗЫ!$F$3:$F$500,$A11)=0,"",_xlfn.MAXIFS(ЗАКАЗЫ!$AK$3:$AK$500,ЗАКАЗЫ!$F$3:$F$500,$A11)))</f>
        <v>46323</v>
      </c>
    </row>
    <row r="12" customFormat="false" ht="15.75" hidden="false" customHeight="true" outlineLevel="0" collapsed="false">
      <c r="A12" s="80" t="s">
        <v>1879</v>
      </c>
      <c r="B12" s="81"/>
      <c r="C12" s="81"/>
      <c r="D12" s="81"/>
      <c r="E12" s="83"/>
      <c r="F12" s="81"/>
      <c r="G12" s="83"/>
      <c r="H12" s="83"/>
      <c r="I12" s="84" t="str">
        <f aca="false">IF(E12="","",A12&amp;"_1.jpg")</f>
        <v/>
      </c>
      <c r="J12" s="84" t="str">
        <f aca="false">IF(E12="","",A12&amp;"_2.jpg; "&amp;A12&amp;"_3.jpg")</f>
        <v/>
      </c>
      <c r="K12" s="84" t="str">
        <f aca="false">IF(E12="","",A12&amp;"_schema.jpg")</f>
        <v/>
      </c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 t="s">
        <v>96</v>
      </c>
      <c r="W12" s="81"/>
      <c r="X12" s="81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6" t="str">
        <f aca="false">IF(SUM(Y12:AJ12)=0,"",SUM(Y12:AJ12))</f>
        <v/>
      </c>
      <c r="AL12" s="84" t="str">
        <f aca="false">MID(IF(N(Y12)&gt;0,", "&amp;Y$2,"")&amp;IF(N(Z12)&gt;0,", "&amp;Z$2,"")&amp;IF(N(AA12)&gt;0,", "&amp;AA$2,"")&amp;IF(N(AB12)&gt;0,", "&amp;AB$2,"")&amp;IF(N(AC12)&gt;0,", "&amp;AC$2,"")&amp;IF(N(AD12)&gt;0,", "&amp;AD$2,"")&amp;IF(N(AE12)&gt;0,", "&amp;AE$2,"")&amp;IF(N(AF12)&gt;0,", "&amp;AF$2,"")&amp;IF(N(AG12)&gt;0,", "&amp;AG$2,"")&amp;IF(N(AH12)&gt;0,", "&amp;AH$2,"")&amp;IF(N(AI12)&gt;0,", "&amp;AI$2,"")&amp;IF(N(AJ12)&gt;0,", "&amp;AJ$2,""),3,999)</f>
        <v/>
      </c>
      <c r="AM12" s="87" t="str">
        <f aca="false">IF(E12="","",MID(IF(N(Y12)&gt;0,", "&amp;A12&amp;"-"&amp;Y$2,"")&amp;IF(N(Z12)&gt;0,", "&amp;A12&amp;"-"&amp;Z$2,"")&amp;IF(N(AA12)&gt;0,", "&amp;A12&amp;"-"&amp;AA$2,"")&amp;IF(N(AB12)&gt;0,", "&amp;A12&amp;"-"&amp;AB$2,"")&amp;IF(N(AC12)&gt;0,", "&amp;A12&amp;"-"&amp;AC$2,"")&amp;IF(N(AD12)&gt;0,", "&amp;A12&amp;"-"&amp;AD$2,"")&amp;IF(N(AE12)&gt;0,", "&amp;A12&amp;"-"&amp;AE$2,"")&amp;IF(N(AF12)&gt;0,", "&amp;A12&amp;"-"&amp;AF$2,"")&amp;IF(N(AG12)&gt;0,", "&amp;A12&amp;"-"&amp;AG$2,"")&amp;IF(N(AH12)&gt;0,", "&amp;A12&amp;"-"&amp;AH$2,"")&amp;IF(N(AI12)&gt;0,", "&amp;A12&amp;"-"&amp;AI$2,"")&amp;IF(N(AJ12)&gt;0,", "&amp;A12&amp;"-"&amp;AJ$2,""),3,999))</f>
        <v/>
      </c>
      <c r="AN12" s="81"/>
      <c r="AO12" s="88"/>
      <c r="AP12" s="89" t="str">
        <f aca="false">IF(AO12="","",ROUND(AO12/(1+Справочники!$B$13),2))</f>
        <v/>
      </c>
      <c r="AQ12" s="90" t="str">
        <f aca="false" t="array" ref="AQ12:AQ12">IF(AP12="","",AP12*INDEX(Справочники!$B$4:$B$7,MATCH("RUB",Справочники!$A$4:$A$7,0)))</f>
        <v/>
      </c>
      <c r="AR12" s="90" t="str">
        <f aca="false">IF(AQ12="","",ROUND(AQ12*(1+Справочники!$B$12),0))</f>
        <v/>
      </c>
      <c r="AS12" s="90" t="str">
        <f aca="false">IF(AR12="","",ROUND(AR12*(1-Справочники!$B$11),0))</f>
        <v/>
      </c>
      <c r="AT12" s="88"/>
      <c r="AU12" s="90" t="str">
        <f aca="false">IF(AT12="","",ROUND(AT12/(1+Справочники!$B$12),0))</f>
        <v/>
      </c>
      <c r="AV12" s="90" t="str">
        <f aca="false">IF(AT12="","",ROUND(AT12*(1-Справочники!$B$15),0))</f>
        <v/>
      </c>
      <c r="AW12" s="90" t="str">
        <f aca="false">IF(AT12="","",ROUND(AT12*(1-Справочники!$B$16),0))</f>
        <v/>
      </c>
      <c r="AX12" s="90" t="str">
        <f aca="false">IF(AT12="","",ROUND(AT12*(1-Справочники!$B$17),0))</f>
        <v/>
      </c>
      <c r="AY12" s="90" t="str">
        <f aca="false">IF(AT12="","",ROUND(AT12*(1-Справочники!$B$18),0))</f>
        <v/>
      </c>
      <c r="AZ12" s="90" t="str">
        <f aca="false">IF(AT12="","",ROUND(AT12*(1-Справочники!$B$19),0))</f>
        <v/>
      </c>
      <c r="BA12" s="81"/>
      <c r="BB12" s="81"/>
      <c r="BC12" s="81"/>
      <c r="BD12" s="81"/>
      <c r="BE12" s="91"/>
      <c r="BF12" s="81" t="s">
        <v>103</v>
      </c>
      <c r="BG12" s="89" t="n">
        <f aca="false" t="array" ref="BG12:BG12">IF(BF12="","",IFERROR(INDEX(Справочники!$B$4:$B$7,MATCH(BF12,Справочники!$A$4:$A$7,0)),""))</f>
        <v>68.5</v>
      </c>
      <c r="BH12" s="90" t="str">
        <f aca="false">IF(N(BN12)&gt;0,ROUND(SUMIF(ЗАКАЗЫ!$F$3:$F$500,$A12,ЗАКАЗЫ!$Y$3:$Y$500)/BN12,0),IF(OR(BE12="",BG12=""),"",ROUND(BE12*BG12*(1+Справочники!$B$10),0)))</f>
        <v/>
      </c>
      <c r="BI12" s="92" t="str">
        <f aca="false">IF(OR(AU12="",BH12="",AU12=0),"",(AU12-BH12)/AU12)</f>
        <v/>
      </c>
      <c r="BJ12" s="81"/>
      <c r="BK12" s="83"/>
      <c r="BL12" s="43" t="str">
        <f aca="false">IFERROR(INDEX(ЗАКАЗЫ!$N$3:$N$500,MATCH($A12,ЗАКАЗЫ!$F$3:$F$500,0)),"")</f>
        <v/>
      </c>
      <c r="BM12" s="8" t="str">
        <f aca="false">IF(BL12="","",IFERROR(VLOOKUP(BL12,'ТН ВЭД'!$A$4:$C$40,3,0),""))</f>
        <v/>
      </c>
      <c r="BN12" s="7" t="str">
        <f aca="false">IF(COUNTIF(ЗАКАЗЫ!$F$3:$F$500,$A12)=0,"",SUMIF(ЗАКАЗЫ!$F$3:$F$500,$A12,ЗАКАЗЫ!$J$3:$J$500))</f>
        <v/>
      </c>
      <c r="BO12" s="7" t="str">
        <f aca="false">IF(BN12="","",SUMIF(ЗАКАЗЫ!$F$3:$F$500,$A12,ЗАКАЗЫ!$AL$3:$AL$500))</f>
        <v/>
      </c>
      <c r="BP12" s="7" t="str">
        <f aca="false">IF(BN12="","",BN12-BO12)</f>
        <v/>
      </c>
      <c r="BQ12" s="55" t="str">
        <f aca="false">IF(BN12="","",IF(BO12&gt;=BN12,"На складе",IF(BO12&gt;0,"Частично","Ждём")))</f>
        <v/>
      </c>
      <c r="BR12" s="43"/>
      <c r="BS12" s="47" t="str">
        <f aca="false">IF(BN12="","",IF(_xlfn.MAXIFS(ЗАКАЗЫ!$AK$3:$AK$500,ЗАКАЗЫ!$F$3:$F$500,$A12)=0,"",_xlfn.MAXIFS(ЗАКАЗЫ!$AK$3:$AK$500,ЗАКАЗЫ!$F$3:$F$500,$A12)))</f>
        <v/>
      </c>
    </row>
    <row r="13" customFormat="false" ht="15.75" hidden="false" customHeight="true" outlineLevel="0" collapsed="false">
      <c r="A13" s="80" t="s">
        <v>1880</v>
      </c>
      <c r="B13" s="81"/>
      <c r="C13" s="81"/>
      <c r="D13" s="81"/>
      <c r="E13" s="83"/>
      <c r="F13" s="81"/>
      <c r="G13" s="83"/>
      <c r="H13" s="83"/>
      <c r="I13" s="84" t="str">
        <f aca="false">IF(E13="","",A13&amp;"_1.jpg")</f>
        <v/>
      </c>
      <c r="J13" s="84" t="str">
        <f aca="false">IF(E13="","",A13&amp;"_2.jpg; "&amp;A13&amp;"_3.jpg")</f>
        <v/>
      </c>
      <c r="K13" s="84" t="str">
        <f aca="false">IF(E13="","",A13&amp;"_schema.jpg")</f>
        <v/>
      </c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 t="s">
        <v>96</v>
      </c>
      <c r="W13" s="81"/>
      <c r="X13" s="81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6" t="str">
        <f aca="false">IF(SUM(Y13:AJ13)=0,"",SUM(Y13:AJ13))</f>
        <v/>
      </c>
      <c r="AL13" s="84" t="str">
        <f aca="false">MID(IF(N(Y13)&gt;0,", "&amp;Y$2,"")&amp;IF(N(Z13)&gt;0,", "&amp;Z$2,"")&amp;IF(N(AA13)&gt;0,", "&amp;AA$2,"")&amp;IF(N(AB13)&gt;0,", "&amp;AB$2,"")&amp;IF(N(AC13)&gt;0,", "&amp;AC$2,"")&amp;IF(N(AD13)&gt;0,", "&amp;AD$2,"")&amp;IF(N(AE13)&gt;0,", "&amp;AE$2,"")&amp;IF(N(AF13)&gt;0,", "&amp;AF$2,"")&amp;IF(N(AG13)&gt;0,", "&amp;AG$2,"")&amp;IF(N(AH13)&gt;0,", "&amp;AH$2,"")&amp;IF(N(AI13)&gt;0,", "&amp;AI$2,"")&amp;IF(N(AJ13)&gt;0,", "&amp;AJ$2,""),3,999)</f>
        <v/>
      </c>
      <c r="AM13" s="87" t="str">
        <f aca="false">IF(E13="","",MID(IF(N(Y13)&gt;0,", "&amp;A13&amp;"-"&amp;Y$2,"")&amp;IF(N(Z13)&gt;0,", "&amp;A13&amp;"-"&amp;Z$2,"")&amp;IF(N(AA13)&gt;0,", "&amp;A13&amp;"-"&amp;AA$2,"")&amp;IF(N(AB13)&gt;0,", "&amp;A13&amp;"-"&amp;AB$2,"")&amp;IF(N(AC13)&gt;0,", "&amp;A13&amp;"-"&amp;AC$2,"")&amp;IF(N(AD13)&gt;0,", "&amp;A13&amp;"-"&amp;AD$2,"")&amp;IF(N(AE13)&gt;0,", "&amp;A13&amp;"-"&amp;AE$2,"")&amp;IF(N(AF13)&gt;0,", "&amp;A13&amp;"-"&amp;AF$2,"")&amp;IF(N(AG13)&gt;0,", "&amp;A13&amp;"-"&amp;AG$2,"")&amp;IF(N(AH13)&gt;0,", "&amp;A13&amp;"-"&amp;AH$2,"")&amp;IF(N(AI13)&gt;0,", "&amp;A13&amp;"-"&amp;AI$2,"")&amp;IF(N(AJ13)&gt;0,", "&amp;A13&amp;"-"&amp;AJ$2,""),3,999))</f>
        <v/>
      </c>
      <c r="AN13" s="81"/>
      <c r="AO13" s="88"/>
      <c r="AP13" s="89" t="str">
        <f aca="false">IF(AO13="","",ROUND(AO13/(1+Справочники!$B$13),2))</f>
        <v/>
      </c>
      <c r="AQ13" s="90" t="str">
        <f aca="false" t="array" ref="AQ13:AQ13">IF(AP13="","",AP13*INDEX(Справочники!$B$4:$B$7,MATCH("RUB",Справочники!$A$4:$A$7,0)))</f>
        <v/>
      </c>
      <c r="AR13" s="90" t="str">
        <f aca="false">IF(AQ13="","",ROUND(AQ13*(1+Справочники!$B$12),0))</f>
        <v/>
      </c>
      <c r="AS13" s="90" t="str">
        <f aca="false">IF(AR13="","",ROUND(AR13*(1-Справочники!$B$11),0))</f>
        <v/>
      </c>
      <c r="AT13" s="88"/>
      <c r="AU13" s="90" t="str">
        <f aca="false">IF(AT13="","",ROUND(AT13/(1+Справочники!$B$12),0))</f>
        <v/>
      </c>
      <c r="AV13" s="90" t="str">
        <f aca="false">IF(AT13="","",ROUND(AT13*(1-Справочники!$B$15),0))</f>
        <v/>
      </c>
      <c r="AW13" s="90" t="str">
        <f aca="false">IF(AT13="","",ROUND(AT13*(1-Справочники!$B$16),0))</f>
        <v/>
      </c>
      <c r="AX13" s="90" t="str">
        <f aca="false">IF(AT13="","",ROUND(AT13*(1-Справочники!$B$17),0))</f>
        <v/>
      </c>
      <c r="AY13" s="90" t="str">
        <f aca="false">IF(AT13="","",ROUND(AT13*(1-Справочники!$B$18),0))</f>
        <v/>
      </c>
      <c r="AZ13" s="90" t="str">
        <f aca="false">IF(AT13="","",ROUND(AT13*(1-Справочники!$B$19),0))</f>
        <v/>
      </c>
      <c r="BA13" s="81"/>
      <c r="BB13" s="81"/>
      <c r="BC13" s="81"/>
      <c r="BD13" s="81"/>
      <c r="BE13" s="91"/>
      <c r="BF13" s="81" t="s">
        <v>103</v>
      </c>
      <c r="BG13" s="89" t="n">
        <f aca="false" t="array" ref="BG13:BG13">IF(BF13="","",IFERROR(INDEX(Справочники!$B$4:$B$7,MATCH(BF13,Справочники!$A$4:$A$7,0)),""))</f>
        <v>68.5</v>
      </c>
      <c r="BH13" s="90" t="str">
        <f aca="false">IF(N(BN13)&gt;0,ROUND(SUMIF(ЗАКАЗЫ!$F$3:$F$500,$A13,ЗАКАЗЫ!$Y$3:$Y$500)/BN13,0),IF(OR(BE13="",BG13=""),"",ROUND(BE13*BG13*(1+Справочники!$B$10),0)))</f>
        <v/>
      </c>
      <c r="BI13" s="92" t="str">
        <f aca="false">IF(OR(AU13="",BH13="",AU13=0),"",(AU13-BH13)/AU13)</f>
        <v/>
      </c>
      <c r="BJ13" s="81"/>
      <c r="BK13" s="83"/>
      <c r="BL13" s="43" t="str">
        <f aca="false">IFERROR(INDEX(ЗАКАЗЫ!$N$3:$N$500,MATCH($A13,ЗАКАЗЫ!$F$3:$F$500,0)),"")</f>
        <v/>
      </c>
      <c r="BM13" s="8" t="str">
        <f aca="false">IF(BL13="","",IFERROR(VLOOKUP(BL13,'ТН ВЭД'!$A$4:$C$40,3,0),""))</f>
        <v/>
      </c>
      <c r="BN13" s="7" t="str">
        <f aca="false">IF(COUNTIF(ЗАКАЗЫ!$F$3:$F$500,$A13)=0,"",SUMIF(ЗАКАЗЫ!$F$3:$F$500,$A13,ЗАКАЗЫ!$J$3:$J$500))</f>
        <v/>
      </c>
      <c r="BO13" s="7" t="str">
        <f aca="false">IF(BN13="","",SUMIF(ЗАКАЗЫ!$F$3:$F$500,$A13,ЗАКАЗЫ!$AL$3:$AL$500))</f>
        <v/>
      </c>
      <c r="BP13" s="7" t="str">
        <f aca="false">IF(BN13="","",BN13-BO13)</f>
        <v/>
      </c>
      <c r="BQ13" s="55" t="str">
        <f aca="false">IF(BN13="","",IF(BO13&gt;=BN13,"На складе",IF(BO13&gt;0,"Частично","Ждём")))</f>
        <v/>
      </c>
      <c r="BR13" s="43"/>
      <c r="BS13" s="47" t="str">
        <f aca="false">IF(BN13="","",IF(_xlfn.MAXIFS(ЗАКАЗЫ!$AK$3:$AK$500,ЗАКАЗЫ!$F$3:$F$500,$A13)=0,"",_xlfn.MAXIFS(ЗАКАЗЫ!$AK$3:$AK$500,ЗАКАЗЫ!$F$3:$F$500,$A13)))</f>
        <v/>
      </c>
    </row>
    <row r="14" customFormat="false" ht="15.75" hidden="false" customHeight="true" outlineLevel="0" collapsed="false">
      <c r="A14" s="80" t="s">
        <v>1881</v>
      </c>
      <c r="B14" s="81"/>
      <c r="C14" s="81"/>
      <c r="D14" s="81"/>
      <c r="E14" s="83"/>
      <c r="F14" s="81"/>
      <c r="G14" s="83"/>
      <c r="H14" s="83"/>
      <c r="I14" s="84" t="str">
        <f aca="false">IF(E14="","",A14&amp;"_1.jpg")</f>
        <v/>
      </c>
      <c r="J14" s="84" t="str">
        <f aca="false">IF(E14="","",A14&amp;"_2.jpg; "&amp;A14&amp;"_3.jpg")</f>
        <v/>
      </c>
      <c r="K14" s="84" t="str">
        <f aca="false">IF(E14="","",A14&amp;"_schema.jpg")</f>
        <v/>
      </c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 t="s">
        <v>96</v>
      </c>
      <c r="W14" s="81"/>
      <c r="X14" s="81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6" t="str">
        <f aca="false">IF(SUM(Y14:AJ14)=0,"",SUM(Y14:AJ14))</f>
        <v/>
      </c>
      <c r="AL14" s="84" t="str">
        <f aca="false">MID(IF(N(Y14)&gt;0,", "&amp;Y$2,"")&amp;IF(N(Z14)&gt;0,", "&amp;Z$2,"")&amp;IF(N(AA14)&gt;0,", "&amp;AA$2,"")&amp;IF(N(AB14)&gt;0,", "&amp;AB$2,"")&amp;IF(N(AC14)&gt;0,", "&amp;AC$2,"")&amp;IF(N(AD14)&gt;0,", "&amp;AD$2,"")&amp;IF(N(AE14)&gt;0,", "&amp;AE$2,"")&amp;IF(N(AF14)&gt;0,", "&amp;AF$2,"")&amp;IF(N(AG14)&gt;0,", "&amp;AG$2,"")&amp;IF(N(AH14)&gt;0,", "&amp;AH$2,"")&amp;IF(N(AI14)&gt;0,", "&amp;AI$2,"")&amp;IF(N(AJ14)&gt;0,", "&amp;AJ$2,""),3,999)</f>
        <v/>
      </c>
      <c r="AM14" s="87" t="str">
        <f aca="false">IF(E14="","",MID(IF(N(Y14)&gt;0,", "&amp;A14&amp;"-"&amp;Y$2,"")&amp;IF(N(Z14)&gt;0,", "&amp;A14&amp;"-"&amp;Z$2,"")&amp;IF(N(AA14)&gt;0,", "&amp;A14&amp;"-"&amp;AA$2,"")&amp;IF(N(AB14)&gt;0,", "&amp;A14&amp;"-"&amp;AB$2,"")&amp;IF(N(AC14)&gt;0,", "&amp;A14&amp;"-"&amp;AC$2,"")&amp;IF(N(AD14)&gt;0,", "&amp;A14&amp;"-"&amp;AD$2,"")&amp;IF(N(AE14)&gt;0,", "&amp;A14&amp;"-"&amp;AE$2,"")&amp;IF(N(AF14)&gt;0,", "&amp;A14&amp;"-"&amp;AF$2,"")&amp;IF(N(AG14)&gt;0,", "&amp;A14&amp;"-"&amp;AG$2,"")&amp;IF(N(AH14)&gt;0,", "&amp;A14&amp;"-"&amp;AH$2,"")&amp;IF(N(AI14)&gt;0,", "&amp;A14&amp;"-"&amp;AI$2,"")&amp;IF(N(AJ14)&gt;0,", "&amp;A14&amp;"-"&amp;AJ$2,""),3,999))</f>
        <v/>
      </c>
      <c r="AN14" s="81"/>
      <c r="AO14" s="88"/>
      <c r="AP14" s="89" t="str">
        <f aca="false">IF(AO14="","",ROUND(AO14/(1+Справочники!$B$13),2))</f>
        <v/>
      </c>
      <c r="AQ14" s="90" t="str">
        <f aca="false" t="array" ref="AQ14:AQ14">IF(AP14="","",AP14*INDEX(Справочники!$B$4:$B$7,MATCH("RUB",Справочники!$A$4:$A$7,0)))</f>
        <v/>
      </c>
      <c r="AR14" s="90" t="str">
        <f aca="false">IF(AQ14="","",ROUND(AQ14*(1+Справочники!$B$12),0))</f>
        <v/>
      </c>
      <c r="AS14" s="90" t="str">
        <f aca="false">IF(AR14="","",ROUND(AR14*(1-Справочники!$B$11),0))</f>
        <v/>
      </c>
      <c r="AT14" s="88"/>
      <c r="AU14" s="90" t="str">
        <f aca="false">IF(AT14="","",ROUND(AT14/(1+Справочники!$B$12),0))</f>
        <v/>
      </c>
      <c r="AV14" s="90" t="str">
        <f aca="false">IF(AT14="","",ROUND(AT14*(1-Справочники!$B$15),0))</f>
        <v/>
      </c>
      <c r="AW14" s="90" t="str">
        <f aca="false">IF(AT14="","",ROUND(AT14*(1-Справочники!$B$16),0))</f>
        <v/>
      </c>
      <c r="AX14" s="90" t="str">
        <f aca="false">IF(AT14="","",ROUND(AT14*(1-Справочники!$B$17),0))</f>
        <v/>
      </c>
      <c r="AY14" s="90" t="str">
        <f aca="false">IF(AT14="","",ROUND(AT14*(1-Справочники!$B$18),0))</f>
        <v/>
      </c>
      <c r="AZ14" s="90" t="str">
        <f aca="false">IF(AT14="","",ROUND(AT14*(1-Справочники!$B$19),0))</f>
        <v/>
      </c>
      <c r="BA14" s="81"/>
      <c r="BB14" s="81"/>
      <c r="BC14" s="81"/>
      <c r="BD14" s="81"/>
      <c r="BE14" s="91"/>
      <c r="BF14" s="81" t="s">
        <v>103</v>
      </c>
      <c r="BG14" s="89" t="n">
        <f aca="false" t="array" ref="BG14:BG14">IF(BF14="","",IFERROR(INDEX(Справочники!$B$4:$B$7,MATCH(BF14,Справочники!$A$4:$A$7,0)),""))</f>
        <v>68.5</v>
      </c>
      <c r="BH14" s="90" t="str">
        <f aca="false">IF(N(BN14)&gt;0,ROUND(SUMIF(ЗАКАЗЫ!$F$3:$F$500,$A14,ЗАКАЗЫ!$Y$3:$Y$500)/BN14,0),IF(OR(BE14="",BG14=""),"",ROUND(BE14*BG14*(1+Справочники!$B$10),0)))</f>
        <v/>
      </c>
      <c r="BI14" s="92" t="str">
        <f aca="false">IF(OR(AU14="",BH14="",AU14=0),"",(AU14-BH14)/AU14)</f>
        <v/>
      </c>
      <c r="BJ14" s="81"/>
      <c r="BK14" s="83"/>
      <c r="BL14" s="43" t="str">
        <f aca="false">IFERROR(INDEX(ЗАКАЗЫ!$N$3:$N$500,MATCH($A14,ЗАКАЗЫ!$F$3:$F$500,0)),"")</f>
        <v/>
      </c>
      <c r="BM14" s="8" t="str">
        <f aca="false">IF(BL14="","",IFERROR(VLOOKUP(BL14,'ТН ВЭД'!$A$4:$C$40,3,0),""))</f>
        <v/>
      </c>
      <c r="BN14" s="7" t="str">
        <f aca="false">IF(COUNTIF(ЗАКАЗЫ!$F$3:$F$500,$A14)=0,"",SUMIF(ЗАКАЗЫ!$F$3:$F$500,$A14,ЗАКАЗЫ!$J$3:$J$500))</f>
        <v/>
      </c>
      <c r="BO14" s="7" t="str">
        <f aca="false">IF(BN14="","",SUMIF(ЗАКАЗЫ!$F$3:$F$500,$A14,ЗАКАЗЫ!$AL$3:$AL$500))</f>
        <v/>
      </c>
      <c r="BP14" s="7" t="str">
        <f aca="false">IF(BN14="","",BN14-BO14)</f>
        <v/>
      </c>
      <c r="BQ14" s="55" t="str">
        <f aca="false">IF(BN14="","",IF(BO14&gt;=BN14,"На складе",IF(BO14&gt;0,"Частично","Ждём")))</f>
        <v/>
      </c>
      <c r="BR14" s="43"/>
      <c r="BS14" s="47" t="str">
        <f aca="false">IF(BN14="","",IF(_xlfn.MAXIFS(ЗАКАЗЫ!$AK$3:$AK$500,ЗАКАЗЫ!$F$3:$F$500,$A14)=0,"",_xlfn.MAXIFS(ЗАКАЗЫ!$AK$3:$AK$500,ЗАКАЗЫ!$F$3:$F$500,$A14)))</f>
        <v/>
      </c>
    </row>
    <row r="15" customFormat="false" ht="15.75" hidden="false" customHeight="true" outlineLevel="0" collapsed="false">
      <c r="A15" s="80" t="s">
        <v>1882</v>
      </c>
      <c r="B15" s="81"/>
      <c r="C15" s="81"/>
      <c r="D15" s="81"/>
      <c r="E15" s="83"/>
      <c r="F15" s="81"/>
      <c r="G15" s="83"/>
      <c r="H15" s="83"/>
      <c r="I15" s="84" t="str">
        <f aca="false">IF(E15="","",A15&amp;"_1.jpg")</f>
        <v/>
      </c>
      <c r="J15" s="84" t="str">
        <f aca="false">IF(E15="","",A15&amp;"_2.jpg; "&amp;A15&amp;"_3.jpg")</f>
        <v/>
      </c>
      <c r="K15" s="84" t="str">
        <f aca="false">IF(E15="","",A15&amp;"_schema.jpg")</f>
        <v/>
      </c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 t="s">
        <v>96</v>
      </c>
      <c r="W15" s="81"/>
      <c r="X15" s="81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6" t="str">
        <f aca="false">IF(SUM(Y15:AJ15)=0,"",SUM(Y15:AJ15))</f>
        <v/>
      </c>
      <c r="AL15" s="84" t="str">
        <f aca="false">MID(IF(N(Y15)&gt;0,", "&amp;Y$2,"")&amp;IF(N(Z15)&gt;0,", "&amp;Z$2,"")&amp;IF(N(AA15)&gt;0,", "&amp;AA$2,"")&amp;IF(N(AB15)&gt;0,", "&amp;AB$2,"")&amp;IF(N(AC15)&gt;0,", "&amp;AC$2,"")&amp;IF(N(AD15)&gt;0,", "&amp;AD$2,"")&amp;IF(N(AE15)&gt;0,", "&amp;AE$2,"")&amp;IF(N(AF15)&gt;0,", "&amp;AF$2,"")&amp;IF(N(AG15)&gt;0,", "&amp;AG$2,"")&amp;IF(N(AH15)&gt;0,", "&amp;AH$2,"")&amp;IF(N(AI15)&gt;0,", "&amp;AI$2,"")&amp;IF(N(AJ15)&gt;0,", "&amp;AJ$2,""),3,999)</f>
        <v/>
      </c>
      <c r="AM15" s="87" t="str">
        <f aca="false">IF(E15="","",MID(IF(N(Y15)&gt;0,", "&amp;A15&amp;"-"&amp;Y$2,"")&amp;IF(N(Z15)&gt;0,", "&amp;A15&amp;"-"&amp;Z$2,"")&amp;IF(N(AA15)&gt;0,", "&amp;A15&amp;"-"&amp;AA$2,"")&amp;IF(N(AB15)&gt;0,", "&amp;A15&amp;"-"&amp;AB$2,"")&amp;IF(N(AC15)&gt;0,", "&amp;A15&amp;"-"&amp;AC$2,"")&amp;IF(N(AD15)&gt;0,", "&amp;A15&amp;"-"&amp;AD$2,"")&amp;IF(N(AE15)&gt;0,", "&amp;A15&amp;"-"&amp;AE$2,"")&amp;IF(N(AF15)&gt;0,", "&amp;A15&amp;"-"&amp;AF$2,"")&amp;IF(N(AG15)&gt;0,", "&amp;A15&amp;"-"&amp;AG$2,"")&amp;IF(N(AH15)&gt;0,", "&amp;A15&amp;"-"&amp;AH$2,"")&amp;IF(N(AI15)&gt;0,", "&amp;A15&amp;"-"&amp;AI$2,"")&amp;IF(N(AJ15)&gt;0,", "&amp;A15&amp;"-"&amp;AJ$2,""),3,999))</f>
        <v/>
      </c>
      <c r="AN15" s="81"/>
      <c r="AO15" s="88"/>
      <c r="AP15" s="89" t="str">
        <f aca="false">IF(AO15="","",ROUND(AO15/(1+Справочники!$B$13),2))</f>
        <v/>
      </c>
      <c r="AQ15" s="90" t="str">
        <f aca="false" t="array" ref="AQ15:AQ15">IF(AP15="","",AP15*INDEX(Справочники!$B$4:$B$7,MATCH("RUB",Справочники!$A$4:$A$7,0)))</f>
        <v/>
      </c>
      <c r="AR15" s="90" t="str">
        <f aca="false">IF(AQ15="","",ROUND(AQ15*(1+Справочники!$B$12),0))</f>
        <v/>
      </c>
      <c r="AS15" s="90" t="str">
        <f aca="false">IF(AR15="","",ROUND(AR15*(1-Справочники!$B$11),0))</f>
        <v/>
      </c>
      <c r="AT15" s="88"/>
      <c r="AU15" s="90" t="str">
        <f aca="false">IF(AT15="","",ROUND(AT15/(1+Справочники!$B$12),0))</f>
        <v/>
      </c>
      <c r="AV15" s="90" t="str">
        <f aca="false">IF(AT15="","",ROUND(AT15*(1-Справочники!$B$15),0))</f>
        <v/>
      </c>
      <c r="AW15" s="90" t="str">
        <f aca="false">IF(AT15="","",ROUND(AT15*(1-Справочники!$B$16),0))</f>
        <v/>
      </c>
      <c r="AX15" s="90" t="str">
        <f aca="false">IF(AT15="","",ROUND(AT15*(1-Справочники!$B$17),0))</f>
        <v/>
      </c>
      <c r="AY15" s="90" t="str">
        <f aca="false">IF(AT15="","",ROUND(AT15*(1-Справочники!$B$18),0))</f>
        <v/>
      </c>
      <c r="AZ15" s="90" t="str">
        <f aca="false">IF(AT15="","",ROUND(AT15*(1-Справочники!$B$19),0))</f>
        <v/>
      </c>
      <c r="BA15" s="81"/>
      <c r="BB15" s="81"/>
      <c r="BC15" s="81"/>
      <c r="BD15" s="81"/>
      <c r="BE15" s="91"/>
      <c r="BF15" s="81" t="s">
        <v>103</v>
      </c>
      <c r="BG15" s="89" t="n">
        <f aca="false" t="array" ref="BG15:BG15">IF(BF15="","",IFERROR(INDEX(Справочники!$B$4:$B$7,MATCH(BF15,Справочники!$A$4:$A$7,0)),""))</f>
        <v>68.5</v>
      </c>
      <c r="BH15" s="90" t="str">
        <f aca="false">IF(N(BN15)&gt;0,ROUND(SUMIF(ЗАКАЗЫ!$F$3:$F$500,$A15,ЗАКАЗЫ!$Y$3:$Y$500)/BN15,0),IF(OR(BE15="",BG15=""),"",ROUND(BE15*BG15*(1+Справочники!$B$10),0)))</f>
        <v/>
      </c>
      <c r="BI15" s="92" t="str">
        <f aca="false">IF(OR(AU15="",BH15="",AU15=0),"",(AU15-BH15)/AU15)</f>
        <v/>
      </c>
      <c r="BJ15" s="81"/>
      <c r="BK15" s="83"/>
      <c r="BL15" s="43" t="str">
        <f aca="false">IFERROR(INDEX(ЗАКАЗЫ!$N$3:$N$500,MATCH($A15,ЗАКАЗЫ!$F$3:$F$500,0)),"")</f>
        <v/>
      </c>
      <c r="BM15" s="8" t="str">
        <f aca="false">IF(BL15="","",IFERROR(VLOOKUP(BL15,'ТН ВЭД'!$A$4:$C$40,3,0),""))</f>
        <v/>
      </c>
      <c r="BN15" s="7" t="str">
        <f aca="false">IF(COUNTIF(ЗАКАЗЫ!$F$3:$F$500,$A15)=0,"",SUMIF(ЗАКАЗЫ!$F$3:$F$500,$A15,ЗАКАЗЫ!$J$3:$J$500))</f>
        <v/>
      </c>
      <c r="BO15" s="7" t="str">
        <f aca="false">IF(BN15="","",SUMIF(ЗАКАЗЫ!$F$3:$F$500,$A15,ЗАКАЗЫ!$AL$3:$AL$500))</f>
        <v/>
      </c>
      <c r="BP15" s="7" t="str">
        <f aca="false">IF(BN15="","",BN15-BO15)</f>
        <v/>
      </c>
      <c r="BQ15" s="55" t="str">
        <f aca="false">IF(BN15="","",IF(BO15&gt;=BN15,"На складе",IF(BO15&gt;0,"Частично","Ждём")))</f>
        <v/>
      </c>
      <c r="BR15" s="43"/>
      <c r="BS15" s="47" t="str">
        <f aca="false">IF(BN15="","",IF(_xlfn.MAXIFS(ЗАКАЗЫ!$AK$3:$AK$500,ЗАКАЗЫ!$F$3:$F$500,$A15)=0,"",_xlfn.MAXIFS(ЗАКАЗЫ!$AK$3:$AK$500,ЗАКАЗЫ!$F$3:$F$500,$A15)))</f>
        <v/>
      </c>
    </row>
    <row r="16" customFormat="false" ht="15.75" hidden="false" customHeight="true" outlineLevel="0" collapsed="false">
      <c r="A16" s="80" t="s">
        <v>1883</v>
      </c>
      <c r="B16" s="81"/>
      <c r="C16" s="81"/>
      <c r="D16" s="81"/>
      <c r="E16" s="83"/>
      <c r="F16" s="81"/>
      <c r="G16" s="83"/>
      <c r="H16" s="83"/>
      <c r="I16" s="84" t="str">
        <f aca="false">IF(E16="","",A16&amp;"_1.jpg")</f>
        <v/>
      </c>
      <c r="J16" s="84" t="str">
        <f aca="false">IF(E16="","",A16&amp;"_2.jpg; "&amp;A16&amp;"_3.jpg")</f>
        <v/>
      </c>
      <c r="K16" s="84" t="str">
        <f aca="false">IF(E16="","",A16&amp;"_schema.jpg")</f>
        <v/>
      </c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 t="s">
        <v>96</v>
      </c>
      <c r="W16" s="81"/>
      <c r="X16" s="81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6" t="str">
        <f aca="false">IF(SUM(Y16:AJ16)=0,"",SUM(Y16:AJ16))</f>
        <v/>
      </c>
      <c r="AL16" s="84" t="str">
        <f aca="false">MID(IF(N(Y16)&gt;0,", "&amp;Y$2,"")&amp;IF(N(Z16)&gt;0,", "&amp;Z$2,"")&amp;IF(N(AA16)&gt;0,", "&amp;AA$2,"")&amp;IF(N(AB16)&gt;0,", "&amp;AB$2,"")&amp;IF(N(AC16)&gt;0,", "&amp;AC$2,"")&amp;IF(N(AD16)&gt;0,", "&amp;AD$2,"")&amp;IF(N(AE16)&gt;0,", "&amp;AE$2,"")&amp;IF(N(AF16)&gt;0,", "&amp;AF$2,"")&amp;IF(N(AG16)&gt;0,", "&amp;AG$2,"")&amp;IF(N(AH16)&gt;0,", "&amp;AH$2,"")&amp;IF(N(AI16)&gt;0,", "&amp;AI$2,"")&amp;IF(N(AJ16)&gt;0,", "&amp;AJ$2,""),3,999)</f>
        <v/>
      </c>
      <c r="AM16" s="87" t="str">
        <f aca="false">IF(E16="","",MID(IF(N(Y16)&gt;0,", "&amp;A16&amp;"-"&amp;Y$2,"")&amp;IF(N(Z16)&gt;0,", "&amp;A16&amp;"-"&amp;Z$2,"")&amp;IF(N(AA16)&gt;0,", "&amp;A16&amp;"-"&amp;AA$2,"")&amp;IF(N(AB16)&gt;0,", "&amp;A16&amp;"-"&amp;AB$2,"")&amp;IF(N(AC16)&gt;0,", "&amp;A16&amp;"-"&amp;AC$2,"")&amp;IF(N(AD16)&gt;0,", "&amp;A16&amp;"-"&amp;AD$2,"")&amp;IF(N(AE16)&gt;0,", "&amp;A16&amp;"-"&amp;AE$2,"")&amp;IF(N(AF16)&gt;0,", "&amp;A16&amp;"-"&amp;AF$2,"")&amp;IF(N(AG16)&gt;0,", "&amp;A16&amp;"-"&amp;AG$2,"")&amp;IF(N(AH16)&gt;0,", "&amp;A16&amp;"-"&amp;AH$2,"")&amp;IF(N(AI16)&gt;0,", "&amp;A16&amp;"-"&amp;AI$2,"")&amp;IF(N(AJ16)&gt;0,", "&amp;A16&amp;"-"&amp;AJ$2,""),3,999))</f>
        <v/>
      </c>
      <c r="AN16" s="81"/>
      <c r="AO16" s="88"/>
      <c r="AP16" s="89" t="str">
        <f aca="false">IF(AO16="","",ROUND(AO16/(1+Справочники!$B$13),2))</f>
        <v/>
      </c>
      <c r="AQ16" s="90" t="str">
        <f aca="false" t="array" ref="AQ16:AQ16">IF(AP16="","",AP16*INDEX(Справочники!$B$4:$B$7,MATCH("RUB",Справочники!$A$4:$A$7,0)))</f>
        <v/>
      </c>
      <c r="AR16" s="90" t="str">
        <f aca="false">IF(AQ16="","",ROUND(AQ16*(1+Справочники!$B$12),0))</f>
        <v/>
      </c>
      <c r="AS16" s="90" t="str">
        <f aca="false">IF(AR16="","",ROUND(AR16*(1-Справочники!$B$11),0))</f>
        <v/>
      </c>
      <c r="AT16" s="88"/>
      <c r="AU16" s="90" t="str">
        <f aca="false">IF(AT16="","",ROUND(AT16/(1+Справочники!$B$12),0))</f>
        <v/>
      </c>
      <c r="AV16" s="90" t="str">
        <f aca="false">IF(AT16="","",ROUND(AT16*(1-Справочники!$B$15),0))</f>
        <v/>
      </c>
      <c r="AW16" s="90" t="str">
        <f aca="false">IF(AT16="","",ROUND(AT16*(1-Справочники!$B$16),0))</f>
        <v/>
      </c>
      <c r="AX16" s="90" t="str">
        <f aca="false">IF(AT16="","",ROUND(AT16*(1-Справочники!$B$17),0))</f>
        <v/>
      </c>
      <c r="AY16" s="90" t="str">
        <f aca="false">IF(AT16="","",ROUND(AT16*(1-Справочники!$B$18),0))</f>
        <v/>
      </c>
      <c r="AZ16" s="90" t="str">
        <f aca="false">IF(AT16="","",ROUND(AT16*(1-Справочники!$B$19),0))</f>
        <v/>
      </c>
      <c r="BA16" s="81"/>
      <c r="BB16" s="81"/>
      <c r="BC16" s="81"/>
      <c r="BD16" s="81"/>
      <c r="BE16" s="91"/>
      <c r="BF16" s="81" t="s">
        <v>103</v>
      </c>
      <c r="BG16" s="89" t="n">
        <f aca="false" t="array" ref="BG16:BG16">IF(BF16="","",IFERROR(INDEX(Справочники!$B$4:$B$7,MATCH(BF16,Справочники!$A$4:$A$7,0)),""))</f>
        <v>68.5</v>
      </c>
      <c r="BH16" s="90" t="str">
        <f aca="false">IF(N(BN16)&gt;0,ROUND(SUMIF(ЗАКАЗЫ!$F$3:$F$500,$A16,ЗАКАЗЫ!$Y$3:$Y$500)/BN16,0),IF(OR(BE16="",BG16=""),"",ROUND(BE16*BG16*(1+Справочники!$B$10),0)))</f>
        <v/>
      </c>
      <c r="BI16" s="92" t="str">
        <f aca="false">IF(OR(AU16="",BH16="",AU16=0),"",(AU16-BH16)/AU16)</f>
        <v/>
      </c>
      <c r="BJ16" s="81"/>
      <c r="BK16" s="83"/>
      <c r="BL16" s="43" t="str">
        <f aca="false">IFERROR(INDEX(ЗАКАЗЫ!$N$3:$N$500,MATCH($A16,ЗАКАЗЫ!$F$3:$F$500,0)),"")</f>
        <v/>
      </c>
      <c r="BM16" s="8" t="str">
        <f aca="false">IF(BL16="","",IFERROR(VLOOKUP(BL16,'ТН ВЭД'!$A$4:$C$40,3,0),""))</f>
        <v/>
      </c>
      <c r="BN16" s="7" t="str">
        <f aca="false">IF(COUNTIF(ЗАКАЗЫ!$F$3:$F$500,$A16)=0,"",SUMIF(ЗАКАЗЫ!$F$3:$F$500,$A16,ЗАКАЗЫ!$J$3:$J$500))</f>
        <v/>
      </c>
      <c r="BO16" s="7" t="str">
        <f aca="false">IF(BN16="","",SUMIF(ЗАКАЗЫ!$F$3:$F$500,$A16,ЗАКАЗЫ!$AL$3:$AL$500))</f>
        <v/>
      </c>
      <c r="BP16" s="7" t="str">
        <f aca="false">IF(BN16="","",BN16-BO16)</f>
        <v/>
      </c>
      <c r="BQ16" s="55" t="str">
        <f aca="false">IF(BN16="","",IF(BO16&gt;=BN16,"На складе",IF(BO16&gt;0,"Частично","Ждём")))</f>
        <v/>
      </c>
      <c r="BR16" s="43"/>
      <c r="BS16" s="47" t="str">
        <f aca="false">IF(BN16="","",IF(_xlfn.MAXIFS(ЗАКАЗЫ!$AK$3:$AK$500,ЗАКАЗЫ!$F$3:$F$500,$A16)=0,"",_xlfn.MAXIFS(ЗАКАЗЫ!$AK$3:$AK$500,ЗАКАЗЫ!$F$3:$F$500,$A16)))</f>
        <v/>
      </c>
    </row>
    <row r="17" customFormat="false" ht="15.75" hidden="false" customHeight="true" outlineLevel="0" collapsed="false">
      <c r="A17" s="80" t="s">
        <v>1884</v>
      </c>
      <c r="B17" s="81"/>
      <c r="C17" s="81"/>
      <c r="D17" s="81"/>
      <c r="E17" s="83"/>
      <c r="F17" s="81"/>
      <c r="G17" s="83"/>
      <c r="H17" s="83"/>
      <c r="I17" s="84" t="str">
        <f aca="false">IF(E17="","",A17&amp;"_1.jpg")</f>
        <v/>
      </c>
      <c r="J17" s="84" t="str">
        <f aca="false">IF(E17="","",A17&amp;"_2.jpg; "&amp;A17&amp;"_3.jpg")</f>
        <v/>
      </c>
      <c r="K17" s="84" t="str">
        <f aca="false">IF(E17="","",A17&amp;"_schema.jpg")</f>
        <v/>
      </c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 t="s">
        <v>96</v>
      </c>
      <c r="W17" s="81"/>
      <c r="X17" s="81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6" t="str">
        <f aca="false">IF(SUM(Y17:AJ17)=0,"",SUM(Y17:AJ17))</f>
        <v/>
      </c>
      <c r="AL17" s="84" t="str">
        <f aca="false">MID(IF(N(Y17)&gt;0,", "&amp;Y$2,"")&amp;IF(N(Z17)&gt;0,", "&amp;Z$2,"")&amp;IF(N(AA17)&gt;0,", "&amp;AA$2,"")&amp;IF(N(AB17)&gt;0,", "&amp;AB$2,"")&amp;IF(N(AC17)&gt;0,", "&amp;AC$2,"")&amp;IF(N(AD17)&gt;0,", "&amp;AD$2,"")&amp;IF(N(AE17)&gt;0,", "&amp;AE$2,"")&amp;IF(N(AF17)&gt;0,", "&amp;AF$2,"")&amp;IF(N(AG17)&gt;0,", "&amp;AG$2,"")&amp;IF(N(AH17)&gt;0,", "&amp;AH$2,"")&amp;IF(N(AI17)&gt;0,", "&amp;AI$2,"")&amp;IF(N(AJ17)&gt;0,", "&amp;AJ$2,""),3,999)</f>
        <v/>
      </c>
      <c r="AM17" s="87" t="str">
        <f aca="false">IF(E17="","",MID(IF(N(Y17)&gt;0,", "&amp;A17&amp;"-"&amp;Y$2,"")&amp;IF(N(Z17)&gt;0,", "&amp;A17&amp;"-"&amp;Z$2,"")&amp;IF(N(AA17)&gt;0,", "&amp;A17&amp;"-"&amp;AA$2,"")&amp;IF(N(AB17)&gt;0,", "&amp;A17&amp;"-"&amp;AB$2,"")&amp;IF(N(AC17)&gt;0,", "&amp;A17&amp;"-"&amp;AC$2,"")&amp;IF(N(AD17)&gt;0,", "&amp;A17&amp;"-"&amp;AD$2,"")&amp;IF(N(AE17)&gt;0,", "&amp;A17&amp;"-"&amp;AE$2,"")&amp;IF(N(AF17)&gt;0,", "&amp;A17&amp;"-"&amp;AF$2,"")&amp;IF(N(AG17)&gt;0,", "&amp;A17&amp;"-"&amp;AG$2,"")&amp;IF(N(AH17)&gt;0,", "&amp;A17&amp;"-"&amp;AH$2,"")&amp;IF(N(AI17)&gt;0,", "&amp;A17&amp;"-"&amp;AI$2,"")&amp;IF(N(AJ17)&gt;0,", "&amp;A17&amp;"-"&amp;AJ$2,""),3,999))</f>
        <v/>
      </c>
      <c r="AN17" s="81"/>
      <c r="AO17" s="88"/>
      <c r="AP17" s="89" t="str">
        <f aca="false">IF(AO17="","",ROUND(AO17/(1+Справочники!$B$13),2))</f>
        <v/>
      </c>
      <c r="AQ17" s="90" t="str">
        <f aca="false" t="array" ref="AQ17:AQ17">IF(AP17="","",AP17*INDEX(Справочники!$B$4:$B$7,MATCH("RUB",Справочники!$A$4:$A$7,0)))</f>
        <v/>
      </c>
      <c r="AR17" s="90" t="str">
        <f aca="false">IF(AQ17="","",ROUND(AQ17*(1+Справочники!$B$12),0))</f>
        <v/>
      </c>
      <c r="AS17" s="90" t="str">
        <f aca="false">IF(AR17="","",ROUND(AR17*(1-Справочники!$B$11),0))</f>
        <v/>
      </c>
      <c r="AT17" s="88"/>
      <c r="AU17" s="90" t="str">
        <f aca="false">IF(AT17="","",ROUND(AT17/(1+Справочники!$B$12),0))</f>
        <v/>
      </c>
      <c r="AV17" s="90" t="str">
        <f aca="false">IF(AT17="","",ROUND(AT17*(1-Справочники!$B$15),0))</f>
        <v/>
      </c>
      <c r="AW17" s="90" t="str">
        <f aca="false">IF(AT17="","",ROUND(AT17*(1-Справочники!$B$16),0))</f>
        <v/>
      </c>
      <c r="AX17" s="90" t="str">
        <f aca="false">IF(AT17="","",ROUND(AT17*(1-Справочники!$B$17),0))</f>
        <v/>
      </c>
      <c r="AY17" s="90" t="str">
        <f aca="false">IF(AT17="","",ROUND(AT17*(1-Справочники!$B$18),0))</f>
        <v/>
      </c>
      <c r="AZ17" s="90" t="str">
        <f aca="false">IF(AT17="","",ROUND(AT17*(1-Справочники!$B$19),0))</f>
        <v/>
      </c>
      <c r="BA17" s="81"/>
      <c r="BB17" s="81"/>
      <c r="BC17" s="81"/>
      <c r="BD17" s="81"/>
      <c r="BE17" s="91"/>
      <c r="BF17" s="81" t="s">
        <v>103</v>
      </c>
      <c r="BG17" s="89" t="n">
        <f aca="false" t="array" ref="BG17:BG17">IF(BF17="","",IFERROR(INDEX(Справочники!$B$4:$B$7,MATCH(BF17,Справочники!$A$4:$A$7,0)),""))</f>
        <v>68.5</v>
      </c>
      <c r="BH17" s="90" t="str">
        <f aca="false">IF(N(BN17)&gt;0,ROUND(SUMIF(ЗАКАЗЫ!$F$3:$F$500,$A17,ЗАКАЗЫ!$Y$3:$Y$500)/BN17,0),IF(OR(BE17="",BG17=""),"",ROUND(BE17*BG17*(1+Справочники!$B$10),0)))</f>
        <v/>
      </c>
      <c r="BI17" s="92" t="str">
        <f aca="false">IF(OR(AU17="",BH17="",AU17=0),"",(AU17-BH17)/AU17)</f>
        <v/>
      </c>
      <c r="BJ17" s="81"/>
      <c r="BK17" s="83"/>
      <c r="BL17" s="43" t="str">
        <f aca="false">IFERROR(INDEX(ЗАКАЗЫ!$N$3:$N$500,MATCH($A17,ЗАКАЗЫ!$F$3:$F$500,0)),"")</f>
        <v/>
      </c>
      <c r="BM17" s="8" t="str">
        <f aca="false">IF(BL17="","",IFERROR(VLOOKUP(BL17,'ТН ВЭД'!$A$4:$C$40,3,0),""))</f>
        <v/>
      </c>
      <c r="BN17" s="7" t="str">
        <f aca="false">IF(COUNTIF(ЗАКАЗЫ!$F$3:$F$500,$A17)=0,"",SUMIF(ЗАКАЗЫ!$F$3:$F$500,$A17,ЗАКАЗЫ!$J$3:$J$500))</f>
        <v/>
      </c>
      <c r="BO17" s="7" t="str">
        <f aca="false">IF(BN17="","",SUMIF(ЗАКАЗЫ!$F$3:$F$500,$A17,ЗАКАЗЫ!$AL$3:$AL$500))</f>
        <v/>
      </c>
      <c r="BP17" s="7" t="str">
        <f aca="false">IF(BN17="","",BN17-BO17)</f>
        <v/>
      </c>
      <c r="BQ17" s="55" t="str">
        <f aca="false">IF(BN17="","",IF(BO17&gt;=BN17,"На складе",IF(BO17&gt;0,"Частично","Ждём")))</f>
        <v/>
      </c>
      <c r="BR17" s="43"/>
      <c r="BS17" s="47" t="str">
        <f aca="false">IF(BN17="","",IF(_xlfn.MAXIFS(ЗАКАЗЫ!$AK$3:$AK$500,ЗАКАЗЫ!$F$3:$F$500,$A17)=0,"",_xlfn.MAXIFS(ЗАКАЗЫ!$AK$3:$AK$500,ЗАКАЗЫ!$F$3:$F$500,$A17)))</f>
        <v/>
      </c>
    </row>
    <row r="18" customFormat="false" ht="15.75" hidden="false" customHeight="true" outlineLevel="0" collapsed="false">
      <c r="A18" s="80" t="s">
        <v>1885</v>
      </c>
      <c r="B18" s="81"/>
      <c r="C18" s="81"/>
      <c r="D18" s="81"/>
      <c r="E18" s="83"/>
      <c r="F18" s="81"/>
      <c r="G18" s="83"/>
      <c r="H18" s="83"/>
      <c r="I18" s="84" t="str">
        <f aca="false">IF(E18="","",A18&amp;"_1.jpg")</f>
        <v/>
      </c>
      <c r="J18" s="84" t="str">
        <f aca="false">IF(E18="","",A18&amp;"_2.jpg; "&amp;A18&amp;"_3.jpg")</f>
        <v/>
      </c>
      <c r="K18" s="84" t="str">
        <f aca="false">IF(E18="","",A18&amp;"_schema.jpg")</f>
        <v/>
      </c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 t="s">
        <v>96</v>
      </c>
      <c r="W18" s="81"/>
      <c r="X18" s="81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6" t="str">
        <f aca="false">IF(SUM(Y18:AJ18)=0,"",SUM(Y18:AJ18))</f>
        <v/>
      </c>
      <c r="AL18" s="84" t="str">
        <f aca="false">MID(IF(N(Y18)&gt;0,", "&amp;Y$2,"")&amp;IF(N(Z18)&gt;0,", "&amp;Z$2,"")&amp;IF(N(AA18)&gt;0,", "&amp;AA$2,"")&amp;IF(N(AB18)&gt;0,", "&amp;AB$2,"")&amp;IF(N(AC18)&gt;0,", "&amp;AC$2,"")&amp;IF(N(AD18)&gt;0,", "&amp;AD$2,"")&amp;IF(N(AE18)&gt;0,", "&amp;AE$2,"")&amp;IF(N(AF18)&gt;0,", "&amp;AF$2,"")&amp;IF(N(AG18)&gt;0,", "&amp;AG$2,"")&amp;IF(N(AH18)&gt;0,", "&amp;AH$2,"")&amp;IF(N(AI18)&gt;0,", "&amp;AI$2,"")&amp;IF(N(AJ18)&gt;0,", "&amp;AJ$2,""),3,999)</f>
        <v/>
      </c>
      <c r="AM18" s="87" t="str">
        <f aca="false">IF(E18="","",MID(IF(N(Y18)&gt;0,", "&amp;A18&amp;"-"&amp;Y$2,"")&amp;IF(N(Z18)&gt;0,", "&amp;A18&amp;"-"&amp;Z$2,"")&amp;IF(N(AA18)&gt;0,", "&amp;A18&amp;"-"&amp;AA$2,"")&amp;IF(N(AB18)&gt;0,", "&amp;A18&amp;"-"&amp;AB$2,"")&amp;IF(N(AC18)&gt;0,", "&amp;A18&amp;"-"&amp;AC$2,"")&amp;IF(N(AD18)&gt;0,", "&amp;A18&amp;"-"&amp;AD$2,"")&amp;IF(N(AE18)&gt;0,", "&amp;A18&amp;"-"&amp;AE$2,"")&amp;IF(N(AF18)&gt;0,", "&amp;A18&amp;"-"&amp;AF$2,"")&amp;IF(N(AG18)&gt;0,", "&amp;A18&amp;"-"&amp;AG$2,"")&amp;IF(N(AH18)&gt;0,", "&amp;A18&amp;"-"&amp;AH$2,"")&amp;IF(N(AI18)&gt;0,", "&amp;A18&amp;"-"&amp;AI$2,"")&amp;IF(N(AJ18)&gt;0,", "&amp;A18&amp;"-"&amp;AJ$2,""),3,999))</f>
        <v/>
      </c>
      <c r="AN18" s="81"/>
      <c r="AO18" s="88"/>
      <c r="AP18" s="89" t="str">
        <f aca="false">IF(AO18="","",ROUND(AO18/(1+Справочники!$B$13),2))</f>
        <v/>
      </c>
      <c r="AQ18" s="90" t="str">
        <f aca="false" t="array" ref="AQ18:AQ18">IF(AP18="","",AP18*INDEX(Справочники!$B$4:$B$7,MATCH("RUB",Справочники!$A$4:$A$7,0)))</f>
        <v/>
      </c>
      <c r="AR18" s="90" t="str">
        <f aca="false">IF(AQ18="","",ROUND(AQ18*(1+Справочники!$B$12),0))</f>
        <v/>
      </c>
      <c r="AS18" s="90" t="str">
        <f aca="false">IF(AR18="","",ROUND(AR18*(1-Справочники!$B$11),0))</f>
        <v/>
      </c>
      <c r="AT18" s="88"/>
      <c r="AU18" s="90" t="str">
        <f aca="false">IF(AT18="","",ROUND(AT18/(1+Справочники!$B$12),0))</f>
        <v/>
      </c>
      <c r="AV18" s="90" t="str">
        <f aca="false">IF(AT18="","",ROUND(AT18*(1-Справочники!$B$15),0))</f>
        <v/>
      </c>
      <c r="AW18" s="90" t="str">
        <f aca="false">IF(AT18="","",ROUND(AT18*(1-Справочники!$B$16),0))</f>
        <v/>
      </c>
      <c r="AX18" s="90" t="str">
        <f aca="false">IF(AT18="","",ROUND(AT18*(1-Справочники!$B$17),0))</f>
        <v/>
      </c>
      <c r="AY18" s="90" t="str">
        <f aca="false">IF(AT18="","",ROUND(AT18*(1-Справочники!$B$18),0))</f>
        <v/>
      </c>
      <c r="AZ18" s="90" t="str">
        <f aca="false">IF(AT18="","",ROUND(AT18*(1-Справочники!$B$19),0))</f>
        <v/>
      </c>
      <c r="BA18" s="81"/>
      <c r="BB18" s="81"/>
      <c r="BC18" s="81"/>
      <c r="BD18" s="81"/>
      <c r="BE18" s="91"/>
      <c r="BF18" s="81" t="s">
        <v>103</v>
      </c>
      <c r="BG18" s="89" t="n">
        <f aca="false" t="array" ref="BG18:BG18">IF(BF18="","",IFERROR(INDEX(Справочники!$B$4:$B$7,MATCH(BF18,Справочники!$A$4:$A$7,0)),""))</f>
        <v>68.5</v>
      </c>
      <c r="BH18" s="90" t="str">
        <f aca="false">IF(N(BN18)&gt;0,ROUND(SUMIF(ЗАКАЗЫ!$F$3:$F$500,$A18,ЗАКАЗЫ!$Y$3:$Y$500)/BN18,0),IF(OR(BE18="",BG18=""),"",ROUND(BE18*BG18*(1+Справочники!$B$10),0)))</f>
        <v/>
      </c>
      <c r="BI18" s="92" t="str">
        <f aca="false">IF(OR(AU18="",BH18="",AU18=0),"",(AU18-BH18)/AU18)</f>
        <v/>
      </c>
      <c r="BJ18" s="81"/>
      <c r="BK18" s="83"/>
      <c r="BL18" s="43" t="str">
        <f aca="false">IFERROR(INDEX(ЗАКАЗЫ!$N$3:$N$500,MATCH($A18,ЗАКАЗЫ!$F$3:$F$500,0)),"")</f>
        <v/>
      </c>
      <c r="BM18" s="8" t="str">
        <f aca="false">IF(BL18="","",IFERROR(VLOOKUP(BL18,'ТН ВЭД'!$A$4:$C$40,3,0),""))</f>
        <v/>
      </c>
      <c r="BN18" s="7" t="str">
        <f aca="false">IF(COUNTIF(ЗАКАЗЫ!$F$3:$F$500,$A18)=0,"",SUMIF(ЗАКАЗЫ!$F$3:$F$500,$A18,ЗАКАЗЫ!$J$3:$J$500))</f>
        <v/>
      </c>
      <c r="BO18" s="7" t="str">
        <f aca="false">IF(BN18="","",SUMIF(ЗАКАЗЫ!$F$3:$F$500,$A18,ЗАКАЗЫ!$AL$3:$AL$500))</f>
        <v/>
      </c>
      <c r="BP18" s="7" t="str">
        <f aca="false">IF(BN18="","",BN18-BO18)</f>
        <v/>
      </c>
      <c r="BQ18" s="55" t="str">
        <f aca="false">IF(BN18="","",IF(BO18&gt;=BN18,"На складе",IF(BO18&gt;0,"Частично","Ждём")))</f>
        <v/>
      </c>
      <c r="BR18" s="43"/>
      <c r="BS18" s="47" t="str">
        <f aca="false">IF(BN18="","",IF(_xlfn.MAXIFS(ЗАКАЗЫ!$AK$3:$AK$500,ЗАКАЗЫ!$F$3:$F$500,$A18)=0,"",_xlfn.MAXIFS(ЗАКАЗЫ!$AK$3:$AK$500,ЗАКАЗЫ!$F$3:$F$500,$A18)))</f>
        <v/>
      </c>
    </row>
    <row r="19" customFormat="false" ht="15.75" hidden="false" customHeight="true" outlineLevel="0" collapsed="false">
      <c r="A19" s="80" t="s">
        <v>1886</v>
      </c>
      <c r="B19" s="81"/>
      <c r="C19" s="81"/>
      <c r="D19" s="81"/>
      <c r="E19" s="83"/>
      <c r="F19" s="81"/>
      <c r="G19" s="83"/>
      <c r="H19" s="83"/>
      <c r="I19" s="84" t="str">
        <f aca="false">IF(E19="","",A19&amp;"_1.jpg")</f>
        <v/>
      </c>
      <c r="J19" s="84" t="str">
        <f aca="false">IF(E19="","",A19&amp;"_2.jpg; "&amp;A19&amp;"_3.jpg")</f>
        <v/>
      </c>
      <c r="K19" s="84" t="str">
        <f aca="false">IF(E19="","",A19&amp;"_schema.jpg")</f>
        <v/>
      </c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 t="s">
        <v>96</v>
      </c>
      <c r="W19" s="81"/>
      <c r="X19" s="81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6" t="str">
        <f aca="false">IF(SUM(Y19:AJ19)=0,"",SUM(Y19:AJ19))</f>
        <v/>
      </c>
      <c r="AL19" s="84" t="str">
        <f aca="false">MID(IF(N(Y19)&gt;0,", "&amp;Y$2,"")&amp;IF(N(Z19)&gt;0,", "&amp;Z$2,"")&amp;IF(N(AA19)&gt;0,", "&amp;AA$2,"")&amp;IF(N(AB19)&gt;0,", "&amp;AB$2,"")&amp;IF(N(AC19)&gt;0,", "&amp;AC$2,"")&amp;IF(N(AD19)&gt;0,", "&amp;AD$2,"")&amp;IF(N(AE19)&gt;0,", "&amp;AE$2,"")&amp;IF(N(AF19)&gt;0,", "&amp;AF$2,"")&amp;IF(N(AG19)&gt;0,", "&amp;AG$2,"")&amp;IF(N(AH19)&gt;0,", "&amp;AH$2,"")&amp;IF(N(AI19)&gt;0,", "&amp;AI$2,"")&amp;IF(N(AJ19)&gt;0,", "&amp;AJ$2,""),3,999)</f>
        <v/>
      </c>
      <c r="AM19" s="87" t="str">
        <f aca="false">IF(E19="","",MID(IF(N(Y19)&gt;0,", "&amp;A19&amp;"-"&amp;Y$2,"")&amp;IF(N(Z19)&gt;0,", "&amp;A19&amp;"-"&amp;Z$2,"")&amp;IF(N(AA19)&gt;0,", "&amp;A19&amp;"-"&amp;AA$2,"")&amp;IF(N(AB19)&gt;0,", "&amp;A19&amp;"-"&amp;AB$2,"")&amp;IF(N(AC19)&gt;0,", "&amp;A19&amp;"-"&amp;AC$2,"")&amp;IF(N(AD19)&gt;0,", "&amp;A19&amp;"-"&amp;AD$2,"")&amp;IF(N(AE19)&gt;0,", "&amp;A19&amp;"-"&amp;AE$2,"")&amp;IF(N(AF19)&gt;0,", "&amp;A19&amp;"-"&amp;AF$2,"")&amp;IF(N(AG19)&gt;0,", "&amp;A19&amp;"-"&amp;AG$2,"")&amp;IF(N(AH19)&gt;0,", "&amp;A19&amp;"-"&amp;AH$2,"")&amp;IF(N(AI19)&gt;0,", "&amp;A19&amp;"-"&amp;AI$2,"")&amp;IF(N(AJ19)&gt;0,", "&amp;A19&amp;"-"&amp;AJ$2,""),3,999))</f>
        <v/>
      </c>
      <c r="AN19" s="81"/>
      <c r="AO19" s="88"/>
      <c r="AP19" s="89" t="str">
        <f aca="false">IF(AO19="","",ROUND(AO19/(1+Справочники!$B$13),2))</f>
        <v/>
      </c>
      <c r="AQ19" s="90" t="str">
        <f aca="false" t="array" ref="AQ19:AQ19">IF(AP19="","",AP19*INDEX(Справочники!$B$4:$B$7,MATCH("RUB",Справочники!$A$4:$A$7,0)))</f>
        <v/>
      </c>
      <c r="AR19" s="90" t="str">
        <f aca="false">IF(AQ19="","",ROUND(AQ19*(1+Справочники!$B$12),0))</f>
        <v/>
      </c>
      <c r="AS19" s="90" t="str">
        <f aca="false">IF(AR19="","",ROUND(AR19*(1-Справочники!$B$11),0))</f>
        <v/>
      </c>
      <c r="AT19" s="88"/>
      <c r="AU19" s="90" t="str">
        <f aca="false">IF(AT19="","",ROUND(AT19/(1+Справочники!$B$12),0))</f>
        <v/>
      </c>
      <c r="AV19" s="90" t="str">
        <f aca="false">IF(AT19="","",ROUND(AT19*(1-Справочники!$B$15),0))</f>
        <v/>
      </c>
      <c r="AW19" s="90" t="str">
        <f aca="false">IF(AT19="","",ROUND(AT19*(1-Справочники!$B$16),0))</f>
        <v/>
      </c>
      <c r="AX19" s="90" t="str">
        <f aca="false">IF(AT19="","",ROUND(AT19*(1-Справочники!$B$17),0))</f>
        <v/>
      </c>
      <c r="AY19" s="90" t="str">
        <f aca="false">IF(AT19="","",ROUND(AT19*(1-Справочники!$B$18),0))</f>
        <v/>
      </c>
      <c r="AZ19" s="90" t="str">
        <f aca="false">IF(AT19="","",ROUND(AT19*(1-Справочники!$B$19),0))</f>
        <v/>
      </c>
      <c r="BA19" s="81"/>
      <c r="BB19" s="81"/>
      <c r="BC19" s="81"/>
      <c r="BD19" s="81"/>
      <c r="BE19" s="91"/>
      <c r="BF19" s="81" t="s">
        <v>103</v>
      </c>
      <c r="BG19" s="89" t="n">
        <f aca="false" t="array" ref="BG19:BG19">IF(BF19="","",IFERROR(INDEX(Справочники!$B$4:$B$7,MATCH(BF19,Справочники!$A$4:$A$7,0)),""))</f>
        <v>68.5</v>
      </c>
      <c r="BH19" s="90" t="str">
        <f aca="false">IF(N(BN19)&gt;0,ROUND(SUMIF(ЗАКАЗЫ!$F$3:$F$500,$A19,ЗАКАЗЫ!$Y$3:$Y$500)/BN19,0),IF(OR(BE19="",BG19=""),"",ROUND(BE19*BG19*(1+Справочники!$B$10),0)))</f>
        <v/>
      </c>
      <c r="BI19" s="92" t="str">
        <f aca="false">IF(OR(AU19="",BH19="",AU19=0),"",(AU19-BH19)/AU19)</f>
        <v/>
      </c>
      <c r="BJ19" s="81"/>
      <c r="BK19" s="83"/>
      <c r="BL19" s="43" t="str">
        <f aca="false">IFERROR(INDEX(ЗАКАЗЫ!$N$3:$N$500,MATCH($A19,ЗАКАЗЫ!$F$3:$F$500,0)),"")</f>
        <v/>
      </c>
      <c r="BM19" s="8" t="str">
        <f aca="false">IF(BL19="","",IFERROR(VLOOKUP(BL19,'ТН ВЭД'!$A$4:$C$40,3,0),""))</f>
        <v/>
      </c>
      <c r="BN19" s="7" t="str">
        <f aca="false">IF(COUNTIF(ЗАКАЗЫ!$F$3:$F$500,$A19)=0,"",SUMIF(ЗАКАЗЫ!$F$3:$F$500,$A19,ЗАКАЗЫ!$J$3:$J$500))</f>
        <v/>
      </c>
      <c r="BO19" s="7" t="str">
        <f aca="false">IF(BN19="","",SUMIF(ЗАКАЗЫ!$F$3:$F$500,$A19,ЗАКАЗЫ!$AL$3:$AL$500))</f>
        <v/>
      </c>
      <c r="BP19" s="7" t="str">
        <f aca="false">IF(BN19="","",BN19-BO19)</f>
        <v/>
      </c>
      <c r="BQ19" s="55" t="str">
        <f aca="false">IF(BN19="","",IF(BO19&gt;=BN19,"На складе",IF(BO19&gt;0,"Частично","Ждём")))</f>
        <v/>
      </c>
      <c r="BR19" s="43"/>
      <c r="BS19" s="47" t="str">
        <f aca="false">IF(BN19="","",IF(_xlfn.MAXIFS(ЗАКАЗЫ!$AK$3:$AK$500,ЗАКАЗЫ!$F$3:$F$500,$A19)=0,"",_xlfn.MAXIFS(ЗАКАЗЫ!$AK$3:$AK$500,ЗАКАЗЫ!$F$3:$F$500,$A19)))</f>
        <v/>
      </c>
    </row>
    <row r="20" customFormat="false" ht="15.75" hidden="false" customHeight="true" outlineLevel="0" collapsed="false">
      <c r="A20" s="80" t="s">
        <v>1887</v>
      </c>
      <c r="B20" s="81"/>
      <c r="C20" s="81"/>
      <c r="D20" s="81"/>
      <c r="E20" s="83"/>
      <c r="F20" s="81"/>
      <c r="G20" s="83"/>
      <c r="H20" s="83"/>
      <c r="I20" s="84" t="str">
        <f aca="false">IF(E20="","",A20&amp;"_1.jpg")</f>
        <v/>
      </c>
      <c r="J20" s="84" t="str">
        <f aca="false">IF(E20="","",A20&amp;"_2.jpg; "&amp;A20&amp;"_3.jpg")</f>
        <v/>
      </c>
      <c r="K20" s="84" t="str">
        <f aca="false">IF(E20="","",A20&amp;"_schema.jpg")</f>
        <v/>
      </c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 t="s">
        <v>96</v>
      </c>
      <c r="W20" s="81"/>
      <c r="X20" s="81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6" t="str">
        <f aca="false">IF(SUM(Y20:AJ20)=0,"",SUM(Y20:AJ20))</f>
        <v/>
      </c>
      <c r="AL20" s="84" t="str">
        <f aca="false">MID(IF(N(Y20)&gt;0,", "&amp;Y$2,"")&amp;IF(N(Z20)&gt;0,", "&amp;Z$2,"")&amp;IF(N(AA20)&gt;0,", "&amp;AA$2,"")&amp;IF(N(AB20)&gt;0,", "&amp;AB$2,"")&amp;IF(N(AC20)&gt;0,", "&amp;AC$2,"")&amp;IF(N(AD20)&gt;0,", "&amp;AD$2,"")&amp;IF(N(AE20)&gt;0,", "&amp;AE$2,"")&amp;IF(N(AF20)&gt;0,", "&amp;AF$2,"")&amp;IF(N(AG20)&gt;0,", "&amp;AG$2,"")&amp;IF(N(AH20)&gt;0,", "&amp;AH$2,"")&amp;IF(N(AI20)&gt;0,", "&amp;AI$2,"")&amp;IF(N(AJ20)&gt;0,", "&amp;AJ$2,""),3,999)</f>
        <v/>
      </c>
      <c r="AM20" s="87" t="str">
        <f aca="false">IF(E20="","",MID(IF(N(Y20)&gt;0,", "&amp;A20&amp;"-"&amp;Y$2,"")&amp;IF(N(Z20)&gt;0,", "&amp;A20&amp;"-"&amp;Z$2,"")&amp;IF(N(AA20)&gt;0,", "&amp;A20&amp;"-"&amp;AA$2,"")&amp;IF(N(AB20)&gt;0,", "&amp;A20&amp;"-"&amp;AB$2,"")&amp;IF(N(AC20)&gt;0,", "&amp;A20&amp;"-"&amp;AC$2,"")&amp;IF(N(AD20)&gt;0,", "&amp;A20&amp;"-"&amp;AD$2,"")&amp;IF(N(AE20)&gt;0,", "&amp;A20&amp;"-"&amp;AE$2,"")&amp;IF(N(AF20)&gt;0,", "&amp;A20&amp;"-"&amp;AF$2,"")&amp;IF(N(AG20)&gt;0,", "&amp;A20&amp;"-"&amp;AG$2,"")&amp;IF(N(AH20)&gt;0,", "&amp;A20&amp;"-"&amp;AH$2,"")&amp;IF(N(AI20)&gt;0,", "&amp;A20&amp;"-"&amp;AI$2,"")&amp;IF(N(AJ20)&gt;0,", "&amp;A20&amp;"-"&amp;AJ$2,""),3,999))</f>
        <v/>
      </c>
      <c r="AN20" s="81"/>
      <c r="AO20" s="88"/>
      <c r="AP20" s="89" t="str">
        <f aca="false">IF(AO20="","",ROUND(AO20/(1+Справочники!$B$13),2))</f>
        <v/>
      </c>
      <c r="AQ20" s="90" t="str">
        <f aca="false" t="array" ref="AQ20:AQ20">IF(AP20="","",AP20*INDEX(Справочники!$B$4:$B$7,MATCH("RUB",Справочники!$A$4:$A$7,0)))</f>
        <v/>
      </c>
      <c r="AR20" s="90" t="str">
        <f aca="false">IF(AQ20="","",ROUND(AQ20*(1+Справочники!$B$12),0))</f>
        <v/>
      </c>
      <c r="AS20" s="90" t="str">
        <f aca="false">IF(AR20="","",ROUND(AR20*(1-Справочники!$B$11),0))</f>
        <v/>
      </c>
      <c r="AT20" s="88"/>
      <c r="AU20" s="90" t="str">
        <f aca="false">IF(AT20="","",ROUND(AT20/(1+Справочники!$B$12),0))</f>
        <v/>
      </c>
      <c r="AV20" s="90" t="str">
        <f aca="false">IF(AT20="","",ROUND(AT20*(1-Справочники!$B$15),0))</f>
        <v/>
      </c>
      <c r="AW20" s="90" t="str">
        <f aca="false">IF(AT20="","",ROUND(AT20*(1-Справочники!$B$16),0))</f>
        <v/>
      </c>
      <c r="AX20" s="90" t="str">
        <f aca="false">IF(AT20="","",ROUND(AT20*(1-Справочники!$B$17),0))</f>
        <v/>
      </c>
      <c r="AY20" s="90" t="str">
        <f aca="false">IF(AT20="","",ROUND(AT20*(1-Справочники!$B$18),0))</f>
        <v/>
      </c>
      <c r="AZ20" s="90" t="str">
        <f aca="false">IF(AT20="","",ROUND(AT20*(1-Справочники!$B$19),0))</f>
        <v/>
      </c>
      <c r="BA20" s="81"/>
      <c r="BB20" s="81"/>
      <c r="BC20" s="81"/>
      <c r="BD20" s="81"/>
      <c r="BE20" s="91"/>
      <c r="BF20" s="81" t="s">
        <v>103</v>
      </c>
      <c r="BG20" s="89" t="n">
        <f aca="false" t="array" ref="BG20:BG20">IF(BF20="","",IFERROR(INDEX(Справочники!$B$4:$B$7,MATCH(BF20,Справочники!$A$4:$A$7,0)),""))</f>
        <v>68.5</v>
      </c>
      <c r="BH20" s="90" t="str">
        <f aca="false">IF(N(BN20)&gt;0,ROUND(SUMIF(ЗАКАЗЫ!$F$3:$F$500,$A20,ЗАКАЗЫ!$Y$3:$Y$500)/BN20,0),IF(OR(BE20="",BG20=""),"",ROUND(BE20*BG20*(1+Справочники!$B$10),0)))</f>
        <v/>
      </c>
      <c r="BI20" s="92" t="str">
        <f aca="false">IF(OR(AU20="",BH20="",AU20=0),"",(AU20-BH20)/AU20)</f>
        <v/>
      </c>
      <c r="BJ20" s="81"/>
      <c r="BK20" s="83"/>
      <c r="BL20" s="43" t="str">
        <f aca="false">IFERROR(INDEX(ЗАКАЗЫ!$N$3:$N$500,MATCH($A20,ЗАКАЗЫ!$F$3:$F$500,0)),"")</f>
        <v/>
      </c>
      <c r="BM20" s="8" t="str">
        <f aca="false">IF(BL20="","",IFERROR(VLOOKUP(BL20,'ТН ВЭД'!$A$4:$C$40,3,0),""))</f>
        <v/>
      </c>
      <c r="BN20" s="7" t="str">
        <f aca="false">IF(COUNTIF(ЗАКАЗЫ!$F$3:$F$500,$A20)=0,"",SUMIF(ЗАКАЗЫ!$F$3:$F$500,$A20,ЗАКАЗЫ!$J$3:$J$500))</f>
        <v/>
      </c>
      <c r="BO20" s="7" t="str">
        <f aca="false">IF(BN20="","",SUMIF(ЗАКАЗЫ!$F$3:$F$500,$A20,ЗАКАЗЫ!$AL$3:$AL$500))</f>
        <v/>
      </c>
      <c r="BP20" s="7" t="str">
        <f aca="false">IF(BN20="","",BN20-BO20)</f>
        <v/>
      </c>
      <c r="BQ20" s="55" t="str">
        <f aca="false">IF(BN20="","",IF(BO20&gt;=BN20,"На складе",IF(BO20&gt;0,"Частично","Ждём")))</f>
        <v/>
      </c>
      <c r="BR20" s="43"/>
      <c r="BS20" s="47" t="str">
        <f aca="false">IF(BN20="","",IF(_xlfn.MAXIFS(ЗАКАЗЫ!$AK$3:$AK$500,ЗАКАЗЫ!$F$3:$F$500,$A20)=0,"",_xlfn.MAXIFS(ЗАКАЗЫ!$AK$3:$AK$500,ЗАКАЗЫ!$F$3:$F$500,$A20)))</f>
        <v/>
      </c>
    </row>
    <row r="21" customFormat="false" ht="15.75" hidden="false" customHeight="true" outlineLevel="0" collapsed="false">
      <c r="A21" s="80" t="s">
        <v>1888</v>
      </c>
      <c r="B21" s="81"/>
      <c r="C21" s="81"/>
      <c r="D21" s="81"/>
      <c r="E21" s="83"/>
      <c r="F21" s="81"/>
      <c r="G21" s="83"/>
      <c r="H21" s="83"/>
      <c r="I21" s="84" t="str">
        <f aca="false">IF(E21="","",A21&amp;"_1.jpg")</f>
        <v/>
      </c>
      <c r="J21" s="84" t="str">
        <f aca="false">IF(E21="","",A21&amp;"_2.jpg; "&amp;A21&amp;"_3.jpg")</f>
        <v/>
      </c>
      <c r="K21" s="84" t="str">
        <f aca="false">IF(E21="","",A21&amp;"_schema.jpg")</f>
        <v/>
      </c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 t="s">
        <v>96</v>
      </c>
      <c r="W21" s="81"/>
      <c r="X21" s="81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6" t="str">
        <f aca="false">IF(SUM(Y21:AJ21)=0,"",SUM(Y21:AJ21))</f>
        <v/>
      </c>
      <c r="AL21" s="84" t="str">
        <f aca="false">MID(IF(N(Y21)&gt;0,", "&amp;Y$2,"")&amp;IF(N(Z21)&gt;0,", "&amp;Z$2,"")&amp;IF(N(AA21)&gt;0,", "&amp;AA$2,"")&amp;IF(N(AB21)&gt;0,", "&amp;AB$2,"")&amp;IF(N(AC21)&gt;0,", "&amp;AC$2,"")&amp;IF(N(AD21)&gt;0,", "&amp;AD$2,"")&amp;IF(N(AE21)&gt;0,", "&amp;AE$2,"")&amp;IF(N(AF21)&gt;0,", "&amp;AF$2,"")&amp;IF(N(AG21)&gt;0,", "&amp;AG$2,"")&amp;IF(N(AH21)&gt;0,", "&amp;AH$2,"")&amp;IF(N(AI21)&gt;0,", "&amp;AI$2,"")&amp;IF(N(AJ21)&gt;0,", "&amp;AJ$2,""),3,999)</f>
        <v/>
      </c>
      <c r="AM21" s="87" t="str">
        <f aca="false">IF(E21="","",MID(IF(N(Y21)&gt;0,", "&amp;A21&amp;"-"&amp;Y$2,"")&amp;IF(N(Z21)&gt;0,", "&amp;A21&amp;"-"&amp;Z$2,"")&amp;IF(N(AA21)&gt;0,", "&amp;A21&amp;"-"&amp;AA$2,"")&amp;IF(N(AB21)&gt;0,", "&amp;A21&amp;"-"&amp;AB$2,"")&amp;IF(N(AC21)&gt;0,", "&amp;A21&amp;"-"&amp;AC$2,"")&amp;IF(N(AD21)&gt;0,", "&amp;A21&amp;"-"&amp;AD$2,"")&amp;IF(N(AE21)&gt;0,", "&amp;A21&amp;"-"&amp;AE$2,"")&amp;IF(N(AF21)&gt;0,", "&amp;A21&amp;"-"&amp;AF$2,"")&amp;IF(N(AG21)&gt;0,", "&amp;A21&amp;"-"&amp;AG$2,"")&amp;IF(N(AH21)&gt;0,", "&amp;A21&amp;"-"&amp;AH$2,"")&amp;IF(N(AI21)&gt;0,", "&amp;A21&amp;"-"&amp;AI$2,"")&amp;IF(N(AJ21)&gt;0,", "&amp;A21&amp;"-"&amp;AJ$2,""),3,999))</f>
        <v/>
      </c>
      <c r="AN21" s="81"/>
      <c r="AO21" s="88"/>
      <c r="AP21" s="89" t="str">
        <f aca="false">IF(AO21="","",ROUND(AO21/(1+Справочники!$B$13),2))</f>
        <v/>
      </c>
      <c r="AQ21" s="90" t="str">
        <f aca="false" t="array" ref="AQ21:AQ21">IF(AP21="","",AP21*INDEX(Справочники!$B$4:$B$7,MATCH("RUB",Справочники!$A$4:$A$7,0)))</f>
        <v/>
      </c>
      <c r="AR21" s="90" t="str">
        <f aca="false">IF(AQ21="","",ROUND(AQ21*(1+Справочники!$B$12),0))</f>
        <v/>
      </c>
      <c r="AS21" s="90" t="str">
        <f aca="false">IF(AR21="","",ROUND(AR21*(1-Справочники!$B$11),0))</f>
        <v/>
      </c>
      <c r="AT21" s="88"/>
      <c r="AU21" s="90" t="str">
        <f aca="false">IF(AT21="","",ROUND(AT21/(1+Справочники!$B$12),0))</f>
        <v/>
      </c>
      <c r="AV21" s="90" t="str">
        <f aca="false">IF(AT21="","",ROUND(AT21*(1-Справочники!$B$15),0))</f>
        <v/>
      </c>
      <c r="AW21" s="90" t="str">
        <f aca="false">IF(AT21="","",ROUND(AT21*(1-Справочники!$B$16),0))</f>
        <v/>
      </c>
      <c r="AX21" s="90" t="str">
        <f aca="false">IF(AT21="","",ROUND(AT21*(1-Справочники!$B$17),0))</f>
        <v/>
      </c>
      <c r="AY21" s="90" t="str">
        <f aca="false">IF(AT21="","",ROUND(AT21*(1-Справочники!$B$18),0))</f>
        <v/>
      </c>
      <c r="AZ21" s="90" t="str">
        <f aca="false">IF(AT21="","",ROUND(AT21*(1-Справочники!$B$19),0))</f>
        <v/>
      </c>
      <c r="BA21" s="81"/>
      <c r="BB21" s="81"/>
      <c r="BC21" s="81"/>
      <c r="BD21" s="81"/>
      <c r="BE21" s="91"/>
      <c r="BF21" s="81" t="s">
        <v>103</v>
      </c>
      <c r="BG21" s="89" t="n">
        <f aca="false" t="array" ref="BG21:BG21">IF(BF21="","",IFERROR(INDEX(Справочники!$B$4:$B$7,MATCH(BF21,Справочники!$A$4:$A$7,0)),""))</f>
        <v>68.5</v>
      </c>
      <c r="BH21" s="90" t="str">
        <f aca="false">IF(N(BN21)&gt;0,ROUND(SUMIF(ЗАКАЗЫ!$F$3:$F$500,$A21,ЗАКАЗЫ!$Y$3:$Y$500)/BN21,0),IF(OR(BE21="",BG21=""),"",ROUND(BE21*BG21*(1+Справочники!$B$10),0)))</f>
        <v/>
      </c>
      <c r="BI21" s="92" t="str">
        <f aca="false">IF(OR(AU21="",BH21="",AU21=0),"",(AU21-BH21)/AU21)</f>
        <v/>
      </c>
      <c r="BJ21" s="81"/>
      <c r="BK21" s="83"/>
      <c r="BL21" s="43" t="str">
        <f aca="false">IFERROR(INDEX(ЗАКАЗЫ!$N$3:$N$500,MATCH($A21,ЗАКАЗЫ!$F$3:$F$500,0)),"")</f>
        <v/>
      </c>
      <c r="BM21" s="8" t="str">
        <f aca="false">IF(BL21="","",IFERROR(VLOOKUP(BL21,'ТН ВЭД'!$A$4:$C$40,3,0),""))</f>
        <v/>
      </c>
      <c r="BN21" s="7" t="str">
        <f aca="false">IF(COUNTIF(ЗАКАЗЫ!$F$3:$F$500,$A21)=0,"",SUMIF(ЗАКАЗЫ!$F$3:$F$500,$A21,ЗАКАЗЫ!$J$3:$J$500))</f>
        <v/>
      </c>
      <c r="BO21" s="7" t="str">
        <f aca="false">IF(BN21="","",SUMIF(ЗАКАЗЫ!$F$3:$F$500,$A21,ЗАКАЗЫ!$AL$3:$AL$500))</f>
        <v/>
      </c>
      <c r="BP21" s="7" t="str">
        <f aca="false">IF(BN21="","",BN21-BO21)</f>
        <v/>
      </c>
      <c r="BQ21" s="55" t="str">
        <f aca="false">IF(BN21="","",IF(BO21&gt;=BN21,"На складе",IF(BO21&gt;0,"Частично","Ждём")))</f>
        <v/>
      </c>
      <c r="BR21" s="43"/>
      <c r="BS21" s="47" t="str">
        <f aca="false">IF(BN21="","",IF(_xlfn.MAXIFS(ЗАКАЗЫ!$AK$3:$AK$500,ЗАКАЗЫ!$F$3:$F$500,$A21)=0,"",_xlfn.MAXIFS(ЗАКАЗЫ!$AK$3:$AK$500,ЗАКАЗЫ!$F$3:$F$500,$A21)))</f>
        <v/>
      </c>
    </row>
    <row r="22" customFormat="false" ht="15.75" hidden="false" customHeight="true" outlineLevel="0" collapsed="false">
      <c r="A22" s="80" t="s">
        <v>1889</v>
      </c>
      <c r="B22" s="81"/>
      <c r="C22" s="81"/>
      <c r="D22" s="81"/>
      <c r="E22" s="83"/>
      <c r="F22" s="81"/>
      <c r="G22" s="83"/>
      <c r="H22" s="83"/>
      <c r="I22" s="84" t="str">
        <f aca="false">IF(E22="","",A22&amp;"_1.jpg")</f>
        <v/>
      </c>
      <c r="J22" s="84" t="str">
        <f aca="false">IF(E22="","",A22&amp;"_2.jpg; "&amp;A22&amp;"_3.jpg")</f>
        <v/>
      </c>
      <c r="K22" s="84" t="str">
        <f aca="false">IF(E22="","",A22&amp;"_schema.jpg")</f>
        <v/>
      </c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 t="s">
        <v>96</v>
      </c>
      <c r="W22" s="81"/>
      <c r="X22" s="81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6" t="str">
        <f aca="false">IF(SUM(Y22:AJ22)=0,"",SUM(Y22:AJ22))</f>
        <v/>
      </c>
      <c r="AL22" s="84" t="str">
        <f aca="false">MID(IF(N(Y22)&gt;0,", "&amp;Y$2,"")&amp;IF(N(Z22)&gt;0,", "&amp;Z$2,"")&amp;IF(N(AA22)&gt;0,", "&amp;AA$2,"")&amp;IF(N(AB22)&gt;0,", "&amp;AB$2,"")&amp;IF(N(AC22)&gt;0,", "&amp;AC$2,"")&amp;IF(N(AD22)&gt;0,", "&amp;AD$2,"")&amp;IF(N(AE22)&gt;0,", "&amp;AE$2,"")&amp;IF(N(AF22)&gt;0,", "&amp;AF$2,"")&amp;IF(N(AG22)&gt;0,", "&amp;AG$2,"")&amp;IF(N(AH22)&gt;0,", "&amp;AH$2,"")&amp;IF(N(AI22)&gt;0,", "&amp;AI$2,"")&amp;IF(N(AJ22)&gt;0,", "&amp;AJ$2,""),3,999)</f>
        <v/>
      </c>
      <c r="AM22" s="87" t="str">
        <f aca="false">IF(E22="","",MID(IF(N(Y22)&gt;0,", "&amp;A22&amp;"-"&amp;Y$2,"")&amp;IF(N(Z22)&gt;0,", "&amp;A22&amp;"-"&amp;Z$2,"")&amp;IF(N(AA22)&gt;0,", "&amp;A22&amp;"-"&amp;AA$2,"")&amp;IF(N(AB22)&gt;0,", "&amp;A22&amp;"-"&amp;AB$2,"")&amp;IF(N(AC22)&gt;0,", "&amp;A22&amp;"-"&amp;AC$2,"")&amp;IF(N(AD22)&gt;0,", "&amp;A22&amp;"-"&amp;AD$2,"")&amp;IF(N(AE22)&gt;0,", "&amp;A22&amp;"-"&amp;AE$2,"")&amp;IF(N(AF22)&gt;0,", "&amp;A22&amp;"-"&amp;AF$2,"")&amp;IF(N(AG22)&gt;0,", "&amp;A22&amp;"-"&amp;AG$2,"")&amp;IF(N(AH22)&gt;0,", "&amp;A22&amp;"-"&amp;AH$2,"")&amp;IF(N(AI22)&gt;0,", "&amp;A22&amp;"-"&amp;AI$2,"")&amp;IF(N(AJ22)&gt;0,", "&amp;A22&amp;"-"&amp;AJ$2,""),3,999))</f>
        <v/>
      </c>
      <c r="AN22" s="81"/>
      <c r="AO22" s="88"/>
      <c r="AP22" s="89" t="str">
        <f aca="false">IF(AO22="","",ROUND(AO22/(1+Справочники!$B$13),2))</f>
        <v/>
      </c>
      <c r="AQ22" s="90" t="str">
        <f aca="false" t="array" ref="AQ22:AQ22">IF(AP22="","",AP22*INDEX(Справочники!$B$4:$B$7,MATCH("RUB",Справочники!$A$4:$A$7,0)))</f>
        <v/>
      </c>
      <c r="AR22" s="90" t="str">
        <f aca="false">IF(AQ22="","",ROUND(AQ22*(1+Справочники!$B$12),0))</f>
        <v/>
      </c>
      <c r="AS22" s="90" t="str">
        <f aca="false">IF(AR22="","",ROUND(AR22*(1-Справочники!$B$11),0))</f>
        <v/>
      </c>
      <c r="AT22" s="88"/>
      <c r="AU22" s="90" t="str">
        <f aca="false">IF(AT22="","",ROUND(AT22/(1+Справочники!$B$12),0))</f>
        <v/>
      </c>
      <c r="AV22" s="90" t="str">
        <f aca="false">IF(AT22="","",ROUND(AT22*(1-Справочники!$B$15),0))</f>
        <v/>
      </c>
      <c r="AW22" s="90" t="str">
        <f aca="false">IF(AT22="","",ROUND(AT22*(1-Справочники!$B$16),0))</f>
        <v/>
      </c>
      <c r="AX22" s="90" t="str">
        <f aca="false">IF(AT22="","",ROUND(AT22*(1-Справочники!$B$17),0))</f>
        <v/>
      </c>
      <c r="AY22" s="90" t="str">
        <f aca="false">IF(AT22="","",ROUND(AT22*(1-Справочники!$B$18),0))</f>
        <v/>
      </c>
      <c r="AZ22" s="90" t="str">
        <f aca="false">IF(AT22="","",ROUND(AT22*(1-Справочники!$B$19),0))</f>
        <v/>
      </c>
      <c r="BA22" s="81"/>
      <c r="BB22" s="81"/>
      <c r="BC22" s="81"/>
      <c r="BD22" s="81"/>
      <c r="BE22" s="91"/>
      <c r="BF22" s="81" t="s">
        <v>103</v>
      </c>
      <c r="BG22" s="89" t="n">
        <f aca="false" t="array" ref="BG22:BG22">IF(BF22="","",IFERROR(INDEX(Справочники!$B$4:$B$7,MATCH(BF22,Справочники!$A$4:$A$7,0)),""))</f>
        <v>68.5</v>
      </c>
      <c r="BH22" s="90" t="str">
        <f aca="false">IF(N(BN22)&gt;0,ROUND(SUMIF(ЗАКАЗЫ!$F$3:$F$500,$A22,ЗАКАЗЫ!$Y$3:$Y$500)/BN22,0),IF(OR(BE22="",BG22=""),"",ROUND(BE22*BG22*(1+Справочники!$B$10),0)))</f>
        <v/>
      </c>
      <c r="BI22" s="92" t="str">
        <f aca="false">IF(OR(AU22="",BH22="",AU22=0),"",(AU22-BH22)/AU22)</f>
        <v/>
      </c>
      <c r="BJ22" s="81"/>
      <c r="BK22" s="83"/>
      <c r="BL22" s="43" t="str">
        <f aca="false">IFERROR(INDEX(ЗАКАЗЫ!$N$3:$N$500,MATCH($A22,ЗАКАЗЫ!$F$3:$F$500,0)),"")</f>
        <v/>
      </c>
      <c r="BM22" s="8" t="str">
        <f aca="false">IF(BL22="","",IFERROR(VLOOKUP(BL22,'ТН ВЭД'!$A$4:$C$40,3,0),""))</f>
        <v/>
      </c>
      <c r="BN22" s="7" t="str">
        <f aca="false">IF(COUNTIF(ЗАКАЗЫ!$F$3:$F$500,$A22)=0,"",SUMIF(ЗАКАЗЫ!$F$3:$F$500,$A22,ЗАКАЗЫ!$J$3:$J$500))</f>
        <v/>
      </c>
      <c r="BO22" s="7" t="str">
        <f aca="false">IF(BN22="","",SUMIF(ЗАКАЗЫ!$F$3:$F$500,$A22,ЗАКАЗЫ!$AL$3:$AL$500))</f>
        <v/>
      </c>
      <c r="BP22" s="7" t="str">
        <f aca="false">IF(BN22="","",BN22-BO22)</f>
        <v/>
      </c>
      <c r="BQ22" s="55" t="str">
        <f aca="false">IF(BN22="","",IF(BO22&gt;=BN22,"На складе",IF(BO22&gt;0,"Частично","Ждём")))</f>
        <v/>
      </c>
      <c r="BR22" s="43"/>
      <c r="BS22" s="47" t="str">
        <f aca="false">IF(BN22="","",IF(_xlfn.MAXIFS(ЗАКАЗЫ!$AK$3:$AK$500,ЗАКАЗЫ!$F$3:$F$500,$A22)=0,"",_xlfn.MAXIFS(ЗАКАЗЫ!$AK$3:$AK$500,ЗАКАЗЫ!$F$3:$F$500,$A22)))</f>
        <v/>
      </c>
    </row>
    <row r="23" customFormat="false" ht="15.75" hidden="false" customHeight="true" outlineLevel="0" collapsed="false">
      <c r="A23" s="80" t="s">
        <v>1890</v>
      </c>
      <c r="B23" s="81"/>
      <c r="C23" s="81"/>
      <c r="D23" s="81"/>
      <c r="E23" s="83"/>
      <c r="F23" s="81"/>
      <c r="G23" s="83"/>
      <c r="H23" s="83"/>
      <c r="I23" s="84" t="str">
        <f aca="false">IF(E23="","",A23&amp;"_1.jpg")</f>
        <v/>
      </c>
      <c r="J23" s="84" t="str">
        <f aca="false">IF(E23="","",A23&amp;"_2.jpg; "&amp;A23&amp;"_3.jpg")</f>
        <v/>
      </c>
      <c r="K23" s="84" t="str">
        <f aca="false">IF(E23="","",A23&amp;"_schema.jpg")</f>
        <v/>
      </c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 t="s">
        <v>96</v>
      </c>
      <c r="W23" s="81"/>
      <c r="X23" s="81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6" t="str">
        <f aca="false">IF(SUM(Y23:AJ23)=0,"",SUM(Y23:AJ23))</f>
        <v/>
      </c>
      <c r="AL23" s="84" t="str">
        <f aca="false">MID(IF(N(Y23)&gt;0,", "&amp;Y$2,"")&amp;IF(N(Z23)&gt;0,", "&amp;Z$2,"")&amp;IF(N(AA23)&gt;0,", "&amp;AA$2,"")&amp;IF(N(AB23)&gt;0,", "&amp;AB$2,"")&amp;IF(N(AC23)&gt;0,", "&amp;AC$2,"")&amp;IF(N(AD23)&gt;0,", "&amp;AD$2,"")&amp;IF(N(AE23)&gt;0,", "&amp;AE$2,"")&amp;IF(N(AF23)&gt;0,", "&amp;AF$2,"")&amp;IF(N(AG23)&gt;0,", "&amp;AG$2,"")&amp;IF(N(AH23)&gt;0,", "&amp;AH$2,"")&amp;IF(N(AI23)&gt;0,", "&amp;AI$2,"")&amp;IF(N(AJ23)&gt;0,", "&amp;AJ$2,""),3,999)</f>
        <v/>
      </c>
      <c r="AM23" s="87" t="str">
        <f aca="false">IF(E23="","",MID(IF(N(Y23)&gt;0,", "&amp;A23&amp;"-"&amp;Y$2,"")&amp;IF(N(Z23)&gt;0,", "&amp;A23&amp;"-"&amp;Z$2,"")&amp;IF(N(AA23)&gt;0,", "&amp;A23&amp;"-"&amp;AA$2,"")&amp;IF(N(AB23)&gt;0,", "&amp;A23&amp;"-"&amp;AB$2,"")&amp;IF(N(AC23)&gt;0,", "&amp;A23&amp;"-"&amp;AC$2,"")&amp;IF(N(AD23)&gt;0,", "&amp;A23&amp;"-"&amp;AD$2,"")&amp;IF(N(AE23)&gt;0,", "&amp;A23&amp;"-"&amp;AE$2,"")&amp;IF(N(AF23)&gt;0,", "&amp;A23&amp;"-"&amp;AF$2,"")&amp;IF(N(AG23)&gt;0,", "&amp;A23&amp;"-"&amp;AG$2,"")&amp;IF(N(AH23)&gt;0,", "&amp;A23&amp;"-"&amp;AH$2,"")&amp;IF(N(AI23)&gt;0,", "&amp;A23&amp;"-"&amp;AI$2,"")&amp;IF(N(AJ23)&gt;0,", "&amp;A23&amp;"-"&amp;AJ$2,""),3,999))</f>
        <v/>
      </c>
      <c r="AN23" s="81"/>
      <c r="AO23" s="88"/>
      <c r="AP23" s="89" t="str">
        <f aca="false">IF(AO23="","",ROUND(AO23/(1+Справочники!$B$13),2))</f>
        <v/>
      </c>
      <c r="AQ23" s="90" t="str">
        <f aca="false" t="array" ref="AQ23:AQ23">IF(AP23="","",AP23*INDEX(Справочники!$B$4:$B$7,MATCH("RUB",Справочники!$A$4:$A$7,0)))</f>
        <v/>
      </c>
      <c r="AR23" s="90" t="str">
        <f aca="false">IF(AQ23="","",ROUND(AQ23*(1+Справочники!$B$12),0))</f>
        <v/>
      </c>
      <c r="AS23" s="90" t="str">
        <f aca="false">IF(AR23="","",ROUND(AR23*(1-Справочники!$B$11),0))</f>
        <v/>
      </c>
      <c r="AT23" s="88"/>
      <c r="AU23" s="90" t="str">
        <f aca="false">IF(AT23="","",ROUND(AT23/(1+Справочники!$B$12),0))</f>
        <v/>
      </c>
      <c r="AV23" s="90" t="str">
        <f aca="false">IF(AT23="","",ROUND(AT23*(1-Справочники!$B$15),0))</f>
        <v/>
      </c>
      <c r="AW23" s="90" t="str">
        <f aca="false">IF(AT23="","",ROUND(AT23*(1-Справочники!$B$16),0))</f>
        <v/>
      </c>
      <c r="AX23" s="90" t="str">
        <f aca="false">IF(AT23="","",ROUND(AT23*(1-Справочники!$B$17),0))</f>
        <v/>
      </c>
      <c r="AY23" s="90" t="str">
        <f aca="false">IF(AT23="","",ROUND(AT23*(1-Справочники!$B$18),0))</f>
        <v/>
      </c>
      <c r="AZ23" s="90" t="str">
        <f aca="false">IF(AT23="","",ROUND(AT23*(1-Справочники!$B$19),0))</f>
        <v/>
      </c>
      <c r="BA23" s="81"/>
      <c r="BB23" s="81"/>
      <c r="BC23" s="81"/>
      <c r="BD23" s="81"/>
      <c r="BE23" s="91"/>
      <c r="BF23" s="81" t="s">
        <v>103</v>
      </c>
      <c r="BG23" s="89" t="n">
        <f aca="false" t="array" ref="BG23:BG23">IF(BF23="","",IFERROR(INDEX(Справочники!$B$4:$B$7,MATCH(BF23,Справочники!$A$4:$A$7,0)),""))</f>
        <v>68.5</v>
      </c>
      <c r="BH23" s="90" t="str">
        <f aca="false">IF(N(BN23)&gt;0,ROUND(SUMIF(ЗАКАЗЫ!$F$3:$F$500,$A23,ЗАКАЗЫ!$Y$3:$Y$500)/BN23,0),IF(OR(BE23="",BG23=""),"",ROUND(BE23*BG23*(1+Справочники!$B$10),0)))</f>
        <v/>
      </c>
      <c r="BI23" s="92" t="str">
        <f aca="false">IF(OR(AU23="",BH23="",AU23=0),"",(AU23-BH23)/AU23)</f>
        <v/>
      </c>
      <c r="BJ23" s="81"/>
      <c r="BK23" s="83"/>
      <c r="BL23" s="43" t="str">
        <f aca="false">IFERROR(INDEX(ЗАКАЗЫ!$N$3:$N$500,MATCH($A23,ЗАКАЗЫ!$F$3:$F$500,0)),"")</f>
        <v/>
      </c>
      <c r="BM23" s="8" t="str">
        <f aca="false">IF(BL23="","",IFERROR(VLOOKUP(BL23,'ТН ВЭД'!$A$4:$C$40,3,0),""))</f>
        <v/>
      </c>
      <c r="BN23" s="7" t="str">
        <f aca="false">IF(COUNTIF(ЗАКАЗЫ!$F$3:$F$500,$A23)=0,"",SUMIF(ЗАКАЗЫ!$F$3:$F$500,$A23,ЗАКАЗЫ!$J$3:$J$500))</f>
        <v/>
      </c>
      <c r="BO23" s="7" t="str">
        <f aca="false">IF(BN23="","",SUMIF(ЗАКАЗЫ!$F$3:$F$500,$A23,ЗАКАЗЫ!$AL$3:$AL$500))</f>
        <v/>
      </c>
      <c r="BP23" s="7" t="str">
        <f aca="false">IF(BN23="","",BN23-BO23)</f>
        <v/>
      </c>
      <c r="BQ23" s="55" t="str">
        <f aca="false">IF(BN23="","",IF(BO23&gt;=BN23,"На складе",IF(BO23&gt;0,"Частично","Ждём")))</f>
        <v/>
      </c>
      <c r="BR23" s="43"/>
      <c r="BS23" s="47" t="str">
        <f aca="false">IF(BN23="","",IF(_xlfn.MAXIFS(ЗАКАЗЫ!$AK$3:$AK$500,ЗАКАЗЫ!$F$3:$F$500,$A23)=0,"",_xlfn.MAXIFS(ЗАКАЗЫ!$AK$3:$AK$500,ЗАКАЗЫ!$F$3:$F$500,$A23)))</f>
        <v/>
      </c>
    </row>
    <row r="24" customFormat="false" ht="15.75" hidden="false" customHeight="true" outlineLevel="0" collapsed="false">
      <c r="A24" s="80" t="s">
        <v>1891</v>
      </c>
      <c r="B24" s="81"/>
      <c r="C24" s="81"/>
      <c r="D24" s="81"/>
      <c r="E24" s="83"/>
      <c r="F24" s="81"/>
      <c r="G24" s="83"/>
      <c r="H24" s="83"/>
      <c r="I24" s="84" t="str">
        <f aca="false">IF(E24="","",A24&amp;"_1.jpg")</f>
        <v/>
      </c>
      <c r="J24" s="84" t="str">
        <f aca="false">IF(E24="","",A24&amp;"_2.jpg; "&amp;A24&amp;"_3.jpg")</f>
        <v/>
      </c>
      <c r="K24" s="84" t="str">
        <f aca="false">IF(E24="","",A24&amp;"_schema.jpg")</f>
        <v/>
      </c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 t="s">
        <v>96</v>
      </c>
      <c r="W24" s="81"/>
      <c r="X24" s="81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6" t="str">
        <f aca="false">IF(SUM(Y24:AJ24)=0,"",SUM(Y24:AJ24))</f>
        <v/>
      </c>
      <c r="AL24" s="84" t="str">
        <f aca="false">MID(IF(N(Y24)&gt;0,", "&amp;Y$2,"")&amp;IF(N(Z24)&gt;0,", "&amp;Z$2,"")&amp;IF(N(AA24)&gt;0,", "&amp;AA$2,"")&amp;IF(N(AB24)&gt;0,", "&amp;AB$2,"")&amp;IF(N(AC24)&gt;0,", "&amp;AC$2,"")&amp;IF(N(AD24)&gt;0,", "&amp;AD$2,"")&amp;IF(N(AE24)&gt;0,", "&amp;AE$2,"")&amp;IF(N(AF24)&gt;0,", "&amp;AF$2,"")&amp;IF(N(AG24)&gt;0,", "&amp;AG$2,"")&amp;IF(N(AH24)&gt;0,", "&amp;AH$2,"")&amp;IF(N(AI24)&gt;0,", "&amp;AI$2,"")&amp;IF(N(AJ24)&gt;0,", "&amp;AJ$2,""),3,999)</f>
        <v/>
      </c>
      <c r="AM24" s="87" t="str">
        <f aca="false">IF(E24="","",MID(IF(N(Y24)&gt;0,", "&amp;A24&amp;"-"&amp;Y$2,"")&amp;IF(N(Z24)&gt;0,", "&amp;A24&amp;"-"&amp;Z$2,"")&amp;IF(N(AA24)&gt;0,", "&amp;A24&amp;"-"&amp;AA$2,"")&amp;IF(N(AB24)&gt;0,", "&amp;A24&amp;"-"&amp;AB$2,"")&amp;IF(N(AC24)&gt;0,", "&amp;A24&amp;"-"&amp;AC$2,"")&amp;IF(N(AD24)&gt;0,", "&amp;A24&amp;"-"&amp;AD$2,"")&amp;IF(N(AE24)&gt;0,", "&amp;A24&amp;"-"&amp;AE$2,"")&amp;IF(N(AF24)&gt;0,", "&amp;A24&amp;"-"&amp;AF$2,"")&amp;IF(N(AG24)&gt;0,", "&amp;A24&amp;"-"&amp;AG$2,"")&amp;IF(N(AH24)&gt;0,", "&amp;A24&amp;"-"&amp;AH$2,"")&amp;IF(N(AI24)&gt;0,", "&amp;A24&amp;"-"&amp;AI$2,"")&amp;IF(N(AJ24)&gt;0,", "&amp;A24&amp;"-"&amp;AJ$2,""),3,999))</f>
        <v/>
      </c>
      <c r="AN24" s="81"/>
      <c r="AO24" s="88"/>
      <c r="AP24" s="89" t="str">
        <f aca="false">IF(AO24="","",ROUND(AO24/(1+Справочники!$B$13),2))</f>
        <v/>
      </c>
      <c r="AQ24" s="90" t="str">
        <f aca="false" t="array" ref="AQ24:AQ24">IF(AP24="","",AP24*INDEX(Справочники!$B$4:$B$7,MATCH("RUB",Справочники!$A$4:$A$7,0)))</f>
        <v/>
      </c>
      <c r="AR24" s="90" t="str">
        <f aca="false">IF(AQ24="","",ROUND(AQ24*(1+Справочники!$B$12),0))</f>
        <v/>
      </c>
      <c r="AS24" s="90" t="str">
        <f aca="false">IF(AR24="","",ROUND(AR24*(1-Справочники!$B$11),0))</f>
        <v/>
      </c>
      <c r="AT24" s="88"/>
      <c r="AU24" s="90" t="str">
        <f aca="false">IF(AT24="","",ROUND(AT24/(1+Справочники!$B$12),0))</f>
        <v/>
      </c>
      <c r="AV24" s="90" t="str">
        <f aca="false">IF(AT24="","",ROUND(AT24*(1-Справочники!$B$15),0))</f>
        <v/>
      </c>
      <c r="AW24" s="90" t="str">
        <f aca="false">IF(AT24="","",ROUND(AT24*(1-Справочники!$B$16),0))</f>
        <v/>
      </c>
      <c r="AX24" s="90" t="str">
        <f aca="false">IF(AT24="","",ROUND(AT24*(1-Справочники!$B$17),0))</f>
        <v/>
      </c>
      <c r="AY24" s="90" t="str">
        <f aca="false">IF(AT24="","",ROUND(AT24*(1-Справочники!$B$18),0))</f>
        <v/>
      </c>
      <c r="AZ24" s="90" t="str">
        <f aca="false">IF(AT24="","",ROUND(AT24*(1-Справочники!$B$19),0))</f>
        <v/>
      </c>
      <c r="BA24" s="81"/>
      <c r="BB24" s="81"/>
      <c r="BC24" s="81"/>
      <c r="BD24" s="81"/>
      <c r="BE24" s="91"/>
      <c r="BF24" s="81" t="s">
        <v>103</v>
      </c>
      <c r="BG24" s="89" t="n">
        <f aca="false" t="array" ref="BG24:BG24">IF(BF24="","",IFERROR(INDEX(Справочники!$B$4:$B$7,MATCH(BF24,Справочники!$A$4:$A$7,0)),""))</f>
        <v>68.5</v>
      </c>
      <c r="BH24" s="90" t="str">
        <f aca="false">IF(N(BN24)&gt;0,ROUND(SUMIF(ЗАКАЗЫ!$F$3:$F$500,$A24,ЗАКАЗЫ!$Y$3:$Y$500)/BN24,0),IF(OR(BE24="",BG24=""),"",ROUND(BE24*BG24*(1+Справочники!$B$10),0)))</f>
        <v/>
      </c>
      <c r="BI24" s="92" t="str">
        <f aca="false">IF(OR(AU24="",BH24="",AU24=0),"",(AU24-BH24)/AU24)</f>
        <v/>
      </c>
      <c r="BJ24" s="81"/>
      <c r="BK24" s="83"/>
      <c r="BL24" s="43" t="str">
        <f aca="false">IFERROR(INDEX(ЗАКАЗЫ!$N$3:$N$500,MATCH($A24,ЗАКАЗЫ!$F$3:$F$500,0)),"")</f>
        <v/>
      </c>
      <c r="BM24" s="8" t="str">
        <f aca="false">IF(BL24="","",IFERROR(VLOOKUP(BL24,'ТН ВЭД'!$A$4:$C$40,3,0),""))</f>
        <v/>
      </c>
      <c r="BN24" s="7" t="str">
        <f aca="false">IF(COUNTIF(ЗАКАЗЫ!$F$3:$F$500,$A24)=0,"",SUMIF(ЗАКАЗЫ!$F$3:$F$500,$A24,ЗАКАЗЫ!$J$3:$J$500))</f>
        <v/>
      </c>
      <c r="BO24" s="7" t="str">
        <f aca="false">IF(BN24="","",SUMIF(ЗАКАЗЫ!$F$3:$F$500,$A24,ЗАКАЗЫ!$AL$3:$AL$500))</f>
        <v/>
      </c>
      <c r="BP24" s="7" t="str">
        <f aca="false">IF(BN24="","",BN24-BO24)</f>
        <v/>
      </c>
      <c r="BQ24" s="55" t="str">
        <f aca="false">IF(BN24="","",IF(BO24&gt;=BN24,"На складе",IF(BO24&gt;0,"Частично","Ждём")))</f>
        <v/>
      </c>
      <c r="BR24" s="43"/>
      <c r="BS24" s="47" t="str">
        <f aca="false">IF(BN24="","",IF(_xlfn.MAXIFS(ЗАКАЗЫ!$AK$3:$AK$500,ЗАКАЗЫ!$F$3:$F$500,$A24)=0,"",_xlfn.MAXIFS(ЗАКАЗЫ!$AK$3:$AK$500,ЗАКАЗЫ!$F$3:$F$500,$A24)))</f>
        <v/>
      </c>
    </row>
    <row r="25" customFormat="false" ht="15.75" hidden="false" customHeight="true" outlineLevel="0" collapsed="false">
      <c r="A25" s="80" t="s">
        <v>1892</v>
      </c>
      <c r="B25" s="81"/>
      <c r="C25" s="81"/>
      <c r="D25" s="81"/>
      <c r="E25" s="83"/>
      <c r="F25" s="81"/>
      <c r="G25" s="83"/>
      <c r="H25" s="83"/>
      <c r="I25" s="84" t="str">
        <f aca="false">IF(E25="","",A25&amp;"_1.jpg")</f>
        <v/>
      </c>
      <c r="J25" s="84" t="str">
        <f aca="false">IF(E25="","",A25&amp;"_2.jpg; "&amp;A25&amp;"_3.jpg")</f>
        <v/>
      </c>
      <c r="K25" s="84" t="str">
        <f aca="false">IF(E25="","",A25&amp;"_schema.jpg")</f>
        <v/>
      </c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 t="s">
        <v>96</v>
      </c>
      <c r="W25" s="81"/>
      <c r="X25" s="81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6" t="str">
        <f aca="false">IF(SUM(Y25:AJ25)=0,"",SUM(Y25:AJ25))</f>
        <v/>
      </c>
      <c r="AL25" s="84" t="str">
        <f aca="false">MID(IF(N(Y25)&gt;0,", "&amp;Y$2,"")&amp;IF(N(Z25)&gt;0,", "&amp;Z$2,"")&amp;IF(N(AA25)&gt;0,", "&amp;AA$2,"")&amp;IF(N(AB25)&gt;0,", "&amp;AB$2,"")&amp;IF(N(AC25)&gt;0,", "&amp;AC$2,"")&amp;IF(N(AD25)&gt;0,", "&amp;AD$2,"")&amp;IF(N(AE25)&gt;0,", "&amp;AE$2,"")&amp;IF(N(AF25)&gt;0,", "&amp;AF$2,"")&amp;IF(N(AG25)&gt;0,", "&amp;AG$2,"")&amp;IF(N(AH25)&gt;0,", "&amp;AH$2,"")&amp;IF(N(AI25)&gt;0,", "&amp;AI$2,"")&amp;IF(N(AJ25)&gt;0,", "&amp;AJ$2,""),3,999)</f>
        <v/>
      </c>
      <c r="AM25" s="87" t="str">
        <f aca="false">IF(E25="","",MID(IF(N(Y25)&gt;0,", "&amp;A25&amp;"-"&amp;Y$2,"")&amp;IF(N(Z25)&gt;0,", "&amp;A25&amp;"-"&amp;Z$2,"")&amp;IF(N(AA25)&gt;0,", "&amp;A25&amp;"-"&amp;AA$2,"")&amp;IF(N(AB25)&gt;0,", "&amp;A25&amp;"-"&amp;AB$2,"")&amp;IF(N(AC25)&gt;0,", "&amp;A25&amp;"-"&amp;AC$2,"")&amp;IF(N(AD25)&gt;0,", "&amp;A25&amp;"-"&amp;AD$2,"")&amp;IF(N(AE25)&gt;0,", "&amp;A25&amp;"-"&amp;AE$2,"")&amp;IF(N(AF25)&gt;0,", "&amp;A25&amp;"-"&amp;AF$2,"")&amp;IF(N(AG25)&gt;0,", "&amp;A25&amp;"-"&amp;AG$2,"")&amp;IF(N(AH25)&gt;0,", "&amp;A25&amp;"-"&amp;AH$2,"")&amp;IF(N(AI25)&gt;0,", "&amp;A25&amp;"-"&amp;AI$2,"")&amp;IF(N(AJ25)&gt;0,", "&amp;A25&amp;"-"&amp;AJ$2,""),3,999))</f>
        <v/>
      </c>
      <c r="AN25" s="81"/>
      <c r="AO25" s="88"/>
      <c r="AP25" s="89" t="str">
        <f aca="false">IF(AO25="","",ROUND(AO25/(1+Справочники!$B$13),2))</f>
        <v/>
      </c>
      <c r="AQ25" s="90" t="str">
        <f aca="false" t="array" ref="AQ25:AQ25">IF(AP25="","",AP25*INDEX(Справочники!$B$4:$B$7,MATCH("RUB",Справочники!$A$4:$A$7,0)))</f>
        <v/>
      </c>
      <c r="AR25" s="90" t="str">
        <f aca="false">IF(AQ25="","",ROUND(AQ25*(1+Справочники!$B$12),0))</f>
        <v/>
      </c>
      <c r="AS25" s="90" t="str">
        <f aca="false">IF(AR25="","",ROUND(AR25*(1-Справочники!$B$11),0))</f>
        <v/>
      </c>
      <c r="AT25" s="88"/>
      <c r="AU25" s="90" t="str">
        <f aca="false">IF(AT25="","",ROUND(AT25/(1+Справочники!$B$12),0))</f>
        <v/>
      </c>
      <c r="AV25" s="90" t="str">
        <f aca="false">IF(AT25="","",ROUND(AT25*(1-Справочники!$B$15),0))</f>
        <v/>
      </c>
      <c r="AW25" s="90" t="str">
        <f aca="false">IF(AT25="","",ROUND(AT25*(1-Справочники!$B$16),0))</f>
        <v/>
      </c>
      <c r="AX25" s="90" t="str">
        <f aca="false">IF(AT25="","",ROUND(AT25*(1-Справочники!$B$17),0))</f>
        <v/>
      </c>
      <c r="AY25" s="90" t="str">
        <f aca="false">IF(AT25="","",ROUND(AT25*(1-Справочники!$B$18),0))</f>
        <v/>
      </c>
      <c r="AZ25" s="90" t="str">
        <f aca="false">IF(AT25="","",ROUND(AT25*(1-Справочники!$B$19),0))</f>
        <v/>
      </c>
      <c r="BA25" s="81"/>
      <c r="BB25" s="81"/>
      <c r="BC25" s="81"/>
      <c r="BD25" s="81"/>
      <c r="BE25" s="91"/>
      <c r="BF25" s="81" t="s">
        <v>103</v>
      </c>
      <c r="BG25" s="89" t="n">
        <f aca="false" t="array" ref="BG25:BG25">IF(BF25="","",IFERROR(INDEX(Справочники!$B$4:$B$7,MATCH(BF25,Справочники!$A$4:$A$7,0)),""))</f>
        <v>68.5</v>
      </c>
      <c r="BH25" s="90" t="str">
        <f aca="false">IF(N(BN25)&gt;0,ROUND(SUMIF(ЗАКАЗЫ!$F$3:$F$500,$A25,ЗАКАЗЫ!$Y$3:$Y$500)/BN25,0),IF(OR(BE25="",BG25=""),"",ROUND(BE25*BG25*(1+Справочники!$B$10),0)))</f>
        <v/>
      </c>
      <c r="BI25" s="92" t="str">
        <f aca="false">IF(OR(AU25="",BH25="",AU25=0),"",(AU25-BH25)/AU25)</f>
        <v/>
      </c>
      <c r="BJ25" s="81"/>
      <c r="BK25" s="83"/>
      <c r="BL25" s="43" t="str">
        <f aca="false">IFERROR(INDEX(ЗАКАЗЫ!$N$3:$N$500,MATCH($A25,ЗАКАЗЫ!$F$3:$F$500,0)),"")</f>
        <v/>
      </c>
      <c r="BM25" s="8" t="str">
        <f aca="false">IF(BL25="","",IFERROR(VLOOKUP(BL25,'ТН ВЭД'!$A$4:$C$40,3,0),""))</f>
        <v/>
      </c>
      <c r="BN25" s="7" t="str">
        <f aca="false">IF(COUNTIF(ЗАКАЗЫ!$F$3:$F$500,$A25)=0,"",SUMIF(ЗАКАЗЫ!$F$3:$F$500,$A25,ЗАКАЗЫ!$J$3:$J$500))</f>
        <v/>
      </c>
      <c r="BO25" s="7" t="str">
        <f aca="false">IF(BN25="","",SUMIF(ЗАКАЗЫ!$F$3:$F$500,$A25,ЗАКАЗЫ!$AL$3:$AL$500))</f>
        <v/>
      </c>
      <c r="BP25" s="7" t="str">
        <f aca="false">IF(BN25="","",BN25-BO25)</f>
        <v/>
      </c>
      <c r="BQ25" s="55" t="str">
        <f aca="false">IF(BN25="","",IF(BO25&gt;=BN25,"На складе",IF(BO25&gt;0,"Частично","Ждём")))</f>
        <v/>
      </c>
      <c r="BR25" s="43"/>
      <c r="BS25" s="47" t="str">
        <f aca="false">IF(BN25="","",IF(_xlfn.MAXIFS(ЗАКАЗЫ!$AK$3:$AK$500,ЗАКАЗЫ!$F$3:$F$500,$A25)=0,"",_xlfn.MAXIFS(ЗАКАЗЫ!$AK$3:$AK$500,ЗАКАЗЫ!$F$3:$F$500,$A25)))</f>
        <v/>
      </c>
    </row>
    <row r="26" customFormat="false" ht="15.75" hidden="false" customHeight="true" outlineLevel="0" collapsed="false">
      <c r="A26" s="80" t="s">
        <v>1893</v>
      </c>
      <c r="B26" s="81"/>
      <c r="C26" s="81"/>
      <c r="D26" s="81"/>
      <c r="E26" s="83"/>
      <c r="F26" s="81"/>
      <c r="G26" s="83"/>
      <c r="H26" s="83"/>
      <c r="I26" s="84" t="str">
        <f aca="false">IF(E26="","",A26&amp;"_1.jpg")</f>
        <v/>
      </c>
      <c r="J26" s="84" t="str">
        <f aca="false">IF(E26="","",A26&amp;"_2.jpg; "&amp;A26&amp;"_3.jpg")</f>
        <v/>
      </c>
      <c r="K26" s="84" t="str">
        <f aca="false">IF(E26="","",A26&amp;"_schema.jpg")</f>
        <v/>
      </c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 t="s">
        <v>96</v>
      </c>
      <c r="W26" s="81"/>
      <c r="X26" s="81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6" t="str">
        <f aca="false">IF(SUM(Y26:AJ26)=0,"",SUM(Y26:AJ26))</f>
        <v/>
      </c>
      <c r="AL26" s="84" t="str">
        <f aca="false">MID(IF(N(Y26)&gt;0,", "&amp;Y$2,"")&amp;IF(N(Z26)&gt;0,", "&amp;Z$2,"")&amp;IF(N(AA26)&gt;0,", "&amp;AA$2,"")&amp;IF(N(AB26)&gt;0,", "&amp;AB$2,"")&amp;IF(N(AC26)&gt;0,", "&amp;AC$2,"")&amp;IF(N(AD26)&gt;0,", "&amp;AD$2,"")&amp;IF(N(AE26)&gt;0,", "&amp;AE$2,"")&amp;IF(N(AF26)&gt;0,", "&amp;AF$2,"")&amp;IF(N(AG26)&gt;0,", "&amp;AG$2,"")&amp;IF(N(AH26)&gt;0,", "&amp;AH$2,"")&amp;IF(N(AI26)&gt;0,", "&amp;AI$2,"")&amp;IF(N(AJ26)&gt;0,", "&amp;AJ$2,""),3,999)</f>
        <v/>
      </c>
      <c r="AM26" s="87" t="str">
        <f aca="false">IF(E26="","",MID(IF(N(Y26)&gt;0,", "&amp;A26&amp;"-"&amp;Y$2,"")&amp;IF(N(Z26)&gt;0,", "&amp;A26&amp;"-"&amp;Z$2,"")&amp;IF(N(AA26)&gt;0,", "&amp;A26&amp;"-"&amp;AA$2,"")&amp;IF(N(AB26)&gt;0,", "&amp;A26&amp;"-"&amp;AB$2,"")&amp;IF(N(AC26)&gt;0,", "&amp;A26&amp;"-"&amp;AC$2,"")&amp;IF(N(AD26)&gt;0,", "&amp;A26&amp;"-"&amp;AD$2,"")&amp;IF(N(AE26)&gt;0,", "&amp;A26&amp;"-"&amp;AE$2,"")&amp;IF(N(AF26)&gt;0,", "&amp;A26&amp;"-"&amp;AF$2,"")&amp;IF(N(AG26)&gt;0,", "&amp;A26&amp;"-"&amp;AG$2,"")&amp;IF(N(AH26)&gt;0,", "&amp;A26&amp;"-"&amp;AH$2,"")&amp;IF(N(AI26)&gt;0,", "&amp;A26&amp;"-"&amp;AI$2,"")&amp;IF(N(AJ26)&gt;0,", "&amp;A26&amp;"-"&amp;AJ$2,""),3,999))</f>
        <v/>
      </c>
      <c r="AN26" s="81"/>
      <c r="AO26" s="88"/>
      <c r="AP26" s="89" t="str">
        <f aca="false">IF(AO26="","",ROUND(AO26/(1+Справочники!$B$13),2))</f>
        <v/>
      </c>
      <c r="AQ26" s="90" t="str">
        <f aca="false" t="array" ref="AQ26:AQ26">IF(AP26="","",AP26*INDEX(Справочники!$B$4:$B$7,MATCH("RUB",Справочники!$A$4:$A$7,0)))</f>
        <v/>
      </c>
      <c r="AR26" s="90" t="str">
        <f aca="false">IF(AQ26="","",ROUND(AQ26*(1+Справочники!$B$12),0))</f>
        <v/>
      </c>
      <c r="AS26" s="90" t="str">
        <f aca="false">IF(AR26="","",ROUND(AR26*(1-Справочники!$B$11),0))</f>
        <v/>
      </c>
      <c r="AT26" s="88"/>
      <c r="AU26" s="90" t="str">
        <f aca="false">IF(AT26="","",ROUND(AT26/(1+Справочники!$B$12),0))</f>
        <v/>
      </c>
      <c r="AV26" s="90" t="str">
        <f aca="false">IF(AT26="","",ROUND(AT26*(1-Справочники!$B$15),0))</f>
        <v/>
      </c>
      <c r="AW26" s="90" t="str">
        <f aca="false">IF(AT26="","",ROUND(AT26*(1-Справочники!$B$16),0))</f>
        <v/>
      </c>
      <c r="AX26" s="90" t="str">
        <f aca="false">IF(AT26="","",ROUND(AT26*(1-Справочники!$B$17),0))</f>
        <v/>
      </c>
      <c r="AY26" s="90" t="str">
        <f aca="false">IF(AT26="","",ROUND(AT26*(1-Справочники!$B$18),0))</f>
        <v/>
      </c>
      <c r="AZ26" s="90" t="str">
        <f aca="false">IF(AT26="","",ROUND(AT26*(1-Справочники!$B$19),0))</f>
        <v/>
      </c>
      <c r="BA26" s="81"/>
      <c r="BB26" s="81"/>
      <c r="BC26" s="81"/>
      <c r="BD26" s="81"/>
      <c r="BE26" s="91"/>
      <c r="BF26" s="81" t="s">
        <v>103</v>
      </c>
      <c r="BG26" s="89" t="n">
        <f aca="false" t="array" ref="BG26:BG26">IF(BF26="","",IFERROR(INDEX(Справочники!$B$4:$B$7,MATCH(BF26,Справочники!$A$4:$A$7,0)),""))</f>
        <v>68.5</v>
      </c>
      <c r="BH26" s="90" t="str">
        <f aca="false">IF(N(BN26)&gt;0,ROUND(SUMIF(ЗАКАЗЫ!$F$3:$F$500,$A26,ЗАКАЗЫ!$Y$3:$Y$500)/BN26,0),IF(OR(BE26="",BG26=""),"",ROUND(BE26*BG26*(1+Справочники!$B$10),0)))</f>
        <v/>
      </c>
      <c r="BI26" s="92" t="str">
        <f aca="false">IF(OR(AU26="",BH26="",AU26=0),"",(AU26-BH26)/AU26)</f>
        <v/>
      </c>
      <c r="BJ26" s="81"/>
      <c r="BK26" s="83"/>
      <c r="BL26" s="43" t="str">
        <f aca="false">IFERROR(INDEX(ЗАКАЗЫ!$N$3:$N$500,MATCH($A26,ЗАКАЗЫ!$F$3:$F$500,0)),"")</f>
        <v/>
      </c>
      <c r="BM26" s="8" t="str">
        <f aca="false">IF(BL26="","",IFERROR(VLOOKUP(BL26,'ТН ВЭД'!$A$4:$C$40,3,0),""))</f>
        <v/>
      </c>
      <c r="BN26" s="7" t="str">
        <f aca="false">IF(COUNTIF(ЗАКАЗЫ!$F$3:$F$500,$A26)=0,"",SUMIF(ЗАКАЗЫ!$F$3:$F$500,$A26,ЗАКАЗЫ!$J$3:$J$500))</f>
        <v/>
      </c>
      <c r="BO26" s="7" t="str">
        <f aca="false">IF(BN26="","",SUMIF(ЗАКАЗЫ!$F$3:$F$500,$A26,ЗАКАЗЫ!$AL$3:$AL$500))</f>
        <v/>
      </c>
      <c r="BP26" s="7" t="str">
        <f aca="false">IF(BN26="","",BN26-BO26)</f>
        <v/>
      </c>
      <c r="BQ26" s="55" t="str">
        <f aca="false">IF(BN26="","",IF(BO26&gt;=BN26,"На складе",IF(BO26&gt;0,"Частично","Ждём")))</f>
        <v/>
      </c>
      <c r="BR26" s="43"/>
      <c r="BS26" s="47" t="str">
        <f aca="false">IF(BN26="","",IF(_xlfn.MAXIFS(ЗАКАЗЫ!$AK$3:$AK$500,ЗАКАЗЫ!$F$3:$F$500,$A26)=0,"",_xlfn.MAXIFS(ЗАКАЗЫ!$AK$3:$AK$500,ЗАКАЗЫ!$F$3:$F$500,$A26)))</f>
        <v/>
      </c>
    </row>
    <row r="27" customFormat="false" ht="15.75" hidden="false" customHeight="true" outlineLevel="0" collapsed="false">
      <c r="A27" s="80" t="s">
        <v>1894</v>
      </c>
      <c r="B27" s="81"/>
      <c r="C27" s="81"/>
      <c r="D27" s="81"/>
      <c r="E27" s="83"/>
      <c r="F27" s="81"/>
      <c r="G27" s="83"/>
      <c r="H27" s="83"/>
      <c r="I27" s="84" t="str">
        <f aca="false">IF(E27="","",A27&amp;"_1.jpg")</f>
        <v/>
      </c>
      <c r="J27" s="84" t="str">
        <f aca="false">IF(E27="","",A27&amp;"_2.jpg; "&amp;A27&amp;"_3.jpg")</f>
        <v/>
      </c>
      <c r="K27" s="84" t="str">
        <f aca="false">IF(E27="","",A27&amp;"_schema.jpg")</f>
        <v/>
      </c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 t="s">
        <v>96</v>
      </c>
      <c r="W27" s="81"/>
      <c r="X27" s="81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6" t="str">
        <f aca="false">IF(SUM(Y27:AJ27)=0,"",SUM(Y27:AJ27))</f>
        <v/>
      </c>
      <c r="AL27" s="84" t="str">
        <f aca="false">MID(IF(N(Y27)&gt;0,", "&amp;Y$2,"")&amp;IF(N(Z27)&gt;0,", "&amp;Z$2,"")&amp;IF(N(AA27)&gt;0,", "&amp;AA$2,"")&amp;IF(N(AB27)&gt;0,", "&amp;AB$2,"")&amp;IF(N(AC27)&gt;0,", "&amp;AC$2,"")&amp;IF(N(AD27)&gt;0,", "&amp;AD$2,"")&amp;IF(N(AE27)&gt;0,", "&amp;AE$2,"")&amp;IF(N(AF27)&gt;0,", "&amp;AF$2,"")&amp;IF(N(AG27)&gt;0,", "&amp;AG$2,"")&amp;IF(N(AH27)&gt;0,", "&amp;AH$2,"")&amp;IF(N(AI27)&gt;0,", "&amp;AI$2,"")&amp;IF(N(AJ27)&gt;0,", "&amp;AJ$2,""),3,999)</f>
        <v/>
      </c>
      <c r="AM27" s="87" t="str">
        <f aca="false">IF(E27="","",MID(IF(N(Y27)&gt;0,", "&amp;A27&amp;"-"&amp;Y$2,"")&amp;IF(N(Z27)&gt;0,", "&amp;A27&amp;"-"&amp;Z$2,"")&amp;IF(N(AA27)&gt;0,", "&amp;A27&amp;"-"&amp;AA$2,"")&amp;IF(N(AB27)&gt;0,", "&amp;A27&amp;"-"&amp;AB$2,"")&amp;IF(N(AC27)&gt;0,", "&amp;A27&amp;"-"&amp;AC$2,"")&amp;IF(N(AD27)&gt;0,", "&amp;A27&amp;"-"&amp;AD$2,"")&amp;IF(N(AE27)&gt;0,", "&amp;A27&amp;"-"&amp;AE$2,"")&amp;IF(N(AF27)&gt;0,", "&amp;A27&amp;"-"&amp;AF$2,"")&amp;IF(N(AG27)&gt;0,", "&amp;A27&amp;"-"&amp;AG$2,"")&amp;IF(N(AH27)&gt;0,", "&amp;A27&amp;"-"&amp;AH$2,"")&amp;IF(N(AI27)&gt;0,", "&amp;A27&amp;"-"&amp;AI$2,"")&amp;IF(N(AJ27)&gt;0,", "&amp;A27&amp;"-"&amp;AJ$2,""),3,999))</f>
        <v/>
      </c>
      <c r="AN27" s="81"/>
      <c r="AO27" s="88"/>
      <c r="AP27" s="89" t="str">
        <f aca="false">IF(AO27="","",ROUND(AO27/(1+Справочники!$B$13),2))</f>
        <v/>
      </c>
      <c r="AQ27" s="90" t="str">
        <f aca="false" t="array" ref="AQ27:AQ27">IF(AP27="","",AP27*INDEX(Справочники!$B$4:$B$7,MATCH("RUB",Справочники!$A$4:$A$7,0)))</f>
        <v/>
      </c>
      <c r="AR27" s="90" t="str">
        <f aca="false">IF(AQ27="","",ROUND(AQ27*(1+Справочники!$B$12),0))</f>
        <v/>
      </c>
      <c r="AS27" s="90" t="str">
        <f aca="false">IF(AR27="","",ROUND(AR27*(1-Справочники!$B$11),0))</f>
        <v/>
      </c>
      <c r="AT27" s="88"/>
      <c r="AU27" s="90" t="str">
        <f aca="false">IF(AT27="","",ROUND(AT27/(1+Справочники!$B$12),0))</f>
        <v/>
      </c>
      <c r="AV27" s="90" t="str">
        <f aca="false">IF(AT27="","",ROUND(AT27*(1-Справочники!$B$15),0))</f>
        <v/>
      </c>
      <c r="AW27" s="90" t="str">
        <f aca="false">IF(AT27="","",ROUND(AT27*(1-Справочники!$B$16),0))</f>
        <v/>
      </c>
      <c r="AX27" s="90" t="str">
        <f aca="false">IF(AT27="","",ROUND(AT27*(1-Справочники!$B$17),0))</f>
        <v/>
      </c>
      <c r="AY27" s="90" t="str">
        <f aca="false">IF(AT27="","",ROUND(AT27*(1-Справочники!$B$18),0))</f>
        <v/>
      </c>
      <c r="AZ27" s="90" t="str">
        <f aca="false">IF(AT27="","",ROUND(AT27*(1-Справочники!$B$19),0))</f>
        <v/>
      </c>
      <c r="BA27" s="81"/>
      <c r="BB27" s="81"/>
      <c r="BC27" s="81"/>
      <c r="BD27" s="81"/>
      <c r="BE27" s="91"/>
      <c r="BF27" s="81" t="s">
        <v>103</v>
      </c>
      <c r="BG27" s="89" t="n">
        <f aca="false" t="array" ref="BG27:BG27">IF(BF27="","",IFERROR(INDEX(Справочники!$B$4:$B$7,MATCH(BF27,Справочники!$A$4:$A$7,0)),""))</f>
        <v>68.5</v>
      </c>
      <c r="BH27" s="90" t="str">
        <f aca="false">IF(N(BN27)&gt;0,ROUND(SUMIF(ЗАКАЗЫ!$F$3:$F$500,$A27,ЗАКАЗЫ!$Y$3:$Y$500)/BN27,0),IF(OR(BE27="",BG27=""),"",ROUND(BE27*BG27*(1+Справочники!$B$10),0)))</f>
        <v/>
      </c>
      <c r="BI27" s="92" t="str">
        <f aca="false">IF(OR(AU27="",BH27="",AU27=0),"",(AU27-BH27)/AU27)</f>
        <v/>
      </c>
      <c r="BJ27" s="81"/>
      <c r="BK27" s="83"/>
      <c r="BL27" s="43" t="str">
        <f aca="false">IFERROR(INDEX(ЗАКАЗЫ!$N$3:$N$500,MATCH($A27,ЗАКАЗЫ!$F$3:$F$500,0)),"")</f>
        <v/>
      </c>
      <c r="BM27" s="8" t="str">
        <f aca="false">IF(BL27="","",IFERROR(VLOOKUP(BL27,'ТН ВЭД'!$A$4:$C$40,3,0),""))</f>
        <v/>
      </c>
      <c r="BN27" s="7" t="str">
        <f aca="false">IF(COUNTIF(ЗАКАЗЫ!$F$3:$F$500,$A27)=0,"",SUMIF(ЗАКАЗЫ!$F$3:$F$500,$A27,ЗАКАЗЫ!$J$3:$J$500))</f>
        <v/>
      </c>
      <c r="BO27" s="7" t="str">
        <f aca="false">IF(BN27="","",SUMIF(ЗАКАЗЫ!$F$3:$F$500,$A27,ЗАКАЗЫ!$AL$3:$AL$500))</f>
        <v/>
      </c>
      <c r="BP27" s="7" t="str">
        <f aca="false">IF(BN27="","",BN27-BO27)</f>
        <v/>
      </c>
      <c r="BQ27" s="55" t="str">
        <f aca="false">IF(BN27="","",IF(BO27&gt;=BN27,"На складе",IF(BO27&gt;0,"Частично","Ждём")))</f>
        <v/>
      </c>
      <c r="BR27" s="43"/>
      <c r="BS27" s="47" t="str">
        <f aca="false">IF(BN27="","",IF(_xlfn.MAXIFS(ЗАКАЗЫ!$AK$3:$AK$500,ЗАКАЗЫ!$F$3:$F$500,$A27)=0,"",_xlfn.MAXIFS(ЗАКАЗЫ!$AK$3:$AK$500,ЗАКАЗЫ!$F$3:$F$500,$A27)))</f>
        <v/>
      </c>
    </row>
    <row r="28" customFormat="false" ht="15.75" hidden="false" customHeight="true" outlineLevel="0" collapsed="false">
      <c r="A28" s="80" t="s">
        <v>1895</v>
      </c>
      <c r="B28" s="81"/>
      <c r="C28" s="81"/>
      <c r="D28" s="81"/>
      <c r="E28" s="83"/>
      <c r="F28" s="81"/>
      <c r="G28" s="83"/>
      <c r="H28" s="83"/>
      <c r="I28" s="84" t="str">
        <f aca="false">IF(E28="","",A28&amp;"_1.jpg")</f>
        <v/>
      </c>
      <c r="J28" s="84" t="str">
        <f aca="false">IF(E28="","",A28&amp;"_2.jpg; "&amp;A28&amp;"_3.jpg")</f>
        <v/>
      </c>
      <c r="K28" s="84" t="str">
        <f aca="false">IF(E28="","",A28&amp;"_schema.jpg")</f>
        <v/>
      </c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 t="s">
        <v>96</v>
      </c>
      <c r="W28" s="81"/>
      <c r="X28" s="81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6" t="str">
        <f aca="false">IF(SUM(Y28:AJ28)=0,"",SUM(Y28:AJ28))</f>
        <v/>
      </c>
      <c r="AL28" s="84" t="str">
        <f aca="false">MID(IF(N(Y28)&gt;0,", "&amp;Y$2,"")&amp;IF(N(Z28)&gt;0,", "&amp;Z$2,"")&amp;IF(N(AA28)&gt;0,", "&amp;AA$2,"")&amp;IF(N(AB28)&gt;0,", "&amp;AB$2,"")&amp;IF(N(AC28)&gt;0,", "&amp;AC$2,"")&amp;IF(N(AD28)&gt;0,", "&amp;AD$2,"")&amp;IF(N(AE28)&gt;0,", "&amp;AE$2,"")&amp;IF(N(AF28)&gt;0,", "&amp;AF$2,"")&amp;IF(N(AG28)&gt;0,", "&amp;AG$2,"")&amp;IF(N(AH28)&gt;0,", "&amp;AH$2,"")&amp;IF(N(AI28)&gt;0,", "&amp;AI$2,"")&amp;IF(N(AJ28)&gt;0,", "&amp;AJ$2,""),3,999)</f>
        <v/>
      </c>
      <c r="AM28" s="87" t="str">
        <f aca="false">IF(E28="","",MID(IF(N(Y28)&gt;0,", "&amp;A28&amp;"-"&amp;Y$2,"")&amp;IF(N(Z28)&gt;0,", "&amp;A28&amp;"-"&amp;Z$2,"")&amp;IF(N(AA28)&gt;0,", "&amp;A28&amp;"-"&amp;AA$2,"")&amp;IF(N(AB28)&gt;0,", "&amp;A28&amp;"-"&amp;AB$2,"")&amp;IF(N(AC28)&gt;0,", "&amp;A28&amp;"-"&amp;AC$2,"")&amp;IF(N(AD28)&gt;0,", "&amp;A28&amp;"-"&amp;AD$2,"")&amp;IF(N(AE28)&gt;0,", "&amp;A28&amp;"-"&amp;AE$2,"")&amp;IF(N(AF28)&gt;0,", "&amp;A28&amp;"-"&amp;AF$2,"")&amp;IF(N(AG28)&gt;0,", "&amp;A28&amp;"-"&amp;AG$2,"")&amp;IF(N(AH28)&gt;0,", "&amp;A28&amp;"-"&amp;AH$2,"")&amp;IF(N(AI28)&gt;0,", "&amp;A28&amp;"-"&amp;AI$2,"")&amp;IF(N(AJ28)&gt;0,", "&amp;A28&amp;"-"&amp;AJ$2,""),3,999))</f>
        <v/>
      </c>
      <c r="AN28" s="81"/>
      <c r="AO28" s="88"/>
      <c r="AP28" s="89" t="str">
        <f aca="false">IF(AO28="","",ROUND(AO28/(1+Справочники!$B$13),2))</f>
        <v/>
      </c>
      <c r="AQ28" s="90" t="str">
        <f aca="false" t="array" ref="AQ28:AQ28">IF(AP28="","",AP28*INDEX(Справочники!$B$4:$B$7,MATCH("RUB",Справочники!$A$4:$A$7,0)))</f>
        <v/>
      </c>
      <c r="AR28" s="90" t="str">
        <f aca="false">IF(AQ28="","",ROUND(AQ28*(1+Справочники!$B$12),0))</f>
        <v/>
      </c>
      <c r="AS28" s="90" t="str">
        <f aca="false">IF(AR28="","",ROUND(AR28*(1-Справочники!$B$11),0))</f>
        <v/>
      </c>
      <c r="AT28" s="88"/>
      <c r="AU28" s="90" t="str">
        <f aca="false">IF(AT28="","",ROUND(AT28/(1+Справочники!$B$12),0))</f>
        <v/>
      </c>
      <c r="AV28" s="90" t="str">
        <f aca="false">IF(AT28="","",ROUND(AT28*(1-Справочники!$B$15),0))</f>
        <v/>
      </c>
      <c r="AW28" s="90" t="str">
        <f aca="false">IF(AT28="","",ROUND(AT28*(1-Справочники!$B$16),0))</f>
        <v/>
      </c>
      <c r="AX28" s="90" t="str">
        <f aca="false">IF(AT28="","",ROUND(AT28*(1-Справочники!$B$17),0))</f>
        <v/>
      </c>
      <c r="AY28" s="90" t="str">
        <f aca="false">IF(AT28="","",ROUND(AT28*(1-Справочники!$B$18),0))</f>
        <v/>
      </c>
      <c r="AZ28" s="90" t="str">
        <f aca="false">IF(AT28="","",ROUND(AT28*(1-Справочники!$B$19),0))</f>
        <v/>
      </c>
      <c r="BA28" s="81"/>
      <c r="BB28" s="81"/>
      <c r="BC28" s="81"/>
      <c r="BD28" s="81"/>
      <c r="BE28" s="91"/>
      <c r="BF28" s="81" t="s">
        <v>103</v>
      </c>
      <c r="BG28" s="89" t="n">
        <f aca="false" t="array" ref="BG28:BG28">IF(BF28="","",IFERROR(INDEX(Справочники!$B$4:$B$7,MATCH(BF28,Справочники!$A$4:$A$7,0)),""))</f>
        <v>68.5</v>
      </c>
      <c r="BH28" s="90" t="str">
        <f aca="false">IF(N(BN28)&gt;0,ROUND(SUMIF(ЗАКАЗЫ!$F$3:$F$500,$A28,ЗАКАЗЫ!$Y$3:$Y$500)/BN28,0),IF(OR(BE28="",BG28=""),"",ROUND(BE28*BG28*(1+Справочники!$B$10),0)))</f>
        <v/>
      </c>
      <c r="BI28" s="92" t="str">
        <f aca="false">IF(OR(AU28="",BH28="",AU28=0),"",(AU28-BH28)/AU28)</f>
        <v/>
      </c>
      <c r="BJ28" s="81"/>
      <c r="BK28" s="83"/>
      <c r="BL28" s="43" t="str">
        <f aca="false">IFERROR(INDEX(ЗАКАЗЫ!$N$3:$N$500,MATCH($A28,ЗАКАЗЫ!$F$3:$F$500,0)),"")</f>
        <v/>
      </c>
      <c r="BM28" s="8" t="str">
        <f aca="false">IF(BL28="","",IFERROR(VLOOKUP(BL28,'ТН ВЭД'!$A$4:$C$40,3,0),""))</f>
        <v/>
      </c>
      <c r="BN28" s="7" t="str">
        <f aca="false">IF(COUNTIF(ЗАКАЗЫ!$F$3:$F$500,$A28)=0,"",SUMIF(ЗАКАЗЫ!$F$3:$F$500,$A28,ЗАКАЗЫ!$J$3:$J$500))</f>
        <v/>
      </c>
      <c r="BO28" s="7" t="str">
        <f aca="false">IF(BN28="","",SUMIF(ЗАКАЗЫ!$F$3:$F$500,$A28,ЗАКАЗЫ!$AL$3:$AL$500))</f>
        <v/>
      </c>
      <c r="BP28" s="7" t="str">
        <f aca="false">IF(BN28="","",BN28-BO28)</f>
        <v/>
      </c>
      <c r="BQ28" s="55" t="str">
        <f aca="false">IF(BN28="","",IF(BO28&gt;=BN28,"На складе",IF(BO28&gt;0,"Частично","Ждём")))</f>
        <v/>
      </c>
      <c r="BR28" s="43"/>
      <c r="BS28" s="47" t="str">
        <f aca="false">IF(BN28="","",IF(_xlfn.MAXIFS(ЗАКАЗЫ!$AK$3:$AK$500,ЗАКАЗЫ!$F$3:$F$500,$A28)=0,"",_xlfn.MAXIFS(ЗАКАЗЫ!$AK$3:$AK$500,ЗАКАЗЫ!$F$3:$F$500,$A28)))</f>
        <v/>
      </c>
    </row>
    <row r="29" customFormat="false" ht="15.75" hidden="false" customHeight="true" outlineLevel="0" collapsed="false">
      <c r="A29" s="80" t="s">
        <v>1896</v>
      </c>
      <c r="B29" s="81"/>
      <c r="C29" s="81"/>
      <c r="D29" s="81"/>
      <c r="E29" s="83"/>
      <c r="F29" s="81"/>
      <c r="G29" s="83"/>
      <c r="H29" s="83"/>
      <c r="I29" s="84" t="str">
        <f aca="false">IF(E29="","",A29&amp;"_1.jpg")</f>
        <v/>
      </c>
      <c r="J29" s="84" t="str">
        <f aca="false">IF(E29="","",A29&amp;"_2.jpg; "&amp;A29&amp;"_3.jpg")</f>
        <v/>
      </c>
      <c r="K29" s="84" t="str">
        <f aca="false">IF(E29="","",A29&amp;"_schema.jpg")</f>
        <v/>
      </c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 t="s">
        <v>96</v>
      </c>
      <c r="W29" s="81"/>
      <c r="X29" s="81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6" t="str">
        <f aca="false">IF(SUM(Y29:AJ29)=0,"",SUM(Y29:AJ29))</f>
        <v/>
      </c>
      <c r="AL29" s="84" t="str">
        <f aca="false">MID(IF(N(Y29)&gt;0,", "&amp;Y$2,"")&amp;IF(N(Z29)&gt;0,", "&amp;Z$2,"")&amp;IF(N(AA29)&gt;0,", "&amp;AA$2,"")&amp;IF(N(AB29)&gt;0,", "&amp;AB$2,"")&amp;IF(N(AC29)&gt;0,", "&amp;AC$2,"")&amp;IF(N(AD29)&gt;0,", "&amp;AD$2,"")&amp;IF(N(AE29)&gt;0,", "&amp;AE$2,"")&amp;IF(N(AF29)&gt;0,", "&amp;AF$2,"")&amp;IF(N(AG29)&gt;0,", "&amp;AG$2,"")&amp;IF(N(AH29)&gt;0,", "&amp;AH$2,"")&amp;IF(N(AI29)&gt;0,", "&amp;AI$2,"")&amp;IF(N(AJ29)&gt;0,", "&amp;AJ$2,""),3,999)</f>
        <v/>
      </c>
      <c r="AM29" s="87" t="str">
        <f aca="false">IF(E29="","",MID(IF(N(Y29)&gt;0,", "&amp;A29&amp;"-"&amp;Y$2,"")&amp;IF(N(Z29)&gt;0,", "&amp;A29&amp;"-"&amp;Z$2,"")&amp;IF(N(AA29)&gt;0,", "&amp;A29&amp;"-"&amp;AA$2,"")&amp;IF(N(AB29)&gt;0,", "&amp;A29&amp;"-"&amp;AB$2,"")&amp;IF(N(AC29)&gt;0,", "&amp;A29&amp;"-"&amp;AC$2,"")&amp;IF(N(AD29)&gt;0,", "&amp;A29&amp;"-"&amp;AD$2,"")&amp;IF(N(AE29)&gt;0,", "&amp;A29&amp;"-"&amp;AE$2,"")&amp;IF(N(AF29)&gt;0,", "&amp;A29&amp;"-"&amp;AF$2,"")&amp;IF(N(AG29)&gt;0,", "&amp;A29&amp;"-"&amp;AG$2,"")&amp;IF(N(AH29)&gt;0,", "&amp;A29&amp;"-"&amp;AH$2,"")&amp;IF(N(AI29)&gt;0,", "&amp;A29&amp;"-"&amp;AI$2,"")&amp;IF(N(AJ29)&gt;0,", "&amp;A29&amp;"-"&amp;AJ$2,""),3,999))</f>
        <v/>
      </c>
      <c r="AN29" s="81"/>
      <c r="AO29" s="88"/>
      <c r="AP29" s="89" t="str">
        <f aca="false">IF(AO29="","",ROUND(AO29/(1+Справочники!$B$13),2))</f>
        <v/>
      </c>
      <c r="AQ29" s="90" t="str">
        <f aca="false" t="array" ref="AQ29:AQ29">IF(AP29="","",AP29*INDEX(Справочники!$B$4:$B$7,MATCH("RUB",Справочники!$A$4:$A$7,0)))</f>
        <v/>
      </c>
      <c r="AR29" s="90" t="str">
        <f aca="false">IF(AQ29="","",ROUND(AQ29*(1+Справочники!$B$12),0))</f>
        <v/>
      </c>
      <c r="AS29" s="90" t="str">
        <f aca="false">IF(AR29="","",ROUND(AR29*(1-Справочники!$B$11),0))</f>
        <v/>
      </c>
      <c r="AT29" s="88"/>
      <c r="AU29" s="90" t="str">
        <f aca="false">IF(AT29="","",ROUND(AT29/(1+Справочники!$B$12),0))</f>
        <v/>
      </c>
      <c r="AV29" s="90" t="str">
        <f aca="false">IF(AT29="","",ROUND(AT29*(1-Справочники!$B$15),0))</f>
        <v/>
      </c>
      <c r="AW29" s="90" t="str">
        <f aca="false">IF(AT29="","",ROUND(AT29*(1-Справочники!$B$16),0))</f>
        <v/>
      </c>
      <c r="AX29" s="90" t="str">
        <f aca="false">IF(AT29="","",ROUND(AT29*(1-Справочники!$B$17),0))</f>
        <v/>
      </c>
      <c r="AY29" s="90" t="str">
        <f aca="false">IF(AT29="","",ROUND(AT29*(1-Справочники!$B$18),0))</f>
        <v/>
      </c>
      <c r="AZ29" s="90" t="str">
        <f aca="false">IF(AT29="","",ROUND(AT29*(1-Справочники!$B$19),0))</f>
        <v/>
      </c>
      <c r="BA29" s="81"/>
      <c r="BB29" s="81"/>
      <c r="BC29" s="81"/>
      <c r="BD29" s="81"/>
      <c r="BE29" s="91"/>
      <c r="BF29" s="81" t="s">
        <v>103</v>
      </c>
      <c r="BG29" s="89" t="n">
        <f aca="false" t="array" ref="BG29:BG29">IF(BF29="","",IFERROR(INDEX(Справочники!$B$4:$B$7,MATCH(BF29,Справочники!$A$4:$A$7,0)),""))</f>
        <v>68.5</v>
      </c>
      <c r="BH29" s="90" t="str">
        <f aca="false">IF(N(BN29)&gt;0,ROUND(SUMIF(ЗАКАЗЫ!$F$3:$F$500,$A29,ЗАКАЗЫ!$Y$3:$Y$500)/BN29,0),IF(OR(BE29="",BG29=""),"",ROUND(BE29*BG29*(1+Справочники!$B$10),0)))</f>
        <v/>
      </c>
      <c r="BI29" s="92" t="str">
        <f aca="false">IF(OR(AU29="",BH29="",AU29=0),"",(AU29-BH29)/AU29)</f>
        <v/>
      </c>
      <c r="BJ29" s="81"/>
      <c r="BK29" s="83"/>
      <c r="BL29" s="43" t="str">
        <f aca="false">IFERROR(INDEX(ЗАКАЗЫ!$N$3:$N$500,MATCH($A29,ЗАКАЗЫ!$F$3:$F$500,0)),"")</f>
        <v/>
      </c>
      <c r="BM29" s="8" t="str">
        <f aca="false">IF(BL29="","",IFERROR(VLOOKUP(BL29,'ТН ВЭД'!$A$4:$C$40,3,0),""))</f>
        <v/>
      </c>
      <c r="BN29" s="7" t="str">
        <f aca="false">IF(COUNTIF(ЗАКАЗЫ!$F$3:$F$500,$A29)=0,"",SUMIF(ЗАКАЗЫ!$F$3:$F$500,$A29,ЗАКАЗЫ!$J$3:$J$500))</f>
        <v/>
      </c>
      <c r="BO29" s="7" t="str">
        <f aca="false">IF(BN29="","",SUMIF(ЗАКАЗЫ!$F$3:$F$500,$A29,ЗАКАЗЫ!$AL$3:$AL$500))</f>
        <v/>
      </c>
      <c r="BP29" s="7" t="str">
        <f aca="false">IF(BN29="","",BN29-BO29)</f>
        <v/>
      </c>
      <c r="BQ29" s="55" t="str">
        <f aca="false">IF(BN29="","",IF(BO29&gt;=BN29,"На складе",IF(BO29&gt;0,"Частично","Ждём")))</f>
        <v/>
      </c>
      <c r="BR29" s="43"/>
      <c r="BS29" s="47" t="str">
        <f aca="false">IF(BN29="","",IF(_xlfn.MAXIFS(ЗАКАЗЫ!$AK$3:$AK$500,ЗАКАЗЫ!$F$3:$F$500,$A29)=0,"",_xlfn.MAXIFS(ЗАКАЗЫ!$AK$3:$AK$500,ЗАКАЗЫ!$F$3:$F$500,$A29)))</f>
        <v/>
      </c>
    </row>
    <row r="30" customFormat="false" ht="15.75" hidden="false" customHeight="true" outlineLevel="0" collapsed="false">
      <c r="A30" s="80" t="s">
        <v>1897</v>
      </c>
      <c r="B30" s="81"/>
      <c r="C30" s="81"/>
      <c r="D30" s="81"/>
      <c r="E30" s="83"/>
      <c r="F30" s="81"/>
      <c r="G30" s="83"/>
      <c r="H30" s="83"/>
      <c r="I30" s="84" t="str">
        <f aca="false">IF(E30="","",A30&amp;"_1.jpg")</f>
        <v/>
      </c>
      <c r="J30" s="84" t="str">
        <f aca="false">IF(E30="","",A30&amp;"_2.jpg; "&amp;A30&amp;"_3.jpg")</f>
        <v/>
      </c>
      <c r="K30" s="84" t="str">
        <f aca="false">IF(E30="","",A30&amp;"_schema.jpg")</f>
        <v/>
      </c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 t="s">
        <v>96</v>
      </c>
      <c r="W30" s="81"/>
      <c r="X30" s="81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6" t="str">
        <f aca="false">IF(SUM(Y30:AJ30)=0,"",SUM(Y30:AJ30))</f>
        <v/>
      </c>
      <c r="AL30" s="84" t="str">
        <f aca="false">MID(IF(N(Y30)&gt;0,", "&amp;Y$2,"")&amp;IF(N(Z30)&gt;0,", "&amp;Z$2,"")&amp;IF(N(AA30)&gt;0,", "&amp;AA$2,"")&amp;IF(N(AB30)&gt;0,", "&amp;AB$2,"")&amp;IF(N(AC30)&gt;0,", "&amp;AC$2,"")&amp;IF(N(AD30)&gt;0,", "&amp;AD$2,"")&amp;IF(N(AE30)&gt;0,", "&amp;AE$2,"")&amp;IF(N(AF30)&gt;0,", "&amp;AF$2,"")&amp;IF(N(AG30)&gt;0,", "&amp;AG$2,"")&amp;IF(N(AH30)&gt;0,", "&amp;AH$2,"")&amp;IF(N(AI30)&gt;0,", "&amp;AI$2,"")&amp;IF(N(AJ30)&gt;0,", "&amp;AJ$2,""),3,999)</f>
        <v/>
      </c>
      <c r="AM30" s="87" t="str">
        <f aca="false">IF(E30="","",MID(IF(N(Y30)&gt;0,", "&amp;A30&amp;"-"&amp;Y$2,"")&amp;IF(N(Z30)&gt;0,", "&amp;A30&amp;"-"&amp;Z$2,"")&amp;IF(N(AA30)&gt;0,", "&amp;A30&amp;"-"&amp;AA$2,"")&amp;IF(N(AB30)&gt;0,", "&amp;A30&amp;"-"&amp;AB$2,"")&amp;IF(N(AC30)&gt;0,", "&amp;A30&amp;"-"&amp;AC$2,"")&amp;IF(N(AD30)&gt;0,", "&amp;A30&amp;"-"&amp;AD$2,"")&amp;IF(N(AE30)&gt;0,", "&amp;A30&amp;"-"&amp;AE$2,"")&amp;IF(N(AF30)&gt;0,", "&amp;A30&amp;"-"&amp;AF$2,"")&amp;IF(N(AG30)&gt;0,", "&amp;A30&amp;"-"&amp;AG$2,"")&amp;IF(N(AH30)&gt;0,", "&amp;A30&amp;"-"&amp;AH$2,"")&amp;IF(N(AI30)&gt;0,", "&amp;A30&amp;"-"&amp;AI$2,"")&amp;IF(N(AJ30)&gt;0,", "&amp;A30&amp;"-"&amp;AJ$2,""),3,999))</f>
        <v/>
      </c>
      <c r="AN30" s="81"/>
      <c r="AO30" s="88"/>
      <c r="AP30" s="89" t="str">
        <f aca="false">IF(AO30="","",ROUND(AO30/(1+Справочники!$B$13),2))</f>
        <v/>
      </c>
      <c r="AQ30" s="90" t="str">
        <f aca="false" t="array" ref="AQ30:AQ30">IF(AP30="","",AP30*INDEX(Справочники!$B$4:$B$7,MATCH("RUB",Справочники!$A$4:$A$7,0)))</f>
        <v/>
      </c>
      <c r="AR30" s="90" t="str">
        <f aca="false">IF(AQ30="","",ROUND(AQ30*(1+Справочники!$B$12),0))</f>
        <v/>
      </c>
      <c r="AS30" s="90" t="str">
        <f aca="false">IF(AR30="","",ROUND(AR30*(1-Справочники!$B$11),0))</f>
        <v/>
      </c>
      <c r="AT30" s="88"/>
      <c r="AU30" s="90" t="str">
        <f aca="false">IF(AT30="","",ROUND(AT30/(1+Справочники!$B$12),0))</f>
        <v/>
      </c>
      <c r="AV30" s="90" t="str">
        <f aca="false">IF(AT30="","",ROUND(AT30*(1-Справочники!$B$15),0))</f>
        <v/>
      </c>
      <c r="AW30" s="90" t="str">
        <f aca="false">IF(AT30="","",ROUND(AT30*(1-Справочники!$B$16),0))</f>
        <v/>
      </c>
      <c r="AX30" s="90" t="str">
        <f aca="false">IF(AT30="","",ROUND(AT30*(1-Справочники!$B$17),0))</f>
        <v/>
      </c>
      <c r="AY30" s="90" t="str">
        <f aca="false">IF(AT30="","",ROUND(AT30*(1-Справочники!$B$18),0))</f>
        <v/>
      </c>
      <c r="AZ30" s="90" t="str">
        <f aca="false">IF(AT30="","",ROUND(AT30*(1-Справочники!$B$19),0))</f>
        <v/>
      </c>
      <c r="BA30" s="81"/>
      <c r="BB30" s="81"/>
      <c r="BC30" s="81"/>
      <c r="BD30" s="81"/>
      <c r="BE30" s="91"/>
      <c r="BF30" s="81" t="s">
        <v>103</v>
      </c>
      <c r="BG30" s="89" t="n">
        <f aca="false" t="array" ref="BG30:BG30">IF(BF30="","",IFERROR(INDEX(Справочники!$B$4:$B$7,MATCH(BF30,Справочники!$A$4:$A$7,0)),""))</f>
        <v>68.5</v>
      </c>
      <c r="BH30" s="90" t="str">
        <f aca="false">IF(N(BN30)&gt;0,ROUND(SUMIF(ЗАКАЗЫ!$F$3:$F$500,$A30,ЗАКАЗЫ!$Y$3:$Y$500)/BN30,0),IF(OR(BE30="",BG30=""),"",ROUND(BE30*BG30*(1+Справочники!$B$10),0)))</f>
        <v/>
      </c>
      <c r="BI30" s="92" t="str">
        <f aca="false">IF(OR(AU30="",BH30="",AU30=0),"",(AU30-BH30)/AU30)</f>
        <v/>
      </c>
      <c r="BJ30" s="81"/>
      <c r="BK30" s="83"/>
      <c r="BL30" s="43" t="str">
        <f aca="false">IFERROR(INDEX(ЗАКАЗЫ!$N$3:$N$500,MATCH($A30,ЗАКАЗЫ!$F$3:$F$500,0)),"")</f>
        <v/>
      </c>
      <c r="BM30" s="8" t="str">
        <f aca="false">IF(BL30="","",IFERROR(VLOOKUP(BL30,'ТН ВЭД'!$A$4:$C$40,3,0),""))</f>
        <v/>
      </c>
      <c r="BN30" s="7" t="str">
        <f aca="false">IF(COUNTIF(ЗАКАЗЫ!$F$3:$F$500,$A30)=0,"",SUMIF(ЗАКАЗЫ!$F$3:$F$500,$A30,ЗАКАЗЫ!$J$3:$J$500))</f>
        <v/>
      </c>
      <c r="BO30" s="7" t="str">
        <f aca="false">IF(BN30="","",SUMIF(ЗАКАЗЫ!$F$3:$F$500,$A30,ЗАКАЗЫ!$AL$3:$AL$500))</f>
        <v/>
      </c>
      <c r="BP30" s="7" t="str">
        <f aca="false">IF(BN30="","",BN30-BO30)</f>
        <v/>
      </c>
      <c r="BQ30" s="55" t="str">
        <f aca="false">IF(BN30="","",IF(BO30&gt;=BN30,"На складе",IF(BO30&gt;0,"Частично","Ждём")))</f>
        <v/>
      </c>
      <c r="BR30" s="43"/>
      <c r="BS30" s="47" t="str">
        <f aca="false">IF(BN30="","",IF(_xlfn.MAXIFS(ЗАКАЗЫ!$AK$3:$AK$500,ЗАКАЗЫ!$F$3:$F$500,$A30)=0,"",_xlfn.MAXIFS(ЗАКАЗЫ!$AK$3:$AK$500,ЗАКАЗЫ!$F$3:$F$500,$A30)))</f>
        <v/>
      </c>
    </row>
    <row r="31" customFormat="false" ht="15.75" hidden="false" customHeight="true" outlineLevel="0" collapsed="false">
      <c r="A31" s="80" t="s">
        <v>1898</v>
      </c>
      <c r="B31" s="81"/>
      <c r="C31" s="81"/>
      <c r="D31" s="81"/>
      <c r="E31" s="83"/>
      <c r="F31" s="81"/>
      <c r="G31" s="83"/>
      <c r="H31" s="83"/>
      <c r="I31" s="84" t="str">
        <f aca="false">IF(E31="","",A31&amp;"_1.jpg")</f>
        <v/>
      </c>
      <c r="J31" s="84" t="str">
        <f aca="false">IF(E31="","",A31&amp;"_2.jpg; "&amp;A31&amp;"_3.jpg")</f>
        <v/>
      </c>
      <c r="K31" s="84" t="str">
        <f aca="false">IF(E31="","",A31&amp;"_schema.jpg")</f>
        <v/>
      </c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 t="s">
        <v>96</v>
      </c>
      <c r="W31" s="81"/>
      <c r="X31" s="81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6" t="str">
        <f aca="false">IF(SUM(Y31:AJ31)=0,"",SUM(Y31:AJ31))</f>
        <v/>
      </c>
      <c r="AL31" s="84" t="str">
        <f aca="false">MID(IF(N(Y31)&gt;0,", "&amp;Y$2,"")&amp;IF(N(Z31)&gt;0,", "&amp;Z$2,"")&amp;IF(N(AA31)&gt;0,", "&amp;AA$2,"")&amp;IF(N(AB31)&gt;0,", "&amp;AB$2,"")&amp;IF(N(AC31)&gt;0,", "&amp;AC$2,"")&amp;IF(N(AD31)&gt;0,", "&amp;AD$2,"")&amp;IF(N(AE31)&gt;0,", "&amp;AE$2,"")&amp;IF(N(AF31)&gt;0,", "&amp;AF$2,"")&amp;IF(N(AG31)&gt;0,", "&amp;AG$2,"")&amp;IF(N(AH31)&gt;0,", "&amp;AH$2,"")&amp;IF(N(AI31)&gt;0,", "&amp;AI$2,"")&amp;IF(N(AJ31)&gt;0,", "&amp;AJ$2,""),3,999)</f>
        <v/>
      </c>
      <c r="AM31" s="87" t="str">
        <f aca="false">IF(E31="","",MID(IF(N(Y31)&gt;0,", "&amp;A31&amp;"-"&amp;Y$2,"")&amp;IF(N(Z31)&gt;0,", "&amp;A31&amp;"-"&amp;Z$2,"")&amp;IF(N(AA31)&gt;0,", "&amp;A31&amp;"-"&amp;AA$2,"")&amp;IF(N(AB31)&gt;0,", "&amp;A31&amp;"-"&amp;AB$2,"")&amp;IF(N(AC31)&gt;0,", "&amp;A31&amp;"-"&amp;AC$2,"")&amp;IF(N(AD31)&gt;0,", "&amp;A31&amp;"-"&amp;AD$2,"")&amp;IF(N(AE31)&gt;0,", "&amp;A31&amp;"-"&amp;AE$2,"")&amp;IF(N(AF31)&gt;0,", "&amp;A31&amp;"-"&amp;AF$2,"")&amp;IF(N(AG31)&gt;0,", "&amp;A31&amp;"-"&amp;AG$2,"")&amp;IF(N(AH31)&gt;0,", "&amp;A31&amp;"-"&amp;AH$2,"")&amp;IF(N(AI31)&gt;0,", "&amp;A31&amp;"-"&amp;AI$2,"")&amp;IF(N(AJ31)&gt;0,", "&amp;A31&amp;"-"&amp;AJ$2,""),3,999))</f>
        <v/>
      </c>
      <c r="AN31" s="81"/>
      <c r="AO31" s="88"/>
      <c r="AP31" s="89" t="str">
        <f aca="false">IF(AO31="","",ROUND(AO31/(1+Справочники!$B$13),2))</f>
        <v/>
      </c>
      <c r="AQ31" s="90" t="str">
        <f aca="false" t="array" ref="AQ31:AQ31">IF(AP31="","",AP31*INDEX(Справочники!$B$4:$B$7,MATCH("RUB",Справочники!$A$4:$A$7,0)))</f>
        <v/>
      </c>
      <c r="AR31" s="90" t="str">
        <f aca="false">IF(AQ31="","",ROUND(AQ31*(1+Справочники!$B$12),0))</f>
        <v/>
      </c>
      <c r="AS31" s="90" t="str">
        <f aca="false">IF(AR31="","",ROUND(AR31*(1-Справочники!$B$11),0))</f>
        <v/>
      </c>
      <c r="AT31" s="88"/>
      <c r="AU31" s="90" t="str">
        <f aca="false">IF(AT31="","",ROUND(AT31/(1+Справочники!$B$12),0))</f>
        <v/>
      </c>
      <c r="AV31" s="90" t="str">
        <f aca="false">IF(AT31="","",ROUND(AT31*(1-Справочники!$B$15),0))</f>
        <v/>
      </c>
      <c r="AW31" s="90" t="str">
        <f aca="false">IF(AT31="","",ROUND(AT31*(1-Справочники!$B$16),0))</f>
        <v/>
      </c>
      <c r="AX31" s="90" t="str">
        <f aca="false">IF(AT31="","",ROUND(AT31*(1-Справочники!$B$17),0))</f>
        <v/>
      </c>
      <c r="AY31" s="90" t="str">
        <f aca="false">IF(AT31="","",ROUND(AT31*(1-Справочники!$B$18),0))</f>
        <v/>
      </c>
      <c r="AZ31" s="90" t="str">
        <f aca="false">IF(AT31="","",ROUND(AT31*(1-Справочники!$B$19),0))</f>
        <v/>
      </c>
      <c r="BA31" s="81"/>
      <c r="BB31" s="81"/>
      <c r="BC31" s="81"/>
      <c r="BD31" s="81"/>
      <c r="BE31" s="91"/>
      <c r="BF31" s="81" t="s">
        <v>103</v>
      </c>
      <c r="BG31" s="89" t="n">
        <f aca="false" t="array" ref="BG31:BG31">IF(BF31="","",IFERROR(INDEX(Справочники!$B$4:$B$7,MATCH(BF31,Справочники!$A$4:$A$7,0)),""))</f>
        <v>68.5</v>
      </c>
      <c r="BH31" s="90" t="str">
        <f aca="false">IF(N(BN31)&gt;0,ROUND(SUMIF(ЗАКАЗЫ!$F$3:$F$500,$A31,ЗАКАЗЫ!$Y$3:$Y$500)/BN31,0),IF(OR(BE31="",BG31=""),"",ROUND(BE31*BG31*(1+Справочники!$B$10),0)))</f>
        <v/>
      </c>
      <c r="BI31" s="92" t="str">
        <f aca="false">IF(OR(AU31="",BH31="",AU31=0),"",(AU31-BH31)/AU31)</f>
        <v/>
      </c>
      <c r="BJ31" s="81"/>
      <c r="BK31" s="83"/>
      <c r="BL31" s="43" t="str">
        <f aca="false">IFERROR(INDEX(ЗАКАЗЫ!$N$3:$N$500,MATCH($A31,ЗАКАЗЫ!$F$3:$F$500,0)),"")</f>
        <v/>
      </c>
      <c r="BM31" s="8" t="str">
        <f aca="false">IF(BL31="","",IFERROR(VLOOKUP(BL31,'ТН ВЭД'!$A$4:$C$40,3,0),""))</f>
        <v/>
      </c>
      <c r="BN31" s="7" t="str">
        <f aca="false">IF(COUNTIF(ЗАКАЗЫ!$F$3:$F$500,$A31)=0,"",SUMIF(ЗАКАЗЫ!$F$3:$F$500,$A31,ЗАКАЗЫ!$J$3:$J$500))</f>
        <v/>
      </c>
      <c r="BO31" s="7" t="str">
        <f aca="false">IF(BN31="","",SUMIF(ЗАКАЗЫ!$F$3:$F$500,$A31,ЗАКАЗЫ!$AL$3:$AL$500))</f>
        <v/>
      </c>
      <c r="BP31" s="7" t="str">
        <f aca="false">IF(BN31="","",BN31-BO31)</f>
        <v/>
      </c>
      <c r="BQ31" s="55" t="str">
        <f aca="false">IF(BN31="","",IF(BO31&gt;=BN31,"На складе",IF(BO31&gt;0,"Частично","Ждём")))</f>
        <v/>
      </c>
      <c r="BR31" s="43"/>
      <c r="BS31" s="47" t="str">
        <f aca="false">IF(BN31="","",IF(_xlfn.MAXIFS(ЗАКАЗЫ!$AK$3:$AK$500,ЗАКАЗЫ!$F$3:$F$500,$A31)=0,"",_xlfn.MAXIFS(ЗАКАЗЫ!$AK$3:$AK$500,ЗАКАЗЫ!$F$3:$F$500,$A31)))</f>
        <v/>
      </c>
    </row>
    <row r="32" customFormat="false" ht="15.75" hidden="false" customHeight="true" outlineLevel="0" collapsed="false">
      <c r="A32" s="80" t="s">
        <v>1899</v>
      </c>
      <c r="B32" s="81"/>
      <c r="C32" s="81"/>
      <c r="D32" s="81"/>
      <c r="E32" s="83"/>
      <c r="F32" s="81"/>
      <c r="G32" s="83"/>
      <c r="H32" s="83"/>
      <c r="I32" s="84" t="str">
        <f aca="false">IF(E32="","",A32&amp;"_1.jpg")</f>
        <v/>
      </c>
      <c r="J32" s="84" t="str">
        <f aca="false">IF(E32="","",A32&amp;"_2.jpg; "&amp;A32&amp;"_3.jpg")</f>
        <v/>
      </c>
      <c r="K32" s="84" t="str">
        <f aca="false">IF(E32="","",A32&amp;"_schema.jpg")</f>
        <v/>
      </c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 t="s">
        <v>96</v>
      </c>
      <c r="W32" s="81"/>
      <c r="X32" s="81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6" t="str">
        <f aca="false">IF(SUM(Y32:AJ32)=0,"",SUM(Y32:AJ32))</f>
        <v/>
      </c>
      <c r="AL32" s="84" t="str">
        <f aca="false">MID(IF(N(Y32)&gt;0,", "&amp;Y$2,"")&amp;IF(N(Z32)&gt;0,", "&amp;Z$2,"")&amp;IF(N(AA32)&gt;0,", "&amp;AA$2,"")&amp;IF(N(AB32)&gt;0,", "&amp;AB$2,"")&amp;IF(N(AC32)&gt;0,", "&amp;AC$2,"")&amp;IF(N(AD32)&gt;0,", "&amp;AD$2,"")&amp;IF(N(AE32)&gt;0,", "&amp;AE$2,"")&amp;IF(N(AF32)&gt;0,", "&amp;AF$2,"")&amp;IF(N(AG32)&gt;0,", "&amp;AG$2,"")&amp;IF(N(AH32)&gt;0,", "&amp;AH$2,"")&amp;IF(N(AI32)&gt;0,", "&amp;AI$2,"")&amp;IF(N(AJ32)&gt;0,", "&amp;AJ$2,""),3,999)</f>
        <v/>
      </c>
      <c r="AM32" s="87" t="str">
        <f aca="false">IF(E32="","",MID(IF(N(Y32)&gt;0,", "&amp;A32&amp;"-"&amp;Y$2,"")&amp;IF(N(Z32)&gt;0,", "&amp;A32&amp;"-"&amp;Z$2,"")&amp;IF(N(AA32)&gt;0,", "&amp;A32&amp;"-"&amp;AA$2,"")&amp;IF(N(AB32)&gt;0,", "&amp;A32&amp;"-"&amp;AB$2,"")&amp;IF(N(AC32)&gt;0,", "&amp;A32&amp;"-"&amp;AC$2,"")&amp;IF(N(AD32)&gt;0,", "&amp;A32&amp;"-"&amp;AD$2,"")&amp;IF(N(AE32)&gt;0,", "&amp;A32&amp;"-"&amp;AE$2,"")&amp;IF(N(AF32)&gt;0,", "&amp;A32&amp;"-"&amp;AF$2,"")&amp;IF(N(AG32)&gt;0,", "&amp;A32&amp;"-"&amp;AG$2,"")&amp;IF(N(AH32)&gt;0,", "&amp;A32&amp;"-"&amp;AH$2,"")&amp;IF(N(AI32)&gt;0,", "&amp;A32&amp;"-"&amp;AI$2,"")&amp;IF(N(AJ32)&gt;0,", "&amp;A32&amp;"-"&amp;AJ$2,""),3,999))</f>
        <v/>
      </c>
      <c r="AN32" s="81"/>
      <c r="AO32" s="88"/>
      <c r="AP32" s="89" t="str">
        <f aca="false">IF(AO32="","",ROUND(AO32/(1+Справочники!$B$13),2))</f>
        <v/>
      </c>
      <c r="AQ32" s="90" t="str">
        <f aca="false" t="array" ref="AQ32:AQ32">IF(AP32="","",AP32*INDEX(Справочники!$B$4:$B$7,MATCH("RUB",Справочники!$A$4:$A$7,0)))</f>
        <v/>
      </c>
      <c r="AR32" s="90" t="str">
        <f aca="false">IF(AQ32="","",ROUND(AQ32*(1+Справочники!$B$12),0))</f>
        <v/>
      </c>
      <c r="AS32" s="90" t="str">
        <f aca="false">IF(AR32="","",ROUND(AR32*(1-Справочники!$B$11),0))</f>
        <v/>
      </c>
      <c r="AT32" s="88"/>
      <c r="AU32" s="90" t="str">
        <f aca="false">IF(AT32="","",ROUND(AT32/(1+Справочники!$B$12),0))</f>
        <v/>
      </c>
      <c r="AV32" s="90" t="str">
        <f aca="false">IF(AT32="","",ROUND(AT32*(1-Справочники!$B$15),0))</f>
        <v/>
      </c>
      <c r="AW32" s="90" t="str">
        <f aca="false">IF(AT32="","",ROUND(AT32*(1-Справочники!$B$16),0))</f>
        <v/>
      </c>
      <c r="AX32" s="90" t="str">
        <f aca="false">IF(AT32="","",ROUND(AT32*(1-Справочники!$B$17),0))</f>
        <v/>
      </c>
      <c r="AY32" s="90" t="str">
        <f aca="false">IF(AT32="","",ROUND(AT32*(1-Справочники!$B$18),0))</f>
        <v/>
      </c>
      <c r="AZ32" s="90" t="str">
        <f aca="false">IF(AT32="","",ROUND(AT32*(1-Справочники!$B$19),0))</f>
        <v/>
      </c>
      <c r="BA32" s="81"/>
      <c r="BB32" s="81"/>
      <c r="BC32" s="81"/>
      <c r="BD32" s="81"/>
      <c r="BE32" s="91"/>
      <c r="BF32" s="81" t="s">
        <v>103</v>
      </c>
      <c r="BG32" s="89" t="n">
        <f aca="false" t="array" ref="BG32:BG32">IF(BF32="","",IFERROR(INDEX(Справочники!$B$4:$B$7,MATCH(BF32,Справочники!$A$4:$A$7,0)),""))</f>
        <v>68.5</v>
      </c>
      <c r="BH32" s="90" t="str">
        <f aca="false">IF(N(BN32)&gt;0,ROUND(SUMIF(ЗАКАЗЫ!$F$3:$F$500,$A32,ЗАКАЗЫ!$Y$3:$Y$500)/BN32,0),IF(OR(BE32="",BG32=""),"",ROUND(BE32*BG32*(1+Справочники!$B$10),0)))</f>
        <v/>
      </c>
      <c r="BI32" s="92" t="str">
        <f aca="false">IF(OR(AU32="",BH32="",AU32=0),"",(AU32-BH32)/AU32)</f>
        <v/>
      </c>
      <c r="BJ32" s="81"/>
      <c r="BK32" s="83"/>
      <c r="BL32" s="43" t="str">
        <f aca="false">IFERROR(INDEX(ЗАКАЗЫ!$N$3:$N$500,MATCH($A32,ЗАКАЗЫ!$F$3:$F$500,0)),"")</f>
        <v/>
      </c>
      <c r="BM32" s="8" t="str">
        <f aca="false">IF(BL32="","",IFERROR(VLOOKUP(BL32,'ТН ВЭД'!$A$4:$C$40,3,0),""))</f>
        <v/>
      </c>
      <c r="BN32" s="7" t="str">
        <f aca="false">IF(COUNTIF(ЗАКАЗЫ!$F$3:$F$500,$A32)=0,"",SUMIF(ЗАКАЗЫ!$F$3:$F$500,$A32,ЗАКАЗЫ!$J$3:$J$500))</f>
        <v/>
      </c>
      <c r="BO32" s="7" t="str">
        <f aca="false">IF(BN32="","",SUMIF(ЗАКАЗЫ!$F$3:$F$500,$A32,ЗАКАЗЫ!$AL$3:$AL$500))</f>
        <v/>
      </c>
      <c r="BP32" s="7" t="str">
        <f aca="false">IF(BN32="","",BN32-BO32)</f>
        <v/>
      </c>
      <c r="BQ32" s="55" t="str">
        <f aca="false">IF(BN32="","",IF(BO32&gt;=BN32,"На складе",IF(BO32&gt;0,"Частично","Ждём")))</f>
        <v/>
      </c>
      <c r="BR32" s="43"/>
      <c r="BS32" s="47" t="str">
        <f aca="false">IF(BN32="","",IF(_xlfn.MAXIFS(ЗАКАЗЫ!$AK$3:$AK$500,ЗАКАЗЫ!$F$3:$F$500,$A32)=0,"",_xlfn.MAXIFS(ЗАКАЗЫ!$AK$3:$AK$500,ЗАКАЗЫ!$F$3:$F$500,$A32)))</f>
        <v/>
      </c>
    </row>
    <row r="33" customFormat="false" ht="15.75" hidden="false" customHeight="true" outlineLevel="0" collapsed="false">
      <c r="A33" s="80" t="s">
        <v>1900</v>
      </c>
      <c r="B33" s="81"/>
      <c r="C33" s="81"/>
      <c r="D33" s="81"/>
      <c r="E33" s="83"/>
      <c r="F33" s="81"/>
      <c r="G33" s="83"/>
      <c r="H33" s="83"/>
      <c r="I33" s="84" t="str">
        <f aca="false">IF(E33="","",A33&amp;"_1.jpg")</f>
        <v/>
      </c>
      <c r="J33" s="84" t="str">
        <f aca="false">IF(E33="","",A33&amp;"_2.jpg; "&amp;A33&amp;"_3.jpg")</f>
        <v/>
      </c>
      <c r="K33" s="84" t="str">
        <f aca="false">IF(E33="","",A33&amp;"_schema.jpg")</f>
        <v/>
      </c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 t="s">
        <v>96</v>
      </c>
      <c r="W33" s="81"/>
      <c r="X33" s="81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6" t="str">
        <f aca="false">IF(SUM(Y33:AJ33)=0,"",SUM(Y33:AJ33))</f>
        <v/>
      </c>
      <c r="AL33" s="84" t="str">
        <f aca="false">MID(IF(N(Y33)&gt;0,", "&amp;Y$2,"")&amp;IF(N(Z33)&gt;0,", "&amp;Z$2,"")&amp;IF(N(AA33)&gt;0,", "&amp;AA$2,"")&amp;IF(N(AB33)&gt;0,", "&amp;AB$2,"")&amp;IF(N(AC33)&gt;0,", "&amp;AC$2,"")&amp;IF(N(AD33)&gt;0,", "&amp;AD$2,"")&amp;IF(N(AE33)&gt;0,", "&amp;AE$2,"")&amp;IF(N(AF33)&gt;0,", "&amp;AF$2,"")&amp;IF(N(AG33)&gt;0,", "&amp;AG$2,"")&amp;IF(N(AH33)&gt;0,", "&amp;AH$2,"")&amp;IF(N(AI33)&gt;0,", "&amp;AI$2,"")&amp;IF(N(AJ33)&gt;0,", "&amp;AJ$2,""),3,999)</f>
        <v/>
      </c>
      <c r="AM33" s="87" t="str">
        <f aca="false">IF(E33="","",MID(IF(N(Y33)&gt;0,", "&amp;A33&amp;"-"&amp;Y$2,"")&amp;IF(N(Z33)&gt;0,", "&amp;A33&amp;"-"&amp;Z$2,"")&amp;IF(N(AA33)&gt;0,", "&amp;A33&amp;"-"&amp;AA$2,"")&amp;IF(N(AB33)&gt;0,", "&amp;A33&amp;"-"&amp;AB$2,"")&amp;IF(N(AC33)&gt;0,", "&amp;A33&amp;"-"&amp;AC$2,"")&amp;IF(N(AD33)&gt;0,", "&amp;A33&amp;"-"&amp;AD$2,"")&amp;IF(N(AE33)&gt;0,", "&amp;A33&amp;"-"&amp;AE$2,"")&amp;IF(N(AF33)&gt;0,", "&amp;A33&amp;"-"&amp;AF$2,"")&amp;IF(N(AG33)&gt;0,", "&amp;A33&amp;"-"&amp;AG$2,"")&amp;IF(N(AH33)&gt;0,", "&amp;A33&amp;"-"&amp;AH$2,"")&amp;IF(N(AI33)&gt;0,", "&amp;A33&amp;"-"&amp;AI$2,"")&amp;IF(N(AJ33)&gt;0,", "&amp;A33&amp;"-"&amp;AJ$2,""),3,999))</f>
        <v/>
      </c>
      <c r="AN33" s="81"/>
      <c r="AO33" s="88"/>
      <c r="AP33" s="89" t="str">
        <f aca="false">IF(AO33="","",ROUND(AO33/(1+Справочники!$B$13),2))</f>
        <v/>
      </c>
      <c r="AQ33" s="90" t="str">
        <f aca="false" t="array" ref="AQ33:AQ33">IF(AP33="","",AP33*INDEX(Справочники!$B$4:$B$7,MATCH("RUB",Справочники!$A$4:$A$7,0)))</f>
        <v/>
      </c>
      <c r="AR33" s="90" t="str">
        <f aca="false">IF(AQ33="","",ROUND(AQ33*(1+Справочники!$B$12),0))</f>
        <v/>
      </c>
      <c r="AS33" s="90" t="str">
        <f aca="false">IF(AR33="","",ROUND(AR33*(1-Справочники!$B$11),0))</f>
        <v/>
      </c>
      <c r="AT33" s="88"/>
      <c r="AU33" s="90" t="str">
        <f aca="false">IF(AT33="","",ROUND(AT33/(1+Справочники!$B$12),0))</f>
        <v/>
      </c>
      <c r="AV33" s="90" t="str">
        <f aca="false">IF(AT33="","",ROUND(AT33*(1-Справочники!$B$15),0))</f>
        <v/>
      </c>
      <c r="AW33" s="90" t="str">
        <f aca="false">IF(AT33="","",ROUND(AT33*(1-Справочники!$B$16),0))</f>
        <v/>
      </c>
      <c r="AX33" s="90" t="str">
        <f aca="false">IF(AT33="","",ROUND(AT33*(1-Справочники!$B$17),0))</f>
        <v/>
      </c>
      <c r="AY33" s="90" t="str">
        <f aca="false">IF(AT33="","",ROUND(AT33*(1-Справочники!$B$18),0))</f>
        <v/>
      </c>
      <c r="AZ33" s="90" t="str">
        <f aca="false">IF(AT33="","",ROUND(AT33*(1-Справочники!$B$19),0))</f>
        <v/>
      </c>
      <c r="BA33" s="81"/>
      <c r="BB33" s="81"/>
      <c r="BC33" s="81"/>
      <c r="BD33" s="81"/>
      <c r="BE33" s="91"/>
      <c r="BF33" s="81" t="s">
        <v>103</v>
      </c>
      <c r="BG33" s="89" t="n">
        <f aca="false" t="array" ref="BG33:BG33">IF(BF33="","",IFERROR(INDEX(Справочники!$B$4:$B$7,MATCH(BF33,Справочники!$A$4:$A$7,0)),""))</f>
        <v>68.5</v>
      </c>
      <c r="BH33" s="90" t="str">
        <f aca="false">IF(N(BN33)&gt;0,ROUND(SUMIF(ЗАКАЗЫ!$F$3:$F$500,$A33,ЗАКАЗЫ!$Y$3:$Y$500)/BN33,0),IF(OR(BE33="",BG33=""),"",ROUND(BE33*BG33*(1+Справочники!$B$10),0)))</f>
        <v/>
      </c>
      <c r="BI33" s="92" t="str">
        <f aca="false">IF(OR(AU33="",BH33="",AU33=0),"",(AU33-BH33)/AU33)</f>
        <v/>
      </c>
      <c r="BJ33" s="81"/>
      <c r="BK33" s="83"/>
      <c r="BL33" s="43" t="str">
        <f aca="false">IFERROR(INDEX(ЗАКАЗЫ!$N$3:$N$500,MATCH($A33,ЗАКАЗЫ!$F$3:$F$500,0)),"")</f>
        <v/>
      </c>
      <c r="BM33" s="8" t="str">
        <f aca="false">IF(BL33="","",IFERROR(VLOOKUP(BL33,'ТН ВЭД'!$A$4:$C$40,3,0),""))</f>
        <v/>
      </c>
      <c r="BN33" s="7" t="str">
        <f aca="false">IF(COUNTIF(ЗАКАЗЫ!$F$3:$F$500,$A33)=0,"",SUMIF(ЗАКАЗЫ!$F$3:$F$500,$A33,ЗАКАЗЫ!$J$3:$J$500))</f>
        <v/>
      </c>
      <c r="BO33" s="7" t="str">
        <f aca="false">IF(BN33="","",SUMIF(ЗАКАЗЫ!$F$3:$F$500,$A33,ЗАКАЗЫ!$AL$3:$AL$500))</f>
        <v/>
      </c>
      <c r="BP33" s="7" t="str">
        <f aca="false">IF(BN33="","",BN33-BO33)</f>
        <v/>
      </c>
      <c r="BQ33" s="55" t="str">
        <f aca="false">IF(BN33="","",IF(BO33&gt;=BN33,"На складе",IF(BO33&gt;0,"Частично","Ждём")))</f>
        <v/>
      </c>
      <c r="BR33" s="43"/>
      <c r="BS33" s="47" t="str">
        <f aca="false">IF(BN33="","",IF(_xlfn.MAXIFS(ЗАКАЗЫ!$AK$3:$AK$500,ЗАКАЗЫ!$F$3:$F$500,$A33)=0,"",_xlfn.MAXIFS(ЗАКАЗЫ!$AK$3:$AK$500,ЗАКАЗЫ!$F$3:$F$500,$A33)))</f>
        <v/>
      </c>
    </row>
    <row r="34" customFormat="false" ht="15.75" hidden="false" customHeight="true" outlineLevel="0" collapsed="false">
      <c r="A34" s="80" t="s">
        <v>1901</v>
      </c>
      <c r="B34" s="81"/>
      <c r="C34" s="81"/>
      <c r="D34" s="81"/>
      <c r="E34" s="83"/>
      <c r="F34" s="81"/>
      <c r="G34" s="83"/>
      <c r="H34" s="83"/>
      <c r="I34" s="84" t="str">
        <f aca="false">IF(E34="","",A34&amp;"_1.jpg")</f>
        <v/>
      </c>
      <c r="J34" s="84" t="str">
        <f aca="false">IF(E34="","",A34&amp;"_2.jpg; "&amp;A34&amp;"_3.jpg")</f>
        <v/>
      </c>
      <c r="K34" s="84" t="str">
        <f aca="false">IF(E34="","",A34&amp;"_schema.jpg")</f>
        <v/>
      </c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 t="s">
        <v>96</v>
      </c>
      <c r="W34" s="81"/>
      <c r="X34" s="81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6" t="str">
        <f aca="false">IF(SUM(Y34:AJ34)=0,"",SUM(Y34:AJ34))</f>
        <v/>
      </c>
      <c r="AL34" s="84" t="str">
        <f aca="false">MID(IF(N(Y34)&gt;0,", "&amp;Y$2,"")&amp;IF(N(Z34)&gt;0,", "&amp;Z$2,"")&amp;IF(N(AA34)&gt;0,", "&amp;AA$2,"")&amp;IF(N(AB34)&gt;0,", "&amp;AB$2,"")&amp;IF(N(AC34)&gt;0,", "&amp;AC$2,"")&amp;IF(N(AD34)&gt;0,", "&amp;AD$2,"")&amp;IF(N(AE34)&gt;0,", "&amp;AE$2,"")&amp;IF(N(AF34)&gt;0,", "&amp;AF$2,"")&amp;IF(N(AG34)&gt;0,", "&amp;AG$2,"")&amp;IF(N(AH34)&gt;0,", "&amp;AH$2,"")&amp;IF(N(AI34)&gt;0,", "&amp;AI$2,"")&amp;IF(N(AJ34)&gt;0,", "&amp;AJ$2,""),3,999)</f>
        <v/>
      </c>
      <c r="AM34" s="87" t="str">
        <f aca="false">IF(E34="","",MID(IF(N(Y34)&gt;0,", "&amp;A34&amp;"-"&amp;Y$2,"")&amp;IF(N(Z34)&gt;0,", "&amp;A34&amp;"-"&amp;Z$2,"")&amp;IF(N(AA34)&gt;0,", "&amp;A34&amp;"-"&amp;AA$2,"")&amp;IF(N(AB34)&gt;0,", "&amp;A34&amp;"-"&amp;AB$2,"")&amp;IF(N(AC34)&gt;0,", "&amp;A34&amp;"-"&amp;AC$2,"")&amp;IF(N(AD34)&gt;0,", "&amp;A34&amp;"-"&amp;AD$2,"")&amp;IF(N(AE34)&gt;0,", "&amp;A34&amp;"-"&amp;AE$2,"")&amp;IF(N(AF34)&gt;0,", "&amp;A34&amp;"-"&amp;AF$2,"")&amp;IF(N(AG34)&gt;0,", "&amp;A34&amp;"-"&amp;AG$2,"")&amp;IF(N(AH34)&gt;0,", "&amp;A34&amp;"-"&amp;AH$2,"")&amp;IF(N(AI34)&gt;0,", "&amp;A34&amp;"-"&amp;AI$2,"")&amp;IF(N(AJ34)&gt;0,", "&amp;A34&amp;"-"&amp;AJ$2,""),3,999))</f>
        <v/>
      </c>
      <c r="AN34" s="81"/>
      <c r="AO34" s="88"/>
      <c r="AP34" s="89" t="str">
        <f aca="false">IF(AO34="","",ROUND(AO34/(1+Справочники!$B$13),2))</f>
        <v/>
      </c>
      <c r="AQ34" s="90" t="str">
        <f aca="false" t="array" ref="AQ34:AQ34">IF(AP34="","",AP34*INDEX(Справочники!$B$4:$B$7,MATCH("RUB",Справочники!$A$4:$A$7,0)))</f>
        <v/>
      </c>
      <c r="AR34" s="90" t="str">
        <f aca="false">IF(AQ34="","",ROUND(AQ34*(1+Справочники!$B$12),0))</f>
        <v/>
      </c>
      <c r="AS34" s="90" t="str">
        <f aca="false">IF(AR34="","",ROUND(AR34*(1-Справочники!$B$11),0))</f>
        <v/>
      </c>
      <c r="AT34" s="88"/>
      <c r="AU34" s="90" t="str">
        <f aca="false">IF(AT34="","",ROUND(AT34/(1+Справочники!$B$12),0))</f>
        <v/>
      </c>
      <c r="AV34" s="90" t="str">
        <f aca="false">IF(AT34="","",ROUND(AT34*(1-Справочники!$B$15),0))</f>
        <v/>
      </c>
      <c r="AW34" s="90" t="str">
        <f aca="false">IF(AT34="","",ROUND(AT34*(1-Справочники!$B$16),0))</f>
        <v/>
      </c>
      <c r="AX34" s="90" t="str">
        <f aca="false">IF(AT34="","",ROUND(AT34*(1-Справочники!$B$17),0))</f>
        <v/>
      </c>
      <c r="AY34" s="90" t="str">
        <f aca="false">IF(AT34="","",ROUND(AT34*(1-Справочники!$B$18),0))</f>
        <v/>
      </c>
      <c r="AZ34" s="90" t="str">
        <f aca="false">IF(AT34="","",ROUND(AT34*(1-Справочники!$B$19),0))</f>
        <v/>
      </c>
      <c r="BA34" s="81"/>
      <c r="BB34" s="81"/>
      <c r="BC34" s="81"/>
      <c r="BD34" s="81"/>
      <c r="BE34" s="91"/>
      <c r="BF34" s="81" t="s">
        <v>103</v>
      </c>
      <c r="BG34" s="89" t="n">
        <f aca="false" t="array" ref="BG34:BG34">IF(BF34="","",IFERROR(INDEX(Справочники!$B$4:$B$7,MATCH(BF34,Справочники!$A$4:$A$7,0)),""))</f>
        <v>68.5</v>
      </c>
      <c r="BH34" s="90" t="str">
        <f aca="false">IF(N(BN34)&gt;0,ROUND(SUMIF(ЗАКАЗЫ!$F$3:$F$500,$A34,ЗАКАЗЫ!$Y$3:$Y$500)/BN34,0),IF(OR(BE34="",BG34=""),"",ROUND(BE34*BG34*(1+Справочники!$B$10),0)))</f>
        <v/>
      </c>
      <c r="BI34" s="92" t="str">
        <f aca="false">IF(OR(AU34="",BH34="",AU34=0),"",(AU34-BH34)/AU34)</f>
        <v/>
      </c>
      <c r="BJ34" s="81"/>
      <c r="BK34" s="83"/>
      <c r="BL34" s="43" t="str">
        <f aca="false">IFERROR(INDEX(ЗАКАЗЫ!$N$3:$N$500,MATCH($A34,ЗАКАЗЫ!$F$3:$F$500,0)),"")</f>
        <v/>
      </c>
      <c r="BM34" s="8" t="str">
        <f aca="false">IF(BL34="","",IFERROR(VLOOKUP(BL34,'ТН ВЭД'!$A$4:$C$40,3,0),""))</f>
        <v/>
      </c>
      <c r="BN34" s="7" t="str">
        <f aca="false">IF(COUNTIF(ЗАКАЗЫ!$F$3:$F$500,$A34)=0,"",SUMIF(ЗАКАЗЫ!$F$3:$F$500,$A34,ЗАКАЗЫ!$J$3:$J$500))</f>
        <v/>
      </c>
      <c r="BO34" s="7" t="str">
        <f aca="false">IF(BN34="","",SUMIF(ЗАКАЗЫ!$F$3:$F$500,$A34,ЗАКАЗЫ!$AL$3:$AL$500))</f>
        <v/>
      </c>
      <c r="BP34" s="7" t="str">
        <f aca="false">IF(BN34="","",BN34-BO34)</f>
        <v/>
      </c>
      <c r="BQ34" s="55" t="str">
        <f aca="false">IF(BN34="","",IF(BO34&gt;=BN34,"На складе",IF(BO34&gt;0,"Частично","Ждём")))</f>
        <v/>
      </c>
      <c r="BR34" s="43"/>
      <c r="BS34" s="47" t="str">
        <f aca="false">IF(BN34="","",IF(_xlfn.MAXIFS(ЗАКАЗЫ!$AK$3:$AK$500,ЗАКАЗЫ!$F$3:$F$500,$A34)=0,"",_xlfn.MAXIFS(ЗАКАЗЫ!$AK$3:$AK$500,ЗАКАЗЫ!$F$3:$F$500,$A34)))</f>
        <v/>
      </c>
    </row>
    <row r="35" customFormat="false" ht="15.75" hidden="false" customHeight="true" outlineLevel="0" collapsed="false">
      <c r="A35" s="80" t="s">
        <v>1902</v>
      </c>
      <c r="B35" s="81"/>
      <c r="C35" s="81"/>
      <c r="D35" s="81"/>
      <c r="E35" s="83"/>
      <c r="F35" s="81"/>
      <c r="G35" s="83"/>
      <c r="H35" s="83"/>
      <c r="I35" s="84" t="str">
        <f aca="false">IF(E35="","",A35&amp;"_1.jpg")</f>
        <v/>
      </c>
      <c r="J35" s="84" t="str">
        <f aca="false">IF(E35="","",A35&amp;"_2.jpg; "&amp;A35&amp;"_3.jpg")</f>
        <v/>
      </c>
      <c r="K35" s="84" t="str">
        <f aca="false">IF(E35="","",A35&amp;"_schema.jpg")</f>
        <v/>
      </c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 t="s">
        <v>96</v>
      </c>
      <c r="W35" s="81"/>
      <c r="X35" s="81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6" t="str">
        <f aca="false">IF(SUM(Y35:AJ35)=0,"",SUM(Y35:AJ35))</f>
        <v/>
      </c>
      <c r="AL35" s="84" t="str">
        <f aca="false">MID(IF(N(Y35)&gt;0,", "&amp;Y$2,"")&amp;IF(N(Z35)&gt;0,", "&amp;Z$2,"")&amp;IF(N(AA35)&gt;0,", "&amp;AA$2,"")&amp;IF(N(AB35)&gt;0,", "&amp;AB$2,"")&amp;IF(N(AC35)&gt;0,", "&amp;AC$2,"")&amp;IF(N(AD35)&gt;0,", "&amp;AD$2,"")&amp;IF(N(AE35)&gt;0,", "&amp;AE$2,"")&amp;IF(N(AF35)&gt;0,", "&amp;AF$2,"")&amp;IF(N(AG35)&gt;0,", "&amp;AG$2,"")&amp;IF(N(AH35)&gt;0,", "&amp;AH$2,"")&amp;IF(N(AI35)&gt;0,", "&amp;AI$2,"")&amp;IF(N(AJ35)&gt;0,", "&amp;AJ$2,""),3,999)</f>
        <v/>
      </c>
      <c r="AM35" s="87" t="str">
        <f aca="false">IF(E35="","",MID(IF(N(Y35)&gt;0,", "&amp;A35&amp;"-"&amp;Y$2,"")&amp;IF(N(Z35)&gt;0,", "&amp;A35&amp;"-"&amp;Z$2,"")&amp;IF(N(AA35)&gt;0,", "&amp;A35&amp;"-"&amp;AA$2,"")&amp;IF(N(AB35)&gt;0,", "&amp;A35&amp;"-"&amp;AB$2,"")&amp;IF(N(AC35)&gt;0,", "&amp;A35&amp;"-"&amp;AC$2,"")&amp;IF(N(AD35)&gt;0,", "&amp;A35&amp;"-"&amp;AD$2,"")&amp;IF(N(AE35)&gt;0,", "&amp;A35&amp;"-"&amp;AE$2,"")&amp;IF(N(AF35)&gt;0,", "&amp;A35&amp;"-"&amp;AF$2,"")&amp;IF(N(AG35)&gt;0,", "&amp;A35&amp;"-"&amp;AG$2,"")&amp;IF(N(AH35)&gt;0,", "&amp;A35&amp;"-"&amp;AH$2,"")&amp;IF(N(AI35)&gt;0,", "&amp;A35&amp;"-"&amp;AI$2,"")&amp;IF(N(AJ35)&gt;0,", "&amp;A35&amp;"-"&amp;AJ$2,""),3,999))</f>
        <v/>
      </c>
      <c r="AN35" s="81"/>
      <c r="AO35" s="88"/>
      <c r="AP35" s="89" t="str">
        <f aca="false">IF(AO35="","",ROUND(AO35/(1+Справочники!$B$13),2))</f>
        <v/>
      </c>
      <c r="AQ35" s="90" t="str">
        <f aca="false" t="array" ref="AQ35:AQ35">IF(AP35="","",AP35*INDEX(Справочники!$B$4:$B$7,MATCH("RUB",Справочники!$A$4:$A$7,0)))</f>
        <v/>
      </c>
      <c r="AR35" s="90" t="str">
        <f aca="false">IF(AQ35="","",ROUND(AQ35*(1+Справочники!$B$12),0))</f>
        <v/>
      </c>
      <c r="AS35" s="90" t="str">
        <f aca="false">IF(AR35="","",ROUND(AR35*(1-Справочники!$B$11),0))</f>
        <v/>
      </c>
      <c r="AT35" s="88"/>
      <c r="AU35" s="90" t="str">
        <f aca="false">IF(AT35="","",ROUND(AT35/(1+Справочники!$B$12),0))</f>
        <v/>
      </c>
      <c r="AV35" s="90" t="str">
        <f aca="false">IF(AT35="","",ROUND(AT35*(1-Справочники!$B$15),0))</f>
        <v/>
      </c>
      <c r="AW35" s="90" t="str">
        <f aca="false">IF(AT35="","",ROUND(AT35*(1-Справочники!$B$16),0))</f>
        <v/>
      </c>
      <c r="AX35" s="90" t="str">
        <f aca="false">IF(AT35="","",ROUND(AT35*(1-Справочники!$B$17),0))</f>
        <v/>
      </c>
      <c r="AY35" s="90" t="str">
        <f aca="false">IF(AT35="","",ROUND(AT35*(1-Справочники!$B$18),0))</f>
        <v/>
      </c>
      <c r="AZ35" s="90" t="str">
        <f aca="false">IF(AT35="","",ROUND(AT35*(1-Справочники!$B$19),0))</f>
        <v/>
      </c>
      <c r="BA35" s="81"/>
      <c r="BB35" s="81"/>
      <c r="BC35" s="81"/>
      <c r="BD35" s="81"/>
      <c r="BE35" s="91"/>
      <c r="BF35" s="81" t="s">
        <v>103</v>
      </c>
      <c r="BG35" s="89" t="n">
        <f aca="false" t="array" ref="BG35:BG35">IF(BF35="","",IFERROR(INDEX(Справочники!$B$4:$B$7,MATCH(BF35,Справочники!$A$4:$A$7,0)),""))</f>
        <v>68.5</v>
      </c>
      <c r="BH35" s="90" t="str">
        <f aca="false">IF(N(BN35)&gt;0,ROUND(SUMIF(ЗАКАЗЫ!$F$3:$F$500,$A35,ЗАКАЗЫ!$Y$3:$Y$500)/BN35,0),IF(OR(BE35="",BG35=""),"",ROUND(BE35*BG35*(1+Справочники!$B$10),0)))</f>
        <v/>
      </c>
      <c r="BI35" s="92" t="str">
        <f aca="false">IF(OR(AU35="",BH35="",AU35=0),"",(AU35-BH35)/AU35)</f>
        <v/>
      </c>
      <c r="BJ35" s="81"/>
      <c r="BK35" s="83"/>
      <c r="BL35" s="43" t="str">
        <f aca="false">IFERROR(INDEX(ЗАКАЗЫ!$N$3:$N$500,MATCH($A35,ЗАКАЗЫ!$F$3:$F$500,0)),"")</f>
        <v/>
      </c>
      <c r="BM35" s="8" t="str">
        <f aca="false">IF(BL35="","",IFERROR(VLOOKUP(BL35,'ТН ВЭД'!$A$4:$C$40,3,0),""))</f>
        <v/>
      </c>
      <c r="BN35" s="7" t="str">
        <f aca="false">IF(COUNTIF(ЗАКАЗЫ!$F$3:$F$500,$A35)=0,"",SUMIF(ЗАКАЗЫ!$F$3:$F$500,$A35,ЗАКАЗЫ!$J$3:$J$500))</f>
        <v/>
      </c>
      <c r="BO35" s="7" t="str">
        <f aca="false">IF(BN35="","",SUMIF(ЗАКАЗЫ!$F$3:$F$500,$A35,ЗАКАЗЫ!$AL$3:$AL$500))</f>
        <v/>
      </c>
      <c r="BP35" s="7" t="str">
        <f aca="false">IF(BN35="","",BN35-BO35)</f>
        <v/>
      </c>
      <c r="BQ35" s="55" t="str">
        <f aca="false">IF(BN35="","",IF(BO35&gt;=BN35,"На складе",IF(BO35&gt;0,"Частично","Ждём")))</f>
        <v/>
      </c>
      <c r="BR35" s="43"/>
      <c r="BS35" s="47" t="str">
        <f aca="false">IF(BN35="","",IF(_xlfn.MAXIFS(ЗАКАЗЫ!$AK$3:$AK$500,ЗАКАЗЫ!$F$3:$F$500,$A35)=0,"",_xlfn.MAXIFS(ЗАКАЗЫ!$AK$3:$AK$500,ЗАКАЗЫ!$F$3:$F$500,$A35)))</f>
        <v/>
      </c>
    </row>
    <row r="36" customFormat="false" ht="15.75" hidden="false" customHeight="true" outlineLevel="0" collapsed="false">
      <c r="A36" s="80" t="s">
        <v>1903</v>
      </c>
      <c r="B36" s="81"/>
      <c r="C36" s="81"/>
      <c r="D36" s="81"/>
      <c r="E36" s="83"/>
      <c r="F36" s="81"/>
      <c r="G36" s="83"/>
      <c r="H36" s="83"/>
      <c r="I36" s="84" t="str">
        <f aca="false">IF(E36="","",A36&amp;"_1.jpg")</f>
        <v/>
      </c>
      <c r="J36" s="84" t="str">
        <f aca="false">IF(E36="","",A36&amp;"_2.jpg; "&amp;A36&amp;"_3.jpg")</f>
        <v/>
      </c>
      <c r="K36" s="84" t="str">
        <f aca="false">IF(E36="","",A36&amp;"_schema.jpg")</f>
        <v/>
      </c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 t="s">
        <v>96</v>
      </c>
      <c r="W36" s="81"/>
      <c r="X36" s="81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6" t="str">
        <f aca="false">IF(SUM(Y36:AJ36)=0,"",SUM(Y36:AJ36))</f>
        <v/>
      </c>
      <c r="AL36" s="84" t="str">
        <f aca="false">MID(IF(N(Y36)&gt;0,", "&amp;Y$2,"")&amp;IF(N(Z36)&gt;0,", "&amp;Z$2,"")&amp;IF(N(AA36)&gt;0,", "&amp;AA$2,"")&amp;IF(N(AB36)&gt;0,", "&amp;AB$2,"")&amp;IF(N(AC36)&gt;0,", "&amp;AC$2,"")&amp;IF(N(AD36)&gt;0,", "&amp;AD$2,"")&amp;IF(N(AE36)&gt;0,", "&amp;AE$2,"")&amp;IF(N(AF36)&gt;0,", "&amp;AF$2,"")&amp;IF(N(AG36)&gt;0,", "&amp;AG$2,"")&amp;IF(N(AH36)&gt;0,", "&amp;AH$2,"")&amp;IF(N(AI36)&gt;0,", "&amp;AI$2,"")&amp;IF(N(AJ36)&gt;0,", "&amp;AJ$2,""),3,999)</f>
        <v/>
      </c>
      <c r="AM36" s="87" t="str">
        <f aca="false">IF(E36="","",MID(IF(N(Y36)&gt;0,", "&amp;A36&amp;"-"&amp;Y$2,"")&amp;IF(N(Z36)&gt;0,", "&amp;A36&amp;"-"&amp;Z$2,"")&amp;IF(N(AA36)&gt;0,", "&amp;A36&amp;"-"&amp;AA$2,"")&amp;IF(N(AB36)&gt;0,", "&amp;A36&amp;"-"&amp;AB$2,"")&amp;IF(N(AC36)&gt;0,", "&amp;A36&amp;"-"&amp;AC$2,"")&amp;IF(N(AD36)&gt;0,", "&amp;A36&amp;"-"&amp;AD$2,"")&amp;IF(N(AE36)&gt;0,", "&amp;A36&amp;"-"&amp;AE$2,"")&amp;IF(N(AF36)&gt;0,", "&amp;A36&amp;"-"&amp;AF$2,"")&amp;IF(N(AG36)&gt;0,", "&amp;A36&amp;"-"&amp;AG$2,"")&amp;IF(N(AH36)&gt;0,", "&amp;A36&amp;"-"&amp;AH$2,"")&amp;IF(N(AI36)&gt;0,", "&amp;A36&amp;"-"&amp;AI$2,"")&amp;IF(N(AJ36)&gt;0,", "&amp;A36&amp;"-"&amp;AJ$2,""),3,999))</f>
        <v/>
      </c>
      <c r="AN36" s="81"/>
      <c r="AO36" s="88"/>
      <c r="AP36" s="89" t="str">
        <f aca="false">IF(AO36="","",ROUND(AO36/(1+Справочники!$B$13),2))</f>
        <v/>
      </c>
      <c r="AQ36" s="90" t="str">
        <f aca="false" t="array" ref="AQ36:AQ36">IF(AP36="","",AP36*INDEX(Справочники!$B$4:$B$7,MATCH("RUB",Справочники!$A$4:$A$7,0)))</f>
        <v/>
      </c>
      <c r="AR36" s="90" t="str">
        <f aca="false">IF(AQ36="","",ROUND(AQ36*(1+Справочники!$B$12),0))</f>
        <v/>
      </c>
      <c r="AS36" s="90" t="str">
        <f aca="false">IF(AR36="","",ROUND(AR36*(1-Справочники!$B$11),0))</f>
        <v/>
      </c>
      <c r="AT36" s="88"/>
      <c r="AU36" s="90" t="str">
        <f aca="false">IF(AT36="","",ROUND(AT36/(1+Справочники!$B$12),0))</f>
        <v/>
      </c>
      <c r="AV36" s="90" t="str">
        <f aca="false">IF(AT36="","",ROUND(AT36*(1-Справочники!$B$15),0))</f>
        <v/>
      </c>
      <c r="AW36" s="90" t="str">
        <f aca="false">IF(AT36="","",ROUND(AT36*(1-Справочники!$B$16),0))</f>
        <v/>
      </c>
      <c r="AX36" s="90" t="str">
        <f aca="false">IF(AT36="","",ROUND(AT36*(1-Справочники!$B$17),0))</f>
        <v/>
      </c>
      <c r="AY36" s="90" t="str">
        <f aca="false">IF(AT36="","",ROUND(AT36*(1-Справочники!$B$18),0))</f>
        <v/>
      </c>
      <c r="AZ36" s="90" t="str">
        <f aca="false">IF(AT36="","",ROUND(AT36*(1-Справочники!$B$19),0))</f>
        <v/>
      </c>
      <c r="BA36" s="81"/>
      <c r="BB36" s="81"/>
      <c r="BC36" s="81"/>
      <c r="BD36" s="81"/>
      <c r="BE36" s="91"/>
      <c r="BF36" s="81" t="s">
        <v>103</v>
      </c>
      <c r="BG36" s="89" t="n">
        <f aca="false" t="array" ref="BG36:BG36">IF(BF36="","",IFERROR(INDEX(Справочники!$B$4:$B$7,MATCH(BF36,Справочники!$A$4:$A$7,0)),""))</f>
        <v>68.5</v>
      </c>
      <c r="BH36" s="90" t="str">
        <f aca="false">IF(N(BN36)&gt;0,ROUND(SUMIF(ЗАКАЗЫ!$F$3:$F$500,$A36,ЗАКАЗЫ!$Y$3:$Y$500)/BN36,0),IF(OR(BE36="",BG36=""),"",ROUND(BE36*BG36*(1+Справочники!$B$10),0)))</f>
        <v/>
      </c>
      <c r="BI36" s="92" t="str">
        <f aca="false">IF(OR(AU36="",BH36="",AU36=0),"",(AU36-BH36)/AU36)</f>
        <v/>
      </c>
      <c r="BJ36" s="81"/>
      <c r="BK36" s="83"/>
      <c r="BL36" s="43" t="str">
        <f aca="false">IFERROR(INDEX(ЗАКАЗЫ!$N$3:$N$500,MATCH($A36,ЗАКАЗЫ!$F$3:$F$500,0)),"")</f>
        <v/>
      </c>
      <c r="BM36" s="8" t="str">
        <f aca="false">IF(BL36="","",IFERROR(VLOOKUP(BL36,'ТН ВЭД'!$A$4:$C$40,3,0),""))</f>
        <v/>
      </c>
      <c r="BN36" s="7" t="str">
        <f aca="false">IF(COUNTIF(ЗАКАЗЫ!$F$3:$F$500,$A36)=0,"",SUMIF(ЗАКАЗЫ!$F$3:$F$500,$A36,ЗАКАЗЫ!$J$3:$J$500))</f>
        <v/>
      </c>
      <c r="BO36" s="7" t="str">
        <f aca="false">IF(BN36="","",SUMIF(ЗАКАЗЫ!$F$3:$F$500,$A36,ЗАКАЗЫ!$AL$3:$AL$500))</f>
        <v/>
      </c>
      <c r="BP36" s="7" t="str">
        <f aca="false">IF(BN36="","",BN36-BO36)</f>
        <v/>
      </c>
      <c r="BQ36" s="55" t="str">
        <f aca="false">IF(BN36="","",IF(BO36&gt;=BN36,"На складе",IF(BO36&gt;0,"Частично","Ждём")))</f>
        <v/>
      </c>
      <c r="BR36" s="43"/>
      <c r="BS36" s="47" t="str">
        <f aca="false">IF(BN36="","",IF(_xlfn.MAXIFS(ЗАКАЗЫ!$AK$3:$AK$500,ЗАКАЗЫ!$F$3:$F$500,$A36)=0,"",_xlfn.MAXIFS(ЗАКАЗЫ!$AK$3:$AK$500,ЗАКАЗЫ!$F$3:$F$500,$A36)))</f>
        <v/>
      </c>
    </row>
    <row r="37" customFormat="false" ht="15.75" hidden="false" customHeight="true" outlineLevel="0" collapsed="false">
      <c r="A37" s="80" t="s">
        <v>1904</v>
      </c>
      <c r="B37" s="81"/>
      <c r="C37" s="81"/>
      <c r="D37" s="81"/>
      <c r="E37" s="83"/>
      <c r="F37" s="81"/>
      <c r="G37" s="83"/>
      <c r="H37" s="83"/>
      <c r="I37" s="84" t="str">
        <f aca="false">IF(E37="","",A37&amp;"_1.jpg")</f>
        <v/>
      </c>
      <c r="J37" s="84" t="str">
        <f aca="false">IF(E37="","",A37&amp;"_2.jpg; "&amp;A37&amp;"_3.jpg")</f>
        <v/>
      </c>
      <c r="K37" s="84" t="str">
        <f aca="false">IF(E37="","",A37&amp;"_schema.jpg")</f>
        <v/>
      </c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 t="s">
        <v>96</v>
      </c>
      <c r="W37" s="81"/>
      <c r="X37" s="81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6" t="str">
        <f aca="false">IF(SUM(Y37:AJ37)=0,"",SUM(Y37:AJ37))</f>
        <v/>
      </c>
      <c r="AL37" s="84" t="str">
        <f aca="false">MID(IF(N(Y37)&gt;0,", "&amp;Y$2,"")&amp;IF(N(Z37)&gt;0,", "&amp;Z$2,"")&amp;IF(N(AA37)&gt;0,", "&amp;AA$2,"")&amp;IF(N(AB37)&gt;0,", "&amp;AB$2,"")&amp;IF(N(AC37)&gt;0,", "&amp;AC$2,"")&amp;IF(N(AD37)&gt;0,", "&amp;AD$2,"")&amp;IF(N(AE37)&gt;0,", "&amp;AE$2,"")&amp;IF(N(AF37)&gt;0,", "&amp;AF$2,"")&amp;IF(N(AG37)&gt;0,", "&amp;AG$2,"")&amp;IF(N(AH37)&gt;0,", "&amp;AH$2,"")&amp;IF(N(AI37)&gt;0,", "&amp;AI$2,"")&amp;IF(N(AJ37)&gt;0,", "&amp;AJ$2,""),3,999)</f>
        <v/>
      </c>
      <c r="AM37" s="87" t="str">
        <f aca="false">IF(E37="","",MID(IF(N(Y37)&gt;0,", "&amp;A37&amp;"-"&amp;Y$2,"")&amp;IF(N(Z37)&gt;0,", "&amp;A37&amp;"-"&amp;Z$2,"")&amp;IF(N(AA37)&gt;0,", "&amp;A37&amp;"-"&amp;AA$2,"")&amp;IF(N(AB37)&gt;0,", "&amp;A37&amp;"-"&amp;AB$2,"")&amp;IF(N(AC37)&gt;0,", "&amp;A37&amp;"-"&amp;AC$2,"")&amp;IF(N(AD37)&gt;0,", "&amp;A37&amp;"-"&amp;AD$2,"")&amp;IF(N(AE37)&gt;0,", "&amp;A37&amp;"-"&amp;AE$2,"")&amp;IF(N(AF37)&gt;0,", "&amp;A37&amp;"-"&amp;AF$2,"")&amp;IF(N(AG37)&gt;0,", "&amp;A37&amp;"-"&amp;AG$2,"")&amp;IF(N(AH37)&gt;0,", "&amp;A37&amp;"-"&amp;AH$2,"")&amp;IF(N(AI37)&gt;0,", "&amp;A37&amp;"-"&amp;AI$2,"")&amp;IF(N(AJ37)&gt;0,", "&amp;A37&amp;"-"&amp;AJ$2,""),3,999))</f>
        <v/>
      </c>
      <c r="AN37" s="81"/>
      <c r="AO37" s="88"/>
      <c r="AP37" s="89" t="str">
        <f aca="false">IF(AO37="","",ROUND(AO37/(1+Справочники!$B$13),2))</f>
        <v/>
      </c>
      <c r="AQ37" s="90" t="str">
        <f aca="false" t="array" ref="AQ37:AQ37">IF(AP37="","",AP37*INDEX(Справочники!$B$4:$B$7,MATCH("RUB",Справочники!$A$4:$A$7,0)))</f>
        <v/>
      </c>
      <c r="AR37" s="90" t="str">
        <f aca="false">IF(AQ37="","",ROUND(AQ37*(1+Справочники!$B$12),0))</f>
        <v/>
      </c>
      <c r="AS37" s="90" t="str">
        <f aca="false">IF(AR37="","",ROUND(AR37*(1-Справочники!$B$11),0))</f>
        <v/>
      </c>
      <c r="AT37" s="88"/>
      <c r="AU37" s="90" t="str">
        <f aca="false">IF(AT37="","",ROUND(AT37/(1+Справочники!$B$12),0))</f>
        <v/>
      </c>
      <c r="AV37" s="90" t="str">
        <f aca="false">IF(AT37="","",ROUND(AT37*(1-Справочники!$B$15),0))</f>
        <v/>
      </c>
      <c r="AW37" s="90" t="str">
        <f aca="false">IF(AT37="","",ROUND(AT37*(1-Справочники!$B$16),0))</f>
        <v/>
      </c>
      <c r="AX37" s="90" t="str">
        <f aca="false">IF(AT37="","",ROUND(AT37*(1-Справочники!$B$17),0))</f>
        <v/>
      </c>
      <c r="AY37" s="90" t="str">
        <f aca="false">IF(AT37="","",ROUND(AT37*(1-Справочники!$B$18),0))</f>
        <v/>
      </c>
      <c r="AZ37" s="90" t="str">
        <f aca="false">IF(AT37="","",ROUND(AT37*(1-Справочники!$B$19),0))</f>
        <v/>
      </c>
      <c r="BA37" s="81"/>
      <c r="BB37" s="81"/>
      <c r="BC37" s="81"/>
      <c r="BD37" s="81"/>
      <c r="BE37" s="91"/>
      <c r="BF37" s="81" t="s">
        <v>103</v>
      </c>
      <c r="BG37" s="89" t="n">
        <f aca="false" t="array" ref="BG37:BG37">IF(BF37="","",IFERROR(INDEX(Справочники!$B$4:$B$7,MATCH(BF37,Справочники!$A$4:$A$7,0)),""))</f>
        <v>68.5</v>
      </c>
      <c r="BH37" s="90" t="str">
        <f aca="false">IF(N(BN37)&gt;0,ROUND(SUMIF(ЗАКАЗЫ!$F$3:$F$500,$A37,ЗАКАЗЫ!$Y$3:$Y$500)/BN37,0),IF(OR(BE37="",BG37=""),"",ROUND(BE37*BG37*(1+Справочники!$B$10),0)))</f>
        <v/>
      </c>
      <c r="BI37" s="92" t="str">
        <f aca="false">IF(OR(AU37="",BH37="",AU37=0),"",(AU37-BH37)/AU37)</f>
        <v/>
      </c>
      <c r="BJ37" s="81"/>
      <c r="BK37" s="83"/>
      <c r="BL37" s="43" t="str">
        <f aca="false">IFERROR(INDEX(ЗАКАЗЫ!$N$3:$N$500,MATCH($A37,ЗАКАЗЫ!$F$3:$F$500,0)),"")</f>
        <v/>
      </c>
      <c r="BM37" s="8" t="str">
        <f aca="false">IF(BL37="","",IFERROR(VLOOKUP(BL37,'ТН ВЭД'!$A$4:$C$40,3,0),""))</f>
        <v/>
      </c>
      <c r="BN37" s="7" t="str">
        <f aca="false">IF(COUNTIF(ЗАКАЗЫ!$F$3:$F$500,$A37)=0,"",SUMIF(ЗАКАЗЫ!$F$3:$F$500,$A37,ЗАКАЗЫ!$J$3:$J$500))</f>
        <v/>
      </c>
      <c r="BO37" s="7" t="str">
        <f aca="false">IF(BN37="","",SUMIF(ЗАКАЗЫ!$F$3:$F$500,$A37,ЗАКАЗЫ!$AL$3:$AL$500))</f>
        <v/>
      </c>
      <c r="BP37" s="7" t="str">
        <f aca="false">IF(BN37="","",BN37-BO37)</f>
        <v/>
      </c>
      <c r="BQ37" s="55" t="str">
        <f aca="false">IF(BN37="","",IF(BO37&gt;=BN37,"На складе",IF(BO37&gt;0,"Частично","Ждём")))</f>
        <v/>
      </c>
      <c r="BR37" s="43"/>
      <c r="BS37" s="47" t="str">
        <f aca="false">IF(BN37="","",IF(_xlfn.MAXIFS(ЗАКАЗЫ!$AK$3:$AK$500,ЗАКАЗЫ!$F$3:$F$500,$A37)=0,"",_xlfn.MAXIFS(ЗАКАЗЫ!$AK$3:$AK$500,ЗАКАЗЫ!$F$3:$F$500,$A37)))</f>
        <v/>
      </c>
    </row>
    <row r="38" customFormat="false" ht="15.75" hidden="false" customHeight="true" outlineLevel="0" collapsed="false">
      <c r="A38" s="80" t="s">
        <v>1905</v>
      </c>
      <c r="B38" s="81"/>
      <c r="C38" s="81"/>
      <c r="D38" s="81"/>
      <c r="E38" s="83"/>
      <c r="F38" s="81"/>
      <c r="G38" s="83"/>
      <c r="H38" s="83"/>
      <c r="I38" s="84" t="str">
        <f aca="false">IF(E38="","",A38&amp;"_1.jpg")</f>
        <v/>
      </c>
      <c r="J38" s="84" t="str">
        <f aca="false">IF(E38="","",A38&amp;"_2.jpg; "&amp;A38&amp;"_3.jpg")</f>
        <v/>
      </c>
      <c r="K38" s="84" t="str">
        <f aca="false">IF(E38="","",A38&amp;"_schema.jpg")</f>
        <v/>
      </c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 t="s">
        <v>96</v>
      </c>
      <c r="W38" s="81"/>
      <c r="X38" s="81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6" t="str">
        <f aca="false">IF(SUM(Y38:AJ38)=0,"",SUM(Y38:AJ38))</f>
        <v/>
      </c>
      <c r="AL38" s="84" t="str">
        <f aca="false">MID(IF(N(Y38)&gt;0,", "&amp;Y$2,"")&amp;IF(N(Z38)&gt;0,", "&amp;Z$2,"")&amp;IF(N(AA38)&gt;0,", "&amp;AA$2,"")&amp;IF(N(AB38)&gt;0,", "&amp;AB$2,"")&amp;IF(N(AC38)&gt;0,", "&amp;AC$2,"")&amp;IF(N(AD38)&gt;0,", "&amp;AD$2,"")&amp;IF(N(AE38)&gt;0,", "&amp;AE$2,"")&amp;IF(N(AF38)&gt;0,", "&amp;AF$2,"")&amp;IF(N(AG38)&gt;0,", "&amp;AG$2,"")&amp;IF(N(AH38)&gt;0,", "&amp;AH$2,"")&amp;IF(N(AI38)&gt;0,", "&amp;AI$2,"")&amp;IF(N(AJ38)&gt;0,", "&amp;AJ$2,""),3,999)</f>
        <v/>
      </c>
      <c r="AM38" s="87" t="str">
        <f aca="false">IF(E38="","",MID(IF(N(Y38)&gt;0,", "&amp;A38&amp;"-"&amp;Y$2,"")&amp;IF(N(Z38)&gt;0,", "&amp;A38&amp;"-"&amp;Z$2,"")&amp;IF(N(AA38)&gt;0,", "&amp;A38&amp;"-"&amp;AA$2,"")&amp;IF(N(AB38)&gt;0,", "&amp;A38&amp;"-"&amp;AB$2,"")&amp;IF(N(AC38)&gt;0,", "&amp;A38&amp;"-"&amp;AC$2,"")&amp;IF(N(AD38)&gt;0,", "&amp;A38&amp;"-"&amp;AD$2,"")&amp;IF(N(AE38)&gt;0,", "&amp;A38&amp;"-"&amp;AE$2,"")&amp;IF(N(AF38)&gt;0,", "&amp;A38&amp;"-"&amp;AF$2,"")&amp;IF(N(AG38)&gt;0,", "&amp;A38&amp;"-"&amp;AG$2,"")&amp;IF(N(AH38)&gt;0,", "&amp;A38&amp;"-"&amp;AH$2,"")&amp;IF(N(AI38)&gt;0,", "&amp;A38&amp;"-"&amp;AI$2,"")&amp;IF(N(AJ38)&gt;0,", "&amp;A38&amp;"-"&amp;AJ$2,""),3,999))</f>
        <v/>
      </c>
      <c r="AN38" s="81"/>
      <c r="AO38" s="88"/>
      <c r="AP38" s="89" t="str">
        <f aca="false">IF(AO38="","",ROUND(AO38/(1+Справочники!$B$13),2))</f>
        <v/>
      </c>
      <c r="AQ38" s="90" t="str">
        <f aca="false" t="array" ref="AQ38:AQ38">IF(AP38="","",AP38*INDEX(Справочники!$B$4:$B$7,MATCH("RUB",Справочники!$A$4:$A$7,0)))</f>
        <v/>
      </c>
      <c r="AR38" s="90" t="str">
        <f aca="false">IF(AQ38="","",ROUND(AQ38*(1+Справочники!$B$12),0))</f>
        <v/>
      </c>
      <c r="AS38" s="90" t="str">
        <f aca="false">IF(AR38="","",ROUND(AR38*(1-Справочники!$B$11),0))</f>
        <v/>
      </c>
      <c r="AT38" s="88"/>
      <c r="AU38" s="90" t="str">
        <f aca="false">IF(AT38="","",ROUND(AT38/(1+Справочники!$B$12),0))</f>
        <v/>
      </c>
      <c r="AV38" s="90" t="str">
        <f aca="false">IF(AT38="","",ROUND(AT38*(1-Справочники!$B$15),0))</f>
        <v/>
      </c>
      <c r="AW38" s="90" t="str">
        <f aca="false">IF(AT38="","",ROUND(AT38*(1-Справочники!$B$16),0))</f>
        <v/>
      </c>
      <c r="AX38" s="90" t="str">
        <f aca="false">IF(AT38="","",ROUND(AT38*(1-Справочники!$B$17),0))</f>
        <v/>
      </c>
      <c r="AY38" s="90" t="str">
        <f aca="false">IF(AT38="","",ROUND(AT38*(1-Справочники!$B$18),0))</f>
        <v/>
      </c>
      <c r="AZ38" s="90" t="str">
        <f aca="false">IF(AT38="","",ROUND(AT38*(1-Справочники!$B$19),0))</f>
        <v/>
      </c>
      <c r="BA38" s="81"/>
      <c r="BB38" s="81"/>
      <c r="BC38" s="81"/>
      <c r="BD38" s="81"/>
      <c r="BE38" s="91"/>
      <c r="BF38" s="81" t="s">
        <v>103</v>
      </c>
      <c r="BG38" s="89" t="n">
        <f aca="false" t="array" ref="BG38:BG38">IF(BF38="","",IFERROR(INDEX(Справочники!$B$4:$B$7,MATCH(BF38,Справочники!$A$4:$A$7,0)),""))</f>
        <v>68.5</v>
      </c>
      <c r="BH38" s="90" t="str">
        <f aca="false">IF(N(BN38)&gt;0,ROUND(SUMIF(ЗАКАЗЫ!$F$3:$F$500,$A38,ЗАКАЗЫ!$Y$3:$Y$500)/BN38,0),IF(OR(BE38="",BG38=""),"",ROUND(BE38*BG38*(1+Справочники!$B$10),0)))</f>
        <v/>
      </c>
      <c r="BI38" s="92" t="str">
        <f aca="false">IF(OR(AU38="",BH38="",AU38=0),"",(AU38-BH38)/AU38)</f>
        <v/>
      </c>
      <c r="BJ38" s="81"/>
      <c r="BK38" s="83"/>
      <c r="BL38" s="43" t="str">
        <f aca="false">IFERROR(INDEX(ЗАКАЗЫ!$N$3:$N$500,MATCH($A38,ЗАКАЗЫ!$F$3:$F$500,0)),"")</f>
        <v/>
      </c>
      <c r="BM38" s="8" t="str">
        <f aca="false">IF(BL38="","",IFERROR(VLOOKUP(BL38,'ТН ВЭД'!$A$4:$C$40,3,0),""))</f>
        <v/>
      </c>
      <c r="BN38" s="7" t="str">
        <f aca="false">IF(COUNTIF(ЗАКАЗЫ!$F$3:$F$500,$A38)=0,"",SUMIF(ЗАКАЗЫ!$F$3:$F$500,$A38,ЗАКАЗЫ!$J$3:$J$500))</f>
        <v/>
      </c>
      <c r="BO38" s="7" t="str">
        <f aca="false">IF(BN38="","",SUMIF(ЗАКАЗЫ!$F$3:$F$500,$A38,ЗАКАЗЫ!$AL$3:$AL$500))</f>
        <v/>
      </c>
      <c r="BP38" s="7" t="str">
        <f aca="false">IF(BN38="","",BN38-BO38)</f>
        <v/>
      </c>
      <c r="BQ38" s="55" t="str">
        <f aca="false">IF(BN38="","",IF(BO38&gt;=BN38,"На складе",IF(BO38&gt;0,"Частично","Ждём")))</f>
        <v/>
      </c>
      <c r="BR38" s="43"/>
      <c r="BS38" s="47" t="str">
        <f aca="false">IF(BN38="","",IF(_xlfn.MAXIFS(ЗАКАЗЫ!$AK$3:$AK$500,ЗАКАЗЫ!$F$3:$F$500,$A38)=0,"",_xlfn.MAXIFS(ЗАКАЗЫ!$AK$3:$AK$500,ЗАКАЗЫ!$F$3:$F$500,$A38)))</f>
        <v/>
      </c>
    </row>
    <row r="39" customFormat="false" ht="15.75" hidden="false" customHeight="true" outlineLevel="0" collapsed="false">
      <c r="A39" s="80" t="s">
        <v>1906</v>
      </c>
      <c r="B39" s="81"/>
      <c r="C39" s="81"/>
      <c r="D39" s="81"/>
      <c r="E39" s="83"/>
      <c r="F39" s="81"/>
      <c r="G39" s="83"/>
      <c r="H39" s="83"/>
      <c r="I39" s="84" t="str">
        <f aca="false">IF(E39="","",A39&amp;"_1.jpg")</f>
        <v/>
      </c>
      <c r="J39" s="84" t="str">
        <f aca="false">IF(E39="","",A39&amp;"_2.jpg; "&amp;A39&amp;"_3.jpg")</f>
        <v/>
      </c>
      <c r="K39" s="84" t="str">
        <f aca="false">IF(E39="","",A39&amp;"_schema.jpg")</f>
        <v/>
      </c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 t="s">
        <v>96</v>
      </c>
      <c r="W39" s="81"/>
      <c r="X39" s="81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6" t="str">
        <f aca="false">IF(SUM(Y39:AJ39)=0,"",SUM(Y39:AJ39))</f>
        <v/>
      </c>
      <c r="AL39" s="84" t="str">
        <f aca="false">MID(IF(N(Y39)&gt;0,", "&amp;Y$2,"")&amp;IF(N(Z39)&gt;0,", "&amp;Z$2,"")&amp;IF(N(AA39)&gt;0,", "&amp;AA$2,"")&amp;IF(N(AB39)&gt;0,", "&amp;AB$2,"")&amp;IF(N(AC39)&gt;0,", "&amp;AC$2,"")&amp;IF(N(AD39)&gt;0,", "&amp;AD$2,"")&amp;IF(N(AE39)&gt;0,", "&amp;AE$2,"")&amp;IF(N(AF39)&gt;0,", "&amp;AF$2,"")&amp;IF(N(AG39)&gt;0,", "&amp;AG$2,"")&amp;IF(N(AH39)&gt;0,", "&amp;AH$2,"")&amp;IF(N(AI39)&gt;0,", "&amp;AI$2,"")&amp;IF(N(AJ39)&gt;0,", "&amp;AJ$2,""),3,999)</f>
        <v/>
      </c>
      <c r="AM39" s="87" t="str">
        <f aca="false">IF(E39="","",MID(IF(N(Y39)&gt;0,", "&amp;A39&amp;"-"&amp;Y$2,"")&amp;IF(N(Z39)&gt;0,", "&amp;A39&amp;"-"&amp;Z$2,"")&amp;IF(N(AA39)&gt;0,", "&amp;A39&amp;"-"&amp;AA$2,"")&amp;IF(N(AB39)&gt;0,", "&amp;A39&amp;"-"&amp;AB$2,"")&amp;IF(N(AC39)&gt;0,", "&amp;A39&amp;"-"&amp;AC$2,"")&amp;IF(N(AD39)&gt;0,", "&amp;A39&amp;"-"&amp;AD$2,"")&amp;IF(N(AE39)&gt;0,", "&amp;A39&amp;"-"&amp;AE$2,"")&amp;IF(N(AF39)&gt;0,", "&amp;A39&amp;"-"&amp;AF$2,"")&amp;IF(N(AG39)&gt;0,", "&amp;A39&amp;"-"&amp;AG$2,"")&amp;IF(N(AH39)&gt;0,", "&amp;A39&amp;"-"&amp;AH$2,"")&amp;IF(N(AI39)&gt;0,", "&amp;A39&amp;"-"&amp;AI$2,"")&amp;IF(N(AJ39)&gt;0,", "&amp;A39&amp;"-"&amp;AJ$2,""),3,999))</f>
        <v/>
      </c>
      <c r="AN39" s="81"/>
      <c r="AO39" s="88"/>
      <c r="AP39" s="89" t="str">
        <f aca="false">IF(AO39="","",ROUND(AO39/(1+Справочники!$B$13),2))</f>
        <v/>
      </c>
      <c r="AQ39" s="90" t="str">
        <f aca="false" t="array" ref="AQ39:AQ39">IF(AP39="","",AP39*INDEX(Справочники!$B$4:$B$7,MATCH("RUB",Справочники!$A$4:$A$7,0)))</f>
        <v/>
      </c>
      <c r="AR39" s="90" t="str">
        <f aca="false">IF(AQ39="","",ROUND(AQ39*(1+Справочники!$B$12),0))</f>
        <v/>
      </c>
      <c r="AS39" s="90" t="str">
        <f aca="false">IF(AR39="","",ROUND(AR39*(1-Справочники!$B$11),0))</f>
        <v/>
      </c>
      <c r="AT39" s="88"/>
      <c r="AU39" s="90" t="str">
        <f aca="false">IF(AT39="","",ROUND(AT39/(1+Справочники!$B$12),0))</f>
        <v/>
      </c>
      <c r="AV39" s="90" t="str">
        <f aca="false">IF(AT39="","",ROUND(AT39*(1-Справочники!$B$15),0))</f>
        <v/>
      </c>
      <c r="AW39" s="90" t="str">
        <f aca="false">IF(AT39="","",ROUND(AT39*(1-Справочники!$B$16),0))</f>
        <v/>
      </c>
      <c r="AX39" s="90" t="str">
        <f aca="false">IF(AT39="","",ROUND(AT39*(1-Справочники!$B$17),0))</f>
        <v/>
      </c>
      <c r="AY39" s="90" t="str">
        <f aca="false">IF(AT39="","",ROUND(AT39*(1-Справочники!$B$18),0))</f>
        <v/>
      </c>
      <c r="AZ39" s="90" t="str">
        <f aca="false">IF(AT39="","",ROUND(AT39*(1-Справочники!$B$19),0))</f>
        <v/>
      </c>
      <c r="BA39" s="81"/>
      <c r="BB39" s="81"/>
      <c r="BC39" s="81"/>
      <c r="BD39" s="81"/>
      <c r="BE39" s="91"/>
      <c r="BF39" s="81" t="s">
        <v>103</v>
      </c>
      <c r="BG39" s="89" t="n">
        <f aca="false" t="array" ref="BG39:BG39">IF(BF39="","",IFERROR(INDEX(Справочники!$B$4:$B$7,MATCH(BF39,Справочники!$A$4:$A$7,0)),""))</f>
        <v>68.5</v>
      </c>
      <c r="BH39" s="90" t="str">
        <f aca="false">IF(N(BN39)&gt;0,ROUND(SUMIF(ЗАКАЗЫ!$F$3:$F$500,$A39,ЗАКАЗЫ!$Y$3:$Y$500)/BN39,0),IF(OR(BE39="",BG39=""),"",ROUND(BE39*BG39*(1+Справочники!$B$10),0)))</f>
        <v/>
      </c>
      <c r="BI39" s="92" t="str">
        <f aca="false">IF(OR(AU39="",BH39="",AU39=0),"",(AU39-BH39)/AU39)</f>
        <v/>
      </c>
      <c r="BJ39" s="81"/>
      <c r="BK39" s="83"/>
      <c r="BL39" s="43" t="str">
        <f aca="false">IFERROR(INDEX(ЗАКАЗЫ!$N$3:$N$500,MATCH($A39,ЗАКАЗЫ!$F$3:$F$500,0)),"")</f>
        <v/>
      </c>
      <c r="BM39" s="8" t="str">
        <f aca="false">IF(BL39="","",IFERROR(VLOOKUP(BL39,'ТН ВЭД'!$A$4:$C$40,3,0),""))</f>
        <v/>
      </c>
      <c r="BN39" s="7" t="str">
        <f aca="false">IF(COUNTIF(ЗАКАЗЫ!$F$3:$F$500,$A39)=0,"",SUMIF(ЗАКАЗЫ!$F$3:$F$500,$A39,ЗАКАЗЫ!$J$3:$J$500))</f>
        <v/>
      </c>
      <c r="BO39" s="7" t="str">
        <f aca="false">IF(BN39="","",SUMIF(ЗАКАЗЫ!$F$3:$F$500,$A39,ЗАКАЗЫ!$AL$3:$AL$500))</f>
        <v/>
      </c>
      <c r="BP39" s="7" t="str">
        <f aca="false">IF(BN39="","",BN39-BO39)</f>
        <v/>
      </c>
      <c r="BQ39" s="55" t="str">
        <f aca="false">IF(BN39="","",IF(BO39&gt;=BN39,"На складе",IF(BO39&gt;0,"Частично","Ждём")))</f>
        <v/>
      </c>
      <c r="BR39" s="43"/>
      <c r="BS39" s="47" t="str">
        <f aca="false">IF(BN39="","",IF(_xlfn.MAXIFS(ЗАКАЗЫ!$AK$3:$AK$500,ЗАКАЗЫ!$F$3:$F$500,$A39)=0,"",_xlfn.MAXIFS(ЗАКАЗЫ!$AK$3:$AK$500,ЗАКАЗЫ!$F$3:$F$500,$A39)))</f>
        <v/>
      </c>
    </row>
    <row r="40" customFormat="false" ht="15.75" hidden="false" customHeight="true" outlineLevel="0" collapsed="false">
      <c r="A40" s="80" t="s">
        <v>1907</v>
      </c>
      <c r="B40" s="81"/>
      <c r="C40" s="81"/>
      <c r="D40" s="81"/>
      <c r="E40" s="83"/>
      <c r="F40" s="81"/>
      <c r="G40" s="83"/>
      <c r="H40" s="83"/>
      <c r="I40" s="84" t="str">
        <f aca="false">IF(E40="","",A40&amp;"_1.jpg")</f>
        <v/>
      </c>
      <c r="J40" s="84" t="str">
        <f aca="false">IF(E40="","",A40&amp;"_2.jpg; "&amp;A40&amp;"_3.jpg")</f>
        <v/>
      </c>
      <c r="K40" s="84" t="str">
        <f aca="false">IF(E40="","",A40&amp;"_schema.jpg")</f>
        <v/>
      </c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 t="s">
        <v>96</v>
      </c>
      <c r="W40" s="81"/>
      <c r="X40" s="81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6" t="str">
        <f aca="false">IF(SUM(Y40:AJ40)=0,"",SUM(Y40:AJ40))</f>
        <v/>
      </c>
      <c r="AL40" s="84" t="str">
        <f aca="false">MID(IF(N(Y40)&gt;0,", "&amp;Y$2,"")&amp;IF(N(Z40)&gt;0,", "&amp;Z$2,"")&amp;IF(N(AA40)&gt;0,", "&amp;AA$2,"")&amp;IF(N(AB40)&gt;0,", "&amp;AB$2,"")&amp;IF(N(AC40)&gt;0,", "&amp;AC$2,"")&amp;IF(N(AD40)&gt;0,", "&amp;AD$2,"")&amp;IF(N(AE40)&gt;0,", "&amp;AE$2,"")&amp;IF(N(AF40)&gt;0,", "&amp;AF$2,"")&amp;IF(N(AG40)&gt;0,", "&amp;AG$2,"")&amp;IF(N(AH40)&gt;0,", "&amp;AH$2,"")&amp;IF(N(AI40)&gt;0,", "&amp;AI$2,"")&amp;IF(N(AJ40)&gt;0,", "&amp;AJ$2,""),3,999)</f>
        <v/>
      </c>
      <c r="AM40" s="87" t="str">
        <f aca="false">IF(E40="","",MID(IF(N(Y40)&gt;0,", "&amp;A40&amp;"-"&amp;Y$2,"")&amp;IF(N(Z40)&gt;0,", "&amp;A40&amp;"-"&amp;Z$2,"")&amp;IF(N(AA40)&gt;0,", "&amp;A40&amp;"-"&amp;AA$2,"")&amp;IF(N(AB40)&gt;0,", "&amp;A40&amp;"-"&amp;AB$2,"")&amp;IF(N(AC40)&gt;0,", "&amp;A40&amp;"-"&amp;AC$2,"")&amp;IF(N(AD40)&gt;0,", "&amp;A40&amp;"-"&amp;AD$2,"")&amp;IF(N(AE40)&gt;0,", "&amp;A40&amp;"-"&amp;AE$2,"")&amp;IF(N(AF40)&gt;0,", "&amp;A40&amp;"-"&amp;AF$2,"")&amp;IF(N(AG40)&gt;0,", "&amp;A40&amp;"-"&amp;AG$2,"")&amp;IF(N(AH40)&gt;0,", "&amp;A40&amp;"-"&amp;AH$2,"")&amp;IF(N(AI40)&gt;0,", "&amp;A40&amp;"-"&amp;AI$2,"")&amp;IF(N(AJ40)&gt;0,", "&amp;A40&amp;"-"&amp;AJ$2,""),3,999))</f>
        <v/>
      </c>
      <c r="AN40" s="81"/>
      <c r="AO40" s="88"/>
      <c r="AP40" s="89" t="str">
        <f aca="false">IF(AO40="","",ROUND(AO40/(1+Справочники!$B$13),2))</f>
        <v/>
      </c>
      <c r="AQ40" s="90" t="str">
        <f aca="false" t="array" ref="AQ40:AQ40">IF(AP40="","",AP40*INDEX(Справочники!$B$4:$B$7,MATCH("RUB",Справочники!$A$4:$A$7,0)))</f>
        <v/>
      </c>
      <c r="AR40" s="90" t="str">
        <f aca="false">IF(AQ40="","",ROUND(AQ40*(1+Справочники!$B$12),0))</f>
        <v/>
      </c>
      <c r="AS40" s="90" t="str">
        <f aca="false">IF(AR40="","",ROUND(AR40*(1-Справочники!$B$11),0))</f>
        <v/>
      </c>
      <c r="AT40" s="88"/>
      <c r="AU40" s="90" t="str">
        <f aca="false">IF(AT40="","",ROUND(AT40/(1+Справочники!$B$12),0))</f>
        <v/>
      </c>
      <c r="AV40" s="90" t="str">
        <f aca="false">IF(AT40="","",ROUND(AT40*(1-Справочники!$B$15),0))</f>
        <v/>
      </c>
      <c r="AW40" s="90" t="str">
        <f aca="false">IF(AT40="","",ROUND(AT40*(1-Справочники!$B$16),0))</f>
        <v/>
      </c>
      <c r="AX40" s="90" t="str">
        <f aca="false">IF(AT40="","",ROUND(AT40*(1-Справочники!$B$17),0))</f>
        <v/>
      </c>
      <c r="AY40" s="90" t="str">
        <f aca="false">IF(AT40="","",ROUND(AT40*(1-Справочники!$B$18),0))</f>
        <v/>
      </c>
      <c r="AZ40" s="90" t="str">
        <f aca="false">IF(AT40="","",ROUND(AT40*(1-Справочники!$B$19),0))</f>
        <v/>
      </c>
      <c r="BA40" s="81"/>
      <c r="BB40" s="81"/>
      <c r="BC40" s="81"/>
      <c r="BD40" s="81"/>
      <c r="BE40" s="91"/>
      <c r="BF40" s="81" t="s">
        <v>103</v>
      </c>
      <c r="BG40" s="89" t="n">
        <f aca="false" t="array" ref="BG40:BG40">IF(BF40="","",IFERROR(INDEX(Справочники!$B$4:$B$7,MATCH(BF40,Справочники!$A$4:$A$7,0)),""))</f>
        <v>68.5</v>
      </c>
      <c r="BH40" s="90" t="str">
        <f aca="false">IF(N(BN40)&gt;0,ROUND(SUMIF(ЗАКАЗЫ!$F$3:$F$500,$A40,ЗАКАЗЫ!$Y$3:$Y$500)/BN40,0),IF(OR(BE40="",BG40=""),"",ROUND(BE40*BG40*(1+Справочники!$B$10),0)))</f>
        <v/>
      </c>
      <c r="BI40" s="92" t="str">
        <f aca="false">IF(OR(AU40="",BH40="",AU40=0),"",(AU40-BH40)/AU40)</f>
        <v/>
      </c>
      <c r="BJ40" s="81"/>
      <c r="BK40" s="83"/>
      <c r="BL40" s="43" t="str">
        <f aca="false">IFERROR(INDEX(ЗАКАЗЫ!$N$3:$N$500,MATCH($A40,ЗАКАЗЫ!$F$3:$F$500,0)),"")</f>
        <v/>
      </c>
      <c r="BM40" s="8" t="str">
        <f aca="false">IF(BL40="","",IFERROR(VLOOKUP(BL40,'ТН ВЭД'!$A$4:$C$40,3,0),""))</f>
        <v/>
      </c>
      <c r="BN40" s="7" t="str">
        <f aca="false">IF(COUNTIF(ЗАКАЗЫ!$F$3:$F$500,$A40)=0,"",SUMIF(ЗАКАЗЫ!$F$3:$F$500,$A40,ЗАКАЗЫ!$J$3:$J$500))</f>
        <v/>
      </c>
      <c r="BO40" s="7" t="str">
        <f aca="false">IF(BN40="","",SUMIF(ЗАКАЗЫ!$F$3:$F$500,$A40,ЗАКАЗЫ!$AL$3:$AL$500))</f>
        <v/>
      </c>
      <c r="BP40" s="7" t="str">
        <f aca="false">IF(BN40="","",BN40-BO40)</f>
        <v/>
      </c>
      <c r="BQ40" s="55" t="str">
        <f aca="false">IF(BN40="","",IF(BO40&gt;=BN40,"На складе",IF(BO40&gt;0,"Частично","Ждём")))</f>
        <v/>
      </c>
      <c r="BR40" s="43"/>
      <c r="BS40" s="47" t="str">
        <f aca="false">IF(BN40="","",IF(_xlfn.MAXIFS(ЗАКАЗЫ!$AK$3:$AK$500,ЗАКАЗЫ!$F$3:$F$500,$A40)=0,"",_xlfn.MAXIFS(ЗАКАЗЫ!$AK$3:$AK$500,ЗАКАЗЫ!$F$3:$F$500,$A40)))</f>
        <v/>
      </c>
    </row>
    <row r="41" customFormat="false" ht="15.75" hidden="false" customHeight="true" outlineLevel="0" collapsed="false">
      <c r="A41" s="80" t="s">
        <v>1908</v>
      </c>
      <c r="B41" s="81"/>
      <c r="C41" s="81"/>
      <c r="D41" s="81"/>
      <c r="E41" s="83"/>
      <c r="F41" s="81"/>
      <c r="G41" s="83"/>
      <c r="H41" s="83"/>
      <c r="I41" s="84" t="str">
        <f aca="false">IF(E41="","",A41&amp;"_1.jpg")</f>
        <v/>
      </c>
      <c r="J41" s="84" t="str">
        <f aca="false">IF(E41="","",A41&amp;"_2.jpg; "&amp;A41&amp;"_3.jpg")</f>
        <v/>
      </c>
      <c r="K41" s="84" t="str">
        <f aca="false">IF(E41="","",A41&amp;"_schema.jpg")</f>
        <v/>
      </c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 t="s">
        <v>96</v>
      </c>
      <c r="W41" s="81"/>
      <c r="X41" s="81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6" t="str">
        <f aca="false">IF(SUM(Y41:AJ41)=0,"",SUM(Y41:AJ41))</f>
        <v/>
      </c>
      <c r="AL41" s="84" t="str">
        <f aca="false">MID(IF(N(Y41)&gt;0,", "&amp;Y$2,"")&amp;IF(N(Z41)&gt;0,", "&amp;Z$2,"")&amp;IF(N(AA41)&gt;0,", "&amp;AA$2,"")&amp;IF(N(AB41)&gt;0,", "&amp;AB$2,"")&amp;IF(N(AC41)&gt;0,", "&amp;AC$2,"")&amp;IF(N(AD41)&gt;0,", "&amp;AD$2,"")&amp;IF(N(AE41)&gt;0,", "&amp;AE$2,"")&amp;IF(N(AF41)&gt;0,", "&amp;AF$2,"")&amp;IF(N(AG41)&gt;0,", "&amp;AG$2,"")&amp;IF(N(AH41)&gt;0,", "&amp;AH$2,"")&amp;IF(N(AI41)&gt;0,", "&amp;AI$2,"")&amp;IF(N(AJ41)&gt;0,", "&amp;AJ$2,""),3,999)</f>
        <v/>
      </c>
      <c r="AM41" s="87" t="str">
        <f aca="false">IF(E41="","",MID(IF(N(Y41)&gt;0,", "&amp;A41&amp;"-"&amp;Y$2,"")&amp;IF(N(Z41)&gt;0,", "&amp;A41&amp;"-"&amp;Z$2,"")&amp;IF(N(AA41)&gt;0,", "&amp;A41&amp;"-"&amp;AA$2,"")&amp;IF(N(AB41)&gt;0,", "&amp;A41&amp;"-"&amp;AB$2,"")&amp;IF(N(AC41)&gt;0,", "&amp;A41&amp;"-"&amp;AC$2,"")&amp;IF(N(AD41)&gt;0,", "&amp;A41&amp;"-"&amp;AD$2,"")&amp;IF(N(AE41)&gt;0,", "&amp;A41&amp;"-"&amp;AE$2,"")&amp;IF(N(AF41)&gt;0,", "&amp;A41&amp;"-"&amp;AF$2,"")&amp;IF(N(AG41)&gt;0,", "&amp;A41&amp;"-"&amp;AG$2,"")&amp;IF(N(AH41)&gt;0,", "&amp;A41&amp;"-"&amp;AH$2,"")&amp;IF(N(AI41)&gt;0,", "&amp;A41&amp;"-"&amp;AI$2,"")&amp;IF(N(AJ41)&gt;0,", "&amp;A41&amp;"-"&amp;AJ$2,""),3,999))</f>
        <v/>
      </c>
      <c r="AN41" s="81"/>
      <c r="AO41" s="88"/>
      <c r="AP41" s="89" t="str">
        <f aca="false">IF(AO41="","",ROUND(AO41/(1+Справочники!$B$13),2))</f>
        <v/>
      </c>
      <c r="AQ41" s="90" t="str">
        <f aca="false" t="array" ref="AQ41:AQ41">IF(AP41="","",AP41*INDEX(Справочники!$B$4:$B$7,MATCH("RUB",Справочники!$A$4:$A$7,0)))</f>
        <v/>
      </c>
      <c r="AR41" s="90" t="str">
        <f aca="false">IF(AQ41="","",ROUND(AQ41*(1+Справочники!$B$12),0))</f>
        <v/>
      </c>
      <c r="AS41" s="90" t="str">
        <f aca="false">IF(AR41="","",ROUND(AR41*(1-Справочники!$B$11),0))</f>
        <v/>
      </c>
      <c r="AT41" s="88"/>
      <c r="AU41" s="90" t="str">
        <f aca="false">IF(AT41="","",ROUND(AT41/(1+Справочники!$B$12),0))</f>
        <v/>
      </c>
      <c r="AV41" s="90" t="str">
        <f aca="false">IF(AT41="","",ROUND(AT41*(1-Справочники!$B$15),0))</f>
        <v/>
      </c>
      <c r="AW41" s="90" t="str">
        <f aca="false">IF(AT41="","",ROUND(AT41*(1-Справочники!$B$16),0))</f>
        <v/>
      </c>
      <c r="AX41" s="90" t="str">
        <f aca="false">IF(AT41="","",ROUND(AT41*(1-Справочники!$B$17),0))</f>
        <v/>
      </c>
      <c r="AY41" s="90" t="str">
        <f aca="false">IF(AT41="","",ROUND(AT41*(1-Справочники!$B$18),0))</f>
        <v/>
      </c>
      <c r="AZ41" s="90" t="str">
        <f aca="false">IF(AT41="","",ROUND(AT41*(1-Справочники!$B$19),0))</f>
        <v/>
      </c>
      <c r="BA41" s="81"/>
      <c r="BB41" s="81"/>
      <c r="BC41" s="81"/>
      <c r="BD41" s="81"/>
      <c r="BE41" s="91"/>
      <c r="BF41" s="81" t="s">
        <v>103</v>
      </c>
      <c r="BG41" s="89" t="n">
        <f aca="false" t="array" ref="BG41:BG41">IF(BF41="","",IFERROR(INDEX(Справочники!$B$4:$B$7,MATCH(BF41,Справочники!$A$4:$A$7,0)),""))</f>
        <v>68.5</v>
      </c>
      <c r="BH41" s="90" t="str">
        <f aca="false">IF(N(BN41)&gt;0,ROUND(SUMIF(ЗАКАЗЫ!$F$3:$F$500,$A41,ЗАКАЗЫ!$Y$3:$Y$500)/BN41,0),IF(OR(BE41="",BG41=""),"",ROUND(BE41*BG41*(1+Справочники!$B$10),0)))</f>
        <v/>
      </c>
      <c r="BI41" s="92" t="str">
        <f aca="false">IF(OR(AU41="",BH41="",AU41=0),"",(AU41-BH41)/AU41)</f>
        <v/>
      </c>
      <c r="BJ41" s="81"/>
      <c r="BK41" s="83"/>
      <c r="BL41" s="43" t="str">
        <f aca="false">IFERROR(INDEX(ЗАКАЗЫ!$N$3:$N$500,MATCH($A41,ЗАКАЗЫ!$F$3:$F$500,0)),"")</f>
        <v/>
      </c>
      <c r="BM41" s="8" t="str">
        <f aca="false">IF(BL41="","",IFERROR(VLOOKUP(BL41,'ТН ВЭД'!$A$4:$C$40,3,0),""))</f>
        <v/>
      </c>
      <c r="BN41" s="7" t="str">
        <f aca="false">IF(COUNTIF(ЗАКАЗЫ!$F$3:$F$500,$A41)=0,"",SUMIF(ЗАКАЗЫ!$F$3:$F$500,$A41,ЗАКАЗЫ!$J$3:$J$500))</f>
        <v/>
      </c>
      <c r="BO41" s="7" t="str">
        <f aca="false">IF(BN41="","",SUMIF(ЗАКАЗЫ!$F$3:$F$500,$A41,ЗАКАЗЫ!$AL$3:$AL$500))</f>
        <v/>
      </c>
      <c r="BP41" s="7" t="str">
        <f aca="false">IF(BN41="","",BN41-BO41)</f>
        <v/>
      </c>
      <c r="BQ41" s="55" t="str">
        <f aca="false">IF(BN41="","",IF(BO41&gt;=BN41,"На складе",IF(BO41&gt;0,"Частично","Ждём")))</f>
        <v/>
      </c>
      <c r="BR41" s="43"/>
      <c r="BS41" s="47" t="str">
        <f aca="false">IF(BN41="","",IF(_xlfn.MAXIFS(ЗАКАЗЫ!$AK$3:$AK$500,ЗАКАЗЫ!$F$3:$F$500,$A41)=0,"",_xlfn.MAXIFS(ЗАКАЗЫ!$AK$3:$AK$500,ЗАКАЗЫ!$F$3:$F$500,$A41)))</f>
        <v/>
      </c>
    </row>
    <row r="42" customFormat="false" ht="15.75" hidden="false" customHeight="true" outlineLevel="0" collapsed="false">
      <c r="A42" s="80" t="s">
        <v>1909</v>
      </c>
      <c r="B42" s="81"/>
      <c r="C42" s="81"/>
      <c r="D42" s="81"/>
      <c r="E42" s="83"/>
      <c r="F42" s="81"/>
      <c r="G42" s="83"/>
      <c r="H42" s="83"/>
      <c r="I42" s="84" t="str">
        <f aca="false">IF(E42="","",A42&amp;"_1.jpg")</f>
        <v/>
      </c>
      <c r="J42" s="84" t="str">
        <f aca="false">IF(E42="","",A42&amp;"_2.jpg; "&amp;A42&amp;"_3.jpg")</f>
        <v/>
      </c>
      <c r="K42" s="84" t="str">
        <f aca="false">IF(E42="","",A42&amp;"_schema.jpg")</f>
        <v/>
      </c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 t="s">
        <v>96</v>
      </c>
      <c r="W42" s="81"/>
      <c r="X42" s="81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6" t="str">
        <f aca="false">IF(SUM(Y42:AJ42)=0,"",SUM(Y42:AJ42))</f>
        <v/>
      </c>
      <c r="AL42" s="84" t="str">
        <f aca="false">MID(IF(N(Y42)&gt;0,", "&amp;Y$2,"")&amp;IF(N(Z42)&gt;0,", "&amp;Z$2,"")&amp;IF(N(AA42)&gt;0,", "&amp;AA$2,"")&amp;IF(N(AB42)&gt;0,", "&amp;AB$2,"")&amp;IF(N(AC42)&gt;0,", "&amp;AC$2,"")&amp;IF(N(AD42)&gt;0,", "&amp;AD$2,"")&amp;IF(N(AE42)&gt;0,", "&amp;AE$2,"")&amp;IF(N(AF42)&gt;0,", "&amp;AF$2,"")&amp;IF(N(AG42)&gt;0,", "&amp;AG$2,"")&amp;IF(N(AH42)&gt;0,", "&amp;AH$2,"")&amp;IF(N(AI42)&gt;0,", "&amp;AI$2,"")&amp;IF(N(AJ42)&gt;0,", "&amp;AJ$2,""),3,999)</f>
        <v/>
      </c>
      <c r="AM42" s="87" t="str">
        <f aca="false">IF(E42="","",MID(IF(N(Y42)&gt;0,", "&amp;A42&amp;"-"&amp;Y$2,"")&amp;IF(N(Z42)&gt;0,", "&amp;A42&amp;"-"&amp;Z$2,"")&amp;IF(N(AA42)&gt;0,", "&amp;A42&amp;"-"&amp;AA$2,"")&amp;IF(N(AB42)&gt;0,", "&amp;A42&amp;"-"&amp;AB$2,"")&amp;IF(N(AC42)&gt;0,", "&amp;A42&amp;"-"&amp;AC$2,"")&amp;IF(N(AD42)&gt;0,", "&amp;A42&amp;"-"&amp;AD$2,"")&amp;IF(N(AE42)&gt;0,", "&amp;A42&amp;"-"&amp;AE$2,"")&amp;IF(N(AF42)&gt;0,", "&amp;A42&amp;"-"&amp;AF$2,"")&amp;IF(N(AG42)&gt;0,", "&amp;A42&amp;"-"&amp;AG$2,"")&amp;IF(N(AH42)&gt;0,", "&amp;A42&amp;"-"&amp;AH$2,"")&amp;IF(N(AI42)&gt;0,", "&amp;A42&amp;"-"&amp;AI$2,"")&amp;IF(N(AJ42)&gt;0,", "&amp;A42&amp;"-"&amp;AJ$2,""),3,999))</f>
        <v/>
      </c>
      <c r="AN42" s="81"/>
      <c r="AO42" s="88"/>
      <c r="AP42" s="89" t="str">
        <f aca="false">IF(AO42="","",ROUND(AO42/(1+Справочники!$B$13),2))</f>
        <v/>
      </c>
      <c r="AQ42" s="90" t="str">
        <f aca="false" t="array" ref="AQ42:AQ42">IF(AP42="","",AP42*INDEX(Справочники!$B$4:$B$7,MATCH("RUB",Справочники!$A$4:$A$7,0)))</f>
        <v/>
      </c>
      <c r="AR42" s="90" t="str">
        <f aca="false">IF(AQ42="","",ROUND(AQ42*(1+Справочники!$B$12),0))</f>
        <v/>
      </c>
      <c r="AS42" s="90" t="str">
        <f aca="false">IF(AR42="","",ROUND(AR42*(1-Справочники!$B$11),0))</f>
        <v/>
      </c>
      <c r="AT42" s="88"/>
      <c r="AU42" s="90" t="str">
        <f aca="false">IF(AT42="","",ROUND(AT42/(1+Справочники!$B$12),0))</f>
        <v/>
      </c>
      <c r="AV42" s="90" t="str">
        <f aca="false">IF(AT42="","",ROUND(AT42*(1-Справочники!$B$15),0))</f>
        <v/>
      </c>
      <c r="AW42" s="90" t="str">
        <f aca="false">IF(AT42="","",ROUND(AT42*(1-Справочники!$B$16),0))</f>
        <v/>
      </c>
      <c r="AX42" s="90" t="str">
        <f aca="false">IF(AT42="","",ROUND(AT42*(1-Справочники!$B$17),0))</f>
        <v/>
      </c>
      <c r="AY42" s="90" t="str">
        <f aca="false">IF(AT42="","",ROUND(AT42*(1-Справочники!$B$18),0))</f>
        <v/>
      </c>
      <c r="AZ42" s="90" t="str">
        <f aca="false">IF(AT42="","",ROUND(AT42*(1-Справочники!$B$19),0))</f>
        <v/>
      </c>
      <c r="BA42" s="81"/>
      <c r="BB42" s="81"/>
      <c r="BC42" s="81"/>
      <c r="BD42" s="81"/>
      <c r="BE42" s="91"/>
      <c r="BF42" s="81" t="s">
        <v>103</v>
      </c>
      <c r="BG42" s="89" t="n">
        <f aca="false" t="array" ref="BG42:BG42">IF(BF42="","",IFERROR(INDEX(Справочники!$B$4:$B$7,MATCH(BF42,Справочники!$A$4:$A$7,0)),""))</f>
        <v>68.5</v>
      </c>
      <c r="BH42" s="90" t="str">
        <f aca="false">IF(N(BN42)&gt;0,ROUND(SUMIF(ЗАКАЗЫ!$F$3:$F$500,$A42,ЗАКАЗЫ!$Y$3:$Y$500)/BN42,0),IF(OR(BE42="",BG42=""),"",ROUND(BE42*BG42*(1+Справочники!$B$10),0)))</f>
        <v/>
      </c>
      <c r="BI42" s="92" t="str">
        <f aca="false">IF(OR(AU42="",BH42="",AU42=0),"",(AU42-BH42)/AU42)</f>
        <v/>
      </c>
      <c r="BJ42" s="81"/>
      <c r="BK42" s="83"/>
      <c r="BL42" s="43" t="str">
        <f aca="false">IFERROR(INDEX(ЗАКАЗЫ!$N$3:$N$500,MATCH($A42,ЗАКАЗЫ!$F$3:$F$500,0)),"")</f>
        <v/>
      </c>
      <c r="BM42" s="8" t="str">
        <f aca="false">IF(BL42="","",IFERROR(VLOOKUP(BL42,'ТН ВЭД'!$A$4:$C$40,3,0),""))</f>
        <v/>
      </c>
      <c r="BN42" s="7" t="str">
        <f aca="false">IF(COUNTIF(ЗАКАЗЫ!$F$3:$F$500,$A42)=0,"",SUMIF(ЗАКАЗЫ!$F$3:$F$500,$A42,ЗАКАЗЫ!$J$3:$J$500))</f>
        <v/>
      </c>
      <c r="BO42" s="7" t="str">
        <f aca="false">IF(BN42="","",SUMIF(ЗАКАЗЫ!$F$3:$F$500,$A42,ЗАКАЗЫ!$AL$3:$AL$500))</f>
        <v/>
      </c>
      <c r="BP42" s="7" t="str">
        <f aca="false">IF(BN42="","",BN42-BO42)</f>
        <v/>
      </c>
      <c r="BQ42" s="55" t="str">
        <f aca="false">IF(BN42="","",IF(BO42&gt;=BN42,"На складе",IF(BO42&gt;0,"Частично","Ждём")))</f>
        <v/>
      </c>
      <c r="BR42" s="43"/>
      <c r="BS42" s="47" t="str">
        <f aca="false">IF(BN42="","",IF(_xlfn.MAXIFS(ЗАКАЗЫ!$AK$3:$AK$500,ЗАКАЗЫ!$F$3:$F$500,$A42)=0,"",_xlfn.MAXIFS(ЗАКАЗЫ!$AK$3:$AK$500,ЗАКАЗЫ!$F$3:$F$500,$A42)))</f>
        <v/>
      </c>
    </row>
    <row r="43" customFormat="false" ht="15.75" hidden="false" customHeight="true" outlineLevel="0" collapsed="false">
      <c r="A43" s="80" t="s">
        <v>1910</v>
      </c>
      <c r="B43" s="81"/>
      <c r="C43" s="81"/>
      <c r="D43" s="81"/>
      <c r="E43" s="83"/>
      <c r="F43" s="81"/>
      <c r="G43" s="83"/>
      <c r="H43" s="83"/>
      <c r="I43" s="84" t="str">
        <f aca="false">IF(E43="","",A43&amp;"_1.jpg")</f>
        <v/>
      </c>
      <c r="J43" s="84" t="str">
        <f aca="false">IF(E43="","",A43&amp;"_2.jpg; "&amp;A43&amp;"_3.jpg")</f>
        <v/>
      </c>
      <c r="K43" s="84" t="str">
        <f aca="false">IF(E43="","",A43&amp;"_schema.jpg")</f>
        <v/>
      </c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 t="s">
        <v>96</v>
      </c>
      <c r="W43" s="81"/>
      <c r="X43" s="81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6" t="str">
        <f aca="false">IF(SUM(Y43:AJ43)=0,"",SUM(Y43:AJ43))</f>
        <v/>
      </c>
      <c r="AL43" s="84" t="str">
        <f aca="false">MID(IF(N(Y43)&gt;0,", "&amp;Y$2,"")&amp;IF(N(Z43)&gt;0,", "&amp;Z$2,"")&amp;IF(N(AA43)&gt;0,", "&amp;AA$2,"")&amp;IF(N(AB43)&gt;0,", "&amp;AB$2,"")&amp;IF(N(AC43)&gt;0,", "&amp;AC$2,"")&amp;IF(N(AD43)&gt;0,", "&amp;AD$2,"")&amp;IF(N(AE43)&gt;0,", "&amp;AE$2,"")&amp;IF(N(AF43)&gt;0,", "&amp;AF$2,"")&amp;IF(N(AG43)&gt;0,", "&amp;AG$2,"")&amp;IF(N(AH43)&gt;0,", "&amp;AH$2,"")&amp;IF(N(AI43)&gt;0,", "&amp;AI$2,"")&amp;IF(N(AJ43)&gt;0,", "&amp;AJ$2,""),3,999)</f>
        <v/>
      </c>
      <c r="AM43" s="87" t="str">
        <f aca="false">IF(E43="","",MID(IF(N(Y43)&gt;0,", "&amp;A43&amp;"-"&amp;Y$2,"")&amp;IF(N(Z43)&gt;0,", "&amp;A43&amp;"-"&amp;Z$2,"")&amp;IF(N(AA43)&gt;0,", "&amp;A43&amp;"-"&amp;AA$2,"")&amp;IF(N(AB43)&gt;0,", "&amp;A43&amp;"-"&amp;AB$2,"")&amp;IF(N(AC43)&gt;0,", "&amp;A43&amp;"-"&amp;AC$2,"")&amp;IF(N(AD43)&gt;0,", "&amp;A43&amp;"-"&amp;AD$2,"")&amp;IF(N(AE43)&gt;0,", "&amp;A43&amp;"-"&amp;AE$2,"")&amp;IF(N(AF43)&gt;0,", "&amp;A43&amp;"-"&amp;AF$2,"")&amp;IF(N(AG43)&gt;0,", "&amp;A43&amp;"-"&amp;AG$2,"")&amp;IF(N(AH43)&gt;0,", "&amp;A43&amp;"-"&amp;AH$2,"")&amp;IF(N(AI43)&gt;0,", "&amp;A43&amp;"-"&amp;AI$2,"")&amp;IF(N(AJ43)&gt;0,", "&amp;A43&amp;"-"&amp;AJ$2,""),3,999))</f>
        <v/>
      </c>
      <c r="AN43" s="81"/>
      <c r="AO43" s="88"/>
      <c r="AP43" s="89" t="str">
        <f aca="false">IF(AO43="","",ROUND(AO43/(1+Справочники!$B$13),2))</f>
        <v/>
      </c>
      <c r="AQ43" s="90" t="str">
        <f aca="false" t="array" ref="AQ43:AQ43">IF(AP43="","",AP43*INDEX(Справочники!$B$4:$B$7,MATCH("RUB",Справочники!$A$4:$A$7,0)))</f>
        <v/>
      </c>
      <c r="AR43" s="90" t="str">
        <f aca="false">IF(AQ43="","",ROUND(AQ43*(1+Справочники!$B$12),0))</f>
        <v/>
      </c>
      <c r="AS43" s="90" t="str">
        <f aca="false">IF(AR43="","",ROUND(AR43*(1-Справочники!$B$11),0))</f>
        <v/>
      </c>
      <c r="AT43" s="88"/>
      <c r="AU43" s="90" t="str">
        <f aca="false">IF(AT43="","",ROUND(AT43/(1+Справочники!$B$12),0))</f>
        <v/>
      </c>
      <c r="AV43" s="90" t="str">
        <f aca="false">IF(AT43="","",ROUND(AT43*(1-Справочники!$B$15),0))</f>
        <v/>
      </c>
      <c r="AW43" s="90" t="str">
        <f aca="false">IF(AT43="","",ROUND(AT43*(1-Справочники!$B$16),0))</f>
        <v/>
      </c>
      <c r="AX43" s="90" t="str">
        <f aca="false">IF(AT43="","",ROUND(AT43*(1-Справочники!$B$17),0))</f>
        <v/>
      </c>
      <c r="AY43" s="90" t="str">
        <f aca="false">IF(AT43="","",ROUND(AT43*(1-Справочники!$B$18),0))</f>
        <v/>
      </c>
      <c r="AZ43" s="90" t="str">
        <f aca="false">IF(AT43="","",ROUND(AT43*(1-Справочники!$B$19),0))</f>
        <v/>
      </c>
      <c r="BA43" s="81"/>
      <c r="BB43" s="81"/>
      <c r="BC43" s="81"/>
      <c r="BD43" s="81"/>
      <c r="BE43" s="91"/>
      <c r="BF43" s="81" t="s">
        <v>103</v>
      </c>
      <c r="BG43" s="89" t="n">
        <f aca="false" t="array" ref="BG43:BG43">IF(BF43="","",IFERROR(INDEX(Справочники!$B$4:$B$7,MATCH(BF43,Справочники!$A$4:$A$7,0)),""))</f>
        <v>68.5</v>
      </c>
      <c r="BH43" s="90" t="str">
        <f aca="false">IF(N(BN43)&gt;0,ROUND(SUMIF(ЗАКАЗЫ!$F$3:$F$500,$A43,ЗАКАЗЫ!$Y$3:$Y$500)/BN43,0),IF(OR(BE43="",BG43=""),"",ROUND(BE43*BG43*(1+Справочники!$B$10),0)))</f>
        <v/>
      </c>
      <c r="BI43" s="92" t="str">
        <f aca="false">IF(OR(AU43="",BH43="",AU43=0),"",(AU43-BH43)/AU43)</f>
        <v/>
      </c>
      <c r="BJ43" s="81"/>
      <c r="BK43" s="83"/>
      <c r="BL43" s="43" t="str">
        <f aca="false">IFERROR(INDEX(ЗАКАЗЫ!$N$3:$N$500,MATCH($A43,ЗАКАЗЫ!$F$3:$F$500,0)),"")</f>
        <v/>
      </c>
      <c r="BM43" s="8" t="str">
        <f aca="false">IF(BL43="","",IFERROR(VLOOKUP(BL43,'ТН ВЭД'!$A$4:$C$40,3,0),""))</f>
        <v/>
      </c>
      <c r="BN43" s="7" t="str">
        <f aca="false">IF(COUNTIF(ЗАКАЗЫ!$F$3:$F$500,$A43)=0,"",SUMIF(ЗАКАЗЫ!$F$3:$F$500,$A43,ЗАКАЗЫ!$J$3:$J$500))</f>
        <v/>
      </c>
      <c r="BO43" s="7" t="str">
        <f aca="false">IF(BN43="","",SUMIF(ЗАКАЗЫ!$F$3:$F$500,$A43,ЗАКАЗЫ!$AL$3:$AL$500))</f>
        <v/>
      </c>
      <c r="BP43" s="7" t="str">
        <f aca="false">IF(BN43="","",BN43-BO43)</f>
        <v/>
      </c>
      <c r="BQ43" s="55" t="str">
        <f aca="false">IF(BN43="","",IF(BO43&gt;=BN43,"На складе",IF(BO43&gt;0,"Частично","Ждём")))</f>
        <v/>
      </c>
      <c r="BR43" s="43"/>
      <c r="BS43" s="47" t="str">
        <f aca="false">IF(BN43="","",IF(_xlfn.MAXIFS(ЗАКАЗЫ!$AK$3:$AK$500,ЗАКАЗЫ!$F$3:$F$500,$A43)=0,"",_xlfn.MAXIFS(ЗАКАЗЫ!$AK$3:$AK$500,ЗАКАЗЫ!$F$3:$F$500,$A43)))</f>
        <v/>
      </c>
    </row>
    <row r="44" customFormat="false" ht="15.75" hidden="false" customHeight="true" outlineLevel="0" collapsed="false">
      <c r="A44" s="80" t="s">
        <v>1911</v>
      </c>
      <c r="B44" s="81"/>
      <c r="C44" s="81"/>
      <c r="D44" s="81"/>
      <c r="E44" s="83"/>
      <c r="F44" s="81"/>
      <c r="G44" s="83"/>
      <c r="H44" s="83"/>
      <c r="I44" s="84" t="str">
        <f aca="false">IF(E44="","",A44&amp;"_1.jpg")</f>
        <v/>
      </c>
      <c r="J44" s="84" t="str">
        <f aca="false">IF(E44="","",A44&amp;"_2.jpg; "&amp;A44&amp;"_3.jpg")</f>
        <v/>
      </c>
      <c r="K44" s="84" t="str">
        <f aca="false">IF(E44="","",A44&amp;"_schema.jpg")</f>
        <v/>
      </c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 t="s">
        <v>96</v>
      </c>
      <c r="W44" s="81"/>
      <c r="X44" s="81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6" t="str">
        <f aca="false">IF(SUM(Y44:AJ44)=0,"",SUM(Y44:AJ44))</f>
        <v/>
      </c>
      <c r="AL44" s="84" t="str">
        <f aca="false">MID(IF(N(Y44)&gt;0,", "&amp;Y$2,"")&amp;IF(N(Z44)&gt;0,", "&amp;Z$2,"")&amp;IF(N(AA44)&gt;0,", "&amp;AA$2,"")&amp;IF(N(AB44)&gt;0,", "&amp;AB$2,"")&amp;IF(N(AC44)&gt;0,", "&amp;AC$2,"")&amp;IF(N(AD44)&gt;0,", "&amp;AD$2,"")&amp;IF(N(AE44)&gt;0,", "&amp;AE$2,"")&amp;IF(N(AF44)&gt;0,", "&amp;AF$2,"")&amp;IF(N(AG44)&gt;0,", "&amp;AG$2,"")&amp;IF(N(AH44)&gt;0,", "&amp;AH$2,"")&amp;IF(N(AI44)&gt;0,", "&amp;AI$2,"")&amp;IF(N(AJ44)&gt;0,", "&amp;AJ$2,""),3,999)</f>
        <v/>
      </c>
      <c r="AM44" s="87" t="str">
        <f aca="false">IF(E44="","",MID(IF(N(Y44)&gt;0,", "&amp;A44&amp;"-"&amp;Y$2,"")&amp;IF(N(Z44)&gt;0,", "&amp;A44&amp;"-"&amp;Z$2,"")&amp;IF(N(AA44)&gt;0,", "&amp;A44&amp;"-"&amp;AA$2,"")&amp;IF(N(AB44)&gt;0,", "&amp;A44&amp;"-"&amp;AB$2,"")&amp;IF(N(AC44)&gt;0,", "&amp;A44&amp;"-"&amp;AC$2,"")&amp;IF(N(AD44)&gt;0,", "&amp;A44&amp;"-"&amp;AD$2,"")&amp;IF(N(AE44)&gt;0,", "&amp;A44&amp;"-"&amp;AE$2,"")&amp;IF(N(AF44)&gt;0,", "&amp;A44&amp;"-"&amp;AF$2,"")&amp;IF(N(AG44)&gt;0,", "&amp;A44&amp;"-"&amp;AG$2,"")&amp;IF(N(AH44)&gt;0,", "&amp;A44&amp;"-"&amp;AH$2,"")&amp;IF(N(AI44)&gt;0,", "&amp;A44&amp;"-"&amp;AI$2,"")&amp;IF(N(AJ44)&gt;0,", "&amp;A44&amp;"-"&amp;AJ$2,""),3,999))</f>
        <v/>
      </c>
      <c r="AN44" s="81"/>
      <c r="AO44" s="88"/>
      <c r="AP44" s="89" t="str">
        <f aca="false">IF(AO44="","",ROUND(AO44/(1+Справочники!$B$13),2))</f>
        <v/>
      </c>
      <c r="AQ44" s="90" t="str">
        <f aca="false" t="array" ref="AQ44:AQ44">IF(AP44="","",AP44*INDEX(Справочники!$B$4:$B$7,MATCH("RUB",Справочники!$A$4:$A$7,0)))</f>
        <v/>
      </c>
      <c r="AR44" s="90" t="str">
        <f aca="false">IF(AQ44="","",ROUND(AQ44*(1+Справочники!$B$12),0))</f>
        <v/>
      </c>
      <c r="AS44" s="90" t="str">
        <f aca="false">IF(AR44="","",ROUND(AR44*(1-Справочники!$B$11),0))</f>
        <v/>
      </c>
      <c r="AT44" s="88"/>
      <c r="AU44" s="90" t="str">
        <f aca="false">IF(AT44="","",ROUND(AT44/(1+Справочники!$B$12),0))</f>
        <v/>
      </c>
      <c r="AV44" s="90" t="str">
        <f aca="false">IF(AT44="","",ROUND(AT44*(1-Справочники!$B$15),0))</f>
        <v/>
      </c>
      <c r="AW44" s="90" t="str">
        <f aca="false">IF(AT44="","",ROUND(AT44*(1-Справочники!$B$16),0))</f>
        <v/>
      </c>
      <c r="AX44" s="90" t="str">
        <f aca="false">IF(AT44="","",ROUND(AT44*(1-Справочники!$B$17),0))</f>
        <v/>
      </c>
      <c r="AY44" s="90" t="str">
        <f aca="false">IF(AT44="","",ROUND(AT44*(1-Справочники!$B$18),0))</f>
        <v/>
      </c>
      <c r="AZ44" s="90" t="str">
        <f aca="false">IF(AT44="","",ROUND(AT44*(1-Справочники!$B$19),0))</f>
        <v/>
      </c>
      <c r="BA44" s="81"/>
      <c r="BB44" s="81"/>
      <c r="BC44" s="81"/>
      <c r="BD44" s="81"/>
      <c r="BE44" s="91"/>
      <c r="BF44" s="81" t="s">
        <v>103</v>
      </c>
      <c r="BG44" s="89" t="n">
        <f aca="false" t="array" ref="BG44:BG44">IF(BF44="","",IFERROR(INDEX(Справочники!$B$4:$B$7,MATCH(BF44,Справочники!$A$4:$A$7,0)),""))</f>
        <v>68.5</v>
      </c>
      <c r="BH44" s="90" t="str">
        <f aca="false">IF(N(BN44)&gt;0,ROUND(SUMIF(ЗАКАЗЫ!$F$3:$F$500,$A44,ЗАКАЗЫ!$Y$3:$Y$500)/BN44,0),IF(OR(BE44="",BG44=""),"",ROUND(BE44*BG44*(1+Справочники!$B$10),0)))</f>
        <v/>
      </c>
      <c r="BI44" s="92" t="str">
        <f aca="false">IF(OR(AU44="",BH44="",AU44=0),"",(AU44-BH44)/AU44)</f>
        <v/>
      </c>
      <c r="BJ44" s="81"/>
      <c r="BK44" s="83"/>
      <c r="BL44" s="43" t="str">
        <f aca="false">IFERROR(INDEX(ЗАКАЗЫ!$N$3:$N$500,MATCH($A44,ЗАКАЗЫ!$F$3:$F$500,0)),"")</f>
        <v/>
      </c>
      <c r="BM44" s="8" t="str">
        <f aca="false">IF(BL44="","",IFERROR(VLOOKUP(BL44,'ТН ВЭД'!$A$4:$C$40,3,0),""))</f>
        <v/>
      </c>
      <c r="BN44" s="7" t="str">
        <f aca="false">IF(COUNTIF(ЗАКАЗЫ!$F$3:$F$500,$A44)=0,"",SUMIF(ЗАКАЗЫ!$F$3:$F$500,$A44,ЗАКАЗЫ!$J$3:$J$500))</f>
        <v/>
      </c>
      <c r="BO44" s="7" t="str">
        <f aca="false">IF(BN44="","",SUMIF(ЗАКАЗЫ!$F$3:$F$500,$A44,ЗАКАЗЫ!$AL$3:$AL$500))</f>
        <v/>
      </c>
      <c r="BP44" s="7" t="str">
        <f aca="false">IF(BN44="","",BN44-BO44)</f>
        <v/>
      </c>
      <c r="BQ44" s="55" t="str">
        <f aca="false">IF(BN44="","",IF(BO44&gt;=BN44,"На складе",IF(BO44&gt;0,"Частично","Ждём")))</f>
        <v/>
      </c>
      <c r="BR44" s="43"/>
      <c r="BS44" s="47" t="str">
        <f aca="false">IF(BN44="","",IF(_xlfn.MAXIFS(ЗАКАЗЫ!$AK$3:$AK$500,ЗАКАЗЫ!$F$3:$F$500,$A44)=0,"",_xlfn.MAXIFS(ЗАКАЗЫ!$AK$3:$AK$500,ЗАКАЗЫ!$F$3:$F$500,$A44)))</f>
        <v/>
      </c>
    </row>
    <row r="45" customFormat="false" ht="15.75" hidden="false" customHeight="true" outlineLevel="0" collapsed="false">
      <c r="A45" s="80" t="s">
        <v>1912</v>
      </c>
      <c r="B45" s="81"/>
      <c r="C45" s="81"/>
      <c r="D45" s="81"/>
      <c r="E45" s="83"/>
      <c r="F45" s="81"/>
      <c r="G45" s="83"/>
      <c r="H45" s="83"/>
      <c r="I45" s="84" t="str">
        <f aca="false">IF(E45="","",A45&amp;"_1.jpg")</f>
        <v/>
      </c>
      <c r="J45" s="84" t="str">
        <f aca="false">IF(E45="","",A45&amp;"_2.jpg; "&amp;A45&amp;"_3.jpg")</f>
        <v/>
      </c>
      <c r="K45" s="84" t="str">
        <f aca="false">IF(E45="","",A45&amp;"_schema.jpg")</f>
        <v/>
      </c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 t="s">
        <v>96</v>
      </c>
      <c r="W45" s="81"/>
      <c r="X45" s="81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6" t="str">
        <f aca="false">IF(SUM(Y45:AJ45)=0,"",SUM(Y45:AJ45))</f>
        <v/>
      </c>
      <c r="AL45" s="84" t="str">
        <f aca="false">MID(IF(N(Y45)&gt;0,", "&amp;Y$2,"")&amp;IF(N(Z45)&gt;0,", "&amp;Z$2,"")&amp;IF(N(AA45)&gt;0,", "&amp;AA$2,"")&amp;IF(N(AB45)&gt;0,", "&amp;AB$2,"")&amp;IF(N(AC45)&gt;0,", "&amp;AC$2,"")&amp;IF(N(AD45)&gt;0,", "&amp;AD$2,"")&amp;IF(N(AE45)&gt;0,", "&amp;AE$2,"")&amp;IF(N(AF45)&gt;0,", "&amp;AF$2,"")&amp;IF(N(AG45)&gt;0,", "&amp;AG$2,"")&amp;IF(N(AH45)&gt;0,", "&amp;AH$2,"")&amp;IF(N(AI45)&gt;0,", "&amp;AI$2,"")&amp;IF(N(AJ45)&gt;0,", "&amp;AJ$2,""),3,999)</f>
        <v/>
      </c>
      <c r="AM45" s="87" t="str">
        <f aca="false">IF(E45="","",MID(IF(N(Y45)&gt;0,", "&amp;A45&amp;"-"&amp;Y$2,"")&amp;IF(N(Z45)&gt;0,", "&amp;A45&amp;"-"&amp;Z$2,"")&amp;IF(N(AA45)&gt;0,", "&amp;A45&amp;"-"&amp;AA$2,"")&amp;IF(N(AB45)&gt;0,", "&amp;A45&amp;"-"&amp;AB$2,"")&amp;IF(N(AC45)&gt;0,", "&amp;A45&amp;"-"&amp;AC$2,"")&amp;IF(N(AD45)&gt;0,", "&amp;A45&amp;"-"&amp;AD$2,"")&amp;IF(N(AE45)&gt;0,", "&amp;A45&amp;"-"&amp;AE$2,"")&amp;IF(N(AF45)&gt;0,", "&amp;A45&amp;"-"&amp;AF$2,"")&amp;IF(N(AG45)&gt;0,", "&amp;A45&amp;"-"&amp;AG$2,"")&amp;IF(N(AH45)&gt;0,", "&amp;A45&amp;"-"&amp;AH$2,"")&amp;IF(N(AI45)&gt;0,", "&amp;A45&amp;"-"&amp;AI$2,"")&amp;IF(N(AJ45)&gt;0,", "&amp;A45&amp;"-"&amp;AJ$2,""),3,999))</f>
        <v/>
      </c>
      <c r="AN45" s="81"/>
      <c r="AO45" s="88"/>
      <c r="AP45" s="89" t="str">
        <f aca="false">IF(AO45="","",ROUND(AO45/(1+Справочники!$B$13),2))</f>
        <v/>
      </c>
      <c r="AQ45" s="90" t="str">
        <f aca="false" t="array" ref="AQ45:AQ45">IF(AP45="","",AP45*INDEX(Справочники!$B$4:$B$7,MATCH("RUB",Справочники!$A$4:$A$7,0)))</f>
        <v/>
      </c>
      <c r="AR45" s="90" t="str">
        <f aca="false">IF(AQ45="","",ROUND(AQ45*(1+Справочники!$B$12),0))</f>
        <v/>
      </c>
      <c r="AS45" s="90" t="str">
        <f aca="false">IF(AR45="","",ROUND(AR45*(1-Справочники!$B$11),0))</f>
        <v/>
      </c>
      <c r="AT45" s="88"/>
      <c r="AU45" s="90" t="str">
        <f aca="false">IF(AT45="","",ROUND(AT45/(1+Справочники!$B$12),0))</f>
        <v/>
      </c>
      <c r="AV45" s="90" t="str">
        <f aca="false">IF(AT45="","",ROUND(AT45*(1-Справочники!$B$15),0))</f>
        <v/>
      </c>
      <c r="AW45" s="90" t="str">
        <f aca="false">IF(AT45="","",ROUND(AT45*(1-Справочники!$B$16),0))</f>
        <v/>
      </c>
      <c r="AX45" s="90" t="str">
        <f aca="false">IF(AT45="","",ROUND(AT45*(1-Справочники!$B$17),0))</f>
        <v/>
      </c>
      <c r="AY45" s="90" t="str">
        <f aca="false">IF(AT45="","",ROUND(AT45*(1-Справочники!$B$18),0))</f>
        <v/>
      </c>
      <c r="AZ45" s="90" t="str">
        <f aca="false">IF(AT45="","",ROUND(AT45*(1-Справочники!$B$19),0))</f>
        <v/>
      </c>
      <c r="BA45" s="81"/>
      <c r="BB45" s="81"/>
      <c r="BC45" s="81"/>
      <c r="BD45" s="81"/>
      <c r="BE45" s="91"/>
      <c r="BF45" s="81" t="s">
        <v>103</v>
      </c>
      <c r="BG45" s="89" t="n">
        <f aca="false" t="array" ref="BG45:BG45">IF(BF45="","",IFERROR(INDEX(Справочники!$B$4:$B$7,MATCH(BF45,Справочники!$A$4:$A$7,0)),""))</f>
        <v>68.5</v>
      </c>
      <c r="BH45" s="90" t="str">
        <f aca="false">IF(N(BN45)&gt;0,ROUND(SUMIF(ЗАКАЗЫ!$F$3:$F$500,$A45,ЗАКАЗЫ!$Y$3:$Y$500)/BN45,0),IF(OR(BE45="",BG45=""),"",ROUND(BE45*BG45*(1+Справочники!$B$10),0)))</f>
        <v/>
      </c>
      <c r="BI45" s="92" t="str">
        <f aca="false">IF(OR(AU45="",BH45="",AU45=0),"",(AU45-BH45)/AU45)</f>
        <v/>
      </c>
      <c r="BJ45" s="81"/>
      <c r="BK45" s="83"/>
      <c r="BL45" s="43" t="str">
        <f aca="false">IFERROR(INDEX(ЗАКАЗЫ!$N$3:$N$500,MATCH($A45,ЗАКАЗЫ!$F$3:$F$500,0)),"")</f>
        <v/>
      </c>
      <c r="BM45" s="8" t="str">
        <f aca="false">IF(BL45="","",IFERROR(VLOOKUP(BL45,'ТН ВЭД'!$A$4:$C$40,3,0),""))</f>
        <v/>
      </c>
      <c r="BN45" s="7" t="str">
        <f aca="false">IF(COUNTIF(ЗАКАЗЫ!$F$3:$F$500,$A45)=0,"",SUMIF(ЗАКАЗЫ!$F$3:$F$500,$A45,ЗАКАЗЫ!$J$3:$J$500))</f>
        <v/>
      </c>
      <c r="BO45" s="7" t="str">
        <f aca="false">IF(BN45="","",SUMIF(ЗАКАЗЫ!$F$3:$F$500,$A45,ЗАКАЗЫ!$AL$3:$AL$500))</f>
        <v/>
      </c>
      <c r="BP45" s="7" t="str">
        <f aca="false">IF(BN45="","",BN45-BO45)</f>
        <v/>
      </c>
      <c r="BQ45" s="55" t="str">
        <f aca="false">IF(BN45="","",IF(BO45&gt;=BN45,"На складе",IF(BO45&gt;0,"Частично","Ждём")))</f>
        <v/>
      </c>
      <c r="BR45" s="43"/>
      <c r="BS45" s="47" t="str">
        <f aca="false">IF(BN45="","",IF(_xlfn.MAXIFS(ЗАКАЗЫ!$AK$3:$AK$500,ЗАКАЗЫ!$F$3:$F$500,$A45)=0,"",_xlfn.MAXIFS(ЗАКАЗЫ!$AK$3:$AK$500,ЗАКАЗЫ!$F$3:$F$500,$A45)))</f>
        <v/>
      </c>
    </row>
    <row r="46" customFormat="false" ht="15.75" hidden="false" customHeight="true" outlineLevel="0" collapsed="false">
      <c r="A46" s="80" t="s">
        <v>1913</v>
      </c>
      <c r="B46" s="81"/>
      <c r="C46" s="81"/>
      <c r="D46" s="81"/>
      <c r="E46" s="83"/>
      <c r="F46" s="81"/>
      <c r="G46" s="83"/>
      <c r="H46" s="83"/>
      <c r="I46" s="84" t="str">
        <f aca="false">IF(E46="","",A46&amp;"_1.jpg")</f>
        <v/>
      </c>
      <c r="J46" s="84" t="str">
        <f aca="false">IF(E46="","",A46&amp;"_2.jpg; "&amp;A46&amp;"_3.jpg")</f>
        <v/>
      </c>
      <c r="K46" s="84" t="str">
        <f aca="false">IF(E46="","",A46&amp;"_schema.jpg")</f>
        <v/>
      </c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 t="s">
        <v>96</v>
      </c>
      <c r="W46" s="81"/>
      <c r="X46" s="81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6" t="str">
        <f aca="false">IF(SUM(Y46:AJ46)=0,"",SUM(Y46:AJ46))</f>
        <v/>
      </c>
      <c r="AL46" s="84" t="str">
        <f aca="false">MID(IF(N(Y46)&gt;0,", "&amp;Y$2,"")&amp;IF(N(Z46)&gt;0,", "&amp;Z$2,"")&amp;IF(N(AA46)&gt;0,", "&amp;AA$2,"")&amp;IF(N(AB46)&gt;0,", "&amp;AB$2,"")&amp;IF(N(AC46)&gt;0,", "&amp;AC$2,"")&amp;IF(N(AD46)&gt;0,", "&amp;AD$2,"")&amp;IF(N(AE46)&gt;0,", "&amp;AE$2,"")&amp;IF(N(AF46)&gt;0,", "&amp;AF$2,"")&amp;IF(N(AG46)&gt;0,", "&amp;AG$2,"")&amp;IF(N(AH46)&gt;0,", "&amp;AH$2,"")&amp;IF(N(AI46)&gt;0,", "&amp;AI$2,"")&amp;IF(N(AJ46)&gt;0,", "&amp;AJ$2,""),3,999)</f>
        <v/>
      </c>
      <c r="AM46" s="87" t="str">
        <f aca="false">IF(E46="","",MID(IF(N(Y46)&gt;0,", "&amp;A46&amp;"-"&amp;Y$2,"")&amp;IF(N(Z46)&gt;0,", "&amp;A46&amp;"-"&amp;Z$2,"")&amp;IF(N(AA46)&gt;0,", "&amp;A46&amp;"-"&amp;AA$2,"")&amp;IF(N(AB46)&gt;0,", "&amp;A46&amp;"-"&amp;AB$2,"")&amp;IF(N(AC46)&gt;0,", "&amp;A46&amp;"-"&amp;AC$2,"")&amp;IF(N(AD46)&gt;0,", "&amp;A46&amp;"-"&amp;AD$2,"")&amp;IF(N(AE46)&gt;0,", "&amp;A46&amp;"-"&amp;AE$2,"")&amp;IF(N(AF46)&gt;0,", "&amp;A46&amp;"-"&amp;AF$2,"")&amp;IF(N(AG46)&gt;0,", "&amp;A46&amp;"-"&amp;AG$2,"")&amp;IF(N(AH46)&gt;0,", "&amp;A46&amp;"-"&amp;AH$2,"")&amp;IF(N(AI46)&gt;0,", "&amp;A46&amp;"-"&amp;AI$2,"")&amp;IF(N(AJ46)&gt;0,", "&amp;A46&amp;"-"&amp;AJ$2,""),3,999))</f>
        <v/>
      </c>
      <c r="AN46" s="81"/>
      <c r="AO46" s="88"/>
      <c r="AP46" s="89" t="str">
        <f aca="false">IF(AO46="","",ROUND(AO46/(1+Справочники!$B$13),2))</f>
        <v/>
      </c>
      <c r="AQ46" s="90" t="str">
        <f aca="false" t="array" ref="AQ46:AQ46">IF(AP46="","",AP46*INDEX(Справочники!$B$4:$B$7,MATCH("RUB",Справочники!$A$4:$A$7,0)))</f>
        <v/>
      </c>
      <c r="AR46" s="90" t="str">
        <f aca="false">IF(AQ46="","",ROUND(AQ46*(1+Справочники!$B$12),0))</f>
        <v/>
      </c>
      <c r="AS46" s="90" t="str">
        <f aca="false">IF(AR46="","",ROUND(AR46*(1-Справочники!$B$11),0))</f>
        <v/>
      </c>
      <c r="AT46" s="88"/>
      <c r="AU46" s="90" t="str">
        <f aca="false">IF(AT46="","",ROUND(AT46/(1+Справочники!$B$12),0))</f>
        <v/>
      </c>
      <c r="AV46" s="90" t="str">
        <f aca="false">IF(AT46="","",ROUND(AT46*(1-Справочники!$B$15),0))</f>
        <v/>
      </c>
      <c r="AW46" s="90" t="str">
        <f aca="false">IF(AT46="","",ROUND(AT46*(1-Справочники!$B$16),0))</f>
        <v/>
      </c>
      <c r="AX46" s="90" t="str">
        <f aca="false">IF(AT46="","",ROUND(AT46*(1-Справочники!$B$17),0))</f>
        <v/>
      </c>
      <c r="AY46" s="90" t="str">
        <f aca="false">IF(AT46="","",ROUND(AT46*(1-Справочники!$B$18),0))</f>
        <v/>
      </c>
      <c r="AZ46" s="90" t="str">
        <f aca="false">IF(AT46="","",ROUND(AT46*(1-Справочники!$B$19),0))</f>
        <v/>
      </c>
      <c r="BA46" s="81"/>
      <c r="BB46" s="81"/>
      <c r="BC46" s="81"/>
      <c r="BD46" s="81"/>
      <c r="BE46" s="91"/>
      <c r="BF46" s="81" t="s">
        <v>103</v>
      </c>
      <c r="BG46" s="89" t="n">
        <f aca="false" t="array" ref="BG46:BG46">IF(BF46="","",IFERROR(INDEX(Справочники!$B$4:$B$7,MATCH(BF46,Справочники!$A$4:$A$7,0)),""))</f>
        <v>68.5</v>
      </c>
      <c r="BH46" s="90" t="str">
        <f aca="false">IF(N(BN46)&gt;0,ROUND(SUMIF(ЗАКАЗЫ!$F$3:$F$500,$A46,ЗАКАЗЫ!$Y$3:$Y$500)/BN46,0),IF(OR(BE46="",BG46=""),"",ROUND(BE46*BG46*(1+Справочники!$B$10),0)))</f>
        <v/>
      </c>
      <c r="BI46" s="92" t="str">
        <f aca="false">IF(OR(AU46="",BH46="",AU46=0),"",(AU46-BH46)/AU46)</f>
        <v/>
      </c>
      <c r="BJ46" s="81"/>
      <c r="BK46" s="83"/>
      <c r="BL46" s="43" t="str">
        <f aca="false">IFERROR(INDEX(ЗАКАЗЫ!$N$3:$N$500,MATCH($A46,ЗАКАЗЫ!$F$3:$F$500,0)),"")</f>
        <v/>
      </c>
      <c r="BM46" s="8" t="str">
        <f aca="false">IF(BL46="","",IFERROR(VLOOKUP(BL46,'ТН ВЭД'!$A$4:$C$40,3,0),""))</f>
        <v/>
      </c>
      <c r="BN46" s="7" t="str">
        <f aca="false">IF(COUNTIF(ЗАКАЗЫ!$F$3:$F$500,$A46)=0,"",SUMIF(ЗАКАЗЫ!$F$3:$F$500,$A46,ЗАКАЗЫ!$J$3:$J$500))</f>
        <v/>
      </c>
      <c r="BO46" s="7" t="str">
        <f aca="false">IF(BN46="","",SUMIF(ЗАКАЗЫ!$F$3:$F$500,$A46,ЗАКАЗЫ!$AL$3:$AL$500))</f>
        <v/>
      </c>
      <c r="BP46" s="7" t="str">
        <f aca="false">IF(BN46="","",BN46-BO46)</f>
        <v/>
      </c>
      <c r="BQ46" s="55" t="str">
        <f aca="false">IF(BN46="","",IF(BO46&gt;=BN46,"На складе",IF(BO46&gt;0,"Частично","Ждём")))</f>
        <v/>
      </c>
      <c r="BR46" s="43"/>
      <c r="BS46" s="47" t="str">
        <f aca="false">IF(BN46="","",IF(_xlfn.MAXIFS(ЗАКАЗЫ!$AK$3:$AK$500,ЗАКАЗЫ!$F$3:$F$500,$A46)=0,"",_xlfn.MAXIFS(ЗАКАЗЫ!$AK$3:$AK$500,ЗАКАЗЫ!$F$3:$F$500,$A46)))</f>
        <v/>
      </c>
    </row>
    <row r="47" customFormat="false" ht="15.75" hidden="false" customHeight="true" outlineLevel="0" collapsed="false">
      <c r="A47" s="80" t="s">
        <v>1914</v>
      </c>
      <c r="B47" s="81"/>
      <c r="C47" s="81"/>
      <c r="D47" s="81"/>
      <c r="E47" s="83"/>
      <c r="F47" s="81"/>
      <c r="G47" s="83"/>
      <c r="H47" s="83"/>
      <c r="I47" s="84" t="str">
        <f aca="false">IF(E47="","",A47&amp;"_1.jpg")</f>
        <v/>
      </c>
      <c r="J47" s="84" t="str">
        <f aca="false">IF(E47="","",A47&amp;"_2.jpg; "&amp;A47&amp;"_3.jpg")</f>
        <v/>
      </c>
      <c r="K47" s="84" t="str">
        <f aca="false">IF(E47="","",A47&amp;"_schema.jpg")</f>
        <v/>
      </c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 t="s">
        <v>96</v>
      </c>
      <c r="W47" s="81"/>
      <c r="X47" s="81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6" t="str">
        <f aca="false">IF(SUM(Y47:AJ47)=0,"",SUM(Y47:AJ47))</f>
        <v/>
      </c>
      <c r="AL47" s="84" t="str">
        <f aca="false">MID(IF(N(Y47)&gt;0,", "&amp;Y$2,"")&amp;IF(N(Z47)&gt;0,", "&amp;Z$2,"")&amp;IF(N(AA47)&gt;0,", "&amp;AA$2,"")&amp;IF(N(AB47)&gt;0,", "&amp;AB$2,"")&amp;IF(N(AC47)&gt;0,", "&amp;AC$2,"")&amp;IF(N(AD47)&gt;0,", "&amp;AD$2,"")&amp;IF(N(AE47)&gt;0,", "&amp;AE$2,"")&amp;IF(N(AF47)&gt;0,", "&amp;AF$2,"")&amp;IF(N(AG47)&gt;0,", "&amp;AG$2,"")&amp;IF(N(AH47)&gt;0,", "&amp;AH$2,"")&amp;IF(N(AI47)&gt;0,", "&amp;AI$2,"")&amp;IF(N(AJ47)&gt;0,", "&amp;AJ$2,""),3,999)</f>
        <v/>
      </c>
      <c r="AM47" s="87" t="str">
        <f aca="false">IF(E47="","",MID(IF(N(Y47)&gt;0,", "&amp;A47&amp;"-"&amp;Y$2,"")&amp;IF(N(Z47)&gt;0,", "&amp;A47&amp;"-"&amp;Z$2,"")&amp;IF(N(AA47)&gt;0,", "&amp;A47&amp;"-"&amp;AA$2,"")&amp;IF(N(AB47)&gt;0,", "&amp;A47&amp;"-"&amp;AB$2,"")&amp;IF(N(AC47)&gt;0,", "&amp;A47&amp;"-"&amp;AC$2,"")&amp;IF(N(AD47)&gt;0,", "&amp;A47&amp;"-"&amp;AD$2,"")&amp;IF(N(AE47)&gt;0,", "&amp;A47&amp;"-"&amp;AE$2,"")&amp;IF(N(AF47)&gt;0,", "&amp;A47&amp;"-"&amp;AF$2,"")&amp;IF(N(AG47)&gt;0,", "&amp;A47&amp;"-"&amp;AG$2,"")&amp;IF(N(AH47)&gt;0,", "&amp;A47&amp;"-"&amp;AH$2,"")&amp;IF(N(AI47)&gt;0,", "&amp;A47&amp;"-"&amp;AI$2,"")&amp;IF(N(AJ47)&gt;0,", "&amp;A47&amp;"-"&amp;AJ$2,""),3,999))</f>
        <v/>
      </c>
      <c r="AN47" s="81"/>
      <c r="AO47" s="88"/>
      <c r="AP47" s="89" t="str">
        <f aca="false">IF(AO47="","",ROUND(AO47/(1+Справочники!$B$13),2))</f>
        <v/>
      </c>
      <c r="AQ47" s="90" t="str">
        <f aca="false" t="array" ref="AQ47:AQ47">IF(AP47="","",AP47*INDEX(Справочники!$B$4:$B$7,MATCH("RUB",Справочники!$A$4:$A$7,0)))</f>
        <v/>
      </c>
      <c r="AR47" s="90" t="str">
        <f aca="false">IF(AQ47="","",ROUND(AQ47*(1+Справочники!$B$12),0))</f>
        <v/>
      </c>
      <c r="AS47" s="90" t="str">
        <f aca="false">IF(AR47="","",ROUND(AR47*(1-Справочники!$B$11),0))</f>
        <v/>
      </c>
      <c r="AT47" s="88"/>
      <c r="AU47" s="90" t="str">
        <f aca="false">IF(AT47="","",ROUND(AT47/(1+Справочники!$B$12),0))</f>
        <v/>
      </c>
      <c r="AV47" s="90" t="str">
        <f aca="false">IF(AT47="","",ROUND(AT47*(1-Справочники!$B$15),0))</f>
        <v/>
      </c>
      <c r="AW47" s="90" t="str">
        <f aca="false">IF(AT47="","",ROUND(AT47*(1-Справочники!$B$16),0))</f>
        <v/>
      </c>
      <c r="AX47" s="90" t="str">
        <f aca="false">IF(AT47="","",ROUND(AT47*(1-Справочники!$B$17),0))</f>
        <v/>
      </c>
      <c r="AY47" s="90" t="str">
        <f aca="false">IF(AT47="","",ROUND(AT47*(1-Справочники!$B$18),0))</f>
        <v/>
      </c>
      <c r="AZ47" s="90" t="str">
        <f aca="false">IF(AT47="","",ROUND(AT47*(1-Справочники!$B$19),0))</f>
        <v/>
      </c>
      <c r="BA47" s="81"/>
      <c r="BB47" s="81"/>
      <c r="BC47" s="81"/>
      <c r="BD47" s="81"/>
      <c r="BE47" s="91"/>
      <c r="BF47" s="81" t="s">
        <v>103</v>
      </c>
      <c r="BG47" s="89" t="n">
        <f aca="false" t="array" ref="BG47:BG47">IF(BF47="","",IFERROR(INDEX(Справочники!$B$4:$B$7,MATCH(BF47,Справочники!$A$4:$A$7,0)),""))</f>
        <v>68.5</v>
      </c>
      <c r="BH47" s="90" t="str">
        <f aca="false">IF(N(BN47)&gt;0,ROUND(SUMIF(ЗАКАЗЫ!$F$3:$F$500,$A47,ЗАКАЗЫ!$Y$3:$Y$500)/BN47,0),IF(OR(BE47="",BG47=""),"",ROUND(BE47*BG47*(1+Справочники!$B$10),0)))</f>
        <v/>
      </c>
      <c r="BI47" s="92" t="str">
        <f aca="false">IF(OR(AU47="",BH47="",AU47=0),"",(AU47-BH47)/AU47)</f>
        <v/>
      </c>
      <c r="BJ47" s="81"/>
      <c r="BK47" s="83"/>
      <c r="BL47" s="43" t="str">
        <f aca="false">IFERROR(INDEX(ЗАКАЗЫ!$N$3:$N$500,MATCH($A47,ЗАКАЗЫ!$F$3:$F$500,0)),"")</f>
        <v/>
      </c>
      <c r="BM47" s="8" t="str">
        <f aca="false">IF(BL47="","",IFERROR(VLOOKUP(BL47,'ТН ВЭД'!$A$4:$C$40,3,0),""))</f>
        <v/>
      </c>
      <c r="BN47" s="7" t="str">
        <f aca="false">IF(COUNTIF(ЗАКАЗЫ!$F$3:$F$500,$A47)=0,"",SUMIF(ЗАКАЗЫ!$F$3:$F$500,$A47,ЗАКАЗЫ!$J$3:$J$500))</f>
        <v/>
      </c>
      <c r="BO47" s="7" t="str">
        <f aca="false">IF(BN47="","",SUMIF(ЗАКАЗЫ!$F$3:$F$500,$A47,ЗАКАЗЫ!$AL$3:$AL$500))</f>
        <v/>
      </c>
      <c r="BP47" s="7" t="str">
        <f aca="false">IF(BN47="","",BN47-BO47)</f>
        <v/>
      </c>
      <c r="BQ47" s="55" t="str">
        <f aca="false">IF(BN47="","",IF(BO47&gt;=BN47,"На складе",IF(BO47&gt;0,"Частично","Ждём")))</f>
        <v/>
      </c>
      <c r="BR47" s="43"/>
      <c r="BS47" s="47" t="str">
        <f aca="false">IF(BN47="","",IF(_xlfn.MAXIFS(ЗАКАЗЫ!$AK$3:$AK$500,ЗАКАЗЫ!$F$3:$F$500,$A47)=0,"",_xlfn.MAXIFS(ЗАКАЗЫ!$AK$3:$AK$500,ЗАКАЗЫ!$F$3:$F$500,$A47)))</f>
        <v/>
      </c>
    </row>
    <row r="48" customFormat="false" ht="15.75" hidden="false" customHeight="true" outlineLevel="0" collapsed="false">
      <c r="A48" s="80" t="s">
        <v>1915</v>
      </c>
      <c r="B48" s="81"/>
      <c r="C48" s="81"/>
      <c r="D48" s="81"/>
      <c r="E48" s="83"/>
      <c r="F48" s="81"/>
      <c r="G48" s="83"/>
      <c r="H48" s="83"/>
      <c r="I48" s="84" t="str">
        <f aca="false">IF(E48="","",A48&amp;"_1.jpg")</f>
        <v/>
      </c>
      <c r="J48" s="84" t="str">
        <f aca="false">IF(E48="","",A48&amp;"_2.jpg; "&amp;A48&amp;"_3.jpg")</f>
        <v/>
      </c>
      <c r="K48" s="84" t="str">
        <f aca="false">IF(E48="","",A48&amp;"_schema.jpg")</f>
        <v/>
      </c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 t="s">
        <v>96</v>
      </c>
      <c r="W48" s="81"/>
      <c r="X48" s="81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6" t="str">
        <f aca="false">IF(SUM(Y48:AJ48)=0,"",SUM(Y48:AJ48))</f>
        <v/>
      </c>
      <c r="AL48" s="84" t="str">
        <f aca="false">MID(IF(N(Y48)&gt;0,", "&amp;Y$2,"")&amp;IF(N(Z48)&gt;0,", "&amp;Z$2,"")&amp;IF(N(AA48)&gt;0,", "&amp;AA$2,"")&amp;IF(N(AB48)&gt;0,", "&amp;AB$2,"")&amp;IF(N(AC48)&gt;0,", "&amp;AC$2,"")&amp;IF(N(AD48)&gt;0,", "&amp;AD$2,"")&amp;IF(N(AE48)&gt;0,", "&amp;AE$2,"")&amp;IF(N(AF48)&gt;0,", "&amp;AF$2,"")&amp;IF(N(AG48)&gt;0,", "&amp;AG$2,"")&amp;IF(N(AH48)&gt;0,", "&amp;AH$2,"")&amp;IF(N(AI48)&gt;0,", "&amp;AI$2,"")&amp;IF(N(AJ48)&gt;0,", "&amp;AJ$2,""),3,999)</f>
        <v/>
      </c>
      <c r="AM48" s="87" t="str">
        <f aca="false">IF(E48="","",MID(IF(N(Y48)&gt;0,", "&amp;A48&amp;"-"&amp;Y$2,"")&amp;IF(N(Z48)&gt;0,", "&amp;A48&amp;"-"&amp;Z$2,"")&amp;IF(N(AA48)&gt;0,", "&amp;A48&amp;"-"&amp;AA$2,"")&amp;IF(N(AB48)&gt;0,", "&amp;A48&amp;"-"&amp;AB$2,"")&amp;IF(N(AC48)&gt;0,", "&amp;A48&amp;"-"&amp;AC$2,"")&amp;IF(N(AD48)&gt;0,", "&amp;A48&amp;"-"&amp;AD$2,"")&amp;IF(N(AE48)&gt;0,", "&amp;A48&amp;"-"&amp;AE$2,"")&amp;IF(N(AF48)&gt;0,", "&amp;A48&amp;"-"&amp;AF$2,"")&amp;IF(N(AG48)&gt;0,", "&amp;A48&amp;"-"&amp;AG$2,"")&amp;IF(N(AH48)&gt;0,", "&amp;A48&amp;"-"&amp;AH$2,"")&amp;IF(N(AI48)&gt;0,", "&amp;A48&amp;"-"&amp;AI$2,"")&amp;IF(N(AJ48)&gt;0,", "&amp;A48&amp;"-"&amp;AJ$2,""),3,999))</f>
        <v/>
      </c>
      <c r="AN48" s="81"/>
      <c r="AO48" s="88"/>
      <c r="AP48" s="89" t="str">
        <f aca="false">IF(AO48="","",ROUND(AO48/(1+Справочники!$B$13),2))</f>
        <v/>
      </c>
      <c r="AQ48" s="90" t="str">
        <f aca="false" t="array" ref="AQ48:AQ48">IF(AP48="","",AP48*INDEX(Справочники!$B$4:$B$7,MATCH("RUB",Справочники!$A$4:$A$7,0)))</f>
        <v/>
      </c>
      <c r="AR48" s="90" t="str">
        <f aca="false">IF(AQ48="","",ROUND(AQ48*(1+Справочники!$B$12),0))</f>
        <v/>
      </c>
      <c r="AS48" s="90" t="str">
        <f aca="false">IF(AR48="","",ROUND(AR48*(1-Справочники!$B$11),0))</f>
        <v/>
      </c>
      <c r="AT48" s="88"/>
      <c r="AU48" s="90" t="str">
        <f aca="false">IF(AT48="","",ROUND(AT48/(1+Справочники!$B$12),0))</f>
        <v/>
      </c>
      <c r="AV48" s="90" t="str">
        <f aca="false">IF(AT48="","",ROUND(AT48*(1-Справочники!$B$15),0))</f>
        <v/>
      </c>
      <c r="AW48" s="90" t="str">
        <f aca="false">IF(AT48="","",ROUND(AT48*(1-Справочники!$B$16),0))</f>
        <v/>
      </c>
      <c r="AX48" s="90" t="str">
        <f aca="false">IF(AT48="","",ROUND(AT48*(1-Справочники!$B$17),0))</f>
        <v/>
      </c>
      <c r="AY48" s="90" t="str">
        <f aca="false">IF(AT48="","",ROUND(AT48*(1-Справочники!$B$18),0))</f>
        <v/>
      </c>
      <c r="AZ48" s="90" t="str">
        <f aca="false">IF(AT48="","",ROUND(AT48*(1-Справочники!$B$19),0))</f>
        <v/>
      </c>
      <c r="BA48" s="81"/>
      <c r="BB48" s="81"/>
      <c r="BC48" s="81"/>
      <c r="BD48" s="81"/>
      <c r="BE48" s="91"/>
      <c r="BF48" s="81" t="s">
        <v>103</v>
      </c>
      <c r="BG48" s="89" t="n">
        <f aca="false" t="array" ref="BG48:BG48">IF(BF48="","",IFERROR(INDEX(Справочники!$B$4:$B$7,MATCH(BF48,Справочники!$A$4:$A$7,0)),""))</f>
        <v>68.5</v>
      </c>
      <c r="BH48" s="90" t="str">
        <f aca="false">IF(N(BN48)&gt;0,ROUND(SUMIF(ЗАКАЗЫ!$F$3:$F$500,$A48,ЗАКАЗЫ!$Y$3:$Y$500)/BN48,0),IF(OR(BE48="",BG48=""),"",ROUND(BE48*BG48*(1+Справочники!$B$10),0)))</f>
        <v/>
      </c>
      <c r="BI48" s="92" t="str">
        <f aca="false">IF(OR(AU48="",BH48="",AU48=0),"",(AU48-BH48)/AU48)</f>
        <v/>
      </c>
      <c r="BJ48" s="81"/>
      <c r="BK48" s="83"/>
      <c r="BL48" s="43" t="str">
        <f aca="false">IFERROR(INDEX(ЗАКАЗЫ!$N$3:$N$500,MATCH($A48,ЗАКАЗЫ!$F$3:$F$500,0)),"")</f>
        <v/>
      </c>
      <c r="BM48" s="8" t="str">
        <f aca="false">IF(BL48="","",IFERROR(VLOOKUP(BL48,'ТН ВЭД'!$A$4:$C$40,3,0),""))</f>
        <v/>
      </c>
      <c r="BN48" s="7" t="str">
        <f aca="false">IF(COUNTIF(ЗАКАЗЫ!$F$3:$F$500,$A48)=0,"",SUMIF(ЗАКАЗЫ!$F$3:$F$500,$A48,ЗАКАЗЫ!$J$3:$J$500))</f>
        <v/>
      </c>
      <c r="BO48" s="7" t="str">
        <f aca="false">IF(BN48="","",SUMIF(ЗАКАЗЫ!$F$3:$F$500,$A48,ЗАКАЗЫ!$AL$3:$AL$500))</f>
        <v/>
      </c>
      <c r="BP48" s="7" t="str">
        <f aca="false">IF(BN48="","",BN48-BO48)</f>
        <v/>
      </c>
      <c r="BQ48" s="55" t="str">
        <f aca="false">IF(BN48="","",IF(BO48&gt;=BN48,"На складе",IF(BO48&gt;0,"Частично","Ждём")))</f>
        <v/>
      </c>
      <c r="BR48" s="43"/>
      <c r="BS48" s="47" t="str">
        <f aca="false">IF(BN48="","",IF(_xlfn.MAXIFS(ЗАКАЗЫ!$AK$3:$AK$500,ЗАКАЗЫ!$F$3:$F$500,$A48)=0,"",_xlfn.MAXIFS(ЗАКАЗЫ!$AK$3:$AK$500,ЗАКАЗЫ!$F$3:$F$500,$A48)))</f>
        <v/>
      </c>
    </row>
    <row r="49" customFormat="false" ht="15.75" hidden="false" customHeight="true" outlineLevel="0" collapsed="false">
      <c r="A49" s="80" t="s">
        <v>1916</v>
      </c>
      <c r="B49" s="81"/>
      <c r="C49" s="81"/>
      <c r="D49" s="81"/>
      <c r="E49" s="83"/>
      <c r="F49" s="81"/>
      <c r="G49" s="83"/>
      <c r="H49" s="83"/>
      <c r="I49" s="84" t="str">
        <f aca="false">IF(E49="","",A49&amp;"_1.jpg")</f>
        <v/>
      </c>
      <c r="J49" s="84" t="str">
        <f aca="false">IF(E49="","",A49&amp;"_2.jpg; "&amp;A49&amp;"_3.jpg")</f>
        <v/>
      </c>
      <c r="K49" s="84" t="str">
        <f aca="false">IF(E49="","",A49&amp;"_schema.jpg")</f>
        <v/>
      </c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 t="s">
        <v>96</v>
      </c>
      <c r="W49" s="81"/>
      <c r="X49" s="81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6" t="str">
        <f aca="false">IF(SUM(Y49:AJ49)=0,"",SUM(Y49:AJ49))</f>
        <v/>
      </c>
      <c r="AL49" s="84" t="str">
        <f aca="false">MID(IF(N(Y49)&gt;0,", "&amp;Y$2,"")&amp;IF(N(Z49)&gt;0,", "&amp;Z$2,"")&amp;IF(N(AA49)&gt;0,", "&amp;AA$2,"")&amp;IF(N(AB49)&gt;0,", "&amp;AB$2,"")&amp;IF(N(AC49)&gt;0,", "&amp;AC$2,"")&amp;IF(N(AD49)&gt;0,", "&amp;AD$2,"")&amp;IF(N(AE49)&gt;0,", "&amp;AE$2,"")&amp;IF(N(AF49)&gt;0,", "&amp;AF$2,"")&amp;IF(N(AG49)&gt;0,", "&amp;AG$2,"")&amp;IF(N(AH49)&gt;0,", "&amp;AH$2,"")&amp;IF(N(AI49)&gt;0,", "&amp;AI$2,"")&amp;IF(N(AJ49)&gt;0,", "&amp;AJ$2,""),3,999)</f>
        <v/>
      </c>
      <c r="AM49" s="87" t="str">
        <f aca="false">IF(E49="","",MID(IF(N(Y49)&gt;0,", "&amp;A49&amp;"-"&amp;Y$2,"")&amp;IF(N(Z49)&gt;0,", "&amp;A49&amp;"-"&amp;Z$2,"")&amp;IF(N(AA49)&gt;0,", "&amp;A49&amp;"-"&amp;AA$2,"")&amp;IF(N(AB49)&gt;0,", "&amp;A49&amp;"-"&amp;AB$2,"")&amp;IF(N(AC49)&gt;0,", "&amp;A49&amp;"-"&amp;AC$2,"")&amp;IF(N(AD49)&gt;0,", "&amp;A49&amp;"-"&amp;AD$2,"")&amp;IF(N(AE49)&gt;0,", "&amp;A49&amp;"-"&amp;AE$2,"")&amp;IF(N(AF49)&gt;0,", "&amp;A49&amp;"-"&amp;AF$2,"")&amp;IF(N(AG49)&gt;0,", "&amp;A49&amp;"-"&amp;AG$2,"")&amp;IF(N(AH49)&gt;0,", "&amp;A49&amp;"-"&amp;AH$2,"")&amp;IF(N(AI49)&gt;0,", "&amp;A49&amp;"-"&amp;AI$2,"")&amp;IF(N(AJ49)&gt;0,", "&amp;A49&amp;"-"&amp;AJ$2,""),3,999))</f>
        <v/>
      </c>
      <c r="AN49" s="81"/>
      <c r="AO49" s="88"/>
      <c r="AP49" s="89" t="str">
        <f aca="false">IF(AO49="","",ROUND(AO49/(1+Справочники!$B$13),2))</f>
        <v/>
      </c>
      <c r="AQ49" s="90" t="str">
        <f aca="false" t="array" ref="AQ49:AQ49">IF(AP49="","",AP49*INDEX(Справочники!$B$4:$B$7,MATCH("RUB",Справочники!$A$4:$A$7,0)))</f>
        <v/>
      </c>
      <c r="AR49" s="90" t="str">
        <f aca="false">IF(AQ49="","",ROUND(AQ49*(1+Справочники!$B$12),0))</f>
        <v/>
      </c>
      <c r="AS49" s="90" t="str">
        <f aca="false">IF(AR49="","",ROUND(AR49*(1-Справочники!$B$11),0))</f>
        <v/>
      </c>
      <c r="AT49" s="88"/>
      <c r="AU49" s="90" t="str">
        <f aca="false">IF(AT49="","",ROUND(AT49/(1+Справочники!$B$12),0))</f>
        <v/>
      </c>
      <c r="AV49" s="90" t="str">
        <f aca="false">IF(AT49="","",ROUND(AT49*(1-Справочники!$B$15),0))</f>
        <v/>
      </c>
      <c r="AW49" s="90" t="str">
        <f aca="false">IF(AT49="","",ROUND(AT49*(1-Справочники!$B$16),0))</f>
        <v/>
      </c>
      <c r="AX49" s="90" t="str">
        <f aca="false">IF(AT49="","",ROUND(AT49*(1-Справочники!$B$17),0))</f>
        <v/>
      </c>
      <c r="AY49" s="90" t="str">
        <f aca="false">IF(AT49="","",ROUND(AT49*(1-Справочники!$B$18),0))</f>
        <v/>
      </c>
      <c r="AZ49" s="90" t="str">
        <f aca="false">IF(AT49="","",ROUND(AT49*(1-Справочники!$B$19),0))</f>
        <v/>
      </c>
      <c r="BA49" s="81"/>
      <c r="BB49" s="81"/>
      <c r="BC49" s="81"/>
      <c r="BD49" s="81"/>
      <c r="BE49" s="91"/>
      <c r="BF49" s="81" t="s">
        <v>103</v>
      </c>
      <c r="BG49" s="89" t="n">
        <f aca="false" t="array" ref="BG49:BG49">IF(BF49="","",IFERROR(INDEX(Справочники!$B$4:$B$7,MATCH(BF49,Справочники!$A$4:$A$7,0)),""))</f>
        <v>68.5</v>
      </c>
      <c r="BH49" s="90" t="str">
        <f aca="false">IF(N(BN49)&gt;0,ROUND(SUMIF(ЗАКАЗЫ!$F$3:$F$500,$A49,ЗАКАЗЫ!$Y$3:$Y$500)/BN49,0),IF(OR(BE49="",BG49=""),"",ROUND(BE49*BG49*(1+Справочники!$B$10),0)))</f>
        <v/>
      </c>
      <c r="BI49" s="92" t="str">
        <f aca="false">IF(OR(AU49="",BH49="",AU49=0),"",(AU49-BH49)/AU49)</f>
        <v/>
      </c>
      <c r="BJ49" s="81"/>
      <c r="BK49" s="83"/>
      <c r="BL49" s="43" t="str">
        <f aca="false">IFERROR(INDEX(ЗАКАЗЫ!$N$3:$N$500,MATCH($A49,ЗАКАЗЫ!$F$3:$F$500,0)),"")</f>
        <v/>
      </c>
      <c r="BM49" s="8" t="str">
        <f aca="false">IF(BL49="","",IFERROR(VLOOKUP(BL49,'ТН ВЭД'!$A$4:$C$40,3,0),""))</f>
        <v/>
      </c>
      <c r="BN49" s="7" t="str">
        <f aca="false">IF(COUNTIF(ЗАКАЗЫ!$F$3:$F$500,$A49)=0,"",SUMIF(ЗАКАЗЫ!$F$3:$F$500,$A49,ЗАКАЗЫ!$J$3:$J$500))</f>
        <v/>
      </c>
      <c r="BO49" s="7" t="str">
        <f aca="false">IF(BN49="","",SUMIF(ЗАКАЗЫ!$F$3:$F$500,$A49,ЗАКАЗЫ!$AL$3:$AL$500))</f>
        <v/>
      </c>
      <c r="BP49" s="7" t="str">
        <f aca="false">IF(BN49="","",BN49-BO49)</f>
        <v/>
      </c>
      <c r="BQ49" s="55" t="str">
        <f aca="false">IF(BN49="","",IF(BO49&gt;=BN49,"На складе",IF(BO49&gt;0,"Частично","Ждём")))</f>
        <v/>
      </c>
      <c r="BR49" s="43"/>
      <c r="BS49" s="47" t="str">
        <f aca="false">IF(BN49="","",IF(_xlfn.MAXIFS(ЗАКАЗЫ!$AK$3:$AK$500,ЗАКАЗЫ!$F$3:$F$500,$A49)=0,"",_xlfn.MAXIFS(ЗАКАЗЫ!$AK$3:$AK$500,ЗАКАЗЫ!$F$3:$F$500,$A49)))</f>
        <v/>
      </c>
    </row>
    <row r="50" customFormat="false" ht="15.75" hidden="false" customHeight="true" outlineLevel="0" collapsed="false">
      <c r="A50" s="80" t="s">
        <v>1917</v>
      </c>
      <c r="B50" s="81"/>
      <c r="C50" s="81"/>
      <c r="D50" s="81"/>
      <c r="E50" s="83"/>
      <c r="F50" s="81"/>
      <c r="G50" s="83"/>
      <c r="H50" s="83"/>
      <c r="I50" s="84" t="str">
        <f aca="false">IF(E50="","",A50&amp;"_1.jpg")</f>
        <v/>
      </c>
      <c r="J50" s="84" t="str">
        <f aca="false">IF(E50="","",A50&amp;"_2.jpg; "&amp;A50&amp;"_3.jpg")</f>
        <v/>
      </c>
      <c r="K50" s="84" t="str">
        <f aca="false">IF(E50="","",A50&amp;"_schema.jpg")</f>
        <v/>
      </c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 t="s">
        <v>96</v>
      </c>
      <c r="W50" s="81"/>
      <c r="X50" s="81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6" t="str">
        <f aca="false">IF(SUM(Y50:AJ50)=0,"",SUM(Y50:AJ50))</f>
        <v/>
      </c>
      <c r="AL50" s="84" t="str">
        <f aca="false">MID(IF(N(Y50)&gt;0,", "&amp;Y$2,"")&amp;IF(N(Z50)&gt;0,", "&amp;Z$2,"")&amp;IF(N(AA50)&gt;0,", "&amp;AA$2,"")&amp;IF(N(AB50)&gt;0,", "&amp;AB$2,"")&amp;IF(N(AC50)&gt;0,", "&amp;AC$2,"")&amp;IF(N(AD50)&gt;0,", "&amp;AD$2,"")&amp;IF(N(AE50)&gt;0,", "&amp;AE$2,"")&amp;IF(N(AF50)&gt;0,", "&amp;AF$2,"")&amp;IF(N(AG50)&gt;0,", "&amp;AG$2,"")&amp;IF(N(AH50)&gt;0,", "&amp;AH$2,"")&amp;IF(N(AI50)&gt;0,", "&amp;AI$2,"")&amp;IF(N(AJ50)&gt;0,", "&amp;AJ$2,""),3,999)</f>
        <v/>
      </c>
      <c r="AM50" s="87" t="str">
        <f aca="false">IF(E50="","",MID(IF(N(Y50)&gt;0,", "&amp;A50&amp;"-"&amp;Y$2,"")&amp;IF(N(Z50)&gt;0,", "&amp;A50&amp;"-"&amp;Z$2,"")&amp;IF(N(AA50)&gt;0,", "&amp;A50&amp;"-"&amp;AA$2,"")&amp;IF(N(AB50)&gt;0,", "&amp;A50&amp;"-"&amp;AB$2,"")&amp;IF(N(AC50)&gt;0,", "&amp;A50&amp;"-"&amp;AC$2,"")&amp;IF(N(AD50)&gt;0,", "&amp;A50&amp;"-"&amp;AD$2,"")&amp;IF(N(AE50)&gt;0,", "&amp;A50&amp;"-"&amp;AE$2,"")&amp;IF(N(AF50)&gt;0,", "&amp;A50&amp;"-"&amp;AF$2,"")&amp;IF(N(AG50)&gt;0,", "&amp;A50&amp;"-"&amp;AG$2,"")&amp;IF(N(AH50)&gt;0,", "&amp;A50&amp;"-"&amp;AH$2,"")&amp;IF(N(AI50)&gt;0,", "&amp;A50&amp;"-"&amp;AI$2,"")&amp;IF(N(AJ50)&gt;0,", "&amp;A50&amp;"-"&amp;AJ$2,""),3,999))</f>
        <v/>
      </c>
      <c r="AN50" s="81"/>
      <c r="AO50" s="88"/>
      <c r="AP50" s="89" t="str">
        <f aca="false">IF(AO50="","",ROUND(AO50/(1+Справочники!$B$13),2))</f>
        <v/>
      </c>
      <c r="AQ50" s="90" t="str">
        <f aca="false" t="array" ref="AQ50:AQ50">IF(AP50="","",AP50*INDEX(Справочники!$B$4:$B$7,MATCH("RUB",Справочники!$A$4:$A$7,0)))</f>
        <v/>
      </c>
      <c r="AR50" s="90" t="str">
        <f aca="false">IF(AQ50="","",ROUND(AQ50*(1+Справочники!$B$12),0))</f>
        <v/>
      </c>
      <c r="AS50" s="90" t="str">
        <f aca="false">IF(AR50="","",ROUND(AR50*(1-Справочники!$B$11),0))</f>
        <v/>
      </c>
      <c r="AT50" s="88"/>
      <c r="AU50" s="90" t="str">
        <f aca="false">IF(AT50="","",ROUND(AT50/(1+Справочники!$B$12),0))</f>
        <v/>
      </c>
      <c r="AV50" s="90" t="str">
        <f aca="false">IF(AT50="","",ROUND(AT50*(1-Справочники!$B$15),0))</f>
        <v/>
      </c>
      <c r="AW50" s="90" t="str">
        <f aca="false">IF(AT50="","",ROUND(AT50*(1-Справочники!$B$16),0))</f>
        <v/>
      </c>
      <c r="AX50" s="90" t="str">
        <f aca="false">IF(AT50="","",ROUND(AT50*(1-Справочники!$B$17),0))</f>
        <v/>
      </c>
      <c r="AY50" s="90" t="str">
        <f aca="false">IF(AT50="","",ROUND(AT50*(1-Справочники!$B$18),0))</f>
        <v/>
      </c>
      <c r="AZ50" s="90" t="str">
        <f aca="false">IF(AT50="","",ROUND(AT50*(1-Справочники!$B$19),0))</f>
        <v/>
      </c>
      <c r="BA50" s="81"/>
      <c r="BB50" s="81"/>
      <c r="BC50" s="81"/>
      <c r="BD50" s="81"/>
      <c r="BE50" s="91"/>
      <c r="BF50" s="81" t="s">
        <v>103</v>
      </c>
      <c r="BG50" s="89" t="n">
        <f aca="false" t="array" ref="BG50:BG50">IF(BF50="","",IFERROR(INDEX(Справочники!$B$4:$B$7,MATCH(BF50,Справочники!$A$4:$A$7,0)),""))</f>
        <v>68.5</v>
      </c>
      <c r="BH50" s="90" t="str">
        <f aca="false">IF(N(BN50)&gt;0,ROUND(SUMIF(ЗАКАЗЫ!$F$3:$F$500,$A50,ЗАКАЗЫ!$Y$3:$Y$500)/BN50,0),IF(OR(BE50="",BG50=""),"",ROUND(BE50*BG50*(1+Справочники!$B$10),0)))</f>
        <v/>
      </c>
      <c r="BI50" s="92" t="str">
        <f aca="false">IF(OR(AU50="",BH50="",AU50=0),"",(AU50-BH50)/AU50)</f>
        <v/>
      </c>
      <c r="BJ50" s="81"/>
      <c r="BK50" s="83"/>
      <c r="BL50" s="43" t="str">
        <f aca="false">IFERROR(INDEX(ЗАКАЗЫ!$N$3:$N$500,MATCH($A50,ЗАКАЗЫ!$F$3:$F$500,0)),"")</f>
        <v/>
      </c>
      <c r="BM50" s="8" t="str">
        <f aca="false">IF(BL50="","",IFERROR(VLOOKUP(BL50,'ТН ВЭД'!$A$4:$C$40,3,0),""))</f>
        <v/>
      </c>
      <c r="BN50" s="7" t="str">
        <f aca="false">IF(COUNTIF(ЗАКАЗЫ!$F$3:$F$500,$A50)=0,"",SUMIF(ЗАКАЗЫ!$F$3:$F$500,$A50,ЗАКАЗЫ!$J$3:$J$500))</f>
        <v/>
      </c>
      <c r="BO50" s="7" t="str">
        <f aca="false">IF(BN50="","",SUMIF(ЗАКАЗЫ!$F$3:$F$500,$A50,ЗАКАЗЫ!$AL$3:$AL$500))</f>
        <v/>
      </c>
      <c r="BP50" s="7" t="str">
        <f aca="false">IF(BN50="","",BN50-BO50)</f>
        <v/>
      </c>
      <c r="BQ50" s="55" t="str">
        <f aca="false">IF(BN50="","",IF(BO50&gt;=BN50,"На складе",IF(BO50&gt;0,"Частично","Ждём")))</f>
        <v/>
      </c>
      <c r="BR50" s="43"/>
      <c r="BS50" s="47" t="str">
        <f aca="false">IF(BN50="","",IF(_xlfn.MAXIFS(ЗАКАЗЫ!$AK$3:$AK$500,ЗАКАЗЫ!$F$3:$F$500,$A50)=0,"",_xlfn.MAXIFS(ЗАКАЗЫ!$AK$3:$AK$500,ЗАКАЗЫ!$F$3:$F$500,$A50)))</f>
        <v/>
      </c>
    </row>
    <row r="51" customFormat="false" ht="15.75" hidden="false" customHeight="true" outlineLevel="0" collapsed="false">
      <c r="A51" s="80" t="s">
        <v>1918</v>
      </c>
      <c r="B51" s="81"/>
      <c r="C51" s="81"/>
      <c r="D51" s="81"/>
      <c r="E51" s="83"/>
      <c r="F51" s="81"/>
      <c r="G51" s="83"/>
      <c r="H51" s="83"/>
      <c r="I51" s="84" t="str">
        <f aca="false">IF(E51="","",A51&amp;"_1.jpg")</f>
        <v/>
      </c>
      <c r="J51" s="84" t="str">
        <f aca="false">IF(E51="","",A51&amp;"_2.jpg; "&amp;A51&amp;"_3.jpg")</f>
        <v/>
      </c>
      <c r="K51" s="84" t="str">
        <f aca="false">IF(E51="","",A51&amp;"_schema.jpg")</f>
        <v/>
      </c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 t="s">
        <v>96</v>
      </c>
      <c r="W51" s="81"/>
      <c r="X51" s="81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6" t="str">
        <f aca="false">IF(SUM(Y51:AJ51)=0,"",SUM(Y51:AJ51))</f>
        <v/>
      </c>
      <c r="AL51" s="84" t="str">
        <f aca="false">MID(IF(N(Y51)&gt;0,", "&amp;Y$2,"")&amp;IF(N(Z51)&gt;0,", "&amp;Z$2,"")&amp;IF(N(AA51)&gt;0,", "&amp;AA$2,"")&amp;IF(N(AB51)&gt;0,", "&amp;AB$2,"")&amp;IF(N(AC51)&gt;0,", "&amp;AC$2,"")&amp;IF(N(AD51)&gt;0,", "&amp;AD$2,"")&amp;IF(N(AE51)&gt;0,", "&amp;AE$2,"")&amp;IF(N(AF51)&gt;0,", "&amp;AF$2,"")&amp;IF(N(AG51)&gt;0,", "&amp;AG$2,"")&amp;IF(N(AH51)&gt;0,", "&amp;AH$2,"")&amp;IF(N(AI51)&gt;0,", "&amp;AI$2,"")&amp;IF(N(AJ51)&gt;0,", "&amp;AJ$2,""),3,999)</f>
        <v/>
      </c>
      <c r="AM51" s="87" t="str">
        <f aca="false">IF(E51="","",MID(IF(N(Y51)&gt;0,", "&amp;A51&amp;"-"&amp;Y$2,"")&amp;IF(N(Z51)&gt;0,", "&amp;A51&amp;"-"&amp;Z$2,"")&amp;IF(N(AA51)&gt;0,", "&amp;A51&amp;"-"&amp;AA$2,"")&amp;IF(N(AB51)&gt;0,", "&amp;A51&amp;"-"&amp;AB$2,"")&amp;IF(N(AC51)&gt;0,", "&amp;A51&amp;"-"&amp;AC$2,"")&amp;IF(N(AD51)&gt;0,", "&amp;A51&amp;"-"&amp;AD$2,"")&amp;IF(N(AE51)&gt;0,", "&amp;A51&amp;"-"&amp;AE$2,"")&amp;IF(N(AF51)&gt;0,", "&amp;A51&amp;"-"&amp;AF$2,"")&amp;IF(N(AG51)&gt;0,", "&amp;A51&amp;"-"&amp;AG$2,"")&amp;IF(N(AH51)&gt;0,", "&amp;A51&amp;"-"&amp;AH$2,"")&amp;IF(N(AI51)&gt;0,", "&amp;A51&amp;"-"&amp;AI$2,"")&amp;IF(N(AJ51)&gt;0,", "&amp;A51&amp;"-"&amp;AJ$2,""),3,999))</f>
        <v/>
      </c>
      <c r="AN51" s="81"/>
      <c r="AO51" s="88"/>
      <c r="AP51" s="89" t="str">
        <f aca="false">IF(AO51="","",ROUND(AO51/(1+Справочники!$B$13),2))</f>
        <v/>
      </c>
      <c r="AQ51" s="90" t="str">
        <f aca="false" t="array" ref="AQ51:AQ51">IF(AP51="","",AP51*INDEX(Справочники!$B$4:$B$7,MATCH("RUB",Справочники!$A$4:$A$7,0)))</f>
        <v/>
      </c>
      <c r="AR51" s="90" t="str">
        <f aca="false">IF(AQ51="","",ROUND(AQ51*(1+Справочники!$B$12),0))</f>
        <v/>
      </c>
      <c r="AS51" s="90" t="str">
        <f aca="false">IF(AR51="","",ROUND(AR51*(1-Справочники!$B$11),0))</f>
        <v/>
      </c>
      <c r="AT51" s="88"/>
      <c r="AU51" s="90" t="str">
        <f aca="false">IF(AT51="","",ROUND(AT51/(1+Справочники!$B$12),0))</f>
        <v/>
      </c>
      <c r="AV51" s="90" t="str">
        <f aca="false">IF(AT51="","",ROUND(AT51*(1-Справочники!$B$15),0))</f>
        <v/>
      </c>
      <c r="AW51" s="90" t="str">
        <f aca="false">IF(AT51="","",ROUND(AT51*(1-Справочники!$B$16),0))</f>
        <v/>
      </c>
      <c r="AX51" s="90" t="str">
        <f aca="false">IF(AT51="","",ROUND(AT51*(1-Справочники!$B$17),0))</f>
        <v/>
      </c>
      <c r="AY51" s="90" t="str">
        <f aca="false">IF(AT51="","",ROUND(AT51*(1-Справочники!$B$18),0))</f>
        <v/>
      </c>
      <c r="AZ51" s="90" t="str">
        <f aca="false">IF(AT51="","",ROUND(AT51*(1-Справочники!$B$19),0))</f>
        <v/>
      </c>
      <c r="BA51" s="81"/>
      <c r="BB51" s="81"/>
      <c r="BC51" s="81"/>
      <c r="BD51" s="81"/>
      <c r="BE51" s="91"/>
      <c r="BF51" s="81" t="s">
        <v>103</v>
      </c>
      <c r="BG51" s="89" t="n">
        <f aca="false" t="array" ref="BG51:BG51">IF(BF51="","",IFERROR(INDEX(Справочники!$B$4:$B$7,MATCH(BF51,Справочники!$A$4:$A$7,0)),""))</f>
        <v>68.5</v>
      </c>
      <c r="BH51" s="90" t="str">
        <f aca="false">IF(N(BN51)&gt;0,ROUND(SUMIF(ЗАКАЗЫ!$F$3:$F$500,$A51,ЗАКАЗЫ!$Y$3:$Y$500)/BN51,0),IF(OR(BE51="",BG51=""),"",ROUND(BE51*BG51*(1+Справочники!$B$10),0)))</f>
        <v/>
      </c>
      <c r="BI51" s="92" t="str">
        <f aca="false">IF(OR(AU51="",BH51="",AU51=0),"",(AU51-BH51)/AU51)</f>
        <v/>
      </c>
      <c r="BJ51" s="81"/>
      <c r="BK51" s="83"/>
      <c r="BL51" s="43" t="str">
        <f aca="false">IFERROR(INDEX(ЗАКАЗЫ!$N$3:$N$500,MATCH($A51,ЗАКАЗЫ!$F$3:$F$500,0)),"")</f>
        <v/>
      </c>
      <c r="BM51" s="8" t="str">
        <f aca="false">IF(BL51="","",IFERROR(VLOOKUP(BL51,'ТН ВЭД'!$A$4:$C$40,3,0),""))</f>
        <v/>
      </c>
      <c r="BN51" s="7" t="str">
        <f aca="false">IF(COUNTIF(ЗАКАЗЫ!$F$3:$F$500,$A51)=0,"",SUMIF(ЗАКАЗЫ!$F$3:$F$500,$A51,ЗАКАЗЫ!$J$3:$J$500))</f>
        <v/>
      </c>
      <c r="BO51" s="7" t="str">
        <f aca="false">IF(BN51="","",SUMIF(ЗАКАЗЫ!$F$3:$F$500,$A51,ЗАКАЗЫ!$AL$3:$AL$500))</f>
        <v/>
      </c>
      <c r="BP51" s="7" t="str">
        <f aca="false">IF(BN51="","",BN51-BO51)</f>
        <v/>
      </c>
      <c r="BQ51" s="55" t="str">
        <f aca="false">IF(BN51="","",IF(BO51&gt;=BN51,"На складе",IF(BO51&gt;0,"Частично","Ждём")))</f>
        <v/>
      </c>
      <c r="BR51" s="43"/>
      <c r="BS51" s="47" t="str">
        <f aca="false">IF(BN51="","",IF(_xlfn.MAXIFS(ЗАКАЗЫ!$AK$3:$AK$500,ЗАКАЗЫ!$F$3:$F$500,$A51)=0,"",_xlfn.MAXIFS(ЗАКАЗЫ!$AK$3:$AK$500,ЗАКАЗЫ!$F$3:$F$500,$A51)))</f>
        <v/>
      </c>
    </row>
    <row r="52" customFormat="false" ht="15.75" hidden="false" customHeight="true" outlineLevel="0" collapsed="false">
      <c r="A52" s="80" t="s">
        <v>1919</v>
      </c>
      <c r="B52" s="81"/>
      <c r="C52" s="81"/>
      <c r="D52" s="81"/>
      <c r="E52" s="83"/>
      <c r="F52" s="81"/>
      <c r="G52" s="83"/>
      <c r="H52" s="83"/>
      <c r="I52" s="84" t="str">
        <f aca="false">IF(E52="","",A52&amp;"_1.jpg")</f>
        <v/>
      </c>
      <c r="J52" s="84" t="str">
        <f aca="false">IF(E52="","",A52&amp;"_2.jpg; "&amp;A52&amp;"_3.jpg")</f>
        <v/>
      </c>
      <c r="K52" s="84" t="str">
        <f aca="false">IF(E52="","",A52&amp;"_schema.jpg")</f>
        <v/>
      </c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 t="s">
        <v>96</v>
      </c>
      <c r="W52" s="81"/>
      <c r="X52" s="81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6" t="str">
        <f aca="false">IF(SUM(Y52:AJ52)=0,"",SUM(Y52:AJ52))</f>
        <v/>
      </c>
      <c r="AL52" s="84" t="str">
        <f aca="false">MID(IF(N(Y52)&gt;0,", "&amp;Y$2,"")&amp;IF(N(Z52)&gt;0,", "&amp;Z$2,"")&amp;IF(N(AA52)&gt;0,", "&amp;AA$2,"")&amp;IF(N(AB52)&gt;0,", "&amp;AB$2,"")&amp;IF(N(AC52)&gt;0,", "&amp;AC$2,"")&amp;IF(N(AD52)&gt;0,", "&amp;AD$2,"")&amp;IF(N(AE52)&gt;0,", "&amp;AE$2,"")&amp;IF(N(AF52)&gt;0,", "&amp;AF$2,"")&amp;IF(N(AG52)&gt;0,", "&amp;AG$2,"")&amp;IF(N(AH52)&gt;0,", "&amp;AH$2,"")&amp;IF(N(AI52)&gt;0,", "&amp;AI$2,"")&amp;IF(N(AJ52)&gt;0,", "&amp;AJ$2,""),3,999)</f>
        <v/>
      </c>
      <c r="AM52" s="87" t="str">
        <f aca="false">IF(E52="","",MID(IF(N(Y52)&gt;0,", "&amp;A52&amp;"-"&amp;Y$2,"")&amp;IF(N(Z52)&gt;0,", "&amp;A52&amp;"-"&amp;Z$2,"")&amp;IF(N(AA52)&gt;0,", "&amp;A52&amp;"-"&amp;AA$2,"")&amp;IF(N(AB52)&gt;0,", "&amp;A52&amp;"-"&amp;AB$2,"")&amp;IF(N(AC52)&gt;0,", "&amp;A52&amp;"-"&amp;AC$2,"")&amp;IF(N(AD52)&gt;0,", "&amp;A52&amp;"-"&amp;AD$2,"")&amp;IF(N(AE52)&gt;0,", "&amp;A52&amp;"-"&amp;AE$2,"")&amp;IF(N(AF52)&gt;0,", "&amp;A52&amp;"-"&amp;AF$2,"")&amp;IF(N(AG52)&gt;0,", "&amp;A52&amp;"-"&amp;AG$2,"")&amp;IF(N(AH52)&gt;0,", "&amp;A52&amp;"-"&amp;AH$2,"")&amp;IF(N(AI52)&gt;0,", "&amp;A52&amp;"-"&amp;AI$2,"")&amp;IF(N(AJ52)&gt;0,", "&amp;A52&amp;"-"&amp;AJ$2,""),3,999))</f>
        <v/>
      </c>
      <c r="AN52" s="81"/>
      <c r="AO52" s="88"/>
      <c r="AP52" s="89" t="str">
        <f aca="false">IF(AO52="","",ROUND(AO52/(1+Справочники!$B$13),2))</f>
        <v/>
      </c>
      <c r="AQ52" s="90" t="str">
        <f aca="false" t="array" ref="AQ52:AQ52">IF(AP52="","",AP52*INDEX(Справочники!$B$4:$B$7,MATCH("RUB",Справочники!$A$4:$A$7,0)))</f>
        <v/>
      </c>
      <c r="AR52" s="90" t="str">
        <f aca="false">IF(AQ52="","",ROUND(AQ52*(1+Справочники!$B$12),0))</f>
        <v/>
      </c>
      <c r="AS52" s="90" t="str">
        <f aca="false">IF(AR52="","",ROUND(AR52*(1-Справочники!$B$11),0))</f>
        <v/>
      </c>
      <c r="AT52" s="88"/>
      <c r="AU52" s="90" t="str">
        <f aca="false">IF(AT52="","",ROUND(AT52/(1+Справочники!$B$12),0))</f>
        <v/>
      </c>
      <c r="AV52" s="90" t="str">
        <f aca="false">IF(AT52="","",ROUND(AT52*(1-Справочники!$B$15),0))</f>
        <v/>
      </c>
      <c r="AW52" s="90" t="str">
        <f aca="false">IF(AT52="","",ROUND(AT52*(1-Справочники!$B$16),0))</f>
        <v/>
      </c>
      <c r="AX52" s="90" t="str">
        <f aca="false">IF(AT52="","",ROUND(AT52*(1-Справочники!$B$17),0))</f>
        <v/>
      </c>
      <c r="AY52" s="90" t="str">
        <f aca="false">IF(AT52="","",ROUND(AT52*(1-Справочники!$B$18),0))</f>
        <v/>
      </c>
      <c r="AZ52" s="90" t="str">
        <f aca="false">IF(AT52="","",ROUND(AT52*(1-Справочники!$B$19),0))</f>
        <v/>
      </c>
      <c r="BA52" s="81"/>
      <c r="BB52" s="81"/>
      <c r="BC52" s="81"/>
      <c r="BD52" s="81"/>
      <c r="BE52" s="91"/>
      <c r="BF52" s="81" t="s">
        <v>103</v>
      </c>
      <c r="BG52" s="89" t="n">
        <f aca="false" t="array" ref="BG52:BG52">IF(BF52="","",IFERROR(INDEX(Справочники!$B$4:$B$7,MATCH(BF52,Справочники!$A$4:$A$7,0)),""))</f>
        <v>68.5</v>
      </c>
      <c r="BH52" s="90" t="str">
        <f aca="false">IF(N(BN52)&gt;0,ROUND(SUMIF(ЗАКАЗЫ!$F$3:$F$500,$A52,ЗАКАЗЫ!$Y$3:$Y$500)/BN52,0),IF(OR(BE52="",BG52=""),"",ROUND(BE52*BG52*(1+Справочники!$B$10),0)))</f>
        <v/>
      </c>
      <c r="BI52" s="92" t="str">
        <f aca="false">IF(OR(AU52="",BH52="",AU52=0),"",(AU52-BH52)/AU52)</f>
        <v/>
      </c>
      <c r="BJ52" s="81"/>
      <c r="BK52" s="83"/>
      <c r="BL52" s="43" t="str">
        <f aca="false">IFERROR(INDEX(ЗАКАЗЫ!$N$3:$N$500,MATCH($A52,ЗАКАЗЫ!$F$3:$F$500,0)),"")</f>
        <v/>
      </c>
      <c r="BM52" s="8" t="str">
        <f aca="false">IF(BL52="","",IFERROR(VLOOKUP(BL52,'ТН ВЭД'!$A$4:$C$40,3,0),""))</f>
        <v/>
      </c>
      <c r="BN52" s="7" t="str">
        <f aca="false">IF(COUNTIF(ЗАКАЗЫ!$F$3:$F$500,$A52)=0,"",SUMIF(ЗАКАЗЫ!$F$3:$F$500,$A52,ЗАКАЗЫ!$J$3:$J$500))</f>
        <v/>
      </c>
      <c r="BO52" s="7" t="str">
        <f aca="false">IF(BN52="","",SUMIF(ЗАКАЗЫ!$F$3:$F$500,$A52,ЗАКАЗЫ!$AL$3:$AL$500))</f>
        <v/>
      </c>
      <c r="BP52" s="7" t="str">
        <f aca="false">IF(BN52="","",BN52-BO52)</f>
        <v/>
      </c>
      <c r="BQ52" s="55" t="str">
        <f aca="false">IF(BN52="","",IF(BO52&gt;=BN52,"На складе",IF(BO52&gt;0,"Частично","Ждём")))</f>
        <v/>
      </c>
      <c r="BR52" s="43"/>
      <c r="BS52" s="47" t="str">
        <f aca="false">IF(BN52="","",IF(_xlfn.MAXIFS(ЗАКАЗЫ!$AK$3:$AK$500,ЗАКАЗЫ!$F$3:$F$500,$A52)=0,"",_xlfn.MAXIFS(ЗАКАЗЫ!$AK$3:$AK$500,ЗАКАЗЫ!$F$3:$F$500,$A52)))</f>
        <v/>
      </c>
    </row>
    <row r="53" customFormat="false" ht="15.75" hidden="false" customHeight="true" outlineLevel="0" collapsed="false">
      <c r="A53" s="80" t="s">
        <v>1920</v>
      </c>
      <c r="B53" s="81"/>
      <c r="C53" s="81"/>
      <c r="D53" s="81"/>
      <c r="E53" s="83"/>
      <c r="F53" s="81"/>
      <c r="G53" s="83"/>
      <c r="H53" s="83"/>
      <c r="I53" s="84" t="str">
        <f aca="false">IF(E53="","",A53&amp;"_1.jpg")</f>
        <v/>
      </c>
      <c r="J53" s="84" t="str">
        <f aca="false">IF(E53="","",A53&amp;"_2.jpg; "&amp;A53&amp;"_3.jpg")</f>
        <v/>
      </c>
      <c r="K53" s="84" t="str">
        <f aca="false">IF(E53="","",A53&amp;"_schema.jpg")</f>
        <v/>
      </c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 t="s">
        <v>96</v>
      </c>
      <c r="W53" s="81"/>
      <c r="X53" s="81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6" t="str">
        <f aca="false">IF(SUM(Y53:AJ53)=0,"",SUM(Y53:AJ53))</f>
        <v/>
      </c>
      <c r="AL53" s="84" t="str">
        <f aca="false">MID(IF(N(Y53)&gt;0,", "&amp;Y$2,"")&amp;IF(N(Z53)&gt;0,", "&amp;Z$2,"")&amp;IF(N(AA53)&gt;0,", "&amp;AA$2,"")&amp;IF(N(AB53)&gt;0,", "&amp;AB$2,"")&amp;IF(N(AC53)&gt;0,", "&amp;AC$2,"")&amp;IF(N(AD53)&gt;0,", "&amp;AD$2,"")&amp;IF(N(AE53)&gt;0,", "&amp;AE$2,"")&amp;IF(N(AF53)&gt;0,", "&amp;AF$2,"")&amp;IF(N(AG53)&gt;0,", "&amp;AG$2,"")&amp;IF(N(AH53)&gt;0,", "&amp;AH$2,"")&amp;IF(N(AI53)&gt;0,", "&amp;AI$2,"")&amp;IF(N(AJ53)&gt;0,", "&amp;AJ$2,""),3,999)</f>
        <v/>
      </c>
      <c r="AM53" s="87" t="str">
        <f aca="false">IF(E53="","",MID(IF(N(Y53)&gt;0,", "&amp;A53&amp;"-"&amp;Y$2,"")&amp;IF(N(Z53)&gt;0,", "&amp;A53&amp;"-"&amp;Z$2,"")&amp;IF(N(AA53)&gt;0,", "&amp;A53&amp;"-"&amp;AA$2,"")&amp;IF(N(AB53)&gt;0,", "&amp;A53&amp;"-"&amp;AB$2,"")&amp;IF(N(AC53)&gt;0,", "&amp;A53&amp;"-"&amp;AC$2,"")&amp;IF(N(AD53)&gt;0,", "&amp;A53&amp;"-"&amp;AD$2,"")&amp;IF(N(AE53)&gt;0,", "&amp;A53&amp;"-"&amp;AE$2,"")&amp;IF(N(AF53)&gt;0,", "&amp;A53&amp;"-"&amp;AF$2,"")&amp;IF(N(AG53)&gt;0,", "&amp;A53&amp;"-"&amp;AG$2,"")&amp;IF(N(AH53)&gt;0,", "&amp;A53&amp;"-"&amp;AH$2,"")&amp;IF(N(AI53)&gt;0,", "&amp;A53&amp;"-"&amp;AI$2,"")&amp;IF(N(AJ53)&gt;0,", "&amp;A53&amp;"-"&amp;AJ$2,""),3,999))</f>
        <v/>
      </c>
      <c r="AN53" s="81"/>
      <c r="AO53" s="88"/>
      <c r="AP53" s="89" t="str">
        <f aca="false">IF(AO53="","",ROUND(AO53/(1+Справочники!$B$13),2))</f>
        <v/>
      </c>
      <c r="AQ53" s="90" t="str">
        <f aca="false" t="array" ref="AQ53:AQ53">IF(AP53="","",AP53*INDEX(Справочники!$B$4:$B$7,MATCH("RUB",Справочники!$A$4:$A$7,0)))</f>
        <v/>
      </c>
      <c r="AR53" s="90" t="str">
        <f aca="false">IF(AQ53="","",ROUND(AQ53*(1+Справочники!$B$12),0))</f>
        <v/>
      </c>
      <c r="AS53" s="90" t="str">
        <f aca="false">IF(AR53="","",ROUND(AR53*(1-Справочники!$B$11),0))</f>
        <v/>
      </c>
      <c r="AT53" s="88"/>
      <c r="AU53" s="90" t="str">
        <f aca="false">IF(AT53="","",ROUND(AT53/(1+Справочники!$B$12),0))</f>
        <v/>
      </c>
      <c r="AV53" s="90" t="str">
        <f aca="false">IF(AT53="","",ROUND(AT53*(1-Справочники!$B$15),0))</f>
        <v/>
      </c>
      <c r="AW53" s="90" t="str">
        <f aca="false">IF(AT53="","",ROUND(AT53*(1-Справочники!$B$16),0))</f>
        <v/>
      </c>
      <c r="AX53" s="90" t="str">
        <f aca="false">IF(AT53="","",ROUND(AT53*(1-Справочники!$B$17),0))</f>
        <v/>
      </c>
      <c r="AY53" s="90" t="str">
        <f aca="false">IF(AT53="","",ROUND(AT53*(1-Справочники!$B$18),0))</f>
        <v/>
      </c>
      <c r="AZ53" s="90" t="str">
        <f aca="false">IF(AT53="","",ROUND(AT53*(1-Справочники!$B$19),0))</f>
        <v/>
      </c>
      <c r="BA53" s="81"/>
      <c r="BB53" s="81"/>
      <c r="BC53" s="81"/>
      <c r="BD53" s="81"/>
      <c r="BE53" s="91"/>
      <c r="BF53" s="81" t="s">
        <v>103</v>
      </c>
      <c r="BG53" s="89" t="n">
        <f aca="false" t="array" ref="BG53:BG53">IF(BF53="","",IFERROR(INDEX(Справочники!$B$4:$B$7,MATCH(BF53,Справочники!$A$4:$A$7,0)),""))</f>
        <v>68.5</v>
      </c>
      <c r="BH53" s="90" t="str">
        <f aca="false">IF(N(BN53)&gt;0,ROUND(SUMIF(ЗАКАЗЫ!$F$3:$F$500,$A53,ЗАКАЗЫ!$Y$3:$Y$500)/BN53,0),IF(OR(BE53="",BG53=""),"",ROUND(BE53*BG53*(1+Справочники!$B$10),0)))</f>
        <v/>
      </c>
      <c r="BI53" s="92" t="str">
        <f aca="false">IF(OR(AU53="",BH53="",AU53=0),"",(AU53-BH53)/AU53)</f>
        <v/>
      </c>
      <c r="BJ53" s="81"/>
      <c r="BK53" s="83"/>
      <c r="BL53" s="43" t="str">
        <f aca="false">IFERROR(INDEX(ЗАКАЗЫ!$N$3:$N$500,MATCH($A53,ЗАКАЗЫ!$F$3:$F$500,0)),"")</f>
        <v/>
      </c>
      <c r="BM53" s="8" t="str">
        <f aca="false">IF(BL53="","",IFERROR(VLOOKUP(BL53,'ТН ВЭД'!$A$4:$C$40,3,0),""))</f>
        <v/>
      </c>
      <c r="BN53" s="7" t="str">
        <f aca="false">IF(COUNTIF(ЗАКАЗЫ!$F$3:$F$500,$A53)=0,"",SUMIF(ЗАКАЗЫ!$F$3:$F$500,$A53,ЗАКАЗЫ!$J$3:$J$500))</f>
        <v/>
      </c>
      <c r="BO53" s="7" t="str">
        <f aca="false">IF(BN53="","",SUMIF(ЗАКАЗЫ!$F$3:$F$500,$A53,ЗАКАЗЫ!$AL$3:$AL$500))</f>
        <v/>
      </c>
      <c r="BP53" s="7" t="str">
        <f aca="false">IF(BN53="","",BN53-BO53)</f>
        <v/>
      </c>
      <c r="BQ53" s="55" t="str">
        <f aca="false">IF(BN53="","",IF(BO53&gt;=BN53,"На складе",IF(BO53&gt;0,"Частично","Ждём")))</f>
        <v/>
      </c>
      <c r="BR53" s="43"/>
      <c r="BS53" s="47" t="str">
        <f aca="false">IF(BN53="","",IF(_xlfn.MAXIFS(ЗАКАЗЫ!$AK$3:$AK$500,ЗАКАЗЫ!$F$3:$F$500,$A53)=0,"",_xlfn.MAXIFS(ЗАКАЗЫ!$AK$3:$AK$500,ЗАКАЗЫ!$F$3:$F$500,$A53)))</f>
        <v/>
      </c>
    </row>
    <row r="54" customFormat="false" ht="15.75" hidden="false" customHeight="true" outlineLevel="0" collapsed="false">
      <c r="A54" s="80" t="s">
        <v>1921</v>
      </c>
      <c r="B54" s="81"/>
      <c r="C54" s="81"/>
      <c r="D54" s="81"/>
      <c r="E54" s="83"/>
      <c r="F54" s="81"/>
      <c r="G54" s="83"/>
      <c r="H54" s="83"/>
      <c r="I54" s="84" t="str">
        <f aca="false">IF(E54="","",A54&amp;"_1.jpg")</f>
        <v/>
      </c>
      <c r="J54" s="84" t="str">
        <f aca="false">IF(E54="","",A54&amp;"_2.jpg; "&amp;A54&amp;"_3.jpg")</f>
        <v/>
      </c>
      <c r="K54" s="84" t="str">
        <f aca="false">IF(E54="","",A54&amp;"_schema.jpg")</f>
        <v/>
      </c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 t="s">
        <v>96</v>
      </c>
      <c r="W54" s="81"/>
      <c r="X54" s="81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6" t="str">
        <f aca="false">IF(SUM(Y54:AJ54)=0,"",SUM(Y54:AJ54))</f>
        <v/>
      </c>
      <c r="AL54" s="84" t="str">
        <f aca="false">MID(IF(N(Y54)&gt;0,", "&amp;Y$2,"")&amp;IF(N(Z54)&gt;0,", "&amp;Z$2,"")&amp;IF(N(AA54)&gt;0,", "&amp;AA$2,"")&amp;IF(N(AB54)&gt;0,", "&amp;AB$2,"")&amp;IF(N(AC54)&gt;0,", "&amp;AC$2,"")&amp;IF(N(AD54)&gt;0,", "&amp;AD$2,"")&amp;IF(N(AE54)&gt;0,", "&amp;AE$2,"")&amp;IF(N(AF54)&gt;0,", "&amp;AF$2,"")&amp;IF(N(AG54)&gt;0,", "&amp;AG$2,"")&amp;IF(N(AH54)&gt;0,", "&amp;AH$2,"")&amp;IF(N(AI54)&gt;0,", "&amp;AI$2,"")&amp;IF(N(AJ54)&gt;0,", "&amp;AJ$2,""),3,999)</f>
        <v/>
      </c>
      <c r="AM54" s="87" t="str">
        <f aca="false">IF(E54="","",MID(IF(N(Y54)&gt;0,", "&amp;A54&amp;"-"&amp;Y$2,"")&amp;IF(N(Z54)&gt;0,", "&amp;A54&amp;"-"&amp;Z$2,"")&amp;IF(N(AA54)&gt;0,", "&amp;A54&amp;"-"&amp;AA$2,"")&amp;IF(N(AB54)&gt;0,", "&amp;A54&amp;"-"&amp;AB$2,"")&amp;IF(N(AC54)&gt;0,", "&amp;A54&amp;"-"&amp;AC$2,"")&amp;IF(N(AD54)&gt;0,", "&amp;A54&amp;"-"&amp;AD$2,"")&amp;IF(N(AE54)&gt;0,", "&amp;A54&amp;"-"&amp;AE$2,"")&amp;IF(N(AF54)&gt;0,", "&amp;A54&amp;"-"&amp;AF$2,"")&amp;IF(N(AG54)&gt;0,", "&amp;A54&amp;"-"&amp;AG$2,"")&amp;IF(N(AH54)&gt;0,", "&amp;A54&amp;"-"&amp;AH$2,"")&amp;IF(N(AI54)&gt;0,", "&amp;A54&amp;"-"&amp;AI$2,"")&amp;IF(N(AJ54)&gt;0,", "&amp;A54&amp;"-"&amp;AJ$2,""),3,999))</f>
        <v/>
      </c>
      <c r="AN54" s="81"/>
      <c r="AO54" s="88"/>
      <c r="AP54" s="89" t="str">
        <f aca="false">IF(AO54="","",ROUND(AO54/(1+Справочники!$B$13),2))</f>
        <v/>
      </c>
      <c r="AQ54" s="90" t="str">
        <f aca="false" t="array" ref="AQ54:AQ54">IF(AP54="","",AP54*INDEX(Справочники!$B$4:$B$7,MATCH("RUB",Справочники!$A$4:$A$7,0)))</f>
        <v/>
      </c>
      <c r="AR54" s="90" t="str">
        <f aca="false">IF(AQ54="","",ROUND(AQ54*(1+Справочники!$B$12),0))</f>
        <v/>
      </c>
      <c r="AS54" s="90" t="str">
        <f aca="false">IF(AR54="","",ROUND(AR54*(1-Справочники!$B$11),0))</f>
        <v/>
      </c>
      <c r="AT54" s="88"/>
      <c r="AU54" s="90" t="str">
        <f aca="false">IF(AT54="","",ROUND(AT54/(1+Справочники!$B$12),0))</f>
        <v/>
      </c>
      <c r="AV54" s="90" t="str">
        <f aca="false">IF(AT54="","",ROUND(AT54*(1-Справочники!$B$15),0))</f>
        <v/>
      </c>
      <c r="AW54" s="90" t="str">
        <f aca="false">IF(AT54="","",ROUND(AT54*(1-Справочники!$B$16),0))</f>
        <v/>
      </c>
      <c r="AX54" s="90" t="str">
        <f aca="false">IF(AT54="","",ROUND(AT54*(1-Справочники!$B$17),0))</f>
        <v/>
      </c>
      <c r="AY54" s="90" t="str">
        <f aca="false">IF(AT54="","",ROUND(AT54*(1-Справочники!$B$18),0))</f>
        <v/>
      </c>
      <c r="AZ54" s="90" t="str">
        <f aca="false">IF(AT54="","",ROUND(AT54*(1-Справочники!$B$19),0))</f>
        <v/>
      </c>
      <c r="BA54" s="81"/>
      <c r="BB54" s="81"/>
      <c r="BC54" s="81"/>
      <c r="BD54" s="81"/>
      <c r="BE54" s="91"/>
      <c r="BF54" s="81" t="s">
        <v>103</v>
      </c>
      <c r="BG54" s="89" t="n">
        <f aca="false" t="array" ref="BG54:BG54">IF(BF54="","",IFERROR(INDEX(Справочники!$B$4:$B$7,MATCH(BF54,Справочники!$A$4:$A$7,0)),""))</f>
        <v>68.5</v>
      </c>
      <c r="BH54" s="90" t="str">
        <f aca="false">IF(N(BN54)&gt;0,ROUND(SUMIF(ЗАКАЗЫ!$F$3:$F$500,$A54,ЗАКАЗЫ!$Y$3:$Y$500)/BN54,0),IF(OR(BE54="",BG54=""),"",ROUND(BE54*BG54*(1+Справочники!$B$10),0)))</f>
        <v/>
      </c>
      <c r="BI54" s="92" t="str">
        <f aca="false">IF(OR(AU54="",BH54="",AU54=0),"",(AU54-BH54)/AU54)</f>
        <v/>
      </c>
      <c r="BJ54" s="81"/>
      <c r="BK54" s="83"/>
      <c r="BL54" s="43" t="str">
        <f aca="false">IFERROR(INDEX(ЗАКАЗЫ!$N$3:$N$500,MATCH($A54,ЗАКАЗЫ!$F$3:$F$500,0)),"")</f>
        <v/>
      </c>
      <c r="BM54" s="8" t="str">
        <f aca="false">IF(BL54="","",IFERROR(VLOOKUP(BL54,'ТН ВЭД'!$A$4:$C$40,3,0),""))</f>
        <v/>
      </c>
      <c r="BN54" s="7" t="str">
        <f aca="false">IF(COUNTIF(ЗАКАЗЫ!$F$3:$F$500,$A54)=0,"",SUMIF(ЗАКАЗЫ!$F$3:$F$500,$A54,ЗАКАЗЫ!$J$3:$J$500))</f>
        <v/>
      </c>
      <c r="BO54" s="7" t="str">
        <f aca="false">IF(BN54="","",SUMIF(ЗАКАЗЫ!$F$3:$F$500,$A54,ЗАКАЗЫ!$AL$3:$AL$500))</f>
        <v/>
      </c>
      <c r="BP54" s="7" t="str">
        <f aca="false">IF(BN54="","",BN54-BO54)</f>
        <v/>
      </c>
      <c r="BQ54" s="55" t="str">
        <f aca="false">IF(BN54="","",IF(BO54&gt;=BN54,"На складе",IF(BO54&gt;0,"Частично","Ждём")))</f>
        <v/>
      </c>
      <c r="BR54" s="43"/>
      <c r="BS54" s="47" t="str">
        <f aca="false">IF(BN54="","",IF(_xlfn.MAXIFS(ЗАКАЗЫ!$AK$3:$AK$500,ЗАКАЗЫ!$F$3:$F$500,$A54)=0,"",_xlfn.MAXIFS(ЗАКАЗЫ!$AK$3:$AK$500,ЗАКАЗЫ!$F$3:$F$500,$A54)))</f>
        <v/>
      </c>
    </row>
    <row r="55" customFormat="false" ht="15.75" hidden="false" customHeight="true" outlineLevel="0" collapsed="false">
      <c r="A55" s="80" t="s">
        <v>1922</v>
      </c>
      <c r="B55" s="81"/>
      <c r="C55" s="81"/>
      <c r="D55" s="81"/>
      <c r="E55" s="83"/>
      <c r="F55" s="81"/>
      <c r="G55" s="83"/>
      <c r="H55" s="83"/>
      <c r="I55" s="84" t="str">
        <f aca="false">IF(E55="","",A55&amp;"_1.jpg")</f>
        <v/>
      </c>
      <c r="J55" s="84" t="str">
        <f aca="false">IF(E55="","",A55&amp;"_2.jpg; "&amp;A55&amp;"_3.jpg")</f>
        <v/>
      </c>
      <c r="K55" s="84" t="str">
        <f aca="false">IF(E55="","",A55&amp;"_schema.jpg")</f>
        <v/>
      </c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 t="s">
        <v>96</v>
      </c>
      <c r="W55" s="81"/>
      <c r="X55" s="81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6" t="str">
        <f aca="false">IF(SUM(Y55:AJ55)=0,"",SUM(Y55:AJ55))</f>
        <v/>
      </c>
      <c r="AL55" s="84" t="str">
        <f aca="false">MID(IF(N(Y55)&gt;0,", "&amp;Y$2,"")&amp;IF(N(Z55)&gt;0,", "&amp;Z$2,"")&amp;IF(N(AA55)&gt;0,", "&amp;AA$2,"")&amp;IF(N(AB55)&gt;0,", "&amp;AB$2,"")&amp;IF(N(AC55)&gt;0,", "&amp;AC$2,"")&amp;IF(N(AD55)&gt;0,", "&amp;AD$2,"")&amp;IF(N(AE55)&gt;0,", "&amp;AE$2,"")&amp;IF(N(AF55)&gt;0,", "&amp;AF$2,"")&amp;IF(N(AG55)&gt;0,", "&amp;AG$2,"")&amp;IF(N(AH55)&gt;0,", "&amp;AH$2,"")&amp;IF(N(AI55)&gt;0,", "&amp;AI$2,"")&amp;IF(N(AJ55)&gt;0,", "&amp;AJ$2,""),3,999)</f>
        <v/>
      </c>
      <c r="AM55" s="87" t="str">
        <f aca="false">IF(E55="","",MID(IF(N(Y55)&gt;0,", "&amp;A55&amp;"-"&amp;Y$2,"")&amp;IF(N(Z55)&gt;0,", "&amp;A55&amp;"-"&amp;Z$2,"")&amp;IF(N(AA55)&gt;0,", "&amp;A55&amp;"-"&amp;AA$2,"")&amp;IF(N(AB55)&gt;0,", "&amp;A55&amp;"-"&amp;AB$2,"")&amp;IF(N(AC55)&gt;0,", "&amp;A55&amp;"-"&amp;AC$2,"")&amp;IF(N(AD55)&gt;0,", "&amp;A55&amp;"-"&amp;AD$2,"")&amp;IF(N(AE55)&gt;0,", "&amp;A55&amp;"-"&amp;AE$2,"")&amp;IF(N(AF55)&gt;0,", "&amp;A55&amp;"-"&amp;AF$2,"")&amp;IF(N(AG55)&gt;0,", "&amp;A55&amp;"-"&amp;AG$2,"")&amp;IF(N(AH55)&gt;0,", "&amp;A55&amp;"-"&amp;AH$2,"")&amp;IF(N(AI55)&gt;0,", "&amp;A55&amp;"-"&amp;AI$2,"")&amp;IF(N(AJ55)&gt;0,", "&amp;A55&amp;"-"&amp;AJ$2,""),3,999))</f>
        <v/>
      </c>
      <c r="AN55" s="81"/>
      <c r="AO55" s="88"/>
      <c r="AP55" s="89" t="str">
        <f aca="false">IF(AO55="","",ROUND(AO55/(1+Справочники!$B$13),2))</f>
        <v/>
      </c>
      <c r="AQ55" s="90" t="str">
        <f aca="false" t="array" ref="AQ55:AQ55">IF(AP55="","",AP55*INDEX(Справочники!$B$4:$B$7,MATCH("RUB",Справочники!$A$4:$A$7,0)))</f>
        <v/>
      </c>
      <c r="AR55" s="90" t="str">
        <f aca="false">IF(AQ55="","",ROUND(AQ55*(1+Справочники!$B$12),0))</f>
        <v/>
      </c>
      <c r="AS55" s="90" t="str">
        <f aca="false">IF(AR55="","",ROUND(AR55*(1-Справочники!$B$11),0))</f>
        <v/>
      </c>
      <c r="AT55" s="88"/>
      <c r="AU55" s="90" t="str">
        <f aca="false">IF(AT55="","",ROUND(AT55/(1+Справочники!$B$12),0))</f>
        <v/>
      </c>
      <c r="AV55" s="90" t="str">
        <f aca="false">IF(AT55="","",ROUND(AT55*(1-Справочники!$B$15),0))</f>
        <v/>
      </c>
      <c r="AW55" s="90" t="str">
        <f aca="false">IF(AT55="","",ROUND(AT55*(1-Справочники!$B$16),0))</f>
        <v/>
      </c>
      <c r="AX55" s="90" t="str">
        <f aca="false">IF(AT55="","",ROUND(AT55*(1-Справочники!$B$17),0))</f>
        <v/>
      </c>
      <c r="AY55" s="90" t="str">
        <f aca="false">IF(AT55="","",ROUND(AT55*(1-Справочники!$B$18),0))</f>
        <v/>
      </c>
      <c r="AZ55" s="90" t="str">
        <f aca="false">IF(AT55="","",ROUND(AT55*(1-Справочники!$B$19),0))</f>
        <v/>
      </c>
      <c r="BA55" s="81"/>
      <c r="BB55" s="81"/>
      <c r="BC55" s="81"/>
      <c r="BD55" s="81"/>
      <c r="BE55" s="91"/>
      <c r="BF55" s="81" t="s">
        <v>103</v>
      </c>
      <c r="BG55" s="89" t="n">
        <f aca="false" t="array" ref="BG55:BG55">IF(BF55="","",IFERROR(INDEX(Справочники!$B$4:$B$7,MATCH(BF55,Справочники!$A$4:$A$7,0)),""))</f>
        <v>68.5</v>
      </c>
      <c r="BH55" s="90" t="str">
        <f aca="false">IF(N(BN55)&gt;0,ROUND(SUMIF(ЗАКАЗЫ!$F$3:$F$500,$A55,ЗАКАЗЫ!$Y$3:$Y$500)/BN55,0),IF(OR(BE55="",BG55=""),"",ROUND(BE55*BG55*(1+Справочники!$B$10),0)))</f>
        <v/>
      </c>
      <c r="BI55" s="92" t="str">
        <f aca="false">IF(OR(AU55="",BH55="",AU55=0),"",(AU55-BH55)/AU55)</f>
        <v/>
      </c>
      <c r="BJ55" s="81"/>
      <c r="BK55" s="83"/>
      <c r="BL55" s="43" t="str">
        <f aca="false">IFERROR(INDEX(ЗАКАЗЫ!$N$3:$N$500,MATCH($A55,ЗАКАЗЫ!$F$3:$F$500,0)),"")</f>
        <v/>
      </c>
      <c r="BM55" s="8" t="str">
        <f aca="false">IF(BL55="","",IFERROR(VLOOKUP(BL55,'ТН ВЭД'!$A$4:$C$40,3,0),""))</f>
        <v/>
      </c>
      <c r="BN55" s="7" t="str">
        <f aca="false">IF(COUNTIF(ЗАКАЗЫ!$F$3:$F$500,$A55)=0,"",SUMIF(ЗАКАЗЫ!$F$3:$F$500,$A55,ЗАКАЗЫ!$J$3:$J$500))</f>
        <v/>
      </c>
      <c r="BO55" s="7" t="str">
        <f aca="false">IF(BN55="","",SUMIF(ЗАКАЗЫ!$F$3:$F$500,$A55,ЗАКАЗЫ!$AL$3:$AL$500))</f>
        <v/>
      </c>
      <c r="BP55" s="7" t="str">
        <f aca="false">IF(BN55="","",BN55-BO55)</f>
        <v/>
      </c>
      <c r="BQ55" s="55" t="str">
        <f aca="false">IF(BN55="","",IF(BO55&gt;=BN55,"На складе",IF(BO55&gt;0,"Частично","Ждём")))</f>
        <v/>
      </c>
      <c r="BR55" s="43"/>
      <c r="BS55" s="47" t="str">
        <f aca="false">IF(BN55="","",IF(_xlfn.MAXIFS(ЗАКАЗЫ!$AK$3:$AK$500,ЗАКАЗЫ!$F$3:$F$500,$A55)=0,"",_xlfn.MAXIFS(ЗАКАЗЫ!$AK$3:$AK$500,ЗАКАЗЫ!$F$3:$F$500,$A55)))</f>
        <v/>
      </c>
    </row>
    <row r="56" customFormat="false" ht="15.75" hidden="false" customHeight="true" outlineLevel="0" collapsed="false">
      <c r="A56" s="80" t="s">
        <v>1923</v>
      </c>
      <c r="B56" s="81"/>
      <c r="C56" s="81"/>
      <c r="D56" s="81"/>
      <c r="E56" s="83"/>
      <c r="F56" s="81"/>
      <c r="G56" s="83"/>
      <c r="H56" s="83"/>
      <c r="I56" s="84" t="str">
        <f aca="false">IF(E56="","",A56&amp;"_1.jpg")</f>
        <v/>
      </c>
      <c r="J56" s="84" t="str">
        <f aca="false">IF(E56="","",A56&amp;"_2.jpg; "&amp;A56&amp;"_3.jpg")</f>
        <v/>
      </c>
      <c r="K56" s="84" t="str">
        <f aca="false">IF(E56="","",A56&amp;"_schema.jpg")</f>
        <v/>
      </c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 t="s">
        <v>96</v>
      </c>
      <c r="W56" s="81"/>
      <c r="X56" s="81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6" t="str">
        <f aca="false">IF(SUM(Y56:AJ56)=0,"",SUM(Y56:AJ56))</f>
        <v/>
      </c>
      <c r="AL56" s="84" t="str">
        <f aca="false">MID(IF(N(Y56)&gt;0,", "&amp;Y$2,"")&amp;IF(N(Z56)&gt;0,", "&amp;Z$2,"")&amp;IF(N(AA56)&gt;0,", "&amp;AA$2,"")&amp;IF(N(AB56)&gt;0,", "&amp;AB$2,"")&amp;IF(N(AC56)&gt;0,", "&amp;AC$2,"")&amp;IF(N(AD56)&gt;0,", "&amp;AD$2,"")&amp;IF(N(AE56)&gt;0,", "&amp;AE$2,"")&amp;IF(N(AF56)&gt;0,", "&amp;AF$2,"")&amp;IF(N(AG56)&gt;0,", "&amp;AG$2,"")&amp;IF(N(AH56)&gt;0,", "&amp;AH$2,"")&amp;IF(N(AI56)&gt;0,", "&amp;AI$2,"")&amp;IF(N(AJ56)&gt;0,", "&amp;AJ$2,""),3,999)</f>
        <v/>
      </c>
      <c r="AM56" s="87" t="str">
        <f aca="false">IF(E56="","",MID(IF(N(Y56)&gt;0,", "&amp;A56&amp;"-"&amp;Y$2,"")&amp;IF(N(Z56)&gt;0,", "&amp;A56&amp;"-"&amp;Z$2,"")&amp;IF(N(AA56)&gt;0,", "&amp;A56&amp;"-"&amp;AA$2,"")&amp;IF(N(AB56)&gt;0,", "&amp;A56&amp;"-"&amp;AB$2,"")&amp;IF(N(AC56)&gt;0,", "&amp;A56&amp;"-"&amp;AC$2,"")&amp;IF(N(AD56)&gt;0,", "&amp;A56&amp;"-"&amp;AD$2,"")&amp;IF(N(AE56)&gt;0,", "&amp;A56&amp;"-"&amp;AE$2,"")&amp;IF(N(AF56)&gt;0,", "&amp;A56&amp;"-"&amp;AF$2,"")&amp;IF(N(AG56)&gt;0,", "&amp;A56&amp;"-"&amp;AG$2,"")&amp;IF(N(AH56)&gt;0,", "&amp;A56&amp;"-"&amp;AH$2,"")&amp;IF(N(AI56)&gt;0,", "&amp;A56&amp;"-"&amp;AI$2,"")&amp;IF(N(AJ56)&gt;0,", "&amp;A56&amp;"-"&amp;AJ$2,""),3,999))</f>
        <v/>
      </c>
      <c r="AN56" s="81"/>
      <c r="AO56" s="88"/>
      <c r="AP56" s="89" t="str">
        <f aca="false">IF(AO56="","",ROUND(AO56/(1+Справочники!$B$13),2))</f>
        <v/>
      </c>
      <c r="AQ56" s="90" t="str">
        <f aca="false" t="array" ref="AQ56:AQ56">IF(AP56="","",AP56*INDEX(Справочники!$B$4:$B$7,MATCH("RUB",Справочники!$A$4:$A$7,0)))</f>
        <v/>
      </c>
      <c r="AR56" s="90" t="str">
        <f aca="false">IF(AQ56="","",ROUND(AQ56*(1+Справочники!$B$12),0))</f>
        <v/>
      </c>
      <c r="AS56" s="90" t="str">
        <f aca="false">IF(AR56="","",ROUND(AR56*(1-Справочники!$B$11),0))</f>
        <v/>
      </c>
      <c r="AT56" s="88"/>
      <c r="AU56" s="90" t="str">
        <f aca="false">IF(AT56="","",ROUND(AT56/(1+Справочники!$B$12),0))</f>
        <v/>
      </c>
      <c r="AV56" s="90" t="str">
        <f aca="false">IF(AT56="","",ROUND(AT56*(1-Справочники!$B$15),0))</f>
        <v/>
      </c>
      <c r="AW56" s="90" t="str">
        <f aca="false">IF(AT56="","",ROUND(AT56*(1-Справочники!$B$16),0))</f>
        <v/>
      </c>
      <c r="AX56" s="90" t="str">
        <f aca="false">IF(AT56="","",ROUND(AT56*(1-Справочники!$B$17),0))</f>
        <v/>
      </c>
      <c r="AY56" s="90" t="str">
        <f aca="false">IF(AT56="","",ROUND(AT56*(1-Справочники!$B$18),0))</f>
        <v/>
      </c>
      <c r="AZ56" s="90" t="str">
        <f aca="false">IF(AT56="","",ROUND(AT56*(1-Справочники!$B$19),0))</f>
        <v/>
      </c>
      <c r="BA56" s="81"/>
      <c r="BB56" s="81"/>
      <c r="BC56" s="81"/>
      <c r="BD56" s="81"/>
      <c r="BE56" s="91"/>
      <c r="BF56" s="81" t="s">
        <v>103</v>
      </c>
      <c r="BG56" s="89" t="n">
        <f aca="false" t="array" ref="BG56:BG56">IF(BF56="","",IFERROR(INDEX(Справочники!$B$4:$B$7,MATCH(BF56,Справочники!$A$4:$A$7,0)),""))</f>
        <v>68.5</v>
      </c>
      <c r="BH56" s="90" t="str">
        <f aca="false">IF(N(BN56)&gt;0,ROUND(SUMIF(ЗАКАЗЫ!$F$3:$F$500,$A56,ЗАКАЗЫ!$Y$3:$Y$500)/BN56,0),IF(OR(BE56="",BG56=""),"",ROUND(BE56*BG56*(1+Справочники!$B$10),0)))</f>
        <v/>
      </c>
      <c r="BI56" s="92" t="str">
        <f aca="false">IF(OR(AU56="",BH56="",AU56=0),"",(AU56-BH56)/AU56)</f>
        <v/>
      </c>
      <c r="BJ56" s="81"/>
      <c r="BK56" s="83"/>
      <c r="BL56" s="43" t="str">
        <f aca="false">IFERROR(INDEX(ЗАКАЗЫ!$N$3:$N$500,MATCH($A56,ЗАКАЗЫ!$F$3:$F$500,0)),"")</f>
        <v/>
      </c>
      <c r="BM56" s="8" t="str">
        <f aca="false">IF(BL56="","",IFERROR(VLOOKUP(BL56,'ТН ВЭД'!$A$4:$C$40,3,0),""))</f>
        <v/>
      </c>
      <c r="BN56" s="7" t="str">
        <f aca="false">IF(COUNTIF(ЗАКАЗЫ!$F$3:$F$500,$A56)=0,"",SUMIF(ЗАКАЗЫ!$F$3:$F$500,$A56,ЗАКАЗЫ!$J$3:$J$500))</f>
        <v/>
      </c>
      <c r="BO56" s="7" t="str">
        <f aca="false">IF(BN56="","",SUMIF(ЗАКАЗЫ!$F$3:$F$500,$A56,ЗАКАЗЫ!$AL$3:$AL$500))</f>
        <v/>
      </c>
      <c r="BP56" s="7" t="str">
        <f aca="false">IF(BN56="","",BN56-BO56)</f>
        <v/>
      </c>
      <c r="BQ56" s="55" t="str">
        <f aca="false">IF(BN56="","",IF(BO56&gt;=BN56,"На складе",IF(BO56&gt;0,"Частично","Ждём")))</f>
        <v/>
      </c>
      <c r="BR56" s="43"/>
      <c r="BS56" s="47" t="str">
        <f aca="false">IF(BN56="","",IF(_xlfn.MAXIFS(ЗАКАЗЫ!$AK$3:$AK$500,ЗАКАЗЫ!$F$3:$F$500,$A56)=0,"",_xlfn.MAXIFS(ЗАКАЗЫ!$AK$3:$AK$500,ЗАКАЗЫ!$F$3:$F$500,$A56)))</f>
        <v/>
      </c>
    </row>
    <row r="57" customFormat="false" ht="15.75" hidden="false" customHeight="true" outlineLevel="0" collapsed="false">
      <c r="A57" s="80" t="s">
        <v>1924</v>
      </c>
      <c r="B57" s="81"/>
      <c r="C57" s="81"/>
      <c r="D57" s="81"/>
      <c r="E57" s="83"/>
      <c r="F57" s="81"/>
      <c r="G57" s="83"/>
      <c r="H57" s="83"/>
      <c r="I57" s="84" t="str">
        <f aca="false">IF(E57="","",A57&amp;"_1.jpg")</f>
        <v/>
      </c>
      <c r="J57" s="84" t="str">
        <f aca="false">IF(E57="","",A57&amp;"_2.jpg; "&amp;A57&amp;"_3.jpg")</f>
        <v/>
      </c>
      <c r="K57" s="84" t="str">
        <f aca="false">IF(E57="","",A57&amp;"_schema.jpg")</f>
        <v/>
      </c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 t="s">
        <v>96</v>
      </c>
      <c r="W57" s="81"/>
      <c r="X57" s="81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6" t="str">
        <f aca="false">IF(SUM(Y57:AJ57)=0,"",SUM(Y57:AJ57))</f>
        <v/>
      </c>
      <c r="AL57" s="84" t="str">
        <f aca="false">MID(IF(N(Y57)&gt;0,", "&amp;Y$2,"")&amp;IF(N(Z57)&gt;0,", "&amp;Z$2,"")&amp;IF(N(AA57)&gt;0,", "&amp;AA$2,"")&amp;IF(N(AB57)&gt;0,", "&amp;AB$2,"")&amp;IF(N(AC57)&gt;0,", "&amp;AC$2,"")&amp;IF(N(AD57)&gt;0,", "&amp;AD$2,"")&amp;IF(N(AE57)&gt;0,", "&amp;AE$2,"")&amp;IF(N(AF57)&gt;0,", "&amp;AF$2,"")&amp;IF(N(AG57)&gt;0,", "&amp;AG$2,"")&amp;IF(N(AH57)&gt;0,", "&amp;AH$2,"")&amp;IF(N(AI57)&gt;0,", "&amp;AI$2,"")&amp;IF(N(AJ57)&gt;0,", "&amp;AJ$2,""),3,999)</f>
        <v/>
      </c>
      <c r="AM57" s="87" t="str">
        <f aca="false">IF(E57="","",MID(IF(N(Y57)&gt;0,", "&amp;A57&amp;"-"&amp;Y$2,"")&amp;IF(N(Z57)&gt;0,", "&amp;A57&amp;"-"&amp;Z$2,"")&amp;IF(N(AA57)&gt;0,", "&amp;A57&amp;"-"&amp;AA$2,"")&amp;IF(N(AB57)&gt;0,", "&amp;A57&amp;"-"&amp;AB$2,"")&amp;IF(N(AC57)&gt;0,", "&amp;A57&amp;"-"&amp;AC$2,"")&amp;IF(N(AD57)&gt;0,", "&amp;A57&amp;"-"&amp;AD$2,"")&amp;IF(N(AE57)&gt;0,", "&amp;A57&amp;"-"&amp;AE$2,"")&amp;IF(N(AF57)&gt;0,", "&amp;A57&amp;"-"&amp;AF$2,"")&amp;IF(N(AG57)&gt;0,", "&amp;A57&amp;"-"&amp;AG$2,"")&amp;IF(N(AH57)&gt;0,", "&amp;A57&amp;"-"&amp;AH$2,"")&amp;IF(N(AI57)&gt;0,", "&amp;A57&amp;"-"&amp;AI$2,"")&amp;IF(N(AJ57)&gt;0,", "&amp;A57&amp;"-"&amp;AJ$2,""),3,999))</f>
        <v/>
      </c>
      <c r="AN57" s="81"/>
      <c r="AO57" s="88"/>
      <c r="AP57" s="89" t="str">
        <f aca="false">IF(AO57="","",ROUND(AO57/(1+Справочники!$B$13),2))</f>
        <v/>
      </c>
      <c r="AQ57" s="90" t="str">
        <f aca="false" t="array" ref="AQ57:AQ57">IF(AP57="","",AP57*INDEX(Справочники!$B$4:$B$7,MATCH("RUB",Справочники!$A$4:$A$7,0)))</f>
        <v/>
      </c>
      <c r="AR57" s="90" t="str">
        <f aca="false">IF(AQ57="","",ROUND(AQ57*(1+Справочники!$B$12),0))</f>
        <v/>
      </c>
      <c r="AS57" s="90" t="str">
        <f aca="false">IF(AR57="","",ROUND(AR57*(1-Справочники!$B$11),0))</f>
        <v/>
      </c>
      <c r="AT57" s="88"/>
      <c r="AU57" s="90" t="str">
        <f aca="false">IF(AT57="","",ROUND(AT57/(1+Справочники!$B$12),0))</f>
        <v/>
      </c>
      <c r="AV57" s="90" t="str">
        <f aca="false">IF(AT57="","",ROUND(AT57*(1-Справочники!$B$15),0))</f>
        <v/>
      </c>
      <c r="AW57" s="90" t="str">
        <f aca="false">IF(AT57="","",ROUND(AT57*(1-Справочники!$B$16),0))</f>
        <v/>
      </c>
      <c r="AX57" s="90" t="str">
        <f aca="false">IF(AT57="","",ROUND(AT57*(1-Справочники!$B$17),0))</f>
        <v/>
      </c>
      <c r="AY57" s="90" t="str">
        <f aca="false">IF(AT57="","",ROUND(AT57*(1-Справочники!$B$18),0))</f>
        <v/>
      </c>
      <c r="AZ57" s="90" t="str">
        <f aca="false">IF(AT57="","",ROUND(AT57*(1-Справочники!$B$19),0))</f>
        <v/>
      </c>
      <c r="BA57" s="81"/>
      <c r="BB57" s="81"/>
      <c r="BC57" s="81"/>
      <c r="BD57" s="81"/>
      <c r="BE57" s="91"/>
      <c r="BF57" s="81" t="s">
        <v>103</v>
      </c>
      <c r="BG57" s="89" t="n">
        <f aca="false" t="array" ref="BG57:BG57">IF(BF57="","",IFERROR(INDEX(Справочники!$B$4:$B$7,MATCH(BF57,Справочники!$A$4:$A$7,0)),""))</f>
        <v>68.5</v>
      </c>
      <c r="BH57" s="90" t="str">
        <f aca="false">IF(N(BN57)&gt;0,ROUND(SUMIF(ЗАКАЗЫ!$F$3:$F$500,$A57,ЗАКАЗЫ!$Y$3:$Y$500)/BN57,0),IF(OR(BE57="",BG57=""),"",ROUND(BE57*BG57*(1+Справочники!$B$10),0)))</f>
        <v/>
      </c>
      <c r="BI57" s="92" t="str">
        <f aca="false">IF(OR(AU57="",BH57="",AU57=0),"",(AU57-BH57)/AU57)</f>
        <v/>
      </c>
      <c r="BJ57" s="81"/>
      <c r="BK57" s="83"/>
      <c r="BL57" s="43" t="str">
        <f aca="false">IFERROR(INDEX(ЗАКАЗЫ!$N$3:$N$500,MATCH($A57,ЗАКАЗЫ!$F$3:$F$500,0)),"")</f>
        <v/>
      </c>
      <c r="BM57" s="8" t="str">
        <f aca="false">IF(BL57="","",IFERROR(VLOOKUP(BL57,'ТН ВЭД'!$A$4:$C$40,3,0),""))</f>
        <v/>
      </c>
      <c r="BN57" s="7" t="str">
        <f aca="false">IF(COUNTIF(ЗАКАЗЫ!$F$3:$F$500,$A57)=0,"",SUMIF(ЗАКАЗЫ!$F$3:$F$500,$A57,ЗАКАЗЫ!$J$3:$J$500))</f>
        <v/>
      </c>
      <c r="BO57" s="7" t="str">
        <f aca="false">IF(BN57="","",SUMIF(ЗАКАЗЫ!$F$3:$F$500,$A57,ЗАКАЗЫ!$AL$3:$AL$500))</f>
        <v/>
      </c>
      <c r="BP57" s="7" t="str">
        <f aca="false">IF(BN57="","",BN57-BO57)</f>
        <v/>
      </c>
      <c r="BQ57" s="55" t="str">
        <f aca="false">IF(BN57="","",IF(BO57&gt;=BN57,"На складе",IF(BO57&gt;0,"Частично","Ждём")))</f>
        <v/>
      </c>
      <c r="BR57" s="43"/>
      <c r="BS57" s="47" t="str">
        <f aca="false">IF(BN57="","",IF(_xlfn.MAXIFS(ЗАКАЗЫ!$AK$3:$AK$500,ЗАКАЗЫ!$F$3:$F$500,$A57)=0,"",_xlfn.MAXIFS(ЗАКАЗЫ!$AK$3:$AK$500,ЗАКАЗЫ!$F$3:$F$500,$A57)))</f>
        <v/>
      </c>
    </row>
    <row r="58" customFormat="false" ht="15.75" hidden="false" customHeight="true" outlineLevel="0" collapsed="false">
      <c r="A58" s="80" t="s">
        <v>1925</v>
      </c>
      <c r="B58" s="81"/>
      <c r="C58" s="81"/>
      <c r="D58" s="81"/>
      <c r="E58" s="83"/>
      <c r="F58" s="81"/>
      <c r="G58" s="83"/>
      <c r="H58" s="83"/>
      <c r="I58" s="84" t="str">
        <f aca="false">IF(E58="","",A58&amp;"_1.jpg")</f>
        <v/>
      </c>
      <c r="J58" s="84" t="str">
        <f aca="false">IF(E58="","",A58&amp;"_2.jpg; "&amp;A58&amp;"_3.jpg")</f>
        <v/>
      </c>
      <c r="K58" s="84" t="str">
        <f aca="false">IF(E58="","",A58&amp;"_schema.jpg")</f>
        <v/>
      </c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 t="s">
        <v>96</v>
      </c>
      <c r="W58" s="81"/>
      <c r="X58" s="81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6" t="str">
        <f aca="false">IF(SUM(Y58:AJ58)=0,"",SUM(Y58:AJ58))</f>
        <v/>
      </c>
      <c r="AL58" s="84" t="str">
        <f aca="false">MID(IF(N(Y58)&gt;0,", "&amp;Y$2,"")&amp;IF(N(Z58)&gt;0,", "&amp;Z$2,"")&amp;IF(N(AA58)&gt;0,", "&amp;AA$2,"")&amp;IF(N(AB58)&gt;0,", "&amp;AB$2,"")&amp;IF(N(AC58)&gt;0,", "&amp;AC$2,"")&amp;IF(N(AD58)&gt;0,", "&amp;AD$2,"")&amp;IF(N(AE58)&gt;0,", "&amp;AE$2,"")&amp;IF(N(AF58)&gt;0,", "&amp;AF$2,"")&amp;IF(N(AG58)&gt;0,", "&amp;AG$2,"")&amp;IF(N(AH58)&gt;0,", "&amp;AH$2,"")&amp;IF(N(AI58)&gt;0,", "&amp;AI$2,"")&amp;IF(N(AJ58)&gt;0,", "&amp;AJ$2,""),3,999)</f>
        <v/>
      </c>
      <c r="AM58" s="87" t="str">
        <f aca="false">IF(E58="","",MID(IF(N(Y58)&gt;0,", "&amp;A58&amp;"-"&amp;Y$2,"")&amp;IF(N(Z58)&gt;0,", "&amp;A58&amp;"-"&amp;Z$2,"")&amp;IF(N(AA58)&gt;0,", "&amp;A58&amp;"-"&amp;AA$2,"")&amp;IF(N(AB58)&gt;0,", "&amp;A58&amp;"-"&amp;AB$2,"")&amp;IF(N(AC58)&gt;0,", "&amp;A58&amp;"-"&amp;AC$2,"")&amp;IF(N(AD58)&gt;0,", "&amp;A58&amp;"-"&amp;AD$2,"")&amp;IF(N(AE58)&gt;0,", "&amp;A58&amp;"-"&amp;AE$2,"")&amp;IF(N(AF58)&gt;0,", "&amp;A58&amp;"-"&amp;AF$2,"")&amp;IF(N(AG58)&gt;0,", "&amp;A58&amp;"-"&amp;AG$2,"")&amp;IF(N(AH58)&gt;0,", "&amp;A58&amp;"-"&amp;AH$2,"")&amp;IF(N(AI58)&gt;0,", "&amp;A58&amp;"-"&amp;AI$2,"")&amp;IF(N(AJ58)&gt;0,", "&amp;A58&amp;"-"&amp;AJ$2,""),3,999))</f>
        <v/>
      </c>
      <c r="AN58" s="81"/>
      <c r="AO58" s="88"/>
      <c r="AP58" s="89" t="str">
        <f aca="false">IF(AO58="","",ROUND(AO58/(1+Справочники!$B$13),2))</f>
        <v/>
      </c>
      <c r="AQ58" s="90" t="str">
        <f aca="false" t="array" ref="AQ58:AQ58">IF(AP58="","",AP58*INDEX(Справочники!$B$4:$B$7,MATCH("RUB",Справочники!$A$4:$A$7,0)))</f>
        <v/>
      </c>
      <c r="AR58" s="90" t="str">
        <f aca="false">IF(AQ58="","",ROUND(AQ58*(1+Справочники!$B$12),0))</f>
        <v/>
      </c>
      <c r="AS58" s="90" t="str">
        <f aca="false">IF(AR58="","",ROUND(AR58*(1-Справочники!$B$11),0))</f>
        <v/>
      </c>
      <c r="AT58" s="88"/>
      <c r="AU58" s="90" t="str">
        <f aca="false">IF(AT58="","",ROUND(AT58/(1+Справочники!$B$12),0))</f>
        <v/>
      </c>
      <c r="AV58" s="90" t="str">
        <f aca="false">IF(AT58="","",ROUND(AT58*(1-Справочники!$B$15),0))</f>
        <v/>
      </c>
      <c r="AW58" s="90" t="str">
        <f aca="false">IF(AT58="","",ROUND(AT58*(1-Справочники!$B$16),0))</f>
        <v/>
      </c>
      <c r="AX58" s="90" t="str">
        <f aca="false">IF(AT58="","",ROUND(AT58*(1-Справочники!$B$17),0))</f>
        <v/>
      </c>
      <c r="AY58" s="90" t="str">
        <f aca="false">IF(AT58="","",ROUND(AT58*(1-Справочники!$B$18),0))</f>
        <v/>
      </c>
      <c r="AZ58" s="90" t="str">
        <f aca="false">IF(AT58="","",ROUND(AT58*(1-Справочники!$B$19),0))</f>
        <v/>
      </c>
      <c r="BA58" s="81"/>
      <c r="BB58" s="81"/>
      <c r="BC58" s="81"/>
      <c r="BD58" s="81"/>
      <c r="BE58" s="91"/>
      <c r="BF58" s="81" t="s">
        <v>103</v>
      </c>
      <c r="BG58" s="89" t="n">
        <f aca="false" t="array" ref="BG58:BG58">IF(BF58="","",IFERROR(INDEX(Справочники!$B$4:$B$7,MATCH(BF58,Справочники!$A$4:$A$7,0)),""))</f>
        <v>68.5</v>
      </c>
      <c r="BH58" s="90" t="str">
        <f aca="false">IF(N(BN58)&gt;0,ROUND(SUMIF(ЗАКАЗЫ!$F$3:$F$500,$A58,ЗАКАЗЫ!$Y$3:$Y$500)/BN58,0),IF(OR(BE58="",BG58=""),"",ROUND(BE58*BG58*(1+Справочники!$B$10),0)))</f>
        <v/>
      </c>
      <c r="BI58" s="92" t="str">
        <f aca="false">IF(OR(AU58="",BH58="",AU58=0),"",(AU58-BH58)/AU58)</f>
        <v/>
      </c>
      <c r="BJ58" s="81"/>
      <c r="BK58" s="83"/>
      <c r="BL58" s="43" t="str">
        <f aca="false">IFERROR(INDEX(ЗАКАЗЫ!$N$3:$N$500,MATCH($A58,ЗАКАЗЫ!$F$3:$F$500,0)),"")</f>
        <v/>
      </c>
      <c r="BM58" s="8" t="str">
        <f aca="false">IF(BL58="","",IFERROR(VLOOKUP(BL58,'ТН ВЭД'!$A$4:$C$40,3,0),""))</f>
        <v/>
      </c>
      <c r="BN58" s="7" t="str">
        <f aca="false">IF(COUNTIF(ЗАКАЗЫ!$F$3:$F$500,$A58)=0,"",SUMIF(ЗАКАЗЫ!$F$3:$F$500,$A58,ЗАКАЗЫ!$J$3:$J$500))</f>
        <v/>
      </c>
      <c r="BO58" s="7" t="str">
        <f aca="false">IF(BN58="","",SUMIF(ЗАКАЗЫ!$F$3:$F$500,$A58,ЗАКАЗЫ!$AL$3:$AL$500))</f>
        <v/>
      </c>
      <c r="BP58" s="7" t="str">
        <f aca="false">IF(BN58="","",BN58-BO58)</f>
        <v/>
      </c>
      <c r="BQ58" s="55" t="str">
        <f aca="false">IF(BN58="","",IF(BO58&gt;=BN58,"На складе",IF(BO58&gt;0,"Частично","Ждём")))</f>
        <v/>
      </c>
      <c r="BR58" s="43"/>
      <c r="BS58" s="47" t="str">
        <f aca="false">IF(BN58="","",IF(_xlfn.MAXIFS(ЗАКАЗЫ!$AK$3:$AK$500,ЗАКАЗЫ!$F$3:$F$500,$A58)=0,"",_xlfn.MAXIFS(ЗАКАЗЫ!$AK$3:$AK$500,ЗАКАЗЫ!$F$3:$F$500,$A58)))</f>
        <v/>
      </c>
    </row>
    <row r="59" customFormat="false" ht="15.75" hidden="false" customHeight="true" outlineLevel="0" collapsed="false">
      <c r="A59" s="80" t="s">
        <v>1926</v>
      </c>
      <c r="B59" s="81"/>
      <c r="C59" s="81"/>
      <c r="D59" s="81"/>
      <c r="E59" s="83"/>
      <c r="F59" s="81"/>
      <c r="G59" s="83"/>
      <c r="H59" s="83"/>
      <c r="I59" s="84" t="str">
        <f aca="false">IF(E59="","",A59&amp;"_1.jpg")</f>
        <v/>
      </c>
      <c r="J59" s="84" t="str">
        <f aca="false">IF(E59="","",A59&amp;"_2.jpg; "&amp;A59&amp;"_3.jpg")</f>
        <v/>
      </c>
      <c r="K59" s="84" t="str">
        <f aca="false">IF(E59="","",A59&amp;"_schema.jpg")</f>
        <v/>
      </c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 t="s">
        <v>96</v>
      </c>
      <c r="W59" s="81"/>
      <c r="X59" s="81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6" t="str">
        <f aca="false">IF(SUM(Y59:AJ59)=0,"",SUM(Y59:AJ59))</f>
        <v/>
      </c>
      <c r="AL59" s="84" t="str">
        <f aca="false">MID(IF(N(Y59)&gt;0,", "&amp;Y$2,"")&amp;IF(N(Z59)&gt;0,", "&amp;Z$2,"")&amp;IF(N(AA59)&gt;0,", "&amp;AA$2,"")&amp;IF(N(AB59)&gt;0,", "&amp;AB$2,"")&amp;IF(N(AC59)&gt;0,", "&amp;AC$2,"")&amp;IF(N(AD59)&gt;0,", "&amp;AD$2,"")&amp;IF(N(AE59)&gt;0,", "&amp;AE$2,"")&amp;IF(N(AF59)&gt;0,", "&amp;AF$2,"")&amp;IF(N(AG59)&gt;0,", "&amp;AG$2,"")&amp;IF(N(AH59)&gt;0,", "&amp;AH$2,"")&amp;IF(N(AI59)&gt;0,", "&amp;AI$2,"")&amp;IF(N(AJ59)&gt;0,", "&amp;AJ$2,""),3,999)</f>
        <v/>
      </c>
      <c r="AM59" s="87" t="str">
        <f aca="false">IF(E59="","",MID(IF(N(Y59)&gt;0,", "&amp;A59&amp;"-"&amp;Y$2,"")&amp;IF(N(Z59)&gt;0,", "&amp;A59&amp;"-"&amp;Z$2,"")&amp;IF(N(AA59)&gt;0,", "&amp;A59&amp;"-"&amp;AA$2,"")&amp;IF(N(AB59)&gt;0,", "&amp;A59&amp;"-"&amp;AB$2,"")&amp;IF(N(AC59)&gt;0,", "&amp;A59&amp;"-"&amp;AC$2,"")&amp;IF(N(AD59)&gt;0,", "&amp;A59&amp;"-"&amp;AD$2,"")&amp;IF(N(AE59)&gt;0,", "&amp;A59&amp;"-"&amp;AE$2,"")&amp;IF(N(AF59)&gt;0,", "&amp;A59&amp;"-"&amp;AF$2,"")&amp;IF(N(AG59)&gt;0,", "&amp;A59&amp;"-"&amp;AG$2,"")&amp;IF(N(AH59)&gt;0,", "&amp;A59&amp;"-"&amp;AH$2,"")&amp;IF(N(AI59)&gt;0,", "&amp;A59&amp;"-"&amp;AI$2,"")&amp;IF(N(AJ59)&gt;0,", "&amp;A59&amp;"-"&amp;AJ$2,""),3,999))</f>
        <v/>
      </c>
      <c r="AN59" s="81"/>
      <c r="AO59" s="88"/>
      <c r="AP59" s="89" t="str">
        <f aca="false">IF(AO59="","",ROUND(AO59/(1+Справочники!$B$13),2))</f>
        <v/>
      </c>
      <c r="AQ59" s="90" t="str">
        <f aca="false" t="array" ref="AQ59:AQ59">IF(AP59="","",AP59*INDEX(Справочники!$B$4:$B$7,MATCH("RUB",Справочники!$A$4:$A$7,0)))</f>
        <v/>
      </c>
      <c r="AR59" s="90" t="str">
        <f aca="false">IF(AQ59="","",ROUND(AQ59*(1+Справочники!$B$12),0))</f>
        <v/>
      </c>
      <c r="AS59" s="90" t="str">
        <f aca="false">IF(AR59="","",ROUND(AR59*(1-Справочники!$B$11),0))</f>
        <v/>
      </c>
      <c r="AT59" s="88"/>
      <c r="AU59" s="90" t="str">
        <f aca="false">IF(AT59="","",ROUND(AT59/(1+Справочники!$B$12),0))</f>
        <v/>
      </c>
      <c r="AV59" s="90" t="str">
        <f aca="false">IF(AT59="","",ROUND(AT59*(1-Справочники!$B$15),0))</f>
        <v/>
      </c>
      <c r="AW59" s="90" t="str">
        <f aca="false">IF(AT59="","",ROUND(AT59*(1-Справочники!$B$16),0))</f>
        <v/>
      </c>
      <c r="AX59" s="90" t="str">
        <f aca="false">IF(AT59="","",ROUND(AT59*(1-Справочники!$B$17),0))</f>
        <v/>
      </c>
      <c r="AY59" s="90" t="str">
        <f aca="false">IF(AT59="","",ROUND(AT59*(1-Справочники!$B$18),0))</f>
        <v/>
      </c>
      <c r="AZ59" s="90" t="str">
        <f aca="false">IF(AT59="","",ROUND(AT59*(1-Справочники!$B$19),0))</f>
        <v/>
      </c>
      <c r="BA59" s="81"/>
      <c r="BB59" s="81"/>
      <c r="BC59" s="81"/>
      <c r="BD59" s="81"/>
      <c r="BE59" s="91"/>
      <c r="BF59" s="81" t="s">
        <v>103</v>
      </c>
      <c r="BG59" s="89" t="n">
        <f aca="false" t="array" ref="BG59:BG59">IF(BF59="","",IFERROR(INDEX(Справочники!$B$4:$B$7,MATCH(BF59,Справочники!$A$4:$A$7,0)),""))</f>
        <v>68.5</v>
      </c>
      <c r="BH59" s="90" t="str">
        <f aca="false">IF(N(BN59)&gt;0,ROUND(SUMIF(ЗАКАЗЫ!$F$3:$F$500,$A59,ЗАКАЗЫ!$Y$3:$Y$500)/BN59,0),IF(OR(BE59="",BG59=""),"",ROUND(BE59*BG59*(1+Справочники!$B$10),0)))</f>
        <v/>
      </c>
      <c r="BI59" s="92" t="str">
        <f aca="false">IF(OR(AU59="",BH59="",AU59=0),"",(AU59-BH59)/AU59)</f>
        <v/>
      </c>
      <c r="BJ59" s="81"/>
      <c r="BK59" s="83"/>
      <c r="BL59" s="43" t="str">
        <f aca="false">IFERROR(INDEX(ЗАКАЗЫ!$N$3:$N$500,MATCH($A59,ЗАКАЗЫ!$F$3:$F$500,0)),"")</f>
        <v/>
      </c>
      <c r="BM59" s="8" t="str">
        <f aca="false">IF(BL59="","",IFERROR(VLOOKUP(BL59,'ТН ВЭД'!$A$4:$C$40,3,0),""))</f>
        <v/>
      </c>
      <c r="BN59" s="7" t="str">
        <f aca="false">IF(COUNTIF(ЗАКАЗЫ!$F$3:$F$500,$A59)=0,"",SUMIF(ЗАКАЗЫ!$F$3:$F$500,$A59,ЗАКАЗЫ!$J$3:$J$500))</f>
        <v/>
      </c>
      <c r="BO59" s="7" t="str">
        <f aca="false">IF(BN59="","",SUMIF(ЗАКАЗЫ!$F$3:$F$500,$A59,ЗАКАЗЫ!$AL$3:$AL$500))</f>
        <v/>
      </c>
      <c r="BP59" s="7" t="str">
        <f aca="false">IF(BN59="","",BN59-BO59)</f>
        <v/>
      </c>
      <c r="BQ59" s="55" t="str">
        <f aca="false">IF(BN59="","",IF(BO59&gt;=BN59,"На складе",IF(BO59&gt;0,"Частично","Ждём")))</f>
        <v/>
      </c>
      <c r="BR59" s="43"/>
      <c r="BS59" s="47" t="str">
        <f aca="false">IF(BN59="","",IF(_xlfn.MAXIFS(ЗАКАЗЫ!$AK$3:$AK$500,ЗАКАЗЫ!$F$3:$F$500,$A59)=0,"",_xlfn.MAXIFS(ЗАКАЗЫ!$AK$3:$AK$500,ЗАКАЗЫ!$F$3:$F$500,$A59)))</f>
        <v/>
      </c>
    </row>
    <row r="60" customFormat="false" ht="15.75" hidden="false" customHeight="true" outlineLevel="0" collapsed="false">
      <c r="A60" s="80" t="s">
        <v>1927</v>
      </c>
      <c r="B60" s="81"/>
      <c r="C60" s="81"/>
      <c r="D60" s="81"/>
      <c r="E60" s="83"/>
      <c r="F60" s="81"/>
      <c r="G60" s="83"/>
      <c r="H60" s="83"/>
      <c r="I60" s="84" t="str">
        <f aca="false">IF(E60="","",A60&amp;"_1.jpg")</f>
        <v/>
      </c>
      <c r="J60" s="84" t="str">
        <f aca="false">IF(E60="","",A60&amp;"_2.jpg; "&amp;A60&amp;"_3.jpg")</f>
        <v/>
      </c>
      <c r="K60" s="84" t="str">
        <f aca="false">IF(E60="","",A60&amp;"_schema.jpg")</f>
        <v/>
      </c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 t="s">
        <v>96</v>
      </c>
      <c r="W60" s="81"/>
      <c r="X60" s="81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6" t="str">
        <f aca="false">IF(SUM(Y60:AJ60)=0,"",SUM(Y60:AJ60))</f>
        <v/>
      </c>
      <c r="AL60" s="84" t="str">
        <f aca="false">MID(IF(N(Y60)&gt;0,", "&amp;Y$2,"")&amp;IF(N(Z60)&gt;0,", "&amp;Z$2,"")&amp;IF(N(AA60)&gt;0,", "&amp;AA$2,"")&amp;IF(N(AB60)&gt;0,", "&amp;AB$2,"")&amp;IF(N(AC60)&gt;0,", "&amp;AC$2,"")&amp;IF(N(AD60)&gt;0,", "&amp;AD$2,"")&amp;IF(N(AE60)&gt;0,", "&amp;AE$2,"")&amp;IF(N(AF60)&gt;0,", "&amp;AF$2,"")&amp;IF(N(AG60)&gt;0,", "&amp;AG$2,"")&amp;IF(N(AH60)&gt;0,", "&amp;AH$2,"")&amp;IF(N(AI60)&gt;0,", "&amp;AI$2,"")&amp;IF(N(AJ60)&gt;0,", "&amp;AJ$2,""),3,999)</f>
        <v/>
      </c>
      <c r="AM60" s="87" t="str">
        <f aca="false">IF(E60="","",MID(IF(N(Y60)&gt;0,", "&amp;A60&amp;"-"&amp;Y$2,"")&amp;IF(N(Z60)&gt;0,", "&amp;A60&amp;"-"&amp;Z$2,"")&amp;IF(N(AA60)&gt;0,", "&amp;A60&amp;"-"&amp;AA$2,"")&amp;IF(N(AB60)&gt;0,", "&amp;A60&amp;"-"&amp;AB$2,"")&amp;IF(N(AC60)&gt;0,", "&amp;A60&amp;"-"&amp;AC$2,"")&amp;IF(N(AD60)&gt;0,", "&amp;A60&amp;"-"&amp;AD$2,"")&amp;IF(N(AE60)&gt;0,", "&amp;A60&amp;"-"&amp;AE$2,"")&amp;IF(N(AF60)&gt;0,", "&amp;A60&amp;"-"&amp;AF$2,"")&amp;IF(N(AG60)&gt;0,", "&amp;A60&amp;"-"&amp;AG$2,"")&amp;IF(N(AH60)&gt;0,", "&amp;A60&amp;"-"&amp;AH$2,"")&amp;IF(N(AI60)&gt;0,", "&amp;A60&amp;"-"&amp;AI$2,"")&amp;IF(N(AJ60)&gt;0,", "&amp;A60&amp;"-"&amp;AJ$2,""),3,999))</f>
        <v/>
      </c>
      <c r="AN60" s="81"/>
      <c r="AO60" s="88"/>
      <c r="AP60" s="89" t="str">
        <f aca="false">IF(AO60="","",ROUND(AO60/(1+Справочники!$B$13),2))</f>
        <v/>
      </c>
      <c r="AQ60" s="90" t="str">
        <f aca="false" t="array" ref="AQ60:AQ60">IF(AP60="","",AP60*INDEX(Справочники!$B$4:$B$7,MATCH("RUB",Справочники!$A$4:$A$7,0)))</f>
        <v/>
      </c>
      <c r="AR60" s="90" t="str">
        <f aca="false">IF(AQ60="","",ROUND(AQ60*(1+Справочники!$B$12),0))</f>
        <v/>
      </c>
      <c r="AS60" s="90" t="str">
        <f aca="false">IF(AR60="","",ROUND(AR60*(1-Справочники!$B$11),0))</f>
        <v/>
      </c>
      <c r="AT60" s="88"/>
      <c r="AU60" s="90" t="str">
        <f aca="false">IF(AT60="","",ROUND(AT60/(1+Справочники!$B$12),0))</f>
        <v/>
      </c>
      <c r="AV60" s="90" t="str">
        <f aca="false">IF(AT60="","",ROUND(AT60*(1-Справочники!$B$15),0))</f>
        <v/>
      </c>
      <c r="AW60" s="90" t="str">
        <f aca="false">IF(AT60="","",ROUND(AT60*(1-Справочники!$B$16),0))</f>
        <v/>
      </c>
      <c r="AX60" s="90" t="str">
        <f aca="false">IF(AT60="","",ROUND(AT60*(1-Справочники!$B$17),0))</f>
        <v/>
      </c>
      <c r="AY60" s="90" t="str">
        <f aca="false">IF(AT60="","",ROUND(AT60*(1-Справочники!$B$18),0))</f>
        <v/>
      </c>
      <c r="AZ60" s="90" t="str">
        <f aca="false">IF(AT60="","",ROUND(AT60*(1-Справочники!$B$19),0))</f>
        <v/>
      </c>
      <c r="BA60" s="81"/>
      <c r="BB60" s="81"/>
      <c r="BC60" s="81"/>
      <c r="BD60" s="81"/>
      <c r="BE60" s="91"/>
      <c r="BF60" s="81" t="s">
        <v>103</v>
      </c>
      <c r="BG60" s="89" t="n">
        <f aca="false" t="array" ref="BG60:BG60">IF(BF60="","",IFERROR(INDEX(Справочники!$B$4:$B$7,MATCH(BF60,Справочники!$A$4:$A$7,0)),""))</f>
        <v>68.5</v>
      </c>
      <c r="BH60" s="90" t="str">
        <f aca="false">IF(N(BN60)&gt;0,ROUND(SUMIF(ЗАКАЗЫ!$F$3:$F$500,$A60,ЗАКАЗЫ!$Y$3:$Y$500)/BN60,0),IF(OR(BE60="",BG60=""),"",ROUND(BE60*BG60*(1+Справочники!$B$10),0)))</f>
        <v/>
      </c>
      <c r="BI60" s="92" t="str">
        <f aca="false">IF(OR(AU60="",BH60="",AU60=0),"",(AU60-BH60)/AU60)</f>
        <v/>
      </c>
      <c r="BJ60" s="81"/>
      <c r="BK60" s="83"/>
      <c r="BL60" s="43" t="str">
        <f aca="false">IFERROR(INDEX(ЗАКАЗЫ!$N$3:$N$500,MATCH($A60,ЗАКАЗЫ!$F$3:$F$500,0)),"")</f>
        <v/>
      </c>
      <c r="BM60" s="8" t="str">
        <f aca="false">IF(BL60="","",IFERROR(VLOOKUP(BL60,'ТН ВЭД'!$A$4:$C$40,3,0),""))</f>
        <v/>
      </c>
      <c r="BN60" s="7" t="str">
        <f aca="false">IF(COUNTIF(ЗАКАЗЫ!$F$3:$F$500,$A60)=0,"",SUMIF(ЗАКАЗЫ!$F$3:$F$500,$A60,ЗАКАЗЫ!$J$3:$J$500))</f>
        <v/>
      </c>
      <c r="BO60" s="7" t="str">
        <f aca="false">IF(BN60="","",SUMIF(ЗАКАЗЫ!$F$3:$F$500,$A60,ЗАКАЗЫ!$AL$3:$AL$500))</f>
        <v/>
      </c>
      <c r="BP60" s="7" t="str">
        <f aca="false">IF(BN60="","",BN60-BO60)</f>
        <v/>
      </c>
      <c r="BQ60" s="55" t="str">
        <f aca="false">IF(BN60="","",IF(BO60&gt;=BN60,"На складе",IF(BO60&gt;0,"Частично","Ждём")))</f>
        <v/>
      </c>
      <c r="BR60" s="43"/>
      <c r="BS60" s="47" t="str">
        <f aca="false">IF(BN60="","",IF(_xlfn.MAXIFS(ЗАКАЗЫ!$AK$3:$AK$500,ЗАКАЗЫ!$F$3:$F$500,$A60)=0,"",_xlfn.MAXIFS(ЗАКАЗЫ!$AK$3:$AK$500,ЗАКАЗЫ!$F$3:$F$500,$A60)))</f>
        <v/>
      </c>
    </row>
    <row r="61" customFormat="false" ht="15.75" hidden="false" customHeight="true" outlineLevel="0" collapsed="false">
      <c r="A61" s="80" t="s">
        <v>1928</v>
      </c>
      <c r="B61" s="81"/>
      <c r="C61" s="81"/>
      <c r="D61" s="81"/>
      <c r="E61" s="83"/>
      <c r="F61" s="81"/>
      <c r="G61" s="83"/>
      <c r="H61" s="83"/>
      <c r="I61" s="84" t="str">
        <f aca="false">IF(E61="","",A61&amp;"_1.jpg")</f>
        <v/>
      </c>
      <c r="J61" s="84" t="str">
        <f aca="false">IF(E61="","",A61&amp;"_2.jpg; "&amp;A61&amp;"_3.jpg")</f>
        <v/>
      </c>
      <c r="K61" s="84" t="str">
        <f aca="false">IF(E61="","",A61&amp;"_schema.jpg")</f>
        <v/>
      </c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 t="s">
        <v>96</v>
      </c>
      <c r="W61" s="81"/>
      <c r="X61" s="81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6" t="str">
        <f aca="false">IF(SUM(Y61:AJ61)=0,"",SUM(Y61:AJ61))</f>
        <v/>
      </c>
      <c r="AL61" s="84" t="str">
        <f aca="false">MID(IF(N(Y61)&gt;0,", "&amp;Y$2,"")&amp;IF(N(Z61)&gt;0,", "&amp;Z$2,"")&amp;IF(N(AA61)&gt;0,", "&amp;AA$2,"")&amp;IF(N(AB61)&gt;0,", "&amp;AB$2,"")&amp;IF(N(AC61)&gt;0,", "&amp;AC$2,"")&amp;IF(N(AD61)&gt;0,", "&amp;AD$2,"")&amp;IF(N(AE61)&gt;0,", "&amp;AE$2,"")&amp;IF(N(AF61)&gt;0,", "&amp;AF$2,"")&amp;IF(N(AG61)&gt;0,", "&amp;AG$2,"")&amp;IF(N(AH61)&gt;0,", "&amp;AH$2,"")&amp;IF(N(AI61)&gt;0,", "&amp;AI$2,"")&amp;IF(N(AJ61)&gt;0,", "&amp;AJ$2,""),3,999)</f>
        <v/>
      </c>
      <c r="AM61" s="87" t="str">
        <f aca="false">IF(E61="","",MID(IF(N(Y61)&gt;0,", "&amp;A61&amp;"-"&amp;Y$2,"")&amp;IF(N(Z61)&gt;0,", "&amp;A61&amp;"-"&amp;Z$2,"")&amp;IF(N(AA61)&gt;0,", "&amp;A61&amp;"-"&amp;AA$2,"")&amp;IF(N(AB61)&gt;0,", "&amp;A61&amp;"-"&amp;AB$2,"")&amp;IF(N(AC61)&gt;0,", "&amp;A61&amp;"-"&amp;AC$2,"")&amp;IF(N(AD61)&gt;0,", "&amp;A61&amp;"-"&amp;AD$2,"")&amp;IF(N(AE61)&gt;0,", "&amp;A61&amp;"-"&amp;AE$2,"")&amp;IF(N(AF61)&gt;0,", "&amp;A61&amp;"-"&amp;AF$2,"")&amp;IF(N(AG61)&gt;0,", "&amp;A61&amp;"-"&amp;AG$2,"")&amp;IF(N(AH61)&gt;0,", "&amp;A61&amp;"-"&amp;AH$2,"")&amp;IF(N(AI61)&gt;0,", "&amp;A61&amp;"-"&amp;AI$2,"")&amp;IF(N(AJ61)&gt;0,", "&amp;A61&amp;"-"&amp;AJ$2,""),3,999))</f>
        <v/>
      </c>
      <c r="AN61" s="81"/>
      <c r="AO61" s="88"/>
      <c r="AP61" s="89" t="str">
        <f aca="false">IF(AO61="","",ROUND(AO61/(1+Справочники!$B$13),2))</f>
        <v/>
      </c>
      <c r="AQ61" s="90" t="str">
        <f aca="false" t="array" ref="AQ61:AQ61">IF(AP61="","",AP61*INDEX(Справочники!$B$4:$B$7,MATCH("RUB",Справочники!$A$4:$A$7,0)))</f>
        <v/>
      </c>
      <c r="AR61" s="90" t="str">
        <f aca="false">IF(AQ61="","",ROUND(AQ61*(1+Справочники!$B$12),0))</f>
        <v/>
      </c>
      <c r="AS61" s="90" t="str">
        <f aca="false">IF(AR61="","",ROUND(AR61*(1-Справочники!$B$11),0))</f>
        <v/>
      </c>
      <c r="AT61" s="88"/>
      <c r="AU61" s="90" t="str">
        <f aca="false">IF(AT61="","",ROUND(AT61/(1+Справочники!$B$12),0))</f>
        <v/>
      </c>
      <c r="AV61" s="90" t="str">
        <f aca="false">IF(AT61="","",ROUND(AT61*(1-Справочники!$B$15),0))</f>
        <v/>
      </c>
      <c r="AW61" s="90" t="str">
        <f aca="false">IF(AT61="","",ROUND(AT61*(1-Справочники!$B$16),0))</f>
        <v/>
      </c>
      <c r="AX61" s="90" t="str">
        <f aca="false">IF(AT61="","",ROUND(AT61*(1-Справочники!$B$17),0))</f>
        <v/>
      </c>
      <c r="AY61" s="90" t="str">
        <f aca="false">IF(AT61="","",ROUND(AT61*(1-Справочники!$B$18),0))</f>
        <v/>
      </c>
      <c r="AZ61" s="90" t="str">
        <f aca="false">IF(AT61="","",ROUND(AT61*(1-Справочники!$B$19),0))</f>
        <v/>
      </c>
      <c r="BA61" s="81"/>
      <c r="BB61" s="81"/>
      <c r="BC61" s="81"/>
      <c r="BD61" s="81"/>
      <c r="BE61" s="91"/>
      <c r="BF61" s="81" t="s">
        <v>103</v>
      </c>
      <c r="BG61" s="89" t="n">
        <f aca="false" t="array" ref="BG61:BG61">IF(BF61="","",IFERROR(INDEX(Справочники!$B$4:$B$7,MATCH(BF61,Справочники!$A$4:$A$7,0)),""))</f>
        <v>68.5</v>
      </c>
      <c r="BH61" s="90" t="str">
        <f aca="false">IF(N(BN61)&gt;0,ROUND(SUMIF(ЗАКАЗЫ!$F$3:$F$500,$A61,ЗАКАЗЫ!$Y$3:$Y$500)/BN61,0),IF(OR(BE61="",BG61=""),"",ROUND(BE61*BG61*(1+Справочники!$B$10),0)))</f>
        <v/>
      </c>
      <c r="BI61" s="92" t="str">
        <f aca="false">IF(OR(AU61="",BH61="",AU61=0),"",(AU61-BH61)/AU61)</f>
        <v/>
      </c>
      <c r="BJ61" s="81"/>
      <c r="BK61" s="83"/>
      <c r="BL61" s="43" t="str">
        <f aca="false">IFERROR(INDEX(ЗАКАЗЫ!$N$3:$N$500,MATCH($A61,ЗАКАЗЫ!$F$3:$F$500,0)),"")</f>
        <v/>
      </c>
      <c r="BM61" s="8" t="str">
        <f aca="false">IF(BL61="","",IFERROR(VLOOKUP(BL61,'ТН ВЭД'!$A$4:$C$40,3,0),""))</f>
        <v/>
      </c>
      <c r="BN61" s="7" t="str">
        <f aca="false">IF(COUNTIF(ЗАКАЗЫ!$F$3:$F$500,$A61)=0,"",SUMIF(ЗАКАЗЫ!$F$3:$F$500,$A61,ЗАКАЗЫ!$J$3:$J$500))</f>
        <v/>
      </c>
      <c r="BO61" s="7" t="str">
        <f aca="false">IF(BN61="","",SUMIF(ЗАКАЗЫ!$F$3:$F$500,$A61,ЗАКАЗЫ!$AL$3:$AL$500))</f>
        <v/>
      </c>
      <c r="BP61" s="7" t="str">
        <f aca="false">IF(BN61="","",BN61-BO61)</f>
        <v/>
      </c>
      <c r="BQ61" s="55" t="str">
        <f aca="false">IF(BN61="","",IF(BO61&gt;=BN61,"На складе",IF(BO61&gt;0,"Частично","Ждём")))</f>
        <v/>
      </c>
      <c r="BR61" s="43"/>
      <c r="BS61" s="47" t="str">
        <f aca="false">IF(BN61="","",IF(_xlfn.MAXIFS(ЗАКАЗЫ!$AK$3:$AK$500,ЗАКАЗЫ!$F$3:$F$500,$A61)=0,"",_xlfn.MAXIFS(ЗАКАЗЫ!$AK$3:$AK$500,ЗАКАЗЫ!$F$3:$F$500,$A61)))</f>
        <v/>
      </c>
    </row>
    <row r="62" customFormat="false" ht="15.75" hidden="false" customHeight="true" outlineLevel="0" collapsed="false">
      <c r="A62" s="80" t="s">
        <v>1929</v>
      </c>
      <c r="B62" s="81"/>
      <c r="C62" s="81"/>
      <c r="D62" s="81"/>
      <c r="E62" s="83"/>
      <c r="F62" s="81"/>
      <c r="G62" s="83"/>
      <c r="H62" s="83"/>
      <c r="I62" s="84" t="str">
        <f aca="false">IF(E62="","",A62&amp;"_1.jpg")</f>
        <v/>
      </c>
      <c r="J62" s="84" t="str">
        <f aca="false">IF(E62="","",A62&amp;"_2.jpg; "&amp;A62&amp;"_3.jpg")</f>
        <v/>
      </c>
      <c r="K62" s="84" t="str">
        <f aca="false">IF(E62="","",A62&amp;"_schema.jpg")</f>
        <v/>
      </c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 t="s">
        <v>96</v>
      </c>
      <c r="W62" s="81"/>
      <c r="X62" s="81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6" t="str">
        <f aca="false">IF(SUM(Y62:AJ62)=0,"",SUM(Y62:AJ62))</f>
        <v/>
      </c>
      <c r="AL62" s="84" t="str">
        <f aca="false">MID(IF(N(Y62)&gt;0,", "&amp;Y$2,"")&amp;IF(N(Z62)&gt;0,", "&amp;Z$2,"")&amp;IF(N(AA62)&gt;0,", "&amp;AA$2,"")&amp;IF(N(AB62)&gt;0,", "&amp;AB$2,"")&amp;IF(N(AC62)&gt;0,", "&amp;AC$2,"")&amp;IF(N(AD62)&gt;0,", "&amp;AD$2,"")&amp;IF(N(AE62)&gt;0,", "&amp;AE$2,"")&amp;IF(N(AF62)&gt;0,", "&amp;AF$2,"")&amp;IF(N(AG62)&gt;0,", "&amp;AG$2,"")&amp;IF(N(AH62)&gt;0,", "&amp;AH$2,"")&amp;IF(N(AI62)&gt;0,", "&amp;AI$2,"")&amp;IF(N(AJ62)&gt;0,", "&amp;AJ$2,""),3,999)</f>
        <v/>
      </c>
      <c r="AM62" s="87" t="str">
        <f aca="false">IF(E62="","",MID(IF(N(Y62)&gt;0,", "&amp;A62&amp;"-"&amp;Y$2,"")&amp;IF(N(Z62)&gt;0,", "&amp;A62&amp;"-"&amp;Z$2,"")&amp;IF(N(AA62)&gt;0,", "&amp;A62&amp;"-"&amp;AA$2,"")&amp;IF(N(AB62)&gt;0,", "&amp;A62&amp;"-"&amp;AB$2,"")&amp;IF(N(AC62)&gt;0,", "&amp;A62&amp;"-"&amp;AC$2,"")&amp;IF(N(AD62)&gt;0,", "&amp;A62&amp;"-"&amp;AD$2,"")&amp;IF(N(AE62)&gt;0,", "&amp;A62&amp;"-"&amp;AE$2,"")&amp;IF(N(AF62)&gt;0,", "&amp;A62&amp;"-"&amp;AF$2,"")&amp;IF(N(AG62)&gt;0,", "&amp;A62&amp;"-"&amp;AG$2,"")&amp;IF(N(AH62)&gt;0,", "&amp;A62&amp;"-"&amp;AH$2,"")&amp;IF(N(AI62)&gt;0,", "&amp;A62&amp;"-"&amp;AI$2,"")&amp;IF(N(AJ62)&gt;0,", "&amp;A62&amp;"-"&amp;AJ$2,""),3,999))</f>
        <v/>
      </c>
      <c r="AN62" s="81"/>
      <c r="AO62" s="88"/>
      <c r="AP62" s="89" t="str">
        <f aca="false">IF(AO62="","",ROUND(AO62/(1+Справочники!$B$13),2))</f>
        <v/>
      </c>
      <c r="AQ62" s="90" t="str">
        <f aca="false" t="array" ref="AQ62:AQ62">IF(AP62="","",AP62*INDEX(Справочники!$B$4:$B$7,MATCH("RUB",Справочники!$A$4:$A$7,0)))</f>
        <v/>
      </c>
      <c r="AR62" s="90" t="str">
        <f aca="false">IF(AQ62="","",ROUND(AQ62*(1+Справочники!$B$12),0))</f>
        <v/>
      </c>
      <c r="AS62" s="90" t="str">
        <f aca="false">IF(AR62="","",ROUND(AR62*(1-Справочники!$B$11),0))</f>
        <v/>
      </c>
      <c r="AT62" s="88"/>
      <c r="AU62" s="90" t="str">
        <f aca="false">IF(AT62="","",ROUND(AT62/(1+Справочники!$B$12),0))</f>
        <v/>
      </c>
      <c r="AV62" s="90" t="str">
        <f aca="false">IF(AT62="","",ROUND(AT62*(1-Справочники!$B$15),0))</f>
        <v/>
      </c>
      <c r="AW62" s="90" t="str">
        <f aca="false">IF(AT62="","",ROUND(AT62*(1-Справочники!$B$16),0))</f>
        <v/>
      </c>
      <c r="AX62" s="90" t="str">
        <f aca="false">IF(AT62="","",ROUND(AT62*(1-Справочники!$B$17),0))</f>
        <v/>
      </c>
      <c r="AY62" s="90" t="str">
        <f aca="false">IF(AT62="","",ROUND(AT62*(1-Справочники!$B$18),0))</f>
        <v/>
      </c>
      <c r="AZ62" s="90" t="str">
        <f aca="false">IF(AT62="","",ROUND(AT62*(1-Справочники!$B$19),0))</f>
        <v/>
      </c>
      <c r="BA62" s="81"/>
      <c r="BB62" s="81"/>
      <c r="BC62" s="81"/>
      <c r="BD62" s="81"/>
      <c r="BE62" s="91"/>
      <c r="BF62" s="81" t="s">
        <v>103</v>
      </c>
      <c r="BG62" s="89" t="n">
        <f aca="false" t="array" ref="BG62:BG62">IF(BF62="","",IFERROR(INDEX(Справочники!$B$4:$B$7,MATCH(BF62,Справочники!$A$4:$A$7,0)),""))</f>
        <v>68.5</v>
      </c>
      <c r="BH62" s="90" t="str">
        <f aca="false">IF(N(BN62)&gt;0,ROUND(SUMIF(ЗАКАЗЫ!$F$3:$F$500,$A62,ЗАКАЗЫ!$Y$3:$Y$500)/BN62,0),IF(OR(BE62="",BG62=""),"",ROUND(BE62*BG62*(1+Справочники!$B$10),0)))</f>
        <v/>
      </c>
      <c r="BI62" s="92" t="str">
        <f aca="false">IF(OR(AU62="",BH62="",AU62=0),"",(AU62-BH62)/AU62)</f>
        <v/>
      </c>
      <c r="BJ62" s="81"/>
      <c r="BK62" s="83"/>
      <c r="BL62" s="43" t="str">
        <f aca="false">IFERROR(INDEX(ЗАКАЗЫ!$N$3:$N$500,MATCH($A62,ЗАКАЗЫ!$F$3:$F$500,0)),"")</f>
        <v/>
      </c>
      <c r="BM62" s="8" t="str">
        <f aca="false">IF(BL62="","",IFERROR(VLOOKUP(BL62,'ТН ВЭД'!$A$4:$C$40,3,0),""))</f>
        <v/>
      </c>
      <c r="BN62" s="7" t="str">
        <f aca="false">IF(COUNTIF(ЗАКАЗЫ!$F$3:$F$500,$A62)=0,"",SUMIF(ЗАКАЗЫ!$F$3:$F$500,$A62,ЗАКАЗЫ!$J$3:$J$500))</f>
        <v/>
      </c>
      <c r="BO62" s="7" t="str">
        <f aca="false">IF(BN62="","",SUMIF(ЗАКАЗЫ!$F$3:$F$500,$A62,ЗАКАЗЫ!$AL$3:$AL$500))</f>
        <v/>
      </c>
      <c r="BP62" s="7" t="str">
        <f aca="false">IF(BN62="","",BN62-BO62)</f>
        <v/>
      </c>
      <c r="BQ62" s="55" t="str">
        <f aca="false">IF(BN62="","",IF(BO62&gt;=BN62,"На складе",IF(BO62&gt;0,"Частично","Ждём")))</f>
        <v/>
      </c>
      <c r="BR62" s="43"/>
      <c r="BS62" s="47" t="str">
        <f aca="false">IF(BN62="","",IF(_xlfn.MAXIFS(ЗАКАЗЫ!$AK$3:$AK$500,ЗАКАЗЫ!$F$3:$F$500,$A62)=0,"",_xlfn.MAXIFS(ЗАКАЗЫ!$AK$3:$AK$500,ЗАКАЗЫ!$F$3:$F$500,$A62)))</f>
        <v/>
      </c>
    </row>
    <row r="63" customFormat="false" ht="15.75" hidden="false" customHeight="true" outlineLevel="0" collapsed="false">
      <c r="A63" s="80" t="s">
        <v>1930</v>
      </c>
      <c r="B63" s="81"/>
      <c r="C63" s="81"/>
      <c r="D63" s="81"/>
      <c r="E63" s="83"/>
      <c r="F63" s="81"/>
      <c r="G63" s="83"/>
      <c r="H63" s="83"/>
      <c r="I63" s="84" t="str">
        <f aca="false">IF(E63="","",A63&amp;"_1.jpg")</f>
        <v/>
      </c>
      <c r="J63" s="84" t="str">
        <f aca="false">IF(E63="","",A63&amp;"_2.jpg; "&amp;A63&amp;"_3.jpg")</f>
        <v/>
      </c>
      <c r="K63" s="84" t="str">
        <f aca="false">IF(E63="","",A63&amp;"_schema.jpg")</f>
        <v/>
      </c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 t="s">
        <v>96</v>
      </c>
      <c r="W63" s="81"/>
      <c r="X63" s="81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6" t="str">
        <f aca="false">IF(SUM(Y63:AJ63)=0,"",SUM(Y63:AJ63))</f>
        <v/>
      </c>
      <c r="AL63" s="84" t="str">
        <f aca="false">MID(IF(N(Y63)&gt;0,", "&amp;Y$2,"")&amp;IF(N(Z63)&gt;0,", "&amp;Z$2,"")&amp;IF(N(AA63)&gt;0,", "&amp;AA$2,"")&amp;IF(N(AB63)&gt;0,", "&amp;AB$2,"")&amp;IF(N(AC63)&gt;0,", "&amp;AC$2,"")&amp;IF(N(AD63)&gt;0,", "&amp;AD$2,"")&amp;IF(N(AE63)&gt;0,", "&amp;AE$2,"")&amp;IF(N(AF63)&gt;0,", "&amp;AF$2,"")&amp;IF(N(AG63)&gt;0,", "&amp;AG$2,"")&amp;IF(N(AH63)&gt;0,", "&amp;AH$2,"")&amp;IF(N(AI63)&gt;0,", "&amp;AI$2,"")&amp;IF(N(AJ63)&gt;0,", "&amp;AJ$2,""),3,999)</f>
        <v/>
      </c>
      <c r="AM63" s="87" t="str">
        <f aca="false">IF(E63="","",MID(IF(N(Y63)&gt;0,", "&amp;A63&amp;"-"&amp;Y$2,"")&amp;IF(N(Z63)&gt;0,", "&amp;A63&amp;"-"&amp;Z$2,"")&amp;IF(N(AA63)&gt;0,", "&amp;A63&amp;"-"&amp;AA$2,"")&amp;IF(N(AB63)&gt;0,", "&amp;A63&amp;"-"&amp;AB$2,"")&amp;IF(N(AC63)&gt;0,", "&amp;A63&amp;"-"&amp;AC$2,"")&amp;IF(N(AD63)&gt;0,", "&amp;A63&amp;"-"&amp;AD$2,"")&amp;IF(N(AE63)&gt;0,", "&amp;A63&amp;"-"&amp;AE$2,"")&amp;IF(N(AF63)&gt;0,", "&amp;A63&amp;"-"&amp;AF$2,"")&amp;IF(N(AG63)&gt;0,", "&amp;A63&amp;"-"&amp;AG$2,"")&amp;IF(N(AH63)&gt;0,", "&amp;A63&amp;"-"&amp;AH$2,"")&amp;IF(N(AI63)&gt;0,", "&amp;A63&amp;"-"&amp;AI$2,"")&amp;IF(N(AJ63)&gt;0,", "&amp;A63&amp;"-"&amp;AJ$2,""),3,999))</f>
        <v/>
      </c>
      <c r="AN63" s="81"/>
      <c r="AO63" s="88"/>
      <c r="AP63" s="89" t="str">
        <f aca="false">IF(AO63="","",ROUND(AO63/(1+Справочники!$B$13),2))</f>
        <v/>
      </c>
      <c r="AQ63" s="90" t="str">
        <f aca="false" t="array" ref="AQ63:AQ63">IF(AP63="","",AP63*INDEX(Справочники!$B$4:$B$7,MATCH("RUB",Справочники!$A$4:$A$7,0)))</f>
        <v/>
      </c>
      <c r="AR63" s="90" t="str">
        <f aca="false">IF(AQ63="","",ROUND(AQ63*(1+Справочники!$B$12),0))</f>
        <v/>
      </c>
      <c r="AS63" s="90" t="str">
        <f aca="false">IF(AR63="","",ROUND(AR63*(1-Справочники!$B$11),0))</f>
        <v/>
      </c>
      <c r="AT63" s="88"/>
      <c r="AU63" s="90" t="str">
        <f aca="false">IF(AT63="","",ROUND(AT63/(1+Справочники!$B$12),0))</f>
        <v/>
      </c>
      <c r="AV63" s="90" t="str">
        <f aca="false">IF(AT63="","",ROUND(AT63*(1-Справочники!$B$15),0))</f>
        <v/>
      </c>
      <c r="AW63" s="90" t="str">
        <f aca="false">IF(AT63="","",ROUND(AT63*(1-Справочники!$B$16),0))</f>
        <v/>
      </c>
      <c r="AX63" s="90" t="str">
        <f aca="false">IF(AT63="","",ROUND(AT63*(1-Справочники!$B$17),0))</f>
        <v/>
      </c>
      <c r="AY63" s="90" t="str">
        <f aca="false">IF(AT63="","",ROUND(AT63*(1-Справочники!$B$18),0))</f>
        <v/>
      </c>
      <c r="AZ63" s="90" t="str">
        <f aca="false">IF(AT63="","",ROUND(AT63*(1-Справочники!$B$19),0))</f>
        <v/>
      </c>
      <c r="BA63" s="81"/>
      <c r="BB63" s="81"/>
      <c r="BC63" s="81"/>
      <c r="BD63" s="81"/>
      <c r="BE63" s="91"/>
      <c r="BF63" s="81" t="s">
        <v>103</v>
      </c>
      <c r="BG63" s="89" t="n">
        <f aca="false" t="array" ref="BG63:BG63">IF(BF63="","",IFERROR(INDEX(Справочники!$B$4:$B$7,MATCH(BF63,Справочники!$A$4:$A$7,0)),""))</f>
        <v>68.5</v>
      </c>
      <c r="BH63" s="90" t="str">
        <f aca="false">IF(N(BN63)&gt;0,ROUND(SUMIF(ЗАКАЗЫ!$F$3:$F$500,$A63,ЗАКАЗЫ!$Y$3:$Y$500)/BN63,0),IF(OR(BE63="",BG63=""),"",ROUND(BE63*BG63*(1+Справочники!$B$10),0)))</f>
        <v/>
      </c>
      <c r="BI63" s="92" t="str">
        <f aca="false">IF(OR(AU63="",BH63="",AU63=0),"",(AU63-BH63)/AU63)</f>
        <v/>
      </c>
      <c r="BJ63" s="81"/>
      <c r="BK63" s="83"/>
      <c r="BL63" s="43" t="str">
        <f aca="false">IFERROR(INDEX(ЗАКАЗЫ!$N$3:$N$500,MATCH($A63,ЗАКАЗЫ!$F$3:$F$500,0)),"")</f>
        <v/>
      </c>
      <c r="BM63" s="8" t="str">
        <f aca="false">IF(BL63="","",IFERROR(VLOOKUP(BL63,'ТН ВЭД'!$A$4:$C$40,3,0),""))</f>
        <v/>
      </c>
      <c r="BN63" s="7" t="str">
        <f aca="false">IF(COUNTIF(ЗАКАЗЫ!$F$3:$F$500,$A63)=0,"",SUMIF(ЗАКАЗЫ!$F$3:$F$500,$A63,ЗАКАЗЫ!$J$3:$J$500))</f>
        <v/>
      </c>
      <c r="BO63" s="7" t="str">
        <f aca="false">IF(BN63="","",SUMIF(ЗАКАЗЫ!$F$3:$F$500,$A63,ЗАКАЗЫ!$AL$3:$AL$500))</f>
        <v/>
      </c>
      <c r="BP63" s="7" t="str">
        <f aca="false">IF(BN63="","",BN63-BO63)</f>
        <v/>
      </c>
      <c r="BQ63" s="55" t="str">
        <f aca="false">IF(BN63="","",IF(BO63&gt;=BN63,"На складе",IF(BO63&gt;0,"Частично","Ждём")))</f>
        <v/>
      </c>
      <c r="BR63" s="43"/>
      <c r="BS63" s="47" t="str">
        <f aca="false">IF(BN63="","",IF(_xlfn.MAXIFS(ЗАКАЗЫ!$AK$3:$AK$500,ЗАКАЗЫ!$F$3:$F$500,$A63)=0,"",_xlfn.MAXIFS(ЗАКАЗЫ!$AK$3:$AK$500,ЗАКАЗЫ!$F$3:$F$500,$A63)))</f>
        <v/>
      </c>
    </row>
    <row r="64" customFormat="false" ht="15.75" hidden="false" customHeight="true" outlineLevel="0" collapsed="false">
      <c r="A64" s="80" t="s">
        <v>1931</v>
      </c>
      <c r="B64" s="81"/>
      <c r="C64" s="81"/>
      <c r="D64" s="81"/>
      <c r="E64" s="83"/>
      <c r="F64" s="81"/>
      <c r="G64" s="83"/>
      <c r="H64" s="83"/>
      <c r="I64" s="84" t="str">
        <f aca="false">IF(E64="","",A64&amp;"_1.jpg")</f>
        <v/>
      </c>
      <c r="J64" s="84" t="str">
        <f aca="false">IF(E64="","",A64&amp;"_2.jpg; "&amp;A64&amp;"_3.jpg")</f>
        <v/>
      </c>
      <c r="K64" s="84" t="str">
        <f aca="false">IF(E64="","",A64&amp;"_schema.jpg")</f>
        <v/>
      </c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 t="s">
        <v>96</v>
      </c>
      <c r="W64" s="81"/>
      <c r="X64" s="81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6" t="str">
        <f aca="false">IF(SUM(Y64:AJ64)=0,"",SUM(Y64:AJ64))</f>
        <v/>
      </c>
      <c r="AL64" s="84" t="str">
        <f aca="false">MID(IF(N(Y64)&gt;0,", "&amp;Y$2,"")&amp;IF(N(Z64)&gt;0,", "&amp;Z$2,"")&amp;IF(N(AA64)&gt;0,", "&amp;AA$2,"")&amp;IF(N(AB64)&gt;0,", "&amp;AB$2,"")&amp;IF(N(AC64)&gt;0,", "&amp;AC$2,"")&amp;IF(N(AD64)&gt;0,", "&amp;AD$2,"")&amp;IF(N(AE64)&gt;0,", "&amp;AE$2,"")&amp;IF(N(AF64)&gt;0,", "&amp;AF$2,"")&amp;IF(N(AG64)&gt;0,", "&amp;AG$2,"")&amp;IF(N(AH64)&gt;0,", "&amp;AH$2,"")&amp;IF(N(AI64)&gt;0,", "&amp;AI$2,"")&amp;IF(N(AJ64)&gt;0,", "&amp;AJ$2,""),3,999)</f>
        <v/>
      </c>
      <c r="AM64" s="87" t="str">
        <f aca="false">IF(E64="","",MID(IF(N(Y64)&gt;0,", "&amp;A64&amp;"-"&amp;Y$2,"")&amp;IF(N(Z64)&gt;0,", "&amp;A64&amp;"-"&amp;Z$2,"")&amp;IF(N(AA64)&gt;0,", "&amp;A64&amp;"-"&amp;AA$2,"")&amp;IF(N(AB64)&gt;0,", "&amp;A64&amp;"-"&amp;AB$2,"")&amp;IF(N(AC64)&gt;0,", "&amp;A64&amp;"-"&amp;AC$2,"")&amp;IF(N(AD64)&gt;0,", "&amp;A64&amp;"-"&amp;AD$2,"")&amp;IF(N(AE64)&gt;0,", "&amp;A64&amp;"-"&amp;AE$2,"")&amp;IF(N(AF64)&gt;0,", "&amp;A64&amp;"-"&amp;AF$2,"")&amp;IF(N(AG64)&gt;0,", "&amp;A64&amp;"-"&amp;AG$2,"")&amp;IF(N(AH64)&gt;0,", "&amp;A64&amp;"-"&amp;AH$2,"")&amp;IF(N(AI64)&gt;0,", "&amp;A64&amp;"-"&amp;AI$2,"")&amp;IF(N(AJ64)&gt;0,", "&amp;A64&amp;"-"&amp;AJ$2,""),3,999))</f>
        <v/>
      </c>
      <c r="AN64" s="81"/>
      <c r="AO64" s="88"/>
      <c r="AP64" s="89" t="str">
        <f aca="false">IF(AO64="","",ROUND(AO64/(1+Справочники!$B$13),2))</f>
        <v/>
      </c>
      <c r="AQ64" s="90" t="str">
        <f aca="false" t="array" ref="AQ64:AQ64">IF(AP64="","",AP64*INDEX(Справочники!$B$4:$B$7,MATCH("RUB",Справочники!$A$4:$A$7,0)))</f>
        <v/>
      </c>
      <c r="AR64" s="90" t="str">
        <f aca="false">IF(AQ64="","",ROUND(AQ64*(1+Справочники!$B$12),0))</f>
        <v/>
      </c>
      <c r="AS64" s="90" t="str">
        <f aca="false">IF(AR64="","",ROUND(AR64*(1-Справочники!$B$11),0))</f>
        <v/>
      </c>
      <c r="AT64" s="88"/>
      <c r="AU64" s="90" t="str">
        <f aca="false">IF(AT64="","",ROUND(AT64/(1+Справочники!$B$12),0))</f>
        <v/>
      </c>
      <c r="AV64" s="90" t="str">
        <f aca="false">IF(AT64="","",ROUND(AT64*(1-Справочники!$B$15),0))</f>
        <v/>
      </c>
      <c r="AW64" s="90" t="str">
        <f aca="false">IF(AT64="","",ROUND(AT64*(1-Справочники!$B$16),0))</f>
        <v/>
      </c>
      <c r="AX64" s="90" t="str">
        <f aca="false">IF(AT64="","",ROUND(AT64*(1-Справочники!$B$17),0))</f>
        <v/>
      </c>
      <c r="AY64" s="90" t="str">
        <f aca="false">IF(AT64="","",ROUND(AT64*(1-Справочники!$B$18),0))</f>
        <v/>
      </c>
      <c r="AZ64" s="90" t="str">
        <f aca="false">IF(AT64="","",ROUND(AT64*(1-Справочники!$B$19),0))</f>
        <v/>
      </c>
      <c r="BA64" s="81"/>
      <c r="BB64" s="81"/>
      <c r="BC64" s="81"/>
      <c r="BD64" s="81"/>
      <c r="BE64" s="91"/>
      <c r="BF64" s="81" t="s">
        <v>103</v>
      </c>
      <c r="BG64" s="89" t="n">
        <f aca="false" t="array" ref="BG64:BG64">IF(BF64="","",IFERROR(INDEX(Справочники!$B$4:$B$7,MATCH(BF64,Справочники!$A$4:$A$7,0)),""))</f>
        <v>68.5</v>
      </c>
      <c r="BH64" s="90" t="str">
        <f aca="false">IF(N(BN64)&gt;0,ROUND(SUMIF(ЗАКАЗЫ!$F$3:$F$500,$A64,ЗАКАЗЫ!$Y$3:$Y$500)/BN64,0),IF(OR(BE64="",BG64=""),"",ROUND(BE64*BG64*(1+Справочники!$B$10),0)))</f>
        <v/>
      </c>
      <c r="BI64" s="92" t="str">
        <f aca="false">IF(OR(AU64="",BH64="",AU64=0),"",(AU64-BH64)/AU64)</f>
        <v/>
      </c>
      <c r="BJ64" s="81"/>
      <c r="BK64" s="83"/>
      <c r="BL64" s="43" t="str">
        <f aca="false">IFERROR(INDEX(ЗАКАЗЫ!$N$3:$N$500,MATCH($A64,ЗАКАЗЫ!$F$3:$F$500,0)),"")</f>
        <v/>
      </c>
      <c r="BM64" s="8" t="str">
        <f aca="false">IF(BL64="","",IFERROR(VLOOKUP(BL64,'ТН ВЭД'!$A$4:$C$40,3,0),""))</f>
        <v/>
      </c>
      <c r="BN64" s="7" t="str">
        <f aca="false">IF(COUNTIF(ЗАКАЗЫ!$F$3:$F$500,$A64)=0,"",SUMIF(ЗАКАЗЫ!$F$3:$F$500,$A64,ЗАКАЗЫ!$J$3:$J$500))</f>
        <v/>
      </c>
      <c r="BO64" s="7" t="str">
        <f aca="false">IF(BN64="","",SUMIF(ЗАКАЗЫ!$F$3:$F$500,$A64,ЗАКАЗЫ!$AL$3:$AL$500))</f>
        <v/>
      </c>
      <c r="BP64" s="7" t="str">
        <f aca="false">IF(BN64="","",BN64-BO64)</f>
        <v/>
      </c>
      <c r="BQ64" s="55" t="str">
        <f aca="false">IF(BN64="","",IF(BO64&gt;=BN64,"На складе",IF(BO64&gt;0,"Частично","Ждём")))</f>
        <v/>
      </c>
      <c r="BR64" s="43"/>
      <c r="BS64" s="47" t="str">
        <f aca="false">IF(BN64="","",IF(_xlfn.MAXIFS(ЗАКАЗЫ!$AK$3:$AK$500,ЗАКАЗЫ!$F$3:$F$500,$A64)=0,"",_xlfn.MAXIFS(ЗАКАЗЫ!$AK$3:$AK$500,ЗАКАЗЫ!$F$3:$F$500,$A64)))</f>
        <v/>
      </c>
    </row>
    <row r="65" customFormat="false" ht="15.75" hidden="false" customHeight="true" outlineLevel="0" collapsed="false">
      <c r="A65" s="80" t="s">
        <v>1932</v>
      </c>
      <c r="B65" s="81"/>
      <c r="C65" s="81"/>
      <c r="D65" s="81"/>
      <c r="E65" s="83"/>
      <c r="F65" s="81"/>
      <c r="G65" s="83"/>
      <c r="H65" s="83"/>
      <c r="I65" s="84" t="str">
        <f aca="false">IF(E65="","",A65&amp;"_1.jpg")</f>
        <v/>
      </c>
      <c r="J65" s="84" t="str">
        <f aca="false">IF(E65="","",A65&amp;"_2.jpg; "&amp;A65&amp;"_3.jpg")</f>
        <v/>
      </c>
      <c r="K65" s="84" t="str">
        <f aca="false">IF(E65="","",A65&amp;"_schema.jpg")</f>
        <v/>
      </c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 t="s">
        <v>96</v>
      </c>
      <c r="W65" s="81"/>
      <c r="X65" s="81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6" t="str">
        <f aca="false">IF(SUM(Y65:AJ65)=0,"",SUM(Y65:AJ65))</f>
        <v/>
      </c>
      <c r="AL65" s="84" t="str">
        <f aca="false">MID(IF(N(Y65)&gt;0,", "&amp;Y$2,"")&amp;IF(N(Z65)&gt;0,", "&amp;Z$2,"")&amp;IF(N(AA65)&gt;0,", "&amp;AA$2,"")&amp;IF(N(AB65)&gt;0,", "&amp;AB$2,"")&amp;IF(N(AC65)&gt;0,", "&amp;AC$2,"")&amp;IF(N(AD65)&gt;0,", "&amp;AD$2,"")&amp;IF(N(AE65)&gt;0,", "&amp;AE$2,"")&amp;IF(N(AF65)&gt;0,", "&amp;AF$2,"")&amp;IF(N(AG65)&gt;0,", "&amp;AG$2,"")&amp;IF(N(AH65)&gt;0,", "&amp;AH$2,"")&amp;IF(N(AI65)&gt;0,", "&amp;AI$2,"")&amp;IF(N(AJ65)&gt;0,", "&amp;AJ$2,""),3,999)</f>
        <v/>
      </c>
      <c r="AM65" s="87" t="str">
        <f aca="false">IF(E65="","",MID(IF(N(Y65)&gt;0,", "&amp;A65&amp;"-"&amp;Y$2,"")&amp;IF(N(Z65)&gt;0,", "&amp;A65&amp;"-"&amp;Z$2,"")&amp;IF(N(AA65)&gt;0,", "&amp;A65&amp;"-"&amp;AA$2,"")&amp;IF(N(AB65)&gt;0,", "&amp;A65&amp;"-"&amp;AB$2,"")&amp;IF(N(AC65)&gt;0,", "&amp;A65&amp;"-"&amp;AC$2,"")&amp;IF(N(AD65)&gt;0,", "&amp;A65&amp;"-"&amp;AD$2,"")&amp;IF(N(AE65)&gt;0,", "&amp;A65&amp;"-"&amp;AE$2,"")&amp;IF(N(AF65)&gt;0,", "&amp;A65&amp;"-"&amp;AF$2,"")&amp;IF(N(AG65)&gt;0,", "&amp;A65&amp;"-"&amp;AG$2,"")&amp;IF(N(AH65)&gt;0,", "&amp;A65&amp;"-"&amp;AH$2,"")&amp;IF(N(AI65)&gt;0,", "&amp;A65&amp;"-"&amp;AI$2,"")&amp;IF(N(AJ65)&gt;0,", "&amp;A65&amp;"-"&amp;AJ$2,""),3,999))</f>
        <v/>
      </c>
      <c r="AN65" s="81"/>
      <c r="AO65" s="88"/>
      <c r="AP65" s="89" t="str">
        <f aca="false">IF(AO65="","",ROUND(AO65/(1+Справочники!$B$13),2))</f>
        <v/>
      </c>
      <c r="AQ65" s="90" t="str">
        <f aca="false" t="array" ref="AQ65:AQ65">IF(AP65="","",AP65*INDEX(Справочники!$B$4:$B$7,MATCH("RUB",Справочники!$A$4:$A$7,0)))</f>
        <v/>
      </c>
      <c r="AR65" s="90" t="str">
        <f aca="false">IF(AQ65="","",ROUND(AQ65*(1+Справочники!$B$12),0))</f>
        <v/>
      </c>
      <c r="AS65" s="90" t="str">
        <f aca="false">IF(AR65="","",ROUND(AR65*(1-Справочники!$B$11),0))</f>
        <v/>
      </c>
      <c r="AT65" s="88"/>
      <c r="AU65" s="90" t="str">
        <f aca="false">IF(AT65="","",ROUND(AT65/(1+Справочники!$B$12),0))</f>
        <v/>
      </c>
      <c r="AV65" s="90" t="str">
        <f aca="false">IF(AT65="","",ROUND(AT65*(1-Справочники!$B$15),0))</f>
        <v/>
      </c>
      <c r="AW65" s="90" t="str">
        <f aca="false">IF(AT65="","",ROUND(AT65*(1-Справочники!$B$16),0))</f>
        <v/>
      </c>
      <c r="AX65" s="90" t="str">
        <f aca="false">IF(AT65="","",ROUND(AT65*(1-Справочники!$B$17),0))</f>
        <v/>
      </c>
      <c r="AY65" s="90" t="str">
        <f aca="false">IF(AT65="","",ROUND(AT65*(1-Справочники!$B$18),0))</f>
        <v/>
      </c>
      <c r="AZ65" s="90" t="str">
        <f aca="false">IF(AT65="","",ROUND(AT65*(1-Справочники!$B$19),0))</f>
        <v/>
      </c>
      <c r="BA65" s="81"/>
      <c r="BB65" s="81"/>
      <c r="BC65" s="81"/>
      <c r="BD65" s="81"/>
      <c r="BE65" s="91"/>
      <c r="BF65" s="81" t="s">
        <v>103</v>
      </c>
      <c r="BG65" s="89" t="n">
        <f aca="false" t="array" ref="BG65:BG65">IF(BF65="","",IFERROR(INDEX(Справочники!$B$4:$B$7,MATCH(BF65,Справочники!$A$4:$A$7,0)),""))</f>
        <v>68.5</v>
      </c>
      <c r="BH65" s="90" t="str">
        <f aca="false">IF(N(BN65)&gt;0,ROUND(SUMIF(ЗАКАЗЫ!$F$3:$F$500,$A65,ЗАКАЗЫ!$Y$3:$Y$500)/BN65,0),IF(OR(BE65="",BG65=""),"",ROUND(BE65*BG65*(1+Справочники!$B$10),0)))</f>
        <v/>
      </c>
      <c r="BI65" s="92" t="str">
        <f aca="false">IF(OR(AU65="",BH65="",AU65=0),"",(AU65-BH65)/AU65)</f>
        <v/>
      </c>
      <c r="BJ65" s="81"/>
      <c r="BK65" s="83"/>
      <c r="BL65" s="43" t="str">
        <f aca="false">IFERROR(INDEX(ЗАКАЗЫ!$N$3:$N$500,MATCH($A65,ЗАКАЗЫ!$F$3:$F$500,0)),"")</f>
        <v/>
      </c>
      <c r="BM65" s="8" t="str">
        <f aca="false">IF(BL65="","",IFERROR(VLOOKUP(BL65,'ТН ВЭД'!$A$4:$C$40,3,0),""))</f>
        <v/>
      </c>
      <c r="BN65" s="7" t="str">
        <f aca="false">IF(COUNTIF(ЗАКАЗЫ!$F$3:$F$500,$A65)=0,"",SUMIF(ЗАКАЗЫ!$F$3:$F$500,$A65,ЗАКАЗЫ!$J$3:$J$500))</f>
        <v/>
      </c>
      <c r="BO65" s="7" t="str">
        <f aca="false">IF(BN65="","",SUMIF(ЗАКАЗЫ!$F$3:$F$500,$A65,ЗАКАЗЫ!$AL$3:$AL$500))</f>
        <v/>
      </c>
      <c r="BP65" s="7" t="str">
        <f aca="false">IF(BN65="","",BN65-BO65)</f>
        <v/>
      </c>
      <c r="BQ65" s="55" t="str">
        <f aca="false">IF(BN65="","",IF(BO65&gt;=BN65,"На складе",IF(BO65&gt;0,"Частично","Ждём")))</f>
        <v/>
      </c>
      <c r="BR65" s="43"/>
      <c r="BS65" s="47" t="str">
        <f aca="false">IF(BN65="","",IF(_xlfn.MAXIFS(ЗАКАЗЫ!$AK$3:$AK$500,ЗАКАЗЫ!$F$3:$F$500,$A65)=0,"",_xlfn.MAXIFS(ЗАКАЗЫ!$AK$3:$AK$500,ЗАКАЗЫ!$F$3:$F$500,$A65)))</f>
        <v/>
      </c>
    </row>
    <row r="66" customFormat="false" ht="15.75" hidden="false" customHeight="true" outlineLevel="0" collapsed="false">
      <c r="A66" s="80" t="s">
        <v>1933</v>
      </c>
      <c r="B66" s="81"/>
      <c r="C66" s="81"/>
      <c r="D66" s="81"/>
      <c r="E66" s="83"/>
      <c r="F66" s="81"/>
      <c r="G66" s="83"/>
      <c r="H66" s="83"/>
      <c r="I66" s="84" t="str">
        <f aca="false">IF(E66="","",A66&amp;"_1.jpg")</f>
        <v/>
      </c>
      <c r="J66" s="84" t="str">
        <f aca="false">IF(E66="","",A66&amp;"_2.jpg; "&amp;A66&amp;"_3.jpg")</f>
        <v/>
      </c>
      <c r="K66" s="84" t="str">
        <f aca="false">IF(E66="","",A66&amp;"_schema.jpg")</f>
        <v/>
      </c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 t="s">
        <v>96</v>
      </c>
      <c r="W66" s="81"/>
      <c r="X66" s="81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6" t="str">
        <f aca="false">IF(SUM(Y66:AJ66)=0,"",SUM(Y66:AJ66))</f>
        <v/>
      </c>
      <c r="AL66" s="84" t="str">
        <f aca="false">MID(IF(N(Y66)&gt;0,", "&amp;Y$2,"")&amp;IF(N(Z66)&gt;0,", "&amp;Z$2,"")&amp;IF(N(AA66)&gt;0,", "&amp;AA$2,"")&amp;IF(N(AB66)&gt;0,", "&amp;AB$2,"")&amp;IF(N(AC66)&gt;0,", "&amp;AC$2,"")&amp;IF(N(AD66)&gt;0,", "&amp;AD$2,"")&amp;IF(N(AE66)&gt;0,", "&amp;AE$2,"")&amp;IF(N(AF66)&gt;0,", "&amp;AF$2,"")&amp;IF(N(AG66)&gt;0,", "&amp;AG$2,"")&amp;IF(N(AH66)&gt;0,", "&amp;AH$2,"")&amp;IF(N(AI66)&gt;0,", "&amp;AI$2,"")&amp;IF(N(AJ66)&gt;0,", "&amp;AJ$2,""),3,999)</f>
        <v/>
      </c>
      <c r="AM66" s="87" t="str">
        <f aca="false">IF(E66="","",MID(IF(N(Y66)&gt;0,", "&amp;A66&amp;"-"&amp;Y$2,"")&amp;IF(N(Z66)&gt;0,", "&amp;A66&amp;"-"&amp;Z$2,"")&amp;IF(N(AA66)&gt;0,", "&amp;A66&amp;"-"&amp;AA$2,"")&amp;IF(N(AB66)&gt;0,", "&amp;A66&amp;"-"&amp;AB$2,"")&amp;IF(N(AC66)&gt;0,", "&amp;A66&amp;"-"&amp;AC$2,"")&amp;IF(N(AD66)&gt;0,", "&amp;A66&amp;"-"&amp;AD$2,"")&amp;IF(N(AE66)&gt;0,", "&amp;A66&amp;"-"&amp;AE$2,"")&amp;IF(N(AF66)&gt;0,", "&amp;A66&amp;"-"&amp;AF$2,"")&amp;IF(N(AG66)&gt;0,", "&amp;A66&amp;"-"&amp;AG$2,"")&amp;IF(N(AH66)&gt;0,", "&amp;A66&amp;"-"&amp;AH$2,"")&amp;IF(N(AI66)&gt;0,", "&amp;A66&amp;"-"&amp;AI$2,"")&amp;IF(N(AJ66)&gt;0,", "&amp;A66&amp;"-"&amp;AJ$2,""),3,999))</f>
        <v/>
      </c>
      <c r="AN66" s="81"/>
      <c r="AO66" s="88"/>
      <c r="AP66" s="89" t="str">
        <f aca="false">IF(AO66="","",ROUND(AO66/(1+Справочники!$B$13),2))</f>
        <v/>
      </c>
      <c r="AQ66" s="90" t="str">
        <f aca="false" t="array" ref="AQ66:AQ66">IF(AP66="","",AP66*INDEX(Справочники!$B$4:$B$7,MATCH("RUB",Справочники!$A$4:$A$7,0)))</f>
        <v/>
      </c>
      <c r="AR66" s="90" t="str">
        <f aca="false">IF(AQ66="","",ROUND(AQ66*(1+Справочники!$B$12),0))</f>
        <v/>
      </c>
      <c r="AS66" s="90" t="str">
        <f aca="false">IF(AR66="","",ROUND(AR66*(1-Справочники!$B$11),0))</f>
        <v/>
      </c>
      <c r="AT66" s="88"/>
      <c r="AU66" s="90" t="str">
        <f aca="false">IF(AT66="","",ROUND(AT66/(1+Справочники!$B$12),0))</f>
        <v/>
      </c>
      <c r="AV66" s="90" t="str">
        <f aca="false">IF(AT66="","",ROUND(AT66*(1-Справочники!$B$15),0))</f>
        <v/>
      </c>
      <c r="AW66" s="90" t="str">
        <f aca="false">IF(AT66="","",ROUND(AT66*(1-Справочники!$B$16),0))</f>
        <v/>
      </c>
      <c r="AX66" s="90" t="str">
        <f aca="false">IF(AT66="","",ROUND(AT66*(1-Справочники!$B$17),0))</f>
        <v/>
      </c>
      <c r="AY66" s="90" t="str">
        <f aca="false">IF(AT66="","",ROUND(AT66*(1-Справочники!$B$18),0))</f>
        <v/>
      </c>
      <c r="AZ66" s="90" t="str">
        <f aca="false">IF(AT66="","",ROUND(AT66*(1-Справочники!$B$19),0))</f>
        <v/>
      </c>
      <c r="BA66" s="81"/>
      <c r="BB66" s="81"/>
      <c r="BC66" s="81"/>
      <c r="BD66" s="81"/>
      <c r="BE66" s="91"/>
      <c r="BF66" s="81" t="s">
        <v>103</v>
      </c>
      <c r="BG66" s="89" t="n">
        <f aca="false" t="array" ref="BG66:BG66">IF(BF66="","",IFERROR(INDEX(Справочники!$B$4:$B$7,MATCH(BF66,Справочники!$A$4:$A$7,0)),""))</f>
        <v>68.5</v>
      </c>
      <c r="BH66" s="90" t="str">
        <f aca="false">IF(N(BN66)&gt;0,ROUND(SUMIF(ЗАКАЗЫ!$F$3:$F$500,$A66,ЗАКАЗЫ!$Y$3:$Y$500)/BN66,0),IF(OR(BE66="",BG66=""),"",ROUND(BE66*BG66*(1+Справочники!$B$10),0)))</f>
        <v/>
      </c>
      <c r="BI66" s="92" t="str">
        <f aca="false">IF(OR(AU66="",BH66="",AU66=0),"",(AU66-BH66)/AU66)</f>
        <v/>
      </c>
      <c r="BJ66" s="81"/>
      <c r="BK66" s="83"/>
      <c r="BL66" s="43" t="str">
        <f aca="false">IFERROR(INDEX(ЗАКАЗЫ!$N$3:$N$500,MATCH($A66,ЗАКАЗЫ!$F$3:$F$500,0)),"")</f>
        <v/>
      </c>
      <c r="BM66" s="8" t="str">
        <f aca="false">IF(BL66="","",IFERROR(VLOOKUP(BL66,'ТН ВЭД'!$A$4:$C$40,3,0),""))</f>
        <v/>
      </c>
      <c r="BN66" s="7" t="str">
        <f aca="false">IF(COUNTIF(ЗАКАЗЫ!$F$3:$F$500,$A66)=0,"",SUMIF(ЗАКАЗЫ!$F$3:$F$500,$A66,ЗАКАЗЫ!$J$3:$J$500))</f>
        <v/>
      </c>
      <c r="BO66" s="7" t="str">
        <f aca="false">IF(BN66="","",SUMIF(ЗАКАЗЫ!$F$3:$F$500,$A66,ЗАКАЗЫ!$AL$3:$AL$500))</f>
        <v/>
      </c>
      <c r="BP66" s="7" t="str">
        <f aca="false">IF(BN66="","",BN66-BO66)</f>
        <v/>
      </c>
      <c r="BQ66" s="55" t="str">
        <f aca="false">IF(BN66="","",IF(BO66&gt;=BN66,"На складе",IF(BO66&gt;0,"Частично","Ждём")))</f>
        <v/>
      </c>
      <c r="BR66" s="43"/>
      <c r="BS66" s="47" t="str">
        <f aca="false">IF(BN66="","",IF(_xlfn.MAXIFS(ЗАКАЗЫ!$AK$3:$AK$500,ЗАКАЗЫ!$F$3:$F$500,$A66)=0,"",_xlfn.MAXIFS(ЗАКАЗЫ!$AK$3:$AK$500,ЗАКАЗЫ!$F$3:$F$500,$A66)))</f>
        <v/>
      </c>
    </row>
    <row r="67" customFormat="false" ht="15.75" hidden="false" customHeight="true" outlineLevel="0" collapsed="false">
      <c r="A67" s="80" t="s">
        <v>1934</v>
      </c>
      <c r="B67" s="81"/>
      <c r="C67" s="81"/>
      <c r="D67" s="81"/>
      <c r="E67" s="83"/>
      <c r="F67" s="81"/>
      <c r="G67" s="83"/>
      <c r="H67" s="83"/>
      <c r="I67" s="84" t="str">
        <f aca="false">IF(E67="","",A67&amp;"_1.jpg")</f>
        <v/>
      </c>
      <c r="J67" s="84" t="str">
        <f aca="false">IF(E67="","",A67&amp;"_2.jpg; "&amp;A67&amp;"_3.jpg")</f>
        <v/>
      </c>
      <c r="K67" s="84" t="str">
        <f aca="false">IF(E67="","",A67&amp;"_schema.jpg")</f>
        <v/>
      </c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 t="s">
        <v>96</v>
      </c>
      <c r="W67" s="81"/>
      <c r="X67" s="81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6" t="str">
        <f aca="false">IF(SUM(Y67:AJ67)=0,"",SUM(Y67:AJ67))</f>
        <v/>
      </c>
      <c r="AL67" s="84" t="str">
        <f aca="false">MID(IF(N(Y67)&gt;0,", "&amp;Y$2,"")&amp;IF(N(Z67)&gt;0,", "&amp;Z$2,"")&amp;IF(N(AA67)&gt;0,", "&amp;AA$2,"")&amp;IF(N(AB67)&gt;0,", "&amp;AB$2,"")&amp;IF(N(AC67)&gt;0,", "&amp;AC$2,"")&amp;IF(N(AD67)&gt;0,", "&amp;AD$2,"")&amp;IF(N(AE67)&gt;0,", "&amp;AE$2,"")&amp;IF(N(AF67)&gt;0,", "&amp;AF$2,"")&amp;IF(N(AG67)&gt;0,", "&amp;AG$2,"")&amp;IF(N(AH67)&gt;0,", "&amp;AH$2,"")&amp;IF(N(AI67)&gt;0,", "&amp;AI$2,"")&amp;IF(N(AJ67)&gt;0,", "&amp;AJ$2,""),3,999)</f>
        <v/>
      </c>
      <c r="AM67" s="87" t="str">
        <f aca="false">IF(E67="","",MID(IF(N(Y67)&gt;0,", "&amp;A67&amp;"-"&amp;Y$2,"")&amp;IF(N(Z67)&gt;0,", "&amp;A67&amp;"-"&amp;Z$2,"")&amp;IF(N(AA67)&gt;0,", "&amp;A67&amp;"-"&amp;AA$2,"")&amp;IF(N(AB67)&gt;0,", "&amp;A67&amp;"-"&amp;AB$2,"")&amp;IF(N(AC67)&gt;0,", "&amp;A67&amp;"-"&amp;AC$2,"")&amp;IF(N(AD67)&gt;0,", "&amp;A67&amp;"-"&amp;AD$2,"")&amp;IF(N(AE67)&gt;0,", "&amp;A67&amp;"-"&amp;AE$2,"")&amp;IF(N(AF67)&gt;0,", "&amp;A67&amp;"-"&amp;AF$2,"")&amp;IF(N(AG67)&gt;0,", "&amp;A67&amp;"-"&amp;AG$2,"")&amp;IF(N(AH67)&gt;0,", "&amp;A67&amp;"-"&amp;AH$2,"")&amp;IF(N(AI67)&gt;0,", "&amp;A67&amp;"-"&amp;AI$2,"")&amp;IF(N(AJ67)&gt;0,", "&amp;A67&amp;"-"&amp;AJ$2,""),3,999))</f>
        <v/>
      </c>
      <c r="AN67" s="81"/>
      <c r="AO67" s="88"/>
      <c r="AP67" s="89" t="str">
        <f aca="false">IF(AO67="","",ROUND(AO67/(1+Справочники!$B$13),2))</f>
        <v/>
      </c>
      <c r="AQ67" s="90" t="str">
        <f aca="false" t="array" ref="AQ67:AQ67">IF(AP67="","",AP67*INDEX(Справочники!$B$4:$B$7,MATCH("RUB",Справочники!$A$4:$A$7,0)))</f>
        <v/>
      </c>
      <c r="AR67" s="90" t="str">
        <f aca="false">IF(AQ67="","",ROUND(AQ67*(1+Справочники!$B$12),0))</f>
        <v/>
      </c>
      <c r="AS67" s="90" t="str">
        <f aca="false">IF(AR67="","",ROUND(AR67*(1-Справочники!$B$11),0))</f>
        <v/>
      </c>
      <c r="AT67" s="88"/>
      <c r="AU67" s="90" t="str">
        <f aca="false">IF(AT67="","",ROUND(AT67/(1+Справочники!$B$12),0))</f>
        <v/>
      </c>
      <c r="AV67" s="90" t="str">
        <f aca="false">IF(AT67="","",ROUND(AT67*(1-Справочники!$B$15),0))</f>
        <v/>
      </c>
      <c r="AW67" s="90" t="str">
        <f aca="false">IF(AT67="","",ROUND(AT67*(1-Справочники!$B$16),0))</f>
        <v/>
      </c>
      <c r="AX67" s="90" t="str">
        <f aca="false">IF(AT67="","",ROUND(AT67*(1-Справочники!$B$17),0))</f>
        <v/>
      </c>
      <c r="AY67" s="90" t="str">
        <f aca="false">IF(AT67="","",ROUND(AT67*(1-Справочники!$B$18),0))</f>
        <v/>
      </c>
      <c r="AZ67" s="90" t="str">
        <f aca="false">IF(AT67="","",ROUND(AT67*(1-Справочники!$B$19),0))</f>
        <v/>
      </c>
      <c r="BA67" s="81"/>
      <c r="BB67" s="81"/>
      <c r="BC67" s="81"/>
      <c r="BD67" s="81"/>
      <c r="BE67" s="91"/>
      <c r="BF67" s="81" t="s">
        <v>103</v>
      </c>
      <c r="BG67" s="89" t="n">
        <f aca="false" t="array" ref="BG67:BG67">IF(BF67="","",IFERROR(INDEX(Справочники!$B$4:$B$7,MATCH(BF67,Справочники!$A$4:$A$7,0)),""))</f>
        <v>68.5</v>
      </c>
      <c r="BH67" s="90" t="str">
        <f aca="false">IF(N(BN67)&gt;0,ROUND(SUMIF(ЗАКАЗЫ!$F$3:$F$500,$A67,ЗАКАЗЫ!$Y$3:$Y$500)/BN67,0),IF(OR(BE67="",BG67=""),"",ROUND(BE67*BG67*(1+Справочники!$B$10),0)))</f>
        <v/>
      </c>
      <c r="BI67" s="92" t="str">
        <f aca="false">IF(OR(AU67="",BH67="",AU67=0),"",(AU67-BH67)/AU67)</f>
        <v/>
      </c>
      <c r="BJ67" s="81"/>
      <c r="BK67" s="83"/>
      <c r="BL67" s="43" t="str">
        <f aca="false">IFERROR(INDEX(ЗАКАЗЫ!$N$3:$N$500,MATCH($A67,ЗАКАЗЫ!$F$3:$F$500,0)),"")</f>
        <v/>
      </c>
      <c r="BM67" s="8" t="str">
        <f aca="false">IF(BL67="","",IFERROR(VLOOKUP(BL67,'ТН ВЭД'!$A$4:$C$40,3,0),""))</f>
        <v/>
      </c>
      <c r="BN67" s="7" t="str">
        <f aca="false">IF(COUNTIF(ЗАКАЗЫ!$F$3:$F$500,$A67)=0,"",SUMIF(ЗАКАЗЫ!$F$3:$F$500,$A67,ЗАКАЗЫ!$J$3:$J$500))</f>
        <v/>
      </c>
      <c r="BO67" s="7" t="str">
        <f aca="false">IF(BN67="","",SUMIF(ЗАКАЗЫ!$F$3:$F$500,$A67,ЗАКАЗЫ!$AL$3:$AL$500))</f>
        <v/>
      </c>
      <c r="BP67" s="7" t="str">
        <f aca="false">IF(BN67="","",BN67-BO67)</f>
        <v/>
      </c>
      <c r="BQ67" s="55" t="str">
        <f aca="false">IF(BN67="","",IF(BO67&gt;=BN67,"На складе",IF(BO67&gt;0,"Частично","Ждём")))</f>
        <v/>
      </c>
      <c r="BR67" s="43"/>
      <c r="BS67" s="47" t="str">
        <f aca="false">IF(BN67="","",IF(_xlfn.MAXIFS(ЗАКАЗЫ!$AK$3:$AK$500,ЗАКАЗЫ!$F$3:$F$500,$A67)=0,"",_xlfn.MAXIFS(ЗАКАЗЫ!$AK$3:$AK$500,ЗАКАЗЫ!$F$3:$F$500,$A67)))</f>
        <v/>
      </c>
    </row>
    <row r="68" customFormat="false" ht="15.75" hidden="false" customHeight="true" outlineLevel="0" collapsed="false">
      <c r="A68" s="80" t="s">
        <v>1935</v>
      </c>
      <c r="B68" s="81"/>
      <c r="C68" s="81"/>
      <c r="D68" s="81"/>
      <c r="E68" s="83"/>
      <c r="F68" s="81"/>
      <c r="G68" s="83"/>
      <c r="H68" s="83"/>
      <c r="I68" s="84" t="str">
        <f aca="false">IF(E68="","",A68&amp;"_1.jpg")</f>
        <v/>
      </c>
      <c r="J68" s="84" t="str">
        <f aca="false">IF(E68="","",A68&amp;"_2.jpg; "&amp;A68&amp;"_3.jpg")</f>
        <v/>
      </c>
      <c r="K68" s="84" t="str">
        <f aca="false">IF(E68="","",A68&amp;"_schema.jpg")</f>
        <v/>
      </c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 t="s">
        <v>96</v>
      </c>
      <c r="W68" s="81"/>
      <c r="X68" s="81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6" t="str">
        <f aca="false">IF(SUM(Y68:AJ68)=0,"",SUM(Y68:AJ68))</f>
        <v/>
      </c>
      <c r="AL68" s="84" t="str">
        <f aca="false">MID(IF(N(Y68)&gt;0,", "&amp;Y$2,"")&amp;IF(N(Z68)&gt;0,", "&amp;Z$2,"")&amp;IF(N(AA68)&gt;0,", "&amp;AA$2,"")&amp;IF(N(AB68)&gt;0,", "&amp;AB$2,"")&amp;IF(N(AC68)&gt;0,", "&amp;AC$2,"")&amp;IF(N(AD68)&gt;0,", "&amp;AD$2,"")&amp;IF(N(AE68)&gt;0,", "&amp;AE$2,"")&amp;IF(N(AF68)&gt;0,", "&amp;AF$2,"")&amp;IF(N(AG68)&gt;0,", "&amp;AG$2,"")&amp;IF(N(AH68)&gt;0,", "&amp;AH$2,"")&amp;IF(N(AI68)&gt;0,", "&amp;AI$2,"")&amp;IF(N(AJ68)&gt;0,", "&amp;AJ$2,""),3,999)</f>
        <v/>
      </c>
      <c r="AM68" s="87" t="str">
        <f aca="false">IF(E68="","",MID(IF(N(Y68)&gt;0,", "&amp;A68&amp;"-"&amp;Y$2,"")&amp;IF(N(Z68)&gt;0,", "&amp;A68&amp;"-"&amp;Z$2,"")&amp;IF(N(AA68)&gt;0,", "&amp;A68&amp;"-"&amp;AA$2,"")&amp;IF(N(AB68)&gt;0,", "&amp;A68&amp;"-"&amp;AB$2,"")&amp;IF(N(AC68)&gt;0,", "&amp;A68&amp;"-"&amp;AC$2,"")&amp;IF(N(AD68)&gt;0,", "&amp;A68&amp;"-"&amp;AD$2,"")&amp;IF(N(AE68)&gt;0,", "&amp;A68&amp;"-"&amp;AE$2,"")&amp;IF(N(AF68)&gt;0,", "&amp;A68&amp;"-"&amp;AF$2,"")&amp;IF(N(AG68)&gt;0,", "&amp;A68&amp;"-"&amp;AG$2,"")&amp;IF(N(AH68)&gt;0,", "&amp;A68&amp;"-"&amp;AH$2,"")&amp;IF(N(AI68)&gt;0,", "&amp;A68&amp;"-"&amp;AI$2,"")&amp;IF(N(AJ68)&gt;0,", "&amp;A68&amp;"-"&amp;AJ$2,""),3,999))</f>
        <v/>
      </c>
      <c r="AN68" s="81"/>
      <c r="AO68" s="88"/>
      <c r="AP68" s="89" t="str">
        <f aca="false">IF(AO68="","",ROUND(AO68/(1+Справочники!$B$13),2))</f>
        <v/>
      </c>
      <c r="AQ68" s="90" t="str">
        <f aca="false" t="array" ref="AQ68:AQ68">IF(AP68="","",AP68*INDEX(Справочники!$B$4:$B$7,MATCH("RUB",Справочники!$A$4:$A$7,0)))</f>
        <v/>
      </c>
      <c r="AR68" s="90" t="str">
        <f aca="false">IF(AQ68="","",ROUND(AQ68*(1+Справочники!$B$12),0))</f>
        <v/>
      </c>
      <c r="AS68" s="90" t="str">
        <f aca="false">IF(AR68="","",ROUND(AR68*(1-Справочники!$B$11),0))</f>
        <v/>
      </c>
      <c r="AT68" s="88"/>
      <c r="AU68" s="90" t="str">
        <f aca="false">IF(AT68="","",ROUND(AT68/(1+Справочники!$B$12),0))</f>
        <v/>
      </c>
      <c r="AV68" s="90" t="str">
        <f aca="false">IF(AT68="","",ROUND(AT68*(1-Справочники!$B$15),0))</f>
        <v/>
      </c>
      <c r="AW68" s="90" t="str">
        <f aca="false">IF(AT68="","",ROUND(AT68*(1-Справочники!$B$16),0))</f>
        <v/>
      </c>
      <c r="AX68" s="90" t="str">
        <f aca="false">IF(AT68="","",ROUND(AT68*(1-Справочники!$B$17),0))</f>
        <v/>
      </c>
      <c r="AY68" s="90" t="str">
        <f aca="false">IF(AT68="","",ROUND(AT68*(1-Справочники!$B$18),0))</f>
        <v/>
      </c>
      <c r="AZ68" s="90" t="str">
        <f aca="false">IF(AT68="","",ROUND(AT68*(1-Справочники!$B$19),0))</f>
        <v/>
      </c>
      <c r="BA68" s="81"/>
      <c r="BB68" s="81"/>
      <c r="BC68" s="81"/>
      <c r="BD68" s="81"/>
      <c r="BE68" s="91"/>
      <c r="BF68" s="81" t="s">
        <v>103</v>
      </c>
      <c r="BG68" s="89" t="n">
        <f aca="false" t="array" ref="BG68:BG68">IF(BF68="","",IFERROR(INDEX(Справочники!$B$4:$B$7,MATCH(BF68,Справочники!$A$4:$A$7,0)),""))</f>
        <v>68.5</v>
      </c>
      <c r="BH68" s="90" t="str">
        <f aca="false">IF(N(BN68)&gt;0,ROUND(SUMIF(ЗАКАЗЫ!$F$3:$F$500,$A68,ЗАКАЗЫ!$Y$3:$Y$500)/BN68,0),IF(OR(BE68="",BG68=""),"",ROUND(BE68*BG68*(1+Справочники!$B$10),0)))</f>
        <v/>
      </c>
      <c r="BI68" s="92" t="str">
        <f aca="false">IF(OR(AU68="",BH68="",AU68=0),"",(AU68-BH68)/AU68)</f>
        <v/>
      </c>
      <c r="BJ68" s="81"/>
      <c r="BK68" s="83"/>
      <c r="BL68" s="43" t="str">
        <f aca="false">IFERROR(INDEX(ЗАКАЗЫ!$N$3:$N$500,MATCH($A68,ЗАКАЗЫ!$F$3:$F$500,0)),"")</f>
        <v/>
      </c>
      <c r="BM68" s="8" t="str">
        <f aca="false">IF(BL68="","",IFERROR(VLOOKUP(BL68,'ТН ВЭД'!$A$4:$C$40,3,0),""))</f>
        <v/>
      </c>
      <c r="BN68" s="7" t="str">
        <f aca="false">IF(COUNTIF(ЗАКАЗЫ!$F$3:$F$500,$A68)=0,"",SUMIF(ЗАКАЗЫ!$F$3:$F$500,$A68,ЗАКАЗЫ!$J$3:$J$500))</f>
        <v/>
      </c>
      <c r="BO68" s="7" t="str">
        <f aca="false">IF(BN68="","",SUMIF(ЗАКАЗЫ!$F$3:$F$500,$A68,ЗАКАЗЫ!$AL$3:$AL$500))</f>
        <v/>
      </c>
      <c r="BP68" s="7" t="str">
        <f aca="false">IF(BN68="","",BN68-BO68)</f>
        <v/>
      </c>
      <c r="BQ68" s="55" t="str">
        <f aca="false">IF(BN68="","",IF(BO68&gt;=BN68,"На складе",IF(BO68&gt;0,"Частично","Ждём")))</f>
        <v/>
      </c>
      <c r="BR68" s="43"/>
      <c r="BS68" s="47" t="str">
        <f aca="false">IF(BN68="","",IF(_xlfn.MAXIFS(ЗАКАЗЫ!$AK$3:$AK$500,ЗАКАЗЫ!$F$3:$F$500,$A68)=0,"",_xlfn.MAXIFS(ЗАКАЗЫ!$AK$3:$AK$500,ЗАКАЗЫ!$F$3:$F$500,$A68)))</f>
        <v/>
      </c>
    </row>
    <row r="69" customFormat="false" ht="15.75" hidden="false" customHeight="true" outlineLevel="0" collapsed="false">
      <c r="A69" s="80" t="s">
        <v>1936</v>
      </c>
      <c r="B69" s="81"/>
      <c r="C69" s="81"/>
      <c r="D69" s="81"/>
      <c r="E69" s="83"/>
      <c r="F69" s="81"/>
      <c r="G69" s="83"/>
      <c r="H69" s="83"/>
      <c r="I69" s="84" t="str">
        <f aca="false">IF(E69="","",A69&amp;"_1.jpg")</f>
        <v/>
      </c>
      <c r="J69" s="84" t="str">
        <f aca="false">IF(E69="","",A69&amp;"_2.jpg; "&amp;A69&amp;"_3.jpg")</f>
        <v/>
      </c>
      <c r="K69" s="84" t="str">
        <f aca="false">IF(E69="","",A69&amp;"_schema.jpg")</f>
        <v/>
      </c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 t="s">
        <v>96</v>
      </c>
      <c r="W69" s="81"/>
      <c r="X69" s="81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6" t="str">
        <f aca="false">IF(SUM(Y69:AJ69)=0,"",SUM(Y69:AJ69))</f>
        <v/>
      </c>
      <c r="AL69" s="84" t="str">
        <f aca="false">MID(IF(N(Y69)&gt;0,", "&amp;Y$2,"")&amp;IF(N(Z69)&gt;0,", "&amp;Z$2,"")&amp;IF(N(AA69)&gt;0,", "&amp;AA$2,"")&amp;IF(N(AB69)&gt;0,", "&amp;AB$2,"")&amp;IF(N(AC69)&gt;0,", "&amp;AC$2,"")&amp;IF(N(AD69)&gt;0,", "&amp;AD$2,"")&amp;IF(N(AE69)&gt;0,", "&amp;AE$2,"")&amp;IF(N(AF69)&gt;0,", "&amp;AF$2,"")&amp;IF(N(AG69)&gt;0,", "&amp;AG$2,"")&amp;IF(N(AH69)&gt;0,", "&amp;AH$2,"")&amp;IF(N(AI69)&gt;0,", "&amp;AI$2,"")&amp;IF(N(AJ69)&gt;0,", "&amp;AJ$2,""),3,999)</f>
        <v/>
      </c>
      <c r="AM69" s="87" t="str">
        <f aca="false">IF(E69="","",MID(IF(N(Y69)&gt;0,", "&amp;A69&amp;"-"&amp;Y$2,"")&amp;IF(N(Z69)&gt;0,", "&amp;A69&amp;"-"&amp;Z$2,"")&amp;IF(N(AA69)&gt;0,", "&amp;A69&amp;"-"&amp;AA$2,"")&amp;IF(N(AB69)&gt;0,", "&amp;A69&amp;"-"&amp;AB$2,"")&amp;IF(N(AC69)&gt;0,", "&amp;A69&amp;"-"&amp;AC$2,"")&amp;IF(N(AD69)&gt;0,", "&amp;A69&amp;"-"&amp;AD$2,"")&amp;IF(N(AE69)&gt;0,", "&amp;A69&amp;"-"&amp;AE$2,"")&amp;IF(N(AF69)&gt;0,", "&amp;A69&amp;"-"&amp;AF$2,"")&amp;IF(N(AG69)&gt;0,", "&amp;A69&amp;"-"&amp;AG$2,"")&amp;IF(N(AH69)&gt;0,", "&amp;A69&amp;"-"&amp;AH$2,"")&amp;IF(N(AI69)&gt;0,", "&amp;A69&amp;"-"&amp;AI$2,"")&amp;IF(N(AJ69)&gt;0,", "&amp;A69&amp;"-"&amp;AJ$2,""),3,999))</f>
        <v/>
      </c>
      <c r="AN69" s="81"/>
      <c r="AO69" s="88"/>
      <c r="AP69" s="89" t="str">
        <f aca="false">IF(AO69="","",ROUND(AO69/(1+Справочники!$B$13),2))</f>
        <v/>
      </c>
      <c r="AQ69" s="90" t="str">
        <f aca="false" t="array" ref="AQ69:AQ69">IF(AP69="","",AP69*INDEX(Справочники!$B$4:$B$7,MATCH("RUB",Справочники!$A$4:$A$7,0)))</f>
        <v/>
      </c>
      <c r="AR69" s="90" t="str">
        <f aca="false">IF(AQ69="","",ROUND(AQ69*(1+Справочники!$B$12),0))</f>
        <v/>
      </c>
      <c r="AS69" s="90" t="str">
        <f aca="false">IF(AR69="","",ROUND(AR69*(1-Справочники!$B$11),0))</f>
        <v/>
      </c>
      <c r="AT69" s="88"/>
      <c r="AU69" s="90" t="str">
        <f aca="false">IF(AT69="","",ROUND(AT69/(1+Справочники!$B$12),0))</f>
        <v/>
      </c>
      <c r="AV69" s="90" t="str">
        <f aca="false">IF(AT69="","",ROUND(AT69*(1-Справочники!$B$15),0))</f>
        <v/>
      </c>
      <c r="AW69" s="90" t="str">
        <f aca="false">IF(AT69="","",ROUND(AT69*(1-Справочники!$B$16),0))</f>
        <v/>
      </c>
      <c r="AX69" s="90" t="str">
        <f aca="false">IF(AT69="","",ROUND(AT69*(1-Справочники!$B$17),0))</f>
        <v/>
      </c>
      <c r="AY69" s="90" t="str">
        <f aca="false">IF(AT69="","",ROUND(AT69*(1-Справочники!$B$18),0))</f>
        <v/>
      </c>
      <c r="AZ69" s="90" t="str">
        <f aca="false">IF(AT69="","",ROUND(AT69*(1-Справочники!$B$19),0))</f>
        <v/>
      </c>
      <c r="BA69" s="81"/>
      <c r="BB69" s="81"/>
      <c r="BC69" s="81"/>
      <c r="BD69" s="81"/>
      <c r="BE69" s="91"/>
      <c r="BF69" s="81" t="s">
        <v>103</v>
      </c>
      <c r="BG69" s="89" t="n">
        <f aca="false" t="array" ref="BG69:BG69">IF(BF69="","",IFERROR(INDEX(Справочники!$B$4:$B$7,MATCH(BF69,Справочники!$A$4:$A$7,0)),""))</f>
        <v>68.5</v>
      </c>
      <c r="BH69" s="90" t="str">
        <f aca="false">IF(N(BN69)&gt;0,ROUND(SUMIF(ЗАКАЗЫ!$F$3:$F$500,$A69,ЗАКАЗЫ!$Y$3:$Y$500)/BN69,0),IF(OR(BE69="",BG69=""),"",ROUND(BE69*BG69*(1+Справочники!$B$10),0)))</f>
        <v/>
      </c>
      <c r="BI69" s="92" t="str">
        <f aca="false">IF(OR(AU69="",BH69="",AU69=0),"",(AU69-BH69)/AU69)</f>
        <v/>
      </c>
      <c r="BJ69" s="81"/>
      <c r="BK69" s="83"/>
      <c r="BL69" s="43" t="str">
        <f aca="false">IFERROR(INDEX(ЗАКАЗЫ!$N$3:$N$500,MATCH($A69,ЗАКАЗЫ!$F$3:$F$500,0)),"")</f>
        <v/>
      </c>
      <c r="BM69" s="8" t="str">
        <f aca="false">IF(BL69="","",IFERROR(VLOOKUP(BL69,'ТН ВЭД'!$A$4:$C$40,3,0),""))</f>
        <v/>
      </c>
      <c r="BN69" s="7" t="str">
        <f aca="false">IF(COUNTIF(ЗАКАЗЫ!$F$3:$F$500,$A69)=0,"",SUMIF(ЗАКАЗЫ!$F$3:$F$500,$A69,ЗАКАЗЫ!$J$3:$J$500))</f>
        <v/>
      </c>
      <c r="BO69" s="7" t="str">
        <f aca="false">IF(BN69="","",SUMIF(ЗАКАЗЫ!$F$3:$F$500,$A69,ЗАКАЗЫ!$AL$3:$AL$500))</f>
        <v/>
      </c>
      <c r="BP69" s="7" t="str">
        <f aca="false">IF(BN69="","",BN69-BO69)</f>
        <v/>
      </c>
      <c r="BQ69" s="55" t="str">
        <f aca="false">IF(BN69="","",IF(BO69&gt;=BN69,"На складе",IF(BO69&gt;0,"Частично","Ждём")))</f>
        <v/>
      </c>
      <c r="BR69" s="43"/>
      <c r="BS69" s="47" t="str">
        <f aca="false">IF(BN69="","",IF(_xlfn.MAXIFS(ЗАКАЗЫ!$AK$3:$AK$500,ЗАКАЗЫ!$F$3:$F$500,$A69)=0,"",_xlfn.MAXIFS(ЗАКАЗЫ!$AK$3:$AK$500,ЗАКАЗЫ!$F$3:$F$500,$A69)))</f>
        <v/>
      </c>
    </row>
    <row r="70" customFormat="false" ht="15.75" hidden="false" customHeight="true" outlineLevel="0" collapsed="false">
      <c r="A70" s="80" t="s">
        <v>1937</v>
      </c>
      <c r="B70" s="81"/>
      <c r="C70" s="81"/>
      <c r="D70" s="81"/>
      <c r="E70" s="83"/>
      <c r="F70" s="81"/>
      <c r="G70" s="83"/>
      <c r="H70" s="83"/>
      <c r="I70" s="84" t="str">
        <f aca="false">IF(E70="","",A70&amp;"_1.jpg")</f>
        <v/>
      </c>
      <c r="J70" s="84" t="str">
        <f aca="false">IF(E70="","",A70&amp;"_2.jpg; "&amp;A70&amp;"_3.jpg")</f>
        <v/>
      </c>
      <c r="K70" s="84" t="str">
        <f aca="false">IF(E70="","",A70&amp;"_schema.jpg")</f>
        <v/>
      </c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 t="s">
        <v>96</v>
      </c>
      <c r="W70" s="81"/>
      <c r="X70" s="81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6" t="str">
        <f aca="false">IF(SUM(Y70:AJ70)=0,"",SUM(Y70:AJ70))</f>
        <v/>
      </c>
      <c r="AL70" s="84" t="str">
        <f aca="false">MID(IF(N(Y70)&gt;0,", "&amp;Y$2,"")&amp;IF(N(Z70)&gt;0,", "&amp;Z$2,"")&amp;IF(N(AA70)&gt;0,", "&amp;AA$2,"")&amp;IF(N(AB70)&gt;0,", "&amp;AB$2,"")&amp;IF(N(AC70)&gt;0,", "&amp;AC$2,"")&amp;IF(N(AD70)&gt;0,", "&amp;AD$2,"")&amp;IF(N(AE70)&gt;0,", "&amp;AE$2,"")&amp;IF(N(AF70)&gt;0,", "&amp;AF$2,"")&amp;IF(N(AG70)&gt;0,", "&amp;AG$2,"")&amp;IF(N(AH70)&gt;0,", "&amp;AH$2,"")&amp;IF(N(AI70)&gt;0,", "&amp;AI$2,"")&amp;IF(N(AJ70)&gt;0,", "&amp;AJ$2,""),3,999)</f>
        <v/>
      </c>
      <c r="AM70" s="87" t="str">
        <f aca="false">IF(E70="","",MID(IF(N(Y70)&gt;0,", "&amp;A70&amp;"-"&amp;Y$2,"")&amp;IF(N(Z70)&gt;0,", "&amp;A70&amp;"-"&amp;Z$2,"")&amp;IF(N(AA70)&gt;0,", "&amp;A70&amp;"-"&amp;AA$2,"")&amp;IF(N(AB70)&gt;0,", "&amp;A70&amp;"-"&amp;AB$2,"")&amp;IF(N(AC70)&gt;0,", "&amp;A70&amp;"-"&amp;AC$2,"")&amp;IF(N(AD70)&gt;0,", "&amp;A70&amp;"-"&amp;AD$2,"")&amp;IF(N(AE70)&gt;0,", "&amp;A70&amp;"-"&amp;AE$2,"")&amp;IF(N(AF70)&gt;0,", "&amp;A70&amp;"-"&amp;AF$2,"")&amp;IF(N(AG70)&gt;0,", "&amp;A70&amp;"-"&amp;AG$2,"")&amp;IF(N(AH70)&gt;0,", "&amp;A70&amp;"-"&amp;AH$2,"")&amp;IF(N(AI70)&gt;0,", "&amp;A70&amp;"-"&amp;AI$2,"")&amp;IF(N(AJ70)&gt;0,", "&amp;A70&amp;"-"&amp;AJ$2,""),3,999))</f>
        <v/>
      </c>
      <c r="AN70" s="81"/>
      <c r="AO70" s="88"/>
      <c r="AP70" s="89" t="str">
        <f aca="false">IF(AO70="","",ROUND(AO70/(1+Справочники!$B$13),2))</f>
        <v/>
      </c>
      <c r="AQ70" s="90" t="str">
        <f aca="false" t="array" ref="AQ70:AQ70">IF(AP70="","",AP70*INDEX(Справочники!$B$4:$B$7,MATCH("RUB",Справочники!$A$4:$A$7,0)))</f>
        <v/>
      </c>
      <c r="AR70" s="90" t="str">
        <f aca="false">IF(AQ70="","",ROUND(AQ70*(1+Справочники!$B$12),0))</f>
        <v/>
      </c>
      <c r="AS70" s="90" t="str">
        <f aca="false">IF(AR70="","",ROUND(AR70*(1-Справочники!$B$11),0))</f>
        <v/>
      </c>
      <c r="AT70" s="88"/>
      <c r="AU70" s="90" t="str">
        <f aca="false">IF(AT70="","",ROUND(AT70/(1+Справочники!$B$12),0))</f>
        <v/>
      </c>
      <c r="AV70" s="90" t="str">
        <f aca="false">IF(AT70="","",ROUND(AT70*(1-Справочники!$B$15),0))</f>
        <v/>
      </c>
      <c r="AW70" s="90" t="str">
        <f aca="false">IF(AT70="","",ROUND(AT70*(1-Справочники!$B$16),0))</f>
        <v/>
      </c>
      <c r="AX70" s="90" t="str">
        <f aca="false">IF(AT70="","",ROUND(AT70*(1-Справочники!$B$17),0))</f>
        <v/>
      </c>
      <c r="AY70" s="90" t="str">
        <f aca="false">IF(AT70="","",ROUND(AT70*(1-Справочники!$B$18),0))</f>
        <v/>
      </c>
      <c r="AZ70" s="90" t="str">
        <f aca="false">IF(AT70="","",ROUND(AT70*(1-Справочники!$B$19),0))</f>
        <v/>
      </c>
      <c r="BA70" s="81"/>
      <c r="BB70" s="81"/>
      <c r="BC70" s="81"/>
      <c r="BD70" s="81"/>
      <c r="BE70" s="91"/>
      <c r="BF70" s="81" t="s">
        <v>103</v>
      </c>
      <c r="BG70" s="89" t="n">
        <f aca="false" t="array" ref="BG70:BG70">IF(BF70="","",IFERROR(INDEX(Справочники!$B$4:$B$7,MATCH(BF70,Справочники!$A$4:$A$7,0)),""))</f>
        <v>68.5</v>
      </c>
      <c r="BH70" s="90" t="str">
        <f aca="false">IF(N(BN70)&gt;0,ROUND(SUMIF(ЗАКАЗЫ!$F$3:$F$500,$A70,ЗАКАЗЫ!$Y$3:$Y$500)/BN70,0),IF(OR(BE70="",BG70=""),"",ROUND(BE70*BG70*(1+Справочники!$B$10),0)))</f>
        <v/>
      </c>
      <c r="BI70" s="92" t="str">
        <f aca="false">IF(OR(AU70="",BH70="",AU70=0),"",(AU70-BH70)/AU70)</f>
        <v/>
      </c>
      <c r="BJ70" s="81"/>
      <c r="BK70" s="83"/>
      <c r="BL70" s="43" t="str">
        <f aca="false">IFERROR(INDEX(ЗАКАЗЫ!$N$3:$N$500,MATCH($A70,ЗАКАЗЫ!$F$3:$F$500,0)),"")</f>
        <v/>
      </c>
      <c r="BM70" s="8" t="str">
        <f aca="false">IF(BL70="","",IFERROR(VLOOKUP(BL70,'ТН ВЭД'!$A$4:$C$40,3,0),""))</f>
        <v/>
      </c>
      <c r="BN70" s="7" t="str">
        <f aca="false">IF(COUNTIF(ЗАКАЗЫ!$F$3:$F$500,$A70)=0,"",SUMIF(ЗАКАЗЫ!$F$3:$F$500,$A70,ЗАКАЗЫ!$J$3:$J$500))</f>
        <v/>
      </c>
      <c r="BO70" s="7" t="str">
        <f aca="false">IF(BN70="","",SUMIF(ЗАКАЗЫ!$F$3:$F$500,$A70,ЗАКАЗЫ!$AL$3:$AL$500))</f>
        <v/>
      </c>
      <c r="BP70" s="7" t="str">
        <f aca="false">IF(BN70="","",BN70-BO70)</f>
        <v/>
      </c>
      <c r="BQ70" s="55" t="str">
        <f aca="false">IF(BN70="","",IF(BO70&gt;=BN70,"На складе",IF(BO70&gt;0,"Частично","Ждём")))</f>
        <v/>
      </c>
      <c r="BR70" s="43"/>
      <c r="BS70" s="47" t="str">
        <f aca="false">IF(BN70="","",IF(_xlfn.MAXIFS(ЗАКАЗЫ!$AK$3:$AK$500,ЗАКАЗЫ!$F$3:$F$500,$A70)=0,"",_xlfn.MAXIFS(ЗАКАЗЫ!$AK$3:$AK$500,ЗАКАЗЫ!$F$3:$F$500,$A70)))</f>
        <v/>
      </c>
    </row>
    <row r="71" customFormat="false" ht="15.75" hidden="false" customHeight="true" outlineLevel="0" collapsed="false">
      <c r="A71" s="80" t="s">
        <v>1938</v>
      </c>
      <c r="B71" s="81"/>
      <c r="C71" s="81"/>
      <c r="D71" s="81"/>
      <c r="E71" s="83"/>
      <c r="F71" s="81"/>
      <c r="G71" s="83"/>
      <c r="H71" s="83"/>
      <c r="I71" s="84" t="str">
        <f aca="false">IF(E71="","",A71&amp;"_1.jpg")</f>
        <v/>
      </c>
      <c r="J71" s="84" t="str">
        <f aca="false">IF(E71="","",A71&amp;"_2.jpg; "&amp;A71&amp;"_3.jpg")</f>
        <v/>
      </c>
      <c r="K71" s="84" t="str">
        <f aca="false">IF(E71="","",A71&amp;"_schema.jpg")</f>
        <v/>
      </c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 t="s">
        <v>96</v>
      </c>
      <c r="W71" s="81"/>
      <c r="X71" s="81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6" t="str">
        <f aca="false">IF(SUM(Y71:AJ71)=0,"",SUM(Y71:AJ71))</f>
        <v/>
      </c>
      <c r="AL71" s="84" t="str">
        <f aca="false">MID(IF(N(Y71)&gt;0,", "&amp;Y$2,"")&amp;IF(N(Z71)&gt;0,", "&amp;Z$2,"")&amp;IF(N(AA71)&gt;0,", "&amp;AA$2,"")&amp;IF(N(AB71)&gt;0,", "&amp;AB$2,"")&amp;IF(N(AC71)&gt;0,", "&amp;AC$2,"")&amp;IF(N(AD71)&gt;0,", "&amp;AD$2,"")&amp;IF(N(AE71)&gt;0,", "&amp;AE$2,"")&amp;IF(N(AF71)&gt;0,", "&amp;AF$2,"")&amp;IF(N(AG71)&gt;0,", "&amp;AG$2,"")&amp;IF(N(AH71)&gt;0,", "&amp;AH$2,"")&amp;IF(N(AI71)&gt;0,", "&amp;AI$2,"")&amp;IF(N(AJ71)&gt;0,", "&amp;AJ$2,""),3,999)</f>
        <v/>
      </c>
      <c r="AM71" s="87" t="str">
        <f aca="false">IF(E71="","",MID(IF(N(Y71)&gt;0,", "&amp;A71&amp;"-"&amp;Y$2,"")&amp;IF(N(Z71)&gt;0,", "&amp;A71&amp;"-"&amp;Z$2,"")&amp;IF(N(AA71)&gt;0,", "&amp;A71&amp;"-"&amp;AA$2,"")&amp;IF(N(AB71)&gt;0,", "&amp;A71&amp;"-"&amp;AB$2,"")&amp;IF(N(AC71)&gt;0,", "&amp;A71&amp;"-"&amp;AC$2,"")&amp;IF(N(AD71)&gt;0,", "&amp;A71&amp;"-"&amp;AD$2,"")&amp;IF(N(AE71)&gt;0,", "&amp;A71&amp;"-"&amp;AE$2,"")&amp;IF(N(AF71)&gt;0,", "&amp;A71&amp;"-"&amp;AF$2,"")&amp;IF(N(AG71)&gt;0,", "&amp;A71&amp;"-"&amp;AG$2,"")&amp;IF(N(AH71)&gt;0,", "&amp;A71&amp;"-"&amp;AH$2,"")&amp;IF(N(AI71)&gt;0,", "&amp;A71&amp;"-"&amp;AI$2,"")&amp;IF(N(AJ71)&gt;0,", "&amp;A71&amp;"-"&amp;AJ$2,""),3,999))</f>
        <v/>
      </c>
      <c r="AN71" s="81"/>
      <c r="AO71" s="88"/>
      <c r="AP71" s="89" t="str">
        <f aca="false">IF(AO71="","",ROUND(AO71/(1+Справочники!$B$13),2))</f>
        <v/>
      </c>
      <c r="AQ71" s="90" t="str">
        <f aca="false" t="array" ref="AQ71:AQ71">IF(AP71="","",AP71*INDEX(Справочники!$B$4:$B$7,MATCH("RUB",Справочники!$A$4:$A$7,0)))</f>
        <v/>
      </c>
      <c r="AR71" s="90" t="str">
        <f aca="false">IF(AQ71="","",ROUND(AQ71*(1+Справочники!$B$12),0))</f>
        <v/>
      </c>
      <c r="AS71" s="90" t="str">
        <f aca="false">IF(AR71="","",ROUND(AR71*(1-Справочники!$B$11),0))</f>
        <v/>
      </c>
      <c r="AT71" s="88"/>
      <c r="AU71" s="90" t="str">
        <f aca="false">IF(AT71="","",ROUND(AT71/(1+Справочники!$B$12),0))</f>
        <v/>
      </c>
      <c r="AV71" s="90" t="str">
        <f aca="false">IF(AT71="","",ROUND(AT71*(1-Справочники!$B$15),0))</f>
        <v/>
      </c>
      <c r="AW71" s="90" t="str">
        <f aca="false">IF(AT71="","",ROUND(AT71*(1-Справочники!$B$16),0))</f>
        <v/>
      </c>
      <c r="AX71" s="90" t="str">
        <f aca="false">IF(AT71="","",ROUND(AT71*(1-Справочники!$B$17),0))</f>
        <v/>
      </c>
      <c r="AY71" s="90" t="str">
        <f aca="false">IF(AT71="","",ROUND(AT71*(1-Справочники!$B$18),0))</f>
        <v/>
      </c>
      <c r="AZ71" s="90" t="str">
        <f aca="false">IF(AT71="","",ROUND(AT71*(1-Справочники!$B$19),0))</f>
        <v/>
      </c>
      <c r="BA71" s="81"/>
      <c r="BB71" s="81"/>
      <c r="BC71" s="81"/>
      <c r="BD71" s="81"/>
      <c r="BE71" s="91"/>
      <c r="BF71" s="81" t="s">
        <v>103</v>
      </c>
      <c r="BG71" s="89" t="n">
        <f aca="false" t="array" ref="BG71:BG71">IF(BF71="","",IFERROR(INDEX(Справочники!$B$4:$B$7,MATCH(BF71,Справочники!$A$4:$A$7,0)),""))</f>
        <v>68.5</v>
      </c>
      <c r="BH71" s="90" t="str">
        <f aca="false">IF(N(BN71)&gt;0,ROUND(SUMIF(ЗАКАЗЫ!$F$3:$F$500,$A71,ЗАКАЗЫ!$Y$3:$Y$500)/BN71,0),IF(OR(BE71="",BG71=""),"",ROUND(BE71*BG71*(1+Справочники!$B$10),0)))</f>
        <v/>
      </c>
      <c r="BI71" s="92" t="str">
        <f aca="false">IF(OR(AU71="",BH71="",AU71=0),"",(AU71-BH71)/AU71)</f>
        <v/>
      </c>
      <c r="BJ71" s="81"/>
      <c r="BK71" s="83"/>
      <c r="BL71" s="43" t="str">
        <f aca="false">IFERROR(INDEX(ЗАКАЗЫ!$N$3:$N$500,MATCH($A71,ЗАКАЗЫ!$F$3:$F$500,0)),"")</f>
        <v/>
      </c>
      <c r="BM71" s="8" t="str">
        <f aca="false">IF(BL71="","",IFERROR(VLOOKUP(BL71,'ТН ВЭД'!$A$4:$C$40,3,0),""))</f>
        <v/>
      </c>
      <c r="BN71" s="7" t="str">
        <f aca="false">IF(COUNTIF(ЗАКАЗЫ!$F$3:$F$500,$A71)=0,"",SUMIF(ЗАКАЗЫ!$F$3:$F$500,$A71,ЗАКАЗЫ!$J$3:$J$500))</f>
        <v/>
      </c>
      <c r="BO71" s="7" t="str">
        <f aca="false">IF(BN71="","",SUMIF(ЗАКАЗЫ!$F$3:$F$500,$A71,ЗАКАЗЫ!$AL$3:$AL$500))</f>
        <v/>
      </c>
      <c r="BP71" s="7" t="str">
        <f aca="false">IF(BN71="","",BN71-BO71)</f>
        <v/>
      </c>
      <c r="BQ71" s="55" t="str">
        <f aca="false">IF(BN71="","",IF(BO71&gt;=BN71,"На складе",IF(BO71&gt;0,"Частично","Ждём")))</f>
        <v/>
      </c>
      <c r="BR71" s="43"/>
      <c r="BS71" s="47" t="str">
        <f aca="false">IF(BN71="","",IF(_xlfn.MAXIFS(ЗАКАЗЫ!$AK$3:$AK$500,ЗАКАЗЫ!$F$3:$F$500,$A71)=0,"",_xlfn.MAXIFS(ЗАКАЗЫ!$AK$3:$AK$500,ЗАКАЗЫ!$F$3:$F$500,$A71)))</f>
        <v/>
      </c>
    </row>
    <row r="72" customFormat="false" ht="15.75" hidden="false" customHeight="true" outlineLevel="0" collapsed="false">
      <c r="A72" s="80" t="s">
        <v>1939</v>
      </c>
      <c r="B72" s="81"/>
      <c r="C72" s="81"/>
      <c r="D72" s="81"/>
      <c r="E72" s="83"/>
      <c r="F72" s="81"/>
      <c r="G72" s="83"/>
      <c r="H72" s="83"/>
      <c r="I72" s="84" t="str">
        <f aca="false">IF(E72="","",A72&amp;"_1.jpg")</f>
        <v/>
      </c>
      <c r="J72" s="84" t="str">
        <f aca="false">IF(E72="","",A72&amp;"_2.jpg; "&amp;A72&amp;"_3.jpg")</f>
        <v/>
      </c>
      <c r="K72" s="84" t="str">
        <f aca="false">IF(E72="","",A72&amp;"_schema.jpg")</f>
        <v/>
      </c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 t="s">
        <v>96</v>
      </c>
      <c r="W72" s="81"/>
      <c r="X72" s="81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6" t="str">
        <f aca="false">IF(SUM(Y72:AJ72)=0,"",SUM(Y72:AJ72))</f>
        <v/>
      </c>
      <c r="AL72" s="84" t="str">
        <f aca="false">MID(IF(N(Y72)&gt;0,", "&amp;Y$2,"")&amp;IF(N(Z72)&gt;0,", "&amp;Z$2,"")&amp;IF(N(AA72)&gt;0,", "&amp;AA$2,"")&amp;IF(N(AB72)&gt;0,", "&amp;AB$2,"")&amp;IF(N(AC72)&gt;0,", "&amp;AC$2,"")&amp;IF(N(AD72)&gt;0,", "&amp;AD$2,"")&amp;IF(N(AE72)&gt;0,", "&amp;AE$2,"")&amp;IF(N(AF72)&gt;0,", "&amp;AF$2,"")&amp;IF(N(AG72)&gt;0,", "&amp;AG$2,"")&amp;IF(N(AH72)&gt;0,", "&amp;AH$2,"")&amp;IF(N(AI72)&gt;0,", "&amp;AI$2,"")&amp;IF(N(AJ72)&gt;0,", "&amp;AJ$2,""),3,999)</f>
        <v/>
      </c>
      <c r="AM72" s="87" t="str">
        <f aca="false">IF(E72="","",MID(IF(N(Y72)&gt;0,", "&amp;A72&amp;"-"&amp;Y$2,"")&amp;IF(N(Z72)&gt;0,", "&amp;A72&amp;"-"&amp;Z$2,"")&amp;IF(N(AA72)&gt;0,", "&amp;A72&amp;"-"&amp;AA$2,"")&amp;IF(N(AB72)&gt;0,", "&amp;A72&amp;"-"&amp;AB$2,"")&amp;IF(N(AC72)&gt;0,", "&amp;A72&amp;"-"&amp;AC$2,"")&amp;IF(N(AD72)&gt;0,", "&amp;A72&amp;"-"&amp;AD$2,"")&amp;IF(N(AE72)&gt;0,", "&amp;A72&amp;"-"&amp;AE$2,"")&amp;IF(N(AF72)&gt;0,", "&amp;A72&amp;"-"&amp;AF$2,"")&amp;IF(N(AG72)&gt;0,", "&amp;A72&amp;"-"&amp;AG$2,"")&amp;IF(N(AH72)&gt;0,", "&amp;A72&amp;"-"&amp;AH$2,"")&amp;IF(N(AI72)&gt;0,", "&amp;A72&amp;"-"&amp;AI$2,"")&amp;IF(N(AJ72)&gt;0,", "&amp;A72&amp;"-"&amp;AJ$2,""),3,999))</f>
        <v/>
      </c>
      <c r="AN72" s="81"/>
      <c r="AO72" s="88"/>
      <c r="AP72" s="89" t="str">
        <f aca="false">IF(AO72="","",ROUND(AO72/(1+Справочники!$B$13),2))</f>
        <v/>
      </c>
      <c r="AQ72" s="90" t="str">
        <f aca="false" t="array" ref="AQ72:AQ72">IF(AP72="","",AP72*INDEX(Справочники!$B$4:$B$7,MATCH("RUB",Справочники!$A$4:$A$7,0)))</f>
        <v/>
      </c>
      <c r="AR72" s="90" t="str">
        <f aca="false">IF(AQ72="","",ROUND(AQ72*(1+Справочники!$B$12),0))</f>
        <v/>
      </c>
      <c r="AS72" s="90" t="str">
        <f aca="false">IF(AR72="","",ROUND(AR72*(1-Справочники!$B$11),0))</f>
        <v/>
      </c>
      <c r="AT72" s="88"/>
      <c r="AU72" s="90" t="str">
        <f aca="false">IF(AT72="","",ROUND(AT72/(1+Справочники!$B$12),0))</f>
        <v/>
      </c>
      <c r="AV72" s="90" t="str">
        <f aca="false">IF(AT72="","",ROUND(AT72*(1-Справочники!$B$15),0))</f>
        <v/>
      </c>
      <c r="AW72" s="90" t="str">
        <f aca="false">IF(AT72="","",ROUND(AT72*(1-Справочники!$B$16),0))</f>
        <v/>
      </c>
      <c r="AX72" s="90" t="str">
        <f aca="false">IF(AT72="","",ROUND(AT72*(1-Справочники!$B$17),0))</f>
        <v/>
      </c>
      <c r="AY72" s="90" t="str">
        <f aca="false">IF(AT72="","",ROUND(AT72*(1-Справочники!$B$18),0))</f>
        <v/>
      </c>
      <c r="AZ72" s="90" t="str">
        <f aca="false">IF(AT72="","",ROUND(AT72*(1-Справочники!$B$19),0))</f>
        <v/>
      </c>
      <c r="BA72" s="81"/>
      <c r="BB72" s="81"/>
      <c r="BC72" s="81"/>
      <c r="BD72" s="81"/>
      <c r="BE72" s="91"/>
      <c r="BF72" s="81" t="s">
        <v>103</v>
      </c>
      <c r="BG72" s="89" t="n">
        <f aca="false" t="array" ref="BG72:BG72">IF(BF72="","",IFERROR(INDEX(Справочники!$B$4:$B$7,MATCH(BF72,Справочники!$A$4:$A$7,0)),""))</f>
        <v>68.5</v>
      </c>
      <c r="BH72" s="90" t="str">
        <f aca="false">IF(N(BN72)&gt;0,ROUND(SUMIF(ЗАКАЗЫ!$F$3:$F$500,$A72,ЗАКАЗЫ!$Y$3:$Y$500)/BN72,0),IF(OR(BE72="",BG72=""),"",ROUND(BE72*BG72*(1+Справочники!$B$10),0)))</f>
        <v/>
      </c>
      <c r="BI72" s="92" t="str">
        <f aca="false">IF(OR(AU72="",BH72="",AU72=0),"",(AU72-BH72)/AU72)</f>
        <v/>
      </c>
      <c r="BJ72" s="81"/>
      <c r="BK72" s="83"/>
      <c r="BL72" s="43" t="str">
        <f aca="false">IFERROR(INDEX(ЗАКАЗЫ!$N$3:$N$500,MATCH($A72,ЗАКАЗЫ!$F$3:$F$500,0)),"")</f>
        <v/>
      </c>
      <c r="BM72" s="8" t="str">
        <f aca="false">IF(BL72="","",IFERROR(VLOOKUP(BL72,'ТН ВЭД'!$A$4:$C$40,3,0),""))</f>
        <v/>
      </c>
      <c r="BN72" s="7" t="str">
        <f aca="false">IF(COUNTIF(ЗАКАЗЫ!$F$3:$F$500,$A72)=0,"",SUMIF(ЗАКАЗЫ!$F$3:$F$500,$A72,ЗАКАЗЫ!$J$3:$J$500))</f>
        <v/>
      </c>
      <c r="BO72" s="7" t="str">
        <f aca="false">IF(BN72="","",SUMIF(ЗАКАЗЫ!$F$3:$F$500,$A72,ЗАКАЗЫ!$AL$3:$AL$500))</f>
        <v/>
      </c>
      <c r="BP72" s="7" t="str">
        <f aca="false">IF(BN72="","",BN72-BO72)</f>
        <v/>
      </c>
      <c r="BQ72" s="55" t="str">
        <f aca="false">IF(BN72="","",IF(BO72&gt;=BN72,"На складе",IF(BO72&gt;0,"Частично","Ждём")))</f>
        <v/>
      </c>
      <c r="BR72" s="43"/>
      <c r="BS72" s="47" t="str">
        <f aca="false">IF(BN72="","",IF(_xlfn.MAXIFS(ЗАКАЗЫ!$AK$3:$AK$500,ЗАКАЗЫ!$F$3:$F$500,$A72)=0,"",_xlfn.MAXIFS(ЗАКАЗЫ!$AK$3:$AK$500,ЗАКАЗЫ!$F$3:$F$500,$A72)))</f>
        <v/>
      </c>
    </row>
    <row r="73" customFormat="false" ht="15.75" hidden="false" customHeight="true" outlineLevel="0" collapsed="false">
      <c r="A73" s="80" t="s">
        <v>1940</v>
      </c>
      <c r="B73" s="81"/>
      <c r="C73" s="81"/>
      <c r="D73" s="81"/>
      <c r="E73" s="83"/>
      <c r="F73" s="81"/>
      <c r="G73" s="83"/>
      <c r="H73" s="83"/>
      <c r="I73" s="84" t="str">
        <f aca="false">IF(E73="","",A73&amp;"_1.jpg")</f>
        <v/>
      </c>
      <c r="J73" s="84" t="str">
        <f aca="false">IF(E73="","",A73&amp;"_2.jpg; "&amp;A73&amp;"_3.jpg")</f>
        <v/>
      </c>
      <c r="K73" s="84" t="str">
        <f aca="false">IF(E73="","",A73&amp;"_schema.jpg")</f>
        <v/>
      </c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 t="s">
        <v>96</v>
      </c>
      <c r="W73" s="81"/>
      <c r="X73" s="81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6" t="str">
        <f aca="false">IF(SUM(Y73:AJ73)=0,"",SUM(Y73:AJ73))</f>
        <v/>
      </c>
      <c r="AL73" s="84" t="str">
        <f aca="false">MID(IF(N(Y73)&gt;0,", "&amp;Y$2,"")&amp;IF(N(Z73)&gt;0,", "&amp;Z$2,"")&amp;IF(N(AA73)&gt;0,", "&amp;AA$2,"")&amp;IF(N(AB73)&gt;0,", "&amp;AB$2,"")&amp;IF(N(AC73)&gt;0,", "&amp;AC$2,"")&amp;IF(N(AD73)&gt;0,", "&amp;AD$2,"")&amp;IF(N(AE73)&gt;0,", "&amp;AE$2,"")&amp;IF(N(AF73)&gt;0,", "&amp;AF$2,"")&amp;IF(N(AG73)&gt;0,", "&amp;AG$2,"")&amp;IF(N(AH73)&gt;0,", "&amp;AH$2,"")&amp;IF(N(AI73)&gt;0,", "&amp;AI$2,"")&amp;IF(N(AJ73)&gt;0,", "&amp;AJ$2,""),3,999)</f>
        <v/>
      </c>
      <c r="AM73" s="87" t="str">
        <f aca="false">IF(E73="","",MID(IF(N(Y73)&gt;0,", "&amp;A73&amp;"-"&amp;Y$2,"")&amp;IF(N(Z73)&gt;0,", "&amp;A73&amp;"-"&amp;Z$2,"")&amp;IF(N(AA73)&gt;0,", "&amp;A73&amp;"-"&amp;AA$2,"")&amp;IF(N(AB73)&gt;0,", "&amp;A73&amp;"-"&amp;AB$2,"")&amp;IF(N(AC73)&gt;0,", "&amp;A73&amp;"-"&amp;AC$2,"")&amp;IF(N(AD73)&gt;0,", "&amp;A73&amp;"-"&amp;AD$2,"")&amp;IF(N(AE73)&gt;0,", "&amp;A73&amp;"-"&amp;AE$2,"")&amp;IF(N(AF73)&gt;0,", "&amp;A73&amp;"-"&amp;AF$2,"")&amp;IF(N(AG73)&gt;0,", "&amp;A73&amp;"-"&amp;AG$2,"")&amp;IF(N(AH73)&gt;0,", "&amp;A73&amp;"-"&amp;AH$2,"")&amp;IF(N(AI73)&gt;0,", "&amp;A73&amp;"-"&amp;AI$2,"")&amp;IF(N(AJ73)&gt;0,", "&amp;A73&amp;"-"&amp;AJ$2,""),3,999))</f>
        <v/>
      </c>
      <c r="AN73" s="81"/>
      <c r="AO73" s="88"/>
      <c r="AP73" s="89" t="str">
        <f aca="false">IF(AO73="","",ROUND(AO73/(1+Справочники!$B$13),2))</f>
        <v/>
      </c>
      <c r="AQ73" s="90" t="str">
        <f aca="false" t="array" ref="AQ73:AQ73">IF(AP73="","",AP73*INDEX(Справочники!$B$4:$B$7,MATCH("RUB",Справочники!$A$4:$A$7,0)))</f>
        <v/>
      </c>
      <c r="AR73" s="90" t="str">
        <f aca="false">IF(AQ73="","",ROUND(AQ73*(1+Справочники!$B$12),0))</f>
        <v/>
      </c>
      <c r="AS73" s="90" t="str">
        <f aca="false">IF(AR73="","",ROUND(AR73*(1-Справочники!$B$11),0))</f>
        <v/>
      </c>
      <c r="AT73" s="88"/>
      <c r="AU73" s="90" t="str">
        <f aca="false">IF(AT73="","",ROUND(AT73/(1+Справочники!$B$12),0))</f>
        <v/>
      </c>
      <c r="AV73" s="90" t="str">
        <f aca="false">IF(AT73="","",ROUND(AT73*(1-Справочники!$B$15),0))</f>
        <v/>
      </c>
      <c r="AW73" s="90" t="str">
        <f aca="false">IF(AT73="","",ROUND(AT73*(1-Справочники!$B$16),0))</f>
        <v/>
      </c>
      <c r="AX73" s="90" t="str">
        <f aca="false">IF(AT73="","",ROUND(AT73*(1-Справочники!$B$17),0))</f>
        <v/>
      </c>
      <c r="AY73" s="90" t="str">
        <f aca="false">IF(AT73="","",ROUND(AT73*(1-Справочники!$B$18),0))</f>
        <v/>
      </c>
      <c r="AZ73" s="90" t="str">
        <f aca="false">IF(AT73="","",ROUND(AT73*(1-Справочники!$B$19),0))</f>
        <v/>
      </c>
      <c r="BA73" s="81"/>
      <c r="BB73" s="81"/>
      <c r="BC73" s="81"/>
      <c r="BD73" s="81"/>
      <c r="BE73" s="91"/>
      <c r="BF73" s="81" t="s">
        <v>103</v>
      </c>
      <c r="BG73" s="89" t="n">
        <f aca="false" t="array" ref="BG73:BG73">IF(BF73="","",IFERROR(INDEX(Справочники!$B$4:$B$7,MATCH(BF73,Справочники!$A$4:$A$7,0)),""))</f>
        <v>68.5</v>
      </c>
      <c r="BH73" s="90" t="str">
        <f aca="false">IF(N(BN73)&gt;0,ROUND(SUMIF(ЗАКАЗЫ!$F$3:$F$500,$A73,ЗАКАЗЫ!$Y$3:$Y$500)/BN73,0),IF(OR(BE73="",BG73=""),"",ROUND(BE73*BG73*(1+Справочники!$B$10),0)))</f>
        <v/>
      </c>
      <c r="BI73" s="92" t="str">
        <f aca="false">IF(OR(AU73="",BH73="",AU73=0),"",(AU73-BH73)/AU73)</f>
        <v/>
      </c>
      <c r="BJ73" s="81"/>
      <c r="BK73" s="83"/>
      <c r="BL73" s="43" t="str">
        <f aca="false">IFERROR(INDEX(ЗАКАЗЫ!$N$3:$N$500,MATCH($A73,ЗАКАЗЫ!$F$3:$F$500,0)),"")</f>
        <v/>
      </c>
      <c r="BM73" s="8" t="str">
        <f aca="false">IF(BL73="","",IFERROR(VLOOKUP(BL73,'ТН ВЭД'!$A$4:$C$40,3,0),""))</f>
        <v/>
      </c>
      <c r="BN73" s="7" t="str">
        <f aca="false">IF(COUNTIF(ЗАКАЗЫ!$F$3:$F$500,$A73)=0,"",SUMIF(ЗАКАЗЫ!$F$3:$F$500,$A73,ЗАКАЗЫ!$J$3:$J$500))</f>
        <v/>
      </c>
      <c r="BO73" s="7" t="str">
        <f aca="false">IF(BN73="","",SUMIF(ЗАКАЗЫ!$F$3:$F$500,$A73,ЗАКАЗЫ!$AL$3:$AL$500))</f>
        <v/>
      </c>
      <c r="BP73" s="7" t="str">
        <f aca="false">IF(BN73="","",BN73-BO73)</f>
        <v/>
      </c>
      <c r="BQ73" s="55" t="str">
        <f aca="false">IF(BN73="","",IF(BO73&gt;=BN73,"На складе",IF(BO73&gt;0,"Частично","Ждём")))</f>
        <v/>
      </c>
      <c r="BR73" s="43"/>
      <c r="BS73" s="47" t="str">
        <f aca="false">IF(BN73="","",IF(_xlfn.MAXIFS(ЗАКАЗЫ!$AK$3:$AK$500,ЗАКАЗЫ!$F$3:$F$500,$A73)=0,"",_xlfn.MAXIFS(ЗАКАЗЫ!$AK$3:$AK$500,ЗАКАЗЫ!$F$3:$F$500,$A73)))</f>
        <v/>
      </c>
    </row>
    <row r="74" customFormat="false" ht="15.75" hidden="false" customHeight="true" outlineLevel="0" collapsed="false">
      <c r="A74" s="80" t="s">
        <v>1941</v>
      </c>
      <c r="B74" s="81"/>
      <c r="C74" s="81"/>
      <c r="D74" s="81"/>
      <c r="E74" s="83"/>
      <c r="F74" s="81"/>
      <c r="G74" s="83"/>
      <c r="H74" s="83"/>
      <c r="I74" s="84" t="str">
        <f aca="false">IF(E74="","",A74&amp;"_1.jpg")</f>
        <v/>
      </c>
      <c r="J74" s="84" t="str">
        <f aca="false">IF(E74="","",A74&amp;"_2.jpg; "&amp;A74&amp;"_3.jpg")</f>
        <v/>
      </c>
      <c r="K74" s="84" t="str">
        <f aca="false">IF(E74="","",A74&amp;"_schema.jpg")</f>
        <v/>
      </c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 t="s">
        <v>96</v>
      </c>
      <c r="W74" s="81"/>
      <c r="X74" s="81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6" t="str">
        <f aca="false">IF(SUM(Y74:AJ74)=0,"",SUM(Y74:AJ74))</f>
        <v/>
      </c>
      <c r="AL74" s="84" t="str">
        <f aca="false">MID(IF(N(Y74)&gt;0,", "&amp;Y$2,"")&amp;IF(N(Z74)&gt;0,", "&amp;Z$2,"")&amp;IF(N(AA74)&gt;0,", "&amp;AA$2,"")&amp;IF(N(AB74)&gt;0,", "&amp;AB$2,"")&amp;IF(N(AC74)&gt;0,", "&amp;AC$2,"")&amp;IF(N(AD74)&gt;0,", "&amp;AD$2,"")&amp;IF(N(AE74)&gt;0,", "&amp;AE$2,"")&amp;IF(N(AF74)&gt;0,", "&amp;AF$2,"")&amp;IF(N(AG74)&gt;0,", "&amp;AG$2,"")&amp;IF(N(AH74)&gt;0,", "&amp;AH$2,"")&amp;IF(N(AI74)&gt;0,", "&amp;AI$2,"")&amp;IF(N(AJ74)&gt;0,", "&amp;AJ$2,""),3,999)</f>
        <v/>
      </c>
      <c r="AM74" s="87" t="str">
        <f aca="false">IF(E74="","",MID(IF(N(Y74)&gt;0,", "&amp;A74&amp;"-"&amp;Y$2,"")&amp;IF(N(Z74)&gt;0,", "&amp;A74&amp;"-"&amp;Z$2,"")&amp;IF(N(AA74)&gt;0,", "&amp;A74&amp;"-"&amp;AA$2,"")&amp;IF(N(AB74)&gt;0,", "&amp;A74&amp;"-"&amp;AB$2,"")&amp;IF(N(AC74)&gt;0,", "&amp;A74&amp;"-"&amp;AC$2,"")&amp;IF(N(AD74)&gt;0,", "&amp;A74&amp;"-"&amp;AD$2,"")&amp;IF(N(AE74)&gt;0,", "&amp;A74&amp;"-"&amp;AE$2,"")&amp;IF(N(AF74)&gt;0,", "&amp;A74&amp;"-"&amp;AF$2,"")&amp;IF(N(AG74)&gt;0,", "&amp;A74&amp;"-"&amp;AG$2,"")&amp;IF(N(AH74)&gt;0,", "&amp;A74&amp;"-"&amp;AH$2,"")&amp;IF(N(AI74)&gt;0,", "&amp;A74&amp;"-"&amp;AI$2,"")&amp;IF(N(AJ74)&gt;0,", "&amp;A74&amp;"-"&amp;AJ$2,""),3,999))</f>
        <v/>
      </c>
      <c r="AN74" s="81"/>
      <c r="AO74" s="88"/>
      <c r="AP74" s="89" t="str">
        <f aca="false">IF(AO74="","",ROUND(AO74/(1+Справочники!$B$13),2))</f>
        <v/>
      </c>
      <c r="AQ74" s="90" t="str">
        <f aca="false" t="array" ref="AQ74:AQ74">IF(AP74="","",AP74*INDEX(Справочники!$B$4:$B$7,MATCH("RUB",Справочники!$A$4:$A$7,0)))</f>
        <v/>
      </c>
      <c r="AR74" s="90" t="str">
        <f aca="false">IF(AQ74="","",ROUND(AQ74*(1+Справочники!$B$12),0))</f>
        <v/>
      </c>
      <c r="AS74" s="90" t="str">
        <f aca="false">IF(AR74="","",ROUND(AR74*(1-Справочники!$B$11),0))</f>
        <v/>
      </c>
      <c r="AT74" s="88"/>
      <c r="AU74" s="90" t="str">
        <f aca="false">IF(AT74="","",ROUND(AT74/(1+Справочники!$B$12),0))</f>
        <v/>
      </c>
      <c r="AV74" s="90" t="str">
        <f aca="false">IF(AT74="","",ROUND(AT74*(1-Справочники!$B$15),0))</f>
        <v/>
      </c>
      <c r="AW74" s="90" t="str">
        <f aca="false">IF(AT74="","",ROUND(AT74*(1-Справочники!$B$16),0))</f>
        <v/>
      </c>
      <c r="AX74" s="90" t="str">
        <f aca="false">IF(AT74="","",ROUND(AT74*(1-Справочники!$B$17),0))</f>
        <v/>
      </c>
      <c r="AY74" s="90" t="str">
        <f aca="false">IF(AT74="","",ROUND(AT74*(1-Справочники!$B$18),0))</f>
        <v/>
      </c>
      <c r="AZ74" s="90" t="str">
        <f aca="false">IF(AT74="","",ROUND(AT74*(1-Справочники!$B$19),0))</f>
        <v/>
      </c>
      <c r="BA74" s="81"/>
      <c r="BB74" s="81"/>
      <c r="BC74" s="81"/>
      <c r="BD74" s="81"/>
      <c r="BE74" s="91"/>
      <c r="BF74" s="81" t="s">
        <v>103</v>
      </c>
      <c r="BG74" s="89" t="n">
        <f aca="false" t="array" ref="BG74:BG74">IF(BF74="","",IFERROR(INDEX(Справочники!$B$4:$B$7,MATCH(BF74,Справочники!$A$4:$A$7,0)),""))</f>
        <v>68.5</v>
      </c>
      <c r="BH74" s="90" t="str">
        <f aca="false">IF(N(BN74)&gt;0,ROUND(SUMIF(ЗАКАЗЫ!$F$3:$F$500,$A74,ЗАКАЗЫ!$Y$3:$Y$500)/BN74,0),IF(OR(BE74="",BG74=""),"",ROUND(BE74*BG74*(1+Справочники!$B$10),0)))</f>
        <v/>
      </c>
      <c r="BI74" s="92" t="str">
        <f aca="false">IF(OR(AU74="",BH74="",AU74=0),"",(AU74-BH74)/AU74)</f>
        <v/>
      </c>
      <c r="BJ74" s="81"/>
      <c r="BK74" s="83"/>
      <c r="BL74" s="43" t="str">
        <f aca="false">IFERROR(INDEX(ЗАКАЗЫ!$N$3:$N$500,MATCH($A74,ЗАКАЗЫ!$F$3:$F$500,0)),"")</f>
        <v/>
      </c>
      <c r="BM74" s="8" t="str">
        <f aca="false">IF(BL74="","",IFERROR(VLOOKUP(BL74,'ТН ВЭД'!$A$4:$C$40,3,0),""))</f>
        <v/>
      </c>
      <c r="BN74" s="7" t="str">
        <f aca="false">IF(COUNTIF(ЗАКАЗЫ!$F$3:$F$500,$A74)=0,"",SUMIF(ЗАКАЗЫ!$F$3:$F$500,$A74,ЗАКАЗЫ!$J$3:$J$500))</f>
        <v/>
      </c>
      <c r="BO74" s="7" t="str">
        <f aca="false">IF(BN74="","",SUMIF(ЗАКАЗЫ!$F$3:$F$500,$A74,ЗАКАЗЫ!$AL$3:$AL$500))</f>
        <v/>
      </c>
      <c r="BP74" s="7" t="str">
        <f aca="false">IF(BN74="","",BN74-BO74)</f>
        <v/>
      </c>
      <c r="BQ74" s="55" t="str">
        <f aca="false">IF(BN74="","",IF(BO74&gt;=BN74,"На складе",IF(BO74&gt;0,"Частично","Ждём")))</f>
        <v/>
      </c>
      <c r="BR74" s="43"/>
      <c r="BS74" s="47" t="str">
        <f aca="false">IF(BN74="","",IF(_xlfn.MAXIFS(ЗАКАЗЫ!$AK$3:$AK$500,ЗАКАЗЫ!$F$3:$F$500,$A74)=0,"",_xlfn.MAXIFS(ЗАКАЗЫ!$AK$3:$AK$500,ЗАКАЗЫ!$F$3:$F$500,$A74)))</f>
        <v/>
      </c>
    </row>
    <row r="75" customFormat="false" ht="15.75" hidden="false" customHeight="true" outlineLevel="0" collapsed="false">
      <c r="A75" s="80" t="s">
        <v>1942</v>
      </c>
      <c r="B75" s="81"/>
      <c r="C75" s="81"/>
      <c r="D75" s="81"/>
      <c r="E75" s="83"/>
      <c r="F75" s="81"/>
      <c r="G75" s="83"/>
      <c r="H75" s="83"/>
      <c r="I75" s="84" t="str">
        <f aca="false">IF(E75="","",A75&amp;"_1.jpg")</f>
        <v/>
      </c>
      <c r="J75" s="84" t="str">
        <f aca="false">IF(E75="","",A75&amp;"_2.jpg; "&amp;A75&amp;"_3.jpg")</f>
        <v/>
      </c>
      <c r="K75" s="84" t="str">
        <f aca="false">IF(E75="","",A75&amp;"_schema.jpg")</f>
        <v/>
      </c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 t="s">
        <v>96</v>
      </c>
      <c r="W75" s="81"/>
      <c r="X75" s="81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6" t="str">
        <f aca="false">IF(SUM(Y75:AJ75)=0,"",SUM(Y75:AJ75))</f>
        <v/>
      </c>
      <c r="AL75" s="84" t="str">
        <f aca="false">MID(IF(N(Y75)&gt;0,", "&amp;Y$2,"")&amp;IF(N(Z75)&gt;0,", "&amp;Z$2,"")&amp;IF(N(AA75)&gt;0,", "&amp;AA$2,"")&amp;IF(N(AB75)&gt;0,", "&amp;AB$2,"")&amp;IF(N(AC75)&gt;0,", "&amp;AC$2,"")&amp;IF(N(AD75)&gt;0,", "&amp;AD$2,"")&amp;IF(N(AE75)&gt;0,", "&amp;AE$2,"")&amp;IF(N(AF75)&gt;0,", "&amp;AF$2,"")&amp;IF(N(AG75)&gt;0,", "&amp;AG$2,"")&amp;IF(N(AH75)&gt;0,", "&amp;AH$2,"")&amp;IF(N(AI75)&gt;0,", "&amp;AI$2,"")&amp;IF(N(AJ75)&gt;0,", "&amp;AJ$2,""),3,999)</f>
        <v/>
      </c>
      <c r="AM75" s="87" t="str">
        <f aca="false">IF(E75="","",MID(IF(N(Y75)&gt;0,", "&amp;A75&amp;"-"&amp;Y$2,"")&amp;IF(N(Z75)&gt;0,", "&amp;A75&amp;"-"&amp;Z$2,"")&amp;IF(N(AA75)&gt;0,", "&amp;A75&amp;"-"&amp;AA$2,"")&amp;IF(N(AB75)&gt;0,", "&amp;A75&amp;"-"&amp;AB$2,"")&amp;IF(N(AC75)&gt;0,", "&amp;A75&amp;"-"&amp;AC$2,"")&amp;IF(N(AD75)&gt;0,", "&amp;A75&amp;"-"&amp;AD$2,"")&amp;IF(N(AE75)&gt;0,", "&amp;A75&amp;"-"&amp;AE$2,"")&amp;IF(N(AF75)&gt;0,", "&amp;A75&amp;"-"&amp;AF$2,"")&amp;IF(N(AG75)&gt;0,", "&amp;A75&amp;"-"&amp;AG$2,"")&amp;IF(N(AH75)&gt;0,", "&amp;A75&amp;"-"&amp;AH$2,"")&amp;IF(N(AI75)&gt;0,", "&amp;A75&amp;"-"&amp;AI$2,"")&amp;IF(N(AJ75)&gt;0,", "&amp;A75&amp;"-"&amp;AJ$2,""),3,999))</f>
        <v/>
      </c>
      <c r="AN75" s="81"/>
      <c r="AO75" s="88"/>
      <c r="AP75" s="89" t="str">
        <f aca="false">IF(AO75="","",ROUND(AO75/(1+Справочники!$B$13),2))</f>
        <v/>
      </c>
      <c r="AQ75" s="90" t="str">
        <f aca="false" t="array" ref="AQ75:AQ75">IF(AP75="","",AP75*INDEX(Справочники!$B$4:$B$7,MATCH("RUB",Справочники!$A$4:$A$7,0)))</f>
        <v/>
      </c>
      <c r="AR75" s="90" t="str">
        <f aca="false">IF(AQ75="","",ROUND(AQ75*(1+Справочники!$B$12),0))</f>
        <v/>
      </c>
      <c r="AS75" s="90" t="str">
        <f aca="false">IF(AR75="","",ROUND(AR75*(1-Справочники!$B$11),0))</f>
        <v/>
      </c>
      <c r="AT75" s="88"/>
      <c r="AU75" s="90" t="str">
        <f aca="false">IF(AT75="","",ROUND(AT75/(1+Справочники!$B$12),0))</f>
        <v/>
      </c>
      <c r="AV75" s="90" t="str">
        <f aca="false">IF(AT75="","",ROUND(AT75*(1-Справочники!$B$15),0))</f>
        <v/>
      </c>
      <c r="AW75" s="90" t="str">
        <f aca="false">IF(AT75="","",ROUND(AT75*(1-Справочники!$B$16),0))</f>
        <v/>
      </c>
      <c r="AX75" s="90" t="str">
        <f aca="false">IF(AT75="","",ROUND(AT75*(1-Справочники!$B$17),0))</f>
        <v/>
      </c>
      <c r="AY75" s="90" t="str">
        <f aca="false">IF(AT75="","",ROUND(AT75*(1-Справочники!$B$18),0))</f>
        <v/>
      </c>
      <c r="AZ75" s="90" t="str">
        <f aca="false">IF(AT75="","",ROUND(AT75*(1-Справочники!$B$19),0))</f>
        <v/>
      </c>
      <c r="BA75" s="81"/>
      <c r="BB75" s="81"/>
      <c r="BC75" s="81"/>
      <c r="BD75" s="81"/>
      <c r="BE75" s="91"/>
      <c r="BF75" s="81" t="s">
        <v>103</v>
      </c>
      <c r="BG75" s="89" t="n">
        <f aca="false" t="array" ref="BG75:BG75">IF(BF75="","",IFERROR(INDEX(Справочники!$B$4:$B$7,MATCH(BF75,Справочники!$A$4:$A$7,0)),""))</f>
        <v>68.5</v>
      </c>
      <c r="BH75" s="90" t="str">
        <f aca="false">IF(N(BN75)&gt;0,ROUND(SUMIF(ЗАКАЗЫ!$F$3:$F$500,$A75,ЗАКАЗЫ!$Y$3:$Y$500)/BN75,0),IF(OR(BE75="",BG75=""),"",ROUND(BE75*BG75*(1+Справочники!$B$10),0)))</f>
        <v/>
      </c>
      <c r="BI75" s="92" t="str">
        <f aca="false">IF(OR(AU75="",BH75="",AU75=0),"",(AU75-BH75)/AU75)</f>
        <v/>
      </c>
      <c r="BJ75" s="81"/>
      <c r="BK75" s="83"/>
      <c r="BL75" s="43" t="str">
        <f aca="false">IFERROR(INDEX(ЗАКАЗЫ!$N$3:$N$500,MATCH($A75,ЗАКАЗЫ!$F$3:$F$500,0)),"")</f>
        <v/>
      </c>
      <c r="BM75" s="8" t="str">
        <f aca="false">IF(BL75="","",IFERROR(VLOOKUP(BL75,'ТН ВЭД'!$A$4:$C$40,3,0),""))</f>
        <v/>
      </c>
      <c r="BN75" s="7" t="str">
        <f aca="false">IF(COUNTIF(ЗАКАЗЫ!$F$3:$F$500,$A75)=0,"",SUMIF(ЗАКАЗЫ!$F$3:$F$500,$A75,ЗАКАЗЫ!$J$3:$J$500))</f>
        <v/>
      </c>
      <c r="BO75" s="7" t="str">
        <f aca="false">IF(BN75="","",SUMIF(ЗАКАЗЫ!$F$3:$F$500,$A75,ЗАКАЗЫ!$AL$3:$AL$500))</f>
        <v/>
      </c>
      <c r="BP75" s="7" t="str">
        <f aca="false">IF(BN75="","",BN75-BO75)</f>
        <v/>
      </c>
      <c r="BQ75" s="55" t="str">
        <f aca="false">IF(BN75="","",IF(BO75&gt;=BN75,"На складе",IF(BO75&gt;0,"Частично","Ждём")))</f>
        <v/>
      </c>
      <c r="BR75" s="43"/>
      <c r="BS75" s="47" t="str">
        <f aca="false">IF(BN75="","",IF(_xlfn.MAXIFS(ЗАКАЗЫ!$AK$3:$AK$500,ЗАКАЗЫ!$F$3:$F$500,$A75)=0,"",_xlfn.MAXIFS(ЗАКАЗЫ!$AK$3:$AK$500,ЗАКАЗЫ!$F$3:$F$500,$A75)))</f>
        <v/>
      </c>
    </row>
    <row r="76" customFormat="false" ht="15.75" hidden="false" customHeight="true" outlineLevel="0" collapsed="false">
      <c r="A76" s="80" t="s">
        <v>1943</v>
      </c>
      <c r="B76" s="81"/>
      <c r="C76" s="81"/>
      <c r="D76" s="81"/>
      <c r="E76" s="83"/>
      <c r="F76" s="81"/>
      <c r="G76" s="83"/>
      <c r="H76" s="83"/>
      <c r="I76" s="84" t="str">
        <f aca="false">IF(E76="","",A76&amp;"_1.jpg")</f>
        <v/>
      </c>
      <c r="J76" s="84" t="str">
        <f aca="false">IF(E76="","",A76&amp;"_2.jpg; "&amp;A76&amp;"_3.jpg")</f>
        <v/>
      </c>
      <c r="K76" s="84" t="str">
        <f aca="false">IF(E76="","",A76&amp;"_schema.jpg")</f>
        <v/>
      </c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 t="s">
        <v>96</v>
      </c>
      <c r="W76" s="81"/>
      <c r="X76" s="81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6" t="str">
        <f aca="false">IF(SUM(Y76:AJ76)=0,"",SUM(Y76:AJ76))</f>
        <v/>
      </c>
      <c r="AL76" s="84" t="str">
        <f aca="false">MID(IF(N(Y76)&gt;0,", "&amp;Y$2,"")&amp;IF(N(Z76)&gt;0,", "&amp;Z$2,"")&amp;IF(N(AA76)&gt;0,", "&amp;AA$2,"")&amp;IF(N(AB76)&gt;0,", "&amp;AB$2,"")&amp;IF(N(AC76)&gt;0,", "&amp;AC$2,"")&amp;IF(N(AD76)&gt;0,", "&amp;AD$2,"")&amp;IF(N(AE76)&gt;0,", "&amp;AE$2,"")&amp;IF(N(AF76)&gt;0,", "&amp;AF$2,"")&amp;IF(N(AG76)&gt;0,", "&amp;AG$2,"")&amp;IF(N(AH76)&gt;0,", "&amp;AH$2,"")&amp;IF(N(AI76)&gt;0,", "&amp;AI$2,"")&amp;IF(N(AJ76)&gt;0,", "&amp;AJ$2,""),3,999)</f>
        <v/>
      </c>
      <c r="AM76" s="87" t="str">
        <f aca="false">IF(E76="","",MID(IF(N(Y76)&gt;0,", "&amp;A76&amp;"-"&amp;Y$2,"")&amp;IF(N(Z76)&gt;0,", "&amp;A76&amp;"-"&amp;Z$2,"")&amp;IF(N(AA76)&gt;0,", "&amp;A76&amp;"-"&amp;AA$2,"")&amp;IF(N(AB76)&gt;0,", "&amp;A76&amp;"-"&amp;AB$2,"")&amp;IF(N(AC76)&gt;0,", "&amp;A76&amp;"-"&amp;AC$2,"")&amp;IF(N(AD76)&gt;0,", "&amp;A76&amp;"-"&amp;AD$2,"")&amp;IF(N(AE76)&gt;0,", "&amp;A76&amp;"-"&amp;AE$2,"")&amp;IF(N(AF76)&gt;0,", "&amp;A76&amp;"-"&amp;AF$2,"")&amp;IF(N(AG76)&gt;0,", "&amp;A76&amp;"-"&amp;AG$2,"")&amp;IF(N(AH76)&gt;0,", "&amp;A76&amp;"-"&amp;AH$2,"")&amp;IF(N(AI76)&gt;0,", "&amp;A76&amp;"-"&amp;AI$2,"")&amp;IF(N(AJ76)&gt;0,", "&amp;A76&amp;"-"&amp;AJ$2,""),3,999))</f>
        <v/>
      </c>
      <c r="AN76" s="81"/>
      <c r="AO76" s="88"/>
      <c r="AP76" s="89" t="str">
        <f aca="false">IF(AO76="","",ROUND(AO76/(1+Справочники!$B$13),2))</f>
        <v/>
      </c>
      <c r="AQ76" s="90" t="str">
        <f aca="false" t="array" ref="AQ76:AQ76">IF(AP76="","",AP76*INDEX(Справочники!$B$4:$B$7,MATCH("RUB",Справочники!$A$4:$A$7,0)))</f>
        <v/>
      </c>
      <c r="AR76" s="90" t="str">
        <f aca="false">IF(AQ76="","",ROUND(AQ76*(1+Справочники!$B$12),0))</f>
        <v/>
      </c>
      <c r="AS76" s="90" t="str">
        <f aca="false">IF(AR76="","",ROUND(AR76*(1-Справочники!$B$11),0))</f>
        <v/>
      </c>
      <c r="AT76" s="88"/>
      <c r="AU76" s="90" t="str">
        <f aca="false">IF(AT76="","",ROUND(AT76/(1+Справочники!$B$12),0))</f>
        <v/>
      </c>
      <c r="AV76" s="90" t="str">
        <f aca="false">IF(AT76="","",ROUND(AT76*(1-Справочники!$B$15),0))</f>
        <v/>
      </c>
      <c r="AW76" s="90" t="str">
        <f aca="false">IF(AT76="","",ROUND(AT76*(1-Справочники!$B$16),0))</f>
        <v/>
      </c>
      <c r="AX76" s="90" t="str">
        <f aca="false">IF(AT76="","",ROUND(AT76*(1-Справочники!$B$17),0))</f>
        <v/>
      </c>
      <c r="AY76" s="90" t="str">
        <f aca="false">IF(AT76="","",ROUND(AT76*(1-Справочники!$B$18),0))</f>
        <v/>
      </c>
      <c r="AZ76" s="90" t="str">
        <f aca="false">IF(AT76="","",ROUND(AT76*(1-Справочники!$B$19),0))</f>
        <v/>
      </c>
      <c r="BA76" s="81"/>
      <c r="BB76" s="81"/>
      <c r="BC76" s="81"/>
      <c r="BD76" s="81"/>
      <c r="BE76" s="91"/>
      <c r="BF76" s="81" t="s">
        <v>103</v>
      </c>
      <c r="BG76" s="89" t="n">
        <f aca="false" t="array" ref="BG76:BG76">IF(BF76="","",IFERROR(INDEX(Справочники!$B$4:$B$7,MATCH(BF76,Справочники!$A$4:$A$7,0)),""))</f>
        <v>68.5</v>
      </c>
      <c r="BH76" s="90" t="str">
        <f aca="false">IF(N(BN76)&gt;0,ROUND(SUMIF(ЗАКАЗЫ!$F$3:$F$500,$A76,ЗАКАЗЫ!$Y$3:$Y$500)/BN76,0),IF(OR(BE76="",BG76=""),"",ROUND(BE76*BG76*(1+Справочники!$B$10),0)))</f>
        <v/>
      </c>
      <c r="BI76" s="92" t="str">
        <f aca="false">IF(OR(AU76="",BH76="",AU76=0),"",(AU76-BH76)/AU76)</f>
        <v/>
      </c>
      <c r="BJ76" s="81"/>
      <c r="BK76" s="83"/>
      <c r="BL76" s="43" t="str">
        <f aca="false">IFERROR(INDEX(ЗАКАЗЫ!$N$3:$N$500,MATCH($A76,ЗАКАЗЫ!$F$3:$F$500,0)),"")</f>
        <v/>
      </c>
      <c r="BM76" s="8" t="str">
        <f aca="false">IF(BL76="","",IFERROR(VLOOKUP(BL76,'ТН ВЭД'!$A$4:$C$40,3,0),""))</f>
        <v/>
      </c>
      <c r="BN76" s="7" t="str">
        <f aca="false">IF(COUNTIF(ЗАКАЗЫ!$F$3:$F$500,$A76)=0,"",SUMIF(ЗАКАЗЫ!$F$3:$F$500,$A76,ЗАКАЗЫ!$J$3:$J$500))</f>
        <v/>
      </c>
      <c r="BO76" s="7" t="str">
        <f aca="false">IF(BN76="","",SUMIF(ЗАКАЗЫ!$F$3:$F$500,$A76,ЗАКАЗЫ!$AL$3:$AL$500))</f>
        <v/>
      </c>
      <c r="BP76" s="7" t="str">
        <f aca="false">IF(BN76="","",BN76-BO76)</f>
        <v/>
      </c>
      <c r="BQ76" s="55" t="str">
        <f aca="false">IF(BN76="","",IF(BO76&gt;=BN76,"На складе",IF(BO76&gt;0,"Частично","Ждём")))</f>
        <v/>
      </c>
      <c r="BR76" s="43"/>
      <c r="BS76" s="47" t="str">
        <f aca="false">IF(BN76="","",IF(_xlfn.MAXIFS(ЗАКАЗЫ!$AK$3:$AK$500,ЗАКАЗЫ!$F$3:$F$500,$A76)=0,"",_xlfn.MAXIFS(ЗАКАЗЫ!$AK$3:$AK$500,ЗАКАЗЫ!$F$3:$F$500,$A76)))</f>
        <v/>
      </c>
    </row>
    <row r="77" customFormat="false" ht="15.75" hidden="false" customHeight="true" outlineLevel="0" collapsed="false">
      <c r="A77" s="80" t="s">
        <v>1944</v>
      </c>
      <c r="B77" s="81"/>
      <c r="C77" s="81"/>
      <c r="D77" s="81"/>
      <c r="E77" s="83"/>
      <c r="F77" s="81"/>
      <c r="G77" s="83"/>
      <c r="H77" s="83"/>
      <c r="I77" s="84" t="str">
        <f aca="false">IF(E77="","",A77&amp;"_1.jpg")</f>
        <v/>
      </c>
      <c r="J77" s="84" t="str">
        <f aca="false">IF(E77="","",A77&amp;"_2.jpg; "&amp;A77&amp;"_3.jpg")</f>
        <v/>
      </c>
      <c r="K77" s="84" t="str">
        <f aca="false">IF(E77="","",A77&amp;"_schema.jpg")</f>
        <v/>
      </c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 t="s">
        <v>96</v>
      </c>
      <c r="W77" s="81"/>
      <c r="X77" s="81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6" t="str">
        <f aca="false">IF(SUM(Y77:AJ77)=0,"",SUM(Y77:AJ77))</f>
        <v/>
      </c>
      <c r="AL77" s="84" t="str">
        <f aca="false">MID(IF(N(Y77)&gt;0,", "&amp;Y$2,"")&amp;IF(N(Z77)&gt;0,", "&amp;Z$2,"")&amp;IF(N(AA77)&gt;0,", "&amp;AA$2,"")&amp;IF(N(AB77)&gt;0,", "&amp;AB$2,"")&amp;IF(N(AC77)&gt;0,", "&amp;AC$2,"")&amp;IF(N(AD77)&gt;0,", "&amp;AD$2,"")&amp;IF(N(AE77)&gt;0,", "&amp;AE$2,"")&amp;IF(N(AF77)&gt;0,", "&amp;AF$2,"")&amp;IF(N(AG77)&gt;0,", "&amp;AG$2,"")&amp;IF(N(AH77)&gt;0,", "&amp;AH$2,"")&amp;IF(N(AI77)&gt;0,", "&amp;AI$2,"")&amp;IF(N(AJ77)&gt;0,", "&amp;AJ$2,""),3,999)</f>
        <v/>
      </c>
      <c r="AM77" s="87" t="str">
        <f aca="false">IF(E77="","",MID(IF(N(Y77)&gt;0,", "&amp;A77&amp;"-"&amp;Y$2,"")&amp;IF(N(Z77)&gt;0,", "&amp;A77&amp;"-"&amp;Z$2,"")&amp;IF(N(AA77)&gt;0,", "&amp;A77&amp;"-"&amp;AA$2,"")&amp;IF(N(AB77)&gt;0,", "&amp;A77&amp;"-"&amp;AB$2,"")&amp;IF(N(AC77)&gt;0,", "&amp;A77&amp;"-"&amp;AC$2,"")&amp;IF(N(AD77)&gt;0,", "&amp;A77&amp;"-"&amp;AD$2,"")&amp;IF(N(AE77)&gt;0,", "&amp;A77&amp;"-"&amp;AE$2,"")&amp;IF(N(AF77)&gt;0,", "&amp;A77&amp;"-"&amp;AF$2,"")&amp;IF(N(AG77)&gt;0,", "&amp;A77&amp;"-"&amp;AG$2,"")&amp;IF(N(AH77)&gt;0,", "&amp;A77&amp;"-"&amp;AH$2,"")&amp;IF(N(AI77)&gt;0,", "&amp;A77&amp;"-"&amp;AI$2,"")&amp;IF(N(AJ77)&gt;0,", "&amp;A77&amp;"-"&amp;AJ$2,""),3,999))</f>
        <v/>
      </c>
      <c r="AN77" s="81"/>
      <c r="AO77" s="88"/>
      <c r="AP77" s="89" t="str">
        <f aca="false">IF(AO77="","",ROUND(AO77/(1+Справочники!$B$13),2))</f>
        <v/>
      </c>
      <c r="AQ77" s="90" t="str">
        <f aca="false" t="array" ref="AQ77:AQ77">IF(AP77="","",AP77*INDEX(Справочники!$B$4:$B$7,MATCH("RUB",Справочники!$A$4:$A$7,0)))</f>
        <v/>
      </c>
      <c r="AR77" s="90" t="str">
        <f aca="false">IF(AQ77="","",ROUND(AQ77*(1+Справочники!$B$12),0))</f>
        <v/>
      </c>
      <c r="AS77" s="90" t="str">
        <f aca="false">IF(AR77="","",ROUND(AR77*(1-Справочники!$B$11),0))</f>
        <v/>
      </c>
      <c r="AT77" s="88"/>
      <c r="AU77" s="90" t="str">
        <f aca="false">IF(AT77="","",ROUND(AT77/(1+Справочники!$B$12),0))</f>
        <v/>
      </c>
      <c r="AV77" s="90" t="str">
        <f aca="false">IF(AT77="","",ROUND(AT77*(1-Справочники!$B$15),0))</f>
        <v/>
      </c>
      <c r="AW77" s="90" t="str">
        <f aca="false">IF(AT77="","",ROUND(AT77*(1-Справочники!$B$16),0))</f>
        <v/>
      </c>
      <c r="AX77" s="90" t="str">
        <f aca="false">IF(AT77="","",ROUND(AT77*(1-Справочники!$B$17),0))</f>
        <v/>
      </c>
      <c r="AY77" s="90" t="str">
        <f aca="false">IF(AT77="","",ROUND(AT77*(1-Справочники!$B$18),0))</f>
        <v/>
      </c>
      <c r="AZ77" s="90" t="str">
        <f aca="false">IF(AT77="","",ROUND(AT77*(1-Справочники!$B$19),0))</f>
        <v/>
      </c>
      <c r="BA77" s="81"/>
      <c r="BB77" s="81"/>
      <c r="BC77" s="81"/>
      <c r="BD77" s="81"/>
      <c r="BE77" s="91"/>
      <c r="BF77" s="81" t="s">
        <v>103</v>
      </c>
      <c r="BG77" s="89" t="n">
        <f aca="false" t="array" ref="BG77:BG77">IF(BF77="","",IFERROR(INDEX(Справочники!$B$4:$B$7,MATCH(BF77,Справочники!$A$4:$A$7,0)),""))</f>
        <v>68.5</v>
      </c>
      <c r="BH77" s="90" t="str">
        <f aca="false">IF(N(BN77)&gt;0,ROUND(SUMIF(ЗАКАЗЫ!$F$3:$F$500,$A77,ЗАКАЗЫ!$Y$3:$Y$500)/BN77,0),IF(OR(BE77="",BG77=""),"",ROUND(BE77*BG77*(1+Справочники!$B$10),0)))</f>
        <v/>
      </c>
      <c r="BI77" s="92" t="str">
        <f aca="false">IF(OR(AU77="",BH77="",AU77=0),"",(AU77-BH77)/AU77)</f>
        <v/>
      </c>
      <c r="BJ77" s="81"/>
      <c r="BK77" s="83"/>
      <c r="BL77" s="43" t="str">
        <f aca="false">IFERROR(INDEX(ЗАКАЗЫ!$N$3:$N$500,MATCH($A77,ЗАКАЗЫ!$F$3:$F$500,0)),"")</f>
        <v/>
      </c>
      <c r="BM77" s="8" t="str">
        <f aca="false">IF(BL77="","",IFERROR(VLOOKUP(BL77,'ТН ВЭД'!$A$4:$C$40,3,0),""))</f>
        <v/>
      </c>
      <c r="BN77" s="7" t="str">
        <f aca="false">IF(COUNTIF(ЗАКАЗЫ!$F$3:$F$500,$A77)=0,"",SUMIF(ЗАКАЗЫ!$F$3:$F$500,$A77,ЗАКАЗЫ!$J$3:$J$500))</f>
        <v/>
      </c>
      <c r="BO77" s="7" t="str">
        <f aca="false">IF(BN77="","",SUMIF(ЗАКАЗЫ!$F$3:$F$500,$A77,ЗАКАЗЫ!$AL$3:$AL$500))</f>
        <v/>
      </c>
      <c r="BP77" s="7" t="str">
        <f aca="false">IF(BN77="","",BN77-BO77)</f>
        <v/>
      </c>
      <c r="BQ77" s="55" t="str">
        <f aca="false">IF(BN77="","",IF(BO77&gt;=BN77,"На складе",IF(BO77&gt;0,"Частично","Ждём")))</f>
        <v/>
      </c>
      <c r="BR77" s="43"/>
      <c r="BS77" s="47" t="str">
        <f aca="false">IF(BN77="","",IF(_xlfn.MAXIFS(ЗАКАЗЫ!$AK$3:$AK$500,ЗАКАЗЫ!$F$3:$F$500,$A77)=0,"",_xlfn.MAXIFS(ЗАКАЗЫ!$AK$3:$AK$500,ЗАКАЗЫ!$F$3:$F$500,$A77)))</f>
        <v/>
      </c>
    </row>
    <row r="78" customFormat="false" ht="15.75" hidden="false" customHeight="true" outlineLevel="0" collapsed="false">
      <c r="A78" s="80" t="s">
        <v>1945</v>
      </c>
      <c r="B78" s="81"/>
      <c r="C78" s="81"/>
      <c r="D78" s="81"/>
      <c r="E78" s="83"/>
      <c r="F78" s="81"/>
      <c r="G78" s="83"/>
      <c r="H78" s="83"/>
      <c r="I78" s="84" t="str">
        <f aca="false">IF(E78="","",A78&amp;"_1.jpg")</f>
        <v/>
      </c>
      <c r="J78" s="84" t="str">
        <f aca="false">IF(E78="","",A78&amp;"_2.jpg; "&amp;A78&amp;"_3.jpg")</f>
        <v/>
      </c>
      <c r="K78" s="84" t="str">
        <f aca="false">IF(E78="","",A78&amp;"_schema.jpg")</f>
        <v/>
      </c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 t="s">
        <v>96</v>
      </c>
      <c r="W78" s="81"/>
      <c r="X78" s="81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6" t="str">
        <f aca="false">IF(SUM(Y78:AJ78)=0,"",SUM(Y78:AJ78))</f>
        <v/>
      </c>
      <c r="AL78" s="84" t="str">
        <f aca="false">MID(IF(N(Y78)&gt;0,", "&amp;Y$2,"")&amp;IF(N(Z78)&gt;0,", "&amp;Z$2,"")&amp;IF(N(AA78)&gt;0,", "&amp;AA$2,"")&amp;IF(N(AB78)&gt;0,", "&amp;AB$2,"")&amp;IF(N(AC78)&gt;0,", "&amp;AC$2,"")&amp;IF(N(AD78)&gt;0,", "&amp;AD$2,"")&amp;IF(N(AE78)&gt;0,", "&amp;AE$2,"")&amp;IF(N(AF78)&gt;0,", "&amp;AF$2,"")&amp;IF(N(AG78)&gt;0,", "&amp;AG$2,"")&amp;IF(N(AH78)&gt;0,", "&amp;AH$2,"")&amp;IF(N(AI78)&gt;0,", "&amp;AI$2,"")&amp;IF(N(AJ78)&gt;0,", "&amp;AJ$2,""),3,999)</f>
        <v/>
      </c>
      <c r="AM78" s="87" t="str">
        <f aca="false">IF(E78="","",MID(IF(N(Y78)&gt;0,", "&amp;A78&amp;"-"&amp;Y$2,"")&amp;IF(N(Z78)&gt;0,", "&amp;A78&amp;"-"&amp;Z$2,"")&amp;IF(N(AA78)&gt;0,", "&amp;A78&amp;"-"&amp;AA$2,"")&amp;IF(N(AB78)&gt;0,", "&amp;A78&amp;"-"&amp;AB$2,"")&amp;IF(N(AC78)&gt;0,", "&amp;A78&amp;"-"&amp;AC$2,"")&amp;IF(N(AD78)&gt;0,", "&amp;A78&amp;"-"&amp;AD$2,"")&amp;IF(N(AE78)&gt;0,", "&amp;A78&amp;"-"&amp;AE$2,"")&amp;IF(N(AF78)&gt;0,", "&amp;A78&amp;"-"&amp;AF$2,"")&amp;IF(N(AG78)&gt;0,", "&amp;A78&amp;"-"&amp;AG$2,"")&amp;IF(N(AH78)&gt;0,", "&amp;A78&amp;"-"&amp;AH$2,"")&amp;IF(N(AI78)&gt;0,", "&amp;A78&amp;"-"&amp;AI$2,"")&amp;IF(N(AJ78)&gt;0,", "&amp;A78&amp;"-"&amp;AJ$2,""),3,999))</f>
        <v/>
      </c>
      <c r="AN78" s="81"/>
      <c r="AO78" s="88"/>
      <c r="AP78" s="89" t="str">
        <f aca="false">IF(AO78="","",ROUND(AO78/(1+Справочники!$B$13),2))</f>
        <v/>
      </c>
      <c r="AQ78" s="90" t="str">
        <f aca="false" t="array" ref="AQ78:AQ78">IF(AP78="","",AP78*INDEX(Справочники!$B$4:$B$7,MATCH("RUB",Справочники!$A$4:$A$7,0)))</f>
        <v/>
      </c>
      <c r="AR78" s="90" t="str">
        <f aca="false">IF(AQ78="","",ROUND(AQ78*(1+Справочники!$B$12),0))</f>
        <v/>
      </c>
      <c r="AS78" s="90" t="str">
        <f aca="false">IF(AR78="","",ROUND(AR78*(1-Справочники!$B$11),0))</f>
        <v/>
      </c>
      <c r="AT78" s="88"/>
      <c r="AU78" s="90" t="str">
        <f aca="false">IF(AT78="","",ROUND(AT78/(1+Справочники!$B$12),0))</f>
        <v/>
      </c>
      <c r="AV78" s="90" t="str">
        <f aca="false">IF(AT78="","",ROUND(AT78*(1-Справочники!$B$15),0))</f>
        <v/>
      </c>
      <c r="AW78" s="90" t="str">
        <f aca="false">IF(AT78="","",ROUND(AT78*(1-Справочники!$B$16),0))</f>
        <v/>
      </c>
      <c r="AX78" s="90" t="str">
        <f aca="false">IF(AT78="","",ROUND(AT78*(1-Справочники!$B$17),0))</f>
        <v/>
      </c>
      <c r="AY78" s="90" t="str">
        <f aca="false">IF(AT78="","",ROUND(AT78*(1-Справочники!$B$18),0))</f>
        <v/>
      </c>
      <c r="AZ78" s="90" t="str">
        <f aca="false">IF(AT78="","",ROUND(AT78*(1-Справочники!$B$19),0))</f>
        <v/>
      </c>
      <c r="BA78" s="81"/>
      <c r="BB78" s="81"/>
      <c r="BC78" s="81"/>
      <c r="BD78" s="81"/>
      <c r="BE78" s="91"/>
      <c r="BF78" s="81" t="s">
        <v>103</v>
      </c>
      <c r="BG78" s="89" t="n">
        <f aca="false" t="array" ref="BG78:BG78">IF(BF78="","",IFERROR(INDEX(Справочники!$B$4:$B$7,MATCH(BF78,Справочники!$A$4:$A$7,0)),""))</f>
        <v>68.5</v>
      </c>
      <c r="BH78" s="90" t="str">
        <f aca="false">IF(N(BN78)&gt;0,ROUND(SUMIF(ЗАКАЗЫ!$F$3:$F$500,$A78,ЗАКАЗЫ!$Y$3:$Y$500)/BN78,0),IF(OR(BE78="",BG78=""),"",ROUND(BE78*BG78*(1+Справочники!$B$10),0)))</f>
        <v/>
      </c>
      <c r="BI78" s="92" t="str">
        <f aca="false">IF(OR(AU78="",BH78="",AU78=0),"",(AU78-BH78)/AU78)</f>
        <v/>
      </c>
      <c r="BJ78" s="81"/>
      <c r="BK78" s="83"/>
      <c r="BL78" s="43" t="str">
        <f aca="false">IFERROR(INDEX(ЗАКАЗЫ!$N$3:$N$500,MATCH($A78,ЗАКАЗЫ!$F$3:$F$500,0)),"")</f>
        <v/>
      </c>
      <c r="BM78" s="8" t="str">
        <f aca="false">IF(BL78="","",IFERROR(VLOOKUP(BL78,'ТН ВЭД'!$A$4:$C$40,3,0),""))</f>
        <v/>
      </c>
      <c r="BN78" s="7" t="str">
        <f aca="false">IF(COUNTIF(ЗАКАЗЫ!$F$3:$F$500,$A78)=0,"",SUMIF(ЗАКАЗЫ!$F$3:$F$500,$A78,ЗАКАЗЫ!$J$3:$J$500))</f>
        <v/>
      </c>
      <c r="BO78" s="7" t="str">
        <f aca="false">IF(BN78="","",SUMIF(ЗАКАЗЫ!$F$3:$F$500,$A78,ЗАКАЗЫ!$AL$3:$AL$500))</f>
        <v/>
      </c>
      <c r="BP78" s="7" t="str">
        <f aca="false">IF(BN78="","",BN78-BO78)</f>
        <v/>
      </c>
      <c r="BQ78" s="55" t="str">
        <f aca="false">IF(BN78="","",IF(BO78&gt;=BN78,"На складе",IF(BO78&gt;0,"Частично","Ждём")))</f>
        <v/>
      </c>
      <c r="BR78" s="43"/>
      <c r="BS78" s="47" t="str">
        <f aca="false">IF(BN78="","",IF(_xlfn.MAXIFS(ЗАКАЗЫ!$AK$3:$AK$500,ЗАКАЗЫ!$F$3:$F$500,$A78)=0,"",_xlfn.MAXIFS(ЗАКАЗЫ!$AK$3:$AK$500,ЗАКАЗЫ!$F$3:$F$500,$A78)))</f>
        <v/>
      </c>
    </row>
    <row r="79" customFormat="false" ht="15.75" hidden="false" customHeight="true" outlineLevel="0" collapsed="false">
      <c r="A79" s="80" t="s">
        <v>1946</v>
      </c>
      <c r="B79" s="81"/>
      <c r="C79" s="81"/>
      <c r="D79" s="81"/>
      <c r="E79" s="83"/>
      <c r="F79" s="81"/>
      <c r="G79" s="83"/>
      <c r="H79" s="83"/>
      <c r="I79" s="84" t="str">
        <f aca="false">IF(E79="","",A79&amp;"_1.jpg")</f>
        <v/>
      </c>
      <c r="J79" s="84" t="str">
        <f aca="false">IF(E79="","",A79&amp;"_2.jpg; "&amp;A79&amp;"_3.jpg")</f>
        <v/>
      </c>
      <c r="K79" s="84" t="str">
        <f aca="false">IF(E79="","",A79&amp;"_schema.jpg")</f>
        <v/>
      </c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 t="s">
        <v>96</v>
      </c>
      <c r="W79" s="81"/>
      <c r="X79" s="81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6" t="str">
        <f aca="false">IF(SUM(Y79:AJ79)=0,"",SUM(Y79:AJ79))</f>
        <v/>
      </c>
      <c r="AL79" s="84" t="str">
        <f aca="false">MID(IF(N(Y79)&gt;0,", "&amp;Y$2,"")&amp;IF(N(Z79)&gt;0,", "&amp;Z$2,"")&amp;IF(N(AA79)&gt;0,", "&amp;AA$2,"")&amp;IF(N(AB79)&gt;0,", "&amp;AB$2,"")&amp;IF(N(AC79)&gt;0,", "&amp;AC$2,"")&amp;IF(N(AD79)&gt;0,", "&amp;AD$2,"")&amp;IF(N(AE79)&gt;0,", "&amp;AE$2,"")&amp;IF(N(AF79)&gt;0,", "&amp;AF$2,"")&amp;IF(N(AG79)&gt;0,", "&amp;AG$2,"")&amp;IF(N(AH79)&gt;0,", "&amp;AH$2,"")&amp;IF(N(AI79)&gt;0,", "&amp;AI$2,"")&amp;IF(N(AJ79)&gt;0,", "&amp;AJ$2,""),3,999)</f>
        <v/>
      </c>
      <c r="AM79" s="87" t="str">
        <f aca="false">IF(E79="","",MID(IF(N(Y79)&gt;0,", "&amp;A79&amp;"-"&amp;Y$2,"")&amp;IF(N(Z79)&gt;0,", "&amp;A79&amp;"-"&amp;Z$2,"")&amp;IF(N(AA79)&gt;0,", "&amp;A79&amp;"-"&amp;AA$2,"")&amp;IF(N(AB79)&gt;0,", "&amp;A79&amp;"-"&amp;AB$2,"")&amp;IF(N(AC79)&gt;0,", "&amp;A79&amp;"-"&amp;AC$2,"")&amp;IF(N(AD79)&gt;0,", "&amp;A79&amp;"-"&amp;AD$2,"")&amp;IF(N(AE79)&gt;0,", "&amp;A79&amp;"-"&amp;AE$2,"")&amp;IF(N(AF79)&gt;0,", "&amp;A79&amp;"-"&amp;AF$2,"")&amp;IF(N(AG79)&gt;0,", "&amp;A79&amp;"-"&amp;AG$2,"")&amp;IF(N(AH79)&gt;0,", "&amp;A79&amp;"-"&amp;AH$2,"")&amp;IF(N(AI79)&gt;0,", "&amp;A79&amp;"-"&amp;AI$2,"")&amp;IF(N(AJ79)&gt;0,", "&amp;A79&amp;"-"&amp;AJ$2,""),3,999))</f>
        <v/>
      </c>
      <c r="AN79" s="81"/>
      <c r="AO79" s="88"/>
      <c r="AP79" s="89" t="str">
        <f aca="false">IF(AO79="","",ROUND(AO79/(1+Справочники!$B$13),2))</f>
        <v/>
      </c>
      <c r="AQ79" s="90" t="str">
        <f aca="false" t="array" ref="AQ79:AQ79">IF(AP79="","",AP79*INDEX(Справочники!$B$4:$B$7,MATCH("RUB",Справочники!$A$4:$A$7,0)))</f>
        <v/>
      </c>
      <c r="AR79" s="90" t="str">
        <f aca="false">IF(AQ79="","",ROUND(AQ79*(1+Справочники!$B$12),0))</f>
        <v/>
      </c>
      <c r="AS79" s="90" t="str">
        <f aca="false">IF(AR79="","",ROUND(AR79*(1-Справочники!$B$11),0))</f>
        <v/>
      </c>
      <c r="AT79" s="88"/>
      <c r="AU79" s="90" t="str">
        <f aca="false">IF(AT79="","",ROUND(AT79/(1+Справочники!$B$12),0))</f>
        <v/>
      </c>
      <c r="AV79" s="90" t="str">
        <f aca="false">IF(AT79="","",ROUND(AT79*(1-Справочники!$B$15),0))</f>
        <v/>
      </c>
      <c r="AW79" s="90" t="str">
        <f aca="false">IF(AT79="","",ROUND(AT79*(1-Справочники!$B$16),0))</f>
        <v/>
      </c>
      <c r="AX79" s="90" t="str">
        <f aca="false">IF(AT79="","",ROUND(AT79*(1-Справочники!$B$17),0))</f>
        <v/>
      </c>
      <c r="AY79" s="90" t="str">
        <f aca="false">IF(AT79="","",ROUND(AT79*(1-Справочники!$B$18),0))</f>
        <v/>
      </c>
      <c r="AZ79" s="90" t="str">
        <f aca="false">IF(AT79="","",ROUND(AT79*(1-Справочники!$B$19),0))</f>
        <v/>
      </c>
      <c r="BA79" s="81"/>
      <c r="BB79" s="81"/>
      <c r="BC79" s="81"/>
      <c r="BD79" s="81"/>
      <c r="BE79" s="91"/>
      <c r="BF79" s="81" t="s">
        <v>103</v>
      </c>
      <c r="BG79" s="89" t="n">
        <f aca="false" t="array" ref="BG79:BG79">IF(BF79="","",IFERROR(INDEX(Справочники!$B$4:$B$7,MATCH(BF79,Справочники!$A$4:$A$7,0)),""))</f>
        <v>68.5</v>
      </c>
      <c r="BH79" s="90" t="str">
        <f aca="false">IF(N(BN79)&gt;0,ROUND(SUMIF(ЗАКАЗЫ!$F$3:$F$500,$A79,ЗАКАЗЫ!$Y$3:$Y$500)/BN79,0),IF(OR(BE79="",BG79=""),"",ROUND(BE79*BG79*(1+Справочники!$B$10),0)))</f>
        <v/>
      </c>
      <c r="BI79" s="92" t="str">
        <f aca="false">IF(OR(AU79="",BH79="",AU79=0),"",(AU79-BH79)/AU79)</f>
        <v/>
      </c>
      <c r="BJ79" s="81"/>
      <c r="BK79" s="83"/>
      <c r="BL79" s="43" t="str">
        <f aca="false">IFERROR(INDEX(ЗАКАЗЫ!$N$3:$N$500,MATCH($A79,ЗАКАЗЫ!$F$3:$F$500,0)),"")</f>
        <v/>
      </c>
      <c r="BM79" s="8" t="str">
        <f aca="false">IF(BL79="","",IFERROR(VLOOKUP(BL79,'ТН ВЭД'!$A$4:$C$40,3,0),""))</f>
        <v/>
      </c>
      <c r="BN79" s="7" t="str">
        <f aca="false">IF(COUNTIF(ЗАКАЗЫ!$F$3:$F$500,$A79)=0,"",SUMIF(ЗАКАЗЫ!$F$3:$F$500,$A79,ЗАКАЗЫ!$J$3:$J$500))</f>
        <v/>
      </c>
      <c r="BO79" s="7" t="str">
        <f aca="false">IF(BN79="","",SUMIF(ЗАКАЗЫ!$F$3:$F$500,$A79,ЗАКАЗЫ!$AL$3:$AL$500))</f>
        <v/>
      </c>
      <c r="BP79" s="7" t="str">
        <f aca="false">IF(BN79="","",BN79-BO79)</f>
        <v/>
      </c>
      <c r="BQ79" s="55" t="str">
        <f aca="false">IF(BN79="","",IF(BO79&gt;=BN79,"На складе",IF(BO79&gt;0,"Частично","Ждём")))</f>
        <v/>
      </c>
      <c r="BR79" s="43"/>
      <c r="BS79" s="47" t="str">
        <f aca="false">IF(BN79="","",IF(_xlfn.MAXIFS(ЗАКАЗЫ!$AK$3:$AK$500,ЗАКАЗЫ!$F$3:$F$500,$A79)=0,"",_xlfn.MAXIFS(ЗАКАЗЫ!$AK$3:$AK$500,ЗАКАЗЫ!$F$3:$F$500,$A79)))</f>
        <v/>
      </c>
    </row>
    <row r="80" customFormat="false" ht="15.75" hidden="false" customHeight="true" outlineLevel="0" collapsed="false">
      <c r="A80" s="80" t="s">
        <v>1947</v>
      </c>
      <c r="B80" s="81"/>
      <c r="C80" s="81"/>
      <c r="D80" s="81"/>
      <c r="E80" s="83"/>
      <c r="F80" s="81"/>
      <c r="G80" s="83"/>
      <c r="H80" s="83"/>
      <c r="I80" s="84" t="str">
        <f aca="false">IF(E80="","",A80&amp;"_1.jpg")</f>
        <v/>
      </c>
      <c r="J80" s="84" t="str">
        <f aca="false">IF(E80="","",A80&amp;"_2.jpg; "&amp;A80&amp;"_3.jpg")</f>
        <v/>
      </c>
      <c r="K80" s="84" t="str">
        <f aca="false">IF(E80="","",A80&amp;"_schema.jpg")</f>
        <v/>
      </c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 t="s">
        <v>96</v>
      </c>
      <c r="W80" s="81"/>
      <c r="X80" s="81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6" t="str">
        <f aca="false">IF(SUM(Y80:AJ80)=0,"",SUM(Y80:AJ80))</f>
        <v/>
      </c>
      <c r="AL80" s="84" t="str">
        <f aca="false">MID(IF(N(Y80)&gt;0,", "&amp;Y$2,"")&amp;IF(N(Z80)&gt;0,", "&amp;Z$2,"")&amp;IF(N(AA80)&gt;0,", "&amp;AA$2,"")&amp;IF(N(AB80)&gt;0,", "&amp;AB$2,"")&amp;IF(N(AC80)&gt;0,", "&amp;AC$2,"")&amp;IF(N(AD80)&gt;0,", "&amp;AD$2,"")&amp;IF(N(AE80)&gt;0,", "&amp;AE$2,"")&amp;IF(N(AF80)&gt;0,", "&amp;AF$2,"")&amp;IF(N(AG80)&gt;0,", "&amp;AG$2,"")&amp;IF(N(AH80)&gt;0,", "&amp;AH$2,"")&amp;IF(N(AI80)&gt;0,", "&amp;AI$2,"")&amp;IF(N(AJ80)&gt;0,", "&amp;AJ$2,""),3,999)</f>
        <v/>
      </c>
      <c r="AM80" s="87" t="str">
        <f aca="false">IF(E80="","",MID(IF(N(Y80)&gt;0,", "&amp;A80&amp;"-"&amp;Y$2,"")&amp;IF(N(Z80)&gt;0,", "&amp;A80&amp;"-"&amp;Z$2,"")&amp;IF(N(AA80)&gt;0,", "&amp;A80&amp;"-"&amp;AA$2,"")&amp;IF(N(AB80)&gt;0,", "&amp;A80&amp;"-"&amp;AB$2,"")&amp;IF(N(AC80)&gt;0,", "&amp;A80&amp;"-"&amp;AC$2,"")&amp;IF(N(AD80)&gt;0,", "&amp;A80&amp;"-"&amp;AD$2,"")&amp;IF(N(AE80)&gt;0,", "&amp;A80&amp;"-"&amp;AE$2,"")&amp;IF(N(AF80)&gt;0,", "&amp;A80&amp;"-"&amp;AF$2,"")&amp;IF(N(AG80)&gt;0,", "&amp;A80&amp;"-"&amp;AG$2,"")&amp;IF(N(AH80)&gt;0,", "&amp;A80&amp;"-"&amp;AH$2,"")&amp;IF(N(AI80)&gt;0,", "&amp;A80&amp;"-"&amp;AI$2,"")&amp;IF(N(AJ80)&gt;0,", "&amp;A80&amp;"-"&amp;AJ$2,""),3,999))</f>
        <v/>
      </c>
      <c r="AN80" s="81"/>
      <c r="AO80" s="88"/>
      <c r="AP80" s="89" t="str">
        <f aca="false">IF(AO80="","",ROUND(AO80/(1+Справочники!$B$13),2))</f>
        <v/>
      </c>
      <c r="AQ80" s="90" t="str">
        <f aca="false" t="array" ref="AQ80:AQ80">IF(AP80="","",AP80*INDEX(Справочники!$B$4:$B$7,MATCH("RUB",Справочники!$A$4:$A$7,0)))</f>
        <v/>
      </c>
      <c r="AR80" s="90" t="str">
        <f aca="false">IF(AQ80="","",ROUND(AQ80*(1+Справочники!$B$12),0))</f>
        <v/>
      </c>
      <c r="AS80" s="90" t="str">
        <f aca="false">IF(AR80="","",ROUND(AR80*(1-Справочники!$B$11),0))</f>
        <v/>
      </c>
      <c r="AT80" s="88"/>
      <c r="AU80" s="90" t="str">
        <f aca="false">IF(AT80="","",ROUND(AT80/(1+Справочники!$B$12),0))</f>
        <v/>
      </c>
      <c r="AV80" s="90" t="str">
        <f aca="false">IF(AT80="","",ROUND(AT80*(1-Справочники!$B$15),0))</f>
        <v/>
      </c>
      <c r="AW80" s="90" t="str">
        <f aca="false">IF(AT80="","",ROUND(AT80*(1-Справочники!$B$16),0))</f>
        <v/>
      </c>
      <c r="AX80" s="90" t="str">
        <f aca="false">IF(AT80="","",ROUND(AT80*(1-Справочники!$B$17),0))</f>
        <v/>
      </c>
      <c r="AY80" s="90" t="str">
        <f aca="false">IF(AT80="","",ROUND(AT80*(1-Справочники!$B$18),0))</f>
        <v/>
      </c>
      <c r="AZ80" s="90" t="str">
        <f aca="false">IF(AT80="","",ROUND(AT80*(1-Справочники!$B$19),0))</f>
        <v/>
      </c>
      <c r="BA80" s="81"/>
      <c r="BB80" s="81"/>
      <c r="BC80" s="81"/>
      <c r="BD80" s="81"/>
      <c r="BE80" s="91"/>
      <c r="BF80" s="81" t="s">
        <v>103</v>
      </c>
      <c r="BG80" s="89" t="n">
        <f aca="false" t="array" ref="BG80:BG80">IF(BF80="","",IFERROR(INDEX(Справочники!$B$4:$B$7,MATCH(BF80,Справочники!$A$4:$A$7,0)),""))</f>
        <v>68.5</v>
      </c>
      <c r="BH80" s="90" t="str">
        <f aca="false">IF(N(BN80)&gt;0,ROUND(SUMIF(ЗАКАЗЫ!$F$3:$F$500,$A80,ЗАКАЗЫ!$Y$3:$Y$500)/BN80,0),IF(OR(BE80="",BG80=""),"",ROUND(BE80*BG80*(1+Справочники!$B$10),0)))</f>
        <v/>
      </c>
      <c r="BI80" s="92" t="str">
        <f aca="false">IF(OR(AU80="",BH80="",AU80=0),"",(AU80-BH80)/AU80)</f>
        <v/>
      </c>
      <c r="BJ80" s="81"/>
      <c r="BK80" s="83"/>
      <c r="BL80" s="43" t="str">
        <f aca="false">IFERROR(INDEX(ЗАКАЗЫ!$N$3:$N$500,MATCH($A80,ЗАКАЗЫ!$F$3:$F$500,0)),"")</f>
        <v/>
      </c>
      <c r="BM80" s="8" t="str">
        <f aca="false">IF(BL80="","",IFERROR(VLOOKUP(BL80,'ТН ВЭД'!$A$4:$C$40,3,0),""))</f>
        <v/>
      </c>
      <c r="BN80" s="7" t="str">
        <f aca="false">IF(COUNTIF(ЗАКАЗЫ!$F$3:$F$500,$A80)=0,"",SUMIF(ЗАКАЗЫ!$F$3:$F$500,$A80,ЗАКАЗЫ!$J$3:$J$500))</f>
        <v/>
      </c>
      <c r="BO80" s="7" t="str">
        <f aca="false">IF(BN80="","",SUMIF(ЗАКАЗЫ!$F$3:$F$500,$A80,ЗАКАЗЫ!$AL$3:$AL$500))</f>
        <v/>
      </c>
      <c r="BP80" s="7" t="str">
        <f aca="false">IF(BN80="","",BN80-BO80)</f>
        <v/>
      </c>
      <c r="BQ80" s="55" t="str">
        <f aca="false">IF(BN80="","",IF(BO80&gt;=BN80,"На складе",IF(BO80&gt;0,"Частично","Ждём")))</f>
        <v/>
      </c>
      <c r="BR80" s="43"/>
      <c r="BS80" s="47" t="str">
        <f aca="false">IF(BN80="","",IF(_xlfn.MAXIFS(ЗАКАЗЫ!$AK$3:$AK$500,ЗАКАЗЫ!$F$3:$F$500,$A80)=0,"",_xlfn.MAXIFS(ЗАКАЗЫ!$AK$3:$AK$500,ЗАКАЗЫ!$F$3:$F$500,$A80)))</f>
        <v/>
      </c>
    </row>
    <row r="81" customFormat="false" ht="15.75" hidden="false" customHeight="true" outlineLevel="0" collapsed="false">
      <c r="A81" s="80" t="s">
        <v>1948</v>
      </c>
      <c r="B81" s="81"/>
      <c r="C81" s="81"/>
      <c r="D81" s="81"/>
      <c r="E81" s="83"/>
      <c r="F81" s="81"/>
      <c r="G81" s="83"/>
      <c r="H81" s="83"/>
      <c r="I81" s="84" t="str">
        <f aca="false">IF(E81="","",A81&amp;"_1.jpg")</f>
        <v/>
      </c>
      <c r="J81" s="84" t="str">
        <f aca="false">IF(E81="","",A81&amp;"_2.jpg; "&amp;A81&amp;"_3.jpg")</f>
        <v/>
      </c>
      <c r="K81" s="84" t="str">
        <f aca="false">IF(E81="","",A81&amp;"_schema.jpg")</f>
        <v/>
      </c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 t="s">
        <v>96</v>
      </c>
      <c r="W81" s="81"/>
      <c r="X81" s="81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6" t="str">
        <f aca="false">IF(SUM(Y81:AJ81)=0,"",SUM(Y81:AJ81))</f>
        <v/>
      </c>
      <c r="AL81" s="84" t="str">
        <f aca="false">MID(IF(N(Y81)&gt;0,", "&amp;Y$2,"")&amp;IF(N(Z81)&gt;0,", "&amp;Z$2,"")&amp;IF(N(AA81)&gt;0,", "&amp;AA$2,"")&amp;IF(N(AB81)&gt;0,", "&amp;AB$2,"")&amp;IF(N(AC81)&gt;0,", "&amp;AC$2,"")&amp;IF(N(AD81)&gt;0,", "&amp;AD$2,"")&amp;IF(N(AE81)&gt;0,", "&amp;AE$2,"")&amp;IF(N(AF81)&gt;0,", "&amp;AF$2,"")&amp;IF(N(AG81)&gt;0,", "&amp;AG$2,"")&amp;IF(N(AH81)&gt;0,", "&amp;AH$2,"")&amp;IF(N(AI81)&gt;0,", "&amp;AI$2,"")&amp;IF(N(AJ81)&gt;0,", "&amp;AJ$2,""),3,999)</f>
        <v/>
      </c>
      <c r="AM81" s="87" t="str">
        <f aca="false">IF(E81="","",MID(IF(N(Y81)&gt;0,", "&amp;A81&amp;"-"&amp;Y$2,"")&amp;IF(N(Z81)&gt;0,", "&amp;A81&amp;"-"&amp;Z$2,"")&amp;IF(N(AA81)&gt;0,", "&amp;A81&amp;"-"&amp;AA$2,"")&amp;IF(N(AB81)&gt;0,", "&amp;A81&amp;"-"&amp;AB$2,"")&amp;IF(N(AC81)&gt;0,", "&amp;A81&amp;"-"&amp;AC$2,"")&amp;IF(N(AD81)&gt;0,", "&amp;A81&amp;"-"&amp;AD$2,"")&amp;IF(N(AE81)&gt;0,", "&amp;A81&amp;"-"&amp;AE$2,"")&amp;IF(N(AF81)&gt;0,", "&amp;A81&amp;"-"&amp;AF$2,"")&amp;IF(N(AG81)&gt;0,", "&amp;A81&amp;"-"&amp;AG$2,"")&amp;IF(N(AH81)&gt;0,", "&amp;A81&amp;"-"&amp;AH$2,"")&amp;IF(N(AI81)&gt;0,", "&amp;A81&amp;"-"&amp;AI$2,"")&amp;IF(N(AJ81)&gt;0,", "&amp;A81&amp;"-"&amp;AJ$2,""),3,999))</f>
        <v/>
      </c>
      <c r="AN81" s="81"/>
      <c r="AO81" s="88"/>
      <c r="AP81" s="89" t="str">
        <f aca="false">IF(AO81="","",ROUND(AO81/(1+Справочники!$B$13),2))</f>
        <v/>
      </c>
      <c r="AQ81" s="90" t="str">
        <f aca="false" t="array" ref="AQ81:AQ81">IF(AP81="","",AP81*INDEX(Справочники!$B$4:$B$7,MATCH("RUB",Справочники!$A$4:$A$7,0)))</f>
        <v/>
      </c>
      <c r="AR81" s="90" t="str">
        <f aca="false">IF(AQ81="","",ROUND(AQ81*(1+Справочники!$B$12),0))</f>
        <v/>
      </c>
      <c r="AS81" s="90" t="str">
        <f aca="false">IF(AR81="","",ROUND(AR81*(1-Справочники!$B$11),0))</f>
        <v/>
      </c>
      <c r="AT81" s="88"/>
      <c r="AU81" s="90" t="str">
        <f aca="false">IF(AT81="","",ROUND(AT81/(1+Справочники!$B$12),0))</f>
        <v/>
      </c>
      <c r="AV81" s="90" t="str">
        <f aca="false">IF(AT81="","",ROUND(AT81*(1-Справочники!$B$15),0))</f>
        <v/>
      </c>
      <c r="AW81" s="90" t="str">
        <f aca="false">IF(AT81="","",ROUND(AT81*(1-Справочники!$B$16),0))</f>
        <v/>
      </c>
      <c r="AX81" s="90" t="str">
        <f aca="false">IF(AT81="","",ROUND(AT81*(1-Справочники!$B$17),0))</f>
        <v/>
      </c>
      <c r="AY81" s="90" t="str">
        <f aca="false">IF(AT81="","",ROUND(AT81*(1-Справочники!$B$18),0))</f>
        <v/>
      </c>
      <c r="AZ81" s="90" t="str">
        <f aca="false">IF(AT81="","",ROUND(AT81*(1-Справочники!$B$19),0))</f>
        <v/>
      </c>
      <c r="BA81" s="81"/>
      <c r="BB81" s="81"/>
      <c r="BC81" s="81"/>
      <c r="BD81" s="81"/>
      <c r="BE81" s="91"/>
      <c r="BF81" s="81" t="s">
        <v>103</v>
      </c>
      <c r="BG81" s="89" t="n">
        <f aca="false" t="array" ref="BG81:BG81">IF(BF81="","",IFERROR(INDEX(Справочники!$B$4:$B$7,MATCH(BF81,Справочники!$A$4:$A$7,0)),""))</f>
        <v>68.5</v>
      </c>
      <c r="BH81" s="90" t="str">
        <f aca="false">IF(N(BN81)&gt;0,ROUND(SUMIF(ЗАКАЗЫ!$F$3:$F$500,$A81,ЗАКАЗЫ!$Y$3:$Y$500)/BN81,0),IF(OR(BE81="",BG81=""),"",ROUND(BE81*BG81*(1+Справочники!$B$10),0)))</f>
        <v/>
      </c>
      <c r="BI81" s="92" t="str">
        <f aca="false">IF(OR(AU81="",BH81="",AU81=0),"",(AU81-BH81)/AU81)</f>
        <v/>
      </c>
      <c r="BJ81" s="81"/>
      <c r="BK81" s="83"/>
      <c r="BL81" s="43" t="str">
        <f aca="false">IFERROR(INDEX(ЗАКАЗЫ!$N$3:$N$500,MATCH($A81,ЗАКАЗЫ!$F$3:$F$500,0)),"")</f>
        <v/>
      </c>
      <c r="BM81" s="8" t="str">
        <f aca="false">IF(BL81="","",IFERROR(VLOOKUP(BL81,'ТН ВЭД'!$A$4:$C$40,3,0),""))</f>
        <v/>
      </c>
      <c r="BN81" s="7" t="str">
        <f aca="false">IF(COUNTIF(ЗАКАЗЫ!$F$3:$F$500,$A81)=0,"",SUMIF(ЗАКАЗЫ!$F$3:$F$500,$A81,ЗАКАЗЫ!$J$3:$J$500))</f>
        <v/>
      </c>
      <c r="BO81" s="7" t="str">
        <f aca="false">IF(BN81="","",SUMIF(ЗАКАЗЫ!$F$3:$F$500,$A81,ЗАКАЗЫ!$AL$3:$AL$500))</f>
        <v/>
      </c>
      <c r="BP81" s="7" t="str">
        <f aca="false">IF(BN81="","",BN81-BO81)</f>
        <v/>
      </c>
      <c r="BQ81" s="55" t="str">
        <f aca="false">IF(BN81="","",IF(BO81&gt;=BN81,"На складе",IF(BO81&gt;0,"Частично","Ждём")))</f>
        <v/>
      </c>
      <c r="BR81" s="43"/>
      <c r="BS81" s="47" t="str">
        <f aca="false">IF(BN81="","",IF(_xlfn.MAXIFS(ЗАКАЗЫ!$AK$3:$AK$500,ЗАКАЗЫ!$F$3:$F$500,$A81)=0,"",_xlfn.MAXIFS(ЗАКАЗЫ!$AK$3:$AK$500,ЗАКАЗЫ!$F$3:$F$500,$A81)))</f>
        <v/>
      </c>
    </row>
    <row r="82" customFormat="false" ht="15.75" hidden="false" customHeight="true" outlineLevel="0" collapsed="false">
      <c r="A82" s="80" t="s">
        <v>1949</v>
      </c>
      <c r="B82" s="81"/>
      <c r="C82" s="81"/>
      <c r="D82" s="81"/>
      <c r="E82" s="83"/>
      <c r="F82" s="81"/>
      <c r="G82" s="83"/>
      <c r="H82" s="83"/>
      <c r="I82" s="84" t="str">
        <f aca="false">IF(E82="","",A82&amp;"_1.jpg")</f>
        <v/>
      </c>
      <c r="J82" s="84" t="str">
        <f aca="false">IF(E82="","",A82&amp;"_2.jpg; "&amp;A82&amp;"_3.jpg")</f>
        <v/>
      </c>
      <c r="K82" s="84" t="str">
        <f aca="false">IF(E82="","",A82&amp;"_schema.jpg")</f>
        <v/>
      </c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 t="s">
        <v>96</v>
      </c>
      <c r="W82" s="81"/>
      <c r="X82" s="81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6" t="str">
        <f aca="false">IF(SUM(Y82:AJ82)=0,"",SUM(Y82:AJ82))</f>
        <v/>
      </c>
      <c r="AL82" s="84" t="str">
        <f aca="false">MID(IF(N(Y82)&gt;0,", "&amp;Y$2,"")&amp;IF(N(Z82)&gt;0,", "&amp;Z$2,"")&amp;IF(N(AA82)&gt;0,", "&amp;AA$2,"")&amp;IF(N(AB82)&gt;0,", "&amp;AB$2,"")&amp;IF(N(AC82)&gt;0,", "&amp;AC$2,"")&amp;IF(N(AD82)&gt;0,", "&amp;AD$2,"")&amp;IF(N(AE82)&gt;0,", "&amp;AE$2,"")&amp;IF(N(AF82)&gt;0,", "&amp;AF$2,"")&amp;IF(N(AG82)&gt;0,", "&amp;AG$2,"")&amp;IF(N(AH82)&gt;0,", "&amp;AH$2,"")&amp;IF(N(AI82)&gt;0,", "&amp;AI$2,"")&amp;IF(N(AJ82)&gt;0,", "&amp;AJ$2,""),3,999)</f>
        <v/>
      </c>
      <c r="AM82" s="87" t="str">
        <f aca="false">IF(E82="","",MID(IF(N(Y82)&gt;0,", "&amp;A82&amp;"-"&amp;Y$2,"")&amp;IF(N(Z82)&gt;0,", "&amp;A82&amp;"-"&amp;Z$2,"")&amp;IF(N(AA82)&gt;0,", "&amp;A82&amp;"-"&amp;AA$2,"")&amp;IF(N(AB82)&gt;0,", "&amp;A82&amp;"-"&amp;AB$2,"")&amp;IF(N(AC82)&gt;0,", "&amp;A82&amp;"-"&amp;AC$2,"")&amp;IF(N(AD82)&gt;0,", "&amp;A82&amp;"-"&amp;AD$2,"")&amp;IF(N(AE82)&gt;0,", "&amp;A82&amp;"-"&amp;AE$2,"")&amp;IF(N(AF82)&gt;0,", "&amp;A82&amp;"-"&amp;AF$2,"")&amp;IF(N(AG82)&gt;0,", "&amp;A82&amp;"-"&amp;AG$2,"")&amp;IF(N(AH82)&gt;0,", "&amp;A82&amp;"-"&amp;AH$2,"")&amp;IF(N(AI82)&gt;0,", "&amp;A82&amp;"-"&amp;AI$2,"")&amp;IF(N(AJ82)&gt;0,", "&amp;A82&amp;"-"&amp;AJ$2,""),3,999))</f>
        <v/>
      </c>
      <c r="AN82" s="81"/>
      <c r="AO82" s="88"/>
      <c r="AP82" s="89" t="str">
        <f aca="false">IF(AO82="","",ROUND(AO82/(1+Справочники!$B$13),2))</f>
        <v/>
      </c>
      <c r="AQ82" s="90" t="str">
        <f aca="false" t="array" ref="AQ82:AQ82">IF(AP82="","",AP82*INDEX(Справочники!$B$4:$B$7,MATCH("RUB",Справочники!$A$4:$A$7,0)))</f>
        <v/>
      </c>
      <c r="AR82" s="90" t="str">
        <f aca="false">IF(AQ82="","",ROUND(AQ82*(1+Справочники!$B$12),0))</f>
        <v/>
      </c>
      <c r="AS82" s="90" t="str">
        <f aca="false">IF(AR82="","",ROUND(AR82*(1-Справочники!$B$11),0))</f>
        <v/>
      </c>
      <c r="AT82" s="88"/>
      <c r="AU82" s="90" t="str">
        <f aca="false">IF(AT82="","",ROUND(AT82/(1+Справочники!$B$12),0))</f>
        <v/>
      </c>
      <c r="AV82" s="90" t="str">
        <f aca="false">IF(AT82="","",ROUND(AT82*(1-Справочники!$B$15),0))</f>
        <v/>
      </c>
      <c r="AW82" s="90" t="str">
        <f aca="false">IF(AT82="","",ROUND(AT82*(1-Справочники!$B$16),0))</f>
        <v/>
      </c>
      <c r="AX82" s="90" t="str">
        <f aca="false">IF(AT82="","",ROUND(AT82*(1-Справочники!$B$17),0))</f>
        <v/>
      </c>
      <c r="AY82" s="90" t="str">
        <f aca="false">IF(AT82="","",ROUND(AT82*(1-Справочники!$B$18),0))</f>
        <v/>
      </c>
      <c r="AZ82" s="90" t="str">
        <f aca="false">IF(AT82="","",ROUND(AT82*(1-Справочники!$B$19),0))</f>
        <v/>
      </c>
      <c r="BA82" s="81"/>
      <c r="BB82" s="81"/>
      <c r="BC82" s="81"/>
      <c r="BD82" s="81"/>
      <c r="BE82" s="91"/>
      <c r="BF82" s="81" t="s">
        <v>103</v>
      </c>
      <c r="BG82" s="89" t="n">
        <f aca="false" t="array" ref="BG82:BG82">IF(BF82="","",IFERROR(INDEX(Справочники!$B$4:$B$7,MATCH(BF82,Справочники!$A$4:$A$7,0)),""))</f>
        <v>68.5</v>
      </c>
      <c r="BH82" s="90" t="str">
        <f aca="false">IF(N(BN82)&gt;0,ROUND(SUMIF(ЗАКАЗЫ!$F$3:$F$500,$A82,ЗАКАЗЫ!$Y$3:$Y$500)/BN82,0),IF(OR(BE82="",BG82=""),"",ROUND(BE82*BG82*(1+Справочники!$B$10),0)))</f>
        <v/>
      </c>
      <c r="BI82" s="92" t="str">
        <f aca="false">IF(OR(AU82="",BH82="",AU82=0),"",(AU82-BH82)/AU82)</f>
        <v/>
      </c>
      <c r="BJ82" s="81"/>
      <c r="BK82" s="83"/>
      <c r="BL82" s="43" t="str">
        <f aca="false">IFERROR(INDEX(ЗАКАЗЫ!$N$3:$N$500,MATCH($A82,ЗАКАЗЫ!$F$3:$F$500,0)),"")</f>
        <v/>
      </c>
      <c r="BM82" s="8" t="str">
        <f aca="false">IF(BL82="","",IFERROR(VLOOKUP(BL82,'ТН ВЭД'!$A$4:$C$40,3,0),""))</f>
        <v/>
      </c>
      <c r="BN82" s="7" t="str">
        <f aca="false">IF(COUNTIF(ЗАКАЗЫ!$F$3:$F$500,$A82)=0,"",SUMIF(ЗАКАЗЫ!$F$3:$F$500,$A82,ЗАКАЗЫ!$J$3:$J$500))</f>
        <v/>
      </c>
      <c r="BO82" s="7" t="str">
        <f aca="false">IF(BN82="","",SUMIF(ЗАКАЗЫ!$F$3:$F$500,$A82,ЗАКАЗЫ!$AL$3:$AL$500))</f>
        <v/>
      </c>
      <c r="BP82" s="7" t="str">
        <f aca="false">IF(BN82="","",BN82-BO82)</f>
        <v/>
      </c>
      <c r="BQ82" s="55" t="str">
        <f aca="false">IF(BN82="","",IF(BO82&gt;=BN82,"На складе",IF(BO82&gt;0,"Частично","Ждём")))</f>
        <v/>
      </c>
      <c r="BR82" s="43"/>
      <c r="BS82" s="47" t="str">
        <f aca="false">IF(BN82="","",IF(_xlfn.MAXIFS(ЗАКАЗЫ!$AK$3:$AK$500,ЗАКАЗЫ!$F$3:$F$500,$A82)=0,"",_xlfn.MAXIFS(ЗАКАЗЫ!$AK$3:$AK$500,ЗАКАЗЫ!$F$3:$F$500,$A82)))</f>
        <v/>
      </c>
    </row>
    <row r="83" customFormat="false" ht="15.75" hidden="false" customHeight="true" outlineLevel="0" collapsed="false">
      <c r="A83" s="80" t="s">
        <v>1950</v>
      </c>
      <c r="B83" s="81"/>
      <c r="C83" s="81"/>
      <c r="D83" s="81"/>
      <c r="E83" s="83"/>
      <c r="F83" s="81"/>
      <c r="G83" s="83"/>
      <c r="H83" s="83"/>
      <c r="I83" s="84" t="str">
        <f aca="false">IF(E83="","",A83&amp;"_1.jpg")</f>
        <v/>
      </c>
      <c r="J83" s="84" t="str">
        <f aca="false">IF(E83="","",A83&amp;"_2.jpg; "&amp;A83&amp;"_3.jpg")</f>
        <v/>
      </c>
      <c r="K83" s="84" t="str">
        <f aca="false">IF(E83="","",A83&amp;"_schema.jpg")</f>
        <v/>
      </c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 t="s">
        <v>96</v>
      </c>
      <c r="W83" s="81"/>
      <c r="X83" s="81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6" t="str">
        <f aca="false">IF(SUM(Y83:AJ83)=0,"",SUM(Y83:AJ83))</f>
        <v/>
      </c>
      <c r="AL83" s="84" t="str">
        <f aca="false">MID(IF(N(Y83)&gt;0,", "&amp;Y$2,"")&amp;IF(N(Z83)&gt;0,", "&amp;Z$2,"")&amp;IF(N(AA83)&gt;0,", "&amp;AA$2,"")&amp;IF(N(AB83)&gt;0,", "&amp;AB$2,"")&amp;IF(N(AC83)&gt;0,", "&amp;AC$2,"")&amp;IF(N(AD83)&gt;0,", "&amp;AD$2,"")&amp;IF(N(AE83)&gt;0,", "&amp;AE$2,"")&amp;IF(N(AF83)&gt;0,", "&amp;AF$2,"")&amp;IF(N(AG83)&gt;0,", "&amp;AG$2,"")&amp;IF(N(AH83)&gt;0,", "&amp;AH$2,"")&amp;IF(N(AI83)&gt;0,", "&amp;AI$2,"")&amp;IF(N(AJ83)&gt;0,", "&amp;AJ$2,""),3,999)</f>
        <v/>
      </c>
      <c r="AM83" s="87" t="str">
        <f aca="false">IF(E83="","",MID(IF(N(Y83)&gt;0,", "&amp;A83&amp;"-"&amp;Y$2,"")&amp;IF(N(Z83)&gt;0,", "&amp;A83&amp;"-"&amp;Z$2,"")&amp;IF(N(AA83)&gt;0,", "&amp;A83&amp;"-"&amp;AA$2,"")&amp;IF(N(AB83)&gt;0,", "&amp;A83&amp;"-"&amp;AB$2,"")&amp;IF(N(AC83)&gt;0,", "&amp;A83&amp;"-"&amp;AC$2,"")&amp;IF(N(AD83)&gt;0,", "&amp;A83&amp;"-"&amp;AD$2,"")&amp;IF(N(AE83)&gt;0,", "&amp;A83&amp;"-"&amp;AE$2,"")&amp;IF(N(AF83)&gt;0,", "&amp;A83&amp;"-"&amp;AF$2,"")&amp;IF(N(AG83)&gt;0,", "&amp;A83&amp;"-"&amp;AG$2,"")&amp;IF(N(AH83)&gt;0,", "&amp;A83&amp;"-"&amp;AH$2,"")&amp;IF(N(AI83)&gt;0,", "&amp;A83&amp;"-"&amp;AI$2,"")&amp;IF(N(AJ83)&gt;0,", "&amp;A83&amp;"-"&amp;AJ$2,""),3,999))</f>
        <v/>
      </c>
      <c r="AN83" s="81"/>
      <c r="AO83" s="88"/>
      <c r="AP83" s="89" t="str">
        <f aca="false">IF(AO83="","",ROUND(AO83/(1+Справочники!$B$13),2))</f>
        <v/>
      </c>
      <c r="AQ83" s="90" t="str">
        <f aca="false" t="array" ref="AQ83:AQ83">IF(AP83="","",AP83*INDEX(Справочники!$B$4:$B$7,MATCH("RUB",Справочники!$A$4:$A$7,0)))</f>
        <v/>
      </c>
      <c r="AR83" s="90" t="str">
        <f aca="false">IF(AQ83="","",ROUND(AQ83*(1+Справочники!$B$12),0))</f>
        <v/>
      </c>
      <c r="AS83" s="90" t="str">
        <f aca="false">IF(AR83="","",ROUND(AR83*(1-Справочники!$B$11),0))</f>
        <v/>
      </c>
      <c r="AT83" s="88"/>
      <c r="AU83" s="90" t="str">
        <f aca="false">IF(AT83="","",ROUND(AT83/(1+Справочники!$B$12),0))</f>
        <v/>
      </c>
      <c r="AV83" s="90" t="str">
        <f aca="false">IF(AT83="","",ROUND(AT83*(1-Справочники!$B$15),0))</f>
        <v/>
      </c>
      <c r="AW83" s="90" t="str">
        <f aca="false">IF(AT83="","",ROUND(AT83*(1-Справочники!$B$16),0))</f>
        <v/>
      </c>
      <c r="AX83" s="90" t="str">
        <f aca="false">IF(AT83="","",ROUND(AT83*(1-Справочники!$B$17),0))</f>
        <v/>
      </c>
      <c r="AY83" s="90" t="str">
        <f aca="false">IF(AT83="","",ROUND(AT83*(1-Справочники!$B$18),0))</f>
        <v/>
      </c>
      <c r="AZ83" s="90" t="str">
        <f aca="false">IF(AT83="","",ROUND(AT83*(1-Справочники!$B$19),0))</f>
        <v/>
      </c>
      <c r="BA83" s="81"/>
      <c r="BB83" s="81"/>
      <c r="BC83" s="81"/>
      <c r="BD83" s="81"/>
      <c r="BE83" s="91"/>
      <c r="BF83" s="81" t="s">
        <v>103</v>
      </c>
      <c r="BG83" s="89" t="n">
        <f aca="false" t="array" ref="BG83:BG83">IF(BF83="","",IFERROR(INDEX(Справочники!$B$4:$B$7,MATCH(BF83,Справочники!$A$4:$A$7,0)),""))</f>
        <v>68.5</v>
      </c>
      <c r="BH83" s="90" t="str">
        <f aca="false">IF(N(BN83)&gt;0,ROUND(SUMIF(ЗАКАЗЫ!$F$3:$F$500,$A83,ЗАКАЗЫ!$Y$3:$Y$500)/BN83,0),IF(OR(BE83="",BG83=""),"",ROUND(BE83*BG83*(1+Справочники!$B$10),0)))</f>
        <v/>
      </c>
      <c r="BI83" s="92" t="str">
        <f aca="false">IF(OR(AU83="",BH83="",AU83=0),"",(AU83-BH83)/AU83)</f>
        <v/>
      </c>
      <c r="BJ83" s="81"/>
      <c r="BK83" s="83"/>
      <c r="BL83" s="43" t="str">
        <f aca="false">IFERROR(INDEX(ЗАКАЗЫ!$N$3:$N$500,MATCH($A83,ЗАКАЗЫ!$F$3:$F$500,0)),"")</f>
        <v/>
      </c>
      <c r="BM83" s="8" t="str">
        <f aca="false">IF(BL83="","",IFERROR(VLOOKUP(BL83,'ТН ВЭД'!$A$4:$C$40,3,0),""))</f>
        <v/>
      </c>
      <c r="BN83" s="7" t="str">
        <f aca="false">IF(COUNTIF(ЗАКАЗЫ!$F$3:$F$500,$A83)=0,"",SUMIF(ЗАКАЗЫ!$F$3:$F$500,$A83,ЗАКАЗЫ!$J$3:$J$500))</f>
        <v/>
      </c>
      <c r="BO83" s="7" t="str">
        <f aca="false">IF(BN83="","",SUMIF(ЗАКАЗЫ!$F$3:$F$500,$A83,ЗАКАЗЫ!$AL$3:$AL$500))</f>
        <v/>
      </c>
      <c r="BP83" s="7" t="str">
        <f aca="false">IF(BN83="","",BN83-BO83)</f>
        <v/>
      </c>
      <c r="BQ83" s="55" t="str">
        <f aca="false">IF(BN83="","",IF(BO83&gt;=BN83,"На складе",IF(BO83&gt;0,"Частично","Ждём")))</f>
        <v/>
      </c>
      <c r="BR83" s="43"/>
      <c r="BS83" s="47" t="str">
        <f aca="false">IF(BN83="","",IF(_xlfn.MAXIFS(ЗАКАЗЫ!$AK$3:$AK$500,ЗАКАЗЫ!$F$3:$F$500,$A83)=0,"",_xlfn.MAXIFS(ЗАКАЗЫ!$AK$3:$AK$500,ЗАКАЗЫ!$F$3:$F$500,$A83)))</f>
        <v/>
      </c>
    </row>
    <row r="84" customFormat="false" ht="15.75" hidden="false" customHeight="true" outlineLevel="0" collapsed="false">
      <c r="A84" s="80" t="s">
        <v>1951</v>
      </c>
      <c r="B84" s="81"/>
      <c r="C84" s="81"/>
      <c r="D84" s="81"/>
      <c r="E84" s="83"/>
      <c r="F84" s="81"/>
      <c r="G84" s="83"/>
      <c r="H84" s="83"/>
      <c r="I84" s="84" t="str">
        <f aca="false">IF(E84="","",A84&amp;"_1.jpg")</f>
        <v/>
      </c>
      <c r="J84" s="84" t="str">
        <f aca="false">IF(E84="","",A84&amp;"_2.jpg; "&amp;A84&amp;"_3.jpg")</f>
        <v/>
      </c>
      <c r="K84" s="84" t="str">
        <f aca="false">IF(E84="","",A84&amp;"_schema.jpg")</f>
        <v/>
      </c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 t="s">
        <v>96</v>
      </c>
      <c r="W84" s="81"/>
      <c r="X84" s="81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6" t="str">
        <f aca="false">IF(SUM(Y84:AJ84)=0,"",SUM(Y84:AJ84))</f>
        <v/>
      </c>
      <c r="AL84" s="84" t="str">
        <f aca="false">MID(IF(N(Y84)&gt;0,", "&amp;Y$2,"")&amp;IF(N(Z84)&gt;0,", "&amp;Z$2,"")&amp;IF(N(AA84)&gt;0,", "&amp;AA$2,"")&amp;IF(N(AB84)&gt;0,", "&amp;AB$2,"")&amp;IF(N(AC84)&gt;0,", "&amp;AC$2,"")&amp;IF(N(AD84)&gt;0,", "&amp;AD$2,"")&amp;IF(N(AE84)&gt;0,", "&amp;AE$2,"")&amp;IF(N(AF84)&gt;0,", "&amp;AF$2,"")&amp;IF(N(AG84)&gt;0,", "&amp;AG$2,"")&amp;IF(N(AH84)&gt;0,", "&amp;AH$2,"")&amp;IF(N(AI84)&gt;0,", "&amp;AI$2,"")&amp;IF(N(AJ84)&gt;0,", "&amp;AJ$2,""),3,999)</f>
        <v/>
      </c>
      <c r="AM84" s="87" t="str">
        <f aca="false">IF(E84="","",MID(IF(N(Y84)&gt;0,", "&amp;A84&amp;"-"&amp;Y$2,"")&amp;IF(N(Z84)&gt;0,", "&amp;A84&amp;"-"&amp;Z$2,"")&amp;IF(N(AA84)&gt;0,", "&amp;A84&amp;"-"&amp;AA$2,"")&amp;IF(N(AB84)&gt;0,", "&amp;A84&amp;"-"&amp;AB$2,"")&amp;IF(N(AC84)&gt;0,", "&amp;A84&amp;"-"&amp;AC$2,"")&amp;IF(N(AD84)&gt;0,", "&amp;A84&amp;"-"&amp;AD$2,"")&amp;IF(N(AE84)&gt;0,", "&amp;A84&amp;"-"&amp;AE$2,"")&amp;IF(N(AF84)&gt;0,", "&amp;A84&amp;"-"&amp;AF$2,"")&amp;IF(N(AG84)&gt;0,", "&amp;A84&amp;"-"&amp;AG$2,"")&amp;IF(N(AH84)&gt;0,", "&amp;A84&amp;"-"&amp;AH$2,"")&amp;IF(N(AI84)&gt;0,", "&amp;A84&amp;"-"&amp;AI$2,"")&amp;IF(N(AJ84)&gt;0,", "&amp;A84&amp;"-"&amp;AJ$2,""),3,999))</f>
        <v/>
      </c>
      <c r="AN84" s="81"/>
      <c r="AO84" s="88"/>
      <c r="AP84" s="89" t="str">
        <f aca="false">IF(AO84="","",ROUND(AO84/(1+Справочники!$B$13),2))</f>
        <v/>
      </c>
      <c r="AQ84" s="90" t="str">
        <f aca="false" t="array" ref="AQ84:AQ84">IF(AP84="","",AP84*INDEX(Справочники!$B$4:$B$7,MATCH("RUB",Справочники!$A$4:$A$7,0)))</f>
        <v/>
      </c>
      <c r="AR84" s="90" t="str">
        <f aca="false">IF(AQ84="","",ROUND(AQ84*(1+Справочники!$B$12),0))</f>
        <v/>
      </c>
      <c r="AS84" s="90" t="str">
        <f aca="false">IF(AR84="","",ROUND(AR84*(1-Справочники!$B$11),0))</f>
        <v/>
      </c>
      <c r="AT84" s="88"/>
      <c r="AU84" s="90" t="str">
        <f aca="false">IF(AT84="","",ROUND(AT84/(1+Справочники!$B$12),0))</f>
        <v/>
      </c>
      <c r="AV84" s="90" t="str">
        <f aca="false">IF(AT84="","",ROUND(AT84*(1-Справочники!$B$15),0))</f>
        <v/>
      </c>
      <c r="AW84" s="90" t="str">
        <f aca="false">IF(AT84="","",ROUND(AT84*(1-Справочники!$B$16),0))</f>
        <v/>
      </c>
      <c r="AX84" s="90" t="str">
        <f aca="false">IF(AT84="","",ROUND(AT84*(1-Справочники!$B$17),0))</f>
        <v/>
      </c>
      <c r="AY84" s="90" t="str">
        <f aca="false">IF(AT84="","",ROUND(AT84*(1-Справочники!$B$18),0))</f>
        <v/>
      </c>
      <c r="AZ84" s="90" t="str">
        <f aca="false">IF(AT84="","",ROUND(AT84*(1-Справочники!$B$19),0))</f>
        <v/>
      </c>
      <c r="BA84" s="81"/>
      <c r="BB84" s="81"/>
      <c r="BC84" s="81"/>
      <c r="BD84" s="81"/>
      <c r="BE84" s="91"/>
      <c r="BF84" s="81" t="s">
        <v>103</v>
      </c>
      <c r="BG84" s="89" t="n">
        <f aca="false" t="array" ref="BG84:BG84">IF(BF84="","",IFERROR(INDEX(Справочники!$B$4:$B$7,MATCH(BF84,Справочники!$A$4:$A$7,0)),""))</f>
        <v>68.5</v>
      </c>
      <c r="BH84" s="90" t="str">
        <f aca="false">IF(N(BN84)&gt;0,ROUND(SUMIF(ЗАКАЗЫ!$F$3:$F$500,$A84,ЗАКАЗЫ!$Y$3:$Y$500)/BN84,0),IF(OR(BE84="",BG84=""),"",ROUND(BE84*BG84*(1+Справочники!$B$10),0)))</f>
        <v/>
      </c>
      <c r="BI84" s="92" t="str">
        <f aca="false">IF(OR(AU84="",BH84="",AU84=0),"",(AU84-BH84)/AU84)</f>
        <v/>
      </c>
      <c r="BJ84" s="81"/>
      <c r="BK84" s="83"/>
      <c r="BL84" s="43" t="str">
        <f aca="false">IFERROR(INDEX(ЗАКАЗЫ!$N$3:$N$500,MATCH($A84,ЗАКАЗЫ!$F$3:$F$500,0)),"")</f>
        <v/>
      </c>
      <c r="BM84" s="8" t="str">
        <f aca="false">IF(BL84="","",IFERROR(VLOOKUP(BL84,'ТН ВЭД'!$A$4:$C$40,3,0),""))</f>
        <v/>
      </c>
      <c r="BN84" s="7" t="str">
        <f aca="false">IF(COUNTIF(ЗАКАЗЫ!$F$3:$F$500,$A84)=0,"",SUMIF(ЗАКАЗЫ!$F$3:$F$500,$A84,ЗАКАЗЫ!$J$3:$J$500))</f>
        <v/>
      </c>
      <c r="BO84" s="7" t="str">
        <f aca="false">IF(BN84="","",SUMIF(ЗАКАЗЫ!$F$3:$F$500,$A84,ЗАКАЗЫ!$AL$3:$AL$500))</f>
        <v/>
      </c>
      <c r="BP84" s="7" t="str">
        <f aca="false">IF(BN84="","",BN84-BO84)</f>
        <v/>
      </c>
      <c r="BQ84" s="55" t="str">
        <f aca="false">IF(BN84="","",IF(BO84&gt;=BN84,"На складе",IF(BO84&gt;0,"Частично","Ждём")))</f>
        <v/>
      </c>
      <c r="BR84" s="43"/>
      <c r="BS84" s="47" t="str">
        <f aca="false">IF(BN84="","",IF(_xlfn.MAXIFS(ЗАКАЗЫ!$AK$3:$AK$500,ЗАКАЗЫ!$F$3:$F$500,$A84)=0,"",_xlfn.MAXIFS(ЗАКАЗЫ!$AK$3:$AK$500,ЗАКАЗЫ!$F$3:$F$500,$A84)))</f>
        <v/>
      </c>
    </row>
    <row r="85" customFormat="false" ht="15.75" hidden="false" customHeight="true" outlineLevel="0" collapsed="false">
      <c r="A85" s="80" t="s">
        <v>1952</v>
      </c>
      <c r="B85" s="81"/>
      <c r="C85" s="81"/>
      <c r="D85" s="81"/>
      <c r="E85" s="83"/>
      <c r="F85" s="81"/>
      <c r="G85" s="83"/>
      <c r="H85" s="83"/>
      <c r="I85" s="84" t="str">
        <f aca="false">IF(E85="","",A85&amp;"_1.jpg")</f>
        <v/>
      </c>
      <c r="J85" s="84" t="str">
        <f aca="false">IF(E85="","",A85&amp;"_2.jpg; "&amp;A85&amp;"_3.jpg")</f>
        <v/>
      </c>
      <c r="K85" s="84" t="str">
        <f aca="false">IF(E85="","",A85&amp;"_schema.jpg")</f>
        <v/>
      </c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 t="s">
        <v>96</v>
      </c>
      <c r="W85" s="81"/>
      <c r="X85" s="81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6" t="str">
        <f aca="false">IF(SUM(Y85:AJ85)=0,"",SUM(Y85:AJ85))</f>
        <v/>
      </c>
      <c r="AL85" s="84" t="str">
        <f aca="false">MID(IF(N(Y85)&gt;0,", "&amp;Y$2,"")&amp;IF(N(Z85)&gt;0,", "&amp;Z$2,"")&amp;IF(N(AA85)&gt;0,", "&amp;AA$2,"")&amp;IF(N(AB85)&gt;0,", "&amp;AB$2,"")&amp;IF(N(AC85)&gt;0,", "&amp;AC$2,"")&amp;IF(N(AD85)&gt;0,", "&amp;AD$2,"")&amp;IF(N(AE85)&gt;0,", "&amp;AE$2,"")&amp;IF(N(AF85)&gt;0,", "&amp;AF$2,"")&amp;IF(N(AG85)&gt;0,", "&amp;AG$2,"")&amp;IF(N(AH85)&gt;0,", "&amp;AH$2,"")&amp;IF(N(AI85)&gt;0,", "&amp;AI$2,"")&amp;IF(N(AJ85)&gt;0,", "&amp;AJ$2,""),3,999)</f>
        <v/>
      </c>
      <c r="AM85" s="87" t="str">
        <f aca="false">IF(E85="","",MID(IF(N(Y85)&gt;0,", "&amp;A85&amp;"-"&amp;Y$2,"")&amp;IF(N(Z85)&gt;0,", "&amp;A85&amp;"-"&amp;Z$2,"")&amp;IF(N(AA85)&gt;0,", "&amp;A85&amp;"-"&amp;AA$2,"")&amp;IF(N(AB85)&gt;0,", "&amp;A85&amp;"-"&amp;AB$2,"")&amp;IF(N(AC85)&gt;0,", "&amp;A85&amp;"-"&amp;AC$2,"")&amp;IF(N(AD85)&gt;0,", "&amp;A85&amp;"-"&amp;AD$2,"")&amp;IF(N(AE85)&gt;0,", "&amp;A85&amp;"-"&amp;AE$2,"")&amp;IF(N(AF85)&gt;0,", "&amp;A85&amp;"-"&amp;AF$2,"")&amp;IF(N(AG85)&gt;0,", "&amp;A85&amp;"-"&amp;AG$2,"")&amp;IF(N(AH85)&gt;0,", "&amp;A85&amp;"-"&amp;AH$2,"")&amp;IF(N(AI85)&gt;0,", "&amp;A85&amp;"-"&amp;AI$2,"")&amp;IF(N(AJ85)&gt;0,", "&amp;A85&amp;"-"&amp;AJ$2,""),3,999))</f>
        <v/>
      </c>
      <c r="AN85" s="81"/>
      <c r="AO85" s="88"/>
      <c r="AP85" s="89" t="str">
        <f aca="false">IF(AO85="","",ROUND(AO85/(1+Справочники!$B$13),2))</f>
        <v/>
      </c>
      <c r="AQ85" s="90" t="str">
        <f aca="false" t="array" ref="AQ85:AQ85">IF(AP85="","",AP85*INDEX(Справочники!$B$4:$B$7,MATCH("RUB",Справочники!$A$4:$A$7,0)))</f>
        <v/>
      </c>
      <c r="AR85" s="90" t="str">
        <f aca="false">IF(AQ85="","",ROUND(AQ85*(1+Справочники!$B$12),0))</f>
        <v/>
      </c>
      <c r="AS85" s="90" t="str">
        <f aca="false">IF(AR85="","",ROUND(AR85*(1-Справочники!$B$11),0))</f>
        <v/>
      </c>
      <c r="AT85" s="88"/>
      <c r="AU85" s="90" t="str">
        <f aca="false">IF(AT85="","",ROUND(AT85/(1+Справочники!$B$12),0))</f>
        <v/>
      </c>
      <c r="AV85" s="90" t="str">
        <f aca="false">IF(AT85="","",ROUND(AT85*(1-Справочники!$B$15),0))</f>
        <v/>
      </c>
      <c r="AW85" s="90" t="str">
        <f aca="false">IF(AT85="","",ROUND(AT85*(1-Справочники!$B$16),0))</f>
        <v/>
      </c>
      <c r="AX85" s="90" t="str">
        <f aca="false">IF(AT85="","",ROUND(AT85*(1-Справочники!$B$17),0))</f>
        <v/>
      </c>
      <c r="AY85" s="90" t="str">
        <f aca="false">IF(AT85="","",ROUND(AT85*(1-Справочники!$B$18),0))</f>
        <v/>
      </c>
      <c r="AZ85" s="90" t="str">
        <f aca="false">IF(AT85="","",ROUND(AT85*(1-Справочники!$B$19),0))</f>
        <v/>
      </c>
      <c r="BA85" s="81"/>
      <c r="BB85" s="81"/>
      <c r="BC85" s="81"/>
      <c r="BD85" s="81"/>
      <c r="BE85" s="91"/>
      <c r="BF85" s="81" t="s">
        <v>103</v>
      </c>
      <c r="BG85" s="89" t="n">
        <f aca="false" t="array" ref="BG85:BG85">IF(BF85="","",IFERROR(INDEX(Справочники!$B$4:$B$7,MATCH(BF85,Справочники!$A$4:$A$7,0)),""))</f>
        <v>68.5</v>
      </c>
      <c r="BH85" s="90" t="str">
        <f aca="false">IF(N(BN85)&gt;0,ROUND(SUMIF(ЗАКАЗЫ!$F$3:$F$500,$A85,ЗАКАЗЫ!$Y$3:$Y$500)/BN85,0),IF(OR(BE85="",BG85=""),"",ROUND(BE85*BG85*(1+Справочники!$B$10),0)))</f>
        <v/>
      </c>
      <c r="BI85" s="92" t="str">
        <f aca="false">IF(OR(AU85="",BH85="",AU85=0),"",(AU85-BH85)/AU85)</f>
        <v/>
      </c>
      <c r="BJ85" s="81"/>
      <c r="BK85" s="83"/>
      <c r="BL85" s="43" t="str">
        <f aca="false">IFERROR(INDEX(ЗАКАЗЫ!$N$3:$N$500,MATCH($A85,ЗАКАЗЫ!$F$3:$F$500,0)),"")</f>
        <v/>
      </c>
      <c r="BM85" s="8" t="str">
        <f aca="false">IF(BL85="","",IFERROR(VLOOKUP(BL85,'ТН ВЭД'!$A$4:$C$40,3,0),""))</f>
        <v/>
      </c>
      <c r="BN85" s="7" t="str">
        <f aca="false">IF(COUNTIF(ЗАКАЗЫ!$F$3:$F$500,$A85)=0,"",SUMIF(ЗАКАЗЫ!$F$3:$F$500,$A85,ЗАКАЗЫ!$J$3:$J$500))</f>
        <v/>
      </c>
      <c r="BO85" s="7" t="str">
        <f aca="false">IF(BN85="","",SUMIF(ЗАКАЗЫ!$F$3:$F$500,$A85,ЗАКАЗЫ!$AL$3:$AL$500))</f>
        <v/>
      </c>
      <c r="BP85" s="7" t="str">
        <f aca="false">IF(BN85="","",BN85-BO85)</f>
        <v/>
      </c>
      <c r="BQ85" s="55" t="str">
        <f aca="false">IF(BN85="","",IF(BO85&gt;=BN85,"На складе",IF(BO85&gt;0,"Частично","Ждём")))</f>
        <v/>
      </c>
      <c r="BR85" s="43"/>
      <c r="BS85" s="47" t="str">
        <f aca="false">IF(BN85="","",IF(_xlfn.MAXIFS(ЗАКАЗЫ!$AK$3:$AK$500,ЗАКАЗЫ!$F$3:$F$500,$A85)=0,"",_xlfn.MAXIFS(ЗАКАЗЫ!$AK$3:$AK$500,ЗАКАЗЫ!$F$3:$F$500,$A85)))</f>
        <v/>
      </c>
    </row>
    <row r="86" customFormat="false" ht="15.75" hidden="false" customHeight="true" outlineLevel="0" collapsed="false">
      <c r="A86" s="80" t="s">
        <v>1953</v>
      </c>
      <c r="B86" s="81"/>
      <c r="C86" s="81"/>
      <c r="D86" s="81"/>
      <c r="E86" s="83"/>
      <c r="F86" s="81"/>
      <c r="G86" s="83"/>
      <c r="H86" s="83"/>
      <c r="I86" s="84" t="str">
        <f aca="false">IF(E86="","",A86&amp;"_1.jpg")</f>
        <v/>
      </c>
      <c r="J86" s="84" t="str">
        <f aca="false">IF(E86="","",A86&amp;"_2.jpg; "&amp;A86&amp;"_3.jpg")</f>
        <v/>
      </c>
      <c r="K86" s="84" t="str">
        <f aca="false">IF(E86="","",A86&amp;"_schema.jpg")</f>
        <v/>
      </c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 t="s">
        <v>96</v>
      </c>
      <c r="W86" s="81"/>
      <c r="X86" s="81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6" t="str">
        <f aca="false">IF(SUM(Y86:AJ86)=0,"",SUM(Y86:AJ86))</f>
        <v/>
      </c>
      <c r="AL86" s="84" t="str">
        <f aca="false">MID(IF(N(Y86)&gt;0,", "&amp;Y$2,"")&amp;IF(N(Z86)&gt;0,", "&amp;Z$2,"")&amp;IF(N(AA86)&gt;0,", "&amp;AA$2,"")&amp;IF(N(AB86)&gt;0,", "&amp;AB$2,"")&amp;IF(N(AC86)&gt;0,", "&amp;AC$2,"")&amp;IF(N(AD86)&gt;0,", "&amp;AD$2,"")&amp;IF(N(AE86)&gt;0,", "&amp;AE$2,"")&amp;IF(N(AF86)&gt;0,", "&amp;AF$2,"")&amp;IF(N(AG86)&gt;0,", "&amp;AG$2,"")&amp;IF(N(AH86)&gt;0,", "&amp;AH$2,"")&amp;IF(N(AI86)&gt;0,", "&amp;AI$2,"")&amp;IF(N(AJ86)&gt;0,", "&amp;AJ$2,""),3,999)</f>
        <v/>
      </c>
      <c r="AM86" s="87" t="str">
        <f aca="false">IF(E86="","",MID(IF(N(Y86)&gt;0,", "&amp;A86&amp;"-"&amp;Y$2,"")&amp;IF(N(Z86)&gt;0,", "&amp;A86&amp;"-"&amp;Z$2,"")&amp;IF(N(AA86)&gt;0,", "&amp;A86&amp;"-"&amp;AA$2,"")&amp;IF(N(AB86)&gt;0,", "&amp;A86&amp;"-"&amp;AB$2,"")&amp;IF(N(AC86)&gt;0,", "&amp;A86&amp;"-"&amp;AC$2,"")&amp;IF(N(AD86)&gt;0,", "&amp;A86&amp;"-"&amp;AD$2,"")&amp;IF(N(AE86)&gt;0,", "&amp;A86&amp;"-"&amp;AE$2,"")&amp;IF(N(AF86)&gt;0,", "&amp;A86&amp;"-"&amp;AF$2,"")&amp;IF(N(AG86)&gt;0,", "&amp;A86&amp;"-"&amp;AG$2,"")&amp;IF(N(AH86)&gt;0,", "&amp;A86&amp;"-"&amp;AH$2,"")&amp;IF(N(AI86)&gt;0,", "&amp;A86&amp;"-"&amp;AI$2,"")&amp;IF(N(AJ86)&gt;0,", "&amp;A86&amp;"-"&amp;AJ$2,""),3,999))</f>
        <v/>
      </c>
      <c r="AN86" s="81"/>
      <c r="AO86" s="88"/>
      <c r="AP86" s="89" t="str">
        <f aca="false">IF(AO86="","",ROUND(AO86/(1+Справочники!$B$13),2))</f>
        <v/>
      </c>
      <c r="AQ86" s="90" t="str">
        <f aca="false" t="array" ref="AQ86:AQ86">IF(AP86="","",AP86*INDEX(Справочники!$B$4:$B$7,MATCH("RUB",Справочники!$A$4:$A$7,0)))</f>
        <v/>
      </c>
      <c r="AR86" s="90" t="str">
        <f aca="false">IF(AQ86="","",ROUND(AQ86*(1+Справочники!$B$12),0))</f>
        <v/>
      </c>
      <c r="AS86" s="90" t="str">
        <f aca="false">IF(AR86="","",ROUND(AR86*(1-Справочники!$B$11),0))</f>
        <v/>
      </c>
      <c r="AT86" s="88"/>
      <c r="AU86" s="90" t="str">
        <f aca="false">IF(AT86="","",ROUND(AT86/(1+Справочники!$B$12),0))</f>
        <v/>
      </c>
      <c r="AV86" s="90" t="str">
        <f aca="false">IF(AT86="","",ROUND(AT86*(1-Справочники!$B$15),0))</f>
        <v/>
      </c>
      <c r="AW86" s="90" t="str">
        <f aca="false">IF(AT86="","",ROUND(AT86*(1-Справочники!$B$16),0))</f>
        <v/>
      </c>
      <c r="AX86" s="90" t="str">
        <f aca="false">IF(AT86="","",ROUND(AT86*(1-Справочники!$B$17),0))</f>
        <v/>
      </c>
      <c r="AY86" s="90" t="str">
        <f aca="false">IF(AT86="","",ROUND(AT86*(1-Справочники!$B$18),0))</f>
        <v/>
      </c>
      <c r="AZ86" s="90" t="str">
        <f aca="false">IF(AT86="","",ROUND(AT86*(1-Справочники!$B$19),0))</f>
        <v/>
      </c>
      <c r="BA86" s="81"/>
      <c r="BB86" s="81"/>
      <c r="BC86" s="81"/>
      <c r="BD86" s="81"/>
      <c r="BE86" s="91"/>
      <c r="BF86" s="81" t="s">
        <v>103</v>
      </c>
      <c r="BG86" s="89" t="n">
        <f aca="false" t="array" ref="BG86:BG86">IF(BF86="","",IFERROR(INDEX(Справочники!$B$4:$B$7,MATCH(BF86,Справочники!$A$4:$A$7,0)),""))</f>
        <v>68.5</v>
      </c>
      <c r="BH86" s="90" t="str">
        <f aca="false">IF(N(BN86)&gt;0,ROUND(SUMIF(ЗАКАЗЫ!$F$3:$F$500,$A86,ЗАКАЗЫ!$Y$3:$Y$500)/BN86,0),IF(OR(BE86="",BG86=""),"",ROUND(BE86*BG86*(1+Справочники!$B$10),0)))</f>
        <v/>
      </c>
      <c r="BI86" s="92" t="str">
        <f aca="false">IF(OR(AU86="",BH86="",AU86=0),"",(AU86-BH86)/AU86)</f>
        <v/>
      </c>
      <c r="BJ86" s="81"/>
      <c r="BK86" s="83"/>
      <c r="BL86" s="43" t="str">
        <f aca="false">IFERROR(INDEX(ЗАКАЗЫ!$N$3:$N$500,MATCH($A86,ЗАКАЗЫ!$F$3:$F$500,0)),"")</f>
        <v/>
      </c>
      <c r="BM86" s="8" t="str">
        <f aca="false">IF(BL86="","",IFERROR(VLOOKUP(BL86,'ТН ВЭД'!$A$4:$C$40,3,0),""))</f>
        <v/>
      </c>
      <c r="BN86" s="7" t="str">
        <f aca="false">IF(COUNTIF(ЗАКАЗЫ!$F$3:$F$500,$A86)=0,"",SUMIF(ЗАКАЗЫ!$F$3:$F$500,$A86,ЗАКАЗЫ!$J$3:$J$500))</f>
        <v/>
      </c>
      <c r="BO86" s="7" t="str">
        <f aca="false">IF(BN86="","",SUMIF(ЗАКАЗЫ!$F$3:$F$500,$A86,ЗАКАЗЫ!$AL$3:$AL$500))</f>
        <v/>
      </c>
      <c r="BP86" s="7" t="str">
        <f aca="false">IF(BN86="","",BN86-BO86)</f>
        <v/>
      </c>
      <c r="BQ86" s="55" t="str">
        <f aca="false">IF(BN86="","",IF(BO86&gt;=BN86,"На складе",IF(BO86&gt;0,"Частично","Ждём")))</f>
        <v/>
      </c>
      <c r="BR86" s="43"/>
      <c r="BS86" s="47" t="str">
        <f aca="false">IF(BN86="","",IF(_xlfn.MAXIFS(ЗАКАЗЫ!$AK$3:$AK$500,ЗАКАЗЫ!$F$3:$F$500,$A86)=0,"",_xlfn.MAXIFS(ЗАКАЗЫ!$AK$3:$AK$500,ЗАКАЗЫ!$F$3:$F$500,$A86)))</f>
        <v/>
      </c>
    </row>
    <row r="87" customFormat="false" ht="15.75" hidden="false" customHeight="true" outlineLevel="0" collapsed="false">
      <c r="A87" s="80" t="s">
        <v>1954</v>
      </c>
      <c r="B87" s="81"/>
      <c r="C87" s="81"/>
      <c r="D87" s="81"/>
      <c r="E87" s="83"/>
      <c r="F87" s="81"/>
      <c r="G87" s="83"/>
      <c r="H87" s="83"/>
      <c r="I87" s="84" t="str">
        <f aca="false">IF(E87="","",A87&amp;"_1.jpg")</f>
        <v/>
      </c>
      <c r="J87" s="84" t="str">
        <f aca="false">IF(E87="","",A87&amp;"_2.jpg; "&amp;A87&amp;"_3.jpg")</f>
        <v/>
      </c>
      <c r="K87" s="84" t="str">
        <f aca="false">IF(E87="","",A87&amp;"_schema.jpg")</f>
        <v/>
      </c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 t="s">
        <v>96</v>
      </c>
      <c r="W87" s="81"/>
      <c r="X87" s="81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6" t="str">
        <f aca="false">IF(SUM(Y87:AJ87)=0,"",SUM(Y87:AJ87))</f>
        <v/>
      </c>
      <c r="AL87" s="84" t="str">
        <f aca="false">MID(IF(N(Y87)&gt;0,", "&amp;Y$2,"")&amp;IF(N(Z87)&gt;0,", "&amp;Z$2,"")&amp;IF(N(AA87)&gt;0,", "&amp;AA$2,"")&amp;IF(N(AB87)&gt;0,", "&amp;AB$2,"")&amp;IF(N(AC87)&gt;0,", "&amp;AC$2,"")&amp;IF(N(AD87)&gt;0,", "&amp;AD$2,"")&amp;IF(N(AE87)&gt;0,", "&amp;AE$2,"")&amp;IF(N(AF87)&gt;0,", "&amp;AF$2,"")&amp;IF(N(AG87)&gt;0,", "&amp;AG$2,"")&amp;IF(N(AH87)&gt;0,", "&amp;AH$2,"")&amp;IF(N(AI87)&gt;0,", "&amp;AI$2,"")&amp;IF(N(AJ87)&gt;0,", "&amp;AJ$2,""),3,999)</f>
        <v/>
      </c>
      <c r="AM87" s="87" t="str">
        <f aca="false">IF(E87="","",MID(IF(N(Y87)&gt;0,", "&amp;A87&amp;"-"&amp;Y$2,"")&amp;IF(N(Z87)&gt;0,", "&amp;A87&amp;"-"&amp;Z$2,"")&amp;IF(N(AA87)&gt;0,", "&amp;A87&amp;"-"&amp;AA$2,"")&amp;IF(N(AB87)&gt;0,", "&amp;A87&amp;"-"&amp;AB$2,"")&amp;IF(N(AC87)&gt;0,", "&amp;A87&amp;"-"&amp;AC$2,"")&amp;IF(N(AD87)&gt;0,", "&amp;A87&amp;"-"&amp;AD$2,"")&amp;IF(N(AE87)&gt;0,", "&amp;A87&amp;"-"&amp;AE$2,"")&amp;IF(N(AF87)&gt;0,", "&amp;A87&amp;"-"&amp;AF$2,"")&amp;IF(N(AG87)&gt;0,", "&amp;A87&amp;"-"&amp;AG$2,"")&amp;IF(N(AH87)&gt;0,", "&amp;A87&amp;"-"&amp;AH$2,"")&amp;IF(N(AI87)&gt;0,", "&amp;A87&amp;"-"&amp;AI$2,"")&amp;IF(N(AJ87)&gt;0,", "&amp;A87&amp;"-"&amp;AJ$2,""),3,999))</f>
        <v/>
      </c>
      <c r="AN87" s="81"/>
      <c r="AO87" s="88"/>
      <c r="AP87" s="89" t="str">
        <f aca="false">IF(AO87="","",ROUND(AO87/(1+Справочники!$B$13),2))</f>
        <v/>
      </c>
      <c r="AQ87" s="90" t="str">
        <f aca="false" t="array" ref="AQ87:AQ87">IF(AP87="","",AP87*INDEX(Справочники!$B$4:$B$7,MATCH("RUB",Справочники!$A$4:$A$7,0)))</f>
        <v/>
      </c>
      <c r="AR87" s="90" t="str">
        <f aca="false">IF(AQ87="","",ROUND(AQ87*(1+Справочники!$B$12),0))</f>
        <v/>
      </c>
      <c r="AS87" s="90" t="str">
        <f aca="false">IF(AR87="","",ROUND(AR87*(1-Справочники!$B$11),0))</f>
        <v/>
      </c>
      <c r="AT87" s="88"/>
      <c r="AU87" s="90" t="str">
        <f aca="false">IF(AT87="","",ROUND(AT87/(1+Справочники!$B$12),0))</f>
        <v/>
      </c>
      <c r="AV87" s="90" t="str">
        <f aca="false">IF(AT87="","",ROUND(AT87*(1-Справочники!$B$15),0))</f>
        <v/>
      </c>
      <c r="AW87" s="90" t="str">
        <f aca="false">IF(AT87="","",ROUND(AT87*(1-Справочники!$B$16),0))</f>
        <v/>
      </c>
      <c r="AX87" s="90" t="str">
        <f aca="false">IF(AT87="","",ROUND(AT87*(1-Справочники!$B$17),0))</f>
        <v/>
      </c>
      <c r="AY87" s="90" t="str">
        <f aca="false">IF(AT87="","",ROUND(AT87*(1-Справочники!$B$18),0))</f>
        <v/>
      </c>
      <c r="AZ87" s="90" t="str">
        <f aca="false">IF(AT87="","",ROUND(AT87*(1-Справочники!$B$19),0))</f>
        <v/>
      </c>
      <c r="BA87" s="81"/>
      <c r="BB87" s="81"/>
      <c r="BC87" s="81"/>
      <c r="BD87" s="81"/>
      <c r="BE87" s="91"/>
      <c r="BF87" s="81" t="s">
        <v>103</v>
      </c>
      <c r="BG87" s="89" t="n">
        <f aca="false" t="array" ref="BG87:BG87">IF(BF87="","",IFERROR(INDEX(Справочники!$B$4:$B$7,MATCH(BF87,Справочники!$A$4:$A$7,0)),""))</f>
        <v>68.5</v>
      </c>
      <c r="BH87" s="90" t="str">
        <f aca="false">IF(N(BN87)&gt;0,ROUND(SUMIF(ЗАКАЗЫ!$F$3:$F$500,$A87,ЗАКАЗЫ!$Y$3:$Y$500)/BN87,0),IF(OR(BE87="",BG87=""),"",ROUND(BE87*BG87*(1+Справочники!$B$10),0)))</f>
        <v/>
      </c>
      <c r="BI87" s="92" t="str">
        <f aca="false">IF(OR(AU87="",BH87="",AU87=0),"",(AU87-BH87)/AU87)</f>
        <v/>
      </c>
      <c r="BJ87" s="81"/>
      <c r="BK87" s="83"/>
      <c r="BL87" s="43" t="str">
        <f aca="false">IFERROR(INDEX(ЗАКАЗЫ!$N$3:$N$500,MATCH($A87,ЗАКАЗЫ!$F$3:$F$500,0)),"")</f>
        <v/>
      </c>
      <c r="BM87" s="8" t="str">
        <f aca="false">IF(BL87="","",IFERROR(VLOOKUP(BL87,'ТН ВЭД'!$A$4:$C$40,3,0),""))</f>
        <v/>
      </c>
      <c r="BN87" s="7" t="str">
        <f aca="false">IF(COUNTIF(ЗАКАЗЫ!$F$3:$F$500,$A87)=0,"",SUMIF(ЗАКАЗЫ!$F$3:$F$500,$A87,ЗАКАЗЫ!$J$3:$J$500))</f>
        <v/>
      </c>
      <c r="BO87" s="7" t="str">
        <f aca="false">IF(BN87="","",SUMIF(ЗАКАЗЫ!$F$3:$F$500,$A87,ЗАКАЗЫ!$AL$3:$AL$500))</f>
        <v/>
      </c>
      <c r="BP87" s="7" t="str">
        <f aca="false">IF(BN87="","",BN87-BO87)</f>
        <v/>
      </c>
      <c r="BQ87" s="55" t="str">
        <f aca="false">IF(BN87="","",IF(BO87&gt;=BN87,"На складе",IF(BO87&gt;0,"Частично","Ждём")))</f>
        <v/>
      </c>
      <c r="BR87" s="43"/>
      <c r="BS87" s="47" t="str">
        <f aca="false">IF(BN87="","",IF(_xlfn.MAXIFS(ЗАКАЗЫ!$AK$3:$AK$500,ЗАКАЗЫ!$F$3:$F$500,$A87)=0,"",_xlfn.MAXIFS(ЗАКАЗЫ!$AK$3:$AK$500,ЗАКАЗЫ!$F$3:$F$500,$A87)))</f>
        <v/>
      </c>
    </row>
    <row r="88" customFormat="false" ht="15.75" hidden="false" customHeight="true" outlineLevel="0" collapsed="false">
      <c r="A88" s="80" t="s">
        <v>1955</v>
      </c>
      <c r="B88" s="81"/>
      <c r="C88" s="81"/>
      <c r="D88" s="81"/>
      <c r="E88" s="83"/>
      <c r="F88" s="81"/>
      <c r="G88" s="83"/>
      <c r="H88" s="83"/>
      <c r="I88" s="84" t="str">
        <f aca="false">IF(E88="","",A88&amp;"_1.jpg")</f>
        <v/>
      </c>
      <c r="J88" s="84" t="str">
        <f aca="false">IF(E88="","",A88&amp;"_2.jpg; "&amp;A88&amp;"_3.jpg")</f>
        <v/>
      </c>
      <c r="K88" s="84" t="str">
        <f aca="false">IF(E88="","",A88&amp;"_schema.jpg")</f>
        <v/>
      </c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 t="s">
        <v>96</v>
      </c>
      <c r="W88" s="81"/>
      <c r="X88" s="81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6" t="str">
        <f aca="false">IF(SUM(Y88:AJ88)=0,"",SUM(Y88:AJ88))</f>
        <v/>
      </c>
      <c r="AL88" s="84" t="str">
        <f aca="false">MID(IF(N(Y88)&gt;0,", "&amp;Y$2,"")&amp;IF(N(Z88)&gt;0,", "&amp;Z$2,"")&amp;IF(N(AA88)&gt;0,", "&amp;AA$2,"")&amp;IF(N(AB88)&gt;0,", "&amp;AB$2,"")&amp;IF(N(AC88)&gt;0,", "&amp;AC$2,"")&amp;IF(N(AD88)&gt;0,", "&amp;AD$2,"")&amp;IF(N(AE88)&gt;0,", "&amp;AE$2,"")&amp;IF(N(AF88)&gt;0,", "&amp;AF$2,"")&amp;IF(N(AG88)&gt;0,", "&amp;AG$2,"")&amp;IF(N(AH88)&gt;0,", "&amp;AH$2,"")&amp;IF(N(AI88)&gt;0,", "&amp;AI$2,"")&amp;IF(N(AJ88)&gt;0,", "&amp;AJ$2,""),3,999)</f>
        <v/>
      </c>
      <c r="AM88" s="87" t="str">
        <f aca="false">IF(E88="","",MID(IF(N(Y88)&gt;0,", "&amp;A88&amp;"-"&amp;Y$2,"")&amp;IF(N(Z88)&gt;0,", "&amp;A88&amp;"-"&amp;Z$2,"")&amp;IF(N(AA88)&gt;0,", "&amp;A88&amp;"-"&amp;AA$2,"")&amp;IF(N(AB88)&gt;0,", "&amp;A88&amp;"-"&amp;AB$2,"")&amp;IF(N(AC88)&gt;0,", "&amp;A88&amp;"-"&amp;AC$2,"")&amp;IF(N(AD88)&gt;0,", "&amp;A88&amp;"-"&amp;AD$2,"")&amp;IF(N(AE88)&gt;0,", "&amp;A88&amp;"-"&amp;AE$2,"")&amp;IF(N(AF88)&gt;0,", "&amp;A88&amp;"-"&amp;AF$2,"")&amp;IF(N(AG88)&gt;0,", "&amp;A88&amp;"-"&amp;AG$2,"")&amp;IF(N(AH88)&gt;0,", "&amp;A88&amp;"-"&amp;AH$2,"")&amp;IF(N(AI88)&gt;0,", "&amp;A88&amp;"-"&amp;AI$2,"")&amp;IF(N(AJ88)&gt;0,", "&amp;A88&amp;"-"&amp;AJ$2,""),3,999))</f>
        <v/>
      </c>
      <c r="AN88" s="81"/>
      <c r="AO88" s="88"/>
      <c r="AP88" s="89" t="str">
        <f aca="false">IF(AO88="","",ROUND(AO88/(1+Справочники!$B$13),2))</f>
        <v/>
      </c>
      <c r="AQ88" s="90" t="str">
        <f aca="false" t="array" ref="AQ88:AQ88">IF(AP88="","",AP88*INDEX(Справочники!$B$4:$B$7,MATCH("RUB",Справочники!$A$4:$A$7,0)))</f>
        <v/>
      </c>
      <c r="AR88" s="90" t="str">
        <f aca="false">IF(AQ88="","",ROUND(AQ88*(1+Справочники!$B$12),0))</f>
        <v/>
      </c>
      <c r="AS88" s="90" t="str">
        <f aca="false">IF(AR88="","",ROUND(AR88*(1-Справочники!$B$11),0))</f>
        <v/>
      </c>
      <c r="AT88" s="88"/>
      <c r="AU88" s="90" t="str">
        <f aca="false">IF(AT88="","",ROUND(AT88/(1+Справочники!$B$12),0))</f>
        <v/>
      </c>
      <c r="AV88" s="90" t="str">
        <f aca="false">IF(AT88="","",ROUND(AT88*(1-Справочники!$B$15),0))</f>
        <v/>
      </c>
      <c r="AW88" s="90" t="str">
        <f aca="false">IF(AT88="","",ROUND(AT88*(1-Справочники!$B$16),0))</f>
        <v/>
      </c>
      <c r="AX88" s="90" t="str">
        <f aca="false">IF(AT88="","",ROUND(AT88*(1-Справочники!$B$17),0))</f>
        <v/>
      </c>
      <c r="AY88" s="90" t="str">
        <f aca="false">IF(AT88="","",ROUND(AT88*(1-Справочники!$B$18),0))</f>
        <v/>
      </c>
      <c r="AZ88" s="90" t="str">
        <f aca="false">IF(AT88="","",ROUND(AT88*(1-Справочники!$B$19),0))</f>
        <v/>
      </c>
      <c r="BA88" s="81"/>
      <c r="BB88" s="81"/>
      <c r="BC88" s="81"/>
      <c r="BD88" s="81"/>
      <c r="BE88" s="91"/>
      <c r="BF88" s="81" t="s">
        <v>103</v>
      </c>
      <c r="BG88" s="89" t="n">
        <f aca="false" t="array" ref="BG88:BG88">IF(BF88="","",IFERROR(INDEX(Справочники!$B$4:$B$7,MATCH(BF88,Справочники!$A$4:$A$7,0)),""))</f>
        <v>68.5</v>
      </c>
      <c r="BH88" s="90" t="str">
        <f aca="false">IF(N(BN88)&gt;0,ROUND(SUMIF(ЗАКАЗЫ!$F$3:$F$500,$A88,ЗАКАЗЫ!$Y$3:$Y$500)/BN88,0),IF(OR(BE88="",BG88=""),"",ROUND(BE88*BG88*(1+Справочники!$B$10),0)))</f>
        <v/>
      </c>
      <c r="BI88" s="92" t="str">
        <f aca="false">IF(OR(AU88="",BH88="",AU88=0),"",(AU88-BH88)/AU88)</f>
        <v/>
      </c>
      <c r="BJ88" s="81"/>
      <c r="BK88" s="83"/>
      <c r="BL88" s="43" t="str">
        <f aca="false">IFERROR(INDEX(ЗАКАЗЫ!$N$3:$N$500,MATCH($A88,ЗАКАЗЫ!$F$3:$F$500,0)),"")</f>
        <v/>
      </c>
      <c r="BM88" s="8" t="str">
        <f aca="false">IF(BL88="","",IFERROR(VLOOKUP(BL88,'ТН ВЭД'!$A$4:$C$40,3,0),""))</f>
        <v/>
      </c>
      <c r="BN88" s="7" t="str">
        <f aca="false">IF(COUNTIF(ЗАКАЗЫ!$F$3:$F$500,$A88)=0,"",SUMIF(ЗАКАЗЫ!$F$3:$F$500,$A88,ЗАКАЗЫ!$J$3:$J$500))</f>
        <v/>
      </c>
      <c r="BO88" s="7" t="str">
        <f aca="false">IF(BN88="","",SUMIF(ЗАКАЗЫ!$F$3:$F$500,$A88,ЗАКАЗЫ!$AL$3:$AL$500))</f>
        <v/>
      </c>
      <c r="BP88" s="7" t="str">
        <f aca="false">IF(BN88="","",BN88-BO88)</f>
        <v/>
      </c>
      <c r="BQ88" s="55" t="str">
        <f aca="false">IF(BN88="","",IF(BO88&gt;=BN88,"На складе",IF(BO88&gt;0,"Частично","Ждём")))</f>
        <v/>
      </c>
      <c r="BR88" s="43"/>
      <c r="BS88" s="47" t="str">
        <f aca="false">IF(BN88="","",IF(_xlfn.MAXIFS(ЗАКАЗЫ!$AK$3:$AK$500,ЗАКАЗЫ!$F$3:$F$500,$A88)=0,"",_xlfn.MAXIFS(ЗАКАЗЫ!$AK$3:$AK$500,ЗАКАЗЫ!$F$3:$F$500,$A88)))</f>
        <v/>
      </c>
    </row>
    <row r="89" customFormat="false" ht="15.75" hidden="false" customHeight="true" outlineLevel="0" collapsed="false">
      <c r="A89" s="80" t="s">
        <v>1956</v>
      </c>
      <c r="B89" s="81"/>
      <c r="C89" s="81"/>
      <c r="D89" s="81"/>
      <c r="E89" s="83"/>
      <c r="F89" s="81"/>
      <c r="G89" s="83"/>
      <c r="H89" s="83"/>
      <c r="I89" s="84" t="str">
        <f aca="false">IF(E89="","",A89&amp;"_1.jpg")</f>
        <v/>
      </c>
      <c r="J89" s="84" t="str">
        <f aca="false">IF(E89="","",A89&amp;"_2.jpg; "&amp;A89&amp;"_3.jpg")</f>
        <v/>
      </c>
      <c r="K89" s="84" t="str">
        <f aca="false">IF(E89="","",A89&amp;"_schema.jpg")</f>
        <v/>
      </c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 t="s">
        <v>96</v>
      </c>
      <c r="W89" s="81"/>
      <c r="X89" s="81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6" t="str">
        <f aca="false">IF(SUM(Y89:AJ89)=0,"",SUM(Y89:AJ89))</f>
        <v/>
      </c>
      <c r="AL89" s="84" t="str">
        <f aca="false">MID(IF(N(Y89)&gt;0,", "&amp;Y$2,"")&amp;IF(N(Z89)&gt;0,", "&amp;Z$2,"")&amp;IF(N(AA89)&gt;0,", "&amp;AA$2,"")&amp;IF(N(AB89)&gt;0,", "&amp;AB$2,"")&amp;IF(N(AC89)&gt;0,", "&amp;AC$2,"")&amp;IF(N(AD89)&gt;0,", "&amp;AD$2,"")&amp;IF(N(AE89)&gt;0,", "&amp;AE$2,"")&amp;IF(N(AF89)&gt;0,", "&amp;AF$2,"")&amp;IF(N(AG89)&gt;0,", "&amp;AG$2,"")&amp;IF(N(AH89)&gt;0,", "&amp;AH$2,"")&amp;IF(N(AI89)&gt;0,", "&amp;AI$2,"")&amp;IF(N(AJ89)&gt;0,", "&amp;AJ$2,""),3,999)</f>
        <v/>
      </c>
      <c r="AM89" s="87" t="str">
        <f aca="false">IF(E89="","",MID(IF(N(Y89)&gt;0,", "&amp;A89&amp;"-"&amp;Y$2,"")&amp;IF(N(Z89)&gt;0,", "&amp;A89&amp;"-"&amp;Z$2,"")&amp;IF(N(AA89)&gt;0,", "&amp;A89&amp;"-"&amp;AA$2,"")&amp;IF(N(AB89)&gt;0,", "&amp;A89&amp;"-"&amp;AB$2,"")&amp;IF(N(AC89)&gt;0,", "&amp;A89&amp;"-"&amp;AC$2,"")&amp;IF(N(AD89)&gt;0,", "&amp;A89&amp;"-"&amp;AD$2,"")&amp;IF(N(AE89)&gt;0,", "&amp;A89&amp;"-"&amp;AE$2,"")&amp;IF(N(AF89)&gt;0,", "&amp;A89&amp;"-"&amp;AF$2,"")&amp;IF(N(AG89)&gt;0,", "&amp;A89&amp;"-"&amp;AG$2,"")&amp;IF(N(AH89)&gt;0,", "&amp;A89&amp;"-"&amp;AH$2,"")&amp;IF(N(AI89)&gt;0,", "&amp;A89&amp;"-"&amp;AI$2,"")&amp;IF(N(AJ89)&gt;0,", "&amp;A89&amp;"-"&amp;AJ$2,""),3,999))</f>
        <v/>
      </c>
      <c r="AN89" s="81"/>
      <c r="AO89" s="88"/>
      <c r="AP89" s="89" t="str">
        <f aca="false">IF(AO89="","",ROUND(AO89/(1+Справочники!$B$13),2))</f>
        <v/>
      </c>
      <c r="AQ89" s="90" t="str">
        <f aca="false" t="array" ref="AQ89:AQ89">IF(AP89="","",AP89*INDEX(Справочники!$B$4:$B$7,MATCH("RUB",Справочники!$A$4:$A$7,0)))</f>
        <v/>
      </c>
      <c r="AR89" s="90" t="str">
        <f aca="false">IF(AQ89="","",ROUND(AQ89*(1+Справочники!$B$12),0))</f>
        <v/>
      </c>
      <c r="AS89" s="90" t="str">
        <f aca="false">IF(AR89="","",ROUND(AR89*(1-Справочники!$B$11),0))</f>
        <v/>
      </c>
      <c r="AT89" s="88"/>
      <c r="AU89" s="90" t="str">
        <f aca="false">IF(AT89="","",ROUND(AT89/(1+Справочники!$B$12),0))</f>
        <v/>
      </c>
      <c r="AV89" s="90" t="str">
        <f aca="false">IF(AT89="","",ROUND(AT89*(1-Справочники!$B$15),0))</f>
        <v/>
      </c>
      <c r="AW89" s="90" t="str">
        <f aca="false">IF(AT89="","",ROUND(AT89*(1-Справочники!$B$16),0))</f>
        <v/>
      </c>
      <c r="AX89" s="90" t="str">
        <f aca="false">IF(AT89="","",ROUND(AT89*(1-Справочники!$B$17),0))</f>
        <v/>
      </c>
      <c r="AY89" s="90" t="str">
        <f aca="false">IF(AT89="","",ROUND(AT89*(1-Справочники!$B$18),0))</f>
        <v/>
      </c>
      <c r="AZ89" s="90" t="str">
        <f aca="false">IF(AT89="","",ROUND(AT89*(1-Справочники!$B$19),0))</f>
        <v/>
      </c>
      <c r="BA89" s="81"/>
      <c r="BB89" s="81"/>
      <c r="BC89" s="81"/>
      <c r="BD89" s="81"/>
      <c r="BE89" s="91"/>
      <c r="BF89" s="81" t="s">
        <v>103</v>
      </c>
      <c r="BG89" s="89" t="n">
        <f aca="false" t="array" ref="BG89:BG89">IF(BF89="","",IFERROR(INDEX(Справочники!$B$4:$B$7,MATCH(BF89,Справочники!$A$4:$A$7,0)),""))</f>
        <v>68.5</v>
      </c>
      <c r="BH89" s="90" t="str">
        <f aca="false">IF(N(BN89)&gt;0,ROUND(SUMIF(ЗАКАЗЫ!$F$3:$F$500,$A89,ЗАКАЗЫ!$Y$3:$Y$500)/BN89,0),IF(OR(BE89="",BG89=""),"",ROUND(BE89*BG89*(1+Справочники!$B$10),0)))</f>
        <v/>
      </c>
      <c r="BI89" s="92" t="str">
        <f aca="false">IF(OR(AU89="",BH89="",AU89=0),"",(AU89-BH89)/AU89)</f>
        <v/>
      </c>
      <c r="BJ89" s="81"/>
      <c r="BK89" s="83"/>
      <c r="BL89" s="43" t="str">
        <f aca="false">IFERROR(INDEX(ЗАКАЗЫ!$N$3:$N$500,MATCH($A89,ЗАКАЗЫ!$F$3:$F$500,0)),"")</f>
        <v/>
      </c>
      <c r="BM89" s="8" t="str">
        <f aca="false">IF(BL89="","",IFERROR(VLOOKUP(BL89,'ТН ВЭД'!$A$4:$C$40,3,0),""))</f>
        <v/>
      </c>
      <c r="BN89" s="7" t="str">
        <f aca="false">IF(COUNTIF(ЗАКАЗЫ!$F$3:$F$500,$A89)=0,"",SUMIF(ЗАКАЗЫ!$F$3:$F$500,$A89,ЗАКАЗЫ!$J$3:$J$500))</f>
        <v/>
      </c>
      <c r="BO89" s="7" t="str">
        <f aca="false">IF(BN89="","",SUMIF(ЗАКАЗЫ!$F$3:$F$500,$A89,ЗАКАЗЫ!$AL$3:$AL$500))</f>
        <v/>
      </c>
      <c r="BP89" s="7" t="str">
        <f aca="false">IF(BN89="","",BN89-BO89)</f>
        <v/>
      </c>
      <c r="BQ89" s="55" t="str">
        <f aca="false">IF(BN89="","",IF(BO89&gt;=BN89,"На складе",IF(BO89&gt;0,"Частично","Ждём")))</f>
        <v/>
      </c>
      <c r="BR89" s="43"/>
      <c r="BS89" s="47" t="str">
        <f aca="false">IF(BN89="","",IF(_xlfn.MAXIFS(ЗАКАЗЫ!$AK$3:$AK$500,ЗАКАЗЫ!$F$3:$F$500,$A89)=0,"",_xlfn.MAXIFS(ЗАКАЗЫ!$AK$3:$AK$500,ЗАКАЗЫ!$F$3:$F$500,$A89)))</f>
        <v/>
      </c>
    </row>
    <row r="90" customFormat="false" ht="15.75" hidden="false" customHeight="true" outlineLevel="0" collapsed="false">
      <c r="A90" s="80" t="s">
        <v>1957</v>
      </c>
      <c r="B90" s="81"/>
      <c r="C90" s="81"/>
      <c r="D90" s="81"/>
      <c r="E90" s="83"/>
      <c r="F90" s="81"/>
      <c r="G90" s="83"/>
      <c r="H90" s="83"/>
      <c r="I90" s="84" t="str">
        <f aca="false">IF(E90="","",A90&amp;"_1.jpg")</f>
        <v/>
      </c>
      <c r="J90" s="84" t="str">
        <f aca="false">IF(E90="","",A90&amp;"_2.jpg; "&amp;A90&amp;"_3.jpg")</f>
        <v/>
      </c>
      <c r="K90" s="84" t="str">
        <f aca="false">IF(E90="","",A90&amp;"_schema.jpg")</f>
        <v/>
      </c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 t="s">
        <v>96</v>
      </c>
      <c r="W90" s="81"/>
      <c r="X90" s="81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6" t="str">
        <f aca="false">IF(SUM(Y90:AJ90)=0,"",SUM(Y90:AJ90))</f>
        <v/>
      </c>
      <c r="AL90" s="84" t="str">
        <f aca="false">MID(IF(N(Y90)&gt;0,", "&amp;Y$2,"")&amp;IF(N(Z90)&gt;0,", "&amp;Z$2,"")&amp;IF(N(AA90)&gt;0,", "&amp;AA$2,"")&amp;IF(N(AB90)&gt;0,", "&amp;AB$2,"")&amp;IF(N(AC90)&gt;0,", "&amp;AC$2,"")&amp;IF(N(AD90)&gt;0,", "&amp;AD$2,"")&amp;IF(N(AE90)&gt;0,", "&amp;AE$2,"")&amp;IF(N(AF90)&gt;0,", "&amp;AF$2,"")&amp;IF(N(AG90)&gt;0,", "&amp;AG$2,"")&amp;IF(N(AH90)&gt;0,", "&amp;AH$2,"")&amp;IF(N(AI90)&gt;0,", "&amp;AI$2,"")&amp;IF(N(AJ90)&gt;0,", "&amp;AJ$2,""),3,999)</f>
        <v/>
      </c>
      <c r="AM90" s="87" t="str">
        <f aca="false">IF(E90="","",MID(IF(N(Y90)&gt;0,", "&amp;A90&amp;"-"&amp;Y$2,"")&amp;IF(N(Z90)&gt;0,", "&amp;A90&amp;"-"&amp;Z$2,"")&amp;IF(N(AA90)&gt;0,", "&amp;A90&amp;"-"&amp;AA$2,"")&amp;IF(N(AB90)&gt;0,", "&amp;A90&amp;"-"&amp;AB$2,"")&amp;IF(N(AC90)&gt;0,", "&amp;A90&amp;"-"&amp;AC$2,"")&amp;IF(N(AD90)&gt;0,", "&amp;A90&amp;"-"&amp;AD$2,"")&amp;IF(N(AE90)&gt;0,", "&amp;A90&amp;"-"&amp;AE$2,"")&amp;IF(N(AF90)&gt;0,", "&amp;A90&amp;"-"&amp;AF$2,"")&amp;IF(N(AG90)&gt;0,", "&amp;A90&amp;"-"&amp;AG$2,"")&amp;IF(N(AH90)&gt;0,", "&amp;A90&amp;"-"&amp;AH$2,"")&amp;IF(N(AI90)&gt;0,", "&amp;A90&amp;"-"&amp;AI$2,"")&amp;IF(N(AJ90)&gt;0,", "&amp;A90&amp;"-"&amp;AJ$2,""),3,999))</f>
        <v/>
      </c>
      <c r="AN90" s="81"/>
      <c r="AO90" s="88"/>
      <c r="AP90" s="89" t="str">
        <f aca="false">IF(AO90="","",ROUND(AO90/(1+Справочники!$B$13),2))</f>
        <v/>
      </c>
      <c r="AQ90" s="90" t="str">
        <f aca="false" t="array" ref="AQ90:AQ90">IF(AP90="","",AP90*INDEX(Справочники!$B$4:$B$7,MATCH("RUB",Справочники!$A$4:$A$7,0)))</f>
        <v/>
      </c>
      <c r="AR90" s="90" t="str">
        <f aca="false">IF(AQ90="","",ROUND(AQ90*(1+Справочники!$B$12),0))</f>
        <v/>
      </c>
      <c r="AS90" s="90" t="str">
        <f aca="false">IF(AR90="","",ROUND(AR90*(1-Справочники!$B$11),0))</f>
        <v/>
      </c>
      <c r="AT90" s="88"/>
      <c r="AU90" s="90" t="str">
        <f aca="false">IF(AT90="","",ROUND(AT90/(1+Справочники!$B$12),0))</f>
        <v/>
      </c>
      <c r="AV90" s="90" t="str">
        <f aca="false">IF(AT90="","",ROUND(AT90*(1-Справочники!$B$15),0))</f>
        <v/>
      </c>
      <c r="AW90" s="90" t="str">
        <f aca="false">IF(AT90="","",ROUND(AT90*(1-Справочники!$B$16),0))</f>
        <v/>
      </c>
      <c r="AX90" s="90" t="str">
        <f aca="false">IF(AT90="","",ROUND(AT90*(1-Справочники!$B$17),0))</f>
        <v/>
      </c>
      <c r="AY90" s="90" t="str">
        <f aca="false">IF(AT90="","",ROUND(AT90*(1-Справочники!$B$18),0))</f>
        <v/>
      </c>
      <c r="AZ90" s="90" t="str">
        <f aca="false">IF(AT90="","",ROUND(AT90*(1-Справочники!$B$19),0))</f>
        <v/>
      </c>
      <c r="BA90" s="81"/>
      <c r="BB90" s="81"/>
      <c r="BC90" s="81"/>
      <c r="BD90" s="81"/>
      <c r="BE90" s="91"/>
      <c r="BF90" s="81" t="s">
        <v>103</v>
      </c>
      <c r="BG90" s="89" t="n">
        <f aca="false" t="array" ref="BG90:BG90">IF(BF90="","",IFERROR(INDEX(Справочники!$B$4:$B$7,MATCH(BF90,Справочники!$A$4:$A$7,0)),""))</f>
        <v>68.5</v>
      </c>
      <c r="BH90" s="90" t="str">
        <f aca="false">IF(N(BN90)&gt;0,ROUND(SUMIF(ЗАКАЗЫ!$F$3:$F$500,$A90,ЗАКАЗЫ!$Y$3:$Y$500)/BN90,0),IF(OR(BE90="",BG90=""),"",ROUND(BE90*BG90*(1+Справочники!$B$10),0)))</f>
        <v/>
      </c>
      <c r="BI90" s="92" t="str">
        <f aca="false">IF(OR(AU90="",BH90="",AU90=0),"",(AU90-BH90)/AU90)</f>
        <v/>
      </c>
      <c r="BJ90" s="81"/>
      <c r="BK90" s="83"/>
      <c r="BL90" s="43" t="str">
        <f aca="false">IFERROR(INDEX(ЗАКАЗЫ!$N$3:$N$500,MATCH($A90,ЗАКАЗЫ!$F$3:$F$500,0)),"")</f>
        <v/>
      </c>
      <c r="BM90" s="8" t="str">
        <f aca="false">IF(BL90="","",IFERROR(VLOOKUP(BL90,'ТН ВЭД'!$A$4:$C$40,3,0),""))</f>
        <v/>
      </c>
      <c r="BN90" s="7" t="str">
        <f aca="false">IF(COUNTIF(ЗАКАЗЫ!$F$3:$F$500,$A90)=0,"",SUMIF(ЗАКАЗЫ!$F$3:$F$500,$A90,ЗАКАЗЫ!$J$3:$J$500))</f>
        <v/>
      </c>
      <c r="BO90" s="7" t="str">
        <f aca="false">IF(BN90="","",SUMIF(ЗАКАЗЫ!$F$3:$F$500,$A90,ЗАКАЗЫ!$AL$3:$AL$500))</f>
        <v/>
      </c>
      <c r="BP90" s="7" t="str">
        <f aca="false">IF(BN90="","",BN90-BO90)</f>
        <v/>
      </c>
      <c r="BQ90" s="55" t="str">
        <f aca="false">IF(BN90="","",IF(BO90&gt;=BN90,"На складе",IF(BO90&gt;0,"Частично","Ждём")))</f>
        <v/>
      </c>
      <c r="BR90" s="43"/>
      <c r="BS90" s="47" t="str">
        <f aca="false">IF(BN90="","",IF(_xlfn.MAXIFS(ЗАКАЗЫ!$AK$3:$AK$500,ЗАКАЗЫ!$F$3:$F$500,$A90)=0,"",_xlfn.MAXIFS(ЗАКАЗЫ!$AK$3:$AK$500,ЗАКАЗЫ!$F$3:$F$500,$A90)))</f>
        <v/>
      </c>
    </row>
    <row r="91" customFormat="false" ht="15.75" hidden="false" customHeight="true" outlineLevel="0" collapsed="false">
      <c r="A91" s="80" t="s">
        <v>1958</v>
      </c>
      <c r="B91" s="81"/>
      <c r="C91" s="81"/>
      <c r="D91" s="81"/>
      <c r="E91" s="83"/>
      <c r="F91" s="81"/>
      <c r="G91" s="83"/>
      <c r="H91" s="83"/>
      <c r="I91" s="84" t="str">
        <f aca="false">IF(E91="","",A91&amp;"_1.jpg")</f>
        <v/>
      </c>
      <c r="J91" s="84" t="str">
        <f aca="false">IF(E91="","",A91&amp;"_2.jpg; "&amp;A91&amp;"_3.jpg")</f>
        <v/>
      </c>
      <c r="K91" s="84" t="str">
        <f aca="false">IF(E91="","",A91&amp;"_schema.jpg")</f>
        <v/>
      </c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 t="s">
        <v>96</v>
      </c>
      <c r="W91" s="81"/>
      <c r="X91" s="81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6" t="str">
        <f aca="false">IF(SUM(Y91:AJ91)=0,"",SUM(Y91:AJ91))</f>
        <v/>
      </c>
      <c r="AL91" s="84" t="str">
        <f aca="false">MID(IF(N(Y91)&gt;0,", "&amp;Y$2,"")&amp;IF(N(Z91)&gt;0,", "&amp;Z$2,"")&amp;IF(N(AA91)&gt;0,", "&amp;AA$2,"")&amp;IF(N(AB91)&gt;0,", "&amp;AB$2,"")&amp;IF(N(AC91)&gt;0,", "&amp;AC$2,"")&amp;IF(N(AD91)&gt;0,", "&amp;AD$2,"")&amp;IF(N(AE91)&gt;0,", "&amp;AE$2,"")&amp;IF(N(AF91)&gt;0,", "&amp;AF$2,"")&amp;IF(N(AG91)&gt;0,", "&amp;AG$2,"")&amp;IF(N(AH91)&gt;0,", "&amp;AH$2,"")&amp;IF(N(AI91)&gt;0,", "&amp;AI$2,"")&amp;IF(N(AJ91)&gt;0,", "&amp;AJ$2,""),3,999)</f>
        <v/>
      </c>
      <c r="AM91" s="87" t="str">
        <f aca="false">IF(E91="","",MID(IF(N(Y91)&gt;0,", "&amp;A91&amp;"-"&amp;Y$2,"")&amp;IF(N(Z91)&gt;0,", "&amp;A91&amp;"-"&amp;Z$2,"")&amp;IF(N(AA91)&gt;0,", "&amp;A91&amp;"-"&amp;AA$2,"")&amp;IF(N(AB91)&gt;0,", "&amp;A91&amp;"-"&amp;AB$2,"")&amp;IF(N(AC91)&gt;0,", "&amp;A91&amp;"-"&amp;AC$2,"")&amp;IF(N(AD91)&gt;0,", "&amp;A91&amp;"-"&amp;AD$2,"")&amp;IF(N(AE91)&gt;0,", "&amp;A91&amp;"-"&amp;AE$2,"")&amp;IF(N(AF91)&gt;0,", "&amp;A91&amp;"-"&amp;AF$2,"")&amp;IF(N(AG91)&gt;0,", "&amp;A91&amp;"-"&amp;AG$2,"")&amp;IF(N(AH91)&gt;0,", "&amp;A91&amp;"-"&amp;AH$2,"")&amp;IF(N(AI91)&gt;0,", "&amp;A91&amp;"-"&amp;AI$2,"")&amp;IF(N(AJ91)&gt;0,", "&amp;A91&amp;"-"&amp;AJ$2,""),3,999))</f>
        <v/>
      </c>
      <c r="AN91" s="81"/>
      <c r="AO91" s="88"/>
      <c r="AP91" s="89" t="str">
        <f aca="false">IF(AO91="","",ROUND(AO91/(1+Справочники!$B$13),2))</f>
        <v/>
      </c>
      <c r="AQ91" s="90" t="str">
        <f aca="false" t="array" ref="AQ91:AQ91">IF(AP91="","",AP91*INDEX(Справочники!$B$4:$B$7,MATCH("RUB",Справочники!$A$4:$A$7,0)))</f>
        <v/>
      </c>
      <c r="AR91" s="90" t="str">
        <f aca="false">IF(AQ91="","",ROUND(AQ91*(1+Справочники!$B$12),0))</f>
        <v/>
      </c>
      <c r="AS91" s="90" t="str">
        <f aca="false">IF(AR91="","",ROUND(AR91*(1-Справочники!$B$11),0))</f>
        <v/>
      </c>
      <c r="AT91" s="88"/>
      <c r="AU91" s="90" t="str">
        <f aca="false">IF(AT91="","",ROUND(AT91/(1+Справочники!$B$12),0))</f>
        <v/>
      </c>
      <c r="AV91" s="90" t="str">
        <f aca="false">IF(AT91="","",ROUND(AT91*(1-Справочники!$B$15),0))</f>
        <v/>
      </c>
      <c r="AW91" s="90" t="str">
        <f aca="false">IF(AT91="","",ROUND(AT91*(1-Справочники!$B$16),0))</f>
        <v/>
      </c>
      <c r="AX91" s="90" t="str">
        <f aca="false">IF(AT91="","",ROUND(AT91*(1-Справочники!$B$17),0))</f>
        <v/>
      </c>
      <c r="AY91" s="90" t="str">
        <f aca="false">IF(AT91="","",ROUND(AT91*(1-Справочники!$B$18),0))</f>
        <v/>
      </c>
      <c r="AZ91" s="90" t="str">
        <f aca="false">IF(AT91="","",ROUND(AT91*(1-Справочники!$B$19),0))</f>
        <v/>
      </c>
      <c r="BA91" s="81"/>
      <c r="BB91" s="81"/>
      <c r="BC91" s="81"/>
      <c r="BD91" s="81"/>
      <c r="BE91" s="91"/>
      <c r="BF91" s="81" t="s">
        <v>103</v>
      </c>
      <c r="BG91" s="89" t="n">
        <f aca="false" t="array" ref="BG91:BG91">IF(BF91="","",IFERROR(INDEX(Справочники!$B$4:$B$7,MATCH(BF91,Справочники!$A$4:$A$7,0)),""))</f>
        <v>68.5</v>
      </c>
      <c r="BH91" s="90" t="str">
        <f aca="false">IF(N(BN91)&gt;0,ROUND(SUMIF(ЗАКАЗЫ!$F$3:$F$500,$A91,ЗАКАЗЫ!$Y$3:$Y$500)/BN91,0),IF(OR(BE91="",BG91=""),"",ROUND(BE91*BG91*(1+Справочники!$B$10),0)))</f>
        <v/>
      </c>
      <c r="BI91" s="92" t="str">
        <f aca="false">IF(OR(AU91="",BH91="",AU91=0),"",(AU91-BH91)/AU91)</f>
        <v/>
      </c>
      <c r="BJ91" s="81"/>
      <c r="BK91" s="83"/>
      <c r="BL91" s="43" t="str">
        <f aca="false">IFERROR(INDEX(ЗАКАЗЫ!$N$3:$N$500,MATCH($A91,ЗАКАЗЫ!$F$3:$F$500,0)),"")</f>
        <v/>
      </c>
      <c r="BM91" s="8" t="str">
        <f aca="false">IF(BL91="","",IFERROR(VLOOKUP(BL91,'ТН ВЭД'!$A$4:$C$40,3,0),""))</f>
        <v/>
      </c>
      <c r="BN91" s="7" t="str">
        <f aca="false">IF(COUNTIF(ЗАКАЗЫ!$F$3:$F$500,$A91)=0,"",SUMIF(ЗАКАЗЫ!$F$3:$F$500,$A91,ЗАКАЗЫ!$J$3:$J$500))</f>
        <v/>
      </c>
      <c r="BO91" s="7" t="str">
        <f aca="false">IF(BN91="","",SUMIF(ЗАКАЗЫ!$F$3:$F$500,$A91,ЗАКАЗЫ!$AL$3:$AL$500))</f>
        <v/>
      </c>
      <c r="BP91" s="7" t="str">
        <f aca="false">IF(BN91="","",BN91-BO91)</f>
        <v/>
      </c>
      <c r="BQ91" s="55" t="str">
        <f aca="false">IF(BN91="","",IF(BO91&gt;=BN91,"На складе",IF(BO91&gt;0,"Частично","Ждём")))</f>
        <v/>
      </c>
      <c r="BR91" s="43"/>
      <c r="BS91" s="47" t="str">
        <f aca="false">IF(BN91="","",IF(_xlfn.MAXIFS(ЗАКАЗЫ!$AK$3:$AK$500,ЗАКАЗЫ!$F$3:$F$500,$A91)=0,"",_xlfn.MAXIFS(ЗАКАЗЫ!$AK$3:$AK$500,ЗАКАЗЫ!$F$3:$F$500,$A91)))</f>
        <v/>
      </c>
    </row>
    <row r="92" customFormat="false" ht="15.75" hidden="false" customHeight="true" outlineLevel="0" collapsed="false">
      <c r="A92" s="80" t="s">
        <v>1959</v>
      </c>
      <c r="B92" s="81"/>
      <c r="C92" s="81"/>
      <c r="D92" s="81"/>
      <c r="E92" s="83"/>
      <c r="F92" s="81"/>
      <c r="G92" s="83"/>
      <c r="H92" s="83"/>
      <c r="I92" s="84" t="str">
        <f aca="false">IF(E92="","",A92&amp;"_1.jpg")</f>
        <v/>
      </c>
      <c r="J92" s="84" t="str">
        <f aca="false">IF(E92="","",A92&amp;"_2.jpg; "&amp;A92&amp;"_3.jpg")</f>
        <v/>
      </c>
      <c r="K92" s="84" t="str">
        <f aca="false">IF(E92="","",A92&amp;"_schema.jpg")</f>
        <v/>
      </c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 t="s">
        <v>96</v>
      </c>
      <c r="W92" s="81"/>
      <c r="X92" s="81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6" t="str">
        <f aca="false">IF(SUM(Y92:AJ92)=0,"",SUM(Y92:AJ92))</f>
        <v/>
      </c>
      <c r="AL92" s="84" t="str">
        <f aca="false">MID(IF(N(Y92)&gt;0,", "&amp;Y$2,"")&amp;IF(N(Z92)&gt;0,", "&amp;Z$2,"")&amp;IF(N(AA92)&gt;0,", "&amp;AA$2,"")&amp;IF(N(AB92)&gt;0,", "&amp;AB$2,"")&amp;IF(N(AC92)&gt;0,", "&amp;AC$2,"")&amp;IF(N(AD92)&gt;0,", "&amp;AD$2,"")&amp;IF(N(AE92)&gt;0,", "&amp;AE$2,"")&amp;IF(N(AF92)&gt;0,", "&amp;AF$2,"")&amp;IF(N(AG92)&gt;0,", "&amp;AG$2,"")&amp;IF(N(AH92)&gt;0,", "&amp;AH$2,"")&amp;IF(N(AI92)&gt;0,", "&amp;AI$2,"")&amp;IF(N(AJ92)&gt;0,", "&amp;AJ$2,""),3,999)</f>
        <v/>
      </c>
      <c r="AM92" s="87" t="str">
        <f aca="false">IF(E92="","",MID(IF(N(Y92)&gt;0,", "&amp;A92&amp;"-"&amp;Y$2,"")&amp;IF(N(Z92)&gt;0,", "&amp;A92&amp;"-"&amp;Z$2,"")&amp;IF(N(AA92)&gt;0,", "&amp;A92&amp;"-"&amp;AA$2,"")&amp;IF(N(AB92)&gt;0,", "&amp;A92&amp;"-"&amp;AB$2,"")&amp;IF(N(AC92)&gt;0,", "&amp;A92&amp;"-"&amp;AC$2,"")&amp;IF(N(AD92)&gt;0,", "&amp;A92&amp;"-"&amp;AD$2,"")&amp;IF(N(AE92)&gt;0,", "&amp;A92&amp;"-"&amp;AE$2,"")&amp;IF(N(AF92)&gt;0,", "&amp;A92&amp;"-"&amp;AF$2,"")&amp;IF(N(AG92)&gt;0,", "&amp;A92&amp;"-"&amp;AG$2,"")&amp;IF(N(AH92)&gt;0,", "&amp;A92&amp;"-"&amp;AH$2,"")&amp;IF(N(AI92)&gt;0,", "&amp;A92&amp;"-"&amp;AI$2,"")&amp;IF(N(AJ92)&gt;0,", "&amp;A92&amp;"-"&amp;AJ$2,""),3,999))</f>
        <v/>
      </c>
      <c r="AN92" s="81"/>
      <c r="AO92" s="88"/>
      <c r="AP92" s="89" t="str">
        <f aca="false">IF(AO92="","",ROUND(AO92/(1+Справочники!$B$13),2))</f>
        <v/>
      </c>
      <c r="AQ92" s="90" t="str">
        <f aca="false" t="array" ref="AQ92:AQ92">IF(AP92="","",AP92*INDEX(Справочники!$B$4:$B$7,MATCH("RUB",Справочники!$A$4:$A$7,0)))</f>
        <v/>
      </c>
      <c r="AR92" s="90" t="str">
        <f aca="false">IF(AQ92="","",ROUND(AQ92*(1+Справочники!$B$12),0))</f>
        <v/>
      </c>
      <c r="AS92" s="90" t="str">
        <f aca="false">IF(AR92="","",ROUND(AR92*(1-Справочники!$B$11),0))</f>
        <v/>
      </c>
      <c r="AT92" s="88"/>
      <c r="AU92" s="90" t="str">
        <f aca="false">IF(AT92="","",ROUND(AT92/(1+Справочники!$B$12),0))</f>
        <v/>
      </c>
      <c r="AV92" s="90" t="str">
        <f aca="false">IF(AT92="","",ROUND(AT92*(1-Справочники!$B$15),0))</f>
        <v/>
      </c>
      <c r="AW92" s="90" t="str">
        <f aca="false">IF(AT92="","",ROUND(AT92*(1-Справочники!$B$16),0))</f>
        <v/>
      </c>
      <c r="AX92" s="90" t="str">
        <f aca="false">IF(AT92="","",ROUND(AT92*(1-Справочники!$B$17),0))</f>
        <v/>
      </c>
      <c r="AY92" s="90" t="str">
        <f aca="false">IF(AT92="","",ROUND(AT92*(1-Справочники!$B$18),0))</f>
        <v/>
      </c>
      <c r="AZ92" s="90" t="str">
        <f aca="false">IF(AT92="","",ROUND(AT92*(1-Справочники!$B$19),0))</f>
        <v/>
      </c>
      <c r="BA92" s="81"/>
      <c r="BB92" s="81"/>
      <c r="BC92" s="81"/>
      <c r="BD92" s="81"/>
      <c r="BE92" s="91"/>
      <c r="BF92" s="81" t="s">
        <v>103</v>
      </c>
      <c r="BG92" s="89" t="n">
        <f aca="false" t="array" ref="BG92:BG92">IF(BF92="","",IFERROR(INDEX(Справочники!$B$4:$B$7,MATCH(BF92,Справочники!$A$4:$A$7,0)),""))</f>
        <v>68.5</v>
      </c>
      <c r="BH92" s="90" t="str">
        <f aca="false">IF(N(BN92)&gt;0,ROUND(SUMIF(ЗАКАЗЫ!$F$3:$F$500,$A92,ЗАКАЗЫ!$Y$3:$Y$500)/BN92,0),IF(OR(BE92="",BG92=""),"",ROUND(BE92*BG92*(1+Справочники!$B$10),0)))</f>
        <v/>
      </c>
      <c r="BI92" s="92" t="str">
        <f aca="false">IF(OR(AU92="",BH92="",AU92=0),"",(AU92-BH92)/AU92)</f>
        <v/>
      </c>
      <c r="BJ92" s="81"/>
      <c r="BK92" s="83"/>
      <c r="BL92" s="43" t="str">
        <f aca="false">IFERROR(INDEX(ЗАКАЗЫ!$N$3:$N$500,MATCH($A92,ЗАКАЗЫ!$F$3:$F$500,0)),"")</f>
        <v/>
      </c>
      <c r="BM92" s="8" t="str">
        <f aca="false">IF(BL92="","",IFERROR(VLOOKUP(BL92,'ТН ВЭД'!$A$4:$C$40,3,0),""))</f>
        <v/>
      </c>
      <c r="BN92" s="7" t="str">
        <f aca="false">IF(COUNTIF(ЗАКАЗЫ!$F$3:$F$500,$A92)=0,"",SUMIF(ЗАКАЗЫ!$F$3:$F$500,$A92,ЗАКАЗЫ!$J$3:$J$500))</f>
        <v/>
      </c>
      <c r="BO92" s="7" t="str">
        <f aca="false">IF(BN92="","",SUMIF(ЗАКАЗЫ!$F$3:$F$500,$A92,ЗАКАЗЫ!$AL$3:$AL$500))</f>
        <v/>
      </c>
      <c r="BP92" s="7" t="str">
        <f aca="false">IF(BN92="","",BN92-BO92)</f>
        <v/>
      </c>
      <c r="BQ92" s="55" t="str">
        <f aca="false">IF(BN92="","",IF(BO92&gt;=BN92,"На складе",IF(BO92&gt;0,"Частично","Ждём")))</f>
        <v/>
      </c>
      <c r="BR92" s="43"/>
      <c r="BS92" s="47" t="str">
        <f aca="false">IF(BN92="","",IF(_xlfn.MAXIFS(ЗАКАЗЫ!$AK$3:$AK$500,ЗАКАЗЫ!$F$3:$F$500,$A92)=0,"",_xlfn.MAXIFS(ЗАКАЗЫ!$AK$3:$AK$500,ЗАКАЗЫ!$F$3:$F$500,$A92)))</f>
        <v/>
      </c>
    </row>
    <row r="93" customFormat="false" ht="15.75" hidden="false" customHeight="true" outlineLevel="0" collapsed="false">
      <c r="A93" s="80" t="s">
        <v>1960</v>
      </c>
      <c r="B93" s="81"/>
      <c r="C93" s="81"/>
      <c r="D93" s="81"/>
      <c r="E93" s="83"/>
      <c r="F93" s="81"/>
      <c r="G93" s="83"/>
      <c r="H93" s="83"/>
      <c r="I93" s="84" t="str">
        <f aca="false">IF(E93="","",A93&amp;"_1.jpg")</f>
        <v/>
      </c>
      <c r="J93" s="84" t="str">
        <f aca="false">IF(E93="","",A93&amp;"_2.jpg; "&amp;A93&amp;"_3.jpg")</f>
        <v/>
      </c>
      <c r="K93" s="84" t="str">
        <f aca="false">IF(E93="","",A93&amp;"_schema.jpg")</f>
        <v/>
      </c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 t="s">
        <v>96</v>
      </c>
      <c r="W93" s="81"/>
      <c r="X93" s="81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6" t="str">
        <f aca="false">IF(SUM(Y93:AJ93)=0,"",SUM(Y93:AJ93))</f>
        <v/>
      </c>
      <c r="AL93" s="84" t="str">
        <f aca="false">MID(IF(N(Y93)&gt;0,", "&amp;Y$2,"")&amp;IF(N(Z93)&gt;0,", "&amp;Z$2,"")&amp;IF(N(AA93)&gt;0,", "&amp;AA$2,"")&amp;IF(N(AB93)&gt;0,", "&amp;AB$2,"")&amp;IF(N(AC93)&gt;0,", "&amp;AC$2,"")&amp;IF(N(AD93)&gt;0,", "&amp;AD$2,"")&amp;IF(N(AE93)&gt;0,", "&amp;AE$2,"")&amp;IF(N(AF93)&gt;0,", "&amp;AF$2,"")&amp;IF(N(AG93)&gt;0,", "&amp;AG$2,"")&amp;IF(N(AH93)&gt;0,", "&amp;AH$2,"")&amp;IF(N(AI93)&gt;0,", "&amp;AI$2,"")&amp;IF(N(AJ93)&gt;0,", "&amp;AJ$2,""),3,999)</f>
        <v/>
      </c>
      <c r="AM93" s="87" t="str">
        <f aca="false">IF(E93="","",MID(IF(N(Y93)&gt;0,", "&amp;A93&amp;"-"&amp;Y$2,"")&amp;IF(N(Z93)&gt;0,", "&amp;A93&amp;"-"&amp;Z$2,"")&amp;IF(N(AA93)&gt;0,", "&amp;A93&amp;"-"&amp;AA$2,"")&amp;IF(N(AB93)&gt;0,", "&amp;A93&amp;"-"&amp;AB$2,"")&amp;IF(N(AC93)&gt;0,", "&amp;A93&amp;"-"&amp;AC$2,"")&amp;IF(N(AD93)&gt;0,", "&amp;A93&amp;"-"&amp;AD$2,"")&amp;IF(N(AE93)&gt;0,", "&amp;A93&amp;"-"&amp;AE$2,"")&amp;IF(N(AF93)&gt;0,", "&amp;A93&amp;"-"&amp;AF$2,"")&amp;IF(N(AG93)&gt;0,", "&amp;A93&amp;"-"&amp;AG$2,"")&amp;IF(N(AH93)&gt;0,", "&amp;A93&amp;"-"&amp;AH$2,"")&amp;IF(N(AI93)&gt;0,", "&amp;A93&amp;"-"&amp;AI$2,"")&amp;IF(N(AJ93)&gt;0,", "&amp;A93&amp;"-"&amp;AJ$2,""),3,999))</f>
        <v/>
      </c>
      <c r="AN93" s="81"/>
      <c r="AO93" s="88"/>
      <c r="AP93" s="89" t="str">
        <f aca="false">IF(AO93="","",ROUND(AO93/(1+Справочники!$B$13),2))</f>
        <v/>
      </c>
      <c r="AQ93" s="90" t="str">
        <f aca="false" t="array" ref="AQ93:AQ93">IF(AP93="","",AP93*INDEX(Справочники!$B$4:$B$7,MATCH("RUB",Справочники!$A$4:$A$7,0)))</f>
        <v/>
      </c>
      <c r="AR93" s="90" t="str">
        <f aca="false">IF(AQ93="","",ROUND(AQ93*(1+Справочники!$B$12),0))</f>
        <v/>
      </c>
      <c r="AS93" s="90" t="str">
        <f aca="false">IF(AR93="","",ROUND(AR93*(1-Справочники!$B$11),0))</f>
        <v/>
      </c>
      <c r="AT93" s="88"/>
      <c r="AU93" s="90" t="str">
        <f aca="false">IF(AT93="","",ROUND(AT93/(1+Справочники!$B$12),0))</f>
        <v/>
      </c>
      <c r="AV93" s="90" t="str">
        <f aca="false">IF(AT93="","",ROUND(AT93*(1-Справочники!$B$15),0))</f>
        <v/>
      </c>
      <c r="AW93" s="90" t="str">
        <f aca="false">IF(AT93="","",ROUND(AT93*(1-Справочники!$B$16),0))</f>
        <v/>
      </c>
      <c r="AX93" s="90" t="str">
        <f aca="false">IF(AT93="","",ROUND(AT93*(1-Справочники!$B$17),0))</f>
        <v/>
      </c>
      <c r="AY93" s="90" t="str">
        <f aca="false">IF(AT93="","",ROUND(AT93*(1-Справочники!$B$18),0))</f>
        <v/>
      </c>
      <c r="AZ93" s="90" t="str">
        <f aca="false">IF(AT93="","",ROUND(AT93*(1-Справочники!$B$19),0))</f>
        <v/>
      </c>
      <c r="BA93" s="81"/>
      <c r="BB93" s="81"/>
      <c r="BC93" s="81"/>
      <c r="BD93" s="81"/>
      <c r="BE93" s="91"/>
      <c r="BF93" s="81" t="s">
        <v>103</v>
      </c>
      <c r="BG93" s="89" t="n">
        <f aca="false" t="array" ref="BG93:BG93">IF(BF93="","",IFERROR(INDEX(Справочники!$B$4:$B$7,MATCH(BF93,Справочники!$A$4:$A$7,0)),""))</f>
        <v>68.5</v>
      </c>
      <c r="BH93" s="90" t="str">
        <f aca="false">IF(N(BN93)&gt;0,ROUND(SUMIF(ЗАКАЗЫ!$F$3:$F$500,$A93,ЗАКАЗЫ!$Y$3:$Y$500)/BN93,0),IF(OR(BE93="",BG93=""),"",ROUND(BE93*BG93*(1+Справочники!$B$10),0)))</f>
        <v/>
      </c>
      <c r="BI93" s="92" t="str">
        <f aca="false">IF(OR(AU93="",BH93="",AU93=0),"",(AU93-BH93)/AU93)</f>
        <v/>
      </c>
      <c r="BJ93" s="81"/>
      <c r="BK93" s="83"/>
      <c r="BL93" s="43" t="str">
        <f aca="false">IFERROR(INDEX(ЗАКАЗЫ!$N$3:$N$500,MATCH($A93,ЗАКАЗЫ!$F$3:$F$500,0)),"")</f>
        <v/>
      </c>
      <c r="BM93" s="8" t="str">
        <f aca="false">IF(BL93="","",IFERROR(VLOOKUP(BL93,'ТН ВЭД'!$A$4:$C$40,3,0),""))</f>
        <v/>
      </c>
      <c r="BN93" s="7" t="str">
        <f aca="false">IF(COUNTIF(ЗАКАЗЫ!$F$3:$F$500,$A93)=0,"",SUMIF(ЗАКАЗЫ!$F$3:$F$500,$A93,ЗАКАЗЫ!$J$3:$J$500))</f>
        <v/>
      </c>
      <c r="BO93" s="7" t="str">
        <f aca="false">IF(BN93="","",SUMIF(ЗАКАЗЫ!$F$3:$F$500,$A93,ЗАКАЗЫ!$AL$3:$AL$500))</f>
        <v/>
      </c>
      <c r="BP93" s="7" t="str">
        <f aca="false">IF(BN93="","",BN93-BO93)</f>
        <v/>
      </c>
      <c r="BQ93" s="55" t="str">
        <f aca="false">IF(BN93="","",IF(BO93&gt;=BN93,"На складе",IF(BO93&gt;0,"Частично","Ждём")))</f>
        <v/>
      </c>
      <c r="BR93" s="43"/>
      <c r="BS93" s="47" t="str">
        <f aca="false">IF(BN93="","",IF(_xlfn.MAXIFS(ЗАКАЗЫ!$AK$3:$AK$500,ЗАКАЗЫ!$F$3:$F$500,$A93)=0,"",_xlfn.MAXIFS(ЗАКАЗЫ!$AK$3:$AK$500,ЗАКАЗЫ!$F$3:$F$500,$A93)))</f>
        <v/>
      </c>
    </row>
    <row r="94" customFormat="false" ht="15.75" hidden="false" customHeight="true" outlineLevel="0" collapsed="false">
      <c r="A94" s="80" t="s">
        <v>1961</v>
      </c>
      <c r="B94" s="81"/>
      <c r="C94" s="81"/>
      <c r="D94" s="81"/>
      <c r="E94" s="83"/>
      <c r="F94" s="81"/>
      <c r="G94" s="83"/>
      <c r="H94" s="83"/>
      <c r="I94" s="84" t="str">
        <f aca="false">IF(E94="","",A94&amp;"_1.jpg")</f>
        <v/>
      </c>
      <c r="J94" s="84" t="str">
        <f aca="false">IF(E94="","",A94&amp;"_2.jpg; "&amp;A94&amp;"_3.jpg")</f>
        <v/>
      </c>
      <c r="K94" s="84" t="str">
        <f aca="false">IF(E94="","",A94&amp;"_schema.jpg")</f>
        <v/>
      </c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 t="s">
        <v>96</v>
      </c>
      <c r="W94" s="81"/>
      <c r="X94" s="81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6" t="str">
        <f aca="false">IF(SUM(Y94:AJ94)=0,"",SUM(Y94:AJ94))</f>
        <v/>
      </c>
      <c r="AL94" s="84" t="str">
        <f aca="false">MID(IF(N(Y94)&gt;0,", "&amp;Y$2,"")&amp;IF(N(Z94)&gt;0,", "&amp;Z$2,"")&amp;IF(N(AA94)&gt;0,", "&amp;AA$2,"")&amp;IF(N(AB94)&gt;0,", "&amp;AB$2,"")&amp;IF(N(AC94)&gt;0,", "&amp;AC$2,"")&amp;IF(N(AD94)&gt;0,", "&amp;AD$2,"")&amp;IF(N(AE94)&gt;0,", "&amp;AE$2,"")&amp;IF(N(AF94)&gt;0,", "&amp;AF$2,"")&amp;IF(N(AG94)&gt;0,", "&amp;AG$2,"")&amp;IF(N(AH94)&gt;0,", "&amp;AH$2,"")&amp;IF(N(AI94)&gt;0,", "&amp;AI$2,"")&amp;IF(N(AJ94)&gt;0,", "&amp;AJ$2,""),3,999)</f>
        <v/>
      </c>
      <c r="AM94" s="87" t="str">
        <f aca="false">IF(E94="","",MID(IF(N(Y94)&gt;0,", "&amp;A94&amp;"-"&amp;Y$2,"")&amp;IF(N(Z94)&gt;0,", "&amp;A94&amp;"-"&amp;Z$2,"")&amp;IF(N(AA94)&gt;0,", "&amp;A94&amp;"-"&amp;AA$2,"")&amp;IF(N(AB94)&gt;0,", "&amp;A94&amp;"-"&amp;AB$2,"")&amp;IF(N(AC94)&gt;0,", "&amp;A94&amp;"-"&amp;AC$2,"")&amp;IF(N(AD94)&gt;0,", "&amp;A94&amp;"-"&amp;AD$2,"")&amp;IF(N(AE94)&gt;0,", "&amp;A94&amp;"-"&amp;AE$2,"")&amp;IF(N(AF94)&gt;0,", "&amp;A94&amp;"-"&amp;AF$2,"")&amp;IF(N(AG94)&gt;0,", "&amp;A94&amp;"-"&amp;AG$2,"")&amp;IF(N(AH94)&gt;0,", "&amp;A94&amp;"-"&amp;AH$2,"")&amp;IF(N(AI94)&gt;0,", "&amp;A94&amp;"-"&amp;AI$2,"")&amp;IF(N(AJ94)&gt;0,", "&amp;A94&amp;"-"&amp;AJ$2,""),3,999))</f>
        <v/>
      </c>
      <c r="AN94" s="81"/>
      <c r="AO94" s="88"/>
      <c r="AP94" s="89" t="str">
        <f aca="false">IF(AO94="","",ROUND(AO94/(1+Справочники!$B$13),2))</f>
        <v/>
      </c>
      <c r="AQ94" s="90" t="str">
        <f aca="false" t="array" ref="AQ94:AQ94">IF(AP94="","",AP94*INDEX(Справочники!$B$4:$B$7,MATCH("RUB",Справочники!$A$4:$A$7,0)))</f>
        <v/>
      </c>
      <c r="AR94" s="90" t="str">
        <f aca="false">IF(AQ94="","",ROUND(AQ94*(1+Справочники!$B$12),0))</f>
        <v/>
      </c>
      <c r="AS94" s="90" t="str">
        <f aca="false">IF(AR94="","",ROUND(AR94*(1-Справочники!$B$11),0))</f>
        <v/>
      </c>
      <c r="AT94" s="88"/>
      <c r="AU94" s="90" t="str">
        <f aca="false">IF(AT94="","",ROUND(AT94/(1+Справочники!$B$12),0))</f>
        <v/>
      </c>
      <c r="AV94" s="90" t="str">
        <f aca="false">IF(AT94="","",ROUND(AT94*(1-Справочники!$B$15),0))</f>
        <v/>
      </c>
      <c r="AW94" s="90" t="str">
        <f aca="false">IF(AT94="","",ROUND(AT94*(1-Справочники!$B$16),0))</f>
        <v/>
      </c>
      <c r="AX94" s="90" t="str">
        <f aca="false">IF(AT94="","",ROUND(AT94*(1-Справочники!$B$17),0))</f>
        <v/>
      </c>
      <c r="AY94" s="90" t="str">
        <f aca="false">IF(AT94="","",ROUND(AT94*(1-Справочники!$B$18),0))</f>
        <v/>
      </c>
      <c r="AZ94" s="90" t="str">
        <f aca="false">IF(AT94="","",ROUND(AT94*(1-Справочники!$B$19),0))</f>
        <v/>
      </c>
      <c r="BA94" s="81"/>
      <c r="BB94" s="81"/>
      <c r="BC94" s="81"/>
      <c r="BD94" s="81"/>
      <c r="BE94" s="91"/>
      <c r="BF94" s="81" t="s">
        <v>103</v>
      </c>
      <c r="BG94" s="89" t="n">
        <f aca="false" t="array" ref="BG94:BG94">IF(BF94="","",IFERROR(INDEX(Справочники!$B$4:$B$7,MATCH(BF94,Справочники!$A$4:$A$7,0)),""))</f>
        <v>68.5</v>
      </c>
      <c r="BH94" s="90" t="str">
        <f aca="false">IF(N(BN94)&gt;0,ROUND(SUMIF(ЗАКАЗЫ!$F$3:$F$500,$A94,ЗАКАЗЫ!$Y$3:$Y$500)/BN94,0),IF(OR(BE94="",BG94=""),"",ROUND(BE94*BG94*(1+Справочники!$B$10),0)))</f>
        <v/>
      </c>
      <c r="BI94" s="92" t="str">
        <f aca="false">IF(OR(AU94="",BH94="",AU94=0),"",(AU94-BH94)/AU94)</f>
        <v/>
      </c>
      <c r="BJ94" s="81"/>
      <c r="BK94" s="83"/>
      <c r="BL94" s="43" t="str">
        <f aca="false">IFERROR(INDEX(ЗАКАЗЫ!$N$3:$N$500,MATCH($A94,ЗАКАЗЫ!$F$3:$F$500,0)),"")</f>
        <v/>
      </c>
      <c r="BM94" s="8" t="str">
        <f aca="false">IF(BL94="","",IFERROR(VLOOKUP(BL94,'ТН ВЭД'!$A$4:$C$40,3,0),""))</f>
        <v/>
      </c>
      <c r="BN94" s="7" t="str">
        <f aca="false">IF(COUNTIF(ЗАКАЗЫ!$F$3:$F$500,$A94)=0,"",SUMIF(ЗАКАЗЫ!$F$3:$F$500,$A94,ЗАКАЗЫ!$J$3:$J$500))</f>
        <v/>
      </c>
      <c r="BO94" s="7" t="str">
        <f aca="false">IF(BN94="","",SUMIF(ЗАКАЗЫ!$F$3:$F$500,$A94,ЗАКАЗЫ!$AL$3:$AL$500))</f>
        <v/>
      </c>
      <c r="BP94" s="7" t="str">
        <f aca="false">IF(BN94="","",BN94-BO94)</f>
        <v/>
      </c>
      <c r="BQ94" s="55" t="str">
        <f aca="false">IF(BN94="","",IF(BO94&gt;=BN94,"На складе",IF(BO94&gt;0,"Частично","Ждём")))</f>
        <v/>
      </c>
      <c r="BR94" s="43"/>
      <c r="BS94" s="47" t="str">
        <f aca="false">IF(BN94="","",IF(_xlfn.MAXIFS(ЗАКАЗЫ!$AK$3:$AK$500,ЗАКАЗЫ!$F$3:$F$500,$A94)=0,"",_xlfn.MAXIFS(ЗАКАЗЫ!$AK$3:$AK$500,ЗАКАЗЫ!$F$3:$F$500,$A94)))</f>
        <v/>
      </c>
    </row>
    <row r="95" customFormat="false" ht="15.75" hidden="false" customHeight="true" outlineLevel="0" collapsed="false">
      <c r="A95" s="80" t="s">
        <v>1962</v>
      </c>
      <c r="B95" s="81"/>
      <c r="C95" s="81"/>
      <c r="D95" s="81"/>
      <c r="E95" s="83"/>
      <c r="F95" s="81"/>
      <c r="G95" s="83"/>
      <c r="H95" s="83"/>
      <c r="I95" s="84" t="str">
        <f aca="false">IF(E95="","",A95&amp;"_1.jpg")</f>
        <v/>
      </c>
      <c r="J95" s="84" t="str">
        <f aca="false">IF(E95="","",A95&amp;"_2.jpg; "&amp;A95&amp;"_3.jpg")</f>
        <v/>
      </c>
      <c r="K95" s="84" t="str">
        <f aca="false">IF(E95="","",A95&amp;"_schema.jpg")</f>
        <v/>
      </c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 t="s">
        <v>96</v>
      </c>
      <c r="W95" s="81"/>
      <c r="X95" s="81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6" t="str">
        <f aca="false">IF(SUM(Y95:AJ95)=0,"",SUM(Y95:AJ95))</f>
        <v/>
      </c>
      <c r="AL95" s="84" t="str">
        <f aca="false">MID(IF(N(Y95)&gt;0,", "&amp;Y$2,"")&amp;IF(N(Z95)&gt;0,", "&amp;Z$2,"")&amp;IF(N(AA95)&gt;0,", "&amp;AA$2,"")&amp;IF(N(AB95)&gt;0,", "&amp;AB$2,"")&amp;IF(N(AC95)&gt;0,", "&amp;AC$2,"")&amp;IF(N(AD95)&gt;0,", "&amp;AD$2,"")&amp;IF(N(AE95)&gt;0,", "&amp;AE$2,"")&amp;IF(N(AF95)&gt;0,", "&amp;AF$2,"")&amp;IF(N(AG95)&gt;0,", "&amp;AG$2,"")&amp;IF(N(AH95)&gt;0,", "&amp;AH$2,"")&amp;IF(N(AI95)&gt;0,", "&amp;AI$2,"")&amp;IF(N(AJ95)&gt;0,", "&amp;AJ$2,""),3,999)</f>
        <v/>
      </c>
      <c r="AM95" s="87" t="str">
        <f aca="false">IF(E95="","",MID(IF(N(Y95)&gt;0,", "&amp;A95&amp;"-"&amp;Y$2,"")&amp;IF(N(Z95)&gt;0,", "&amp;A95&amp;"-"&amp;Z$2,"")&amp;IF(N(AA95)&gt;0,", "&amp;A95&amp;"-"&amp;AA$2,"")&amp;IF(N(AB95)&gt;0,", "&amp;A95&amp;"-"&amp;AB$2,"")&amp;IF(N(AC95)&gt;0,", "&amp;A95&amp;"-"&amp;AC$2,"")&amp;IF(N(AD95)&gt;0,", "&amp;A95&amp;"-"&amp;AD$2,"")&amp;IF(N(AE95)&gt;0,", "&amp;A95&amp;"-"&amp;AE$2,"")&amp;IF(N(AF95)&gt;0,", "&amp;A95&amp;"-"&amp;AF$2,"")&amp;IF(N(AG95)&gt;0,", "&amp;A95&amp;"-"&amp;AG$2,"")&amp;IF(N(AH95)&gt;0,", "&amp;A95&amp;"-"&amp;AH$2,"")&amp;IF(N(AI95)&gt;0,", "&amp;A95&amp;"-"&amp;AI$2,"")&amp;IF(N(AJ95)&gt;0,", "&amp;A95&amp;"-"&amp;AJ$2,""),3,999))</f>
        <v/>
      </c>
      <c r="AN95" s="81"/>
      <c r="AO95" s="88"/>
      <c r="AP95" s="89" t="str">
        <f aca="false">IF(AO95="","",ROUND(AO95/(1+Справочники!$B$13),2))</f>
        <v/>
      </c>
      <c r="AQ95" s="90" t="str">
        <f aca="false" t="array" ref="AQ95:AQ95">IF(AP95="","",AP95*INDEX(Справочники!$B$4:$B$7,MATCH("RUB",Справочники!$A$4:$A$7,0)))</f>
        <v/>
      </c>
      <c r="AR95" s="90" t="str">
        <f aca="false">IF(AQ95="","",ROUND(AQ95*(1+Справочники!$B$12),0))</f>
        <v/>
      </c>
      <c r="AS95" s="90" t="str">
        <f aca="false">IF(AR95="","",ROUND(AR95*(1-Справочники!$B$11),0))</f>
        <v/>
      </c>
      <c r="AT95" s="88"/>
      <c r="AU95" s="90" t="str">
        <f aca="false">IF(AT95="","",ROUND(AT95/(1+Справочники!$B$12),0))</f>
        <v/>
      </c>
      <c r="AV95" s="90" t="str">
        <f aca="false">IF(AT95="","",ROUND(AT95*(1-Справочники!$B$15),0))</f>
        <v/>
      </c>
      <c r="AW95" s="90" t="str">
        <f aca="false">IF(AT95="","",ROUND(AT95*(1-Справочники!$B$16),0))</f>
        <v/>
      </c>
      <c r="AX95" s="90" t="str">
        <f aca="false">IF(AT95="","",ROUND(AT95*(1-Справочники!$B$17),0))</f>
        <v/>
      </c>
      <c r="AY95" s="90" t="str">
        <f aca="false">IF(AT95="","",ROUND(AT95*(1-Справочники!$B$18),0))</f>
        <v/>
      </c>
      <c r="AZ95" s="90" t="str">
        <f aca="false">IF(AT95="","",ROUND(AT95*(1-Справочники!$B$19),0))</f>
        <v/>
      </c>
      <c r="BA95" s="81"/>
      <c r="BB95" s="81"/>
      <c r="BC95" s="81"/>
      <c r="BD95" s="81"/>
      <c r="BE95" s="91"/>
      <c r="BF95" s="81" t="s">
        <v>103</v>
      </c>
      <c r="BG95" s="89" t="n">
        <f aca="false" t="array" ref="BG95:BG95">IF(BF95="","",IFERROR(INDEX(Справочники!$B$4:$B$7,MATCH(BF95,Справочники!$A$4:$A$7,0)),""))</f>
        <v>68.5</v>
      </c>
      <c r="BH95" s="90" t="str">
        <f aca="false">IF(N(BN95)&gt;0,ROUND(SUMIF(ЗАКАЗЫ!$F$3:$F$500,$A95,ЗАКАЗЫ!$Y$3:$Y$500)/BN95,0),IF(OR(BE95="",BG95=""),"",ROUND(BE95*BG95*(1+Справочники!$B$10),0)))</f>
        <v/>
      </c>
      <c r="BI95" s="92" t="str">
        <f aca="false">IF(OR(AU95="",BH95="",AU95=0),"",(AU95-BH95)/AU95)</f>
        <v/>
      </c>
      <c r="BJ95" s="81"/>
      <c r="BK95" s="83"/>
      <c r="BL95" s="43" t="str">
        <f aca="false">IFERROR(INDEX(ЗАКАЗЫ!$N$3:$N$500,MATCH($A95,ЗАКАЗЫ!$F$3:$F$500,0)),"")</f>
        <v/>
      </c>
      <c r="BM95" s="8" t="str">
        <f aca="false">IF(BL95="","",IFERROR(VLOOKUP(BL95,'ТН ВЭД'!$A$4:$C$40,3,0),""))</f>
        <v/>
      </c>
      <c r="BN95" s="7" t="str">
        <f aca="false">IF(COUNTIF(ЗАКАЗЫ!$F$3:$F$500,$A95)=0,"",SUMIF(ЗАКАЗЫ!$F$3:$F$500,$A95,ЗАКАЗЫ!$J$3:$J$500))</f>
        <v/>
      </c>
      <c r="BO95" s="7" t="str">
        <f aca="false">IF(BN95="","",SUMIF(ЗАКАЗЫ!$F$3:$F$500,$A95,ЗАКАЗЫ!$AL$3:$AL$500))</f>
        <v/>
      </c>
      <c r="BP95" s="7" t="str">
        <f aca="false">IF(BN95="","",BN95-BO95)</f>
        <v/>
      </c>
      <c r="BQ95" s="55" t="str">
        <f aca="false">IF(BN95="","",IF(BO95&gt;=BN95,"На складе",IF(BO95&gt;0,"Частично","Ждём")))</f>
        <v/>
      </c>
      <c r="BR95" s="43"/>
      <c r="BS95" s="47" t="str">
        <f aca="false">IF(BN95="","",IF(_xlfn.MAXIFS(ЗАКАЗЫ!$AK$3:$AK$500,ЗАКАЗЫ!$F$3:$F$500,$A95)=0,"",_xlfn.MAXIFS(ЗАКАЗЫ!$AK$3:$AK$500,ЗАКАЗЫ!$F$3:$F$500,$A95)))</f>
        <v/>
      </c>
    </row>
    <row r="96" customFormat="false" ht="15.75" hidden="false" customHeight="true" outlineLevel="0" collapsed="false">
      <c r="A96" s="80" t="s">
        <v>1963</v>
      </c>
      <c r="B96" s="81"/>
      <c r="C96" s="81"/>
      <c r="D96" s="81"/>
      <c r="E96" s="83"/>
      <c r="F96" s="81"/>
      <c r="G96" s="83"/>
      <c r="H96" s="83"/>
      <c r="I96" s="84" t="str">
        <f aca="false">IF(E96="","",A96&amp;"_1.jpg")</f>
        <v/>
      </c>
      <c r="J96" s="84" t="str">
        <f aca="false">IF(E96="","",A96&amp;"_2.jpg; "&amp;A96&amp;"_3.jpg")</f>
        <v/>
      </c>
      <c r="K96" s="84" t="str">
        <f aca="false">IF(E96="","",A96&amp;"_schema.jpg")</f>
        <v/>
      </c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 t="s">
        <v>96</v>
      </c>
      <c r="W96" s="81"/>
      <c r="X96" s="81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6" t="str">
        <f aca="false">IF(SUM(Y96:AJ96)=0,"",SUM(Y96:AJ96))</f>
        <v/>
      </c>
      <c r="AL96" s="84" t="str">
        <f aca="false">MID(IF(N(Y96)&gt;0,", "&amp;Y$2,"")&amp;IF(N(Z96)&gt;0,", "&amp;Z$2,"")&amp;IF(N(AA96)&gt;0,", "&amp;AA$2,"")&amp;IF(N(AB96)&gt;0,", "&amp;AB$2,"")&amp;IF(N(AC96)&gt;0,", "&amp;AC$2,"")&amp;IF(N(AD96)&gt;0,", "&amp;AD$2,"")&amp;IF(N(AE96)&gt;0,", "&amp;AE$2,"")&amp;IF(N(AF96)&gt;0,", "&amp;AF$2,"")&amp;IF(N(AG96)&gt;0,", "&amp;AG$2,"")&amp;IF(N(AH96)&gt;0,", "&amp;AH$2,"")&amp;IF(N(AI96)&gt;0,", "&amp;AI$2,"")&amp;IF(N(AJ96)&gt;0,", "&amp;AJ$2,""),3,999)</f>
        <v/>
      </c>
      <c r="AM96" s="87" t="str">
        <f aca="false">IF(E96="","",MID(IF(N(Y96)&gt;0,", "&amp;A96&amp;"-"&amp;Y$2,"")&amp;IF(N(Z96)&gt;0,", "&amp;A96&amp;"-"&amp;Z$2,"")&amp;IF(N(AA96)&gt;0,", "&amp;A96&amp;"-"&amp;AA$2,"")&amp;IF(N(AB96)&gt;0,", "&amp;A96&amp;"-"&amp;AB$2,"")&amp;IF(N(AC96)&gt;0,", "&amp;A96&amp;"-"&amp;AC$2,"")&amp;IF(N(AD96)&gt;0,", "&amp;A96&amp;"-"&amp;AD$2,"")&amp;IF(N(AE96)&gt;0,", "&amp;A96&amp;"-"&amp;AE$2,"")&amp;IF(N(AF96)&gt;0,", "&amp;A96&amp;"-"&amp;AF$2,"")&amp;IF(N(AG96)&gt;0,", "&amp;A96&amp;"-"&amp;AG$2,"")&amp;IF(N(AH96)&gt;0,", "&amp;A96&amp;"-"&amp;AH$2,"")&amp;IF(N(AI96)&gt;0,", "&amp;A96&amp;"-"&amp;AI$2,"")&amp;IF(N(AJ96)&gt;0,", "&amp;A96&amp;"-"&amp;AJ$2,""),3,999))</f>
        <v/>
      </c>
      <c r="AN96" s="81"/>
      <c r="AO96" s="88"/>
      <c r="AP96" s="89" t="str">
        <f aca="false">IF(AO96="","",ROUND(AO96/(1+Справочники!$B$13),2))</f>
        <v/>
      </c>
      <c r="AQ96" s="90" t="str">
        <f aca="false" t="array" ref="AQ96:AQ96">IF(AP96="","",AP96*INDEX(Справочники!$B$4:$B$7,MATCH("RUB",Справочники!$A$4:$A$7,0)))</f>
        <v/>
      </c>
      <c r="AR96" s="90" t="str">
        <f aca="false">IF(AQ96="","",ROUND(AQ96*(1+Справочники!$B$12),0))</f>
        <v/>
      </c>
      <c r="AS96" s="90" t="str">
        <f aca="false">IF(AR96="","",ROUND(AR96*(1-Справочники!$B$11),0))</f>
        <v/>
      </c>
      <c r="AT96" s="88"/>
      <c r="AU96" s="90" t="str">
        <f aca="false">IF(AT96="","",ROUND(AT96/(1+Справочники!$B$12),0))</f>
        <v/>
      </c>
      <c r="AV96" s="90" t="str">
        <f aca="false">IF(AT96="","",ROUND(AT96*(1-Справочники!$B$15),0))</f>
        <v/>
      </c>
      <c r="AW96" s="90" t="str">
        <f aca="false">IF(AT96="","",ROUND(AT96*(1-Справочники!$B$16),0))</f>
        <v/>
      </c>
      <c r="AX96" s="90" t="str">
        <f aca="false">IF(AT96="","",ROUND(AT96*(1-Справочники!$B$17),0))</f>
        <v/>
      </c>
      <c r="AY96" s="90" t="str">
        <f aca="false">IF(AT96="","",ROUND(AT96*(1-Справочники!$B$18),0))</f>
        <v/>
      </c>
      <c r="AZ96" s="90" t="str">
        <f aca="false">IF(AT96="","",ROUND(AT96*(1-Справочники!$B$19),0))</f>
        <v/>
      </c>
      <c r="BA96" s="81"/>
      <c r="BB96" s="81"/>
      <c r="BC96" s="81"/>
      <c r="BD96" s="81"/>
      <c r="BE96" s="91"/>
      <c r="BF96" s="81" t="s">
        <v>103</v>
      </c>
      <c r="BG96" s="89" t="n">
        <f aca="false" t="array" ref="BG96:BG96">IF(BF96="","",IFERROR(INDEX(Справочники!$B$4:$B$7,MATCH(BF96,Справочники!$A$4:$A$7,0)),""))</f>
        <v>68.5</v>
      </c>
      <c r="BH96" s="90" t="str">
        <f aca="false">IF(N(BN96)&gt;0,ROUND(SUMIF(ЗАКАЗЫ!$F$3:$F$500,$A96,ЗАКАЗЫ!$Y$3:$Y$500)/BN96,0),IF(OR(BE96="",BG96=""),"",ROUND(BE96*BG96*(1+Справочники!$B$10),0)))</f>
        <v/>
      </c>
      <c r="BI96" s="92" t="str">
        <f aca="false">IF(OR(AU96="",BH96="",AU96=0),"",(AU96-BH96)/AU96)</f>
        <v/>
      </c>
      <c r="BJ96" s="81"/>
      <c r="BK96" s="83"/>
      <c r="BL96" s="43" t="str">
        <f aca="false">IFERROR(INDEX(ЗАКАЗЫ!$N$3:$N$500,MATCH($A96,ЗАКАЗЫ!$F$3:$F$500,0)),"")</f>
        <v/>
      </c>
      <c r="BM96" s="8" t="str">
        <f aca="false">IF(BL96="","",IFERROR(VLOOKUP(BL96,'ТН ВЭД'!$A$4:$C$40,3,0),""))</f>
        <v/>
      </c>
      <c r="BN96" s="7" t="str">
        <f aca="false">IF(COUNTIF(ЗАКАЗЫ!$F$3:$F$500,$A96)=0,"",SUMIF(ЗАКАЗЫ!$F$3:$F$500,$A96,ЗАКАЗЫ!$J$3:$J$500))</f>
        <v/>
      </c>
      <c r="BO96" s="7" t="str">
        <f aca="false">IF(BN96="","",SUMIF(ЗАКАЗЫ!$F$3:$F$500,$A96,ЗАКАЗЫ!$AL$3:$AL$500))</f>
        <v/>
      </c>
      <c r="BP96" s="7" t="str">
        <f aca="false">IF(BN96="","",BN96-BO96)</f>
        <v/>
      </c>
      <c r="BQ96" s="55" t="str">
        <f aca="false">IF(BN96="","",IF(BO96&gt;=BN96,"На складе",IF(BO96&gt;0,"Частично","Ждём")))</f>
        <v/>
      </c>
      <c r="BR96" s="43"/>
      <c r="BS96" s="47" t="str">
        <f aca="false">IF(BN96="","",IF(_xlfn.MAXIFS(ЗАКАЗЫ!$AK$3:$AK$500,ЗАКАЗЫ!$F$3:$F$500,$A96)=0,"",_xlfn.MAXIFS(ЗАКАЗЫ!$AK$3:$AK$500,ЗАКАЗЫ!$F$3:$F$500,$A96)))</f>
        <v/>
      </c>
    </row>
    <row r="97" customFormat="false" ht="15.75" hidden="false" customHeight="true" outlineLevel="0" collapsed="false">
      <c r="A97" s="80" t="s">
        <v>1964</v>
      </c>
      <c r="B97" s="81"/>
      <c r="C97" s="81"/>
      <c r="D97" s="81"/>
      <c r="E97" s="83"/>
      <c r="F97" s="81"/>
      <c r="G97" s="83"/>
      <c r="H97" s="83"/>
      <c r="I97" s="84" t="str">
        <f aca="false">IF(E97="","",A97&amp;"_1.jpg")</f>
        <v/>
      </c>
      <c r="J97" s="84" t="str">
        <f aca="false">IF(E97="","",A97&amp;"_2.jpg; "&amp;A97&amp;"_3.jpg")</f>
        <v/>
      </c>
      <c r="K97" s="84" t="str">
        <f aca="false">IF(E97="","",A97&amp;"_schema.jpg")</f>
        <v/>
      </c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 t="s">
        <v>96</v>
      </c>
      <c r="W97" s="81"/>
      <c r="X97" s="81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6" t="str">
        <f aca="false">IF(SUM(Y97:AJ97)=0,"",SUM(Y97:AJ97))</f>
        <v/>
      </c>
      <c r="AL97" s="84" t="str">
        <f aca="false">MID(IF(N(Y97)&gt;0,", "&amp;Y$2,"")&amp;IF(N(Z97)&gt;0,", "&amp;Z$2,"")&amp;IF(N(AA97)&gt;0,", "&amp;AA$2,"")&amp;IF(N(AB97)&gt;0,", "&amp;AB$2,"")&amp;IF(N(AC97)&gt;0,", "&amp;AC$2,"")&amp;IF(N(AD97)&gt;0,", "&amp;AD$2,"")&amp;IF(N(AE97)&gt;0,", "&amp;AE$2,"")&amp;IF(N(AF97)&gt;0,", "&amp;AF$2,"")&amp;IF(N(AG97)&gt;0,", "&amp;AG$2,"")&amp;IF(N(AH97)&gt;0,", "&amp;AH$2,"")&amp;IF(N(AI97)&gt;0,", "&amp;AI$2,"")&amp;IF(N(AJ97)&gt;0,", "&amp;AJ$2,""),3,999)</f>
        <v/>
      </c>
      <c r="AM97" s="87" t="str">
        <f aca="false">IF(E97="","",MID(IF(N(Y97)&gt;0,", "&amp;A97&amp;"-"&amp;Y$2,"")&amp;IF(N(Z97)&gt;0,", "&amp;A97&amp;"-"&amp;Z$2,"")&amp;IF(N(AA97)&gt;0,", "&amp;A97&amp;"-"&amp;AA$2,"")&amp;IF(N(AB97)&gt;0,", "&amp;A97&amp;"-"&amp;AB$2,"")&amp;IF(N(AC97)&gt;0,", "&amp;A97&amp;"-"&amp;AC$2,"")&amp;IF(N(AD97)&gt;0,", "&amp;A97&amp;"-"&amp;AD$2,"")&amp;IF(N(AE97)&gt;0,", "&amp;A97&amp;"-"&amp;AE$2,"")&amp;IF(N(AF97)&gt;0,", "&amp;A97&amp;"-"&amp;AF$2,"")&amp;IF(N(AG97)&gt;0,", "&amp;A97&amp;"-"&amp;AG$2,"")&amp;IF(N(AH97)&gt;0,", "&amp;A97&amp;"-"&amp;AH$2,"")&amp;IF(N(AI97)&gt;0,", "&amp;A97&amp;"-"&amp;AI$2,"")&amp;IF(N(AJ97)&gt;0,", "&amp;A97&amp;"-"&amp;AJ$2,""),3,999))</f>
        <v/>
      </c>
      <c r="AN97" s="81"/>
      <c r="AO97" s="88"/>
      <c r="AP97" s="89" t="str">
        <f aca="false">IF(AO97="","",ROUND(AO97/(1+Справочники!$B$13),2))</f>
        <v/>
      </c>
      <c r="AQ97" s="90" t="str">
        <f aca="false" t="array" ref="AQ97:AQ97">IF(AP97="","",AP97*INDEX(Справочники!$B$4:$B$7,MATCH("RUB",Справочники!$A$4:$A$7,0)))</f>
        <v/>
      </c>
      <c r="AR97" s="90" t="str">
        <f aca="false">IF(AQ97="","",ROUND(AQ97*(1+Справочники!$B$12),0))</f>
        <v/>
      </c>
      <c r="AS97" s="90" t="str">
        <f aca="false">IF(AR97="","",ROUND(AR97*(1-Справочники!$B$11),0))</f>
        <v/>
      </c>
      <c r="AT97" s="88"/>
      <c r="AU97" s="90" t="str">
        <f aca="false">IF(AT97="","",ROUND(AT97/(1+Справочники!$B$12),0))</f>
        <v/>
      </c>
      <c r="AV97" s="90" t="str">
        <f aca="false">IF(AT97="","",ROUND(AT97*(1-Справочники!$B$15),0))</f>
        <v/>
      </c>
      <c r="AW97" s="90" t="str">
        <f aca="false">IF(AT97="","",ROUND(AT97*(1-Справочники!$B$16),0))</f>
        <v/>
      </c>
      <c r="AX97" s="90" t="str">
        <f aca="false">IF(AT97="","",ROUND(AT97*(1-Справочники!$B$17),0))</f>
        <v/>
      </c>
      <c r="AY97" s="90" t="str">
        <f aca="false">IF(AT97="","",ROUND(AT97*(1-Справочники!$B$18),0))</f>
        <v/>
      </c>
      <c r="AZ97" s="90" t="str">
        <f aca="false">IF(AT97="","",ROUND(AT97*(1-Справочники!$B$19),0))</f>
        <v/>
      </c>
      <c r="BA97" s="81"/>
      <c r="BB97" s="81"/>
      <c r="BC97" s="81"/>
      <c r="BD97" s="81"/>
      <c r="BE97" s="91"/>
      <c r="BF97" s="81" t="s">
        <v>103</v>
      </c>
      <c r="BG97" s="89" t="n">
        <f aca="false" t="array" ref="BG97:BG97">IF(BF97="","",IFERROR(INDEX(Справочники!$B$4:$B$7,MATCH(BF97,Справочники!$A$4:$A$7,0)),""))</f>
        <v>68.5</v>
      </c>
      <c r="BH97" s="90" t="str">
        <f aca="false">IF(N(BN97)&gt;0,ROUND(SUMIF(ЗАКАЗЫ!$F$3:$F$500,$A97,ЗАКАЗЫ!$Y$3:$Y$500)/BN97,0),IF(OR(BE97="",BG97=""),"",ROUND(BE97*BG97*(1+Справочники!$B$10),0)))</f>
        <v/>
      </c>
      <c r="BI97" s="92" t="str">
        <f aca="false">IF(OR(AU97="",BH97="",AU97=0),"",(AU97-BH97)/AU97)</f>
        <v/>
      </c>
      <c r="BJ97" s="81"/>
      <c r="BK97" s="83"/>
      <c r="BL97" s="43" t="str">
        <f aca="false">IFERROR(INDEX(ЗАКАЗЫ!$N$3:$N$500,MATCH($A97,ЗАКАЗЫ!$F$3:$F$500,0)),"")</f>
        <v/>
      </c>
      <c r="BM97" s="8" t="str">
        <f aca="false">IF(BL97="","",IFERROR(VLOOKUP(BL97,'ТН ВЭД'!$A$4:$C$40,3,0),""))</f>
        <v/>
      </c>
      <c r="BN97" s="7" t="str">
        <f aca="false">IF(COUNTIF(ЗАКАЗЫ!$F$3:$F$500,$A97)=0,"",SUMIF(ЗАКАЗЫ!$F$3:$F$500,$A97,ЗАКАЗЫ!$J$3:$J$500))</f>
        <v/>
      </c>
      <c r="BO97" s="7" t="str">
        <f aca="false">IF(BN97="","",SUMIF(ЗАКАЗЫ!$F$3:$F$500,$A97,ЗАКАЗЫ!$AL$3:$AL$500))</f>
        <v/>
      </c>
      <c r="BP97" s="7" t="str">
        <f aca="false">IF(BN97="","",BN97-BO97)</f>
        <v/>
      </c>
      <c r="BQ97" s="55" t="str">
        <f aca="false">IF(BN97="","",IF(BO97&gt;=BN97,"На складе",IF(BO97&gt;0,"Частично","Ждём")))</f>
        <v/>
      </c>
      <c r="BR97" s="43"/>
      <c r="BS97" s="47" t="str">
        <f aca="false">IF(BN97="","",IF(_xlfn.MAXIFS(ЗАКАЗЫ!$AK$3:$AK$500,ЗАКАЗЫ!$F$3:$F$500,$A97)=0,"",_xlfn.MAXIFS(ЗАКАЗЫ!$AK$3:$AK$500,ЗАКАЗЫ!$F$3:$F$500,$A97)))</f>
        <v/>
      </c>
    </row>
    <row r="98" customFormat="false" ht="15.75" hidden="false" customHeight="true" outlineLevel="0" collapsed="false">
      <c r="A98" s="80" t="s">
        <v>1965</v>
      </c>
      <c r="B98" s="81"/>
      <c r="C98" s="81"/>
      <c r="D98" s="81"/>
      <c r="E98" s="83"/>
      <c r="F98" s="81"/>
      <c r="G98" s="83"/>
      <c r="H98" s="83"/>
      <c r="I98" s="84" t="str">
        <f aca="false">IF(E98="","",A98&amp;"_1.jpg")</f>
        <v/>
      </c>
      <c r="J98" s="84" t="str">
        <f aca="false">IF(E98="","",A98&amp;"_2.jpg; "&amp;A98&amp;"_3.jpg")</f>
        <v/>
      </c>
      <c r="K98" s="84" t="str">
        <f aca="false">IF(E98="","",A98&amp;"_schema.jpg")</f>
        <v/>
      </c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 t="s">
        <v>96</v>
      </c>
      <c r="W98" s="81"/>
      <c r="X98" s="81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6" t="str">
        <f aca="false">IF(SUM(Y98:AJ98)=0,"",SUM(Y98:AJ98))</f>
        <v/>
      </c>
      <c r="AL98" s="84" t="str">
        <f aca="false">MID(IF(N(Y98)&gt;0,", "&amp;Y$2,"")&amp;IF(N(Z98)&gt;0,", "&amp;Z$2,"")&amp;IF(N(AA98)&gt;0,", "&amp;AA$2,"")&amp;IF(N(AB98)&gt;0,", "&amp;AB$2,"")&amp;IF(N(AC98)&gt;0,", "&amp;AC$2,"")&amp;IF(N(AD98)&gt;0,", "&amp;AD$2,"")&amp;IF(N(AE98)&gt;0,", "&amp;AE$2,"")&amp;IF(N(AF98)&gt;0,", "&amp;AF$2,"")&amp;IF(N(AG98)&gt;0,", "&amp;AG$2,"")&amp;IF(N(AH98)&gt;0,", "&amp;AH$2,"")&amp;IF(N(AI98)&gt;0,", "&amp;AI$2,"")&amp;IF(N(AJ98)&gt;0,", "&amp;AJ$2,""),3,999)</f>
        <v/>
      </c>
      <c r="AM98" s="87" t="str">
        <f aca="false">IF(E98="","",MID(IF(N(Y98)&gt;0,", "&amp;A98&amp;"-"&amp;Y$2,"")&amp;IF(N(Z98)&gt;0,", "&amp;A98&amp;"-"&amp;Z$2,"")&amp;IF(N(AA98)&gt;0,", "&amp;A98&amp;"-"&amp;AA$2,"")&amp;IF(N(AB98)&gt;0,", "&amp;A98&amp;"-"&amp;AB$2,"")&amp;IF(N(AC98)&gt;0,", "&amp;A98&amp;"-"&amp;AC$2,"")&amp;IF(N(AD98)&gt;0,", "&amp;A98&amp;"-"&amp;AD$2,"")&amp;IF(N(AE98)&gt;0,", "&amp;A98&amp;"-"&amp;AE$2,"")&amp;IF(N(AF98)&gt;0,", "&amp;A98&amp;"-"&amp;AF$2,"")&amp;IF(N(AG98)&gt;0,", "&amp;A98&amp;"-"&amp;AG$2,"")&amp;IF(N(AH98)&gt;0,", "&amp;A98&amp;"-"&amp;AH$2,"")&amp;IF(N(AI98)&gt;0,", "&amp;A98&amp;"-"&amp;AI$2,"")&amp;IF(N(AJ98)&gt;0,", "&amp;A98&amp;"-"&amp;AJ$2,""),3,999))</f>
        <v/>
      </c>
      <c r="AN98" s="81"/>
      <c r="AO98" s="88"/>
      <c r="AP98" s="89" t="str">
        <f aca="false">IF(AO98="","",ROUND(AO98/(1+Справочники!$B$13),2))</f>
        <v/>
      </c>
      <c r="AQ98" s="90" t="str">
        <f aca="false" t="array" ref="AQ98:AQ98">IF(AP98="","",AP98*INDEX(Справочники!$B$4:$B$7,MATCH("RUB",Справочники!$A$4:$A$7,0)))</f>
        <v/>
      </c>
      <c r="AR98" s="90" t="str">
        <f aca="false">IF(AQ98="","",ROUND(AQ98*(1+Справочники!$B$12),0))</f>
        <v/>
      </c>
      <c r="AS98" s="90" t="str">
        <f aca="false">IF(AR98="","",ROUND(AR98*(1-Справочники!$B$11),0))</f>
        <v/>
      </c>
      <c r="AT98" s="88"/>
      <c r="AU98" s="90" t="str">
        <f aca="false">IF(AT98="","",ROUND(AT98/(1+Справочники!$B$12),0))</f>
        <v/>
      </c>
      <c r="AV98" s="90" t="str">
        <f aca="false">IF(AT98="","",ROUND(AT98*(1-Справочники!$B$15),0))</f>
        <v/>
      </c>
      <c r="AW98" s="90" t="str">
        <f aca="false">IF(AT98="","",ROUND(AT98*(1-Справочники!$B$16),0))</f>
        <v/>
      </c>
      <c r="AX98" s="90" t="str">
        <f aca="false">IF(AT98="","",ROUND(AT98*(1-Справочники!$B$17),0))</f>
        <v/>
      </c>
      <c r="AY98" s="90" t="str">
        <f aca="false">IF(AT98="","",ROUND(AT98*(1-Справочники!$B$18),0))</f>
        <v/>
      </c>
      <c r="AZ98" s="90" t="str">
        <f aca="false">IF(AT98="","",ROUND(AT98*(1-Справочники!$B$19),0))</f>
        <v/>
      </c>
      <c r="BA98" s="81"/>
      <c r="BB98" s="81"/>
      <c r="BC98" s="81"/>
      <c r="BD98" s="81"/>
      <c r="BE98" s="91"/>
      <c r="BF98" s="81" t="s">
        <v>103</v>
      </c>
      <c r="BG98" s="89" t="n">
        <f aca="false" t="array" ref="BG98:BG98">IF(BF98="","",IFERROR(INDEX(Справочники!$B$4:$B$7,MATCH(BF98,Справочники!$A$4:$A$7,0)),""))</f>
        <v>68.5</v>
      </c>
      <c r="BH98" s="90" t="str">
        <f aca="false">IF(N(BN98)&gt;0,ROUND(SUMIF(ЗАКАЗЫ!$F$3:$F$500,$A98,ЗАКАЗЫ!$Y$3:$Y$500)/BN98,0),IF(OR(BE98="",BG98=""),"",ROUND(BE98*BG98*(1+Справочники!$B$10),0)))</f>
        <v/>
      </c>
      <c r="BI98" s="92" t="str">
        <f aca="false">IF(OR(AU98="",BH98="",AU98=0),"",(AU98-BH98)/AU98)</f>
        <v/>
      </c>
      <c r="BJ98" s="81"/>
      <c r="BK98" s="83"/>
      <c r="BL98" s="43" t="str">
        <f aca="false">IFERROR(INDEX(ЗАКАЗЫ!$N$3:$N$500,MATCH($A98,ЗАКАЗЫ!$F$3:$F$500,0)),"")</f>
        <v/>
      </c>
      <c r="BM98" s="8" t="str">
        <f aca="false">IF(BL98="","",IFERROR(VLOOKUP(BL98,'ТН ВЭД'!$A$4:$C$40,3,0),""))</f>
        <v/>
      </c>
      <c r="BN98" s="7" t="str">
        <f aca="false">IF(COUNTIF(ЗАКАЗЫ!$F$3:$F$500,$A98)=0,"",SUMIF(ЗАКАЗЫ!$F$3:$F$500,$A98,ЗАКАЗЫ!$J$3:$J$500))</f>
        <v/>
      </c>
      <c r="BO98" s="7" t="str">
        <f aca="false">IF(BN98="","",SUMIF(ЗАКАЗЫ!$F$3:$F$500,$A98,ЗАКАЗЫ!$AL$3:$AL$500))</f>
        <v/>
      </c>
      <c r="BP98" s="7" t="str">
        <f aca="false">IF(BN98="","",BN98-BO98)</f>
        <v/>
      </c>
      <c r="BQ98" s="55" t="str">
        <f aca="false">IF(BN98="","",IF(BO98&gt;=BN98,"На складе",IF(BO98&gt;0,"Частично","Ждём")))</f>
        <v/>
      </c>
      <c r="BR98" s="43"/>
      <c r="BS98" s="47" t="str">
        <f aca="false">IF(BN98="","",IF(_xlfn.MAXIFS(ЗАКАЗЫ!$AK$3:$AK$500,ЗАКАЗЫ!$F$3:$F$500,$A98)=0,"",_xlfn.MAXIFS(ЗАКАЗЫ!$AK$3:$AK$500,ЗАКАЗЫ!$F$3:$F$500,$A98)))</f>
        <v/>
      </c>
    </row>
    <row r="99" customFormat="false" ht="15.75" hidden="false" customHeight="true" outlineLevel="0" collapsed="false">
      <c r="A99" s="80" t="s">
        <v>1966</v>
      </c>
      <c r="B99" s="81"/>
      <c r="C99" s="81"/>
      <c r="D99" s="81"/>
      <c r="E99" s="83"/>
      <c r="F99" s="81"/>
      <c r="G99" s="83"/>
      <c r="H99" s="83"/>
      <c r="I99" s="84" t="str">
        <f aca="false">IF(E99="","",A99&amp;"_1.jpg")</f>
        <v/>
      </c>
      <c r="J99" s="84" t="str">
        <f aca="false">IF(E99="","",A99&amp;"_2.jpg; "&amp;A99&amp;"_3.jpg")</f>
        <v/>
      </c>
      <c r="K99" s="84" t="str">
        <f aca="false">IF(E99="","",A99&amp;"_schema.jpg")</f>
        <v/>
      </c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 t="s">
        <v>96</v>
      </c>
      <c r="W99" s="81"/>
      <c r="X99" s="81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6" t="str">
        <f aca="false">IF(SUM(Y99:AJ99)=0,"",SUM(Y99:AJ99))</f>
        <v/>
      </c>
      <c r="AL99" s="84" t="str">
        <f aca="false">MID(IF(N(Y99)&gt;0,", "&amp;Y$2,"")&amp;IF(N(Z99)&gt;0,", "&amp;Z$2,"")&amp;IF(N(AA99)&gt;0,", "&amp;AA$2,"")&amp;IF(N(AB99)&gt;0,", "&amp;AB$2,"")&amp;IF(N(AC99)&gt;0,", "&amp;AC$2,"")&amp;IF(N(AD99)&gt;0,", "&amp;AD$2,"")&amp;IF(N(AE99)&gt;0,", "&amp;AE$2,"")&amp;IF(N(AF99)&gt;0,", "&amp;AF$2,"")&amp;IF(N(AG99)&gt;0,", "&amp;AG$2,"")&amp;IF(N(AH99)&gt;0,", "&amp;AH$2,"")&amp;IF(N(AI99)&gt;0,", "&amp;AI$2,"")&amp;IF(N(AJ99)&gt;0,", "&amp;AJ$2,""),3,999)</f>
        <v/>
      </c>
      <c r="AM99" s="87" t="str">
        <f aca="false">IF(E99="","",MID(IF(N(Y99)&gt;0,", "&amp;A99&amp;"-"&amp;Y$2,"")&amp;IF(N(Z99)&gt;0,", "&amp;A99&amp;"-"&amp;Z$2,"")&amp;IF(N(AA99)&gt;0,", "&amp;A99&amp;"-"&amp;AA$2,"")&amp;IF(N(AB99)&gt;0,", "&amp;A99&amp;"-"&amp;AB$2,"")&amp;IF(N(AC99)&gt;0,", "&amp;A99&amp;"-"&amp;AC$2,"")&amp;IF(N(AD99)&gt;0,", "&amp;A99&amp;"-"&amp;AD$2,"")&amp;IF(N(AE99)&gt;0,", "&amp;A99&amp;"-"&amp;AE$2,"")&amp;IF(N(AF99)&gt;0,", "&amp;A99&amp;"-"&amp;AF$2,"")&amp;IF(N(AG99)&gt;0,", "&amp;A99&amp;"-"&amp;AG$2,"")&amp;IF(N(AH99)&gt;0,", "&amp;A99&amp;"-"&amp;AH$2,"")&amp;IF(N(AI99)&gt;0,", "&amp;A99&amp;"-"&amp;AI$2,"")&amp;IF(N(AJ99)&gt;0,", "&amp;A99&amp;"-"&amp;AJ$2,""),3,999))</f>
        <v/>
      </c>
      <c r="AN99" s="81"/>
      <c r="AO99" s="88"/>
      <c r="AP99" s="89" t="str">
        <f aca="false">IF(AO99="","",ROUND(AO99/(1+Справочники!$B$13),2))</f>
        <v/>
      </c>
      <c r="AQ99" s="90" t="str">
        <f aca="false" t="array" ref="AQ99:AQ99">IF(AP99="","",AP99*INDEX(Справочники!$B$4:$B$7,MATCH("RUB",Справочники!$A$4:$A$7,0)))</f>
        <v/>
      </c>
      <c r="AR99" s="90" t="str">
        <f aca="false">IF(AQ99="","",ROUND(AQ99*(1+Справочники!$B$12),0))</f>
        <v/>
      </c>
      <c r="AS99" s="90" t="str">
        <f aca="false">IF(AR99="","",ROUND(AR99*(1-Справочники!$B$11),0))</f>
        <v/>
      </c>
      <c r="AT99" s="88"/>
      <c r="AU99" s="90" t="str">
        <f aca="false">IF(AT99="","",ROUND(AT99/(1+Справочники!$B$12),0))</f>
        <v/>
      </c>
      <c r="AV99" s="90" t="str">
        <f aca="false">IF(AT99="","",ROUND(AT99*(1-Справочники!$B$15),0))</f>
        <v/>
      </c>
      <c r="AW99" s="90" t="str">
        <f aca="false">IF(AT99="","",ROUND(AT99*(1-Справочники!$B$16),0))</f>
        <v/>
      </c>
      <c r="AX99" s="90" t="str">
        <f aca="false">IF(AT99="","",ROUND(AT99*(1-Справочники!$B$17),0))</f>
        <v/>
      </c>
      <c r="AY99" s="90" t="str">
        <f aca="false">IF(AT99="","",ROUND(AT99*(1-Справочники!$B$18),0))</f>
        <v/>
      </c>
      <c r="AZ99" s="90" t="str">
        <f aca="false">IF(AT99="","",ROUND(AT99*(1-Справочники!$B$19),0))</f>
        <v/>
      </c>
      <c r="BA99" s="81"/>
      <c r="BB99" s="81"/>
      <c r="BC99" s="81"/>
      <c r="BD99" s="81"/>
      <c r="BE99" s="91"/>
      <c r="BF99" s="81" t="s">
        <v>103</v>
      </c>
      <c r="BG99" s="89" t="n">
        <f aca="false" t="array" ref="BG99:BG99">IF(BF99="","",IFERROR(INDEX(Справочники!$B$4:$B$7,MATCH(BF99,Справочники!$A$4:$A$7,0)),""))</f>
        <v>68.5</v>
      </c>
      <c r="BH99" s="90" t="str">
        <f aca="false">IF(N(BN99)&gt;0,ROUND(SUMIF(ЗАКАЗЫ!$F$3:$F$500,$A99,ЗАКАЗЫ!$Y$3:$Y$500)/BN99,0),IF(OR(BE99="",BG99=""),"",ROUND(BE99*BG99*(1+Справочники!$B$10),0)))</f>
        <v/>
      </c>
      <c r="BI99" s="92" t="str">
        <f aca="false">IF(OR(AU99="",BH99="",AU99=0),"",(AU99-BH99)/AU99)</f>
        <v/>
      </c>
      <c r="BJ99" s="81"/>
      <c r="BK99" s="83"/>
      <c r="BL99" s="43" t="str">
        <f aca="false">IFERROR(INDEX(ЗАКАЗЫ!$N$3:$N$500,MATCH($A99,ЗАКАЗЫ!$F$3:$F$500,0)),"")</f>
        <v/>
      </c>
      <c r="BM99" s="8" t="str">
        <f aca="false">IF(BL99="","",IFERROR(VLOOKUP(BL99,'ТН ВЭД'!$A$4:$C$40,3,0),""))</f>
        <v/>
      </c>
      <c r="BN99" s="7" t="str">
        <f aca="false">IF(COUNTIF(ЗАКАЗЫ!$F$3:$F$500,$A99)=0,"",SUMIF(ЗАКАЗЫ!$F$3:$F$500,$A99,ЗАКАЗЫ!$J$3:$J$500))</f>
        <v/>
      </c>
      <c r="BO99" s="7" t="str">
        <f aca="false">IF(BN99="","",SUMIF(ЗАКАЗЫ!$F$3:$F$500,$A99,ЗАКАЗЫ!$AL$3:$AL$500))</f>
        <v/>
      </c>
      <c r="BP99" s="7" t="str">
        <f aca="false">IF(BN99="","",BN99-BO99)</f>
        <v/>
      </c>
      <c r="BQ99" s="55" t="str">
        <f aca="false">IF(BN99="","",IF(BO99&gt;=BN99,"На складе",IF(BO99&gt;0,"Частично","Ждём")))</f>
        <v/>
      </c>
      <c r="BR99" s="43"/>
      <c r="BS99" s="47" t="str">
        <f aca="false">IF(BN99="","",IF(_xlfn.MAXIFS(ЗАКАЗЫ!$AK$3:$AK$500,ЗАКАЗЫ!$F$3:$F$500,$A99)=0,"",_xlfn.MAXIFS(ЗАКАЗЫ!$AK$3:$AK$500,ЗАКАЗЫ!$F$3:$F$500,$A99)))</f>
        <v/>
      </c>
    </row>
    <row r="100" customFormat="false" ht="15.75" hidden="false" customHeight="true" outlineLevel="0" collapsed="false">
      <c r="A100" s="80" t="s">
        <v>1967</v>
      </c>
      <c r="B100" s="81"/>
      <c r="C100" s="81"/>
      <c r="D100" s="81"/>
      <c r="E100" s="83"/>
      <c r="F100" s="81"/>
      <c r="G100" s="83"/>
      <c r="H100" s="83"/>
      <c r="I100" s="84" t="str">
        <f aca="false">IF(E100="","",A100&amp;"_1.jpg")</f>
        <v/>
      </c>
      <c r="J100" s="84" t="str">
        <f aca="false">IF(E100="","",A100&amp;"_2.jpg; "&amp;A100&amp;"_3.jpg")</f>
        <v/>
      </c>
      <c r="K100" s="84" t="str">
        <f aca="false">IF(E100="","",A100&amp;"_schema.jpg")</f>
        <v/>
      </c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 t="s">
        <v>96</v>
      </c>
      <c r="W100" s="81"/>
      <c r="X100" s="81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6" t="str">
        <f aca="false">IF(SUM(Y100:AJ100)=0,"",SUM(Y100:AJ100))</f>
        <v/>
      </c>
      <c r="AL100" s="84" t="str">
        <f aca="false">MID(IF(N(Y100)&gt;0,", "&amp;Y$2,"")&amp;IF(N(Z100)&gt;0,", "&amp;Z$2,"")&amp;IF(N(AA100)&gt;0,", "&amp;AA$2,"")&amp;IF(N(AB100)&gt;0,", "&amp;AB$2,"")&amp;IF(N(AC100)&gt;0,", "&amp;AC$2,"")&amp;IF(N(AD100)&gt;0,", "&amp;AD$2,"")&amp;IF(N(AE100)&gt;0,", "&amp;AE$2,"")&amp;IF(N(AF100)&gt;0,", "&amp;AF$2,"")&amp;IF(N(AG100)&gt;0,", "&amp;AG$2,"")&amp;IF(N(AH100)&gt;0,", "&amp;AH$2,"")&amp;IF(N(AI100)&gt;0,", "&amp;AI$2,"")&amp;IF(N(AJ100)&gt;0,", "&amp;AJ$2,""),3,999)</f>
        <v/>
      </c>
      <c r="AM100" s="87" t="str">
        <f aca="false">IF(E100="","",MID(IF(N(Y100)&gt;0,", "&amp;A100&amp;"-"&amp;Y$2,"")&amp;IF(N(Z100)&gt;0,", "&amp;A100&amp;"-"&amp;Z$2,"")&amp;IF(N(AA100)&gt;0,", "&amp;A100&amp;"-"&amp;AA$2,"")&amp;IF(N(AB100)&gt;0,", "&amp;A100&amp;"-"&amp;AB$2,"")&amp;IF(N(AC100)&gt;0,", "&amp;A100&amp;"-"&amp;AC$2,"")&amp;IF(N(AD100)&gt;0,", "&amp;A100&amp;"-"&amp;AD$2,"")&amp;IF(N(AE100)&gt;0,", "&amp;A100&amp;"-"&amp;AE$2,"")&amp;IF(N(AF100)&gt;0,", "&amp;A100&amp;"-"&amp;AF$2,"")&amp;IF(N(AG100)&gt;0,", "&amp;A100&amp;"-"&amp;AG$2,"")&amp;IF(N(AH100)&gt;0,", "&amp;A100&amp;"-"&amp;AH$2,"")&amp;IF(N(AI100)&gt;0,", "&amp;A100&amp;"-"&amp;AI$2,"")&amp;IF(N(AJ100)&gt;0,", "&amp;A100&amp;"-"&amp;AJ$2,""),3,999))</f>
        <v/>
      </c>
      <c r="AN100" s="81"/>
      <c r="AO100" s="88"/>
      <c r="AP100" s="89" t="str">
        <f aca="false">IF(AO100="","",ROUND(AO100/(1+Справочники!$B$13),2))</f>
        <v/>
      </c>
      <c r="AQ100" s="90" t="str">
        <f aca="false" t="array" ref="AQ100:AQ100">IF(AP100="","",AP100*INDEX(Справочники!$B$4:$B$7,MATCH("RUB",Справочники!$A$4:$A$7,0)))</f>
        <v/>
      </c>
      <c r="AR100" s="90" t="str">
        <f aca="false">IF(AQ100="","",ROUND(AQ100*(1+Справочники!$B$12),0))</f>
        <v/>
      </c>
      <c r="AS100" s="90" t="str">
        <f aca="false">IF(AR100="","",ROUND(AR100*(1-Справочники!$B$11),0))</f>
        <v/>
      </c>
      <c r="AT100" s="88"/>
      <c r="AU100" s="90" t="str">
        <f aca="false">IF(AT100="","",ROUND(AT100/(1+Справочники!$B$12),0))</f>
        <v/>
      </c>
      <c r="AV100" s="90" t="str">
        <f aca="false">IF(AT100="","",ROUND(AT100*(1-Справочники!$B$15),0))</f>
        <v/>
      </c>
      <c r="AW100" s="90" t="str">
        <f aca="false">IF(AT100="","",ROUND(AT100*(1-Справочники!$B$16),0))</f>
        <v/>
      </c>
      <c r="AX100" s="90" t="str">
        <f aca="false">IF(AT100="","",ROUND(AT100*(1-Справочники!$B$17),0))</f>
        <v/>
      </c>
      <c r="AY100" s="90" t="str">
        <f aca="false">IF(AT100="","",ROUND(AT100*(1-Справочники!$B$18),0))</f>
        <v/>
      </c>
      <c r="AZ100" s="90" t="str">
        <f aca="false">IF(AT100="","",ROUND(AT100*(1-Справочники!$B$19),0))</f>
        <v/>
      </c>
      <c r="BA100" s="81"/>
      <c r="BB100" s="81"/>
      <c r="BC100" s="81"/>
      <c r="BD100" s="81"/>
      <c r="BE100" s="91"/>
      <c r="BF100" s="81" t="s">
        <v>103</v>
      </c>
      <c r="BG100" s="89" t="n">
        <f aca="false" t="array" ref="BG100:BG100">IF(BF100="","",IFERROR(INDEX(Справочники!$B$4:$B$7,MATCH(BF100,Справочники!$A$4:$A$7,0)),""))</f>
        <v>68.5</v>
      </c>
      <c r="BH100" s="90" t="str">
        <f aca="false">IF(N(BN100)&gt;0,ROUND(SUMIF(ЗАКАЗЫ!$F$3:$F$500,$A100,ЗАКАЗЫ!$Y$3:$Y$500)/BN100,0),IF(OR(BE100="",BG100=""),"",ROUND(BE100*BG100*(1+Справочники!$B$10),0)))</f>
        <v/>
      </c>
      <c r="BI100" s="92" t="str">
        <f aca="false">IF(OR(AU100="",BH100="",AU100=0),"",(AU100-BH100)/AU100)</f>
        <v/>
      </c>
      <c r="BJ100" s="81"/>
      <c r="BK100" s="83"/>
      <c r="BL100" s="43" t="str">
        <f aca="false">IFERROR(INDEX(ЗАКАЗЫ!$N$3:$N$500,MATCH($A100,ЗАКАЗЫ!$F$3:$F$500,0)),"")</f>
        <v/>
      </c>
      <c r="BM100" s="8" t="str">
        <f aca="false">IF(BL100="","",IFERROR(VLOOKUP(BL100,'ТН ВЭД'!$A$4:$C$40,3,0),""))</f>
        <v/>
      </c>
      <c r="BN100" s="7" t="str">
        <f aca="false">IF(COUNTIF(ЗАКАЗЫ!$F$3:$F$500,$A100)=0,"",SUMIF(ЗАКАЗЫ!$F$3:$F$500,$A100,ЗАКАЗЫ!$J$3:$J$500))</f>
        <v/>
      </c>
      <c r="BO100" s="7" t="str">
        <f aca="false">IF(BN100="","",SUMIF(ЗАКАЗЫ!$F$3:$F$500,$A100,ЗАКАЗЫ!$AL$3:$AL$500))</f>
        <v/>
      </c>
      <c r="BP100" s="7" t="str">
        <f aca="false">IF(BN100="","",BN100-BO100)</f>
        <v/>
      </c>
      <c r="BQ100" s="55" t="str">
        <f aca="false">IF(BN100="","",IF(BO100&gt;=BN100,"На складе",IF(BO100&gt;0,"Частично","Ждём")))</f>
        <v/>
      </c>
      <c r="BR100" s="43"/>
      <c r="BS100" s="47" t="str">
        <f aca="false">IF(BN100="","",IF(_xlfn.MAXIFS(ЗАКАЗЫ!$AK$3:$AK$500,ЗАКАЗЫ!$F$3:$F$500,$A100)=0,"",_xlfn.MAXIFS(ЗАКАЗЫ!$AK$3:$AK$500,ЗАКАЗЫ!$F$3:$F$500,$A100)))</f>
        <v/>
      </c>
    </row>
    <row r="101" customFormat="false" ht="15.75" hidden="false" customHeight="true" outlineLevel="0" collapsed="false">
      <c r="A101" s="80" t="s">
        <v>1968</v>
      </c>
      <c r="B101" s="81"/>
      <c r="C101" s="81"/>
      <c r="D101" s="81"/>
      <c r="E101" s="83"/>
      <c r="F101" s="81"/>
      <c r="G101" s="83"/>
      <c r="H101" s="83"/>
      <c r="I101" s="84" t="str">
        <f aca="false">IF(E101="","",A101&amp;"_1.jpg")</f>
        <v/>
      </c>
      <c r="J101" s="84" t="str">
        <f aca="false">IF(E101="","",A101&amp;"_2.jpg; "&amp;A101&amp;"_3.jpg")</f>
        <v/>
      </c>
      <c r="K101" s="84" t="str">
        <f aca="false">IF(E101="","",A101&amp;"_schema.jpg")</f>
        <v/>
      </c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 t="s">
        <v>96</v>
      </c>
      <c r="W101" s="81"/>
      <c r="X101" s="81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6" t="str">
        <f aca="false">IF(SUM(Y101:AJ101)=0,"",SUM(Y101:AJ101))</f>
        <v/>
      </c>
      <c r="AL101" s="84" t="str">
        <f aca="false">MID(IF(N(Y101)&gt;0,", "&amp;Y$2,"")&amp;IF(N(Z101)&gt;0,", "&amp;Z$2,"")&amp;IF(N(AA101)&gt;0,", "&amp;AA$2,"")&amp;IF(N(AB101)&gt;0,", "&amp;AB$2,"")&amp;IF(N(AC101)&gt;0,", "&amp;AC$2,"")&amp;IF(N(AD101)&gt;0,", "&amp;AD$2,"")&amp;IF(N(AE101)&gt;0,", "&amp;AE$2,"")&amp;IF(N(AF101)&gt;0,", "&amp;AF$2,"")&amp;IF(N(AG101)&gt;0,", "&amp;AG$2,"")&amp;IF(N(AH101)&gt;0,", "&amp;AH$2,"")&amp;IF(N(AI101)&gt;0,", "&amp;AI$2,"")&amp;IF(N(AJ101)&gt;0,", "&amp;AJ$2,""),3,999)</f>
        <v/>
      </c>
      <c r="AM101" s="87" t="str">
        <f aca="false">IF(E101="","",MID(IF(N(Y101)&gt;0,", "&amp;A101&amp;"-"&amp;Y$2,"")&amp;IF(N(Z101)&gt;0,", "&amp;A101&amp;"-"&amp;Z$2,"")&amp;IF(N(AA101)&gt;0,", "&amp;A101&amp;"-"&amp;AA$2,"")&amp;IF(N(AB101)&gt;0,", "&amp;A101&amp;"-"&amp;AB$2,"")&amp;IF(N(AC101)&gt;0,", "&amp;A101&amp;"-"&amp;AC$2,"")&amp;IF(N(AD101)&gt;0,", "&amp;A101&amp;"-"&amp;AD$2,"")&amp;IF(N(AE101)&gt;0,", "&amp;A101&amp;"-"&amp;AE$2,"")&amp;IF(N(AF101)&gt;0,", "&amp;A101&amp;"-"&amp;AF$2,"")&amp;IF(N(AG101)&gt;0,", "&amp;A101&amp;"-"&amp;AG$2,"")&amp;IF(N(AH101)&gt;0,", "&amp;A101&amp;"-"&amp;AH$2,"")&amp;IF(N(AI101)&gt;0,", "&amp;A101&amp;"-"&amp;AI$2,"")&amp;IF(N(AJ101)&gt;0,", "&amp;A101&amp;"-"&amp;AJ$2,""),3,999))</f>
        <v/>
      </c>
      <c r="AN101" s="81"/>
      <c r="AO101" s="88"/>
      <c r="AP101" s="89" t="str">
        <f aca="false">IF(AO101="","",ROUND(AO101/(1+Справочники!$B$13),2))</f>
        <v/>
      </c>
      <c r="AQ101" s="90" t="str">
        <f aca="false" t="array" ref="AQ101:AQ101">IF(AP101="","",AP101*INDEX(Справочники!$B$4:$B$7,MATCH("RUB",Справочники!$A$4:$A$7,0)))</f>
        <v/>
      </c>
      <c r="AR101" s="90" t="str">
        <f aca="false">IF(AQ101="","",ROUND(AQ101*(1+Справочники!$B$12),0))</f>
        <v/>
      </c>
      <c r="AS101" s="90" t="str">
        <f aca="false">IF(AR101="","",ROUND(AR101*(1-Справочники!$B$11),0))</f>
        <v/>
      </c>
      <c r="AT101" s="88"/>
      <c r="AU101" s="90" t="str">
        <f aca="false">IF(AT101="","",ROUND(AT101/(1+Справочники!$B$12),0))</f>
        <v/>
      </c>
      <c r="AV101" s="90" t="str">
        <f aca="false">IF(AT101="","",ROUND(AT101*(1-Справочники!$B$15),0))</f>
        <v/>
      </c>
      <c r="AW101" s="90" t="str">
        <f aca="false">IF(AT101="","",ROUND(AT101*(1-Справочники!$B$16),0))</f>
        <v/>
      </c>
      <c r="AX101" s="90" t="str">
        <f aca="false">IF(AT101="","",ROUND(AT101*(1-Справочники!$B$17),0))</f>
        <v/>
      </c>
      <c r="AY101" s="90" t="str">
        <f aca="false">IF(AT101="","",ROUND(AT101*(1-Справочники!$B$18),0))</f>
        <v/>
      </c>
      <c r="AZ101" s="90" t="str">
        <f aca="false">IF(AT101="","",ROUND(AT101*(1-Справочники!$B$19),0))</f>
        <v/>
      </c>
      <c r="BA101" s="81"/>
      <c r="BB101" s="81"/>
      <c r="BC101" s="81"/>
      <c r="BD101" s="81"/>
      <c r="BE101" s="91"/>
      <c r="BF101" s="81" t="s">
        <v>103</v>
      </c>
      <c r="BG101" s="89" t="n">
        <f aca="false" t="array" ref="BG101:BG101">IF(BF101="","",IFERROR(INDEX(Справочники!$B$4:$B$7,MATCH(BF101,Справочники!$A$4:$A$7,0)),""))</f>
        <v>68.5</v>
      </c>
      <c r="BH101" s="90" t="str">
        <f aca="false">IF(N(BN101)&gt;0,ROUND(SUMIF(ЗАКАЗЫ!$F$3:$F$500,$A101,ЗАКАЗЫ!$Y$3:$Y$500)/BN101,0),IF(OR(BE101="",BG101=""),"",ROUND(BE101*BG101*(1+Справочники!$B$10),0)))</f>
        <v/>
      </c>
      <c r="BI101" s="92" t="str">
        <f aca="false">IF(OR(AU101="",BH101="",AU101=0),"",(AU101-BH101)/AU101)</f>
        <v/>
      </c>
      <c r="BJ101" s="81"/>
      <c r="BK101" s="83"/>
      <c r="BL101" s="43" t="str">
        <f aca="false">IFERROR(INDEX(ЗАКАЗЫ!$N$3:$N$500,MATCH($A101,ЗАКАЗЫ!$F$3:$F$500,0)),"")</f>
        <v/>
      </c>
      <c r="BM101" s="8" t="str">
        <f aca="false">IF(BL101="","",IFERROR(VLOOKUP(BL101,'ТН ВЭД'!$A$4:$C$40,3,0),""))</f>
        <v/>
      </c>
      <c r="BN101" s="7" t="str">
        <f aca="false">IF(COUNTIF(ЗАКАЗЫ!$F$3:$F$500,$A101)=0,"",SUMIF(ЗАКАЗЫ!$F$3:$F$500,$A101,ЗАКАЗЫ!$J$3:$J$500))</f>
        <v/>
      </c>
      <c r="BO101" s="7" t="str">
        <f aca="false">IF(BN101="","",SUMIF(ЗАКАЗЫ!$F$3:$F$500,$A101,ЗАКАЗЫ!$AL$3:$AL$500))</f>
        <v/>
      </c>
      <c r="BP101" s="7" t="str">
        <f aca="false">IF(BN101="","",BN101-BO101)</f>
        <v/>
      </c>
      <c r="BQ101" s="55" t="str">
        <f aca="false">IF(BN101="","",IF(BO101&gt;=BN101,"На складе",IF(BO101&gt;0,"Частично","Ждём")))</f>
        <v/>
      </c>
      <c r="BR101" s="43"/>
      <c r="BS101" s="47" t="str">
        <f aca="false">IF(BN101="","",IF(_xlfn.MAXIFS(ЗАКАЗЫ!$AK$3:$AK$500,ЗАКАЗЫ!$F$3:$F$500,$A101)=0,"",_xlfn.MAXIFS(ЗАКАЗЫ!$AK$3:$AK$500,ЗАКАЗЫ!$F$3:$F$500,$A101)))</f>
        <v/>
      </c>
    </row>
    <row r="102" customFormat="false" ht="15.75" hidden="false" customHeight="true" outlineLevel="0" collapsed="false">
      <c r="A102" s="80" t="s">
        <v>1969</v>
      </c>
      <c r="B102" s="81"/>
      <c r="C102" s="81"/>
      <c r="D102" s="81"/>
      <c r="E102" s="83"/>
      <c r="F102" s="81"/>
      <c r="G102" s="83"/>
      <c r="H102" s="83"/>
      <c r="I102" s="84" t="str">
        <f aca="false">IF(E102="","",A102&amp;"_1.jpg")</f>
        <v/>
      </c>
      <c r="J102" s="84" t="str">
        <f aca="false">IF(E102="","",A102&amp;"_2.jpg; "&amp;A102&amp;"_3.jpg")</f>
        <v/>
      </c>
      <c r="K102" s="84" t="str">
        <f aca="false">IF(E102="","",A102&amp;"_schema.jpg")</f>
        <v/>
      </c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 t="s">
        <v>96</v>
      </c>
      <c r="W102" s="81"/>
      <c r="X102" s="81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6" t="str">
        <f aca="false">IF(SUM(Y102:AJ102)=0,"",SUM(Y102:AJ102))</f>
        <v/>
      </c>
      <c r="AL102" s="84" t="str">
        <f aca="false">MID(IF(N(Y102)&gt;0,", "&amp;Y$2,"")&amp;IF(N(Z102)&gt;0,", "&amp;Z$2,"")&amp;IF(N(AA102)&gt;0,", "&amp;AA$2,"")&amp;IF(N(AB102)&gt;0,", "&amp;AB$2,"")&amp;IF(N(AC102)&gt;0,", "&amp;AC$2,"")&amp;IF(N(AD102)&gt;0,", "&amp;AD$2,"")&amp;IF(N(AE102)&gt;0,", "&amp;AE$2,"")&amp;IF(N(AF102)&gt;0,", "&amp;AF$2,"")&amp;IF(N(AG102)&gt;0,", "&amp;AG$2,"")&amp;IF(N(AH102)&gt;0,", "&amp;AH$2,"")&amp;IF(N(AI102)&gt;0,", "&amp;AI$2,"")&amp;IF(N(AJ102)&gt;0,", "&amp;AJ$2,""),3,999)</f>
        <v/>
      </c>
      <c r="AM102" s="87" t="str">
        <f aca="false">IF(E102="","",MID(IF(N(Y102)&gt;0,", "&amp;A102&amp;"-"&amp;Y$2,"")&amp;IF(N(Z102)&gt;0,", "&amp;A102&amp;"-"&amp;Z$2,"")&amp;IF(N(AA102)&gt;0,", "&amp;A102&amp;"-"&amp;AA$2,"")&amp;IF(N(AB102)&gt;0,", "&amp;A102&amp;"-"&amp;AB$2,"")&amp;IF(N(AC102)&gt;0,", "&amp;A102&amp;"-"&amp;AC$2,"")&amp;IF(N(AD102)&gt;0,", "&amp;A102&amp;"-"&amp;AD$2,"")&amp;IF(N(AE102)&gt;0,", "&amp;A102&amp;"-"&amp;AE$2,"")&amp;IF(N(AF102)&gt;0,", "&amp;A102&amp;"-"&amp;AF$2,"")&amp;IF(N(AG102)&gt;0,", "&amp;A102&amp;"-"&amp;AG$2,"")&amp;IF(N(AH102)&gt;0,", "&amp;A102&amp;"-"&amp;AH$2,"")&amp;IF(N(AI102)&gt;0,", "&amp;A102&amp;"-"&amp;AI$2,"")&amp;IF(N(AJ102)&gt;0,", "&amp;A102&amp;"-"&amp;AJ$2,""),3,999))</f>
        <v/>
      </c>
      <c r="AN102" s="81"/>
      <c r="AO102" s="88"/>
      <c r="AP102" s="89" t="str">
        <f aca="false">IF(AO102="","",ROUND(AO102/(1+Справочники!$B$13),2))</f>
        <v/>
      </c>
      <c r="AQ102" s="90" t="str">
        <f aca="false" t="array" ref="AQ102:AQ102">IF(AP102="","",AP102*INDEX(Справочники!$B$4:$B$7,MATCH("RUB",Справочники!$A$4:$A$7,0)))</f>
        <v/>
      </c>
      <c r="AR102" s="90" t="str">
        <f aca="false">IF(AQ102="","",ROUND(AQ102*(1+Справочники!$B$12),0))</f>
        <v/>
      </c>
      <c r="AS102" s="90" t="str">
        <f aca="false">IF(AR102="","",ROUND(AR102*(1-Справочники!$B$11),0))</f>
        <v/>
      </c>
      <c r="AT102" s="88"/>
      <c r="AU102" s="90" t="str">
        <f aca="false">IF(AT102="","",ROUND(AT102/(1+Справочники!$B$12),0))</f>
        <v/>
      </c>
      <c r="AV102" s="90" t="str">
        <f aca="false">IF(AT102="","",ROUND(AT102*(1-Справочники!$B$15),0))</f>
        <v/>
      </c>
      <c r="AW102" s="90" t="str">
        <f aca="false">IF(AT102="","",ROUND(AT102*(1-Справочники!$B$16),0))</f>
        <v/>
      </c>
      <c r="AX102" s="90" t="str">
        <f aca="false">IF(AT102="","",ROUND(AT102*(1-Справочники!$B$17),0))</f>
        <v/>
      </c>
      <c r="AY102" s="90" t="str">
        <f aca="false">IF(AT102="","",ROUND(AT102*(1-Справочники!$B$18),0))</f>
        <v/>
      </c>
      <c r="AZ102" s="90" t="str">
        <f aca="false">IF(AT102="","",ROUND(AT102*(1-Справочники!$B$19),0))</f>
        <v/>
      </c>
      <c r="BA102" s="81"/>
      <c r="BB102" s="81"/>
      <c r="BC102" s="81"/>
      <c r="BD102" s="81"/>
      <c r="BE102" s="91"/>
      <c r="BF102" s="81" t="s">
        <v>103</v>
      </c>
      <c r="BG102" s="89" t="n">
        <f aca="false" t="array" ref="BG102:BG102">IF(BF102="","",IFERROR(INDEX(Справочники!$B$4:$B$7,MATCH(BF102,Справочники!$A$4:$A$7,0)),""))</f>
        <v>68.5</v>
      </c>
      <c r="BH102" s="90" t="str">
        <f aca="false">IF(N(BN102)&gt;0,ROUND(SUMIF(ЗАКАЗЫ!$F$3:$F$500,$A102,ЗАКАЗЫ!$Y$3:$Y$500)/BN102,0),IF(OR(BE102="",BG102=""),"",ROUND(BE102*BG102*(1+Справочники!$B$10),0)))</f>
        <v/>
      </c>
      <c r="BI102" s="92" t="str">
        <f aca="false">IF(OR(AU102="",BH102="",AU102=0),"",(AU102-BH102)/AU102)</f>
        <v/>
      </c>
      <c r="BJ102" s="81"/>
      <c r="BK102" s="83"/>
      <c r="BL102" s="43" t="str">
        <f aca="false">IFERROR(INDEX(ЗАКАЗЫ!$N$3:$N$500,MATCH($A102,ЗАКАЗЫ!$F$3:$F$500,0)),"")</f>
        <v/>
      </c>
      <c r="BM102" s="8" t="str">
        <f aca="false">IF(BL102="","",IFERROR(VLOOKUP(BL102,'ТН ВЭД'!$A$4:$C$40,3,0),""))</f>
        <v/>
      </c>
      <c r="BN102" s="7" t="str">
        <f aca="false">IF(COUNTIF(ЗАКАЗЫ!$F$3:$F$500,$A102)=0,"",SUMIF(ЗАКАЗЫ!$F$3:$F$500,$A102,ЗАКАЗЫ!$J$3:$J$500))</f>
        <v/>
      </c>
      <c r="BO102" s="7" t="str">
        <f aca="false">IF(BN102="","",SUMIF(ЗАКАЗЫ!$F$3:$F$500,$A102,ЗАКАЗЫ!$AL$3:$AL$500))</f>
        <v/>
      </c>
      <c r="BP102" s="7" t="str">
        <f aca="false">IF(BN102="","",BN102-BO102)</f>
        <v/>
      </c>
      <c r="BQ102" s="55" t="str">
        <f aca="false">IF(BN102="","",IF(BO102&gt;=BN102,"На складе",IF(BO102&gt;0,"Частично","Ждём")))</f>
        <v/>
      </c>
      <c r="BR102" s="43"/>
      <c r="BS102" s="47" t="str">
        <f aca="false">IF(BN102="","",IF(_xlfn.MAXIFS(ЗАКАЗЫ!$AK$3:$AK$500,ЗАКАЗЫ!$F$3:$F$500,$A102)=0,"",_xlfn.MAXIFS(ЗАКАЗЫ!$AK$3:$AK$500,ЗАКАЗЫ!$F$3:$F$500,$A102)))</f>
        <v/>
      </c>
    </row>
    <row r="103" customFormat="false" ht="15.75" hidden="false" customHeight="true" outlineLevel="0" collapsed="false">
      <c r="A103" s="80" t="s">
        <v>1970</v>
      </c>
      <c r="B103" s="81"/>
      <c r="C103" s="81"/>
      <c r="D103" s="81"/>
      <c r="E103" s="83"/>
      <c r="F103" s="81"/>
      <c r="G103" s="83"/>
      <c r="H103" s="83"/>
      <c r="I103" s="84" t="str">
        <f aca="false">IF(E103="","",A103&amp;"_1.jpg")</f>
        <v/>
      </c>
      <c r="J103" s="84" t="str">
        <f aca="false">IF(E103="","",A103&amp;"_2.jpg; "&amp;A103&amp;"_3.jpg")</f>
        <v/>
      </c>
      <c r="K103" s="84" t="str">
        <f aca="false">IF(E103="","",A103&amp;"_schema.jpg")</f>
        <v/>
      </c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 t="s">
        <v>96</v>
      </c>
      <c r="W103" s="81"/>
      <c r="X103" s="81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6" t="str">
        <f aca="false">IF(SUM(Y103:AJ103)=0,"",SUM(Y103:AJ103))</f>
        <v/>
      </c>
      <c r="AL103" s="84" t="str">
        <f aca="false">MID(IF(N(Y103)&gt;0,", "&amp;Y$2,"")&amp;IF(N(Z103)&gt;0,", "&amp;Z$2,"")&amp;IF(N(AA103)&gt;0,", "&amp;AA$2,"")&amp;IF(N(AB103)&gt;0,", "&amp;AB$2,"")&amp;IF(N(AC103)&gt;0,", "&amp;AC$2,"")&amp;IF(N(AD103)&gt;0,", "&amp;AD$2,"")&amp;IF(N(AE103)&gt;0,", "&amp;AE$2,"")&amp;IF(N(AF103)&gt;0,", "&amp;AF$2,"")&amp;IF(N(AG103)&gt;0,", "&amp;AG$2,"")&amp;IF(N(AH103)&gt;0,", "&amp;AH$2,"")&amp;IF(N(AI103)&gt;0,", "&amp;AI$2,"")&amp;IF(N(AJ103)&gt;0,", "&amp;AJ$2,""),3,999)</f>
        <v/>
      </c>
      <c r="AM103" s="87" t="str">
        <f aca="false">IF(E103="","",MID(IF(N(Y103)&gt;0,", "&amp;A103&amp;"-"&amp;Y$2,"")&amp;IF(N(Z103)&gt;0,", "&amp;A103&amp;"-"&amp;Z$2,"")&amp;IF(N(AA103)&gt;0,", "&amp;A103&amp;"-"&amp;AA$2,"")&amp;IF(N(AB103)&gt;0,", "&amp;A103&amp;"-"&amp;AB$2,"")&amp;IF(N(AC103)&gt;0,", "&amp;A103&amp;"-"&amp;AC$2,"")&amp;IF(N(AD103)&gt;0,", "&amp;A103&amp;"-"&amp;AD$2,"")&amp;IF(N(AE103)&gt;0,", "&amp;A103&amp;"-"&amp;AE$2,"")&amp;IF(N(AF103)&gt;0,", "&amp;A103&amp;"-"&amp;AF$2,"")&amp;IF(N(AG103)&gt;0,", "&amp;A103&amp;"-"&amp;AG$2,"")&amp;IF(N(AH103)&gt;0,", "&amp;A103&amp;"-"&amp;AH$2,"")&amp;IF(N(AI103)&gt;0,", "&amp;A103&amp;"-"&amp;AI$2,"")&amp;IF(N(AJ103)&gt;0,", "&amp;A103&amp;"-"&amp;AJ$2,""),3,999))</f>
        <v/>
      </c>
      <c r="AN103" s="81"/>
      <c r="AO103" s="88"/>
      <c r="AP103" s="89" t="str">
        <f aca="false">IF(AO103="","",ROUND(AO103/(1+Справочники!$B$13),2))</f>
        <v/>
      </c>
      <c r="AQ103" s="90" t="str">
        <f aca="false" t="array" ref="AQ103:AQ103">IF(AP103="","",AP103*INDEX(Справочники!$B$4:$B$7,MATCH("RUB",Справочники!$A$4:$A$7,0)))</f>
        <v/>
      </c>
      <c r="AR103" s="90" t="str">
        <f aca="false">IF(AQ103="","",ROUND(AQ103*(1+Справочники!$B$12),0))</f>
        <v/>
      </c>
      <c r="AS103" s="90" t="str">
        <f aca="false">IF(AR103="","",ROUND(AR103*(1-Справочники!$B$11),0))</f>
        <v/>
      </c>
      <c r="AT103" s="88"/>
      <c r="AU103" s="90" t="str">
        <f aca="false">IF(AT103="","",ROUND(AT103/(1+Справочники!$B$12),0))</f>
        <v/>
      </c>
      <c r="AV103" s="90" t="str">
        <f aca="false">IF(AT103="","",ROUND(AT103*(1-Справочники!$B$15),0))</f>
        <v/>
      </c>
      <c r="AW103" s="90" t="str">
        <f aca="false">IF(AT103="","",ROUND(AT103*(1-Справочники!$B$16),0))</f>
        <v/>
      </c>
      <c r="AX103" s="90" t="str">
        <f aca="false">IF(AT103="","",ROUND(AT103*(1-Справочники!$B$17),0))</f>
        <v/>
      </c>
      <c r="AY103" s="90" t="str">
        <f aca="false">IF(AT103="","",ROUND(AT103*(1-Справочники!$B$18),0))</f>
        <v/>
      </c>
      <c r="AZ103" s="90" t="str">
        <f aca="false">IF(AT103="","",ROUND(AT103*(1-Справочники!$B$19),0))</f>
        <v/>
      </c>
      <c r="BA103" s="81"/>
      <c r="BB103" s="81"/>
      <c r="BC103" s="81"/>
      <c r="BD103" s="81"/>
      <c r="BE103" s="91"/>
      <c r="BF103" s="81" t="s">
        <v>103</v>
      </c>
      <c r="BG103" s="89" t="n">
        <f aca="false" t="array" ref="BG103:BG103">IF(BF103="","",IFERROR(INDEX(Справочники!$B$4:$B$7,MATCH(BF103,Справочники!$A$4:$A$7,0)),""))</f>
        <v>68.5</v>
      </c>
      <c r="BH103" s="90" t="str">
        <f aca="false">IF(N(BN103)&gt;0,ROUND(SUMIF(ЗАКАЗЫ!$F$3:$F$500,$A103,ЗАКАЗЫ!$Y$3:$Y$500)/BN103,0),IF(OR(BE103="",BG103=""),"",ROUND(BE103*BG103*(1+Справочники!$B$10),0)))</f>
        <v/>
      </c>
      <c r="BI103" s="92" t="str">
        <f aca="false">IF(OR(AU103="",BH103="",AU103=0),"",(AU103-BH103)/AU103)</f>
        <v/>
      </c>
      <c r="BJ103" s="81"/>
      <c r="BK103" s="83"/>
      <c r="BL103" s="43" t="str">
        <f aca="false">IFERROR(INDEX(ЗАКАЗЫ!$N$3:$N$500,MATCH($A103,ЗАКАЗЫ!$F$3:$F$500,0)),"")</f>
        <v/>
      </c>
      <c r="BM103" s="8" t="str">
        <f aca="false">IF(BL103="","",IFERROR(VLOOKUP(BL103,'ТН ВЭД'!$A$4:$C$40,3,0),""))</f>
        <v/>
      </c>
      <c r="BN103" s="7" t="str">
        <f aca="false">IF(COUNTIF(ЗАКАЗЫ!$F$3:$F$500,$A103)=0,"",SUMIF(ЗАКАЗЫ!$F$3:$F$500,$A103,ЗАКАЗЫ!$J$3:$J$500))</f>
        <v/>
      </c>
      <c r="BO103" s="7" t="str">
        <f aca="false">IF(BN103="","",SUMIF(ЗАКАЗЫ!$F$3:$F$500,$A103,ЗАКАЗЫ!$AL$3:$AL$500))</f>
        <v/>
      </c>
      <c r="BP103" s="7" t="str">
        <f aca="false">IF(BN103="","",BN103-BO103)</f>
        <v/>
      </c>
      <c r="BQ103" s="55" t="str">
        <f aca="false">IF(BN103="","",IF(BO103&gt;=BN103,"На складе",IF(BO103&gt;0,"Частично","Ждём")))</f>
        <v/>
      </c>
      <c r="BR103" s="43"/>
      <c r="BS103" s="47" t="str">
        <f aca="false">IF(BN103="","",IF(_xlfn.MAXIFS(ЗАКАЗЫ!$AK$3:$AK$500,ЗАКАЗЫ!$F$3:$F$500,$A103)=0,"",_xlfn.MAXIFS(ЗАКАЗЫ!$AK$3:$AK$500,ЗАКАЗЫ!$F$3:$F$500,$A103)))</f>
        <v/>
      </c>
    </row>
    <row r="104" customFormat="false" ht="15.75" hidden="false" customHeight="true" outlineLevel="0" collapsed="false">
      <c r="A104" s="80" t="s">
        <v>1971</v>
      </c>
      <c r="B104" s="81"/>
      <c r="C104" s="81"/>
      <c r="D104" s="81"/>
      <c r="E104" s="83"/>
      <c r="F104" s="81"/>
      <c r="G104" s="83"/>
      <c r="H104" s="83"/>
      <c r="I104" s="84" t="str">
        <f aca="false">IF(E104="","",A104&amp;"_1.jpg")</f>
        <v/>
      </c>
      <c r="J104" s="84" t="str">
        <f aca="false">IF(E104="","",A104&amp;"_2.jpg; "&amp;A104&amp;"_3.jpg")</f>
        <v/>
      </c>
      <c r="K104" s="84" t="str">
        <f aca="false">IF(E104="","",A104&amp;"_schema.jpg")</f>
        <v/>
      </c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 t="s">
        <v>96</v>
      </c>
      <c r="W104" s="81"/>
      <c r="X104" s="81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6" t="str">
        <f aca="false">IF(SUM(Y104:AJ104)=0,"",SUM(Y104:AJ104))</f>
        <v/>
      </c>
      <c r="AL104" s="84" t="str">
        <f aca="false">MID(IF(N(Y104)&gt;0,", "&amp;Y$2,"")&amp;IF(N(Z104)&gt;0,", "&amp;Z$2,"")&amp;IF(N(AA104)&gt;0,", "&amp;AA$2,"")&amp;IF(N(AB104)&gt;0,", "&amp;AB$2,"")&amp;IF(N(AC104)&gt;0,", "&amp;AC$2,"")&amp;IF(N(AD104)&gt;0,", "&amp;AD$2,"")&amp;IF(N(AE104)&gt;0,", "&amp;AE$2,"")&amp;IF(N(AF104)&gt;0,", "&amp;AF$2,"")&amp;IF(N(AG104)&gt;0,", "&amp;AG$2,"")&amp;IF(N(AH104)&gt;0,", "&amp;AH$2,"")&amp;IF(N(AI104)&gt;0,", "&amp;AI$2,"")&amp;IF(N(AJ104)&gt;0,", "&amp;AJ$2,""),3,999)</f>
        <v/>
      </c>
      <c r="AM104" s="87" t="str">
        <f aca="false">IF(E104="","",MID(IF(N(Y104)&gt;0,", "&amp;A104&amp;"-"&amp;Y$2,"")&amp;IF(N(Z104)&gt;0,", "&amp;A104&amp;"-"&amp;Z$2,"")&amp;IF(N(AA104)&gt;0,", "&amp;A104&amp;"-"&amp;AA$2,"")&amp;IF(N(AB104)&gt;0,", "&amp;A104&amp;"-"&amp;AB$2,"")&amp;IF(N(AC104)&gt;0,", "&amp;A104&amp;"-"&amp;AC$2,"")&amp;IF(N(AD104)&gt;0,", "&amp;A104&amp;"-"&amp;AD$2,"")&amp;IF(N(AE104)&gt;0,", "&amp;A104&amp;"-"&amp;AE$2,"")&amp;IF(N(AF104)&gt;0,", "&amp;A104&amp;"-"&amp;AF$2,"")&amp;IF(N(AG104)&gt;0,", "&amp;A104&amp;"-"&amp;AG$2,"")&amp;IF(N(AH104)&gt;0,", "&amp;A104&amp;"-"&amp;AH$2,"")&amp;IF(N(AI104)&gt;0,", "&amp;A104&amp;"-"&amp;AI$2,"")&amp;IF(N(AJ104)&gt;0,", "&amp;A104&amp;"-"&amp;AJ$2,""),3,999))</f>
        <v/>
      </c>
      <c r="AN104" s="81"/>
      <c r="AO104" s="88"/>
      <c r="AP104" s="89" t="str">
        <f aca="false">IF(AO104="","",ROUND(AO104/(1+Справочники!$B$13),2))</f>
        <v/>
      </c>
      <c r="AQ104" s="90" t="str">
        <f aca="false" t="array" ref="AQ104:AQ104">IF(AP104="","",AP104*INDEX(Справочники!$B$4:$B$7,MATCH("RUB",Справочники!$A$4:$A$7,0)))</f>
        <v/>
      </c>
      <c r="AR104" s="90" t="str">
        <f aca="false">IF(AQ104="","",ROUND(AQ104*(1+Справочники!$B$12),0))</f>
        <v/>
      </c>
      <c r="AS104" s="90" t="str">
        <f aca="false">IF(AR104="","",ROUND(AR104*(1-Справочники!$B$11),0))</f>
        <v/>
      </c>
      <c r="AT104" s="88"/>
      <c r="AU104" s="90" t="str">
        <f aca="false">IF(AT104="","",ROUND(AT104/(1+Справочники!$B$12),0))</f>
        <v/>
      </c>
      <c r="AV104" s="90" t="str">
        <f aca="false">IF(AT104="","",ROUND(AT104*(1-Справочники!$B$15),0))</f>
        <v/>
      </c>
      <c r="AW104" s="90" t="str">
        <f aca="false">IF(AT104="","",ROUND(AT104*(1-Справочники!$B$16),0))</f>
        <v/>
      </c>
      <c r="AX104" s="90" t="str">
        <f aca="false">IF(AT104="","",ROUND(AT104*(1-Справочники!$B$17),0))</f>
        <v/>
      </c>
      <c r="AY104" s="90" t="str">
        <f aca="false">IF(AT104="","",ROUND(AT104*(1-Справочники!$B$18),0))</f>
        <v/>
      </c>
      <c r="AZ104" s="90" t="str">
        <f aca="false">IF(AT104="","",ROUND(AT104*(1-Справочники!$B$19),0))</f>
        <v/>
      </c>
      <c r="BA104" s="81"/>
      <c r="BB104" s="81"/>
      <c r="BC104" s="81"/>
      <c r="BD104" s="81"/>
      <c r="BE104" s="91"/>
      <c r="BF104" s="81" t="s">
        <v>103</v>
      </c>
      <c r="BG104" s="89" t="n">
        <f aca="false" t="array" ref="BG104:BG104">IF(BF104="","",IFERROR(INDEX(Справочники!$B$4:$B$7,MATCH(BF104,Справочники!$A$4:$A$7,0)),""))</f>
        <v>68.5</v>
      </c>
      <c r="BH104" s="90" t="str">
        <f aca="false">IF(N(BN104)&gt;0,ROUND(SUMIF(ЗАКАЗЫ!$F$3:$F$500,$A104,ЗАКАЗЫ!$Y$3:$Y$500)/BN104,0),IF(OR(BE104="",BG104=""),"",ROUND(BE104*BG104*(1+Справочники!$B$10),0)))</f>
        <v/>
      </c>
      <c r="BI104" s="92" t="str">
        <f aca="false">IF(OR(AU104="",BH104="",AU104=0),"",(AU104-BH104)/AU104)</f>
        <v/>
      </c>
      <c r="BJ104" s="81"/>
      <c r="BK104" s="83"/>
      <c r="BL104" s="43" t="str">
        <f aca="false">IFERROR(INDEX(ЗАКАЗЫ!$N$3:$N$500,MATCH($A104,ЗАКАЗЫ!$F$3:$F$500,0)),"")</f>
        <v/>
      </c>
      <c r="BM104" s="8" t="str">
        <f aca="false">IF(BL104="","",IFERROR(VLOOKUP(BL104,'ТН ВЭД'!$A$4:$C$40,3,0),""))</f>
        <v/>
      </c>
      <c r="BN104" s="7" t="str">
        <f aca="false">IF(COUNTIF(ЗАКАЗЫ!$F$3:$F$500,$A104)=0,"",SUMIF(ЗАКАЗЫ!$F$3:$F$500,$A104,ЗАКАЗЫ!$J$3:$J$500))</f>
        <v/>
      </c>
      <c r="BO104" s="7" t="str">
        <f aca="false">IF(BN104="","",SUMIF(ЗАКАЗЫ!$F$3:$F$500,$A104,ЗАКАЗЫ!$AL$3:$AL$500))</f>
        <v/>
      </c>
      <c r="BP104" s="7" t="str">
        <f aca="false">IF(BN104="","",BN104-BO104)</f>
        <v/>
      </c>
      <c r="BQ104" s="55" t="str">
        <f aca="false">IF(BN104="","",IF(BO104&gt;=BN104,"На складе",IF(BO104&gt;0,"Частично","Ждём")))</f>
        <v/>
      </c>
      <c r="BR104" s="43"/>
      <c r="BS104" s="47" t="str">
        <f aca="false">IF(BN104="","",IF(_xlfn.MAXIFS(ЗАКАЗЫ!$AK$3:$AK$500,ЗАКАЗЫ!$F$3:$F$500,$A104)=0,"",_xlfn.MAXIFS(ЗАКАЗЫ!$AK$3:$AK$500,ЗАКАЗЫ!$F$3:$F$500,$A104)))</f>
        <v/>
      </c>
    </row>
    <row r="105" customFormat="false" ht="15.75" hidden="false" customHeight="true" outlineLevel="0" collapsed="false">
      <c r="A105" s="80" t="s">
        <v>1972</v>
      </c>
      <c r="B105" s="81"/>
      <c r="C105" s="81"/>
      <c r="D105" s="81"/>
      <c r="E105" s="83"/>
      <c r="F105" s="81"/>
      <c r="G105" s="83"/>
      <c r="H105" s="83"/>
      <c r="I105" s="84" t="str">
        <f aca="false">IF(E105="","",A105&amp;"_1.jpg")</f>
        <v/>
      </c>
      <c r="J105" s="84" t="str">
        <f aca="false">IF(E105="","",A105&amp;"_2.jpg; "&amp;A105&amp;"_3.jpg")</f>
        <v/>
      </c>
      <c r="K105" s="84" t="str">
        <f aca="false">IF(E105="","",A105&amp;"_schema.jpg")</f>
        <v/>
      </c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 t="s">
        <v>96</v>
      </c>
      <c r="W105" s="81"/>
      <c r="X105" s="81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6" t="str">
        <f aca="false">IF(SUM(Y105:AJ105)=0,"",SUM(Y105:AJ105))</f>
        <v/>
      </c>
      <c r="AL105" s="84" t="str">
        <f aca="false">MID(IF(N(Y105)&gt;0,", "&amp;Y$2,"")&amp;IF(N(Z105)&gt;0,", "&amp;Z$2,"")&amp;IF(N(AA105)&gt;0,", "&amp;AA$2,"")&amp;IF(N(AB105)&gt;0,", "&amp;AB$2,"")&amp;IF(N(AC105)&gt;0,", "&amp;AC$2,"")&amp;IF(N(AD105)&gt;0,", "&amp;AD$2,"")&amp;IF(N(AE105)&gt;0,", "&amp;AE$2,"")&amp;IF(N(AF105)&gt;0,", "&amp;AF$2,"")&amp;IF(N(AG105)&gt;0,", "&amp;AG$2,"")&amp;IF(N(AH105)&gt;0,", "&amp;AH$2,"")&amp;IF(N(AI105)&gt;0,", "&amp;AI$2,"")&amp;IF(N(AJ105)&gt;0,", "&amp;AJ$2,""),3,999)</f>
        <v/>
      </c>
      <c r="AM105" s="87" t="str">
        <f aca="false">IF(E105="","",MID(IF(N(Y105)&gt;0,", "&amp;A105&amp;"-"&amp;Y$2,"")&amp;IF(N(Z105)&gt;0,", "&amp;A105&amp;"-"&amp;Z$2,"")&amp;IF(N(AA105)&gt;0,", "&amp;A105&amp;"-"&amp;AA$2,"")&amp;IF(N(AB105)&gt;0,", "&amp;A105&amp;"-"&amp;AB$2,"")&amp;IF(N(AC105)&gt;0,", "&amp;A105&amp;"-"&amp;AC$2,"")&amp;IF(N(AD105)&gt;0,", "&amp;A105&amp;"-"&amp;AD$2,"")&amp;IF(N(AE105)&gt;0,", "&amp;A105&amp;"-"&amp;AE$2,"")&amp;IF(N(AF105)&gt;0,", "&amp;A105&amp;"-"&amp;AF$2,"")&amp;IF(N(AG105)&gt;0,", "&amp;A105&amp;"-"&amp;AG$2,"")&amp;IF(N(AH105)&gt;0,", "&amp;A105&amp;"-"&amp;AH$2,"")&amp;IF(N(AI105)&gt;0,", "&amp;A105&amp;"-"&amp;AI$2,"")&amp;IF(N(AJ105)&gt;0,", "&amp;A105&amp;"-"&amp;AJ$2,""),3,999))</f>
        <v/>
      </c>
      <c r="AN105" s="81"/>
      <c r="AO105" s="88"/>
      <c r="AP105" s="89" t="str">
        <f aca="false">IF(AO105="","",ROUND(AO105/(1+Справочники!$B$13),2))</f>
        <v/>
      </c>
      <c r="AQ105" s="90" t="str">
        <f aca="false" t="array" ref="AQ105:AQ105">IF(AP105="","",AP105*INDEX(Справочники!$B$4:$B$7,MATCH("RUB",Справочники!$A$4:$A$7,0)))</f>
        <v/>
      </c>
      <c r="AR105" s="90" t="str">
        <f aca="false">IF(AQ105="","",ROUND(AQ105*(1+Справочники!$B$12),0))</f>
        <v/>
      </c>
      <c r="AS105" s="90" t="str">
        <f aca="false">IF(AR105="","",ROUND(AR105*(1-Справочники!$B$11),0))</f>
        <v/>
      </c>
      <c r="AT105" s="88"/>
      <c r="AU105" s="90" t="str">
        <f aca="false">IF(AT105="","",ROUND(AT105/(1+Справочники!$B$12),0))</f>
        <v/>
      </c>
      <c r="AV105" s="90" t="str">
        <f aca="false">IF(AT105="","",ROUND(AT105*(1-Справочники!$B$15),0))</f>
        <v/>
      </c>
      <c r="AW105" s="90" t="str">
        <f aca="false">IF(AT105="","",ROUND(AT105*(1-Справочники!$B$16),0))</f>
        <v/>
      </c>
      <c r="AX105" s="90" t="str">
        <f aca="false">IF(AT105="","",ROUND(AT105*(1-Справочники!$B$17),0))</f>
        <v/>
      </c>
      <c r="AY105" s="90" t="str">
        <f aca="false">IF(AT105="","",ROUND(AT105*(1-Справочники!$B$18),0))</f>
        <v/>
      </c>
      <c r="AZ105" s="90" t="str">
        <f aca="false">IF(AT105="","",ROUND(AT105*(1-Справочники!$B$19),0))</f>
        <v/>
      </c>
      <c r="BA105" s="81"/>
      <c r="BB105" s="81"/>
      <c r="BC105" s="81"/>
      <c r="BD105" s="81"/>
      <c r="BE105" s="91"/>
      <c r="BF105" s="81" t="s">
        <v>103</v>
      </c>
      <c r="BG105" s="89" t="n">
        <f aca="false" t="array" ref="BG105:BG105">IF(BF105="","",IFERROR(INDEX(Справочники!$B$4:$B$7,MATCH(BF105,Справочники!$A$4:$A$7,0)),""))</f>
        <v>68.5</v>
      </c>
      <c r="BH105" s="90" t="str">
        <f aca="false">IF(N(BN105)&gt;0,ROUND(SUMIF(ЗАКАЗЫ!$F$3:$F$500,$A105,ЗАКАЗЫ!$Y$3:$Y$500)/BN105,0),IF(OR(BE105="",BG105=""),"",ROUND(BE105*BG105*(1+Справочники!$B$10),0)))</f>
        <v/>
      </c>
      <c r="BI105" s="92" t="str">
        <f aca="false">IF(OR(AU105="",BH105="",AU105=0),"",(AU105-BH105)/AU105)</f>
        <v/>
      </c>
      <c r="BJ105" s="81"/>
      <c r="BK105" s="83"/>
      <c r="BL105" s="43" t="str">
        <f aca="false">IFERROR(INDEX(ЗАКАЗЫ!$N$3:$N$500,MATCH($A105,ЗАКАЗЫ!$F$3:$F$500,0)),"")</f>
        <v/>
      </c>
      <c r="BM105" s="8" t="str">
        <f aca="false">IF(BL105="","",IFERROR(VLOOKUP(BL105,'ТН ВЭД'!$A$4:$C$40,3,0),""))</f>
        <v/>
      </c>
      <c r="BN105" s="7" t="str">
        <f aca="false">IF(COUNTIF(ЗАКАЗЫ!$F$3:$F$500,$A105)=0,"",SUMIF(ЗАКАЗЫ!$F$3:$F$500,$A105,ЗАКАЗЫ!$J$3:$J$500))</f>
        <v/>
      </c>
      <c r="BO105" s="7" t="str">
        <f aca="false">IF(BN105="","",SUMIF(ЗАКАЗЫ!$F$3:$F$500,$A105,ЗАКАЗЫ!$AL$3:$AL$500))</f>
        <v/>
      </c>
      <c r="BP105" s="7" t="str">
        <f aca="false">IF(BN105="","",BN105-BO105)</f>
        <v/>
      </c>
      <c r="BQ105" s="55" t="str">
        <f aca="false">IF(BN105="","",IF(BO105&gt;=BN105,"На складе",IF(BO105&gt;0,"Частично","Ждём")))</f>
        <v/>
      </c>
      <c r="BR105" s="43"/>
      <c r="BS105" s="47" t="str">
        <f aca="false">IF(BN105="","",IF(_xlfn.MAXIFS(ЗАКАЗЫ!$AK$3:$AK$500,ЗАКАЗЫ!$F$3:$F$500,$A105)=0,"",_xlfn.MAXIFS(ЗАКАЗЫ!$AK$3:$AK$500,ЗАКАЗЫ!$F$3:$F$500,$A105)))</f>
        <v/>
      </c>
    </row>
    <row r="106" customFormat="false" ht="15.75" hidden="false" customHeight="true" outlineLevel="0" collapsed="false">
      <c r="A106" s="80" t="s">
        <v>1973</v>
      </c>
      <c r="B106" s="81"/>
      <c r="C106" s="81"/>
      <c r="D106" s="81"/>
      <c r="E106" s="83"/>
      <c r="F106" s="81"/>
      <c r="G106" s="83"/>
      <c r="H106" s="83"/>
      <c r="I106" s="84" t="str">
        <f aca="false">IF(E106="","",A106&amp;"_1.jpg")</f>
        <v/>
      </c>
      <c r="J106" s="84" t="str">
        <f aca="false">IF(E106="","",A106&amp;"_2.jpg; "&amp;A106&amp;"_3.jpg")</f>
        <v/>
      </c>
      <c r="K106" s="84" t="str">
        <f aca="false">IF(E106="","",A106&amp;"_schema.jpg")</f>
        <v/>
      </c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 t="s">
        <v>96</v>
      </c>
      <c r="W106" s="81"/>
      <c r="X106" s="81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6" t="str">
        <f aca="false">IF(SUM(Y106:AJ106)=0,"",SUM(Y106:AJ106))</f>
        <v/>
      </c>
      <c r="AL106" s="84" t="str">
        <f aca="false">MID(IF(N(Y106)&gt;0,", "&amp;Y$2,"")&amp;IF(N(Z106)&gt;0,", "&amp;Z$2,"")&amp;IF(N(AA106)&gt;0,", "&amp;AA$2,"")&amp;IF(N(AB106)&gt;0,", "&amp;AB$2,"")&amp;IF(N(AC106)&gt;0,", "&amp;AC$2,"")&amp;IF(N(AD106)&gt;0,", "&amp;AD$2,"")&amp;IF(N(AE106)&gt;0,", "&amp;AE$2,"")&amp;IF(N(AF106)&gt;0,", "&amp;AF$2,"")&amp;IF(N(AG106)&gt;0,", "&amp;AG$2,"")&amp;IF(N(AH106)&gt;0,", "&amp;AH$2,"")&amp;IF(N(AI106)&gt;0,", "&amp;AI$2,"")&amp;IF(N(AJ106)&gt;0,", "&amp;AJ$2,""),3,999)</f>
        <v/>
      </c>
      <c r="AM106" s="87" t="str">
        <f aca="false">IF(E106="","",MID(IF(N(Y106)&gt;0,", "&amp;A106&amp;"-"&amp;Y$2,"")&amp;IF(N(Z106)&gt;0,", "&amp;A106&amp;"-"&amp;Z$2,"")&amp;IF(N(AA106)&gt;0,", "&amp;A106&amp;"-"&amp;AA$2,"")&amp;IF(N(AB106)&gt;0,", "&amp;A106&amp;"-"&amp;AB$2,"")&amp;IF(N(AC106)&gt;0,", "&amp;A106&amp;"-"&amp;AC$2,"")&amp;IF(N(AD106)&gt;0,", "&amp;A106&amp;"-"&amp;AD$2,"")&amp;IF(N(AE106)&gt;0,", "&amp;A106&amp;"-"&amp;AE$2,"")&amp;IF(N(AF106)&gt;0,", "&amp;A106&amp;"-"&amp;AF$2,"")&amp;IF(N(AG106)&gt;0,", "&amp;A106&amp;"-"&amp;AG$2,"")&amp;IF(N(AH106)&gt;0,", "&amp;A106&amp;"-"&amp;AH$2,"")&amp;IF(N(AI106)&gt;0,", "&amp;A106&amp;"-"&amp;AI$2,"")&amp;IF(N(AJ106)&gt;0,", "&amp;A106&amp;"-"&amp;AJ$2,""),3,999))</f>
        <v/>
      </c>
      <c r="AN106" s="81"/>
      <c r="AO106" s="88"/>
      <c r="AP106" s="89" t="str">
        <f aca="false">IF(AO106="","",ROUND(AO106/(1+Справочники!$B$13),2))</f>
        <v/>
      </c>
      <c r="AQ106" s="90" t="str">
        <f aca="false" t="array" ref="AQ106:AQ106">IF(AP106="","",AP106*INDEX(Справочники!$B$4:$B$7,MATCH("RUB",Справочники!$A$4:$A$7,0)))</f>
        <v/>
      </c>
      <c r="AR106" s="90" t="str">
        <f aca="false">IF(AQ106="","",ROUND(AQ106*(1+Справочники!$B$12),0))</f>
        <v/>
      </c>
      <c r="AS106" s="90" t="str">
        <f aca="false">IF(AR106="","",ROUND(AR106*(1-Справочники!$B$11),0))</f>
        <v/>
      </c>
      <c r="AT106" s="88"/>
      <c r="AU106" s="90" t="str">
        <f aca="false">IF(AT106="","",ROUND(AT106/(1+Справочники!$B$12),0))</f>
        <v/>
      </c>
      <c r="AV106" s="90" t="str">
        <f aca="false">IF(AT106="","",ROUND(AT106*(1-Справочники!$B$15),0))</f>
        <v/>
      </c>
      <c r="AW106" s="90" t="str">
        <f aca="false">IF(AT106="","",ROUND(AT106*(1-Справочники!$B$16),0))</f>
        <v/>
      </c>
      <c r="AX106" s="90" t="str">
        <f aca="false">IF(AT106="","",ROUND(AT106*(1-Справочники!$B$17),0))</f>
        <v/>
      </c>
      <c r="AY106" s="90" t="str">
        <f aca="false">IF(AT106="","",ROUND(AT106*(1-Справочники!$B$18),0))</f>
        <v/>
      </c>
      <c r="AZ106" s="90" t="str">
        <f aca="false">IF(AT106="","",ROUND(AT106*(1-Справочники!$B$19),0))</f>
        <v/>
      </c>
      <c r="BA106" s="81"/>
      <c r="BB106" s="81"/>
      <c r="BC106" s="81"/>
      <c r="BD106" s="81"/>
      <c r="BE106" s="91"/>
      <c r="BF106" s="81" t="s">
        <v>103</v>
      </c>
      <c r="BG106" s="89" t="n">
        <f aca="false" t="array" ref="BG106:BG106">IF(BF106="","",IFERROR(INDEX(Справочники!$B$4:$B$7,MATCH(BF106,Справочники!$A$4:$A$7,0)),""))</f>
        <v>68.5</v>
      </c>
      <c r="BH106" s="90" t="str">
        <f aca="false">IF(N(BN106)&gt;0,ROUND(SUMIF(ЗАКАЗЫ!$F$3:$F$500,$A106,ЗАКАЗЫ!$Y$3:$Y$500)/BN106,0),IF(OR(BE106="",BG106=""),"",ROUND(BE106*BG106*(1+Справочники!$B$10),0)))</f>
        <v/>
      </c>
      <c r="BI106" s="92" t="str">
        <f aca="false">IF(OR(AU106="",BH106="",AU106=0),"",(AU106-BH106)/AU106)</f>
        <v/>
      </c>
      <c r="BJ106" s="81"/>
      <c r="BK106" s="83"/>
      <c r="BL106" s="43" t="str">
        <f aca="false">IFERROR(INDEX(ЗАКАЗЫ!$N$3:$N$500,MATCH($A106,ЗАКАЗЫ!$F$3:$F$500,0)),"")</f>
        <v/>
      </c>
      <c r="BM106" s="8" t="str">
        <f aca="false">IF(BL106="","",IFERROR(VLOOKUP(BL106,'ТН ВЭД'!$A$4:$C$40,3,0),""))</f>
        <v/>
      </c>
      <c r="BN106" s="7" t="str">
        <f aca="false">IF(COUNTIF(ЗАКАЗЫ!$F$3:$F$500,$A106)=0,"",SUMIF(ЗАКАЗЫ!$F$3:$F$500,$A106,ЗАКАЗЫ!$J$3:$J$500))</f>
        <v/>
      </c>
      <c r="BO106" s="7" t="str">
        <f aca="false">IF(BN106="","",SUMIF(ЗАКАЗЫ!$F$3:$F$500,$A106,ЗАКАЗЫ!$AL$3:$AL$500))</f>
        <v/>
      </c>
      <c r="BP106" s="7" t="str">
        <f aca="false">IF(BN106="","",BN106-BO106)</f>
        <v/>
      </c>
      <c r="BQ106" s="55" t="str">
        <f aca="false">IF(BN106="","",IF(BO106&gt;=BN106,"На складе",IF(BO106&gt;0,"Частично","Ждём")))</f>
        <v/>
      </c>
      <c r="BR106" s="43"/>
      <c r="BS106" s="47" t="str">
        <f aca="false">IF(BN106="","",IF(_xlfn.MAXIFS(ЗАКАЗЫ!$AK$3:$AK$500,ЗАКАЗЫ!$F$3:$F$500,$A106)=0,"",_xlfn.MAXIFS(ЗАКАЗЫ!$AK$3:$AK$500,ЗАКАЗЫ!$F$3:$F$500,$A106)))</f>
        <v/>
      </c>
    </row>
    <row r="107" customFormat="false" ht="15.75" hidden="false" customHeight="true" outlineLevel="0" collapsed="false">
      <c r="A107" s="80" t="s">
        <v>1974</v>
      </c>
      <c r="B107" s="81"/>
      <c r="C107" s="81"/>
      <c r="D107" s="81"/>
      <c r="E107" s="83"/>
      <c r="F107" s="81"/>
      <c r="G107" s="83"/>
      <c r="H107" s="83"/>
      <c r="I107" s="84" t="str">
        <f aca="false">IF(E107="","",A107&amp;"_1.jpg")</f>
        <v/>
      </c>
      <c r="J107" s="84" t="str">
        <f aca="false">IF(E107="","",A107&amp;"_2.jpg; "&amp;A107&amp;"_3.jpg")</f>
        <v/>
      </c>
      <c r="K107" s="84" t="str">
        <f aca="false">IF(E107="","",A107&amp;"_schema.jpg")</f>
        <v/>
      </c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 t="s">
        <v>96</v>
      </c>
      <c r="W107" s="81"/>
      <c r="X107" s="81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6" t="str">
        <f aca="false">IF(SUM(Y107:AJ107)=0,"",SUM(Y107:AJ107))</f>
        <v/>
      </c>
      <c r="AL107" s="84" t="str">
        <f aca="false">MID(IF(N(Y107)&gt;0,", "&amp;Y$2,"")&amp;IF(N(Z107)&gt;0,", "&amp;Z$2,"")&amp;IF(N(AA107)&gt;0,", "&amp;AA$2,"")&amp;IF(N(AB107)&gt;0,", "&amp;AB$2,"")&amp;IF(N(AC107)&gt;0,", "&amp;AC$2,"")&amp;IF(N(AD107)&gt;0,", "&amp;AD$2,"")&amp;IF(N(AE107)&gt;0,", "&amp;AE$2,"")&amp;IF(N(AF107)&gt;0,", "&amp;AF$2,"")&amp;IF(N(AG107)&gt;0,", "&amp;AG$2,"")&amp;IF(N(AH107)&gt;0,", "&amp;AH$2,"")&amp;IF(N(AI107)&gt;0,", "&amp;AI$2,"")&amp;IF(N(AJ107)&gt;0,", "&amp;AJ$2,""),3,999)</f>
        <v/>
      </c>
      <c r="AM107" s="87" t="str">
        <f aca="false">IF(E107="","",MID(IF(N(Y107)&gt;0,", "&amp;A107&amp;"-"&amp;Y$2,"")&amp;IF(N(Z107)&gt;0,", "&amp;A107&amp;"-"&amp;Z$2,"")&amp;IF(N(AA107)&gt;0,", "&amp;A107&amp;"-"&amp;AA$2,"")&amp;IF(N(AB107)&gt;0,", "&amp;A107&amp;"-"&amp;AB$2,"")&amp;IF(N(AC107)&gt;0,", "&amp;A107&amp;"-"&amp;AC$2,"")&amp;IF(N(AD107)&gt;0,", "&amp;A107&amp;"-"&amp;AD$2,"")&amp;IF(N(AE107)&gt;0,", "&amp;A107&amp;"-"&amp;AE$2,"")&amp;IF(N(AF107)&gt;0,", "&amp;A107&amp;"-"&amp;AF$2,"")&amp;IF(N(AG107)&gt;0,", "&amp;A107&amp;"-"&amp;AG$2,"")&amp;IF(N(AH107)&gt;0,", "&amp;A107&amp;"-"&amp;AH$2,"")&amp;IF(N(AI107)&gt;0,", "&amp;A107&amp;"-"&amp;AI$2,"")&amp;IF(N(AJ107)&gt;0,", "&amp;A107&amp;"-"&amp;AJ$2,""),3,999))</f>
        <v/>
      </c>
      <c r="AN107" s="81"/>
      <c r="AO107" s="88"/>
      <c r="AP107" s="89" t="str">
        <f aca="false">IF(AO107="","",ROUND(AO107/(1+Справочники!$B$13),2))</f>
        <v/>
      </c>
      <c r="AQ107" s="90" t="str">
        <f aca="false" t="array" ref="AQ107:AQ107">IF(AP107="","",AP107*INDEX(Справочники!$B$4:$B$7,MATCH("RUB",Справочники!$A$4:$A$7,0)))</f>
        <v/>
      </c>
      <c r="AR107" s="90" t="str">
        <f aca="false">IF(AQ107="","",ROUND(AQ107*(1+Справочники!$B$12),0))</f>
        <v/>
      </c>
      <c r="AS107" s="90" t="str">
        <f aca="false">IF(AR107="","",ROUND(AR107*(1-Справочники!$B$11),0))</f>
        <v/>
      </c>
      <c r="AT107" s="88"/>
      <c r="AU107" s="90" t="str">
        <f aca="false">IF(AT107="","",ROUND(AT107/(1+Справочники!$B$12),0))</f>
        <v/>
      </c>
      <c r="AV107" s="90" t="str">
        <f aca="false">IF(AT107="","",ROUND(AT107*(1-Справочники!$B$15),0))</f>
        <v/>
      </c>
      <c r="AW107" s="90" t="str">
        <f aca="false">IF(AT107="","",ROUND(AT107*(1-Справочники!$B$16),0))</f>
        <v/>
      </c>
      <c r="AX107" s="90" t="str">
        <f aca="false">IF(AT107="","",ROUND(AT107*(1-Справочники!$B$17),0))</f>
        <v/>
      </c>
      <c r="AY107" s="90" t="str">
        <f aca="false">IF(AT107="","",ROUND(AT107*(1-Справочники!$B$18),0))</f>
        <v/>
      </c>
      <c r="AZ107" s="90" t="str">
        <f aca="false">IF(AT107="","",ROUND(AT107*(1-Справочники!$B$19),0))</f>
        <v/>
      </c>
      <c r="BA107" s="81"/>
      <c r="BB107" s="81"/>
      <c r="BC107" s="81"/>
      <c r="BD107" s="81"/>
      <c r="BE107" s="91"/>
      <c r="BF107" s="81" t="s">
        <v>103</v>
      </c>
      <c r="BG107" s="89" t="n">
        <f aca="false" t="array" ref="BG107:BG107">IF(BF107="","",IFERROR(INDEX(Справочники!$B$4:$B$7,MATCH(BF107,Справочники!$A$4:$A$7,0)),""))</f>
        <v>68.5</v>
      </c>
      <c r="BH107" s="90" t="str">
        <f aca="false">IF(N(BN107)&gt;0,ROUND(SUMIF(ЗАКАЗЫ!$F$3:$F$500,$A107,ЗАКАЗЫ!$Y$3:$Y$500)/BN107,0),IF(OR(BE107="",BG107=""),"",ROUND(BE107*BG107*(1+Справочники!$B$10),0)))</f>
        <v/>
      </c>
      <c r="BI107" s="92" t="str">
        <f aca="false">IF(OR(AU107="",BH107="",AU107=0),"",(AU107-BH107)/AU107)</f>
        <v/>
      </c>
      <c r="BJ107" s="81"/>
      <c r="BK107" s="83"/>
      <c r="BL107" s="43" t="str">
        <f aca="false">IFERROR(INDEX(ЗАКАЗЫ!$N$3:$N$500,MATCH($A107,ЗАКАЗЫ!$F$3:$F$500,0)),"")</f>
        <v/>
      </c>
      <c r="BM107" s="8" t="str">
        <f aca="false">IF(BL107="","",IFERROR(VLOOKUP(BL107,'ТН ВЭД'!$A$4:$C$40,3,0),""))</f>
        <v/>
      </c>
      <c r="BN107" s="7" t="str">
        <f aca="false">IF(COUNTIF(ЗАКАЗЫ!$F$3:$F$500,$A107)=0,"",SUMIF(ЗАКАЗЫ!$F$3:$F$500,$A107,ЗАКАЗЫ!$J$3:$J$500))</f>
        <v/>
      </c>
      <c r="BO107" s="7" t="str">
        <f aca="false">IF(BN107="","",SUMIF(ЗАКАЗЫ!$F$3:$F$500,$A107,ЗАКАЗЫ!$AL$3:$AL$500))</f>
        <v/>
      </c>
      <c r="BP107" s="7" t="str">
        <f aca="false">IF(BN107="","",BN107-BO107)</f>
        <v/>
      </c>
      <c r="BQ107" s="55" t="str">
        <f aca="false">IF(BN107="","",IF(BO107&gt;=BN107,"На складе",IF(BO107&gt;0,"Частично","Ждём")))</f>
        <v/>
      </c>
      <c r="BR107" s="43"/>
      <c r="BS107" s="47" t="str">
        <f aca="false">IF(BN107="","",IF(_xlfn.MAXIFS(ЗАКАЗЫ!$AK$3:$AK$500,ЗАКАЗЫ!$F$3:$F$500,$A107)=0,"",_xlfn.MAXIFS(ЗАКАЗЫ!$AK$3:$AK$500,ЗАКАЗЫ!$F$3:$F$500,$A107)))</f>
        <v/>
      </c>
    </row>
    <row r="108" customFormat="false" ht="15.75" hidden="false" customHeight="true" outlineLevel="0" collapsed="false">
      <c r="A108" s="80" t="s">
        <v>1975</v>
      </c>
      <c r="B108" s="81"/>
      <c r="C108" s="81"/>
      <c r="D108" s="81"/>
      <c r="E108" s="83"/>
      <c r="F108" s="81"/>
      <c r="G108" s="83"/>
      <c r="H108" s="83"/>
      <c r="I108" s="84" t="str">
        <f aca="false">IF(E108="","",A108&amp;"_1.jpg")</f>
        <v/>
      </c>
      <c r="J108" s="84" t="str">
        <f aca="false">IF(E108="","",A108&amp;"_2.jpg; "&amp;A108&amp;"_3.jpg")</f>
        <v/>
      </c>
      <c r="K108" s="84" t="str">
        <f aca="false">IF(E108="","",A108&amp;"_schema.jpg")</f>
        <v/>
      </c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 t="s">
        <v>96</v>
      </c>
      <c r="W108" s="81"/>
      <c r="X108" s="81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6" t="str">
        <f aca="false">IF(SUM(Y108:AJ108)=0,"",SUM(Y108:AJ108))</f>
        <v/>
      </c>
      <c r="AL108" s="84" t="str">
        <f aca="false">MID(IF(N(Y108)&gt;0,", "&amp;Y$2,"")&amp;IF(N(Z108)&gt;0,", "&amp;Z$2,"")&amp;IF(N(AA108)&gt;0,", "&amp;AA$2,"")&amp;IF(N(AB108)&gt;0,", "&amp;AB$2,"")&amp;IF(N(AC108)&gt;0,", "&amp;AC$2,"")&amp;IF(N(AD108)&gt;0,", "&amp;AD$2,"")&amp;IF(N(AE108)&gt;0,", "&amp;AE$2,"")&amp;IF(N(AF108)&gt;0,", "&amp;AF$2,"")&amp;IF(N(AG108)&gt;0,", "&amp;AG$2,"")&amp;IF(N(AH108)&gt;0,", "&amp;AH$2,"")&amp;IF(N(AI108)&gt;0,", "&amp;AI$2,"")&amp;IF(N(AJ108)&gt;0,", "&amp;AJ$2,""),3,999)</f>
        <v/>
      </c>
      <c r="AM108" s="87" t="str">
        <f aca="false">IF(E108="","",MID(IF(N(Y108)&gt;0,", "&amp;A108&amp;"-"&amp;Y$2,"")&amp;IF(N(Z108)&gt;0,", "&amp;A108&amp;"-"&amp;Z$2,"")&amp;IF(N(AA108)&gt;0,", "&amp;A108&amp;"-"&amp;AA$2,"")&amp;IF(N(AB108)&gt;0,", "&amp;A108&amp;"-"&amp;AB$2,"")&amp;IF(N(AC108)&gt;0,", "&amp;A108&amp;"-"&amp;AC$2,"")&amp;IF(N(AD108)&gt;0,", "&amp;A108&amp;"-"&amp;AD$2,"")&amp;IF(N(AE108)&gt;0,", "&amp;A108&amp;"-"&amp;AE$2,"")&amp;IF(N(AF108)&gt;0,", "&amp;A108&amp;"-"&amp;AF$2,"")&amp;IF(N(AG108)&gt;0,", "&amp;A108&amp;"-"&amp;AG$2,"")&amp;IF(N(AH108)&gt;0,", "&amp;A108&amp;"-"&amp;AH$2,"")&amp;IF(N(AI108)&gt;0,", "&amp;A108&amp;"-"&amp;AI$2,"")&amp;IF(N(AJ108)&gt;0,", "&amp;A108&amp;"-"&amp;AJ$2,""),3,999))</f>
        <v/>
      </c>
      <c r="AN108" s="81"/>
      <c r="AO108" s="88"/>
      <c r="AP108" s="89" t="str">
        <f aca="false">IF(AO108="","",ROUND(AO108/(1+Справочники!$B$13),2))</f>
        <v/>
      </c>
      <c r="AQ108" s="90" t="str">
        <f aca="false" t="array" ref="AQ108:AQ108">IF(AP108="","",AP108*INDEX(Справочники!$B$4:$B$7,MATCH("RUB",Справочники!$A$4:$A$7,0)))</f>
        <v/>
      </c>
      <c r="AR108" s="90" t="str">
        <f aca="false">IF(AQ108="","",ROUND(AQ108*(1+Справочники!$B$12),0))</f>
        <v/>
      </c>
      <c r="AS108" s="90" t="str">
        <f aca="false">IF(AR108="","",ROUND(AR108*(1-Справочники!$B$11),0))</f>
        <v/>
      </c>
      <c r="AT108" s="88"/>
      <c r="AU108" s="90" t="str">
        <f aca="false">IF(AT108="","",ROUND(AT108/(1+Справочники!$B$12),0))</f>
        <v/>
      </c>
      <c r="AV108" s="90" t="str">
        <f aca="false">IF(AT108="","",ROUND(AT108*(1-Справочники!$B$15),0))</f>
        <v/>
      </c>
      <c r="AW108" s="90" t="str">
        <f aca="false">IF(AT108="","",ROUND(AT108*(1-Справочники!$B$16),0))</f>
        <v/>
      </c>
      <c r="AX108" s="90" t="str">
        <f aca="false">IF(AT108="","",ROUND(AT108*(1-Справочники!$B$17),0))</f>
        <v/>
      </c>
      <c r="AY108" s="90" t="str">
        <f aca="false">IF(AT108="","",ROUND(AT108*(1-Справочники!$B$18),0))</f>
        <v/>
      </c>
      <c r="AZ108" s="90" t="str">
        <f aca="false">IF(AT108="","",ROUND(AT108*(1-Справочники!$B$19),0))</f>
        <v/>
      </c>
      <c r="BA108" s="81"/>
      <c r="BB108" s="81"/>
      <c r="BC108" s="81"/>
      <c r="BD108" s="81"/>
      <c r="BE108" s="91"/>
      <c r="BF108" s="81" t="s">
        <v>103</v>
      </c>
      <c r="BG108" s="89" t="n">
        <f aca="false" t="array" ref="BG108:BG108">IF(BF108="","",IFERROR(INDEX(Справочники!$B$4:$B$7,MATCH(BF108,Справочники!$A$4:$A$7,0)),""))</f>
        <v>68.5</v>
      </c>
      <c r="BH108" s="90" t="str">
        <f aca="false">IF(N(BN108)&gt;0,ROUND(SUMIF(ЗАКАЗЫ!$F$3:$F$500,$A108,ЗАКАЗЫ!$Y$3:$Y$500)/BN108,0),IF(OR(BE108="",BG108=""),"",ROUND(BE108*BG108*(1+Справочники!$B$10),0)))</f>
        <v/>
      </c>
      <c r="BI108" s="92" t="str">
        <f aca="false">IF(OR(AU108="",BH108="",AU108=0),"",(AU108-BH108)/AU108)</f>
        <v/>
      </c>
      <c r="BJ108" s="81"/>
      <c r="BK108" s="83"/>
      <c r="BL108" s="43" t="str">
        <f aca="false">IFERROR(INDEX(ЗАКАЗЫ!$N$3:$N$500,MATCH($A108,ЗАКАЗЫ!$F$3:$F$500,0)),"")</f>
        <v/>
      </c>
      <c r="BM108" s="8" t="str">
        <f aca="false">IF(BL108="","",IFERROR(VLOOKUP(BL108,'ТН ВЭД'!$A$4:$C$40,3,0),""))</f>
        <v/>
      </c>
      <c r="BN108" s="7" t="str">
        <f aca="false">IF(COUNTIF(ЗАКАЗЫ!$F$3:$F$500,$A108)=0,"",SUMIF(ЗАКАЗЫ!$F$3:$F$500,$A108,ЗАКАЗЫ!$J$3:$J$500))</f>
        <v/>
      </c>
      <c r="BO108" s="7" t="str">
        <f aca="false">IF(BN108="","",SUMIF(ЗАКАЗЫ!$F$3:$F$500,$A108,ЗАКАЗЫ!$AL$3:$AL$500))</f>
        <v/>
      </c>
      <c r="BP108" s="7" t="str">
        <f aca="false">IF(BN108="","",BN108-BO108)</f>
        <v/>
      </c>
      <c r="BQ108" s="55" t="str">
        <f aca="false">IF(BN108="","",IF(BO108&gt;=BN108,"На складе",IF(BO108&gt;0,"Частично","Ждём")))</f>
        <v/>
      </c>
      <c r="BR108" s="43"/>
      <c r="BS108" s="47" t="str">
        <f aca="false">IF(BN108="","",IF(_xlfn.MAXIFS(ЗАКАЗЫ!$AK$3:$AK$500,ЗАКАЗЫ!$F$3:$F$500,$A108)=0,"",_xlfn.MAXIFS(ЗАКАЗЫ!$AK$3:$AK$500,ЗАКАЗЫ!$F$3:$F$500,$A108)))</f>
        <v/>
      </c>
    </row>
    <row r="109" customFormat="false" ht="15.75" hidden="false" customHeight="true" outlineLevel="0" collapsed="false">
      <c r="A109" s="80" t="s">
        <v>1976</v>
      </c>
      <c r="B109" s="81"/>
      <c r="C109" s="81"/>
      <c r="D109" s="81"/>
      <c r="E109" s="83"/>
      <c r="F109" s="81"/>
      <c r="G109" s="83"/>
      <c r="H109" s="83"/>
      <c r="I109" s="84" t="str">
        <f aca="false">IF(E109="","",A109&amp;"_1.jpg")</f>
        <v/>
      </c>
      <c r="J109" s="84" t="str">
        <f aca="false">IF(E109="","",A109&amp;"_2.jpg; "&amp;A109&amp;"_3.jpg")</f>
        <v/>
      </c>
      <c r="K109" s="84" t="str">
        <f aca="false">IF(E109="","",A109&amp;"_schema.jpg")</f>
        <v/>
      </c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 t="s">
        <v>96</v>
      </c>
      <c r="W109" s="81"/>
      <c r="X109" s="81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6" t="str">
        <f aca="false">IF(SUM(Y109:AJ109)=0,"",SUM(Y109:AJ109))</f>
        <v/>
      </c>
      <c r="AL109" s="84" t="str">
        <f aca="false">MID(IF(N(Y109)&gt;0,", "&amp;Y$2,"")&amp;IF(N(Z109)&gt;0,", "&amp;Z$2,"")&amp;IF(N(AA109)&gt;0,", "&amp;AA$2,"")&amp;IF(N(AB109)&gt;0,", "&amp;AB$2,"")&amp;IF(N(AC109)&gt;0,", "&amp;AC$2,"")&amp;IF(N(AD109)&gt;0,", "&amp;AD$2,"")&amp;IF(N(AE109)&gt;0,", "&amp;AE$2,"")&amp;IF(N(AF109)&gt;0,", "&amp;AF$2,"")&amp;IF(N(AG109)&gt;0,", "&amp;AG$2,"")&amp;IF(N(AH109)&gt;0,", "&amp;AH$2,"")&amp;IF(N(AI109)&gt;0,", "&amp;AI$2,"")&amp;IF(N(AJ109)&gt;0,", "&amp;AJ$2,""),3,999)</f>
        <v/>
      </c>
      <c r="AM109" s="87" t="str">
        <f aca="false">IF(E109="","",MID(IF(N(Y109)&gt;0,", "&amp;A109&amp;"-"&amp;Y$2,"")&amp;IF(N(Z109)&gt;0,", "&amp;A109&amp;"-"&amp;Z$2,"")&amp;IF(N(AA109)&gt;0,", "&amp;A109&amp;"-"&amp;AA$2,"")&amp;IF(N(AB109)&gt;0,", "&amp;A109&amp;"-"&amp;AB$2,"")&amp;IF(N(AC109)&gt;0,", "&amp;A109&amp;"-"&amp;AC$2,"")&amp;IF(N(AD109)&gt;0,", "&amp;A109&amp;"-"&amp;AD$2,"")&amp;IF(N(AE109)&gt;0,", "&amp;A109&amp;"-"&amp;AE$2,"")&amp;IF(N(AF109)&gt;0,", "&amp;A109&amp;"-"&amp;AF$2,"")&amp;IF(N(AG109)&gt;0,", "&amp;A109&amp;"-"&amp;AG$2,"")&amp;IF(N(AH109)&gt;0,", "&amp;A109&amp;"-"&amp;AH$2,"")&amp;IF(N(AI109)&gt;0,", "&amp;A109&amp;"-"&amp;AI$2,"")&amp;IF(N(AJ109)&gt;0,", "&amp;A109&amp;"-"&amp;AJ$2,""),3,999))</f>
        <v/>
      </c>
      <c r="AN109" s="81"/>
      <c r="AO109" s="88"/>
      <c r="AP109" s="89" t="str">
        <f aca="false">IF(AO109="","",ROUND(AO109/(1+Справочники!$B$13),2))</f>
        <v/>
      </c>
      <c r="AQ109" s="90" t="str">
        <f aca="false" t="array" ref="AQ109:AQ109">IF(AP109="","",AP109*INDEX(Справочники!$B$4:$B$7,MATCH("RUB",Справочники!$A$4:$A$7,0)))</f>
        <v/>
      </c>
      <c r="AR109" s="90" t="str">
        <f aca="false">IF(AQ109="","",ROUND(AQ109*(1+Справочники!$B$12),0))</f>
        <v/>
      </c>
      <c r="AS109" s="90" t="str">
        <f aca="false">IF(AR109="","",ROUND(AR109*(1-Справочники!$B$11),0))</f>
        <v/>
      </c>
      <c r="AT109" s="88"/>
      <c r="AU109" s="90" t="str">
        <f aca="false">IF(AT109="","",ROUND(AT109/(1+Справочники!$B$12),0))</f>
        <v/>
      </c>
      <c r="AV109" s="90" t="str">
        <f aca="false">IF(AT109="","",ROUND(AT109*(1-Справочники!$B$15),0))</f>
        <v/>
      </c>
      <c r="AW109" s="90" t="str">
        <f aca="false">IF(AT109="","",ROUND(AT109*(1-Справочники!$B$16),0))</f>
        <v/>
      </c>
      <c r="AX109" s="90" t="str">
        <f aca="false">IF(AT109="","",ROUND(AT109*(1-Справочники!$B$17),0))</f>
        <v/>
      </c>
      <c r="AY109" s="90" t="str">
        <f aca="false">IF(AT109="","",ROUND(AT109*(1-Справочники!$B$18),0))</f>
        <v/>
      </c>
      <c r="AZ109" s="90" t="str">
        <f aca="false">IF(AT109="","",ROUND(AT109*(1-Справочники!$B$19),0))</f>
        <v/>
      </c>
      <c r="BA109" s="81"/>
      <c r="BB109" s="81"/>
      <c r="BC109" s="81"/>
      <c r="BD109" s="81"/>
      <c r="BE109" s="91"/>
      <c r="BF109" s="81" t="s">
        <v>103</v>
      </c>
      <c r="BG109" s="89" t="n">
        <f aca="false" t="array" ref="BG109:BG109">IF(BF109="","",IFERROR(INDEX(Справочники!$B$4:$B$7,MATCH(BF109,Справочники!$A$4:$A$7,0)),""))</f>
        <v>68.5</v>
      </c>
      <c r="BH109" s="90" t="str">
        <f aca="false">IF(N(BN109)&gt;0,ROUND(SUMIF(ЗАКАЗЫ!$F$3:$F$500,$A109,ЗАКАЗЫ!$Y$3:$Y$500)/BN109,0),IF(OR(BE109="",BG109=""),"",ROUND(BE109*BG109*(1+Справочники!$B$10),0)))</f>
        <v/>
      </c>
      <c r="BI109" s="92" t="str">
        <f aca="false">IF(OR(AU109="",BH109="",AU109=0),"",(AU109-BH109)/AU109)</f>
        <v/>
      </c>
      <c r="BJ109" s="81"/>
      <c r="BK109" s="83"/>
      <c r="BL109" s="43" t="str">
        <f aca="false">IFERROR(INDEX(ЗАКАЗЫ!$N$3:$N$500,MATCH($A109,ЗАКАЗЫ!$F$3:$F$500,0)),"")</f>
        <v/>
      </c>
      <c r="BM109" s="8" t="str">
        <f aca="false">IF(BL109="","",IFERROR(VLOOKUP(BL109,'ТН ВЭД'!$A$4:$C$40,3,0),""))</f>
        <v/>
      </c>
      <c r="BN109" s="7" t="str">
        <f aca="false">IF(COUNTIF(ЗАКАЗЫ!$F$3:$F$500,$A109)=0,"",SUMIF(ЗАКАЗЫ!$F$3:$F$500,$A109,ЗАКАЗЫ!$J$3:$J$500))</f>
        <v/>
      </c>
      <c r="BO109" s="7" t="str">
        <f aca="false">IF(BN109="","",SUMIF(ЗАКАЗЫ!$F$3:$F$500,$A109,ЗАКАЗЫ!$AL$3:$AL$500))</f>
        <v/>
      </c>
      <c r="BP109" s="7" t="str">
        <f aca="false">IF(BN109="","",BN109-BO109)</f>
        <v/>
      </c>
      <c r="BQ109" s="55" t="str">
        <f aca="false">IF(BN109="","",IF(BO109&gt;=BN109,"На складе",IF(BO109&gt;0,"Частично","Ждём")))</f>
        <v/>
      </c>
      <c r="BR109" s="43"/>
      <c r="BS109" s="47" t="str">
        <f aca="false">IF(BN109="","",IF(_xlfn.MAXIFS(ЗАКАЗЫ!$AK$3:$AK$500,ЗАКАЗЫ!$F$3:$F$500,$A109)=0,"",_xlfn.MAXIFS(ЗАКАЗЫ!$AK$3:$AK$500,ЗАКАЗЫ!$F$3:$F$500,$A109)))</f>
        <v/>
      </c>
    </row>
    <row r="110" customFormat="false" ht="15.75" hidden="false" customHeight="true" outlineLevel="0" collapsed="false">
      <c r="A110" s="80" t="s">
        <v>1977</v>
      </c>
      <c r="B110" s="81"/>
      <c r="C110" s="81"/>
      <c r="D110" s="81"/>
      <c r="E110" s="83"/>
      <c r="F110" s="81"/>
      <c r="G110" s="83"/>
      <c r="H110" s="83"/>
      <c r="I110" s="84" t="str">
        <f aca="false">IF(E110="","",A110&amp;"_1.jpg")</f>
        <v/>
      </c>
      <c r="J110" s="84" t="str">
        <f aca="false">IF(E110="","",A110&amp;"_2.jpg; "&amp;A110&amp;"_3.jpg")</f>
        <v/>
      </c>
      <c r="K110" s="84" t="str">
        <f aca="false">IF(E110="","",A110&amp;"_schema.jpg")</f>
        <v/>
      </c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 t="s">
        <v>96</v>
      </c>
      <c r="W110" s="81"/>
      <c r="X110" s="81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6" t="str">
        <f aca="false">IF(SUM(Y110:AJ110)=0,"",SUM(Y110:AJ110))</f>
        <v/>
      </c>
      <c r="AL110" s="84" t="str">
        <f aca="false">MID(IF(N(Y110)&gt;0,", "&amp;Y$2,"")&amp;IF(N(Z110)&gt;0,", "&amp;Z$2,"")&amp;IF(N(AA110)&gt;0,", "&amp;AA$2,"")&amp;IF(N(AB110)&gt;0,", "&amp;AB$2,"")&amp;IF(N(AC110)&gt;0,", "&amp;AC$2,"")&amp;IF(N(AD110)&gt;0,", "&amp;AD$2,"")&amp;IF(N(AE110)&gt;0,", "&amp;AE$2,"")&amp;IF(N(AF110)&gt;0,", "&amp;AF$2,"")&amp;IF(N(AG110)&gt;0,", "&amp;AG$2,"")&amp;IF(N(AH110)&gt;0,", "&amp;AH$2,"")&amp;IF(N(AI110)&gt;0,", "&amp;AI$2,"")&amp;IF(N(AJ110)&gt;0,", "&amp;AJ$2,""),3,999)</f>
        <v/>
      </c>
      <c r="AM110" s="87" t="str">
        <f aca="false">IF(E110="","",MID(IF(N(Y110)&gt;0,", "&amp;A110&amp;"-"&amp;Y$2,"")&amp;IF(N(Z110)&gt;0,", "&amp;A110&amp;"-"&amp;Z$2,"")&amp;IF(N(AA110)&gt;0,", "&amp;A110&amp;"-"&amp;AA$2,"")&amp;IF(N(AB110)&gt;0,", "&amp;A110&amp;"-"&amp;AB$2,"")&amp;IF(N(AC110)&gt;0,", "&amp;A110&amp;"-"&amp;AC$2,"")&amp;IF(N(AD110)&gt;0,", "&amp;A110&amp;"-"&amp;AD$2,"")&amp;IF(N(AE110)&gt;0,", "&amp;A110&amp;"-"&amp;AE$2,"")&amp;IF(N(AF110)&gt;0,", "&amp;A110&amp;"-"&amp;AF$2,"")&amp;IF(N(AG110)&gt;0,", "&amp;A110&amp;"-"&amp;AG$2,"")&amp;IF(N(AH110)&gt;0,", "&amp;A110&amp;"-"&amp;AH$2,"")&amp;IF(N(AI110)&gt;0,", "&amp;A110&amp;"-"&amp;AI$2,"")&amp;IF(N(AJ110)&gt;0,", "&amp;A110&amp;"-"&amp;AJ$2,""),3,999))</f>
        <v/>
      </c>
      <c r="AN110" s="81"/>
      <c r="AO110" s="88"/>
      <c r="AP110" s="89" t="str">
        <f aca="false">IF(AO110="","",ROUND(AO110/(1+Справочники!$B$13),2))</f>
        <v/>
      </c>
      <c r="AQ110" s="90" t="str">
        <f aca="false" t="array" ref="AQ110:AQ110">IF(AP110="","",AP110*INDEX(Справочники!$B$4:$B$7,MATCH("RUB",Справочники!$A$4:$A$7,0)))</f>
        <v/>
      </c>
      <c r="AR110" s="90" t="str">
        <f aca="false">IF(AQ110="","",ROUND(AQ110*(1+Справочники!$B$12),0))</f>
        <v/>
      </c>
      <c r="AS110" s="90" t="str">
        <f aca="false">IF(AR110="","",ROUND(AR110*(1-Справочники!$B$11),0))</f>
        <v/>
      </c>
      <c r="AT110" s="88"/>
      <c r="AU110" s="90" t="str">
        <f aca="false">IF(AT110="","",ROUND(AT110/(1+Справочники!$B$12),0))</f>
        <v/>
      </c>
      <c r="AV110" s="90" t="str">
        <f aca="false">IF(AT110="","",ROUND(AT110*(1-Справочники!$B$15),0))</f>
        <v/>
      </c>
      <c r="AW110" s="90" t="str">
        <f aca="false">IF(AT110="","",ROUND(AT110*(1-Справочники!$B$16),0))</f>
        <v/>
      </c>
      <c r="AX110" s="90" t="str">
        <f aca="false">IF(AT110="","",ROUND(AT110*(1-Справочники!$B$17),0))</f>
        <v/>
      </c>
      <c r="AY110" s="90" t="str">
        <f aca="false">IF(AT110="","",ROUND(AT110*(1-Справочники!$B$18),0))</f>
        <v/>
      </c>
      <c r="AZ110" s="90" t="str">
        <f aca="false">IF(AT110="","",ROUND(AT110*(1-Справочники!$B$19),0))</f>
        <v/>
      </c>
      <c r="BA110" s="81"/>
      <c r="BB110" s="81"/>
      <c r="BC110" s="81"/>
      <c r="BD110" s="81"/>
      <c r="BE110" s="91"/>
      <c r="BF110" s="81" t="s">
        <v>103</v>
      </c>
      <c r="BG110" s="89" t="n">
        <f aca="false" t="array" ref="BG110:BG110">IF(BF110="","",IFERROR(INDEX(Справочники!$B$4:$B$7,MATCH(BF110,Справочники!$A$4:$A$7,0)),""))</f>
        <v>68.5</v>
      </c>
      <c r="BH110" s="90" t="str">
        <f aca="false">IF(N(BN110)&gt;0,ROUND(SUMIF(ЗАКАЗЫ!$F$3:$F$500,$A110,ЗАКАЗЫ!$Y$3:$Y$500)/BN110,0),IF(OR(BE110="",BG110=""),"",ROUND(BE110*BG110*(1+Справочники!$B$10),0)))</f>
        <v/>
      </c>
      <c r="BI110" s="92" t="str">
        <f aca="false">IF(OR(AU110="",BH110="",AU110=0),"",(AU110-BH110)/AU110)</f>
        <v/>
      </c>
      <c r="BJ110" s="81"/>
      <c r="BK110" s="83"/>
      <c r="BL110" s="43" t="str">
        <f aca="false">IFERROR(INDEX(ЗАКАЗЫ!$N$3:$N$500,MATCH($A110,ЗАКАЗЫ!$F$3:$F$500,0)),"")</f>
        <v/>
      </c>
      <c r="BM110" s="8" t="str">
        <f aca="false">IF(BL110="","",IFERROR(VLOOKUP(BL110,'ТН ВЭД'!$A$4:$C$40,3,0),""))</f>
        <v/>
      </c>
      <c r="BN110" s="7" t="str">
        <f aca="false">IF(COUNTIF(ЗАКАЗЫ!$F$3:$F$500,$A110)=0,"",SUMIF(ЗАКАЗЫ!$F$3:$F$500,$A110,ЗАКАЗЫ!$J$3:$J$500))</f>
        <v/>
      </c>
      <c r="BO110" s="7" t="str">
        <f aca="false">IF(BN110="","",SUMIF(ЗАКАЗЫ!$F$3:$F$500,$A110,ЗАКАЗЫ!$AL$3:$AL$500))</f>
        <v/>
      </c>
      <c r="BP110" s="7" t="str">
        <f aca="false">IF(BN110="","",BN110-BO110)</f>
        <v/>
      </c>
      <c r="BQ110" s="55" t="str">
        <f aca="false">IF(BN110="","",IF(BO110&gt;=BN110,"На складе",IF(BO110&gt;0,"Частично","Ждём")))</f>
        <v/>
      </c>
      <c r="BR110" s="43"/>
      <c r="BS110" s="47" t="str">
        <f aca="false">IF(BN110="","",IF(_xlfn.MAXIFS(ЗАКАЗЫ!$AK$3:$AK$500,ЗАКАЗЫ!$F$3:$F$500,$A110)=0,"",_xlfn.MAXIFS(ЗАКАЗЫ!$AK$3:$AK$500,ЗАКАЗЫ!$F$3:$F$500,$A110)))</f>
        <v/>
      </c>
    </row>
    <row r="111" customFormat="false" ht="15.75" hidden="false" customHeight="true" outlineLevel="0" collapsed="false">
      <c r="A111" s="80" t="s">
        <v>1978</v>
      </c>
      <c r="B111" s="81"/>
      <c r="C111" s="81"/>
      <c r="D111" s="81"/>
      <c r="E111" s="83"/>
      <c r="F111" s="81"/>
      <c r="G111" s="83"/>
      <c r="H111" s="83"/>
      <c r="I111" s="84" t="str">
        <f aca="false">IF(E111="","",A111&amp;"_1.jpg")</f>
        <v/>
      </c>
      <c r="J111" s="84" t="str">
        <f aca="false">IF(E111="","",A111&amp;"_2.jpg; "&amp;A111&amp;"_3.jpg")</f>
        <v/>
      </c>
      <c r="K111" s="84" t="str">
        <f aca="false">IF(E111="","",A111&amp;"_schema.jpg")</f>
        <v/>
      </c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 t="s">
        <v>96</v>
      </c>
      <c r="W111" s="81"/>
      <c r="X111" s="81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6" t="str">
        <f aca="false">IF(SUM(Y111:AJ111)=0,"",SUM(Y111:AJ111))</f>
        <v/>
      </c>
      <c r="AL111" s="84" t="str">
        <f aca="false">MID(IF(N(Y111)&gt;0,", "&amp;Y$2,"")&amp;IF(N(Z111)&gt;0,", "&amp;Z$2,"")&amp;IF(N(AA111)&gt;0,", "&amp;AA$2,"")&amp;IF(N(AB111)&gt;0,", "&amp;AB$2,"")&amp;IF(N(AC111)&gt;0,", "&amp;AC$2,"")&amp;IF(N(AD111)&gt;0,", "&amp;AD$2,"")&amp;IF(N(AE111)&gt;0,", "&amp;AE$2,"")&amp;IF(N(AF111)&gt;0,", "&amp;AF$2,"")&amp;IF(N(AG111)&gt;0,", "&amp;AG$2,"")&amp;IF(N(AH111)&gt;0,", "&amp;AH$2,"")&amp;IF(N(AI111)&gt;0,", "&amp;AI$2,"")&amp;IF(N(AJ111)&gt;0,", "&amp;AJ$2,""),3,999)</f>
        <v/>
      </c>
      <c r="AM111" s="87" t="str">
        <f aca="false">IF(E111="","",MID(IF(N(Y111)&gt;0,", "&amp;A111&amp;"-"&amp;Y$2,"")&amp;IF(N(Z111)&gt;0,", "&amp;A111&amp;"-"&amp;Z$2,"")&amp;IF(N(AA111)&gt;0,", "&amp;A111&amp;"-"&amp;AA$2,"")&amp;IF(N(AB111)&gt;0,", "&amp;A111&amp;"-"&amp;AB$2,"")&amp;IF(N(AC111)&gt;0,", "&amp;A111&amp;"-"&amp;AC$2,"")&amp;IF(N(AD111)&gt;0,", "&amp;A111&amp;"-"&amp;AD$2,"")&amp;IF(N(AE111)&gt;0,", "&amp;A111&amp;"-"&amp;AE$2,"")&amp;IF(N(AF111)&gt;0,", "&amp;A111&amp;"-"&amp;AF$2,"")&amp;IF(N(AG111)&gt;0,", "&amp;A111&amp;"-"&amp;AG$2,"")&amp;IF(N(AH111)&gt;0,", "&amp;A111&amp;"-"&amp;AH$2,"")&amp;IF(N(AI111)&gt;0,", "&amp;A111&amp;"-"&amp;AI$2,"")&amp;IF(N(AJ111)&gt;0,", "&amp;A111&amp;"-"&amp;AJ$2,""),3,999))</f>
        <v/>
      </c>
      <c r="AN111" s="81"/>
      <c r="AO111" s="88"/>
      <c r="AP111" s="89" t="str">
        <f aca="false">IF(AO111="","",ROUND(AO111/(1+Справочники!$B$13),2))</f>
        <v/>
      </c>
      <c r="AQ111" s="90" t="str">
        <f aca="false" t="array" ref="AQ111:AQ111">IF(AP111="","",AP111*INDEX(Справочники!$B$4:$B$7,MATCH("RUB",Справочники!$A$4:$A$7,0)))</f>
        <v/>
      </c>
      <c r="AR111" s="90" t="str">
        <f aca="false">IF(AQ111="","",ROUND(AQ111*(1+Справочники!$B$12),0))</f>
        <v/>
      </c>
      <c r="AS111" s="90" t="str">
        <f aca="false">IF(AR111="","",ROUND(AR111*(1-Справочники!$B$11),0))</f>
        <v/>
      </c>
      <c r="AT111" s="88"/>
      <c r="AU111" s="90" t="str">
        <f aca="false">IF(AT111="","",ROUND(AT111/(1+Справочники!$B$12),0))</f>
        <v/>
      </c>
      <c r="AV111" s="90" t="str">
        <f aca="false">IF(AT111="","",ROUND(AT111*(1-Справочники!$B$15),0))</f>
        <v/>
      </c>
      <c r="AW111" s="90" t="str">
        <f aca="false">IF(AT111="","",ROUND(AT111*(1-Справочники!$B$16),0))</f>
        <v/>
      </c>
      <c r="AX111" s="90" t="str">
        <f aca="false">IF(AT111="","",ROUND(AT111*(1-Справочники!$B$17),0))</f>
        <v/>
      </c>
      <c r="AY111" s="90" t="str">
        <f aca="false">IF(AT111="","",ROUND(AT111*(1-Справочники!$B$18),0))</f>
        <v/>
      </c>
      <c r="AZ111" s="90" t="str">
        <f aca="false">IF(AT111="","",ROUND(AT111*(1-Справочники!$B$19),0))</f>
        <v/>
      </c>
      <c r="BA111" s="81"/>
      <c r="BB111" s="81"/>
      <c r="BC111" s="81"/>
      <c r="BD111" s="81"/>
      <c r="BE111" s="91"/>
      <c r="BF111" s="81" t="s">
        <v>103</v>
      </c>
      <c r="BG111" s="89" t="n">
        <f aca="false" t="array" ref="BG111:BG111">IF(BF111="","",IFERROR(INDEX(Справочники!$B$4:$B$7,MATCH(BF111,Справочники!$A$4:$A$7,0)),""))</f>
        <v>68.5</v>
      </c>
      <c r="BH111" s="90" t="str">
        <f aca="false">IF(N(BN111)&gt;0,ROUND(SUMIF(ЗАКАЗЫ!$F$3:$F$500,$A111,ЗАКАЗЫ!$Y$3:$Y$500)/BN111,0),IF(OR(BE111="",BG111=""),"",ROUND(BE111*BG111*(1+Справочники!$B$10),0)))</f>
        <v/>
      </c>
      <c r="BI111" s="92" t="str">
        <f aca="false">IF(OR(AU111="",BH111="",AU111=0),"",(AU111-BH111)/AU111)</f>
        <v/>
      </c>
      <c r="BJ111" s="81"/>
      <c r="BK111" s="83"/>
      <c r="BL111" s="43" t="str">
        <f aca="false">IFERROR(INDEX(ЗАКАЗЫ!$N$3:$N$500,MATCH($A111,ЗАКАЗЫ!$F$3:$F$500,0)),"")</f>
        <v/>
      </c>
      <c r="BM111" s="8" t="str">
        <f aca="false">IF(BL111="","",IFERROR(VLOOKUP(BL111,'ТН ВЭД'!$A$4:$C$40,3,0),""))</f>
        <v/>
      </c>
      <c r="BN111" s="7" t="str">
        <f aca="false">IF(COUNTIF(ЗАКАЗЫ!$F$3:$F$500,$A111)=0,"",SUMIF(ЗАКАЗЫ!$F$3:$F$500,$A111,ЗАКАЗЫ!$J$3:$J$500))</f>
        <v/>
      </c>
      <c r="BO111" s="7" t="str">
        <f aca="false">IF(BN111="","",SUMIF(ЗАКАЗЫ!$F$3:$F$500,$A111,ЗАКАЗЫ!$AL$3:$AL$500))</f>
        <v/>
      </c>
      <c r="BP111" s="7" t="str">
        <f aca="false">IF(BN111="","",BN111-BO111)</f>
        <v/>
      </c>
      <c r="BQ111" s="55" t="str">
        <f aca="false">IF(BN111="","",IF(BO111&gt;=BN111,"На складе",IF(BO111&gt;0,"Частично","Ждём")))</f>
        <v/>
      </c>
      <c r="BR111" s="43"/>
      <c r="BS111" s="47" t="str">
        <f aca="false">IF(BN111="","",IF(_xlfn.MAXIFS(ЗАКАЗЫ!$AK$3:$AK$500,ЗАКАЗЫ!$F$3:$F$500,$A111)=0,"",_xlfn.MAXIFS(ЗАКАЗЫ!$AK$3:$AK$500,ЗАКАЗЫ!$F$3:$F$500,$A111)))</f>
        <v/>
      </c>
    </row>
    <row r="112" customFormat="false" ht="15.75" hidden="false" customHeight="true" outlineLevel="0" collapsed="false">
      <c r="A112" s="80" t="s">
        <v>1979</v>
      </c>
      <c r="B112" s="81"/>
      <c r="C112" s="81"/>
      <c r="D112" s="81"/>
      <c r="E112" s="83"/>
      <c r="F112" s="81"/>
      <c r="G112" s="83"/>
      <c r="H112" s="83"/>
      <c r="I112" s="84" t="str">
        <f aca="false">IF(E112="","",A112&amp;"_1.jpg")</f>
        <v/>
      </c>
      <c r="J112" s="84" t="str">
        <f aca="false">IF(E112="","",A112&amp;"_2.jpg; "&amp;A112&amp;"_3.jpg")</f>
        <v/>
      </c>
      <c r="K112" s="84" t="str">
        <f aca="false">IF(E112="","",A112&amp;"_schema.jpg")</f>
        <v/>
      </c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 t="s">
        <v>96</v>
      </c>
      <c r="W112" s="81"/>
      <c r="X112" s="81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6" t="str">
        <f aca="false">IF(SUM(Y112:AJ112)=0,"",SUM(Y112:AJ112))</f>
        <v/>
      </c>
      <c r="AL112" s="84" t="str">
        <f aca="false">MID(IF(N(Y112)&gt;0,", "&amp;Y$2,"")&amp;IF(N(Z112)&gt;0,", "&amp;Z$2,"")&amp;IF(N(AA112)&gt;0,", "&amp;AA$2,"")&amp;IF(N(AB112)&gt;0,", "&amp;AB$2,"")&amp;IF(N(AC112)&gt;0,", "&amp;AC$2,"")&amp;IF(N(AD112)&gt;0,", "&amp;AD$2,"")&amp;IF(N(AE112)&gt;0,", "&amp;AE$2,"")&amp;IF(N(AF112)&gt;0,", "&amp;AF$2,"")&amp;IF(N(AG112)&gt;0,", "&amp;AG$2,"")&amp;IF(N(AH112)&gt;0,", "&amp;AH$2,"")&amp;IF(N(AI112)&gt;0,", "&amp;AI$2,"")&amp;IF(N(AJ112)&gt;0,", "&amp;AJ$2,""),3,999)</f>
        <v/>
      </c>
      <c r="AM112" s="87" t="str">
        <f aca="false">IF(E112="","",MID(IF(N(Y112)&gt;0,", "&amp;A112&amp;"-"&amp;Y$2,"")&amp;IF(N(Z112)&gt;0,", "&amp;A112&amp;"-"&amp;Z$2,"")&amp;IF(N(AA112)&gt;0,", "&amp;A112&amp;"-"&amp;AA$2,"")&amp;IF(N(AB112)&gt;0,", "&amp;A112&amp;"-"&amp;AB$2,"")&amp;IF(N(AC112)&gt;0,", "&amp;A112&amp;"-"&amp;AC$2,"")&amp;IF(N(AD112)&gt;0,", "&amp;A112&amp;"-"&amp;AD$2,"")&amp;IF(N(AE112)&gt;0,", "&amp;A112&amp;"-"&amp;AE$2,"")&amp;IF(N(AF112)&gt;0,", "&amp;A112&amp;"-"&amp;AF$2,"")&amp;IF(N(AG112)&gt;0,", "&amp;A112&amp;"-"&amp;AG$2,"")&amp;IF(N(AH112)&gt;0,", "&amp;A112&amp;"-"&amp;AH$2,"")&amp;IF(N(AI112)&gt;0,", "&amp;A112&amp;"-"&amp;AI$2,"")&amp;IF(N(AJ112)&gt;0,", "&amp;A112&amp;"-"&amp;AJ$2,""),3,999))</f>
        <v/>
      </c>
      <c r="AN112" s="81"/>
      <c r="AO112" s="88"/>
      <c r="AP112" s="89" t="str">
        <f aca="false">IF(AO112="","",ROUND(AO112/(1+Справочники!$B$13),2))</f>
        <v/>
      </c>
      <c r="AQ112" s="90" t="str">
        <f aca="false" t="array" ref="AQ112:AQ112">IF(AP112="","",AP112*INDEX(Справочники!$B$4:$B$7,MATCH("RUB",Справочники!$A$4:$A$7,0)))</f>
        <v/>
      </c>
      <c r="AR112" s="90" t="str">
        <f aca="false">IF(AQ112="","",ROUND(AQ112*(1+Справочники!$B$12),0))</f>
        <v/>
      </c>
      <c r="AS112" s="90" t="str">
        <f aca="false">IF(AR112="","",ROUND(AR112*(1-Справочники!$B$11),0))</f>
        <v/>
      </c>
      <c r="AT112" s="88"/>
      <c r="AU112" s="90" t="str">
        <f aca="false">IF(AT112="","",ROUND(AT112/(1+Справочники!$B$12),0))</f>
        <v/>
      </c>
      <c r="AV112" s="90" t="str">
        <f aca="false">IF(AT112="","",ROUND(AT112*(1-Справочники!$B$15),0))</f>
        <v/>
      </c>
      <c r="AW112" s="90" t="str">
        <f aca="false">IF(AT112="","",ROUND(AT112*(1-Справочники!$B$16),0))</f>
        <v/>
      </c>
      <c r="AX112" s="90" t="str">
        <f aca="false">IF(AT112="","",ROUND(AT112*(1-Справочники!$B$17),0))</f>
        <v/>
      </c>
      <c r="AY112" s="90" t="str">
        <f aca="false">IF(AT112="","",ROUND(AT112*(1-Справочники!$B$18),0))</f>
        <v/>
      </c>
      <c r="AZ112" s="90" t="str">
        <f aca="false">IF(AT112="","",ROUND(AT112*(1-Справочники!$B$19),0))</f>
        <v/>
      </c>
      <c r="BA112" s="81"/>
      <c r="BB112" s="81"/>
      <c r="BC112" s="81"/>
      <c r="BD112" s="81"/>
      <c r="BE112" s="91"/>
      <c r="BF112" s="81" t="s">
        <v>103</v>
      </c>
      <c r="BG112" s="89" t="n">
        <f aca="false" t="array" ref="BG112:BG112">IF(BF112="","",IFERROR(INDEX(Справочники!$B$4:$B$7,MATCH(BF112,Справочники!$A$4:$A$7,0)),""))</f>
        <v>68.5</v>
      </c>
      <c r="BH112" s="90" t="str">
        <f aca="false">IF(N(BN112)&gt;0,ROUND(SUMIF(ЗАКАЗЫ!$F$3:$F$500,$A112,ЗАКАЗЫ!$Y$3:$Y$500)/BN112,0),IF(OR(BE112="",BG112=""),"",ROUND(BE112*BG112*(1+Справочники!$B$10),0)))</f>
        <v/>
      </c>
      <c r="BI112" s="92" t="str">
        <f aca="false">IF(OR(AU112="",BH112="",AU112=0),"",(AU112-BH112)/AU112)</f>
        <v/>
      </c>
      <c r="BJ112" s="81"/>
      <c r="BK112" s="83"/>
      <c r="BL112" s="43" t="str">
        <f aca="false">IFERROR(INDEX(ЗАКАЗЫ!$N$3:$N$500,MATCH($A112,ЗАКАЗЫ!$F$3:$F$500,0)),"")</f>
        <v/>
      </c>
      <c r="BM112" s="8" t="str">
        <f aca="false">IF(BL112="","",IFERROR(VLOOKUP(BL112,'ТН ВЭД'!$A$4:$C$40,3,0),""))</f>
        <v/>
      </c>
      <c r="BN112" s="7" t="str">
        <f aca="false">IF(COUNTIF(ЗАКАЗЫ!$F$3:$F$500,$A112)=0,"",SUMIF(ЗАКАЗЫ!$F$3:$F$500,$A112,ЗАКАЗЫ!$J$3:$J$500))</f>
        <v/>
      </c>
      <c r="BO112" s="7" t="str">
        <f aca="false">IF(BN112="","",SUMIF(ЗАКАЗЫ!$F$3:$F$500,$A112,ЗАКАЗЫ!$AL$3:$AL$500))</f>
        <v/>
      </c>
      <c r="BP112" s="7" t="str">
        <f aca="false">IF(BN112="","",BN112-BO112)</f>
        <v/>
      </c>
      <c r="BQ112" s="55" t="str">
        <f aca="false">IF(BN112="","",IF(BO112&gt;=BN112,"На складе",IF(BO112&gt;0,"Частично","Ждём")))</f>
        <v/>
      </c>
      <c r="BR112" s="43"/>
      <c r="BS112" s="47" t="str">
        <f aca="false">IF(BN112="","",IF(_xlfn.MAXIFS(ЗАКАЗЫ!$AK$3:$AK$500,ЗАКАЗЫ!$F$3:$F$500,$A112)=0,"",_xlfn.MAXIFS(ЗАКАЗЫ!$AK$3:$AK$500,ЗАКАЗЫ!$F$3:$F$500,$A112)))</f>
        <v/>
      </c>
    </row>
    <row r="113" customFormat="false" ht="15.75" hidden="false" customHeight="true" outlineLevel="0" collapsed="false">
      <c r="A113" s="80" t="s">
        <v>1980</v>
      </c>
      <c r="B113" s="81"/>
      <c r="C113" s="81"/>
      <c r="D113" s="81"/>
      <c r="E113" s="83"/>
      <c r="F113" s="81"/>
      <c r="G113" s="83"/>
      <c r="H113" s="83"/>
      <c r="I113" s="84" t="str">
        <f aca="false">IF(E113="","",A113&amp;"_1.jpg")</f>
        <v/>
      </c>
      <c r="J113" s="84" t="str">
        <f aca="false">IF(E113="","",A113&amp;"_2.jpg; "&amp;A113&amp;"_3.jpg")</f>
        <v/>
      </c>
      <c r="K113" s="84" t="str">
        <f aca="false">IF(E113="","",A113&amp;"_schema.jpg")</f>
        <v/>
      </c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 t="s">
        <v>96</v>
      </c>
      <c r="W113" s="81"/>
      <c r="X113" s="81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6" t="str">
        <f aca="false">IF(SUM(Y113:AJ113)=0,"",SUM(Y113:AJ113))</f>
        <v/>
      </c>
      <c r="AL113" s="84" t="str">
        <f aca="false">MID(IF(N(Y113)&gt;0,", "&amp;Y$2,"")&amp;IF(N(Z113)&gt;0,", "&amp;Z$2,"")&amp;IF(N(AA113)&gt;0,", "&amp;AA$2,"")&amp;IF(N(AB113)&gt;0,", "&amp;AB$2,"")&amp;IF(N(AC113)&gt;0,", "&amp;AC$2,"")&amp;IF(N(AD113)&gt;0,", "&amp;AD$2,"")&amp;IF(N(AE113)&gt;0,", "&amp;AE$2,"")&amp;IF(N(AF113)&gt;0,", "&amp;AF$2,"")&amp;IF(N(AG113)&gt;0,", "&amp;AG$2,"")&amp;IF(N(AH113)&gt;0,", "&amp;AH$2,"")&amp;IF(N(AI113)&gt;0,", "&amp;AI$2,"")&amp;IF(N(AJ113)&gt;0,", "&amp;AJ$2,""),3,999)</f>
        <v/>
      </c>
      <c r="AM113" s="87" t="str">
        <f aca="false">IF(E113="","",MID(IF(N(Y113)&gt;0,", "&amp;A113&amp;"-"&amp;Y$2,"")&amp;IF(N(Z113)&gt;0,", "&amp;A113&amp;"-"&amp;Z$2,"")&amp;IF(N(AA113)&gt;0,", "&amp;A113&amp;"-"&amp;AA$2,"")&amp;IF(N(AB113)&gt;0,", "&amp;A113&amp;"-"&amp;AB$2,"")&amp;IF(N(AC113)&gt;0,", "&amp;A113&amp;"-"&amp;AC$2,"")&amp;IF(N(AD113)&gt;0,", "&amp;A113&amp;"-"&amp;AD$2,"")&amp;IF(N(AE113)&gt;0,", "&amp;A113&amp;"-"&amp;AE$2,"")&amp;IF(N(AF113)&gt;0,", "&amp;A113&amp;"-"&amp;AF$2,"")&amp;IF(N(AG113)&gt;0,", "&amp;A113&amp;"-"&amp;AG$2,"")&amp;IF(N(AH113)&gt;0,", "&amp;A113&amp;"-"&amp;AH$2,"")&amp;IF(N(AI113)&gt;0,", "&amp;A113&amp;"-"&amp;AI$2,"")&amp;IF(N(AJ113)&gt;0,", "&amp;A113&amp;"-"&amp;AJ$2,""),3,999))</f>
        <v/>
      </c>
      <c r="AN113" s="81"/>
      <c r="AO113" s="88"/>
      <c r="AP113" s="89" t="str">
        <f aca="false">IF(AO113="","",ROUND(AO113/(1+Справочники!$B$13),2))</f>
        <v/>
      </c>
      <c r="AQ113" s="90" t="str">
        <f aca="false" t="array" ref="AQ113:AQ113">IF(AP113="","",AP113*INDEX(Справочники!$B$4:$B$7,MATCH("RUB",Справочники!$A$4:$A$7,0)))</f>
        <v/>
      </c>
      <c r="AR113" s="90" t="str">
        <f aca="false">IF(AQ113="","",ROUND(AQ113*(1+Справочники!$B$12),0))</f>
        <v/>
      </c>
      <c r="AS113" s="90" t="str">
        <f aca="false">IF(AR113="","",ROUND(AR113*(1-Справочники!$B$11),0))</f>
        <v/>
      </c>
      <c r="AT113" s="88"/>
      <c r="AU113" s="90" t="str">
        <f aca="false">IF(AT113="","",ROUND(AT113/(1+Справочники!$B$12),0))</f>
        <v/>
      </c>
      <c r="AV113" s="90" t="str">
        <f aca="false">IF(AT113="","",ROUND(AT113*(1-Справочники!$B$15),0))</f>
        <v/>
      </c>
      <c r="AW113" s="90" t="str">
        <f aca="false">IF(AT113="","",ROUND(AT113*(1-Справочники!$B$16),0))</f>
        <v/>
      </c>
      <c r="AX113" s="90" t="str">
        <f aca="false">IF(AT113="","",ROUND(AT113*(1-Справочники!$B$17),0))</f>
        <v/>
      </c>
      <c r="AY113" s="90" t="str">
        <f aca="false">IF(AT113="","",ROUND(AT113*(1-Справочники!$B$18),0))</f>
        <v/>
      </c>
      <c r="AZ113" s="90" t="str">
        <f aca="false">IF(AT113="","",ROUND(AT113*(1-Справочники!$B$19),0))</f>
        <v/>
      </c>
      <c r="BA113" s="81"/>
      <c r="BB113" s="81"/>
      <c r="BC113" s="81"/>
      <c r="BD113" s="81"/>
      <c r="BE113" s="91"/>
      <c r="BF113" s="81" t="s">
        <v>103</v>
      </c>
      <c r="BG113" s="89" t="n">
        <f aca="false" t="array" ref="BG113:BG113">IF(BF113="","",IFERROR(INDEX(Справочники!$B$4:$B$7,MATCH(BF113,Справочники!$A$4:$A$7,0)),""))</f>
        <v>68.5</v>
      </c>
      <c r="BH113" s="90" t="str">
        <f aca="false">IF(N(BN113)&gt;0,ROUND(SUMIF(ЗАКАЗЫ!$F$3:$F$500,$A113,ЗАКАЗЫ!$Y$3:$Y$500)/BN113,0),IF(OR(BE113="",BG113=""),"",ROUND(BE113*BG113*(1+Справочники!$B$10),0)))</f>
        <v/>
      </c>
      <c r="BI113" s="92" t="str">
        <f aca="false">IF(OR(AU113="",BH113="",AU113=0),"",(AU113-BH113)/AU113)</f>
        <v/>
      </c>
      <c r="BJ113" s="81"/>
      <c r="BK113" s="83"/>
      <c r="BL113" s="43" t="str">
        <f aca="false">IFERROR(INDEX(ЗАКАЗЫ!$N$3:$N$500,MATCH($A113,ЗАКАЗЫ!$F$3:$F$500,0)),"")</f>
        <v/>
      </c>
      <c r="BM113" s="8" t="str">
        <f aca="false">IF(BL113="","",IFERROR(VLOOKUP(BL113,'ТН ВЭД'!$A$4:$C$40,3,0),""))</f>
        <v/>
      </c>
      <c r="BN113" s="7" t="str">
        <f aca="false">IF(COUNTIF(ЗАКАЗЫ!$F$3:$F$500,$A113)=0,"",SUMIF(ЗАКАЗЫ!$F$3:$F$500,$A113,ЗАКАЗЫ!$J$3:$J$500))</f>
        <v/>
      </c>
      <c r="BO113" s="7" t="str">
        <f aca="false">IF(BN113="","",SUMIF(ЗАКАЗЫ!$F$3:$F$500,$A113,ЗАКАЗЫ!$AL$3:$AL$500))</f>
        <v/>
      </c>
      <c r="BP113" s="7" t="str">
        <f aca="false">IF(BN113="","",BN113-BO113)</f>
        <v/>
      </c>
      <c r="BQ113" s="55" t="str">
        <f aca="false">IF(BN113="","",IF(BO113&gt;=BN113,"На складе",IF(BO113&gt;0,"Частично","Ждём")))</f>
        <v/>
      </c>
      <c r="BR113" s="43"/>
      <c r="BS113" s="47" t="str">
        <f aca="false">IF(BN113="","",IF(_xlfn.MAXIFS(ЗАКАЗЫ!$AK$3:$AK$500,ЗАКАЗЫ!$F$3:$F$500,$A113)=0,"",_xlfn.MAXIFS(ЗАКАЗЫ!$AK$3:$AK$500,ЗАКАЗЫ!$F$3:$F$500,$A113)))</f>
        <v/>
      </c>
    </row>
    <row r="114" customFormat="false" ht="15.75" hidden="false" customHeight="true" outlineLevel="0" collapsed="false">
      <c r="A114" s="80" t="s">
        <v>1981</v>
      </c>
      <c r="B114" s="81"/>
      <c r="C114" s="81"/>
      <c r="D114" s="81"/>
      <c r="E114" s="83"/>
      <c r="F114" s="81"/>
      <c r="G114" s="83"/>
      <c r="H114" s="83"/>
      <c r="I114" s="84" t="str">
        <f aca="false">IF(E114="","",A114&amp;"_1.jpg")</f>
        <v/>
      </c>
      <c r="J114" s="84" t="str">
        <f aca="false">IF(E114="","",A114&amp;"_2.jpg; "&amp;A114&amp;"_3.jpg")</f>
        <v/>
      </c>
      <c r="K114" s="84" t="str">
        <f aca="false">IF(E114="","",A114&amp;"_schema.jpg")</f>
        <v/>
      </c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 t="s">
        <v>96</v>
      </c>
      <c r="W114" s="81"/>
      <c r="X114" s="81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6" t="str">
        <f aca="false">IF(SUM(Y114:AJ114)=0,"",SUM(Y114:AJ114))</f>
        <v/>
      </c>
      <c r="AL114" s="84" t="str">
        <f aca="false">MID(IF(N(Y114)&gt;0,", "&amp;Y$2,"")&amp;IF(N(Z114)&gt;0,", "&amp;Z$2,"")&amp;IF(N(AA114)&gt;0,", "&amp;AA$2,"")&amp;IF(N(AB114)&gt;0,", "&amp;AB$2,"")&amp;IF(N(AC114)&gt;0,", "&amp;AC$2,"")&amp;IF(N(AD114)&gt;0,", "&amp;AD$2,"")&amp;IF(N(AE114)&gt;0,", "&amp;AE$2,"")&amp;IF(N(AF114)&gt;0,", "&amp;AF$2,"")&amp;IF(N(AG114)&gt;0,", "&amp;AG$2,"")&amp;IF(N(AH114)&gt;0,", "&amp;AH$2,"")&amp;IF(N(AI114)&gt;0,", "&amp;AI$2,"")&amp;IF(N(AJ114)&gt;0,", "&amp;AJ$2,""),3,999)</f>
        <v/>
      </c>
      <c r="AM114" s="87" t="str">
        <f aca="false">IF(E114="","",MID(IF(N(Y114)&gt;0,", "&amp;A114&amp;"-"&amp;Y$2,"")&amp;IF(N(Z114)&gt;0,", "&amp;A114&amp;"-"&amp;Z$2,"")&amp;IF(N(AA114)&gt;0,", "&amp;A114&amp;"-"&amp;AA$2,"")&amp;IF(N(AB114)&gt;0,", "&amp;A114&amp;"-"&amp;AB$2,"")&amp;IF(N(AC114)&gt;0,", "&amp;A114&amp;"-"&amp;AC$2,"")&amp;IF(N(AD114)&gt;0,", "&amp;A114&amp;"-"&amp;AD$2,"")&amp;IF(N(AE114)&gt;0,", "&amp;A114&amp;"-"&amp;AE$2,"")&amp;IF(N(AF114)&gt;0,", "&amp;A114&amp;"-"&amp;AF$2,"")&amp;IF(N(AG114)&gt;0,", "&amp;A114&amp;"-"&amp;AG$2,"")&amp;IF(N(AH114)&gt;0,", "&amp;A114&amp;"-"&amp;AH$2,"")&amp;IF(N(AI114)&gt;0,", "&amp;A114&amp;"-"&amp;AI$2,"")&amp;IF(N(AJ114)&gt;0,", "&amp;A114&amp;"-"&amp;AJ$2,""),3,999))</f>
        <v/>
      </c>
      <c r="AN114" s="81"/>
      <c r="AO114" s="88"/>
      <c r="AP114" s="89" t="str">
        <f aca="false">IF(AO114="","",ROUND(AO114/(1+Справочники!$B$13),2))</f>
        <v/>
      </c>
      <c r="AQ114" s="90" t="str">
        <f aca="false" t="array" ref="AQ114:AQ114">IF(AP114="","",AP114*INDEX(Справочники!$B$4:$B$7,MATCH("RUB",Справочники!$A$4:$A$7,0)))</f>
        <v/>
      </c>
      <c r="AR114" s="90" t="str">
        <f aca="false">IF(AQ114="","",ROUND(AQ114*(1+Справочники!$B$12),0))</f>
        <v/>
      </c>
      <c r="AS114" s="90" t="str">
        <f aca="false">IF(AR114="","",ROUND(AR114*(1-Справочники!$B$11),0))</f>
        <v/>
      </c>
      <c r="AT114" s="88"/>
      <c r="AU114" s="90" t="str">
        <f aca="false">IF(AT114="","",ROUND(AT114/(1+Справочники!$B$12),0))</f>
        <v/>
      </c>
      <c r="AV114" s="90" t="str">
        <f aca="false">IF(AT114="","",ROUND(AT114*(1-Справочники!$B$15),0))</f>
        <v/>
      </c>
      <c r="AW114" s="90" t="str">
        <f aca="false">IF(AT114="","",ROUND(AT114*(1-Справочники!$B$16),0))</f>
        <v/>
      </c>
      <c r="AX114" s="90" t="str">
        <f aca="false">IF(AT114="","",ROUND(AT114*(1-Справочники!$B$17),0))</f>
        <v/>
      </c>
      <c r="AY114" s="90" t="str">
        <f aca="false">IF(AT114="","",ROUND(AT114*(1-Справочники!$B$18),0))</f>
        <v/>
      </c>
      <c r="AZ114" s="90" t="str">
        <f aca="false">IF(AT114="","",ROUND(AT114*(1-Справочники!$B$19),0))</f>
        <v/>
      </c>
      <c r="BA114" s="81"/>
      <c r="BB114" s="81"/>
      <c r="BC114" s="81"/>
      <c r="BD114" s="81"/>
      <c r="BE114" s="91"/>
      <c r="BF114" s="81" t="s">
        <v>103</v>
      </c>
      <c r="BG114" s="89" t="n">
        <f aca="false" t="array" ref="BG114:BG114">IF(BF114="","",IFERROR(INDEX(Справочники!$B$4:$B$7,MATCH(BF114,Справочники!$A$4:$A$7,0)),""))</f>
        <v>68.5</v>
      </c>
      <c r="BH114" s="90" t="str">
        <f aca="false">IF(N(BN114)&gt;0,ROUND(SUMIF(ЗАКАЗЫ!$F$3:$F$500,$A114,ЗАКАЗЫ!$Y$3:$Y$500)/BN114,0),IF(OR(BE114="",BG114=""),"",ROUND(BE114*BG114*(1+Справочники!$B$10),0)))</f>
        <v/>
      </c>
      <c r="BI114" s="92" t="str">
        <f aca="false">IF(OR(AU114="",BH114="",AU114=0),"",(AU114-BH114)/AU114)</f>
        <v/>
      </c>
      <c r="BJ114" s="81"/>
      <c r="BK114" s="83"/>
      <c r="BL114" s="43" t="str">
        <f aca="false">IFERROR(INDEX(ЗАКАЗЫ!$N$3:$N$500,MATCH($A114,ЗАКАЗЫ!$F$3:$F$500,0)),"")</f>
        <v/>
      </c>
      <c r="BM114" s="8" t="str">
        <f aca="false">IF(BL114="","",IFERROR(VLOOKUP(BL114,'ТН ВЭД'!$A$4:$C$40,3,0),""))</f>
        <v/>
      </c>
      <c r="BN114" s="7" t="str">
        <f aca="false">IF(COUNTIF(ЗАКАЗЫ!$F$3:$F$500,$A114)=0,"",SUMIF(ЗАКАЗЫ!$F$3:$F$500,$A114,ЗАКАЗЫ!$J$3:$J$500))</f>
        <v/>
      </c>
      <c r="BO114" s="7" t="str">
        <f aca="false">IF(BN114="","",SUMIF(ЗАКАЗЫ!$F$3:$F$500,$A114,ЗАКАЗЫ!$AL$3:$AL$500))</f>
        <v/>
      </c>
      <c r="BP114" s="7" t="str">
        <f aca="false">IF(BN114="","",BN114-BO114)</f>
        <v/>
      </c>
      <c r="BQ114" s="55" t="str">
        <f aca="false">IF(BN114="","",IF(BO114&gt;=BN114,"На складе",IF(BO114&gt;0,"Частично","Ждём")))</f>
        <v/>
      </c>
      <c r="BR114" s="43"/>
      <c r="BS114" s="47" t="str">
        <f aca="false">IF(BN114="","",IF(_xlfn.MAXIFS(ЗАКАЗЫ!$AK$3:$AK$500,ЗАКАЗЫ!$F$3:$F$500,$A114)=0,"",_xlfn.MAXIFS(ЗАКАЗЫ!$AK$3:$AK$500,ЗАКАЗЫ!$F$3:$F$500,$A114)))</f>
        <v/>
      </c>
    </row>
    <row r="115" customFormat="false" ht="15.75" hidden="false" customHeight="true" outlineLevel="0" collapsed="false">
      <c r="A115" s="80" t="s">
        <v>1982</v>
      </c>
      <c r="B115" s="81"/>
      <c r="C115" s="81"/>
      <c r="D115" s="81"/>
      <c r="E115" s="83"/>
      <c r="F115" s="81"/>
      <c r="G115" s="83"/>
      <c r="H115" s="83"/>
      <c r="I115" s="84" t="str">
        <f aca="false">IF(E115="","",A115&amp;"_1.jpg")</f>
        <v/>
      </c>
      <c r="J115" s="84" t="str">
        <f aca="false">IF(E115="","",A115&amp;"_2.jpg; "&amp;A115&amp;"_3.jpg")</f>
        <v/>
      </c>
      <c r="K115" s="84" t="str">
        <f aca="false">IF(E115="","",A115&amp;"_schema.jpg")</f>
        <v/>
      </c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 t="s">
        <v>96</v>
      </c>
      <c r="W115" s="81"/>
      <c r="X115" s="81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6" t="str">
        <f aca="false">IF(SUM(Y115:AJ115)=0,"",SUM(Y115:AJ115))</f>
        <v/>
      </c>
      <c r="AL115" s="84" t="str">
        <f aca="false">MID(IF(N(Y115)&gt;0,", "&amp;Y$2,"")&amp;IF(N(Z115)&gt;0,", "&amp;Z$2,"")&amp;IF(N(AA115)&gt;0,", "&amp;AA$2,"")&amp;IF(N(AB115)&gt;0,", "&amp;AB$2,"")&amp;IF(N(AC115)&gt;0,", "&amp;AC$2,"")&amp;IF(N(AD115)&gt;0,", "&amp;AD$2,"")&amp;IF(N(AE115)&gt;0,", "&amp;AE$2,"")&amp;IF(N(AF115)&gt;0,", "&amp;AF$2,"")&amp;IF(N(AG115)&gt;0,", "&amp;AG$2,"")&amp;IF(N(AH115)&gt;0,", "&amp;AH$2,"")&amp;IF(N(AI115)&gt;0,", "&amp;AI$2,"")&amp;IF(N(AJ115)&gt;0,", "&amp;AJ$2,""),3,999)</f>
        <v/>
      </c>
      <c r="AM115" s="87" t="str">
        <f aca="false">IF(E115="","",MID(IF(N(Y115)&gt;0,", "&amp;A115&amp;"-"&amp;Y$2,"")&amp;IF(N(Z115)&gt;0,", "&amp;A115&amp;"-"&amp;Z$2,"")&amp;IF(N(AA115)&gt;0,", "&amp;A115&amp;"-"&amp;AA$2,"")&amp;IF(N(AB115)&gt;0,", "&amp;A115&amp;"-"&amp;AB$2,"")&amp;IF(N(AC115)&gt;0,", "&amp;A115&amp;"-"&amp;AC$2,"")&amp;IF(N(AD115)&gt;0,", "&amp;A115&amp;"-"&amp;AD$2,"")&amp;IF(N(AE115)&gt;0,", "&amp;A115&amp;"-"&amp;AE$2,"")&amp;IF(N(AF115)&gt;0,", "&amp;A115&amp;"-"&amp;AF$2,"")&amp;IF(N(AG115)&gt;0,", "&amp;A115&amp;"-"&amp;AG$2,"")&amp;IF(N(AH115)&gt;0,", "&amp;A115&amp;"-"&amp;AH$2,"")&amp;IF(N(AI115)&gt;0,", "&amp;A115&amp;"-"&amp;AI$2,"")&amp;IF(N(AJ115)&gt;0,", "&amp;A115&amp;"-"&amp;AJ$2,""),3,999))</f>
        <v/>
      </c>
      <c r="AN115" s="81"/>
      <c r="AO115" s="88"/>
      <c r="AP115" s="89" t="str">
        <f aca="false">IF(AO115="","",ROUND(AO115/(1+Справочники!$B$13),2))</f>
        <v/>
      </c>
      <c r="AQ115" s="90" t="str">
        <f aca="false" t="array" ref="AQ115:AQ115">IF(AP115="","",AP115*INDEX(Справочники!$B$4:$B$7,MATCH("RUB",Справочники!$A$4:$A$7,0)))</f>
        <v/>
      </c>
      <c r="AR115" s="90" t="str">
        <f aca="false">IF(AQ115="","",ROUND(AQ115*(1+Справочники!$B$12),0))</f>
        <v/>
      </c>
      <c r="AS115" s="90" t="str">
        <f aca="false">IF(AR115="","",ROUND(AR115*(1-Справочники!$B$11),0))</f>
        <v/>
      </c>
      <c r="AT115" s="88"/>
      <c r="AU115" s="90" t="str">
        <f aca="false">IF(AT115="","",ROUND(AT115/(1+Справочники!$B$12),0))</f>
        <v/>
      </c>
      <c r="AV115" s="90" t="str">
        <f aca="false">IF(AT115="","",ROUND(AT115*(1-Справочники!$B$15),0))</f>
        <v/>
      </c>
      <c r="AW115" s="90" t="str">
        <f aca="false">IF(AT115="","",ROUND(AT115*(1-Справочники!$B$16),0))</f>
        <v/>
      </c>
      <c r="AX115" s="90" t="str">
        <f aca="false">IF(AT115="","",ROUND(AT115*(1-Справочники!$B$17),0))</f>
        <v/>
      </c>
      <c r="AY115" s="90" t="str">
        <f aca="false">IF(AT115="","",ROUND(AT115*(1-Справочники!$B$18),0))</f>
        <v/>
      </c>
      <c r="AZ115" s="90" t="str">
        <f aca="false">IF(AT115="","",ROUND(AT115*(1-Справочники!$B$19),0))</f>
        <v/>
      </c>
      <c r="BA115" s="81"/>
      <c r="BB115" s="81"/>
      <c r="BC115" s="81"/>
      <c r="BD115" s="81"/>
      <c r="BE115" s="91"/>
      <c r="BF115" s="81" t="s">
        <v>103</v>
      </c>
      <c r="BG115" s="89" t="n">
        <f aca="false" t="array" ref="BG115:BG115">IF(BF115="","",IFERROR(INDEX(Справочники!$B$4:$B$7,MATCH(BF115,Справочники!$A$4:$A$7,0)),""))</f>
        <v>68.5</v>
      </c>
      <c r="BH115" s="90" t="str">
        <f aca="false">IF(N(BN115)&gt;0,ROUND(SUMIF(ЗАКАЗЫ!$F$3:$F$500,$A115,ЗАКАЗЫ!$Y$3:$Y$500)/BN115,0),IF(OR(BE115="",BG115=""),"",ROUND(BE115*BG115*(1+Справочники!$B$10),0)))</f>
        <v/>
      </c>
      <c r="BI115" s="92" t="str">
        <f aca="false">IF(OR(AU115="",BH115="",AU115=0),"",(AU115-BH115)/AU115)</f>
        <v/>
      </c>
      <c r="BJ115" s="81"/>
      <c r="BK115" s="83"/>
      <c r="BL115" s="43" t="str">
        <f aca="false">IFERROR(INDEX(ЗАКАЗЫ!$N$3:$N$500,MATCH($A115,ЗАКАЗЫ!$F$3:$F$500,0)),"")</f>
        <v/>
      </c>
      <c r="BM115" s="8" t="str">
        <f aca="false">IF(BL115="","",IFERROR(VLOOKUP(BL115,'ТН ВЭД'!$A$4:$C$40,3,0),""))</f>
        <v/>
      </c>
      <c r="BN115" s="7" t="str">
        <f aca="false">IF(COUNTIF(ЗАКАЗЫ!$F$3:$F$500,$A115)=0,"",SUMIF(ЗАКАЗЫ!$F$3:$F$500,$A115,ЗАКАЗЫ!$J$3:$J$500))</f>
        <v/>
      </c>
      <c r="BO115" s="7" t="str">
        <f aca="false">IF(BN115="","",SUMIF(ЗАКАЗЫ!$F$3:$F$500,$A115,ЗАКАЗЫ!$AL$3:$AL$500))</f>
        <v/>
      </c>
      <c r="BP115" s="7" t="str">
        <f aca="false">IF(BN115="","",BN115-BO115)</f>
        <v/>
      </c>
      <c r="BQ115" s="55" t="str">
        <f aca="false">IF(BN115="","",IF(BO115&gt;=BN115,"На складе",IF(BO115&gt;0,"Частично","Ждём")))</f>
        <v/>
      </c>
      <c r="BR115" s="43"/>
      <c r="BS115" s="47" t="str">
        <f aca="false">IF(BN115="","",IF(_xlfn.MAXIFS(ЗАКАЗЫ!$AK$3:$AK$500,ЗАКАЗЫ!$F$3:$F$500,$A115)=0,"",_xlfn.MAXIFS(ЗАКАЗЫ!$AK$3:$AK$500,ЗАКАЗЫ!$F$3:$F$500,$A115)))</f>
        <v/>
      </c>
    </row>
    <row r="116" customFormat="false" ht="15.75" hidden="false" customHeight="true" outlineLevel="0" collapsed="false">
      <c r="A116" s="80" t="s">
        <v>1983</v>
      </c>
      <c r="B116" s="81"/>
      <c r="C116" s="81"/>
      <c r="D116" s="81"/>
      <c r="E116" s="83"/>
      <c r="F116" s="81"/>
      <c r="G116" s="83"/>
      <c r="H116" s="83"/>
      <c r="I116" s="84" t="str">
        <f aca="false">IF(E116="","",A116&amp;"_1.jpg")</f>
        <v/>
      </c>
      <c r="J116" s="84" t="str">
        <f aca="false">IF(E116="","",A116&amp;"_2.jpg; "&amp;A116&amp;"_3.jpg")</f>
        <v/>
      </c>
      <c r="K116" s="84" t="str">
        <f aca="false">IF(E116="","",A116&amp;"_schema.jpg")</f>
        <v/>
      </c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 t="s">
        <v>96</v>
      </c>
      <c r="W116" s="81"/>
      <c r="X116" s="81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6" t="str">
        <f aca="false">IF(SUM(Y116:AJ116)=0,"",SUM(Y116:AJ116))</f>
        <v/>
      </c>
      <c r="AL116" s="84" t="str">
        <f aca="false">MID(IF(N(Y116)&gt;0,", "&amp;Y$2,"")&amp;IF(N(Z116)&gt;0,", "&amp;Z$2,"")&amp;IF(N(AA116)&gt;0,", "&amp;AA$2,"")&amp;IF(N(AB116)&gt;0,", "&amp;AB$2,"")&amp;IF(N(AC116)&gt;0,", "&amp;AC$2,"")&amp;IF(N(AD116)&gt;0,", "&amp;AD$2,"")&amp;IF(N(AE116)&gt;0,", "&amp;AE$2,"")&amp;IF(N(AF116)&gt;0,", "&amp;AF$2,"")&amp;IF(N(AG116)&gt;0,", "&amp;AG$2,"")&amp;IF(N(AH116)&gt;0,", "&amp;AH$2,"")&amp;IF(N(AI116)&gt;0,", "&amp;AI$2,"")&amp;IF(N(AJ116)&gt;0,", "&amp;AJ$2,""),3,999)</f>
        <v/>
      </c>
      <c r="AM116" s="87" t="str">
        <f aca="false">IF(E116="","",MID(IF(N(Y116)&gt;0,", "&amp;A116&amp;"-"&amp;Y$2,"")&amp;IF(N(Z116)&gt;0,", "&amp;A116&amp;"-"&amp;Z$2,"")&amp;IF(N(AA116)&gt;0,", "&amp;A116&amp;"-"&amp;AA$2,"")&amp;IF(N(AB116)&gt;0,", "&amp;A116&amp;"-"&amp;AB$2,"")&amp;IF(N(AC116)&gt;0,", "&amp;A116&amp;"-"&amp;AC$2,"")&amp;IF(N(AD116)&gt;0,", "&amp;A116&amp;"-"&amp;AD$2,"")&amp;IF(N(AE116)&gt;0,", "&amp;A116&amp;"-"&amp;AE$2,"")&amp;IF(N(AF116)&gt;0,", "&amp;A116&amp;"-"&amp;AF$2,"")&amp;IF(N(AG116)&gt;0,", "&amp;A116&amp;"-"&amp;AG$2,"")&amp;IF(N(AH116)&gt;0,", "&amp;A116&amp;"-"&amp;AH$2,"")&amp;IF(N(AI116)&gt;0,", "&amp;A116&amp;"-"&amp;AI$2,"")&amp;IF(N(AJ116)&gt;0,", "&amp;A116&amp;"-"&amp;AJ$2,""),3,999))</f>
        <v/>
      </c>
      <c r="AN116" s="81"/>
      <c r="AO116" s="88"/>
      <c r="AP116" s="89" t="str">
        <f aca="false">IF(AO116="","",ROUND(AO116/(1+Справочники!$B$13),2))</f>
        <v/>
      </c>
      <c r="AQ116" s="90" t="str">
        <f aca="false" t="array" ref="AQ116:AQ116">IF(AP116="","",AP116*INDEX(Справочники!$B$4:$B$7,MATCH("RUB",Справочники!$A$4:$A$7,0)))</f>
        <v/>
      </c>
      <c r="AR116" s="90" t="str">
        <f aca="false">IF(AQ116="","",ROUND(AQ116*(1+Справочники!$B$12),0))</f>
        <v/>
      </c>
      <c r="AS116" s="90" t="str">
        <f aca="false">IF(AR116="","",ROUND(AR116*(1-Справочники!$B$11),0))</f>
        <v/>
      </c>
      <c r="AT116" s="88"/>
      <c r="AU116" s="90" t="str">
        <f aca="false">IF(AT116="","",ROUND(AT116/(1+Справочники!$B$12),0))</f>
        <v/>
      </c>
      <c r="AV116" s="90" t="str">
        <f aca="false">IF(AT116="","",ROUND(AT116*(1-Справочники!$B$15),0))</f>
        <v/>
      </c>
      <c r="AW116" s="90" t="str">
        <f aca="false">IF(AT116="","",ROUND(AT116*(1-Справочники!$B$16),0))</f>
        <v/>
      </c>
      <c r="AX116" s="90" t="str">
        <f aca="false">IF(AT116="","",ROUND(AT116*(1-Справочники!$B$17),0))</f>
        <v/>
      </c>
      <c r="AY116" s="90" t="str">
        <f aca="false">IF(AT116="","",ROUND(AT116*(1-Справочники!$B$18),0))</f>
        <v/>
      </c>
      <c r="AZ116" s="90" t="str">
        <f aca="false">IF(AT116="","",ROUND(AT116*(1-Справочники!$B$19),0))</f>
        <v/>
      </c>
      <c r="BA116" s="81"/>
      <c r="BB116" s="81"/>
      <c r="BC116" s="81"/>
      <c r="BD116" s="81"/>
      <c r="BE116" s="91"/>
      <c r="BF116" s="81" t="s">
        <v>103</v>
      </c>
      <c r="BG116" s="89" t="n">
        <f aca="false" t="array" ref="BG116:BG116">IF(BF116="","",IFERROR(INDEX(Справочники!$B$4:$B$7,MATCH(BF116,Справочники!$A$4:$A$7,0)),""))</f>
        <v>68.5</v>
      </c>
      <c r="BH116" s="90" t="str">
        <f aca="false">IF(N(BN116)&gt;0,ROUND(SUMIF(ЗАКАЗЫ!$F$3:$F$500,$A116,ЗАКАЗЫ!$Y$3:$Y$500)/BN116,0),IF(OR(BE116="",BG116=""),"",ROUND(BE116*BG116*(1+Справочники!$B$10),0)))</f>
        <v/>
      </c>
      <c r="BI116" s="92" t="str">
        <f aca="false">IF(OR(AU116="",BH116="",AU116=0),"",(AU116-BH116)/AU116)</f>
        <v/>
      </c>
      <c r="BJ116" s="81"/>
      <c r="BK116" s="83"/>
      <c r="BL116" s="43" t="str">
        <f aca="false">IFERROR(INDEX(ЗАКАЗЫ!$N$3:$N$500,MATCH($A116,ЗАКАЗЫ!$F$3:$F$500,0)),"")</f>
        <v/>
      </c>
      <c r="BM116" s="8" t="str">
        <f aca="false">IF(BL116="","",IFERROR(VLOOKUP(BL116,'ТН ВЭД'!$A$4:$C$40,3,0),""))</f>
        <v/>
      </c>
      <c r="BN116" s="7" t="str">
        <f aca="false">IF(COUNTIF(ЗАКАЗЫ!$F$3:$F$500,$A116)=0,"",SUMIF(ЗАКАЗЫ!$F$3:$F$500,$A116,ЗАКАЗЫ!$J$3:$J$500))</f>
        <v/>
      </c>
      <c r="BO116" s="7" t="str">
        <f aca="false">IF(BN116="","",SUMIF(ЗАКАЗЫ!$F$3:$F$500,$A116,ЗАКАЗЫ!$AL$3:$AL$500))</f>
        <v/>
      </c>
      <c r="BP116" s="7" t="str">
        <f aca="false">IF(BN116="","",BN116-BO116)</f>
        <v/>
      </c>
      <c r="BQ116" s="55" t="str">
        <f aca="false">IF(BN116="","",IF(BO116&gt;=BN116,"На складе",IF(BO116&gt;0,"Частично","Ждём")))</f>
        <v/>
      </c>
      <c r="BR116" s="43"/>
      <c r="BS116" s="47" t="str">
        <f aca="false">IF(BN116="","",IF(_xlfn.MAXIFS(ЗАКАЗЫ!$AK$3:$AK$500,ЗАКАЗЫ!$F$3:$F$500,$A116)=0,"",_xlfn.MAXIFS(ЗАКАЗЫ!$AK$3:$AK$500,ЗАКАЗЫ!$F$3:$F$500,$A116)))</f>
        <v/>
      </c>
    </row>
    <row r="117" customFormat="false" ht="15.75" hidden="false" customHeight="true" outlineLevel="0" collapsed="false">
      <c r="A117" s="80" t="s">
        <v>1984</v>
      </c>
      <c r="B117" s="81"/>
      <c r="C117" s="81"/>
      <c r="D117" s="81"/>
      <c r="E117" s="83"/>
      <c r="F117" s="81"/>
      <c r="G117" s="83"/>
      <c r="H117" s="83"/>
      <c r="I117" s="84" t="str">
        <f aca="false">IF(E117="","",A117&amp;"_1.jpg")</f>
        <v/>
      </c>
      <c r="J117" s="84" t="str">
        <f aca="false">IF(E117="","",A117&amp;"_2.jpg; "&amp;A117&amp;"_3.jpg")</f>
        <v/>
      </c>
      <c r="K117" s="84" t="str">
        <f aca="false">IF(E117="","",A117&amp;"_schema.jpg")</f>
        <v/>
      </c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 t="s">
        <v>96</v>
      </c>
      <c r="W117" s="81"/>
      <c r="X117" s="81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6" t="str">
        <f aca="false">IF(SUM(Y117:AJ117)=0,"",SUM(Y117:AJ117))</f>
        <v/>
      </c>
      <c r="AL117" s="84" t="str">
        <f aca="false">MID(IF(N(Y117)&gt;0,", "&amp;Y$2,"")&amp;IF(N(Z117)&gt;0,", "&amp;Z$2,"")&amp;IF(N(AA117)&gt;0,", "&amp;AA$2,"")&amp;IF(N(AB117)&gt;0,", "&amp;AB$2,"")&amp;IF(N(AC117)&gt;0,", "&amp;AC$2,"")&amp;IF(N(AD117)&gt;0,", "&amp;AD$2,"")&amp;IF(N(AE117)&gt;0,", "&amp;AE$2,"")&amp;IF(N(AF117)&gt;0,", "&amp;AF$2,"")&amp;IF(N(AG117)&gt;0,", "&amp;AG$2,"")&amp;IF(N(AH117)&gt;0,", "&amp;AH$2,"")&amp;IF(N(AI117)&gt;0,", "&amp;AI$2,"")&amp;IF(N(AJ117)&gt;0,", "&amp;AJ$2,""),3,999)</f>
        <v/>
      </c>
      <c r="AM117" s="87" t="str">
        <f aca="false">IF(E117="","",MID(IF(N(Y117)&gt;0,", "&amp;A117&amp;"-"&amp;Y$2,"")&amp;IF(N(Z117)&gt;0,", "&amp;A117&amp;"-"&amp;Z$2,"")&amp;IF(N(AA117)&gt;0,", "&amp;A117&amp;"-"&amp;AA$2,"")&amp;IF(N(AB117)&gt;0,", "&amp;A117&amp;"-"&amp;AB$2,"")&amp;IF(N(AC117)&gt;0,", "&amp;A117&amp;"-"&amp;AC$2,"")&amp;IF(N(AD117)&gt;0,", "&amp;A117&amp;"-"&amp;AD$2,"")&amp;IF(N(AE117)&gt;0,", "&amp;A117&amp;"-"&amp;AE$2,"")&amp;IF(N(AF117)&gt;0,", "&amp;A117&amp;"-"&amp;AF$2,"")&amp;IF(N(AG117)&gt;0,", "&amp;A117&amp;"-"&amp;AG$2,"")&amp;IF(N(AH117)&gt;0,", "&amp;A117&amp;"-"&amp;AH$2,"")&amp;IF(N(AI117)&gt;0,", "&amp;A117&amp;"-"&amp;AI$2,"")&amp;IF(N(AJ117)&gt;0,", "&amp;A117&amp;"-"&amp;AJ$2,""),3,999))</f>
        <v/>
      </c>
      <c r="AN117" s="81"/>
      <c r="AO117" s="88"/>
      <c r="AP117" s="89" t="str">
        <f aca="false">IF(AO117="","",ROUND(AO117/(1+Справочники!$B$13),2))</f>
        <v/>
      </c>
      <c r="AQ117" s="90" t="str">
        <f aca="false" t="array" ref="AQ117:AQ117">IF(AP117="","",AP117*INDEX(Справочники!$B$4:$B$7,MATCH("RUB",Справочники!$A$4:$A$7,0)))</f>
        <v/>
      </c>
      <c r="AR117" s="90" t="str">
        <f aca="false">IF(AQ117="","",ROUND(AQ117*(1+Справочники!$B$12),0))</f>
        <v/>
      </c>
      <c r="AS117" s="90" t="str">
        <f aca="false">IF(AR117="","",ROUND(AR117*(1-Справочники!$B$11),0))</f>
        <v/>
      </c>
      <c r="AT117" s="88"/>
      <c r="AU117" s="90" t="str">
        <f aca="false">IF(AT117="","",ROUND(AT117/(1+Справочники!$B$12),0))</f>
        <v/>
      </c>
      <c r="AV117" s="90" t="str">
        <f aca="false">IF(AT117="","",ROUND(AT117*(1-Справочники!$B$15),0))</f>
        <v/>
      </c>
      <c r="AW117" s="90" t="str">
        <f aca="false">IF(AT117="","",ROUND(AT117*(1-Справочники!$B$16),0))</f>
        <v/>
      </c>
      <c r="AX117" s="90" t="str">
        <f aca="false">IF(AT117="","",ROUND(AT117*(1-Справочники!$B$17),0))</f>
        <v/>
      </c>
      <c r="AY117" s="90" t="str">
        <f aca="false">IF(AT117="","",ROUND(AT117*(1-Справочники!$B$18),0))</f>
        <v/>
      </c>
      <c r="AZ117" s="90" t="str">
        <f aca="false">IF(AT117="","",ROUND(AT117*(1-Справочники!$B$19),0))</f>
        <v/>
      </c>
      <c r="BA117" s="81"/>
      <c r="BB117" s="81"/>
      <c r="BC117" s="81"/>
      <c r="BD117" s="81"/>
      <c r="BE117" s="91"/>
      <c r="BF117" s="81" t="s">
        <v>103</v>
      </c>
      <c r="BG117" s="89" t="n">
        <f aca="false" t="array" ref="BG117:BG117">IF(BF117="","",IFERROR(INDEX(Справочники!$B$4:$B$7,MATCH(BF117,Справочники!$A$4:$A$7,0)),""))</f>
        <v>68.5</v>
      </c>
      <c r="BH117" s="90" t="str">
        <f aca="false">IF(N(BN117)&gt;0,ROUND(SUMIF(ЗАКАЗЫ!$F$3:$F$500,$A117,ЗАКАЗЫ!$Y$3:$Y$500)/BN117,0),IF(OR(BE117="",BG117=""),"",ROUND(BE117*BG117*(1+Справочники!$B$10),0)))</f>
        <v/>
      </c>
      <c r="BI117" s="92" t="str">
        <f aca="false">IF(OR(AU117="",BH117="",AU117=0),"",(AU117-BH117)/AU117)</f>
        <v/>
      </c>
      <c r="BJ117" s="81"/>
      <c r="BK117" s="83"/>
      <c r="BL117" s="43" t="str">
        <f aca="false">IFERROR(INDEX(ЗАКАЗЫ!$N$3:$N$500,MATCH($A117,ЗАКАЗЫ!$F$3:$F$500,0)),"")</f>
        <v/>
      </c>
      <c r="BM117" s="8" t="str">
        <f aca="false">IF(BL117="","",IFERROR(VLOOKUP(BL117,'ТН ВЭД'!$A$4:$C$40,3,0),""))</f>
        <v/>
      </c>
      <c r="BN117" s="7" t="str">
        <f aca="false">IF(COUNTIF(ЗАКАЗЫ!$F$3:$F$500,$A117)=0,"",SUMIF(ЗАКАЗЫ!$F$3:$F$500,$A117,ЗАКАЗЫ!$J$3:$J$500))</f>
        <v/>
      </c>
      <c r="BO117" s="7" t="str">
        <f aca="false">IF(BN117="","",SUMIF(ЗАКАЗЫ!$F$3:$F$500,$A117,ЗАКАЗЫ!$AL$3:$AL$500))</f>
        <v/>
      </c>
      <c r="BP117" s="7" t="str">
        <f aca="false">IF(BN117="","",BN117-BO117)</f>
        <v/>
      </c>
      <c r="BQ117" s="55" t="str">
        <f aca="false">IF(BN117="","",IF(BO117&gt;=BN117,"На складе",IF(BO117&gt;0,"Частично","Ждём")))</f>
        <v/>
      </c>
      <c r="BR117" s="43"/>
      <c r="BS117" s="47" t="str">
        <f aca="false">IF(BN117="","",IF(_xlfn.MAXIFS(ЗАКАЗЫ!$AK$3:$AK$500,ЗАКАЗЫ!$F$3:$F$500,$A117)=0,"",_xlfn.MAXIFS(ЗАКАЗЫ!$AK$3:$AK$500,ЗАКАЗЫ!$F$3:$F$500,$A117)))</f>
        <v/>
      </c>
    </row>
    <row r="118" customFormat="false" ht="15.75" hidden="false" customHeight="true" outlineLevel="0" collapsed="false">
      <c r="A118" s="80" t="s">
        <v>1985</v>
      </c>
      <c r="B118" s="81"/>
      <c r="C118" s="81"/>
      <c r="D118" s="81"/>
      <c r="E118" s="83"/>
      <c r="F118" s="81"/>
      <c r="G118" s="83"/>
      <c r="H118" s="83"/>
      <c r="I118" s="84" t="str">
        <f aca="false">IF(E118="","",A118&amp;"_1.jpg")</f>
        <v/>
      </c>
      <c r="J118" s="84" t="str">
        <f aca="false">IF(E118="","",A118&amp;"_2.jpg; "&amp;A118&amp;"_3.jpg")</f>
        <v/>
      </c>
      <c r="K118" s="84" t="str">
        <f aca="false">IF(E118="","",A118&amp;"_schema.jpg")</f>
        <v/>
      </c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 t="s">
        <v>96</v>
      </c>
      <c r="W118" s="81"/>
      <c r="X118" s="81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6" t="str">
        <f aca="false">IF(SUM(Y118:AJ118)=0,"",SUM(Y118:AJ118))</f>
        <v/>
      </c>
      <c r="AL118" s="84" t="str">
        <f aca="false">MID(IF(N(Y118)&gt;0,", "&amp;Y$2,"")&amp;IF(N(Z118)&gt;0,", "&amp;Z$2,"")&amp;IF(N(AA118)&gt;0,", "&amp;AA$2,"")&amp;IF(N(AB118)&gt;0,", "&amp;AB$2,"")&amp;IF(N(AC118)&gt;0,", "&amp;AC$2,"")&amp;IF(N(AD118)&gt;0,", "&amp;AD$2,"")&amp;IF(N(AE118)&gt;0,", "&amp;AE$2,"")&amp;IF(N(AF118)&gt;0,", "&amp;AF$2,"")&amp;IF(N(AG118)&gt;0,", "&amp;AG$2,"")&amp;IF(N(AH118)&gt;0,", "&amp;AH$2,"")&amp;IF(N(AI118)&gt;0,", "&amp;AI$2,"")&amp;IF(N(AJ118)&gt;0,", "&amp;AJ$2,""),3,999)</f>
        <v/>
      </c>
      <c r="AM118" s="87" t="str">
        <f aca="false">IF(E118="","",MID(IF(N(Y118)&gt;0,", "&amp;A118&amp;"-"&amp;Y$2,"")&amp;IF(N(Z118)&gt;0,", "&amp;A118&amp;"-"&amp;Z$2,"")&amp;IF(N(AA118)&gt;0,", "&amp;A118&amp;"-"&amp;AA$2,"")&amp;IF(N(AB118)&gt;0,", "&amp;A118&amp;"-"&amp;AB$2,"")&amp;IF(N(AC118)&gt;0,", "&amp;A118&amp;"-"&amp;AC$2,"")&amp;IF(N(AD118)&gt;0,", "&amp;A118&amp;"-"&amp;AD$2,"")&amp;IF(N(AE118)&gt;0,", "&amp;A118&amp;"-"&amp;AE$2,"")&amp;IF(N(AF118)&gt;0,", "&amp;A118&amp;"-"&amp;AF$2,"")&amp;IF(N(AG118)&gt;0,", "&amp;A118&amp;"-"&amp;AG$2,"")&amp;IF(N(AH118)&gt;0,", "&amp;A118&amp;"-"&amp;AH$2,"")&amp;IF(N(AI118)&gt;0,", "&amp;A118&amp;"-"&amp;AI$2,"")&amp;IF(N(AJ118)&gt;0,", "&amp;A118&amp;"-"&amp;AJ$2,""),3,999))</f>
        <v/>
      </c>
      <c r="AN118" s="81"/>
      <c r="AO118" s="88"/>
      <c r="AP118" s="89" t="str">
        <f aca="false">IF(AO118="","",ROUND(AO118/(1+Справочники!$B$13),2))</f>
        <v/>
      </c>
      <c r="AQ118" s="90" t="str">
        <f aca="false" t="array" ref="AQ118:AQ118">IF(AP118="","",AP118*INDEX(Справочники!$B$4:$B$7,MATCH("RUB",Справочники!$A$4:$A$7,0)))</f>
        <v/>
      </c>
      <c r="AR118" s="90" t="str">
        <f aca="false">IF(AQ118="","",ROUND(AQ118*(1+Справочники!$B$12),0))</f>
        <v/>
      </c>
      <c r="AS118" s="90" t="str">
        <f aca="false">IF(AR118="","",ROUND(AR118*(1-Справочники!$B$11),0))</f>
        <v/>
      </c>
      <c r="AT118" s="88"/>
      <c r="AU118" s="90" t="str">
        <f aca="false">IF(AT118="","",ROUND(AT118/(1+Справочники!$B$12),0))</f>
        <v/>
      </c>
      <c r="AV118" s="90" t="str">
        <f aca="false">IF(AT118="","",ROUND(AT118*(1-Справочники!$B$15),0))</f>
        <v/>
      </c>
      <c r="AW118" s="90" t="str">
        <f aca="false">IF(AT118="","",ROUND(AT118*(1-Справочники!$B$16),0))</f>
        <v/>
      </c>
      <c r="AX118" s="90" t="str">
        <f aca="false">IF(AT118="","",ROUND(AT118*(1-Справочники!$B$17),0))</f>
        <v/>
      </c>
      <c r="AY118" s="90" t="str">
        <f aca="false">IF(AT118="","",ROUND(AT118*(1-Справочники!$B$18),0))</f>
        <v/>
      </c>
      <c r="AZ118" s="90" t="str">
        <f aca="false">IF(AT118="","",ROUND(AT118*(1-Справочники!$B$19),0))</f>
        <v/>
      </c>
      <c r="BA118" s="81"/>
      <c r="BB118" s="81"/>
      <c r="BC118" s="81"/>
      <c r="BD118" s="81"/>
      <c r="BE118" s="91"/>
      <c r="BF118" s="81" t="s">
        <v>103</v>
      </c>
      <c r="BG118" s="89" t="n">
        <f aca="false" t="array" ref="BG118:BG118">IF(BF118="","",IFERROR(INDEX(Справочники!$B$4:$B$7,MATCH(BF118,Справочники!$A$4:$A$7,0)),""))</f>
        <v>68.5</v>
      </c>
      <c r="BH118" s="90" t="str">
        <f aca="false">IF(N(BN118)&gt;0,ROUND(SUMIF(ЗАКАЗЫ!$F$3:$F$500,$A118,ЗАКАЗЫ!$Y$3:$Y$500)/BN118,0),IF(OR(BE118="",BG118=""),"",ROUND(BE118*BG118*(1+Справочники!$B$10),0)))</f>
        <v/>
      </c>
      <c r="BI118" s="92" t="str">
        <f aca="false">IF(OR(AU118="",BH118="",AU118=0),"",(AU118-BH118)/AU118)</f>
        <v/>
      </c>
      <c r="BJ118" s="81"/>
      <c r="BK118" s="83"/>
      <c r="BL118" s="43" t="str">
        <f aca="false">IFERROR(INDEX(ЗАКАЗЫ!$N$3:$N$500,MATCH($A118,ЗАКАЗЫ!$F$3:$F$500,0)),"")</f>
        <v/>
      </c>
      <c r="BM118" s="8" t="str">
        <f aca="false">IF(BL118="","",IFERROR(VLOOKUP(BL118,'ТН ВЭД'!$A$4:$C$40,3,0),""))</f>
        <v/>
      </c>
      <c r="BN118" s="7" t="str">
        <f aca="false">IF(COUNTIF(ЗАКАЗЫ!$F$3:$F$500,$A118)=0,"",SUMIF(ЗАКАЗЫ!$F$3:$F$500,$A118,ЗАКАЗЫ!$J$3:$J$500))</f>
        <v/>
      </c>
      <c r="BO118" s="7" t="str">
        <f aca="false">IF(BN118="","",SUMIF(ЗАКАЗЫ!$F$3:$F$500,$A118,ЗАКАЗЫ!$AL$3:$AL$500))</f>
        <v/>
      </c>
      <c r="BP118" s="7" t="str">
        <f aca="false">IF(BN118="","",BN118-BO118)</f>
        <v/>
      </c>
      <c r="BQ118" s="55" t="str">
        <f aca="false">IF(BN118="","",IF(BO118&gt;=BN118,"На складе",IF(BO118&gt;0,"Частично","Ждём")))</f>
        <v/>
      </c>
      <c r="BR118" s="43"/>
      <c r="BS118" s="47" t="str">
        <f aca="false">IF(BN118="","",IF(_xlfn.MAXIFS(ЗАКАЗЫ!$AK$3:$AK$500,ЗАКАЗЫ!$F$3:$F$500,$A118)=0,"",_xlfn.MAXIFS(ЗАКАЗЫ!$AK$3:$AK$500,ЗАКАЗЫ!$F$3:$F$500,$A118)))</f>
        <v/>
      </c>
    </row>
    <row r="119" customFormat="false" ht="15.75" hidden="false" customHeight="true" outlineLevel="0" collapsed="false">
      <c r="A119" s="80" t="s">
        <v>1986</v>
      </c>
      <c r="B119" s="81"/>
      <c r="C119" s="81"/>
      <c r="D119" s="81"/>
      <c r="E119" s="83"/>
      <c r="F119" s="81"/>
      <c r="G119" s="83"/>
      <c r="H119" s="83"/>
      <c r="I119" s="84" t="str">
        <f aca="false">IF(E119="","",A119&amp;"_1.jpg")</f>
        <v/>
      </c>
      <c r="J119" s="84" t="str">
        <f aca="false">IF(E119="","",A119&amp;"_2.jpg; "&amp;A119&amp;"_3.jpg")</f>
        <v/>
      </c>
      <c r="K119" s="84" t="str">
        <f aca="false">IF(E119="","",A119&amp;"_schema.jpg")</f>
        <v/>
      </c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 t="s">
        <v>96</v>
      </c>
      <c r="W119" s="81"/>
      <c r="X119" s="81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6" t="str">
        <f aca="false">IF(SUM(Y119:AJ119)=0,"",SUM(Y119:AJ119))</f>
        <v/>
      </c>
      <c r="AL119" s="84" t="str">
        <f aca="false">MID(IF(N(Y119)&gt;0,", "&amp;Y$2,"")&amp;IF(N(Z119)&gt;0,", "&amp;Z$2,"")&amp;IF(N(AA119)&gt;0,", "&amp;AA$2,"")&amp;IF(N(AB119)&gt;0,", "&amp;AB$2,"")&amp;IF(N(AC119)&gt;0,", "&amp;AC$2,"")&amp;IF(N(AD119)&gt;0,", "&amp;AD$2,"")&amp;IF(N(AE119)&gt;0,", "&amp;AE$2,"")&amp;IF(N(AF119)&gt;0,", "&amp;AF$2,"")&amp;IF(N(AG119)&gt;0,", "&amp;AG$2,"")&amp;IF(N(AH119)&gt;0,", "&amp;AH$2,"")&amp;IF(N(AI119)&gt;0,", "&amp;AI$2,"")&amp;IF(N(AJ119)&gt;0,", "&amp;AJ$2,""),3,999)</f>
        <v/>
      </c>
      <c r="AM119" s="87" t="str">
        <f aca="false">IF(E119="","",MID(IF(N(Y119)&gt;0,", "&amp;A119&amp;"-"&amp;Y$2,"")&amp;IF(N(Z119)&gt;0,", "&amp;A119&amp;"-"&amp;Z$2,"")&amp;IF(N(AA119)&gt;0,", "&amp;A119&amp;"-"&amp;AA$2,"")&amp;IF(N(AB119)&gt;0,", "&amp;A119&amp;"-"&amp;AB$2,"")&amp;IF(N(AC119)&gt;0,", "&amp;A119&amp;"-"&amp;AC$2,"")&amp;IF(N(AD119)&gt;0,", "&amp;A119&amp;"-"&amp;AD$2,"")&amp;IF(N(AE119)&gt;0,", "&amp;A119&amp;"-"&amp;AE$2,"")&amp;IF(N(AF119)&gt;0,", "&amp;A119&amp;"-"&amp;AF$2,"")&amp;IF(N(AG119)&gt;0,", "&amp;A119&amp;"-"&amp;AG$2,"")&amp;IF(N(AH119)&gt;0,", "&amp;A119&amp;"-"&amp;AH$2,"")&amp;IF(N(AI119)&gt;0,", "&amp;A119&amp;"-"&amp;AI$2,"")&amp;IF(N(AJ119)&gt;0,", "&amp;A119&amp;"-"&amp;AJ$2,""),3,999))</f>
        <v/>
      </c>
      <c r="AN119" s="81"/>
      <c r="AO119" s="88"/>
      <c r="AP119" s="89" t="str">
        <f aca="false">IF(AO119="","",ROUND(AO119/(1+Справочники!$B$13),2))</f>
        <v/>
      </c>
      <c r="AQ119" s="90" t="str">
        <f aca="false" t="array" ref="AQ119:AQ119">IF(AP119="","",AP119*INDEX(Справочники!$B$4:$B$7,MATCH("RUB",Справочники!$A$4:$A$7,0)))</f>
        <v/>
      </c>
      <c r="AR119" s="90" t="str">
        <f aca="false">IF(AQ119="","",ROUND(AQ119*(1+Справочники!$B$12),0))</f>
        <v/>
      </c>
      <c r="AS119" s="90" t="str">
        <f aca="false">IF(AR119="","",ROUND(AR119*(1-Справочники!$B$11),0))</f>
        <v/>
      </c>
      <c r="AT119" s="88"/>
      <c r="AU119" s="90" t="str">
        <f aca="false">IF(AT119="","",ROUND(AT119/(1+Справочники!$B$12),0))</f>
        <v/>
      </c>
      <c r="AV119" s="90" t="str">
        <f aca="false">IF(AT119="","",ROUND(AT119*(1-Справочники!$B$15),0))</f>
        <v/>
      </c>
      <c r="AW119" s="90" t="str">
        <f aca="false">IF(AT119="","",ROUND(AT119*(1-Справочники!$B$16),0))</f>
        <v/>
      </c>
      <c r="AX119" s="90" t="str">
        <f aca="false">IF(AT119="","",ROUND(AT119*(1-Справочники!$B$17),0))</f>
        <v/>
      </c>
      <c r="AY119" s="90" t="str">
        <f aca="false">IF(AT119="","",ROUND(AT119*(1-Справочники!$B$18),0))</f>
        <v/>
      </c>
      <c r="AZ119" s="90" t="str">
        <f aca="false">IF(AT119="","",ROUND(AT119*(1-Справочники!$B$19),0))</f>
        <v/>
      </c>
      <c r="BA119" s="81"/>
      <c r="BB119" s="81"/>
      <c r="BC119" s="81"/>
      <c r="BD119" s="81"/>
      <c r="BE119" s="91"/>
      <c r="BF119" s="81" t="s">
        <v>103</v>
      </c>
      <c r="BG119" s="89" t="n">
        <f aca="false" t="array" ref="BG119:BG119">IF(BF119="","",IFERROR(INDEX(Справочники!$B$4:$B$7,MATCH(BF119,Справочники!$A$4:$A$7,0)),""))</f>
        <v>68.5</v>
      </c>
      <c r="BH119" s="90" t="str">
        <f aca="false">IF(N(BN119)&gt;0,ROUND(SUMIF(ЗАКАЗЫ!$F$3:$F$500,$A119,ЗАКАЗЫ!$Y$3:$Y$500)/BN119,0),IF(OR(BE119="",BG119=""),"",ROUND(BE119*BG119*(1+Справочники!$B$10),0)))</f>
        <v/>
      </c>
      <c r="BI119" s="92" t="str">
        <f aca="false">IF(OR(AU119="",BH119="",AU119=0),"",(AU119-BH119)/AU119)</f>
        <v/>
      </c>
      <c r="BJ119" s="81"/>
      <c r="BK119" s="83"/>
      <c r="BL119" s="43" t="str">
        <f aca="false">IFERROR(INDEX(ЗАКАЗЫ!$N$3:$N$500,MATCH($A119,ЗАКАЗЫ!$F$3:$F$500,0)),"")</f>
        <v/>
      </c>
      <c r="BM119" s="8" t="str">
        <f aca="false">IF(BL119="","",IFERROR(VLOOKUP(BL119,'ТН ВЭД'!$A$4:$C$40,3,0),""))</f>
        <v/>
      </c>
      <c r="BN119" s="7" t="str">
        <f aca="false">IF(COUNTIF(ЗАКАЗЫ!$F$3:$F$500,$A119)=0,"",SUMIF(ЗАКАЗЫ!$F$3:$F$500,$A119,ЗАКАЗЫ!$J$3:$J$500))</f>
        <v/>
      </c>
      <c r="BO119" s="7" t="str">
        <f aca="false">IF(BN119="","",SUMIF(ЗАКАЗЫ!$F$3:$F$500,$A119,ЗАКАЗЫ!$AL$3:$AL$500))</f>
        <v/>
      </c>
      <c r="BP119" s="7" t="str">
        <f aca="false">IF(BN119="","",BN119-BO119)</f>
        <v/>
      </c>
      <c r="BQ119" s="55" t="str">
        <f aca="false">IF(BN119="","",IF(BO119&gt;=BN119,"На складе",IF(BO119&gt;0,"Частично","Ждём")))</f>
        <v/>
      </c>
      <c r="BR119" s="43"/>
      <c r="BS119" s="47" t="str">
        <f aca="false">IF(BN119="","",IF(_xlfn.MAXIFS(ЗАКАЗЫ!$AK$3:$AK$500,ЗАКАЗЫ!$F$3:$F$500,$A119)=0,"",_xlfn.MAXIFS(ЗАКАЗЫ!$AK$3:$AK$500,ЗАКАЗЫ!$F$3:$F$500,$A119)))</f>
        <v/>
      </c>
    </row>
    <row r="120" customFormat="false" ht="15.75" hidden="false" customHeight="true" outlineLevel="0" collapsed="false">
      <c r="A120" s="80" t="s">
        <v>1987</v>
      </c>
      <c r="B120" s="81"/>
      <c r="C120" s="81"/>
      <c r="D120" s="81"/>
      <c r="E120" s="83"/>
      <c r="F120" s="81"/>
      <c r="G120" s="83"/>
      <c r="H120" s="83"/>
      <c r="I120" s="84" t="str">
        <f aca="false">IF(E120="","",A120&amp;"_1.jpg")</f>
        <v/>
      </c>
      <c r="J120" s="84" t="str">
        <f aca="false">IF(E120="","",A120&amp;"_2.jpg; "&amp;A120&amp;"_3.jpg")</f>
        <v/>
      </c>
      <c r="K120" s="84" t="str">
        <f aca="false">IF(E120="","",A120&amp;"_schema.jpg")</f>
        <v/>
      </c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 t="s">
        <v>96</v>
      </c>
      <c r="W120" s="81"/>
      <c r="X120" s="81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6" t="str">
        <f aca="false">IF(SUM(Y120:AJ120)=0,"",SUM(Y120:AJ120))</f>
        <v/>
      </c>
      <c r="AL120" s="84" t="str">
        <f aca="false">MID(IF(N(Y120)&gt;0,", "&amp;Y$2,"")&amp;IF(N(Z120)&gt;0,", "&amp;Z$2,"")&amp;IF(N(AA120)&gt;0,", "&amp;AA$2,"")&amp;IF(N(AB120)&gt;0,", "&amp;AB$2,"")&amp;IF(N(AC120)&gt;0,", "&amp;AC$2,"")&amp;IF(N(AD120)&gt;0,", "&amp;AD$2,"")&amp;IF(N(AE120)&gt;0,", "&amp;AE$2,"")&amp;IF(N(AF120)&gt;0,", "&amp;AF$2,"")&amp;IF(N(AG120)&gt;0,", "&amp;AG$2,"")&amp;IF(N(AH120)&gt;0,", "&amp;AH$2,"")&amp;IF(N(AI120)&gt;0,", "&amp;AI$2,"")&amp;IF(N(AJ120)&gt;0,", "&amp;AJ$2,""),3,999)</f>
        <v/>
      </c>
      <c r="AM120" s="87" t="str">
        <f aca="false">IF(E120="","",MID(IF(N(Y120)&gt;0,", "&amp;A120&amp;"-"&amp;Y$2,"")&amp;IF(N(Z120)&gt;0,", "&amp;A120&amp;"-"&amp;Z$2,"")&amp;IF(N(AA120)&gt;0,", "&amp;A120&amp;"-"&amp;AA$2,"")&amp;IF(N(AB120)&gt;0,", "&amp;A120&amp;"-"&amp;AB$2,"")&amp;IF(N(AC120)&gt;0,", "&amp;A120&amp;"-"&amp;AC$2,"")&amp;IF(N(AD120)&gt;0,", "&amp;A120&amp;"-"&amp;AD$2,"")&amp;IF(N(AE120)&gt;0,", "&amp;A120&amp;"-"&amp;AE$2,"")&amp;IF(N(AF120)&gt;0,", "&amp;A120&amp;"-"&amp;AF$2,"")&amp;IF(N(AG120)&gt;0,", "&amp;A120&amp;"-"&amp;AG$2,"")&amp;IF(N(AH120)&gt;0,", "&amp;A120&amp;"-"&amp;AH$2,"")&amp;IF(N(AI120)&gt;0,", "&amp;A120&amp;"-"&amp;AI$2,"")&amp;IF(N(AJ120)&gt;0,", "&amp;A120&amp;"-"&amp;AJ$2,""),3,999))</f>
        <v/>
      </c>
      <c r="AN120" s="81"/>
      <c r="AO120" s="88"/>
      <c r="AP120" s="89" t="str">
        <f aca="false">IF(AO120="","",ROUND(AO120/(1+Справочники!$B$13),2))</f>
        <v/>
      </c>
      <c r="AQ120" s="90" t="str">
        <f aca="false" t="array" ref="AQ120:AQ120">IF(AP120="","",AP120*INDEX(Справочники!$B$4:$B$7,MATCH("RUB",Справочники!$A$4:$A$7,0)))</f>
        <v/>
      </c>
      <c r="AR120" s="90" t="str">
        <f aca="false">IF(AQ120="","",ROUND(AQ120*(1+Справочники!$B$12),0))</f>
        <v/>
      </c>
      <c r="AS120" s="90" t="str">
        <f aca="false">IF(AR120="","",ROUND(AR120*(1-Справочники!$B$11),0))</f>
        <v/>
      </c>
      <c r="AT120" s="88"/>
      <c r="AU120" s="90" t="str">
        <f aca="false">IF(AT120="","",ROUND(AT120/(1+Справочники!$B$12),0))</f>
        <v/>
      </c>
      <c r="AV120" s="90" t="str">
        <f aca="false">IF(AT120="","",ROUND(AT120*(1-Справочники!$B$15),0))</f>
        <v/>
      </c>
      <c r="AW120" s="90" t="str">
        <f aca="false">IF(AT120="","",ROUND(AT120*(1-Справочники!$B$16),0))</f>
        <v/>
      </c>
      <c r="AX120" s="90" t="str">
        <f aca="false">IF(AT120="","",ROUND(AT120*(1-Справочники!$B$17),0))</f>
        <v/>
      </c>
      <c r="AY120" s="90" t="str">
        <f aca="false">IF(AT120="","",ROUND(AT120*(1-Справочники!$B$18),0))</f>
        <v/>
      </c>
      <c r="AZ120" s="90" t="str">
        <f aca="false">IF(AT120="","",ROUND(AT120*(1-Справочники!$B$19),0))</f>
        <v/>
      </c>
      <c r="BA120" s="81"/>
      <c r="BB120" s="81"/>
      <c r="BC120" s="81"/>
      <c r="BD120" s="81"/>
      <c r="BE120" s="91"/>
      <c r="BF120" s="81" t="s">
        <v>103</v>
      </c>
      <c r="BG120" s="89" t="n">
        <f aca="false" t="array" ref="BG120:BG120">IF(BF120="","",IFERROR(INDEX(Справочники!$B$4:$B$7,MATCH(BF120,Справочники!$A$4:$A$7,0)),""))</f>
        <v>68.5</v>
      </c>
      <c r="BH120" s="90" t="str">
        <f aca="false">IF(N(BN120)&gt;0,ROUND(SUMIF(ЗАКАЗЫ!$F$3:$F$500,$A120,ЗАКАЗЫ!$Y$3:$Y$500)/BN120,0),IF(OR(BE120="",BG120=""),"",ROUND(BE120*BG120*(1+Справочники!$B$10),0)))</f>
        <v/>
      </c>
      <c r="BI120" s="92" t="str">
        <f aca="false">IF(OR(AU120="",BH120="",AU120=0),"",(AU120-BH120)/AU120)</f>
        <v/>
      </c>
      <c r="BJ120" s="81"/>
      <c r="BK120" s="83"/>
      <c r="BL120" s="43" t="str">
        <f aca="false">IFERROR(INDEX(ЗАКАЗЫ!$N$3:$N$500,MATCH($A120,ЗАКАЗЫ!$F$3:$F$500,0)),"")</f>
        <v/>
      </c>
      <c r="BM120" s="8" t="str">
        <f aca="false">IF(BL120="","",IFERROR(VLOOKUP(BL120,'ТН ВЭД'!$A$4:$C$40,3,0),""))</f>
        <v/>
      </c>
      <c r="BN120" s="7" t="str">
        <f aca="false">IF(COUNTIF(ЗАКАЗЫ!$F$3:$F$500,$A120)=0,"",SUMIF(ЗАКАЗЫ!$F$3:$F$500,$A120,ЗАКАЗЫ!$J$3:$J$500))</f>
        <v/>
      </c>
      <c r="BO120" s="7" t="str">
        <f aca="false">IF(BN120="","",SUMIF(ЗАКАЗЫ!$F$3:$F$500,$A120,ЗАКАЗЫ!$AL$3:$AL$500))</f>
        <v/>
      </c>
      <c r="BP120" s="7" t="str">
        <f aca="false">IF(BN120="","",BN120-BO120)</f>
        <v/>
      </c>
      <c r="BQ120" s="55" t="str">
        <f aca="false">IF(BN120="","",IF(BO120&gt;=BN120,"На складе",IF(BO120&gt;0,"Частично","Ждём")))</f>
        <v/>
      </c>
      <c r="BR120" s="43"/>
      <c r="BS120" s="47" t="str">
        <f aca="false">IF(BN120="","",IF(_xlfn.MAXIFS(ЗАКАЗЫ!$AK$3:$AK$500,ЗАКАЗЫ!$F$3:$F$500,$A120)=0,"",_xlfn.MAXIFS(ЗАКАЗЫ!$AK$3:$AK$500,ЗАКАЗЫ!$F$3:$F$500,$A120)))</f>
        <v/>
      </c>
    </row>
    <row r="121" customFormat="false" ht="15.75" hidden="false" customHeight="true" outlineLevel="0" collapsed="false">
      <c r="A121" s="80" t="s">
        <v>1988</v>
      </c>
      <c r="B121" s="81"/>
      <c r="C121" s="81"/>
      <c r="D121" s="81"/>
      <c r="E121" s="83"/>
      <c r="F121" s="81"/>
      <c r="G121" s="83"/>
      <c r="H121" s="83"/>
      <c r="I121" s="84" t="str">
        <f aca="false">IF(E121="","",A121&amp;"_1.jpg")</f>
        <v/>
      </c>
      <c r="J121" s="84" t="str">
        <f aca="false">IF(E121="","",A121&amp;"_2.jpg; "&amp;A121&amp;"_3.jpg")</f>
        <v/>
      </c>
      <c r="K121" s="84" t="str">
        <f aca="false">IF(E121="","",A121&amp;"_schema.jpg")</f>
        <v/>
      </c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 t="s">
        <v>96</v>
      </c>
      <c r="W121" s="81"/>
      <c r="X121" s="81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6" t="str">
        <f aca="false">IF(SUM(Y121:AJ121)=0,"",SUM(Y121:AJ121))</f>
        <v/>
      </c>
      <c r="AL121" s="84" t="str">
        <f aca="false">MID(IF(N(Y121)&gt;0,", "&amp;Y$2,"")&amp;IF(N(Z121)&gt;0,", "&amp;Z$2,"")&amp;IF(N(AA121)&gt;0,", "&amp;AA$2,"")&amp;IF(N(AB121)&gt;0,", "&amp;AB$2,"")&amp;IF(N(AC121)&gt;0,", "&amp;AC$2,"")&amp;IF(N(AD121)&gt;0,", "&amp;AD$2,"")&amp;IF(N(AE121)&gt;0,", "&amp;AE$2,"")&amp;IF(N(AF121)&gt;0,", "&amp;AF$2,"")&amp;IF(N(AG121)&gt;0,", "&amp;AG$2,"")&amp;IF(N(AH121)&gt;0,", "&amp;AH$2,"")&amp;IF(N(AI121)&gt;0,", "&amp;AI$2,"")&amp;IF(N(AJ121)&gt;0,", "&amp;AJ$2,""),3,999)</f>
        <v/>
      </c>
      <c r="AM121" s="87" t="str">
        <f aca="false">IF(E121="","",MID(IF(N(Y121)&gt;0,", "&amp;A121&amp;"-"&amp;Y$2,"")&amp;IF(N(Z121)&gt;0,", "&amp;A121&amp;"-"&amp;Z$2,"")&amp;IF(N(AA121)&gt;0,", "&amp;A121&amp;"-"&amp;AA$2,"")&amp;IF(N(AB121)&gt;0,", "&amp;A121&amp;"-"&amp;AB$2,"")&amp;IF(N(AC121)&gt;0,", "&amp;A121&amp;"-"&amp;AC$2,"")&amp;IF(N(AD121)&gt;0,", "&amp;A121&amp;"-"&amp;AD$2,"")&amp;IF(N(AE121)&gt;0,", "&amp;A121&amp;"-"&amp;AE$2,"")&amp;IF(N(AF121)&gt;0,", "&amp;A121&amp;"-"&amp;AF$2,"")&amp;IF(N(AG121)&gt;0,", "&amp;A121&amp;"-"&amp;AG$2,"")&amp;IF(N(AH121)&gt;0,", "&amp;A121&amp;"-"&amp;AH$2,"")&amp;IF(N(AI121)&gt;0,", "&amp;A121&amp;"-"&amp;AI$2,"")&amp;IF(N(AJ121)&gt;0,", "&amp;A121&amp;"-"&amp;AJ$2,""),3,999))</f>
        <v/>
      </c>
      <c r="AN121" s="81"/>
      <c r="AO121" s="88"/>
      <c r="AP121" s="89" t="str">
        <f aca="false">IF(AO121="","",ROUND(AO121/(1+Справочники!$B$13),2))</f>
        <v/>
      </c>
      <c r="AQ121" s="90" t="str">
        <f aca="false" t="array" ref="AQ121:AQ121">IF(AP121="","",AP121*INDEX(Справочники!$B$4:$B$7,MATCH("RUB",Справочники!$A$4:$A$7,0)))</f>
        <v/>
      </c>
      <c r="AR121" s="90" t="str">
        <f aca="false">IF(AQ121="","",ROUND(AQ121*(1+Справочники!$B$12),0))</f>
        <v/>
      </c>
      <c r="AS121" s="90" t="str">
        <f aca="false">IF(AR121="","",ROUND(AR121*(1-Справочники!$B$11),0))</f>
        <v/>
      </c>
      <c r="AT121" s="88"/>
      <c r="AU121" s="90" t="str">
        <f aca="false">IF(AT121="","",ROUND(AT121/(1+Справочники!$B$12),0))</f>
        <v/>
      </c>
      <c r="AV121" s="90" t="str">
        <f aca="false">IF(AT121="","",ROUND(AT121*(1-Справочники!$B$15),0))</f>
        <v/>
      </c>
      <c r="AW121" s="90" t="str">
        <f aca="false">IF(AT121="","",ROUND(AT121*(1-Справочники!$B$16),0))</f>
        <v/>
      </c>
      <c r="AX121" s="90" t="str">
        <f aca="false">IF(AT121="","",ROUND(AT121*(1-Справочники!$B$17),0))</f>
        <v/>
      </c>
      <c r="AY121" s="90" t="str">
        <f aca="false">IF(AT121="","",ROUND(AT121*(1-Справочники!$B$18),0))</f>
        <v/>
      </c>
      <c r="AZ121" s="90" t="str">
        <f aca="false">IF(AT121="","",ROUND(AT121*(1-Справочники!$B$19),0))</f>
        <v/>
      </c>
      <c r="BA121" s="81"/>
      <c r="BB121" s="81"/>
      <c r="BC121" s="81"/>
      <c r="BD121" s="81"/>
      <c r="BE121" s="91"/>
      <c r="BF121" s="81" t="s">
        <v>103</v>
      </c>
      <c r="BG121" s="89" t="n">
        <f aca="false" t="array" ref="BG121:BG121">IF(BF121="","",IFERROR(INDEX(Справочники!$B$4:$B$7,MATCH(BF121,Справочники!$A$4:$A$7,0)),""))</f>
        <v>68.5</v>
      </c>
      <c r="BH121" s="90" t="str">
        <f aca="false">IF(N(BN121)&gt;0,ROUND(SUMIF(ЗАКАЗЫ!$F$3:$F$500,$A121,ЗАКАЗЫ!$Y$3:$Y$500)/BN121,0),IF(OR(BE121="",BG121=""),"",ROUND(BE121*BG121*(1+Справочники!$B$10),0)))</f>
        <v/>
      </c>
      <c r="BI121" s="92" t="str">
        <f aca="false">IF(OR(AU121="",BH121="",AU121=0),"",(AU121-BH121)/AU121)</f>
        <v/>
      </c>
      <c r="BJ121" s="81"/>
      <c r="BK121" s="83"/>
      <c r="BL121" s="43" t="str">
        <f aca="false">IFERROR(INDEX(ЗАКАЗЫ!$N$3:$N$500,MATCH($A121,ЗАКАЗЫ!$F$3:$F$500,0)),"")</f>
        <v/>
      </c>
      <c r="BM121" s="8" t="str">
        <f aca="false">IF(BL121="","",IFERROR(VLOOKUP(BL121,'ТН ВЭД'!$A$4:$C$40,3,0),""))</f>
        <v/>
      </c>
      <c r="BN121" s="7" t="str">
        <f aca="false">IF(COUNTIF(ЗАКАЗЫ!$F$3:$F$500,$A121)=0,"",SUMIF(ЗАКАЗЫ!$F$3:$F$500,$A121,ЗАКАЗЫ!$J$3:$J$500))</f>
        <v/>
      </c>
      <c r="BO121" s="7" t="str">
        <f aca="false">IF(BN121="","",SUMIF(ЗАКАЗЫ!$F$3:$F$500,$A121,ЗАКАЗЫ!$AL$3:$AL$500))</f>
        <v/>
      </c>
      <c r="BP121" s="7" t="str">
        <f aca="false">IF(BN121="","",BN121-BO121)</f>
        <v/>
      </c>
      <c r="BQ121" s="55" t="str">
        <f aca="false">IF(BN121="","",IF(BO121&gt;=BN121,"На складе",IF(BO121&gt;0,"Частично","Ждём")))</f>
        <v/>
      </c>
      <c r="BR121" s="43"/>
      <c r="BS121" s="47" t="str">
        <f aca="false">IF(BN121="","",IF(_xlfn.MAXIFS(ЗАКАЗЫ!$AK$3:$AK$500,ЗАКАЗЫ!$F$3:$F$500,$A121)=0,"",_xlfn.MAXIFS(ЗАКАЗЫ!$AK$3:$AK$500,ЗАКАЗЫ!$F$3:$F$500,$A121)))</f>
        <v/>
      </c>
    </row>
    <row r="122" customFormat="false" ht="15.75" hidden="false" customHeight="true" outlineLevel="0" collapsed="false">
      <c r="A122" s="80" t="s">
        <v>1989</v>
      </c>
      <c r="B122" s="81"/>
      <c r="C122" s="81"/>
      <c r="D122" s="81"/>
      <c r="E122" s="83"/>
      <c r="F122" s="81"/>
      <c r="G122" s="83"/>
      <c r="H122" s="83"/>
      <c r="I122" s="84" t="str">
        <f aca="false">IF(E122="","",A122&amp;"_1.jpg")</f>
        <v/>
      </c>
      <c r="J122" s="84" t="str">
        <f aca="false">IF(E122="","",A122&amp;"_2.jpg; "&amp;A122&amp;"_3.jpg")</f>
        <v/>
      </c>
      <c r="K122" s="84" t="str">
        <f aca="false">IF(E122="","",A122&amp;"_schema.jpg")</f>
        <v/>
      </c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 t="s">
        <v>96</v>
      </c>
      <c r="W122" s="81"/>
      <c r="X122" s="81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6" t="str">
        <f aca="false">IF(SUM(Y122:AJ122)=0,"",SUM(Y122:AJ122))</f>
        <v/>
      </c>
      <c r="AL122" s="84" t="str">
        <f aca="false">MID(IF(N(Y122)&gt;0,", "&amp;Y$2,"")&amp;IF(N(Z122)&gt;0,", "&amp;Z$2,"")&amp;IF(N(AA122)&gt;0,", "&amp;AA$2,"")&amp;IF(N(AB122)&gt;0,", "&amp;AB$2,"")&amp;IF(N(AC122)&gt;0,", "&amp;AC$2,"")&amp;IF(N(AD122)&gt;0,", "&amp;AD$2,"")&amp;IF(N(AE122)&gt;0,", "&amp;AE$2,"")&amp;IF(N(AF122)&gt;0,", "&amp;AF$2,"")&amp;IF(N(AG122)&gt;0,", "&amp;AG$2,"")&amp;IF(N(AH122)&gt;0,", "&amp;AH$2,"")&amp;IF(N(AI122)&gt;0,", "&amp;AI$2,"")&amp;IF(N(AJ122)&gt;0,", "&amp;AJ$2,""),3,999)</f>
        <v/>
      </c>
      <c r="AM122" s="87" t="str">
        <f aca="false">IF(E122="","",MID(IF(N(Y122)&gt;0,", "&amp;A122&amp;"-"&amp;Y$2,"")&amp;IF(N(Z122)&gt;0,", "&amp;A122&amp;"-"&amp;Z$2,"")&amp;IF(N(AA122)&gt;0,", "&amp;A122&amp;"-"&amp;AA$2,"")&amp;IF(N(AB122)&gt;0,", "&amp;A122&amp;"-"&amp;AB$2,"")&amp;IF(N(AC122)&gt;0,", "&amp;A122&amp;"-"&amp;AC$2,"")&amp;IF(N(AD122)&gt;0,", "&amp;A122&amp;"-"&amp;AD$2,"")&amp;IF(N(AE122)&gt;0,", "&amp;A122&amp;"-"&amp;AE$2,"")&amp;IF(N(AF122)&gt;0,", "&amp;A122&amp;"-"&amp;AF$2,"")&amp;IF(N(AG122)&gt;0,", "&amp;A122&amp;"-"&amp;AG$2,"")&amp;IF(N(AH122)&gt;0,", "&amp;A122&amp;"-"&amp;AH$2,"")&amp;IF(N(AI122)&gt;0,", "&amp;A122&amp;"-"&amp;AI$2,"")&amp;IF(N(AJ122)&gt;0,", "&amp;A122&amp;"-"&amp;AJ$2,""),3,999))</f>
        <v/>
      </c>
      <c r="AN122" s="81"/>
      <c r="AO122" s="88"/>
      <c r="AP122" s="89" t="str">
        <f aca="false">IF(AO122="","",ROUND(AO122/(1+Справочники!$B$13),2))</f>
        <v/>
      </c>
      <c r="AQ122" s="90" t="str">
        <f aca="false" t="array" ref="AQ122:AQ122">IF(AP122="","",AP122*INDEX(Справочники!$B$4:$B$7,MATCH("RUB",Справочники!$A$4:$A$7,0)))</f>
        <v/>
      </c>
      <c r="AR122" s="90" t="str">
        <f aca="false">IF(AQ122="","",ROUND(AQ122*(1+Справочники!$B$12),0))</f>
        <v/>
      </c>
      <c r="AS122" s="90" t="str">
        <f aca="false">IF(AR122="","",ROUND(AR122*(1-Справочники!$B$11),0))</f>
        <v/>
      </c>
      <c r="AT122" s="88"/>
      <c r="AU122" s="90" t="str">
        <f aca="false">IF(AT122="","",ROUND(AT122/(1+Справочники!$B$12),0))</f>
        <v/>
      </c>
      <c r="AV122" s="90" t="str">
        <f aca="false">IF(AT122="","",ROUND(AT122*(1-Справочники!$B$15),0))</f>
        <v/>
      </c>
      <c r="AW122" s="90" t="str">
        <f aca="false">IF(AT122="","",ROUND(AT122*(1-Справочники!$B$16),0))</f>
        <v/>
      </c>
      <c r="AX122" s="90" t="str">
        <f aca="false">IF(AT122="","",ROUND(AT122*(1-Справочники!$B$17),0))</f>
        <v/>
      </c>
      <c r="AY122" s="90" t="str">
        <f aca="false">IF(AT122="","",ROUND(AT122*(1-Справочники!$B$18),0))</f>
        <v/>
      </c>
      <c r="AZ122" s="90" t="str">
        <f aca="false">IF(AT122="","",ROUND(AT122*(1-Справочники!$B$19),0))</f>
        <v/>
      </c>
      <c r="BA122" s="81"/>
      <c r="BB122" s="81"/>
      <c r="BC122" s="81"/>
      <c r="BD122" s="81"/>
      <c r="BE122" s="91"/>
      <c r="BF122" s="81" t="s">
        <v>103</v>
      </c>
      <c r="BG122" s="89" t="n">
        <f aca="false" t="array" ref="BG122:BG122">IF(BF122="","",IFERROR(INDEX(Справочники!$B$4:$B$7,MATCH(BF122,Справочники!$A$4:$A$7,0)),""))</f>
        <v>68.5</v>
      </c>
      <c r="BH122" s="90" t="str">
        <f aca="false">IF(N(BN122)&gt;0,ROUND(SUMIF(ЗАКАЗЫ!$F$3:$F$500,$A122,ЗАКАЗЫ!$Y$3:$Y$500)/BN122,0),IF(OR(BE122="",BG122=""),"",ROUND(BE122*BG122*(1+Справочники!$B$10),0)))</f>
        <v/>
      </c>
      <c r="BI122" s="92" t="str">
        <f aca="false">IF(OR(AU122="",BH122="",AU122=0),"",(AU122-BH122)/AU122)</f>
        <v/>
      </c>
      <c r="BJ122" s="81"/>
      <c r="BK122" s="83"/>
      <c r="BL122" s="43" t="str">
        <f aca="false">IFERROR(INDEX(ЗАКАЗЫ!$N$3:$N$500,MATCH($A122,ЗАКАЗЫ!$F$3:$F$500,0)),"")</f>
        <v/>
      </c>
      <c r="BM122" s="8" t="str">
        <f aca="false">IF(BL122="","",IFERROR(VLOOKUP(BL122,'ТН ВЭД'!$A$4:$C$40,3,0),""))</f>
        <v/>
      </c>
      <c r="BN122" s="7" t="str">
        <f aca="false">IF(COUNTIF(ЗАКАЗЫ!$F$3:$F$500,$A122)=0,"",SUMIF(ЗАКАЗЫ!$F$3:$F$500,$A122,ЗАКАЗЫ!$J$3:$J$500))</f>
        <v/>
      </c>
      <c r="BO122" s="7" t="str">
        <f aca="false">IF(BN122="","",SUMIF(ЗАКАЗЫ!$F$3:$F$500,$A122,ЗАКАЗЫ!$AL$3:$AL$500))</f>
        <v/>
      </c>
      <c r="BP122" s="7" t="str">
        <f aca="false">IF(BN122="","",BN122-BO122)</f>
        <v/>
      </c>
      <c r="BQ122" s="55" t="str">
        <f aca="false">IF(BN122="","",IF(BO122&gt;=BN122,"На складе",IF(BO122&gt;0,"Частично","Ждём")))</f>
        <v/>
      </c>
      <c r="BR122" s="43"/>
      <c r="BS122" s="47" t="str">
        <f aca="false">IF(BN122="","",IF(_xlfn.MAXIFS(ЗАКАЗЫ!$AK$3:$AK$500,ЗАКАЗЫ!$F$3:$F$500,$A122)=0,"",_xlfn.MAXIFS(ЗАКАЗЫ!$AK$3:$AK$500,ЗАКАЗЫ!$F$3:$F$500,$A122)))</f>
        <v/>
      </c>
    </row>
    <row r="123" customFormat="false" ht="15.75" hidden="false" customHeight="true" outlineLevel="0" collapsed="false">
      <c r="A123" s="80" t="s">
        <v>1990</v>
      </c>
      <c r="B123" s="81"/>
      <c r="C123" s="81"/>
      <c r="D123" s="81"/>
      <c r="E123" s="83"/>
      <c r="F123" s="81"/>
      <c r="G123" s="83"/>
      <c r="H123" s="83"/>
      <c r="I123" s="84" t="str">
        <f aca="false">IF(E123="","",A123&amp;"_1.jpg")</f>
        <v/>
      </c>
      <c r="J123" s="84" t="str">
        <f aca="false">IF(E123="","",A123&amp;"_2.jpg; "&amp;A123&amp;"_3.jpg")</f>
        <v/>
      </c>
      <c r="K123" s="84" t="str">
        <f aca="false">IF(E123="","",A123&amp;"_schema.jpg")</f>
        <v/>
      </c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 t="s">
        <v>96</v>
      </c>
      <c r="W123" s="81"/>
      <c r="X123" s="81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6" t="str">
        <f aca="false">IF(SUM(Y123:AJ123)=0,"",SUM(Y123:AJ123))</f>
        <v/>
      </c>
      <c r="AL123" s="84" t="str">
        <f aca="false">MID(IF(N(Y123)&gt;0,", "&amp;Y$2,"")&amp;IF(N(Z123)&gt;0,", "&amp;Z$2,"")&amp;IF(N(AA123)&gt;0,", "&amp;AA$2,"")&amp;IF(N(AB123)&gt;0,", "&amp;AB$2,"")&amp;IF(N(AC123)&gt;0,", "&amp;AC$2,"")&amp;IF(N(AD123)&gt;0,", "&amp;AD$2,"")&amp;IF(N(AE123)&gt;0,", "&amp;AE$2,"")&amp;IF(N(AF123)&gt;0,", "&amp;AF$2,"")&amp;IF(N(AG123)&gt;0,", "&amp;AG$2,"")&amp;IF(N(AH123)&gt;0,", "&amp;AH$2,"")&amp;IF(N(AI123)&gt;0,", "&amp;AI$2,"")&amp;IF(N(AJ123)&gt;0,", "&amp;AJ$2,""),3,999)</f>
        <v/>
      </c>
      <c r="AM123" s="87" t="str">
        <f aca="false">IF(E123="","",MID(IF(N(Y123)&gt;0,", "&amp;A123&amp;"-"&amp;Y$2,"")&amp;IF(N(Z123)&gt;0,", "&amp;A123&amp;"-"&amp;Z$2,"")&amp;IF(N(AA123)&gt;0,", "&amp;A123&amp;"-"&amp;AA$2,"")&amp;IF(N(AB123)&gt;0,", "&amp;A123&amp;"-"&amp;AB$2,"")&amp;IF(N(AC123)&gt;0,", "&amp;A123&amp;"-"&amp;AC$2,"")&amp;IF(N(AD123)&gt;0,", "&amp;A123&amp;"-"&amp;AD$2,"")&amp;IF(N(AE123)&gt;0,", "&amp;A123&amp;"-"&amp;AE$2,"")&amp;IF(N(AF123)&gt;0,", "&amp;A123&amp;"-"&amp;AF$2,"")&amp;IF(N(AG123)&gt;0,", "&amp;A123&amp;"-"&amp;AG$2,"")&amp;IF(N(AH123)&gt;0,", "&amp;A123&amp;"-"&amp;AH$2,"")&amp;IF(N(AI123)&gt;0,", "&amp;A123&amp;"-"&amp;AI$2,"")&amp;IF(N(AJ123)&gt;0,", "&amp;A123&amp;"-"&amp;AJ$2,""),3,999))</f>
        <v/>
      </c>
      <c r="AN123" s="81"/>
      <c r="AO123" s="88"/>
      <c r="AP123" s="89" t="str">
        <f aca="false">IF(AO123="","",ROUND(AO123/(1+Справочники!$B$13),2))</f>
        <v/>
      </c>
      <c r="AQ123" s="90" t="str">
        <f aca="false" t="array" ref="AQ123:AQ123">IF(AP123="","",AP123*INDEX(Справочники!$B$4:$B$7,MATCH("RUB",Справочники!$A$4:$A$7,0)))</f>
        <v/>
      </c>
      <c r="AR123" s="90" t="str">
        <f aca="false">IF(AQ123="","",ROUND(AQ123*(1+Справочники!$B$12),0))</f>
        <v/>
      </c>
      <c r="AS123" s="90" t="str">
        <f aca="false">IF(AR123="","",ROUND(AR123*(1-Справочники!$B$11),0))</f>
        <v/>
      </c>
      <c r="AT123" s="88"/>
      <c r="AU123" s="90" t="str">
        <f aca="false">IF(AT123="","",ROUND(AT123/(1+Справочники!$B$12),0))</f>
        <v/>
      </c>
      <c r="AV123" s="90" t="str">
        <f aca="false">IF(AT123="","",ROUND(AT123*(1-Справочники!$B$15),0))</f>
        <v/>
      </c>
      <c r="AW123" s="90" t="str">
        <f aca="false">IF(AT123="","",ROUND(AT123*(1-Справочники!$B$16),0))</f>
        <v/>
      </c>
      <c r="AX123" s="90" t="str">
        <f aca="false">IF(AT123="","",ROUND(AT123*(1-Справочники!$B$17),0))</f>
        <v/>
      </c>
      <c r="AY123" s="90" t="str">
        <f aca="false">IF(AT123="","",ROUND(AT123*(1-Справочники!$B$18),0))</f>
        <v/>
      </c>
      <c r="AZ123" s="90" t="str">
        <f aca="false">IF(AT123="","",ROUND(AT123*(1-Справочники!$B$19),0))</f>
        <v/>
      </c>
      <c r="BA123" s="81"/>
      <c r="BB123" s="81"/>
      <c r="BC123" s="81"/>
      <c r="BD123" s="81"/>
      <c r="BE123" s="91"/>
      <c r="BF123" s="81" t="s">
        <v>103</v>
      </c>
      <c r="BG123" s="89" t="n">
        <f aca="false" t="array" ref="BG123:BG123">IF(BF123="","",IFERROR(INDEX(Справочники!$B$4:$B$7,MATCH(BF123,Справочники!$A$4:$A$7,0)),""))</f>
        <v>68.5</v>
      </c>
      <c r="BH123" s="90" t="str">
        <f aca="false">IF(N(BN123)&gt;0,ROUND(SUMIF(ЗАКАЗЫ!$F$3:$F$500,$A123,ЗАКАЗЫ!$Y$3:$Y$500)/BN123,0),IF(OR(BE123="",BG123=""),"",ROUND(BE123*BG123*(1+Справочники!$B$10),0)))</f>
        <v/>
      </c>
      <c r="BI123" s="92" t="str">
        <f aca="false">IF(OR(AU123="",BH123="",AU123=0),"",(AU123-BH123)/AU123)</f>
        <v/>
      </c>
      <c r="BJ123" s="81"/>
      <c r="BK123" s="83"/>
      <c r="BL123" s="43" t="str">
        <f aca="false">IFERROR(INDEX(ЗАКАЗЫ!$N$3:$N$500,MATCH($A123,ЗАКАЗЫ!$F$3:$F$500,0)),"")</f>
        <v/>
      </c>
      <c r="BM123" s="8" t="str">
        <f aca="false">IF(BL123="","",IFERROR(VLOOKUP(BL123,'ТН ВЭД'!$A$4:$C$40,3,0),""))</f>
        <v/>
      </c>
      <c r="BN123" s="7" t="str">
        <f aca="false">IF(COUNTIF(ЗАКАЗЫ!$F$3:$F$500,$A123)=0,"",SUMIF(ЗАКАЗЫ!$F$3:$F$500,$A123,ЗАКАЗЫ!$J$3:$J$500))</f>
        <v/>
      </c>
      <c r="BO123" s="7" t="str">
        <f aca="false">IF(BN123="","",SUMIF(ЗАКАЗЫ!$F$3:$F$500,$A123,ЗАКАЗЫ!$AL$3:$AL$500))</f>
        <v/>
      </c>
      <c r="BP123" s="7" t="str">
        <f aca="false">IF(BN123="","",BN123-BO123)</f>
        <v/>
      </c>
      <c r="BQ123" s="55" t="str">
        <f aca="false">IF(BN123="","",IF(BO123&gt;=BN123,"На складе",IF(BO123&gt;0,"Частично","Ждём")))</f>
        <v/>
      </c>
      <c r="BR123" s="43"/>
      <c r="BS123" s="47" t="str">
        <f aca="false">IF(BN123="","",IF(_xlfn.MAXIFS(ЗАКАЗЫ!$AK$3:$AK$500,ЗАКАЗЫ!$F$3:$F$500,$A123)=0,"",_xlfn.MAXIFS(ЗАКАЗЫ!$AK$3:$AK$500,ЗАКАЗЫ!$F$3:$F$500,$A123)))</f>
        <v/>
      </c>
    </row>
    <row r="124" customFormat="false" ht="15.75" hidden="false" customHeight="true" outlineLevel="0" collapsed="false">
      <c r="A124" s="80" t="s">
        <v>1991</v>
      </c>
      <c r="B124" s="81"/>
      <c r="C124" s="81"/>
      <c r="D124" s="81"/>
      <c r="E124" s="83"/>
      <c r="F124" s="81"/>
      <c r="G124" s="83"/>
      <c r="H124" s="83"/>
      <c r="I124" s="84" t="str">
        <f aca="false">IF(E124="","",A124&amp;"_1.jpg")</f>
        <v/>
      </c>
      <c r="J124" s="84" t="str">
        <f aca="false">IF(E124="","",A124&amp;"_2.jpg; "&amp;A124&amp;"_3.jpg")</f>
        <v/>
      </c>
      <c r="K124" s="84" t="str">
        <f aca="false">IF(E124="","",A124&amp;"_schema.jpg")</f>
        <v/>
      </c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 t="s">
        <v>96</v>
      </c>
      <c r="W124" s="81"/>
      <c r="X124" s="81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6" t="str">
        <f aca="false">IF(SUM(Y124:AJ124)=0,"",SUM(Y124:AJ124))</f>
        <v/>
      </c>
      <c r="AL124" s="84" t="str">
        <f aca="false">MID(IF(N(Y124)&gt;0,", "&amp;Y$2,"")&amp;IF(N(Z124)&gt;0,", "&amp;Z$2,"")&amp;IF(N(AA124)&gt;0,", "&amp;AA$2,"")&amp;IF(N(AB124)&gt;0,", "&amp;AB$2,"")&amp;IF(N(AC124)&gt;0,", "&amp;AC$2,"")&amp;IF(N(AD124)&gt;0,", "&amp;AD$2,"")&amp;IF(N(AE124)&gt;0,", "&amp;AE$2,"")&amp;IF(N(AF124)&gt;0,", "&amp;AF$2,"")&amp;IF(N(AG124)&gt;0,", "&amp;AG$2,"")&amp;IF(N(AH124)&gt;0,", "&amp;AH$2,"")&amp;IF(N(AI124)&gt;0,", "&amp;AI$2,"")&amp;IF(N(AJ124)&gt;0,", "&amp;AJ$2,""),3,999)</f>
        <v/>
      </c>
      <c r="AM124" s="87" t="str">
        <f aca="false">IF(E124="","",MID(IF(N(Y124)&gt;0,", "&amp;A124&amp;"-"&amp;Y$2,"")&amp;IF(N(Z124)&gt;0,", "&amp;A124&amp;"-"&amp;Z$2,"")&amp;IF(N(AA124)&gt;0,", "&amp;A124&amp;"-"&amp;AA$2,"")&amp;IF(N(AB124)&gt;0,", "&amp;A124&amp;"-"&amp;AB$2,"")&amp;IF(N(AC124)&gt;0,", "&amp;A124&amp;"-"&amp;AC$2,"")&amp;IF(N(AD124)&gt;0,", "&amp;A124&amp;"-"&amp;AD$2,"")&amp;IF(N(AE124)&gt;0,", "&amp;A124&amp;"-"&amp;AE$2,"")&amp;IF(N(AF124)&gt;0,", "&amp;A124&amp;"-"&amp;AF$2,"")&amp;IF(N(AG124)&gt;0,", "&amp;A124&amp;"-"&amp;AG$2,"")&amp;IF(N(AH124)&gt;0,", "&amp;A124&amp;"-"&amp;AH$2,"")&amp;IF(N(AI124)&gt;0,", "&amp;A124&amp;"-"&amp;AI$2,"")&amp;IF(N(AJ124)&gt;0,", "&amp;A124&amp;"-"&amp;AJ$2,""),3,999))</f>
        <v/>
      </c>
      <c r="AN124" s="81"/>
      <c r="AO124" s="88"/>
      <c r="AP124" s="89" t="str">
        <f aca="false">IF(AO124="","",ROUND(AO124/(1+Справочники!$B$13),2))</f>
        <v/>
      </c>
      <c r="AQ124" s="90" t="str">
        <f aca="false" t="array" ref="AQ124:AQ124">IF(AP124="","",AP124*INDEX(Справочники!$B$4:$B$7,MATCH("RUB",Справочники!$A$4:$A$7,0)))</f>
        <v/>
      </c>
      <c r="AR124" s="90" t="str">
        <f aca="false">IF(AQ124="","",ROUND(AQ124*(1+Справочники!$B$12),0))</f>
        <v/>
      </c>
      <c r="AS124" s="90" t="str">
        <f aca="false">IF(AR124="","",ROUND(AR124*(1-Справочники!$B$11),0))</f>
        <v/>
      </c>
      <c r="AT124" s="88"/>
      <c r="AU124" s="90" t="str">
        <f aca="false">IF(AT124="","",ROUND(AT124/(1+Справочники!$B$12),0))</f>
        <v/>
      </c>
      <c r="AV124" s="90" t="str">
        <f aca="false">IF(AT124="","",ROUND(AT124*(1-Справочники!$B$15),0))</f>
        <v/>
      </c>
      <c r="AW124" s="90" t="str">
        <f aca="false">IF(AT124="","",ROUND(AT124*(1-Справочники!$B$16),0))</f>
        <v/>
      </c>
      <c r="AX124" s="90" t="str">
        <f aca="false">IF(AT124="","",ROUND(AT124*(1-Справочники!$B$17),0))</f>
        <v/>
      </c>
      <c r="AY124" s="90" t="str">
        <f aca="false">IF(AT124="","",ROUND(AT124*(1-Справочники!$B$18),0))</f>
        <v/>
      </c>
      <c r="AZ124" s="90" t="str">
        <f aca="false">IF(AT124="","",ROUND(AT124*(1-Справочники!$B$19),0))</f>
        <v/>
      </c>
      <c r="BA124" s="81"/>
      <c r="BB124" s="81"/>
      <c r="BC124" s="81"/>
      <c r="BD124" s="81"/>
      <c r="BE124" s="91"/>
      <c r="BF124" s="81" t="s">
        <v>103</v>
      </c>
      <c r="BG124" s="89" t="n">
        <f aca="false" t="array" ref="BG124:BG124">IF(BF124="","",IFERROR(INDEX(Справочники!$B$4:$B$7,MATCH(BF124,Справочники!$A$4:$A$7,0)),""))</f>
        <v>68.5</v>
      </c>
      <c r="BH124" s="90" t="str">
        <f aca="false">IF(N(BN124)&gt;0,ROUND(SUMIF(ЗАКАЗЫ!$F$3:$F$500,$A124,ЗАКАЗЫ!$Y$3:$Y$500)/BN124,0),IF(OR(BE124="",BG124=""),"",ROUND(BE124*BG124*(1+Справочники!$B$10),0)))</f>
        <v/>
      </c>
      <c r="BI124" s="92" t="str">
        <f aca="false">IF(OR(AU124="",BH124="",AU124=0),"",(AU124-BH124)/AU124)</f>
        <v/>
      </c>
      <c r="BJ124" s="81"/>
      <c r="BK124" s="83"/>
      <c r="BL124" s="43" t="str">
        <f aca="false">IFERROR(INDEX(ЗАКАЗЫ!$N$3:$N$500,MATCH($A124,ЗАКАЗЫ!$F$3:$F$500,0)),"")</f>
        <v/>
      </c>
      <c r="BM124" s="8" t="str">
        <f aca="false">IF(BL124="","",IFERROR(VLOOKUP(BL124,'ТН ВЭД'!$A$4:$C$40,3,0),""))</f>
        <v/>
      </c>
      <c r="BN124" s="7" t="str">
        <f aca="false">IF(COUNTIF(ЗАКАЗЫ!$F$3:$F$500,$A124)=0,"",SUMIF(ЗАКАЗЫ!$F$3:$F$500,$A124,ЗАКАЗЫ!$J$3:$J$500))</f>
        <v/>
      </c>
      <c r="BO124" s="7" t="str">
        <f aca="false">IF(BN124="","",SUMIF(ЗАКАЗЫ!$F$3:$F$500,$A124,ЗАКАЗЫ!$AL$3:$AL$500))</f>
        <v/>
      </c>
      <c r="BP124" s="7" t="str">
        <f aca="false">IF(BN124="","",BN124-BO124)</f>
        <v/>
      </c>
      <c r="BQ124" s="55" t="str">
        <f aca="false">IF(BN124="","",IF(BO124&gt;=BN124,"На складе",IF(BO124&gt;0,"Частично","Ждём")))</f>
        <v/>
      </c>
      <c r="BR124" s="43"/>
      <c r="BS124" s="47" t="str">
        <f aca="false">IF(BN124="","",IF(_xlfn.MAXIFS(ЗАКАЗЫ!$AK$3:$AK$500,ЗАКАЗЫ!$F$3:$F$500,$A124)=0,"",_xlfn.MAXIFS(ЗАКАЗЫ!$AK$3:$AK$500,ЗАКАЗЫ!$F$3:$F$500,$A124)))</f>
        <v/>
      </c>
    </row>
    <row r="125" customFormat="false" ht="15.75" hidden="false" customHeight="true" outlineLevel="0" collapsed="false">
      <c r="A125" s="80" t="s">
        <v>1992</v>
      </c>
      <c r="B125" s="81"/>
      <c r="C125" s="81"/>
      <c r="D125" s="81"/>
      <c r="E125" s="83"/>
      <c r="F125" s="81"/>
      <c r="G125" s="83"/>
      <c r="H125" s="83"/>
      <c r="I125" s="84" t="str">
        <f aca="false">IF(E125="","",A125&amp;"_1.jpg")</f>
        <v/>
      </c>
      <c r="J125" s="84" t="str">
        <f aca="false">IF(E125="","",A125&amp;"_2.jpg; "&amp;A125&amp;"_3.jpg")</f>
        <v/>
      </c>
      <c r="K125" s="84" t="str">
        <f aca="false">IF(E125="","",A125&amp;"_schema.jpg")</f>
        <v/>
      </c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 t="s">
        <v>96</v>
      </c>
      <c r="W125" s="81"/>
      <c r="X125" s="81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6" t="str">
        <f aca="false">IF(SUM(Y125:AJ125)=0,"",SUM(Y125:AJ125))</f>
        <v/>
      </c>
      <c r="AL125" s="84" t="str">
        <f aca="false">MID(IF(N(Y125)&gt;0,", "&amp;Y$2,"")&amp;IF(N(Z125)&gt;0,", "&amp;Z$2,"")&amp;IF(N(AA125)&gt;0,", "&amp;AA$2,"")&amp;IF(N(AB125)&gt;0,", "&amp;AB$2,"")&amp;IF(N(AC125)&gt;0,", "&amp;AC$2,"")&amp;IF(N(AD125)&gt;0,", "&amp;AD$2,"")&amp;IF(N(AE125)&gt;0,", "&amp;AE$2,"")&amp;IF(N(AF125)&gt;0,", "&amp;AF$2,"")&amp;IF(N(AG125)&gt;0,", "&amp;AG$2,"")&amp;IF(N(AH125)&gt;0,", "&amp;AH$2,"")&amp;IF(N(AI125)&gt;0,", "&amp;AI$2,"")&amp;IF(N(AJ125)&gt;0,", "&amp;AJ$2,""),3,999)</f>
        <v/>
      </c>
      <c r="AM125" s="87" t="str">
        <f aca="false">IF(E125="","",MID(IF(N(Y125)&gt;0,", "&amp;A125&amp;"-"&amp;Y$2,"")&amp;IF(N(Z125)&gt;0,", "&amp;A125&amp;"-"&amp;Z$2,"")&amp;IF(N(AA125)&gt;0,", "&amp;A125&amp;"-"&amp;AA$2,"")&amp;IF(N(AB125)&gt;0,", "&amp;A125&amp;"-"&amp;AB$2,"")&amp;IF(N(AC125)&gt;0,", "&amp;A125&amp;"-"&amp;AC$2,"")&amp;IF(N(AD125)&gt;0,", "&amp;A125&amp;"-"&amp;AD$2,"")&amp;IF(N(AE125)&gt;0,", "&amp;A125&amp;"-"&amp;AE$2,"")&amp;IF(N(AF125)&gt;0,", "&amp;A125&amp;"-"&amp;AF$2,"")&amp;IF(N(AG125)&gt;0,", "&amp;A125&amp;"-"&amp;AG$2,"")&amp;IF(N(AH125)&gt;0,", "&amp;A125&amp;"-"&amp;AH$2,"")&amp;IF(N(AI125)&gt;0,", "&amp;A125&amp;"-"&amp;AI$2,"")&amp;IF(N(AJ125)&gt;0,", "&amp;A125&amp;"-"&amp;AJ$2,""),3,999))</f>
        <v/>
      </c>
      <c r="AN125" s="81"/>
      <c r="AO125" s="88"/>
      <c r="AP125" s="89" t="str">
        <f aca="false">IF(AO125="","",ROUND(AO125/(1+Справочники!$B$13),2))</f>
        <v/>
      </c>
      <c r="AQ125" s="90" t="str">
        <f aca="false" t="array" ref="AQ125:AQ125">IF(AP125="","",AP125*INDEX(Справочники!$B$4:$B$7,MATCH("RUB",Справочники!$A$4:$A$7,0)))</f>
        <v/>
      </c>
      <c r="AR125" s="90" t="str">
        <f aca="false">IF(AQ125="","",ROUND(AQ125*(1+Справочники!$B$12),0))</f>
        <v/>
      </c>
      <c r="AS125" s="90" t="str">
        <f aca="false">IF(AR125="","",ROUND(AR125*(1-Справочники!$B$11),0))</f>
        <v/>
      </c>
      <c r="AT125" s="88"/>
      <c r="AU125" s="90" t="str">
        <f aca="false">IF(AT125="","",ROUND(AT125/(1+Справочники!$B$12),0))</f>
        <v/>
      </c>
      <c r="AV125" s="90" t="str">
        <f aca="false">IF(AT125="","",ROUND(AT125*(1-Справочники!$B$15),0))</f>
        <v/>
      </c>
      <c r="AW125" s="90" t="str">
        <f aca="false">IF(AT125="","",ROUND(AT125*(1-Справочники!$B$16),0))</f>
        <v/>
      </c>
      <c r="AX125" s="90" t="str">
        <f aca="false">IF(AT125="","",ROUND(AT125*(1-Справочники!$B$17),0))</f>
        <v/>
      </c>
      <c r="AY125" s="90" t="str">
        <f aca="false">IF(AT125="","",ROUND(AT125*(1-Справочники!$B$18),0))</f>
        <v/>
      </c>
      <c r="AZ125" s="90" t="str">
        <f aca="false">IF(AT125="","",ROUND(AT125*(1-Справочники!$B$19),0))</f>
        <v/>
      </c>
      <c r="BA125" s="81"/>
      <c r="BB125" s="81"/>
      <c r="BC125" s="81"/>
      <c r="BD125" s="81"/>
      <c r="BE125" s="91"/>
      <c r="BF125" s="81" t="s">
        <v>103</v>
      </c>
      <c r="BG125" s="89" t="n">
        <f aca="false" t="array" ref="BG125:BG125">IF(BF125="","",IFERROR(INDEX(Справочники!$B$4:$B$7,MATCH(BF125,Справочники!$A$4:$A$7,0)),""))</f>
        <v>68.5</v>
      </c>
      <c r="BH125" s="90" t="str">
        <f aca="false">IF(N(BN125)&gt;0,ROUND(SUMIF(ЗАКАЗЫ!$F$3:$F$500,$A125,ЗАКАЗЫ!$Y$3:$Y$500)/BN125,0),IF(OR(BE125="",BG125=""),"",ROUND(BE125*BG125*(1+Справочники!$B$10),0)))</f>
        <v/>
      </c>
      <c r="BI125" s="92" t="str">
        <f aca="false">IF(OR(AU125="",BH125="",AU125=0),"",(AU125-BH125)/AU125)</f>
        <v/>
      </c>
      <c r="BJ125" s="81"/>
      <c r="BK125" s="83"/>
      <c r="BL125" s="43" t="str">
        <f aca="false">IFERROR(INDEX(ЗАКАЗЫ!$N$3:$N$500,MATCH($A125,ЗАКАЗЫ!$F$3:$F$500,0)),"")</f>
        <v/>
      </c>
      <c r="BM125" s="8" t="str">
        <f aca="false">IF(BL125="","",IFERROR(VLOOKUP(BL125,'ТН ВЭД'!$A$4:$C$40,3,0),""))</f>
        <v/>
      </c>
      <c r="BN125" s="7" t="str">
        <f aca="false">IF(COUNTIF(ЗАКАЗЫ!$F$3:$F$500,$A125)=0,"",SUMIF(ЗАКАЗЫ!$F$3:$F$500,$A125,ЗАКАЗЫ!$J$3:$J$500))</f>
        <v/>
      </c>
      <c r="BO125" s="7" t="str">
        <f aca="false">IF(BN125="","",SUMIF(ЗАКАЗЫ!$F$3:$F$500,$A125,ЗАКАЗЫ!$AL$3:$AL$500))</f>
        <v/>
      </c>
      <c r="BP125" s="7" t="str">
        <f aca="false">IF(BN125="","",BN125-BO125)</f>
        <v/>
      </c>
      <c r="BQ125" s="55" t="str">
        <f aca="false">IF(BN125="","",IF(BO125&gt;=BN125,"На складе",IF(BO125&gt;0,"Частично","Ждём")))</f>
        <v/>
      </c>
      <c r="BR125" s="43"/>
      <c r="BS125" s="47" t="str">
        <f aca="false">IF(BN125="","",IF(_xlfn.MAXIFS(ЗАКАЗЫ!$AK$3:$AK$500,ЗАКАЗЫ!$F$3:$F$500,$A125)=0,"",_xlfn.MAXIFS(ЗАКАЗЫ!$AK$3:$AK$500,ЗАКАЗЫ!$F$3:$F$500,$A125)))</f>
        <v/>
      </c>
    </row>
    <row r="126" customFormat="false" ht="15.75" hidden="false" customHeight="true" outlineLevel="0" collapsed="false">
      <c r="A126" s="80" t="s">
        <v>1993</v>
      </c>
      <c r="B126" s="81"/>
      <c r="C126" s="81"/>
      <c r="D126" s="81"/>
      <c r="E126" s="83"/>
      <c r="F126" s="81"/>
      <c r="G126" s="83"/>
      <c r="H126" s="83"/>
      <c r="I126" s="84" t="str">
        <f aca="false">IF(E126="","",A126&amp;"_1.jpg")</f>
        <v/>
      </c>
      <c r="J126" s="84" t="str">
        <f aca="false">IF(E126="","",A126&amp;"_2.jpg; "&amp;A126&amp;"_3.jpg")</f>
        <v/>
      </c>
      <c r="K126" s="84" t="str">
        <f aca="false">IF(E126="","",A126&amp;"_schema.jpg")</f>
        <v/>
      </c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 t="s">
        <v>96</v>
      </c>
      <c r="W126" s="81"/>
      <c r="X126" s="81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6" t="str">
        <f aca="false">IF(SUM(Y126:AJ126)=0,"",SUM(Y126:AJ126))</f>
        <v/>
      </c>
      <c r="AL126" s="84" t="str">
        <f aca="false">MID(IF(N(Y126)&gt;0,", "&amp;Y$2,"")&amp;IF(N(Z126)&gt;0,", "&amp;Z$2,"")&amp;IF(N(AA126)&gt;0,", "&amp;AA$2,"")&amp;IF(N(AB126)&gt;0,", "&amp;AB$2,"")&amp;IF(N(AC126)&gt;0,", "&amp;AC$2,"")&amp;IF(N(AD126)&gt;0,", "&amp;AD$2,"")&amp;IF(N(AE126)&gt;0,", "&amp;AE$2,"")&amp;IF(N(AF126)&gt;0,", "&amp;AF$2,"")&amp;IF(N(AG126)&gt;0,", "&amp;AG$2,"")&amp;IF(N(AH126)&gt;0,", "&amp;AH$2,"")&amp;IF(N(AI126)&gt;0,", "&amp;AI$2,"")&amp;IF(N(AJ126)&gt;0,", "&amp;AJ$2,""),3,999)</f>
        <v/>
      </c>
      <c r="AM126" s="87" t="str">
        <f aca="false">IF(E126="","",MID(IF(N(Y126)&gt;0,", "&amp;A126&amp;"-"&amp;Y$2,"")&amp;IF(N(Z126)&gt;0,", "&amp;A126&amp;"-"&amp;Z$2,"")&amp;IF(N(AA126)&gt;0,", "&amp;A126&amp;"-"&amp;AA$2,"")&amp;IF(N(AB126)&gt;0,", "&amp;A126&amp;"-"&amp;AB$2,"")&amp;IF(N(AC126)&gt;0,", "&amp;A126&amp;"-"&amp;AC$2,"")&amp;IF(N(AD126)&gt;0,", "&amp;A126&amp;"-"&amp;AD$2,"")&amp;IF(N(AE126)&gt;0,", "&amp;A126&amp;"-"&amp;AE$2,"")&amp;IF(N(AF126)&gt;0,", "&amp;A126&amp;"-"&amp;AF$2,"")&amp;IF(N(AG126)&gt;0,", "&amp;A126&amp;"-"&amp;AG$2,"")&amp;IF(N(AH126)&gt;0,", "&amp;A126&amp;"-"&amp;AH$2,"")&amp;IF(N(AI126)&gt;0,", "&amp;A126&amp;"-"&amp;AI$2,"")&amp;IF(N(AJ126)&gt;0,", "&amp;A126&amp;"-"&amp;AJ$2,""),3,999))</f>
        <v/>
      </c>
      <c r="AN126" s="81"/>
      <c r="AO126" s="88"/>
      <c r="AP126" s="89" t="str">
        <f aca="false">IF(AO126="","",ROUND(AO126/(1+Справочники!$B$13),2))</f>
        <v/>
      </c>
      <c r="AQ126" s="90" t="str">
        <f aca="false" t="array" ref="AQ126:AQ126">IF(AP126="","",AP126*INDEX(Справочники!$B$4:$B$7,MATCH("RUB",Справочники!$A$4:$A$7,0)))</f>
        <v/>
      </c>
      <c r="AR126" s="90" t="str">
        <f aca="false">IF(AQ126="","",ROUND(AQ126*(1+Справочники!$B$12),0))</f>
        <v/>
      </c>
      <c r="AS126" s="90" t="str">
        <f aca="false">IF(AR126="","",ROUND(AR126*(1-Справочники!$B$11),0))</f>
        <v/>
      </c>
      <c r="AT126" s="88"/>
      <c r="AU126" s="90" t="str">
        <f aca="false">IF(AT126="","",ROUND(AT126/(1+Справочники!$B$12),0))</f>
        <v/>
      </c>
      <c r="AV126" s="90" t="str">
        <f aca="false">IF(AT126="","",ROUND(AT126*(1-Справочники!$B$15),0))</f>
        <v/>
      </c>
      <c r="AW126" s="90" t="str">
        <f aca="false">IF(AT126="","",ROUND(AT126*(1-Справочники!$B$16),0))</f>
        <v/>
      </c>
      <c r="AX126" s="90" t="str">
        <f aca="false">IF(AT126="","",ROUND(AT126*(1-Справочники!$B$17),0))</f>
        <v/>
      </c>
      <c r="AY126" s="90" t="str">
        <f aca="false">IF(AT126="","",ROUND(AT126*(1-Справочники!$B$18),0))</f>
        <v/>
      </c>
      <c r="AZ126" s="90" t="str">
        <f aca="false">IF(AT126="","",ROUND(AT126*(1-Справочники!$B$19),0))</f>
        <v/>
      </c>
      <c r="BA126" s="81"/>
      <c r="BB126" s="81"/>
      <c r="BC126" s="81"/>
      <c r="BD126" s="81"/>
      <c r="BE126" s="91"/>
      <c r="BF126" s="81" t="s">
        <v>103</v>
      </c>
      <c r="BG126" s="89" t="n">
        <f aca="false" t="array" ref="BG126:BG126">IF(BF126="","",IFERROR(INDEX(Справочники!$B$4:$B$7,MATCH(BF126,Справочники!$A$4:$A$7,0)),""))</f>
        <v>68.5</v>
      </c>
      <c r="BH126" s="90" t="str">
        <f aca="false">IF(N(BN126)&gt;0,ROUND(SUMIF(ЗАКАЗЫ!$F$3:$F$500,$A126,ЗАКАЗЫ!$Y$3:$Y$500)/BN126,0),IF(OR(BE126="",BG126=""),"",ROUND(BE126*BG126*(1+Справочники!$B$10),0)))</f>
        <v/>
      </c>
      <c r="BI126" s="92" t="str">
        <f aca="false">IF(OR(AU126="",BH126="",AU126=0),"",(AU126-BH126)/AU126)</f>
        <v/>
      </c>
      <c r="BJ126" s="81"/>
      <c r="BK126" s="83"/>
      <c r="BL126" s="43" t="str">
        <f aca="false">IFERROR(INDEX(ЗАКАЗЫ!$N$3:$N$500,MATCH($A126,ЗАКАЗЫ!$F$3:$F$500,0)),"")</f>
        <v/>
      </c>
      <c r="BM126" s="8" t="str">
        <f aca="false">IF(BL126="","",IFERROR(VLOOKUP(BL126,'ТН ВЭД'!$A$4:$C$40,3,0),""))</f>
        <v/>
      </c>
      <c r="BN126" s="7" t="str">
        <f aca="false">IF(COUNTIF(ЗАКАЗЫ!$F$3:$F$500,$A126)=0,"",SUMIF(ЗАКАЗЫ!$F$3:$F$500,$A126,ЗАКАЗЫ!$J$3:$J$500))</f>
        <v/>
      </c>
      <c r="BO126" s="7" t="str">
        <f aca="false">IF(BN126="","",SUMIF(ЗАКАЗЫ!$F$3:$F$500,$A126,ЗАКАЗЫ!$AL$3:$AL$500))</f>
        <v/>
      </c>
      <c r="BP126" s="7" t="str">
        <f aca="false">IF(BN126="","",BN126-BO126)</f>
        <v/>
      </c>
      <c r="BQ126" s="55" t="str">
        <f aca="false">IF(BN126="","",IF(BO126&gt;=BN126,"На складе",IF(BO126&gt;0,"Частично","Ждём")))</f>
        <v/>
      </c>
      <c r="BR126" s="43"/>
      <c r="BS126" s="47" t="str">
        <f aca="false">IF(BN126="","",IF(_xlfn.MAXIFS(ЗАКАЗЫ!$AK$3:$AK$500,ЗАКАЗЫ!$F$3:$F$500,$A126)=0,"",_xlfn.MAXIFS(ЗАКАЗЫ!$AK$3:$AK$500,ЗАКАЗЫ!$F$3:$F$500,$A126)))</f>
        <v/>
      </c>
    </row>
    <row r="127" customFormat="false" ht="15.75" hidden="false" customHeight="true" outlineLevel="0" collapsed="false">
      <c r="A127" s="80" t="s">
        <v>1994</v>
      </c>
      <c r="B127" s="81"/>
      <c r="C127" s="81"/>
      <c r="D127" s="81"/>
      <c r="E127" s="83"/>
      <c r="F127" s="81"/>
      <c r="G127" s="83"/>
      <c r="H127" s="83"/>
      <c r="I127" s="84" t="str">
        <f aca="false">IF(E127="","",A127&amp;"_1.jpg")</f>
        <v/>
      </c>
      <c r="J127" s="84" t="str">
        <f aca="false">IF(E127="","",A127&amp;"_2.jpg; "&amp;A127&amp;"_3.jpg")</f>
        <v/>
      </c>
      <c r="K127" s="84" t="str">
        <f aca="false">IF(E127="","",A127&amp;"_schema.jpg")</f>
        <v/>
      </c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 t="s">
        <v>96</v>
      </c>
      <c r="W127" s="81"/>
      <c r="X127" s="81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6" t="str">
        <f aca="false">IF(SUM(Y127:AJ127)=0,"",SUM(Y127:AJ127))</f>
        <v/>
      </c>
      <c r="AL127" s="84" t="str">
        <f aca="false">MID(IF(N(Y127)&gt;0,", "&amp;Y$2,"")&amp;IF(N(Z127)&gt;0,", "&amp;Z$2,"")&amp;IF(N(AA127)&gt;0,", "&amp;AA$2,"")&amp;IF(N(AB127)&gt;0,", "&amp;AB$2,"")&amp;IF(N(AC127)&gt;0,", "&amp;AC$2,"")&amp;IF(N(AD127)&gt;0,", "&amp;AD$2,"")&amp;IF(N(AE127)&gt;0,", "&amp;AE$2,"")&amp;IF(N(AF127)&gt;0,", "&amp;AF$2,"")&amp;IF(N(AG127)&gt;0,", "&amp;AG$2,"")&amp;IF(N(AH127)&gt;0,", "&amp;AH$2,"")&amp;IF(N(AI127)&gt;0,", "&amp;AI$2,"")&amp;IF(N(AJ127)&gt;0,", "&amp;AJ$2,""),3,999)</f>
        <v/>
      </c>
      <c r="AM127" s="87" t="str">
        <f aca="false">IF(E127="","",MID(IF(N(Y127)&gt;0,", "&amp;A127&amp;"-"&amp;Y$2,"")&amp;IF(N(Z127)&gt;0,", "&amp;A127&amp;"-"&amp;Z$2,"")&amp;IF(N(AA127)&gt;0,", "&amp;A127&amp;"-"&amp;AA$2,"")&amp;IF(N(AB127)&gt;0,", "&amp;A127&amp;"-"&amp;AB$2,"")&amp;IF(N(AC127)&gt;0,", "&amp;A127&amp;"-"&amp;AC$2,"")&amp;IF(N(AD127)&gt;0,", "&amp;A127&amp;"-"&amp;AD$2,"")&amp;IF(N(AE127)&gt;0,", "&amp;A127&amp;"-"&amp;AE$2,"")&amp;IF(N(AF127)&gt;0,", "&amp;A127&amp;"-"&amp;AF$2,"")&amp;IF(N(AG127)&gt;0,", "&amp;A127&amp;"-"&amp;AG$2,"")&amp;IF(N(AH127)&gt;0,", "&amp;A127&amp;"-"&amp;AH$2,"")&amp;IF(N(AI127)&gt;0,", "&amp;A127&amp;"-"&amp;AI$2,"")&amp;IF(N(AJ127)&gt;0,", "&amp;A127&amp;"-"&amp;AJ$2,""),3,999))</f>
        <v/>
      </c>
      <c r="AN127" s="81"/>
      <c r="AO127" s="88"/>
      <c r="AP127" s="89" t="str">
        <f aca="false">IF(AO127="","",ROUND(AO127/(1+Справочники!$B$13),2))</f>
        <v/>
      </c>
      <c r="AQ127" s="90" t="str">
        <f aca="false" t="array" ref="AQ127:AQ127">IF(AP127="","",AP127*INDEX(Справочники!$B$4:$B$7,MATCH("RUB",Справочники!$A$4:$A$7,0)))</f>
        <v/>
      </c>
      <c r="AR127" s="90" t="str">
        <f aca="false">IF(AQ127="","",ROUND(AQ127*(1+Справочники!$B$12),0))</f>
        <v/>
      </c>
      <c r="AS127" s="90" t="str">
        <f aca="false">IF(AR127="","",ROUND(AR127*(1-Справочники!$B$11),0))</f>
        <v/>
      </c>
      <c r="AT127" s="88"/>
      <c r="AU127" s="90" t="str">
        <f aca="false">IF(AT127="","",ROUND(AT127/(1+Справочники!$B$12),0))</f>
        <v/>
      </c>
      <c r="AV127" s="90" t="str">
        <f aca="false">IF(AT127="","",ROUND(AT127*(1-Справочники!$B$15),0))</f>
        <v/>
      </c>
      <c r="AW127" s="90" t="str">
        <f aca="false">IF(AT127="","",ROUND(AT127*(1-Справочники!$B$16),0))</f>
        <v/>
      </c>
      <c r="AX127" s="90" t="str">
        <f aca="false">IF(AT127="","",ROUND(AT127*(1-Справочники!$B$17),0))</f>
        <v/>
      </c>
      <c r="AY127" s="90" t="str">
        <f aca="false">IF(AT127="","",ROUND(AT127*(1-Справочники!$B$18),0))</f>
        <v/>
      </c>
      <c r="AZ127" s="90" t="str">
        <f aca="false">IF(AT127="","",ROUND(AT127*(1-Справочники!$B$19),0))</f>
        <v/>
      </c>
      <c r="BA127" s="81"/>
      <c r="BB127" s="81"/>
      <c r="BC127" s="81"/>
      <c r="BD127" s="81"/>
      <c r="BE127" s="91"/>
      <c r="BF127" s="81" t="s">
        <v>103</v>
      </c>
      <c r="BG127" s="89" t="n">
        <f aca="false" t="array" ref="BG127:BG127">IF(BF127="","",IFERROR(INDEX(Справочники!$B$4:$B$7,MATCH(BF127,Справочники!$A$4:$A$7,0)),""))</f>
        <v>68.5</v>
      </c>
      <c r="BH127" s="90" t="str">
        <f aca="false">IF(N(BN127)&gt;0,ROUND(SUMIF(ЗАКАЗЫ!$F$3:$F$500,$A127,ЗАКАЗЫ!$Y$3:$Y$500)/BN127,0),IF(OR(BE127="",BG127=""),"",ROUND(BE127*BG127*(1+Справочники!$B$10),0)))</f>
        <v/>
      </c>
      <c r="BI127" s="92" t="str">
        <f aca="false">IF(OR(AU127="",BH127="",AU127=0),"",(AU127-BH127)/AU127)</f>
        <v/>
      </c>
      <c r="BJ127" s="81"/>
      <c r="BK127" s="83"/>
      <c r="BL127" s="43" t="str">
        <f aca="false">IFERROR(INDEX(ЗАКАЗЫ!$N$3:$N$500,MATCH($A127,ЗАКАЗЫ!$F$3:$F$500,0)),"")</f>
        <v/>
      </c>
      <c r="BM127" s="8" t="str">
        <f aca="false">IF(BL127="","",IFERROR(VLOOKUP(BL127,'ТН ВЭД'!$A$4:$C$40,3,0),""))</f>
        <v/>
      </c>
      <c r="BN127" s="7" t="str">
        <f aca="false">IF(COUNTIF(ЗАКАЗЫ!$F$3:$F$500,$A127)=0,"",SUMIF(ЗАКАЗЫ!$F$3:$F$500,$A127,ЗАКАЗЫ!$J$3:$J$500))</f>
        <v/>
      </c>
      <c r="BO127" s="7" t="str">
        <f aca="false">IF(BN127="","",SUMIF(ЗАКАЗЫ!$F$3:$F$500,$A127,ЗАКАЗЫ!$AL$3:$AL$500))</f>
        <v/>
      </c>
      <c r="BP127" s="7" t="str">
        <f aca="false">IF(BN127="","",BN127-BO127)</f>
        <v/>
      </c>
      <c r="BQ127" s="55" t="str">
        <f aca="false">IF(BN127="","",IF(BO127&gt;=BN127,"На складе",IF(BO127&gt;0,"Частично","Ждём")))</f>
        <v/>
      </c>
      <c r="BR127" s="43"/>
      <c r="BS127" s="47" t="str">
        <f aca="false">IF(BN127="","",IF(_xlfn.MAXIFS(ЗАКАЗЫ!$AK$3:$AK$500,ЗАКАЗЫ!$F$3:$F$500,$A127)=0,"",_xlfn.MAXIFS(ЗАКАЗЫ!$AK$3:$AK$500,ЗАКАЗЫ!$F$3:$F$500,$A127)))</f>
        <v/>
      </c>
    </row>
    <row r="128" customFormat="false" ht="15.75" hidden="false" customHeight="true" outlineLevel="0" collapsed="false">
      <c r="A128" s="80" t="s">
        <v>1995</v>
      </c>
      <c r="B128" s="81"/>
      <c r="C128" s="81"/>
      <c r="D128" s="81"/>
      <c r="E128" s="83"/>
      <c r="F128" s="81"/>
      <c r="G128" s="83"/>
      <c r="H128" s="83"/>
      <c r="I128" s="84" t="str">
        <f aca="false">IF(E128="","",A128&amp;"_1.jpg")</f>
        <v/>
      </c>
      <c r="J128" s="84" t="str">
        <f aca="false">IF(E128="","",A128&amp;"_2.jpg; "&amp;A128&amp;"_3.jpg")</f>
        <v/>
      </c>
      <c r="K128" s="84" t="str">
        <f aca="false">IF(E128="","",A128&amp;"_schema.jpg")</f>
        <v/>
      </c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 t="s">
        <v>96</v>
      </c>
      <c r="W128" s="81"/>
      <c r="X128" s="81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6" t="str">
        <f aca="false">IF(SUM(Y128:AJ128)=0,"",SUM(Y128:AJ128))</f>
        <v/>
      </c>
      <c r="AL128" s="84" t="str">
        <f aca="false">MID(IF(N(Y128)&gt;0,", "&amp;Y$2,"")&amp;IF(N(Z128)&gt;0,", "&amp;Z$2,"")&amp;IF(N(AA128)&gt;0,", "&amp;AA$2,"")&amp;IF(N(AB128)&gt;0,", "&amp;AB$2,"")&amp;IF(N(AC128)&gt;0,", "&amp;AC$2,"")&amp;IF(N(AD128)&gt;0,", "&amp;AD$2,"")&amp;IF(N(AE128)&gt;0,", "&amp;AE$2,"")&amp;IF(N(AF128)&gt;0,", "&amp;AF$2,"")&amp;IF(N(AG128)&gt;0,", "&amp;AG$2,"")&amp;IF(N(AH128)&gt;0,", "&amp;AH$2,"")&amp;IF(N(AI128)&gt;0,", "&amp;AI$2,"")&amp;IF(N(AJ128)&gt;0,", "&amp;AJ$2,""),3,999)</f>
        <v/>
      </c>
      <c r="AM128" s="87" t="str">
        <f aca="false">IF(E128="","",MID(IF(N(Y128)&gt;0,", "&amp;A128&amp;"-"&amp;Y$2,"")&amp;IF(N(Z128)&gt;0,", "&amp;A128&amp;"-"&amp;Z$2,"")&amp;IF(N(AA128)&gt;0,", "&amp;A128&amp;"-"&amp;AA$2,"")&amp;IF(N(AB128)&gt;0,", "&amp;A128&amp;"-"&amp;AB$2,"")&amp;IF(N(AC128)&gt;0,", "&amp;A128&amp;"-"&amp;AC$2,"")&amp;IF(N(AD128)&gt;0,", "&amp;A128&amp;"-"&amp;AD$2,"")&amp;IF(N(AE128)&gt;0,", "&amp;A128&amp;"-"&amp;AE$2,"")&amp;IF(N(AF128)&gt;0,", "&amp;A128&amp;"-"&amp;AF$2,"")&amp;IF(N(AG128)&gt;0,", "&amp;A128&amp;"-"&amp;AG$2,"")&amp;IF(N(AH128)&gt;0,", "&amp;A128&amp;"-"&amp;AH$2,"")&amp;IF(N(AI128)&gt;0,", "&amp;A128&amp;"-"&amp;AI$2,"")&amp;IF(N(AJ128)&gt;0,", "&amp;A128&amp;"-"&amp;AJ$2,""),3,999))</f>
        <v/>
      </c>
      <c r="AN128" s="81"/>
      <c r="AO128" s="88"/>
      <c r="AP128" s="89" t="str">
        <f aca="false">IF(AO128="","",ROUND(AO128/(1+Справочники!$B$13),2))</f>
        <v/>
      </c>
      <c r="AQ128" s="90" t="str">
        <f aca="false" t="array" ref="AQ128:AQ128">IF(AP128="","",AP128*INDEX(Справочники!$B$4:$B$7,MATCH("RUB",Справочники!$A$4:$A$7,0)))</f>
        <v/>
      </c>
      <c r="AR128" s="90" t="str">
        <f aca="false">IF(AQ128="","",ROUND(AQ128*(1+Справочники!$B$12),0))</f>
        <v/>
      </c>
      <c r="AS128" s="90" t="str">
        <f aca="false">IF(AR128="","",ROUND(AR128*(1-Справочники!$B$11),0))</f>
        <v/>
      </c>
      <c r="AT128" s="88"/>
      <c r="AU128" s="90" t="str">
        <f aca="false">IF(AT128="","",ROUND(AT128/(1+Справочники!$B$12),0))</f>
        <v/>
      </c>
      <c r="AV128" s="90" t="str">
        <f aca="false">IF(AT128="","",ROUND(AT128*(1-Справочники!$B$15),0))</f>
        <v/>
      </c>
      <c r="AW128" s="90" t="str">
        <f aca="false">IF(AT128="","",ROUND(AT128*(1-Справочники!$B$16),0))</f>
        <v/>
      </c>
      <c r="AX128" s="90" t="str">
        <f aca="false">IF(AT128="","",ROUND(AT128*(1-Справочники!$B$17),0))</f>
        <v/>
      </c>
      <c r="AY128" s="90" t="str">
        <f aca="false">IF(AT128="","",ROUND(AT128*(1-Справочники!$B$18),0))</f>
        <v/>
      </c>
      <c r="AZ128" s="90" t="str">
        <f aca="false">IF(AT128="","",ROUND(AT128*(1-Справочники!$B$19),0))</f>
        <v/>
      </c>
      <c r="BA128" s="81"/>
      <c r="BB128" s="81"/>
      <c r="BC128" s="81"/>
      <c r="BD128" s="81"/>
      <c r="BE128" s="91"/>
      <c r="BF128" s="81" t="s">
        <v>103</v>
      </c>
      <c r="BG128" s="89" t="n">
        <f aca="false" t="array" ref="BG128:BG128">IF(BF128="","",IFERROR(INDEX(Справочники!$B$4:$B$7,MATCH(BF128,Справочники!$A$4:$A$7,0)),""))</f>
        <v>68.5</v>
      </c>
      <c r="BH128" s="90" t="str">
        <f aca="false">IF(N(BN128)&gt;0,ROUND(SUMIF(ЗАКАЗЫ!$F$3:$F$500,$A128,ЗАКАЗЫ!$Y$3:$Y$500)/BN128,0),IF(OR(BE128="",BG128=""),"",ROUND(BE128*BG128*(1+Справочники!$B$10),0)))</f>
        <v/>
      </c>
      <c r="BI128" s="92" t="str">
        <f aca="false">IF(OR(AU128="",BH128="",AU128=0),"",(AU128-BH128)/AU128)</f>
        <v/>
      </c>
      <c r="BJ128" s="81"/>
      <c r="BK128" s="83"/>
      <c r="BL128" s="43" t="str">
        <f aca="false">IFERROR(INDEX(ЗАКАЗЫ!$N$3:$N$500,MATCH($A128,ЗАКАЗЫ!$F$3:$F$500,0)),"")</f>
        <v/>
      </c>
      <c r="BM128" s="8" t="str">
        <f aca="false">IF(BL128="","",IFERROR(VLOOKUP(BL128,'ТН ВЭД'!$A$4:$C$40,3,0),""))</f>
        <v/>
      </c>
      <c r="BN128" s="7" t="str">
        <f aca="false">IF(COUNTIF(ЗАКАЗЫ!$F$3:$F$500,$A128)=0,"",SUMIF(ЗАКАЗЫ!$F$3:$F$500,$A128,ЗАКАЗЫ!$J$3:$J$500))</f>
        <v/>
      </c>
      <c r="BO128" s="7" t="str">
        <f aca="false">IF(BN128="","",SUMIF(ЗАКАЗЫ!$F$3:$F$500,$A128,ЗАКАЗЫ!$AL$3:$AL$500))</f>
        <v/>
      </c>
      <c r="BP128" s="7" t="str">
        <f aca="false">IF(BN128="","",BN128-BO128)</f>
        <v/>
      </c>
      <c r="BQ128" s="55" t="str">
        <f aca="false">IF(BN128="","",IF(BO128&gt;=BN128,"На складе",IF(BO128&gt;0,"Частично","Ждём")))</f>
        <v/>
      </c>
      <c r="BR128" s="43"/>
      <c r="BS128" s="47" t="str">
        <f aca="false">IF(BN128="","",IF(_xlfn.MAXIFS(ЗАКАЗЫ!$AK$3:$AK$500,ЗАКАЗЫ!$F$3:$F$500,$A128)=0,"",_xlfn.MAXIFS(ЗАКАЗЫ!$AK$3:$AK$500,ЗАКАЗЫ!$F$3:$F$500,$A128)))</f>
        <v/>
      </c>
    </row>
    <row r="129" customFormat="false" ht="15.75" hidden="false" customHeight="true" outlineLevel="0" collapsed="false">
      <c r="A129" s="80" t="s">
        <v>1996</v>
      </c>
      <c r="B129" s="81"/>
      <c r="C129" s="81"/>
      <c r="D129" s="81"/>
      <c r="E129" s="83"/>
      <c r="F129" s="81"/>
      <c r="G129" s="83"/>
      <c r="H129" s="83"/>
      <c r="I129" s="84" t="str">
        <f aca="false">IF(E129="","",A129&amp;"_1.jpg")</f>
        <v/>
      </c>
      <c r="J129" s="84" t="str">
        <f aca="false">IF(E129="","",A129&amp;"_2.jpg; "&amp;A129&amp;"_3.jpg")</f>
        <v/>
      </c>
      <c r="K129" s="84" t="str">
        <f aca="false">IF(E129="","",A129&amp;"_schema.jpg")</f>
        <v/>
      </c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 t="s">
        <v>96</v>
      </c>
      <c r="W129" s="81"/>
      <c r="X129" s="81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6" t="str">
        <f aca="false">IF(SUM(Y129:AJ129)=0,"",SUM(Y129:AJ129))</f>
        <v/>
      </c>
      <c r="AL129" s="84" t="str">
        <f aca="false">MID(IF(N(Y129)&gt;0,", "&amp;Y$2,"")&amp;IF(N(Z129)&gt;0,", "&amp;Z$2,"")&amp;IF(N(AA129)&gt;0,", "&amp;AA$2,"")&amp;IF(N(AB129)&gt;0,", "&amp;AB$2,"")&amp;IF(N(AC129)&gt;0,", "&amp;AC$2,"")&amp;IF(N(AD129)&gt;0,", "&amp;AD$2,"")&amp;IF(N(AE129)&gt;0,", "&amp;AE$2,"")&amp;IF(N(AF129)&gt;0,", "&amp;AF$2,"")&amp;IF(N(AG129)&gt;0,", "&amp;AG$2,"")&amp;IF(N(AH129)&gt;0,", "&amp;AH$2,"")&amp;IF(N(AI129)&gt;0,", "&amp;AI$2,"")&amp;IF(N(AJ129)&gt;0,", "&amp;AJ$2,""),3,999)</f>
        <v/>
      </c>
      <c r="AM129" s="87" t="str">
        <f aca="false">IF(E129="","",MID(IF(N(Y129)&gt;0,", "&amp;A129&amp;"-"&amp;Y$2,"")&amp;IF(N(Z129)&gt;0,", "&amp;A129&amp;"-"&amp;Z$2,"")&amp;IF(N(AA129)&gt;0,", "&amp;A129&amp;"-"&amp;AA$2,"")&amp;IF(N(AB129)&gt;0,", "&amp;A129&amp;"-"&amp;AB$2,"")&amp;IF(N(AC129)&gt;0,", "&amp;A129&amp;"-"&amp;AC$2,"")&amp;IF(N(AD129)&gt;0,", "&amp;A129&amp;"-"&amp;AD$2,"")&amp;IF(N(AE129)&gt;0,", "&amp;A129&amp;"-"&amp;AE$2,"")&amp;IF(N(AF129)&gt;0,", "&amp;A129&amp;"-"&amp;AF$2,"")&amp;IF(N(AG129)&gt;0,", "&amp;A129&amp;"-"&amp;AG$2,"")&amp;IF(N(AH129)&gt;0,", "&amp;A129&amp;"-"&amp;AH$2,"")&amp;IF(N(AI129)&gt;0,", "&amp;A129&amp;"-"&amp;AI$2,"")&amp;IF(N(AJ129)&gt;0,", "&amp;A129&amp;"-"&amp;AJ$2,""),3,999))</f>
        <v/>
      </c>
      <c r="AN129" s="81"/>
      <c r="AO129" s="88"/>
      <c r="AP129" s="89" t="str">
        <f aca="false">IF(AO129="","",ROUND(AO129/(1+Справочники!$B$13),2))</f>
        <v/>
      </c>
      <c r="AQ129" s="90" t="str">
        <f aca="false" t="array" ref="AQ129:AQ129">IF(AP129="","",AP129*INDEX(Справочники!$B$4:$B$7,MATCH("RUB",Справочники!$A$4:$A$7,0)))</f>
        <v/>
      </c>
      <c r="AR129" s="90" t="str">
        <f aca="false">IF(AQ129="","",ROUND(AQ129*(1+Справочники!$B$12),0))</f>
        <v/>
      </c>
      <c r="AS129" s="90" t="str">
        <f aca="false">IF(AR129="","",ROUND(AR129*(1-Справочники!$B$11),0))</f>
        <v/>
      </c>
      <c r="AT129" s="88"/>
      <c r="AU129" s="90" t="str">
        <f aca="false">IF(AT129="","",ROUND(AT129/(1+Справочники!$B$12),0))</f>
        <v/>
      </c>
      <c r="AV129" s="90" t="str">
        <f aca="false">IF(AT129="","",ROUND(AT129*(1-Справочники!$B$15),0))</f>
        <v/>
      </c>
      <c r="AW129" s="90" t="str">
        <f aca="false">IF(AT129="","",ROUND(AT129*(1-Справочники!$B$16),0))</f>
        <v/>
      </c>
      <c r="AX129" s="90" t="str">
        <f aca="false">IF(AT129="","",ROUND(AT129*(1-Справочники!$B$17),0))</f>
        <v/>
      </c>
      <c r="AY129" s="90" t="str">
        <f aca="false">IF(AT129="","",ROUND(AT129*(1-Справочники!$B$18),0))</f>
        <v/>
      </c>
      <c r="AZ129" s="90" t="str">
        <f aca="false">IF(AT129="","",ROUND(AT129*(1-Справочники!$B$19),0))</f>
        <v/>
      </c>
      <c r="BA129" s="81"/>
      <c r="BB129" s="81"/>
      <c r="BC129" s="81"/>
      <c r="BD129" s="81"/>
      <c r="BE129" s="91"/>
      <c r="BF129" s="81" t="s">
        <v>103</v>
      </c>
      <c r="BG129" s="89" t="n">
        <f aca="false" t="array" ref="BG129:BG129">IF(BF129="","",IFERROR(INDEX(Справочники!$B$4:$B$7,MATCH(BF129,Справочники!$A$4:$A$7,0)),""))</f>
        <v>68.5</v>
      </c>
      <c r="BH129" s="90" t="str">
        <f aca="false">IF(N(BN129)&gt;0,ROUND(SUMIF(ЗАКАЗЫ!$F$3:$F$500,$A129,ЗАКАЗЫ!$Y$3:$Y$500)/BN129,0),IF(OR(BE129="",BG129=""),"",ROUND(BE129*BG129*(1+Справочники!$B$10),0)))</f>
        <v/>
      </c>
      <c r="BI129" s="92" t="str">
        <f aca="false">IF(OR(AU129="",BH129="",AU129=0),"",(AU129-BH129)/AU129)</f>
        <v/>
      </c>
      <c r="BJ129" s="81"/>
      <c r="BK129" s="83"/>
      <c r="BL129" s="43" t="str">
        <f aca="false">IFERROR(INDEX(ЗАКАЗЫ!$N$3:$N$500,MATCH($A129,ЗАКАЗЫ!$F$3:$F$500,0)),"")</f>
        <v/>
      </c>
      <c r="BM129" s="8" t="str">
        <f aca="false">IF(BL129="","",IFERROR(VLOOKUP(BL129,'ТН ВЭД'!$A$4:$C$40,3,0),""))</f>
        <v/>
      </c>
      <c r="BN129" s="7" t="str">
        <f aca="false">IF(COUNTIF(ЗАКАЗЫ!$F$3:$F$500,$A129)=0,"",SUMIF(ЗАКАЗЫ!$F$3:$F$500,$A129,ЗАКАЗЫ!$J$3:$J$500))</f>
        <v/>
      </c>
      <c r="BO129" s="7" t="str">
        <f aca="false">IF(BN129="","",SUMIF(ЗАКАЗЫ!$F$3:$F$500,$A129,ЗАКАЗЫ!$AL$3:$AL$500))</f>
        <v/>
      </c>
      <c r="BP129" s="7" t="str">
        <f aca="false">IF(BN129="","",BN129-BO129)</f>
        <v/>
      </c>
      <c r="BQ129" s="55" t="str">
        <f aca="false">IF(BN129="","",IF(BO129&gt;=BN129,"На складе",IF(BO129&gt;0,"Частично","Ждём")))</f>
        <v/>
      </c>
      <c r="BR129" s="43"/>
      <c r="BS129" s="47" t="str">
        <f aca="false">IF(BN129="","",IF(_xlfn.MAXIFS(ЗАКАЗЫ!$AK$3:$AK$500,ЗАКАЗЫ!$F$3:$F$500,$A129)=0,"",_xlfn.MAXIFS(ЗАКАЗЫ!$AK$3:$AK$500,ЗАКАЗЫ!$F$3:$F$500,$A129)))</f>
        <v/>
      </c>
    </row>
    <row r="130" customFormat="false" ht="15.75" hidden="false" customHeight="true" outlineLevel="0" collapsed="false">
      <c r="A130" s="80" t="s">
        <v>1997</v>
      </c>
      <c r="B130" s="81"/>
      <c r="C130" s="81"/>
      <c r="D130" s="81"/>
      <c r="E130" s="83"/>
      <c r="F130" s="81"/>
      <c r="G130" s="83"/>
      <c r="H130" s="83"/>
      <c r="I130" s="84" t="str">
        <f aca="false">IF(E130="","",A130&amp;"_1.jpg")</f>
        <v/>
      </c>
      <c r="J130" s="84" t="str">
        <f aca="false">IF(E130="","",A130&amp;"_2.jpg; "&amp;A130&amp;"_3.jpg")</f>
        <v/>
      </c>
      <c r="K130" s="84" t="str">
        <f aca="false">IF(E130="","",A130&amp;"_schema.jpg")</f>
        <v/>
      </c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 t="s">
        <v>96</v>
      </c>
      <c r="W130" s="81"/>
      <c r="X130" s="81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6" t="str">
        <f aca="false">IF(SUM(Y130:AJ130)=0,"",SUM(Y130:AJ130))</f>
        <v/>
      </c>
      <c r="AL130" s="84" t="str">
        <f aca="false">MID(IF(N(Y130)&gt;0,", "&amp;Y$2,"")&amp;IF(N(Z130)&gt;0,", "&amp;Z$2,"")&amp;IF(N(AA130)&gt;0,", "&amp;AA$2,"")&amp;IF(N(AB130)&gt;0,", "&amp;AB$2,"")&amp;IF(N(AC130)&gt;0,", "&amp;AC$2,"")&amp;IF(N(AD130)&gt;0,", "&amp;AD$2,"")&amp;IF(N(AE130)&gt;0,", "&amp;AE$2,"")&amp;IF(N(AF130)&gt;0,", "&amp;AF$2,"")&amp;IF(N(AG130)&gt;0,", "&amp;AG$2,"")&amp;IF(N(AH130)&gt;0,", "&amp;AH$2,"")&amp;IF(N(AI130)&gt;0,", "&amp;AI$2,"")&amp;IF(N(AJ130)&gt;0,", "&amp;AJ$2,""),3,999)</f>
        <v/>
      </c>
      <c r="AM130" s="87" t="str">
        <f aca="false">IF(E130="","",MID(IF(N(Y130)&gt;0,", "&amp;A130&amp;"-"&amp;Y$2,"")&amp;IF(N(Z130)&gt;0,", "&amp;A130&amp;"-"&amp;Z$2,"")&amp;IF(N(AA130)&gt;0,", "&amp;A130&amp;"-"&amp;AA$2,"")&amp;IF(N(AB130)&gt;0,", "&amp;A130&amp;"-"&amp;AB$2,"")&amp;IF(N(AC130)&gt;0,", "&amp;A130&amp;"-"&amp;AC$2,"")&amp;IF(N(AD130)&gt;0,", "&amp;A130&amp;"-"&amp;AD$2,"")&amp;IF(N(AE130)&gt;0,", "&amp;A130&amp;"-"&amp;AE$2,"")&amp;IF(N(AF130)&gt;0,", "&amp;A130&amp;"-"&amp;AF$2,"")&amp;IF(N(AG130)&gt;0,", "&amp;A130&amp;"-"&amp;AG$2,"")&amp;IF(N(AH130)&gt;0,", "&amp;A130&amp;"-"&amp;AH$2,"")&amp;IF(N(AI130)&gt;0,", "&amp;A130&amp;"-"&amp;AI$2,"")&amp;IF(N(AJ130)&gt;0,", "&amp;A130&amp;"-"&amp;AJ$2,""),3,999))</f>
        <v/>
      </c>
      <c r="AN130" s="81"/>
      <c r="AO130" s="88"/>
      <c r="AP130" s="89" t="str">
        <f aca="false">IF(AO130="","",ROUND(AO130/(1+Справочники!$B$13),2))</f>
        <v/>
      </c>
      <c r="AQ130" s="90" t="str">
        <f aca="false" t="array" ref="AQ130:AQ130">IF(AP130="","",AP130*INDEX(Справочники!$B$4:$B$7,MATCH("RUB",Справочники!$A$4:$A$7,0)))</f>
        <v/>
      </c>
      <c r="AR130" s="90" t="str">
        <f aca="false">IF(AQ130="","",ROUND(AQ130*(1+Справочники!$B$12),0))</f>
        <v/>
      </c>
      <c r="AS130" s="90" t="str">
        <f aca="false">IF(AR130="","",ROUND(AR130*(1-Справочники!$B$11),0))</f>
        <v/>
      </c>
      <c r="AT130" s="88"/>
      <c r="AU130" s="90" t="str">
        <f aca="false">IF(AT130="","",ROUND(AT130/(1+Справочники!$B$12),0))</f>
        <v/>
      </c>
      <c r="AV130" s="90" t="str">
        <f aca="false">IF(AT130="","",ROUND(AT130*(1-Справочники!$B$15),0))</f>
        <v/>
      </c>
      <c r="AW130" s="90" t="str">
        <f aca="false">IF(AT130="","",ROUND(AT130*(1-Справочники!$B$16),0))</f>
        <v/>
      </c>
      <c r="AX130" s="90" t="str">
        <f aca="false">IF(AT130="","",ROUND(AT130*(1-Справочники!$B$17),0))</f>
        <v/>
      </c>
      <c r="AY130" s="90" t="str">
        <f aca="false">IF(AT130="","",ROUND(AT130*(1-Справочники!$B$18),0))</f>
        <v/>
      </c>
      <c r="AZ130" s="90" t="str">
        <f aca="false">IF(AT130="","",ROUND(AT130*(1-Справочники!$B$19),0))</f>
        <v/>
      </c>
      <c r="BA130" s="81"/>
      <c r="BB130" s="81"/>
      <c r="BC130" s="81"/>
      <c r="BD130" s="81"/>
      <c r="BE130" s="91"/>
      <c r="BF130" s="81" t="s">
        <v>103</v>
      </c>
      <c r="BG130" s="89" t="n">
        <f aca="false" t="array" ref="BG130:BG130">IF(BF130="","",IFERROR(INDEX(Справочники!$B$4:$B$7,MATCH(BF130,Справочники!$A$4:$A$7,0)),""))</f>
        <v>68.5</v>
      </c>
      <c r="BH130" s="90" t="str">
        <f aca="false">IF(N(BN130)&gt;0,ROUND(SUMIF(ЗАКАЗЫ!$F$3:$F$500,$A130,ЗАКАЗЫ!$Y$3:$Y$500)/BN130,0),IF(OR(BE130="",BG130=""),"",ROUND(BE130*BG130*(1+Справочники!$B$10),0)))</f>
        <v/>
      </c>
      <c r="BI130" s="92" t="str">
        <f aca="false">IF(OR(AU130="",BH130="",AU130=0),"",(AU130-BH130)/AU130)</f>
        <v/>
      </c>
      <c r="BJ130" s="81"/>
      <c r="BK130" s="83"/>
      <c r="BL130" s="43" t="str">
        <f aca="false">IFERROR(INDEX(ЗАКАЗЫ!$N$3:$N$500,MATCH($A130,ЗАКАЗЫ!$F$3:$F$500,0)),"")</f>
        <v/>
      </c>
      <c r="BM130" s="8" t="str">
        <f aca="false">IF(BL130="","",IFERROR(VLOOKUP(BL130,'ТН ВЭД'!$A$4:$C$40,3,0),""))</f>
        <v/>
      </c>
      <c r="BN130" s="7" t="str">
        <f aca="false">IF(COUNTIF(ЗАКАЗЫ!$F$3:$F$500,$A130)=0,"",SUMIF(ЗАКАЗЫ!$F$3:$F$500,$A130,ЗАКАЗЫ!$J$3:$J$500))</f>
        <v/>
      </c>
      <c r="BO130" s="7" t="str">
        <f aca="false">IF(BN130="","",SUMIF(ЗАКАЗЫ!$F$3:$F$500,$A130,ЗАКАЗЫ!$AL$3:$AL$500))</f>
        <v/>
      </c>
      <c r="BP130" s="7" t="str">
        <f aca="false">IF(BN130="","",BN130-BO130)</f>
        <v/>
      </c>
      <c r="BQ130" s="55" t="str">
        <f aca="false">IF(BN130="","",IF(BO130&gt;=BN130,"На складе",IF(BO130&gt;0,"Частично","Ждём")))</f>
        <v/>
      </c>
      <c r="BR130" s="43"/>
      <c r="BS130" s="47" t="str">
        <f aca="false">IF(BN130="","",IF(_xlfn.MAXIFS(ЗАКАЗЫ!$AK$3:$AK$500,ЗАКАЗЫ!$F$3:$F$500,$A130)=0,"",_xlfn.MAXIFS(ЗАКАЗЫ!$AK$3:$AK$500,ЗАКАЗЫ!$F$3:$F$500,$A130)))</f>
        <v/>
      </c>
    </row>
    <row r="131" customFormat="false" ht="15.75" hidden="false" customHeight="true" outlineLevel="0" collapsed="false">
      <c r="A131" s="80" t="s">
        <v>1998</v>
      </c>
      <c r="B131" s="81"/>
      <c r="C131" s="81"/>
      <c r="D131" s="81"/>
      <c r="E131" s="83"/>
      <c r="F131" s="81"/>
      <c r="G131" s="83"/>
      <c r="H131" s="83"/>
      <c r="I131" s="84" t="str">
        <f aca="false">IF(E131="","",A131&amp;"_1.jpg")</f>
        <v/>
      </c>
      <c r="J131" s="84" t="str">
        <f aca="false">IF(E131="","",A131&amp;"_2.jpg; "&amp;A131&amp;"_3.jpg")</f>
        <v/>
      </c>
      <c r="K131" s="84" t="str">
        <f aca="false">IF(E131="","",A131&amp;"_schema.jpg")</f>
        <v/>
      </c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 t="s">
        <v>96</v>
      </c>
      <c r="W131" s="81"/>
      <c r="X131" s="81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6" t="str">
        <f aca="false">IF(SUM(Y131:AJ131)=0,"",SUM(Y131:AJ131))</f>
        <v/>
      </c>
      <c r="AL131" s="84" t="str">
        <f aca="false">MID(IF(N(Y131)&gt;0,", "&amp;Y$2,"")&amp;IF(N(Z131)&gt;0,", "&amp;Z$2,"")&amp;IF(N(AA131)&gt;0,", "&amp;AA$2,"")&amp;IF(N(AB131)&gt;0,", "&amp;AB$2,"")&amp;IF(N(AC131)&gt;0,", "&amp;AC$2,"")&amp;IF(N(AD131)&gt;0,", "&amp;AD$2,"")&amp;IF(N(AE131)&gt;0,", "&amp;AE$2,"")&amp;IF(N(AF131)&gt;0,", "&amp;AF$2,"")&amp;IF(N(AG131)&gt;0,", "&amp;AG$2,"")&amp;IF(N(AH131)&gt;0,", "&amp;AH$2,"")&amp;IF(N(AI131)&gt;0,", "&amp;AI$2,"")&amp;IF(N(AJ131)&gt;0,", "&amp;AJ$2,""),3,999)</f>
        <v/>
      </c>
      <c r="AM131" s="87" t="str">
        <f aca="false">IF(E131="","",MID(IF(N(Y131)&gt;0,", "&amp;A131&amp;"-"&amp;Y$2,"")&amp;IF(N(Z131)&gt;0,", "&amp;A131&amp;"-"&amp;Z$2,"")&amp;IF(N(AA131)&gt;0,", "&amp;A131&amp;"-"&amp;AA$2,"")&amp;IF(N(AB131)&gt;0,", "&amp;A131&amp;"-"&amp;AB$2,"")&amp;IF(N(AC131)&gt;0,", "&amp;A131&amp;"-"&amp;AC$2,"")&amp;IF(N(AD131)&gt;0,", "&amp;A131&amp;"-"&amp;AD$2,"")&amp;IF(N(AE131)&gt;0,", "&amp;A131&amp;"-"&amp;AE$2,"")&amp;IF(N(AF131)&gt;0,", "&amp;A131&amp;"-"&amp;AF$2,"")&amp;IF(N(AG131)&gt;0,", "&amp;A131&amp;"-"&amp;AG$2,"")&amp;IF(N(AH131)&gt;0,", "&amp;A131&amp;"-"&amp;AH$2,"")&amp;IF(N(AI131)&gt;0,", "&amp;A131&amp;"-"&amp;AI$2,"")&amp;IF(N(AJ131)&gt;0,", "&amp;A131&amp;"-"&amp;AJ$2,""),3,999))</f>
        <v/>
      </c>
      <c r="AN131" s="81"/>
      <c r="AO131" s="88"/>
      <c r="AP131" s="89" t="str">
        <f aca="false">IF(AO131="","",ROUND(AO131/(1+Справочники!$B$13),2))</f>
        <v/>
      </c>
      <c r="AQ131" s="90" t="str">
        <f aca="false" t="array" ref="AQ131:AQ131">IF(AP131="","",AP131*INDEX(Справочники!$B$4:$B$7,MATCH("RUB",Справочники!$A$4:$A$7,0)))</f>
        <v/>
      </c>
      <c r="AR131" s="90" t="str">
        <f aca="false">IF(AQ131="","",ROUND(AQ131*(1+Справочники!$B$12),0))</f>
        <v/>
      </c>
      <c r="AS131" s="90" t="str">
        <f aca="false">IF(AR131="","",ROUND(AR131*(1-Справочники!$B$11),0))</f>
        <v/>
      </c>
      <c r="AT131" s="88"/>
      <c r="AU131" s="90" t="str">
        <f aca="false">IF(AT131="","",ROUND(AT131/(1+Справочники!$B$12),0))</f>
        <v/>
      </c>
      <c r="AV131" s="90" t="str">
        <f aca="false">IF(AT131="","",ROUND(AT131*(1-Справочники!$B$15),0))</f>
        <v/>
      </c>
      <c r="AW131" s="90" t="str">
        <f aca="false">IF(AT131="","",ROUND(AT131*(1-Справочники!$B$16),0))</f>
        <v/>
      </c>
      <c r="AX131" s="90" t="str">
        <f aca="false">IF(AT131="","",ROUND(AT131*(1-Справочники!$B$17),0))</f>
        <v/>
      </c>
      <c r="AY131" s="90" t="str">
        <f aca="false">IF(AT131="","",ROUND(AT131*(1-Справочники!$B$18),0))</f>
        <v/>
      </c>
      <c r="AZ131" s="90" t="str">
        <f aca="false">IF(AT131="","",ROUND(AT131*(1-Справочники!$B$19),0))</f>
        <v/>
      </c>
      <c r="BA131" s="81"/>
      <c r="BB131" s="81"/>
      <c r="BC131" s="81"/>
      <c r="BD131" s="81"/>
      <c r="BE131" s="91"/>
      <c r="BF131" s="81" t="s">
        <v>103</v>
      </c>
      <c r="BG131" s="89" t="n">
        <f aca="false" t="array" ref="BG131:BG131">IF(BF131="","",IFERROR(INDEX(Справочники!$B$4:$B$7,MATCH(BF131,Справочники!$A$4:$A$7,0)),""))</f>
        <v>68.5</v>
      </c>
      <c r="BH131" s="90" t="str">
        <f aca="false">IF(N(BN131)&gt;0,ROUND(SUMIF(ЗАКАЗЫ!$F$3:$F$500,$A131,ЗАКАЗЫ!$Y$3:$Y$500)/BN131,0),IF(OR(BE131="",BG131=""),"",ROUND(BE131*BG131*(1+Справочники!$B$10),0)))</f>
        <v/>
      </c>
      <c r="BI131" s="92" t="str">
        <f aca="false">IF(OR(AU131="",BH131="",AU131=0),"",(AU131-BH131)/AU131)</f>
        <v/>
      </c>
      <c r="BJ131" s="81"/>
      <c r="BK131" s="83"/>
      <c r="BL131" s="43" t="str">
        <f aca="false">IFERROR(INDEX(ЗАКАЗЫ!$N$3:$N$500,MATCH($A131,ЗАКАЗЫ!$F$3:$F$500,0)),"")</f>
        <v/>
      </c>
      <c r="BM131" s="8" t="str">
        <f aca="false">IF(BL131="","",IFERROR(VLOOKUP(BL131,'ТН ВЭД'!$A$4:$C$40,3,0),""))</f>
        <v/>
      </c>
      <c r="BN131" s="7" t="str">
        <f aca="false">IF(COUNTIF(ЗАКАЗЫ!$F$3:$F$500,$A131)=0,"",SUMIF(ЗАКАЗЫ!$F$3:$F$500,$A131,ЗАКАЗЫ!$J$3:$J$500))</f>
        <v/>
      </c>
      <c r="BO131" s="7" t="str">
        <f aca="false">IF(BN131="","",SUMIF(ЗАКАЗЫ!$F$3:$F$500,$A131,ЗАКАЗЫ!$AL$3:$AL$500))</f>
        <v/>
      </c>
      <c r="BP131" s="7" t="str">
        <f aca="false">IF(BN131="","",BN131-BO131)</f>
        <v/>
      </c>
      <c r="BQ131" s="55" t="str">
        <f aca="false">IF(BN131="","",IF(BO131&gt;=BN131,"На складе",IF(BO131&gt;0,"Частично","Ждём")))</f>
        <v/>
      </c>
      <c r="BR131" s="43"/>
      <c r="BS131" s="47" t="str">
        <f aca="false">IF(BN131="","",IF(_xlfn.MAXIFS(ЗАКАЗЫ!$AK$3:$AK$500,ЗАКАЗЫ!$F$3:$F$500,$A131)=0,"",_xlfn.MAXIFS(ЗАКАЗЫ!$AK$3:$AK$500,ЗАКАЗЫ!$F$3:$F$500,$A131)))</f>
        <v/>
      </c>
    </row>
    <row r="132" customFormat="false" ht="15.75" hidden="false" customHeight="true" outlineLevel="0" collapsed="false">
      <c r="A132" s="80" t="s">
        <v>1999</v>
      </c>
      <c r="B132" s="81"/>
      <c r="C132" s="81"/>
      <c r="D132" s="81"/>
      <c r="E132" s="83"/>
      <c r="F132" s="81"/>
      <c r="G132" s="83"/>
      <c r="H132" s="83"/>
      <c r="I132" s="84" t="str">
        <f aca="false">IF(E132="","",A132&amp;"_1.jpg")</f>
        <v/>
      </c>
      <c r="J132" s="84" t="str">
        <f aca="false">IF(E132="","",A132&amp;"_2.jpg; "&amp;A132&amp;"_3.jpg")</f>
        <v/>
      </c>
      <c r="K132" s="84" t="str">
        <f aca="false">IF(E132="","",A132&amp;"_schema.jpg")</f>
        <v/>
      </c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 t="s">
        <v>96</v>
      </c>
      <c r="W132" s="81"/>
      <c r="X132" s="81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6" t="str">
        <f aca="false">IF(SUM(Y132:AJ132)=0,"",SUM(Y132:AJ132))</f>
        <v/>
      </c>
      <c r="AL132" s="84" t="str">
        <f aca="false">MID(IF(N(Y132)&gt;0,", "&amp;Y$2,"")&amp;IF(N(Z132)&gt;0,", "&amp;Z$2,"")&amp;IF(N(AA132)&gt;0,", "&amp;AA$2,"")&amp;IF(N(AB132)&gt;0,", "&amp;AB$2,"")&amp;IF(N(AC132)&gt;0,", "&amp;AC$2,"")&amp;IF(N(AD132)&gt;0,", "&amp;AD$2,"")&amp;IF(N(AE132)&gt;0,", "&amp;AE$2,"")&amp;IF(N(AF132)&gt;0,", "&amp;AF$2,"")&amp;IF(N(AG132)&gt;0,", "&amp;AG$2,"")&amp;IF(N(AH132)&gt;0,", "&amp;AH$2,"")&amp;IF(N(AI132)&gt;0,", "&amp;AI$2,"")&amp;IF(N(AJ132)&gt;0,", "&amp;AJ$2,""),3,999)</f>
        <v/>
      </c>
      <c r="AM132" s="87" t="str">
        <f aca="false">IF(E132="","",MID(IF(N(Y132)&gt;0,", "&amp;A132&amp;"-"&amp;Y$2,"")&amp;IF(N(Z132)&gt;0,", "&amp;A132&amp;"-"&amp;Z$2,"")&amp;IF(N(AA132)&gt;0,", "&amp;A132&amp;"-"&amp;AA$2,"")&amp;IF(N(AB132)&gt;0,", "&amp;A132&amp;"-"&amp;AB$2,"")&amp;IF(N(AC132)&gt;0,", "&amp;A132&amp;"-"&amp;AC$2,"")&amp;IF(N(AD132)&gt;0,", "&amp;A132&amp;"-"&amp;AD$2,"")&amp;IF(N(AE132)&gt;0,", "&amp;A132&amp;"-"&amp;AE$2,"")&amp;IF(N(AF132)&gt;0,", "&amp;A132&amp;"-"&amp;AF$2,"")&amp;IF(N(AG132)&gt;0,", "&amp;A132&amp;"-"&amp;AG$2,"")&amp;IF(N(AH132)&gt;0,", "&amp;A132&amp;"-"&amp;AH$2,"")&amp;IF(N(AI132)&gt;0,", "&amp;A132&amp;"-"&amp;AI$2,"")&amp;IF(N(AJ132)&gt;0,", "&amp;A132&amp;"-"&amp;AJ$2,""),3,999))</f>
        <v/>
      </c>
      <c r="AN132" s="81"/>
      <c r="AO132" s="88"/>
      <c r="AP132" s="89" t="str">
        <f aca="false">IF(AO132="","",ROUND(AO132/(1+Справочники!$B$13),2))</f>
        <v/>
      </c>
      <c r="AQ132" s="90" t="str">
        <f aca="false" t="array" ref="AQ132:AQ132">IF(AP132="","",AP132*INDEX(Справочники!$B$4:$B$7,MATCH("RUB",Справочники!$A$4:$A$7,0)))</f>
        <v/>
      </c>
      <c r="AR132" s="90" t="str">
        <f aca="false">IF(AQ132="","",ROUND(AQ132*(1+Справочники!$B$12),0))</f>
        <v/>
      </c>
      <c r="AS132" s="90" t="str">
        <f aca="false">IF(AR132="","",ROUND(AR132*(1-Справочники!$B$11),0))</f>
        <v/>
      </c>
      <c r="AT132" s="88"/>
      <c r="AU132" s="90" t="str">
        <f aca="false">IF(AT132="","",ROUND(AT132/(1+Справочники!$B$12),0))</f>
        <v/>
      </c>
      <c r="AV132" s="90" t="str">
        <f aca="false">IF(AT132="","",ROUND(AT132*(1-Справочники!$B$15),0))</f>
        <v/>
      </c>
      <c r="AW132" s="90" t="str">
        <f aca="false">IF(AT132="","",ROUND(AT132*(1-Справочники!$B$16),0))</f>
        <v/>
      </c>
      <c r="AX132" s="90" t="str">
        <f aca="false">IF(AT132="","",ROUND(AT132*(1-Справочники!$B$17),0))</f>
        <v/>
      </c>
      <c r="AY132" s="90" t="str">
        <f aca="false">IF(AT132="","",ROUND(AT132*(1-Справочники!$B$18),0))</f>
        <v/>
      </c>
      <c r="AZ132" s="90" t="str">
        <f aca="false">IF(AT132="","",ROUND(AT132*(1-Справочники!$B$19),0))</f>
        <v/>
      </c>
      <c r="BA132" s="81"/>
      <c r="BB132" s="81"/>
      <c r="BC132" s="81"/>
      <c r="BD132" s="81"/>
      <c r="BE132" s="91"/>
      <c r="BF132" s="81" t="s">
        <v>103</v>
      </c>
      <c r="BG132" s="89" t="n">
        <f aca="false" t="array" ref="BG132:BG132">IF(BF132="","",IFERROR(INDEX(Справочники!$B$4:$B$7,MATCH(BF132,Справочники!$A$4:$A$7,0)),""))</f>
        <v>68.5</v>
      </c>
      <c r="BH132" s="90" t="str">
        <f aca="false">IF(N(BN132)&gt;0,ROUND(SUMIF(ЗАКАЗЫ!$F$3:$F$500,$A132,ЗАКАЗЫ!$Y$3:$Y$500)/BN132,0),IF(OR(BE132="",BG132=""),"",ROUND(BE132*BG132*(1+Справочники!$B$10),0)))</f>
        <v/>
      </c>
      <c r="BI132" s="92" t="str">
        <f aca="false">IF(OR(AU132="",BH132="",AU132=0),"",(AU132-BH132)/AU132)</f>
        <v/>
      </c>
      <c r="BJ132" s="81"/>
      <c r="BK132" s="83"/>
      <c r="BL132" s="43" t="str">
        <f aca="false">IFERROR(INDEX(ЗАКАЗЫ!$N$3:$N$500,MATCH($A132,ЗАКАЗЫ!$F$3:$F$500,0)),"")</f>
        <v/>
      </c>
      <c r="BM132" s="8" t="str">
        <f aca="false">IF(BL132="","",IFERROR(VLOOKUP(BL132,'ТН ВЭД'!$A$4:$C$40,3,0),""))</f>
        <v/>
      </c>
      <c r="BN132" s="7" t="str">
        <f aca="false">IF(COUNTIF(ЗАКАЗЫ!$F$3:$F$500,$A132)=0,"",SUMIF(ЗАКАЗЫ!$F$3:$F$500,$A132,ЗАКАЗЫ!$J$3:$J$500))</f>
        <v/>
      </c>
      <c r="BO132" s="7" t="str">
        <f aca="false">IF(BN132="","",SUMIF(ЗАКАЗЫ!$F$3:$F$500,$A132,ЗАКАЗЫ!$AL$3:$AL$500))</f>
        <v/>
      </c>
      <c r="BP132" s="7" t="str">
        <f aca="false">IF(BN132="","",BN132-BO132)</f>
        <v/>
      </c>
      <c r="BQ132" s="55" t="str">
        <f aca="false">IF(BN132="","",IF(BO132&gt;=BN132,"На складе",IF(BO132&gt;0,"Частично","Ждём")))</f>
        <v/>
      </c>
      <c r="BR132" s="43"/>
      <c r="BS132" s="47" t="str">
        <f aca="false">IF(BN132="","",IF(_xlfn.MAXIFS(ЗАКАЗЫ!$AK$3:$AK$500,ЗАКАЗЫ!$F$3:$F$500,$A132)=0,"",_xlfn.MAXIFS(ЗАКАЗЫ!$AK$3:$AK$500,ЗАКАЗЫ!$F$3:$F$500,$A132)))</f>
        <v/>
      </c>
    </row>
    <row r="133" customFormat="false" ht="15.75" hidden="false" customHeight="true" outlineLevel="0" collapsed="false">
      <c r="A133" s="80" t="s">
        <v>2000</v>
      </c>
      <c r="B133" s="81"/>
      <c r="C133" s="81"/>
      <c r="D133" s="81"/>
      <c r="E133" s="83"/>
      <c r="F133" s="81"/>
      <c r="G133" s="83"/>
      <c r="H133" s="83"/>
      <c r="I133" s="84" t="str">
        <f aca="false">IF(E133="","",A133&amp;"_1.jpg")</f>
        <v/>
      </c>
      <c r="J133" s="84" t="str">
        <f aca="false">IF(E133="","",A133&amp;"_2.jpg; "&amp;A133&amp;"_3.jpg")</f>
        <v/>
      </c>
      <c r="K133" s="84" t="str">
        <f aca="false">IF(E133="","",A133&amp;"_schema.jpg")</f>
        <v/>
      </c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 t="s">
        <v>96</v>
      </c>
      <c r="W133" s="81"/>
      <c r="X133" s="81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6" t="str">
        <f aca="false">IF(SUM(Y133:AJ133)=0,"",SUM(Y133:AJ133))</f>
        <v/>
      </c>
      <c r="AL133" s="84" t="str">
        <f aca="false">MID(IF(N(Y133)&gt;0,", "&amp;Y$2,"")&amp;IF(N(Z133)&gt;0,", "&amp;Z$2,"")&amp;IF(N(AA133)&gt;0,", "&amp;AA$2,"")&amp;IF(N(AB133)&gt;0,", "&amp;AB$2,"")&amp;IF(N(AC133)&gt;0,", "&amp;AC$2,"")&amp;IF(N(AD133)&gt;0,", "&amp;AD$2,"")&amp;IF(N(AE133)&gt;0,", "&amp;AE$2,"")&amp;IF(N(AF133)&gt;0,", "&amp;AF$2,"")&amp;IF(N(AG133)&gt;0,", "&amp;AG$2,"")&amp;IF(N(AH133)&gt;0,", "&amp;AH$2,"")&amp;IF(N(AI133)&gt;0,", "&amp;AI$2,"")&amp;IF(N(AJ133)&gt;0,", "&amp;AJ$2,""),3,999)</f>
        <v/>
      </c>
      <c r="AM133" s="87" t="str">
        <f aca="false">IF(E133="","",MID(IF(N(Y133)&gt;0,", "&amp;A133&amp;"-"&amp;Y$2,"")&amp;IF(N(Z133)&gt;0,", "&amp;A133&amp;"-"&amp;Z$2,"")&amp;IF(N(AA133)&gt;0,", "&amp;A133&amp;"-"&amp;AA$2,"")&amp;IF(N(AB133)&gt;0,", "&amp;A133&amp;"-"&amp;AB$2,"")&amp;IF(N(AC133)&gt;0,", "&amp;A133&amp;"-"&amp;AC$2,"")&amp;IF(N(AD133)&gt;0,", "&amp;A133&amp;"-"&amp;AD$2,"")&amp;IF(N(AE133)&gt;0,", "&amp;A133&amp;"-"&amp;AE$2,"")&amp;IF(N(AF133)&gt;0,", "&amp;A133&amp;"-"&amp;AF$2,"")&amp;IF(N(AG133)&gt;0,", "&amp;A133&amp;"-"&amp;AG$2,"")&amp;IF(N(AH133)&gt;0,", "&amp;A133&amp;"-"&amp;AH$2,"")&amp;IF(N(AI133)&gt;0,", "&amp;A133&amp;"-"&amp;AI$2,"")&amp;IF(N(AJ133)&gt;0,", "&amp;A133&amp;"-"&amp;AJ$2,""),3,999))</f>
        <v/>
      </c>
      <c r="AN133" s="81"/>
      <c r="AO133" s="88"/>
      <c r="AP133" s="89" t="str">
        <f aca="false">IF(AO133="","",ROUND(AO133/(1+Справочники!$B$13),2))</f>
        <v/>
      </c>
      <c r="AQ133" s="90" t="str">
        <f aca="false" t="array" ref="AQ133:AQ133">IF(AP133="","",AP133*INDEX(Справочники!$B$4:$B$7,MATCH("RUB",Справочники!$A$4:$A$7,0)))</f>
        <v/>
      </c>
      <c r="AR133" s="90" t="str">
        <f aca="false">IF(AQ133="","",ROUND(AQ133*(1+Справочники!$B$12),0))</f>
        <v/>
      </c>
      <c r="AS133" s="90" t="str">
        <f aca="false">IF(AR133="","",ROUND(AR133*(1-Справочники!$B$11),0))</f>
        <v/>
      </c>
      <c r="AT133" s="88"/>
      <c r="AU133" s="90" t="str">
        <f aca="false">IF(AT133="","",ROUND(AT133/(1+Справочники!$B$12),0))</f>
        <v/>
      </c>
      <c r="AV133" s="90" t="str">
        <f aca="false">IF(AT133="","",ROUND(AT133*(1-Справочники!$B$15),0))</f>
        <v/>
      </c>
      <c r="AW133" s="90" t="str">
        <f aca="false">IF(AT133="","",ROUND(AT133*(1-Справочники!$B$16),0))</f>
        <v/>
      </c>
      <c r="AX133" s="90" t="str">
        <f aca="false">IF(AT133="","",ROUND(AT133*(1-Справочники!$B$17),0))</f>
        <v/>
      </c>
      <c r="AY133" s="90" t="str">
        <f aca="false">IF(AT133="","",ROUND(AT133*(1-Справочники!$B$18),0))</f>
        <v/>
      </c>
      <c r="AZ133" s="90" t="str">
        <f aca="false">IF(AT133="","",ROUND(AT133*(1-Справочники!$B$19),0))</f>
        <v/>
      </c>
      <c r="BA133" s="81"/>
      <c r="BB133" s="81"/>
      <c r="BC133" s="81"/>
      <c r="BD133" s="81"/>
      <c r="BE133" s="91"/>
      <c r="BF133" s="81" t="s">
        <v>103</v>
      </c>
      <c r="BG133" s="89" t="n">
        <f aca="false" t="array" ref="BG133:BG133">IF(BF133="","",IFERROR(INDEX(Справочники!$B$4:$B$7,MATCH(BF133,Справочники!$A$4:$A$7,0)),""))</f>
        <v>68.5</v>
      </c>
      <c r="BH133" s="90" t="str">
        <f aca="false">IF(N(BN133)&gt;0,ROUND(SUMIF(ЗАКАЗЫ!$F$3:$F$500,$A133,ЗАКАЗЫ!$Y$3:$Y$500)/BN133,0),IF(OR(BE133="",BG133=""),"",ROUND(BE133*BG133*(1+Справочники!$B$10),0)))</f>
        <v/>
      </c>
      <c r="BI133" s="92" t="str">
        <f aca="false">IF(OR(AU133="",BH133="",AU133=0),"",(AU133-BH133)/AU133)</f>
        <v/>
      </c>
      <c r="BJ133" s="81"/>
      <c r="BK133" s="83"/>
      <c r="BL133" s="43" t="str">
        <f aca="false">IFERROR(INDEX(ЗАКАЗЫ!$N$3:$N$500,MATCH($A133,ЗАКАЗЫ!$F$3:$F$500,0)),"")</f>
        <v/>
      </c>
      <c r="BM133" s="8" t="str">
        <f aca="false">IF(BL133="","",IFERROR(VLOOKUP(BL133,'ТН ВЭД'!$A$4:$C$40,3,0),""))</f>
        <v/>
      </c>
      <c r="BN133" s="7" t="str">
        <f aca="false">IF(COUNTIF(ЗАКАЗЫ!$F$3:$F$500,$A133)=0,"",SUMIF(ЗАКАЗЫ!$F$3:$F$500,$A133,ЗАКАЗЫ!$J$3:$J$500))</f>
        <v/>
      </c>
      <c r="BO133" s="7" t="str">
        <f aca="false">IF(BN133="","",SUMIF(ЗАКАЗЫ!$F$3:$F$500,$A133,ЗАКАЗЫ!$AL$3:$AL$500))</f>
        <v/>
      </c>
      <c r="BP133" s="7" t="str">
        <f aca="false">IF(BN133="","",BN133-BO133)</f>
        <v/>
      </c>
      <c r="BQ133" s="55" t="str">
        <f aca="false">IF(BN133="","",IF(BO133&gt;=BN133,"На складе",IF(BO133&gt;0,"Частично","Ждём")))</f>
        <v/>
      </c>
      <c r="BR133" s="43"/>
      <c r="BS133" s="47" t="str">
        <f aca="false">IF(BN133="","",IF(_xlfn.MAXIFS(ЗАКАЗЫ!$AK$3:$AK$500,ЗАКАЗЫ!$F$3:$F$500,$A133)=0,"",_xlfn.MAXIFS(ЗАКАЗЫ!$AK$3:$AK$500,ЗАКАЗЫ!$F$3:$F$500,$A133)))</f>
        <v/>
      </c>
    </row>
    <row r="134" customFormat="false" ht="15.75" hidden="false" customHeight="true" outlineLevel="0" collapsed="false">
      <c r="A134" s="80" t="s">
        <v>2001</v>
      </c>
      <c r="B134" s="81"/>
      <c r="C134" s="81"/>
      <c r="D134" s="81"/>
      <c r="E134" s="83"/>
      <c r="F134" s="81"/>
      <c r="G134" s="83"/>
      <c r="H134" s="83"/>
      <c r="I134" s="84" t="str">
        <f aca="false">IF(E134="","",A134&amp;"_1.jpg")</f>
        <v/>
      </c>
      <c r="J134" s="84" t="str">
        <f aca="false">IF(E134="","",A134&amp;"_2.jpg; "&amp;A134&amp;"_3.jpg")</f>
        <v/>
      </c>
      <c r="K134" s="84" t="str">
        <f aca="false">IF(E134="","",A134&amp;"_schema.jpg")</f>
        <v/>
      </c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 t="s">
        <v>96</v>
      </c>
      <c r="W134" s="81"/>
      <c r="X134" s="81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6" t="str">
        <f aca="false">IF(SUM(Y134:AJ134)=0,"",SUM(Y134:AJ134))</f>
        <v/>
      </c>
      <c r="AL134" s="84" t="str">
        <f aca="false">MID(IF(N(Y134)&gt;0,", "&amp;Y$2,"")&amp;IF(N(Z134)&gt;0,", "&amp;Z$2,"")&amp;IF(N(AA134)&gt;0,", "&amp;AA$2,"")&amp;IF(N(AB134)&gt;0,", "&amp;AB$2,"")&amp;IF(N(AC134)&gt;0,", "&amp;AC$2,"")&amp;IF(N(AD134)&gt;0,", "&amp;AD$2,"")&amp;IF(N(AE134)&gt;0,", "&amp;AE$2,"")&amp;IF(N(AF134)&gt;0,", "&amp;AF$2,"")&amp;IF(N(AG134)&gt;0,", "&amp;AG$2,"")&amp;IF(N(AH134)&gt;0,", "&amp;AH$2,"")&amp;IF(N(AI134)&gt;0,", "&amp;AI$2,"")&amp;IF(N(AJ134)&gt;0,", "&amp;AJ$2,""),3,999)</f>
        <v/>
      </c>
      <c r="AM134" s="87" t="str">
        <f aca="false">IF(E134="","",MID(IF(N(Y134)&gt;0,", "&amp;A134&amp;"-"&amp;Y$2,"")&amp;IF(N(Z134)&gt;0,", "&amp;A134&amp;"-"&amp;Z$2,"")&amp;IF(N(AA134)&gt;0,", "&amp;A134&amp;"-"&amp;AA$2,"")&amp;IF(N(AB134)&gt;0,", "&amp;A134&amp;"-"&amp;AB$2,"")&amp;IF(N(AC134)&gt;0,", "&amp;A134&amp;"-"&amp;AC$2,"")&amp;IF(N(AD134)&gt;0,", "&amp;A134&amp;"-"&amp;AD$2,"")&amp;IF(N(AE134)&gt;0,", "&amp;A134&amp;"-"&amp;AE$2,"")&amp;IF(N(AF134)&gt;0,", "&amp;A134&amp;"-"&amp;AF$2,"")&amp;IF(N(AG134)&gt;0,", "&amp;A134&amp;"-"&amp;AG$2,"")&amp;IF(N(AH134)&gt;0,", "&amp;A134&amp;"-"&amp;AH$2,"")&amp;IF(N(AI134)&gt;0,", "&amp;A134&amp;"-"&amp;AI$2,"")&amp;IF(N(AJ134)&gt;0,", "&amp;A134&amp;"-"&amp;AJ$2,""),3,999))</f>
        <v/>
      </c>
      <c r="AN134" s="81"/>
      <c r="AO134" s="88"/>
      <c r="AP134" s="89" t="str">
        <f aca="false">IF(AO134="","",ROUND(AO134/(1+Справочники!$B$13),2))</f>
        <v/>
      </c>
      <c r="AQ134" s="90" t="str">
        <f aca="false" t="array" ref="AQ134:AQ134">IF(AP134="","",AP134*INDEX(Справочники!$B$4:$B$7,MATCH("RUB",Справочники!$A$4:$A$7,0)))</f>
        <v/>
      </c>
      <c r="AR134" s="90" t="str">
        <f aca="false">IF(AQ134="","",ROUND(AQ134*(1+Справочники!$B$12),0))</f>
        <v/>
      </c>
      <c r="AS134" s="90" t="str">
        <f aca="false">IF(AR134="","",ROUND(AR134*(1-Справочники!$B$11),0))</f>
        <v/>
      </c>
      <c r="AT134" s="88"/>
      <c r="AU134" s="90" t="str">
        <f aca="false">IF(AT134="","",ROUND(AT134/(1+Справочники!$B$12),0))</f>
        <v/>
      </c>
      <c r="AV134" s="90" t="str">
        <f aca="false">IF(AT134="","",ROUND(AT134*(1-Справочники!$B$15),0))</f>
        <v/>
      </c>
      <c r="AW134" s="90" t="str">
        <f aca="false">IF(AT134="","",ROUND(AT134*(1-Справочники!$B$16),0))</f>
        <v/>
      </c>
      <c r="AX134" s="90" t="str">
        <f aca="false">IF(AT134="","",ROUND(AT134*(1-Справочники!$B$17),0))</f>
        <v/>
      </c>
      <c r="AY134" s="90" t="str">
        <f aca="false">IF(AT134="","",ROUND(AT134*(1-Справочники!$B$18),0))</f>
        <v/>
      </c>
      <c r="AZ134" s="90" t="str">
        <f aca="false">IF(AT134="","",ROUND(AT134*(1-Справочники!$B$19),0))</f>
        <v/>
      </c>
      <c r="BA134" s="81"/>
      <c r="BB134" s="81"/>
      <c r="BC134" s="81"/>
      <c r="BD134" s="81"/>
      <c r="BE134" s="91"/>
      <c r="BF134" s="81" t="s">
        <v>103</v>
      </c>
      <c r="BG134" s="89" t="n">
        <f aca="false" t="array" ref="BG134:BG134">IF(BF134="","",IFERROR(INDEX(Справочники!$B$4:$B$7,MATCH(BF134,Справочники!$A$4:$A$7,0)),""))</f>
        <v>68.5</v>
      </c>
      <c r="BH134" s="90" t="str">
        <f aca="false">IF(N(BN134)&gt;0,ROUND(SUMIF(ЗАКАЗЫ!$F$3:$F$500,$A134,ЗАКАЗЫ!$Y$3:$Y$500)/BN134,0),IF(OR(BE134="",BG134=""),"",ROUND(BE134*BG134*(1+Справочники!$B$10),0)))</f>
        <v/>
      </c>
      <c r="BI134" s="92" t="str">
        <f aca="false">IF(OR(AU134="",BH134="",AU134=0),"",(AU134-BH134)/AU134)</f>
        <v/>
      </c>
      <c r="BJ134" s="81"/>
      <c r="BK134" s="83"/>
      <c r="BL134" s="43" t="str">
        <f aca="false">IFERROR(INDEX(ЗАКАЗЫ!$N$3:$N$500,MATCH($A134,ЗАКАЗЫ!$F$3:$F$500,0)),"")</f>
        <v/>
      </c>
      <c r="BM134" s="8" t="str">
        <f aca="false">IF(BL134="","",IFERROR(VLOOKUP(BL134,'ТН ВЭД'!$A$4:$C$40,3,0),""))</f>
        <v/>
      </c>
      <c r="BN134" s="7" t="str">
        <f aca="false">IF(COUNTIF(ЗАКАЗЫ!$F$3:$F$500,$A134)=0,"",SUMIF(ЗАКАЗЫ!$F$3:$F$500,$A134,ЗАКАЗЫ!$J$3:$J$500))</f>
        <v/>
      </c>
      <c r="BO134" s="7" t="str">
        <f aca="false">IF(BN134="","",SUMIF(ЗАКАЗЫ!$F$3:$F$500,$A134,ЗАКАЗЫ!$AL$3:$AL$500))</f>
        <v/>
      </c>
      <c r="BP134" s="7" t="str">
        <f aca="false">IF(BN134="","",BN134-BO134)</f>
        <v/>
      </c>
      <c r="BQ134" s="55" t="str">
        <f aca="false">IF(BN134="","",IF(BO134&gt;=BN134,"На складе",IF(BO134&gt;0,"Частично","Ждём")))</f>
        <v/>
      </c>
      <c r="BR134" s="43"/>
      <c r="BS134" s="47" t="str">
        <f aca="false">IF(BN134="","",IF(_xlfn.MAXIFS(ЗАКАЗЫ!$AK$3:$AK$500,ЗАКАЗЫ!$F$3:$F$500,$A134)=0,"",_xlfn.MAXIFS(ЗАКАЗЫ!$AK$3:$AK$500,ЗАКАЗЫ!$F$3:$F$500,$A134)))</f>
        <v/>
      </c>
    </row>
    <row r="135" customFormat="false" ht="15.75" hidden="false" customHeight="true" outlineLevel="0" collapsed="false">
      <c r="A135" s="80" t="s">
        <v>2002</v>
      </c>
      <c r="B135" s="81"/>
      <c r="C135" s="81"/>
      <c r="D135" s="81"/>
      <c r="E135" s="83"/>
      <c r="F135" s="81"/>
      <c r="G135" s="83"/>
      <c r="H135" s="83"/>
      <c r="I135" s="84" t="str">
        <f aca="false">IF(E135="","",A135&amp;"_1.jpg")</f>
        <v/>
      </c>
      <c r="J135" s="84" t="str">
        <f aca="false">IF(E135="","",A135&amp;"_2.jpg; "&amp;A135&amp;"_3.jpg")</f>
        <v/>
      </c>
      <c r="K135" s="84" t="str">
        <f aca="false">IF(E135="","",A135&amp;"_schema.jpg")</f>
        <v/>
      </c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 t="s">
        <v>96</v>
      </c>
      <c r="W135" s="81"/>
      <c r="X135" s="81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6" t="str">
        <f aca="false">IF(SUM(Y135:AJ135)=0,"",SUM(Y135:AJ135))</f>
        <v/>
      </c>
      <c r="AL135" s="84" t="str">
        <f aca="false">MID(IF(N(Y135)&gt;0,", "&amp;Y$2,"")&amp;IF(N(Z135)&gt;0,", "&amp;Z$2,"")&amp;IF(N(AA135)&gt;0,", "&amp;AA$2,"")&amp;IF(N(AB135)&gt;0,", "&amp;AB$2,"")&amp;IF(N(AC135)&gt;0,", "&amp;AC$2,"")&amp;IF(N(AD135)&gt;0,", "&amp;AD$2,"")&amp;IF(N(AE135)&gt;0,", "&amp;AE$2,"")&amp;IF(N(AF135)&gt;0,", "&amp;AF$2,"")&amp;IF(N(AG135)&gt;0,", "&amp;AG$2,"")&amp;IF(N(AH135)&gt;0,", "&amp;AH$2,"")&amp;IF(N(AI135)&gt;0,", "&amp;AI$2,"")&amp;IF(N(AJ135)&gt;0,", "&amp;AJ$2,""),3,999)</f>
        <v/>
      </c>
      <c r="AM135" s="87" t="str">
        <f aca="false">IF(E135="","",MID(IF(N(Y135)&gt;0,", "&amp;A135&amp;"-"&amp;Y$2,"")&amp;IF(N(Z135)&gt;0,", "&amp;A135&amp;"-"&amp;Z$2,"")&amp;IF(N(AA135)&gt;0,", "&amp;A135&amp;"-"&amp;AA$2,"")&amp;IF(N(AB135)&gt;0,", "&amp;A135&amp;"-"&amp;AB$2,"")&amp;IF(N(AC135)&gt;0,", "&amp;A135&amp;"-"&amp;AC$2,"")&amp;IF(N(AD135)&gt;0,", "&amp;A135&amp;"-"&amp;AD$2,"")&amp;IF(N(AE135)&gt;0,", "&amp;A135&amp;"-"&amp;AE$2,"")&amp;IF(N(AF135)&gt;0,", "&amp;A135&amp;"-"&amp;AF$2,"")&amp;IF(N(AG135)&gt;0,", "&amp;A135&amp;"-"&amp;AG$2,"")&amp;IF(N(AH135)&gt;0,", "&amp;A135&amp;"-"&amp;AH$2,"")&amp;IF(N(AI135)&gt;0,", "&amp;A135&amp;"-"&amp;AI$2,"")&amp;IF(N(AJ135)&gt;0,", "&amp;A135&amp;"-"&amp;AJ$2,""),3,999))</f>
        <v/>
      </c>
      <c r="AN135" s="81"/>
      <c r="AO135" s="88"/>
      <c r="AP135" s="89" t="str">
        <f aca="false">IF(AO135="","",ROUND(AO135/(1+Справочники!$B$13),2))</f>
        <v/>
      </c>
      <c r="AQ135" s="90" t="str">
        <f aca="false" t="array" ref="AQ135:AQ135">IF(AP135="","",AP135*INDEX(Справочники!$B$4:$B$7,MATCH("RUB",Справочники!$A$4:$A$7,0)))</f>
        <v/>
      </c>
      <c r="AR135" s="90" t="str">
        <f aca="false">IF(AQ135="","",ROUND(AQ135*(1+Справочники!$B$12),0))</f>
        <v/>
      </c>
      <c r="AS135" s="90" t="str">
        <f aca="false">IF(AR135="","",ROUND(AR135*(1-Справочники!$B$11),0))</f>
        <v/>
      </c>
      <c r="AT135" s="88"/>
      <c r="AU135" s="90" t="str">
        <f aca="false">IF(AT135="","",ROUND(AT135/(1+Справочники!$B$12),0))</f>
        <v/>
      </c>
      <c r="AV135" s="90" t="str">
        <f aca="false">IF(AT135="","",ROUND(AT135*(1-Справочники!$B$15),0))</f>
        <v/>
      </c>
      <c r="AW135" s="90" t="str">
        <f aca="false">IF(AT135="","",ROUND(AT135*(1-Справочники!$B$16),0))</f>
        <v/>
      </c>
      <c r="AX135" s="90" t="str">
        <f aca="false">IF(AT135="","",ROUND(AT135*(1-Справочники!$B$17),0))</f>
        <v/>
      </c>
      <c r="AY135" s="90" t="str">
        <f aca="false">IF(AT135="","",ROUND(AT135*(1-Справочники!$B$18),0))</f>
        <v/>
      </c>
      <c r="AZ135" s="90" t="str">
        <f aca="false">IF(AT135="","",ROUND(AT135*(1-Справочники!$B$19),0))</f>
        <v/>
      </c>
      <c r="BA135" s="81"/>
      <c r="BB135" s="81"/>
      <c r="BC135" s="81"/>
      <c r="BD135" s="81"/>
      <c r="BE135" s="91"/>
      <c r="BF135" s="81" t="s">
        <v>103</v>
      </c>
      <c r="BG135" s="89" t="n">
        <f aca="false" t="array" ref="BG135:BG135">IF(BF135="","",IFERROR(INDEX(Справочники!$B$4:$B$7,MATCH(BF135,Справочники!$A$4:$A$7,0)),""))</f>
        <v>68.5</v>
      </c>
      <c r="BH135" s="90" t="str">
        <f aca="false">IF(N(BN135)&gt;0,ROUND(SUMIF(ЗАКАЗЫ!$F$3:$F$500,$A135,ЗАКАЗЫ!$Y$3:$Y$500)/BN135,0),IF(OR(BE135="",BG135=""),"",ROUND(BE135*BG135*(1+Справочники!$B$10),0)))</f>
        <v/>
      </c>
      <c r="BI135" s="92" t="str">
        <f aca="false">IF(OR(AU135="",BH135="",AU135=0),"",(AU135-BH135)/AU135)</f>
        <v/>
      </c>
      <c r="BJ135" s="81"/>
      <c r="BK135" s="83"/>
      <c r="BL135" s="43" t="str">
        <f aca="false">IFERROR(INDEX(ЗАКАЗЫ!$N$3:$N$500,MATCH($A135,ЗАКАЗЫ!$F$3:$F$500,0)),"")</f>
        <v/>
      </c>
      <c r="BM135" s="8" t="str">
        <f aca="false">IF(BL135="","",IFERROR(VLOOKUP(BL135,'ТН ВЭД'!$A$4:$C$40,3,0),""))</f>
        <v/>
      </c>
      <c r="BN135" s="7" t="str">
        <f aca="false">IF(COUNTIF(ЗАКАЗЫ!$F$3:$F$500,$A135)=0,"",SUMIF(ЗАКАЗЫ!$F$3:$F$500,$A135,ЗАКАЗЫ!$J$3:$J$500))</f>
        <v/>
      </c>
      <c r="BO135" s="7" t="str">
        <f aca="false">IF(BN135="","",SUMIF(ЗАКАЗЫ!$F$3:$F$500,$A135,ЗАКАЗЫ!$AL$3:$AL$500))</f>
        <v/>
      </c>
      <c r="BP135" s="7" t="str">
        <f aca="false">IF(BN135="","",BN135-BO135)</f>
        <v/>
      </c>
      <c r="BQ135" s="55" t="str">
        <f aca="false">IF(BN135="","",IF(BO135&gt;=BN135,"На складе",IF(BO135&gt;0,"Частично","Ждём")))</f>
        <v/>
      </c>
      <c r="BR135" s="43"/>
      <c r="BS135" s="47" t="str">
        <f aca="false">IF(BN135="","",IF(_xlfn.MAXIFS(ЗАКАЗЫ!$AK$3:$AK$500,ЗАКАЗЫ!$F$3:$F$500,$A135)=0,"",_xlfn.MAXIFS(ЗАКАЗЫ!$AK$3:$AK$500,ЗАКАЗЫ!$F$3:$F$500,$A135)))</f>
        <v/>
      </c>
    </row>
    <row r="136" customFormat="false" ht="15.75" hidden="false" customHeight="true" outlineLevel="0" collapsed="false">
      <c r="A136" s="80" t="s">
        <v>2003</v>
      </c>
      <c r="B136" s="81"/>
      <c r="C136" s="81"/>
      <c r="D136" s="81"/>
      <c r="E136" s="83"/>
      <c r="F136" s="81"/>
      <c r="G136" s="83"/>
      <c r="H136" s="83"/>
      <c r="I136" s="84" t="str">
        <f aca="false">IF(E136="","",A136&amp;"_1.jpg")</f>
        <v/>
      </c>
      <c r="J136" s="84" t="str">
        <f aca="false">IF(E136="","",A136&amp;"_2.jpg; "&amp;A136&amp;"_3.jpg")</f>
        <v/>
      </c>
      <c r="K136" s="84" t="str">
        <f aca="false">IF(E136="","",A136&amp;"_schema.jpg")</f>
        <v/>
      </c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 t="s">
        <v>96</v>
      </c>
      <c r="W136" s="81"/>
      <c r="X136" s="81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6" t="str">
        <f aca="false">IF(SUM(Y136:AJ136)=0,"",SUM(Y136:AJ136))</f>
        <v/>
      </c>
      <c r="AL136" s="84" t="str">
        <f aca="false">MID(IF(N(Y136)&gt;0,", "&amp;Y$2,"")&amp;IF(N(Z136)&gt;0,", "&amp;Z$2,"")&amp;IF(N(AA136)&gt;0,", "&amp;AA$2,"")&amp;IF(N(AB136)&gt;0,", "&amp;AB$2,"")&amp;IF(N(AC136)&gt;0,", "&amp;AC$2,"")&amp;IF(N(AD136)&gt;0,", "&amp;AD$2,"")&amp;IF(N(AE136)&gt;0,", "&amp;AE$2,"")&amp;IF(N(AF136)&gt;0,", "&amp;AF$2,"")&amp;IF(N(AG136)&gt;0,", "&amp;AG$2,"")&amp;IF(N(AH136)&gt;0,", "&amp;AH$2,"")&amp;IF(N(AI136)&gt;0,", "&amp;AI$2,"")&amp;IF(N(AJ136)&gt;0,", "&amp;AJ$2,""),3,999)</f>
        <v/>
      </c>
      <c r="AM136" s="87" t="str">
        <f aca="false">IF(E136="","",MID(IF(N(Y136)&gt;0,", "&amp;A136&amp;"-"&amp;Y$2,"")&amp;IF(N(Z136)&gt;0,", "&amp;A136&amp;"-"&amp;Z$2,"")&amp;IF(N(AA136)&gt;0,", "&amp;A136&amp;"-"&amp;AA$2,"")&amp;IF(N(AB136)&gt;0,", "&amp;A136&amp;"-"&amp;AB$2,"")&amp;IF(N(AC136)&gt;0,", "&amp;A136&amp;"-"&amp;AC$2,"")&amp;IF(N(AD136)&gt;0,", "&amp;A136&amp;"-"&amp;AD$2,"")&amp;IF(N(AE136)&gt;0,", "&amp;A136&amp;"-"&amp;AE$2,"")&amp;IF(N(AF136)&gt;0,", "&amp;A136&amp;"-"&amp;AF$2,"")&amp;IF(N(AG136)&gt;0,", "&amp;A136&amp;"-"&amp;AG$2,"")&amp;IF(N(AH136)&gt;0,", "&amp;A136&amp;"-"&amp;AH$2,"")&amp;IF(N(AI136)&gt;0,", "&amp;A136&amp;"-"&amp;AI$2,"")&amp;IF(N(AJ136)&gt;0,", "&amp;A136&amp;"-"&amp;AJ$2,""),3,999))</f>
        <v/>
      </c>
      <c r="AN136" s="81"/>
      <c r="AO136" s="88"/>
      <c r="AP136" s="89" t="str">
        <f aca="false">IF(AO136="","",ROUND(AO136/(1+Справочники!$B$13),2))</f>
        <v/>
      </c>
      <c r="AQ136" s="90" t="str">
        <f aca="false" t="array" ref="AQ136:AQ136">IF(AP136="","",AP136*INDEX(Справочники!$B$4:$B$7,MATCH("RUB",Справочники!$A$4:$A$7,0)))</f>
        <v/>
      </c>
      <c r="AR136" s="90" t="str">
        <f aca="false">IF(AQ136="","",ROUND(AQ136*(1+Справочники!$B$12),0))</f>
        <v/>
      </c>
      <c r="AS136" s="90" t="str">
        <f aca="false">IF(AR136="","",ROUND(AR136*(1-Справочники!$B$11),0))</f>
        <v/>
      </c>
      <c r="AT136" s="88"/>
      <c r="AU136" s="90" t="str">
        <f aca="false">IF(AT136="","",ROUND(AT136/(1+Справочники!$B$12),0))</f>
        <v/>
      </c>
      <c r="AV136" s="90" t="str">
        <f aca="false">IF(AT136="","",ROUND(AT136*(1-Справочники!$B$15),0))</f>
        <v/>
      </c>
      <c r="AW136" s="90" t="str">
        <f aca="false">IF(AT136="","",ROUND(AT136*(1-Справочники!$B$16),0))</f>
        <v/>
      </c>
      <c r="AX136" s="90" t="str">
        <f aca="false">IF(AT136="","",ROUND(AT136*(1-Справочники!$B$17),0))</f>
        <v/>
      </c>
      <c r="AY136" s="90" t="str">
        <f aca="false">IF(AT136="","",ROUND(AT136*(1-Справочники!$B$18),0))</f>
        <v/>
      </c>
      <c r="AZ136" s="90" t="str">
        <f aca="false">IF(AT136="","",ROUND(AT136*(1-Справочники!$B$19),0))</f>
        <v/>
      </c>
      <c r="BA136" s="81"/>
      <c r="BB136" s="81"/>
      <c r="BC136" s="81"/>
      <c r="BD136" s="81"/>
      <c r="BE136" s="91"/>
      <c r="BF136" s="81" t="s">
        <v>103</v>
      </c>
      <c r="BG136" s="89" t="n">
        <f aca="false" t="array" ref="BG136:BG136">IF(BF136="","",IFERROR(INDEX(Справочники!$B$4:$B$7,MATCH(BF136,Справочники!$A$4:$A$7,0)),""))</f>
        <v>68.5</v>
      </c>
      <c r="BH136" s="90" t="str">
        <f aca="false">IF(N(BN136)&gt;0,ROUND(SUMIF(ЗАКАЗЫ!$F$3:$F$500,$A136,ЗАКАЗЫ!$Y$3:$Y$500)/BN136,0),IF(OR(BE136="",BG136=""),"",ROUND(BE136*BG136*(1+Справочники!$B$10),0)))</f>
        <v/>
      </c>
      <c r="BI136" s="92" t="str">
        <f aca="false">IF(OR(AU136="",BH136="",AU136=0),"",(AU136-BH136)/AU136)</f>
        <v/>
      </c>
      <c r="BJ136" s="81"/>
      <c r="BK136" s="83"/>
      <c r="BL136" s="43" t="str">
        <f aca="false">IFERROR(INDEX(ЗАКАЗЫ!$N$3:$N$500,MATCH($A136,ЗАКАЗЫ!$F$3:$F$500,0)),"")</f>
        <v/>
      </c>
      <c r="BM136" s="8" t="str">
        <f aca="false">IF(BL136="","",IFERROR(VLOOKUP(BL136,'ТН ВЭД'!$A$4:$C$40,3,0),""))</f>
        <v/>
      </c>
      <c r="BN136" s="7" t="str">
        <f aca="false">IF(COUNTIF(ЗАКАЗЫ!$F$3:$F$500,$A136)=0,"",SUMIF(ЗАКАЗЫ!$F$3:$F$500,$A136,ЗАКАЗЫ!$J$3:$J$500))</f>
        <v/>
      </c>
      <c r="BO136" s="7" t="str">
        <f aca="false">IF(BN136="","",SUMIF(ЗАКАЗЫ!$F$3:$F$500,$A136,ЗАКАЗЫ!$AL$3:$AL$500))</f>
        <v/>
      </c>
      <c r="BP136" s="7" t="str">
        <f aca="false">IF(BN136="","",BN136-BO136)</f>
        <v/>
      </c>
      <c r="BQ136" s="55" t="str">
        <f aca="false">IF(BN136="","",IF(BO136&gt;=BN136,"На складе",IF(BO136&gt;0,"Частично","Ждём")))</f>
        <v/>
      </c>
      <c r="BR136" s="43"/>
      <c r="BS136" s="47" t="str">
        <f aca="false">IF(BN136="","",IF(_xlfn.MAXIFS(ЗАКАЗЫ!$AK$3:$AK$500,ЗАКАЗЫ!$F$3:$F$500,$A136)=0,"",_xlfn.MAXIFS(ЗАКАЗЫ!$AK$3:$AK$500,ЗАКАЗЫ!$F$3:$F$500,$A136)))</f>
        <v/>
      </c>
    </row>
    <row r="137" customFormat="false" ht="15.75" hidden="false" customHeight="true" outlineLevel="0" collapsed="false">
      <c r="A137" s="80" t="s">
        <v>2004</v>
      </c>
      <c r="B137" s="81"/>
      <c r="C137" s="81"/>
      <c r="D137" s="81"/>
      <c r="E137" s="83"/>
      <c r="F137" s="81"/>
      <c r="G137" s="83"/>
      <c r="H137" s="83"/>
      <c r="I137" s="84" t="str">
        <f aca="false">IF(E137="","",A137&amp;"_1.jpg")</f>
        <v/>
      </c>
      <c r="J137" s="84" t="str">
        <f aca="false">IF(E137="","",A137&amp;"_2.jpg; "&amp;A137&amp;"_3.jpg")</f>
        <v/>
      </c>
      <c r="K137" s="84" t="str">
        <f aca="false">IF(E137="","",A137&amp;"_schema.jpg")</f>
        <v/>
      </c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 t="s">
        <v>96</v>
      </c>
      <c r="W137" s="81"/>
      <c r="X137" s="81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6" t="str">
        <f aca="false">IF(SUM(Y137:AJ137)=0,"",SUM(Y137:AJ137))</f>
        <v/>
      </c>
      <c r="AL137" s="84" t="str">
        <f aca="false">MID(IF(N(Y137)&gt;0,", "&amp;Y$2,"")&amp;IF(N(Z137)&gt;0,", "&amp;Z$2,"")&amp;IF(N(AA137)&gt;0,", "&amp;AA$2,"")&amp;IF(N(AB137)&gt;0,", "&amp;AB$2,"")&amp;IF(N(AC137)&gt;0,", "&amp;AC$2,"")&amp;IF(N(AD137)&gt;0,", "&amp;AD$2,"")&amp;IF(N(AE137)&gt;0,", "&amp;AE$2,"")&amp;IF(N(AF137)&gt;0,", "&amp;AF$2,"")&amp;IF(N(AG137)&gt;0,", "&amp;AG$2,"")&amp;IF(N(AH137)&gt;0,", "&amp;AH$2,"")&amp;IF(N(AI137)&gt;0,", "&amp;AI$2,"")&amp;IF(N(AJ137)&gt;0,", "&amp;AJ$2,""),3,999)</f>
        <v/>
      </c>
      <c r="AM137" s="87" t="str">
        <f aca="false">IF(E137="","",MID(IF(N(Y137)&gt;0,", "&amp;A137&amp;"-"&amp;Y$2,"")&amp;IF(N(Z137)&gt;0,", "&amp;A137&amp;"-"&amp;Z$2,"")&amp;IF(N(AA137)&gt;0,", "&amp;A137&amp;"-"&amp;AA$2,"")&amp;IF(N(AB137)&gt;0,", "&amp;A137&amp;"-"&amp;AB$2,"")&amp;IF(N(AC137)&gt;0,", "&amp;A137&amp;"-"&amp;AC$2,"")&amp;IF(N(AD137)&gt;0,", "&amp;A137&amp;"-"&amp;AD$2,"")&amp;IF(N(AE137)&gt;0,", "&amp;A137&amp;"-"&amp;AE$2,"")&amp;IF(N(AF137)&gt;0,", "&amp;A137&amp;"-"&amp;AF$2,"")&amp;IF(N(AG137)&gt;0,", "&amp;A137&amp;"-"&amp;AG$2,"")&amp;IF(N(AH137)&gt;0,", "&amp;A137&amp;"-"&amp;AH$2,"")&amp;IF(N(AI137)&gt;0,", "&amp;A137&amp;"-"&amp;AI$2,"")&amp;IF(N(AJ137)&gt;0,", "&amp;A137&amp;"-"&amp;AJ$2,""),3,999))</f>
        <v/>
      </c>
      <c r="AN137" s="81"/>
      <c r="AO137" s="88"/>
      <c r="AP137" s="89" t="str">
        <f aca="false">IF(AO137="","",ROUND(AO137/(1+Справочники!$B$13),2))</f>
        <v/>
      </c>
      <c r="AQ137" s="90" t="str">
        <f aca="false" t="array" ref="AQ137:AQ137">IF(AP137="","",AP137*INDEX(Справочники!$B$4:$B$7,MATCH("RUB",Справочники!$A$4:$A$7,0)))</f>
        <v/>
      </c>
      <c r="AR137" s="90" t="str">
        <f aca="false">IF(AQ137="","",ROUND(AQ137*(1+Справочники!$B$12),0))</f>
        <v/>
      </c>
      <c r="AS137" s="90" t="str">
        <f aca="false">IF(AR137="","",ROUND(AR137*(1-Справочники!$B$11),0))</f>
        <v/>
      </c>
      <c r="AT137" s="88"/>
      <c r="AU137" s="90" t="str">
        <f aca="false">IF(AT137="","",ROUND(AT137/(1+Справочники!$B$12),0))</f>
        <v/>
      </c>
      <c r="AV137" s="90" t="str">
        <f aca="false">IF(AT137="","",ROUND(AT137*(1-Справочники!$B$15),0))</f>
        <v/>
      </c>
      <c r="AW137" s="90" t="str">
        <f aca="false">IF(AT137="","",ROUND(AT137*(1-Справочники!$B$16),0))</f>
        <v/>
      </c>
      <c r="AX137" s="90" t="str">
        <f aca="false">IF(AT137="","",ROUND(AT137*(1-Справочники!$B$17),0))</f>
        <v/>
      </c>
      <c r="AY137" s="90" t="str">
        <f aca="false">IF(AT137="","",ROUND(AT137*(1-Справочники!$B$18),0))</f>
        <v/>
      </c>
      <c r="AZ137" s="90" t="str">
        <f aca="false">IF(AT137="","",ROUND(AT137*(1-Справочники!$B$19),0))</f>
        <v/>
      </c>
      <c r="BA137" s="81"/>
      <c r="BB137" s="81"/>
      <c r="BC137" s="81"/>
      <c r="BD137" s="81"/>
      <c r="BE137" s="91"/>
      <c r="BF137" s="81" t="s">
        <v>103</v>
      </c>
      <c r="BG137" s="89" t="n">
        <f aca="false" t="array" ref="BG137:BG137">IF(BF137="","",IFERROR(INDEX(Справочники!$B$4:$B$7,MATCH(BF137,Справочники!$A$4:$A$7,0)),""))</f>
        <v>68.5</v>
      </c>
      <c r="BH137" s="90" t="str">
        <f aca="false">IF(N(BN137)&gt;0,ROUND(SUMIF(ЗАКАЗЫ!$F$3:$F$500,$A137,ЗАКАЗЫ!$Y$3:$Y$500)/BN137,0),IF(OR(BE137="",BG137=""),"",ROUND(BE137*BG137*(1+Справочники!$B$10),0)))</f>
        <v/>
      </c>
      <c r="BI137" s="92" t="str">
        <f aca="false">IF(OR(AU137="",BH137="",AU137=0),"",(AU137-BH137)/AU137)</f>
        <v/>
      </c>
      <c r="BJ137" s="81"/>
      <c r="BK137" s="83"/>
      <c r="BL137" s="43" t="str">
        <f aca="false">IFERROR(INDEX(ЗАКАЗЫ!$N$3:$N$500,MATCH($A137,ЗАКАЗЫ!$F$3:$F$500,0)),"")</f>
        <v/>
      </c>
      <c r="BM137" s="8" t="str">
        <f aca="false">IF(BL137="","",IFERROR(VLOOKUP(BL137,'ТН ВЭД'!$A$4:$C$40,3,0),""))</f>
        <v/>
      </c>
      <c r="BN137" s="7" t="str">
        <f aca="false">IF(COUNTIF(ЗАКАЗЫ!$F$3:$F$500,$A137)=0,"",SUMIF(ЗАКАЗЫ!$F$3:$F$500,$A137,ЗАКАЗЫ!$J$3:$J$500))</f>
        <v/>
      </c>
      <c r="BO137" s="7" t="str">
        <f aca="false">IF(BN137="","",SUMIF(ЗАКАЗЫ!$F$3:$F$500,$A137,ЗАКАЗЫ!$AL$3:$AL$500))</f>
        <v/>
      </c>
      <c r="BP137" s="7" t="str">
        <f aca="false">IF(BN137="","",BN137-BO137)</f>
        <v/>
      </c>
      <c r="BQ137" s="55" t="str">
        <f aca="false">IF(BN137="","",IF(BO137&gt;=BN137,"На складе",IF(BO137&gt;0,"Частично","Ждём")))</f>
        <v/>
      </c>
      <c r="BR137" s="43"/>
      <c r="BS137" s="47" t="str">
        <f aca="false">IF(BN137="","",IF(_xlfn.MAXIFS(ЗАКАЗЫ!$AK$3:$AK$500,ЗАКАЗЫ!$F$3:$F$500,$A137)=0,"",_xlfn.MAXIFS(ЗАКАЗЫ!$AK$3:$AK$500,ЗАКАЗЫ!$F$3:$F$500,$A137)))</f>
        <v/>
      </c>
    </row>
    <row r="138" customFormat="false" ht="15.75" hidden="false" customHeight="true" outlineLevel="0" collapsed="false">
      <c r="A138" s="80" t="s">
        <v>2005</v>
      </c>
      <c r="B138" s="81"/>
      <c r="C138" s="81"/>
      <c r="D138" s="81"/>
      <c r="E138" s="83"/>
      <c r="F138" s="81"/>
      <c r="G138" s="83"/>
      <c r="H138" s="83"/>
      <c r="I138" s="84" t="str">
        <f aca="false">IF(E138="","",A138&amp;"_1.jpg")</f>
        <v/>
      </c>
      <c r="J138" s="84" t="str">
        <f aca="false">IF(E138="","",A138&amp;"_2.jpg; "&amp;A138&amp;"_3.jpg")</f>
        <v/>
      </c>
      <c r="K138" s="84" t="str">
        <f aca="false">IF(E138="","",A138&amp;"_schema.jpg")</f>
        <v/>
      </c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 t="s">
        <v>96</v>
      </c>
      <c r="W138" s="81"/>
      <c r="X138" s="81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6" t="str">
        <f aca="false">IF(SUM(Y138:AJ138)=0,"",SUM(Y138:AJ138))</f>
        <v/>
      </c>
      <c r="AL138" s="84" t="str">
        <f aca="false">MID(IF(N(Y138)&gt;0,", "&amp;Y$2,"")&amp;IF(N(Z138)&gt;0,", "&amp;Z$2,"")&amp;IF(N(AA138)&gt;0,", "&amp;AA$2,"")&amp;IF(N(AB138)&gt;0,", "&amp;AB$2,"")&amp;IF(N(AC138)&gt;0,", "&amp;AC$2,"")&amp;IF(N(AD138)&gt;0,", "&amp;AD$2,"")&amp;IF(N(AE138)&gt;0,", "&amp;AE$2,"")&amp;IF(N(AF138)&gt;0,", "&amp;AF$2,"")&amp;IF(N(AG138)&gt;0,", "&amp;AG$2,"")&amp;IF(N(AH138)&gt;0,", "&amp;AH$2,"")&amp;IF(N(AI138)&gt;0,", "&amp;AI$2,"")&amp;IF(N(AJ138)&gt;0,", "&amp;AJ$2,""),3,999)</f>
        <v/>
      </c>
      <c r="AM138" s="87" t="str">
        <f aca="false">IF(E138="","",MID(IF(N(Y138)&gt;0,", "&amp;A138&amp;"-"&amp;Y$2,"")&amp;IF(N(Z138)&gt;0,", "&amp;A138&amp;"-"&amp;Z$2,"")&amp;IF(N(AA138)&gt;0,", "&amp;A138&amp;"-"&amp;AA$2,"")&amp;IF(N(AB138)&gt;0,", "&amp;A138&amp;"-"&amp;AB$2,"")&amp;IF(N(AC138)&gt;0,", "&amp;A138&amp;"-"&amp;AC$2,"")&amp;IF(N(AD138)&gt;0,", "&amp;A138&amp;"-"&amp;AD$2,"")&amp;IF(N(AE138)&gt;0,", "&amp;A138&amp;"-"&amp;AE$2,"")&amp;IF(N(AF138)&gt;0,", "&amp;A138&amp;"-"&amp;AF$2,"")&amp;IF(N(AG138)&gt;0,", "&amp;A138&amp;"-"&amp;AG$2,"")&amp;IF(N(AH138)&gt;0,", "&amp;A138&amp;"-"&amp;AH$2,"")&amp;IF(N(AI138)&gt;0,", "&amp;A138&amp;"-"&amp;AI$2,"")&amp;IF(N(AJ138)&gt;0,", "&amp;A138&amp;"-"&amp;AJ$2,""),3,999))</f>
        <v/>
      </c>
      <c r="AN138" s="81"/>
      <c r="AO138" s="88"/>
      <c r="AP138" s="89" t="str">
        <f aca="false">IF(AO138="","",ROUND(AO138/(1+Справочники!$B$13),2))</f>
        <v/>
      </c>
      <c r="AQ138" s="90" t="str">
        <f aca="false" t="array" ref="AQ138:AQ138">IF(AP138="","",AP138*INDEX(Справочники!$B$4:$B$7,MATCH("RUB",Справочники!$A$4:$A$7,0)))</f>
        <v/>
      </c>
      <c r="AR138" s="90" t="str">
        <f aca="false">IF(AQ138="","",ROUND(AQ138*(1+Справочники!$B$12),0))</f>
        <v/>
      </c>
      <c r="AS138" s="90" t="str">
        <f aca="false">IF(AR138="","",ROUND(AR138*(1-Справочники!$B$11),0))</f>
        <v/>
      </c>
      <c r="AT138" s="88"/>
      <c r="AU138" s="90" t="str">
        <f aca="false">IF(AT138="","",ROUND(AT138/(1+Справочники!$B$12),0))</f>
        <v/>
      </c>
      <c r="AV138" s="90" t="str">
        <f aca="false">IF(AT138="","",ROUND(AT138*(1-Справочники!$B$15),0))</f>
        <v/>
      </c>
      <c r="AW138" s="90" t="str">
        <f aca="false">IF(AT138="","",ROUND(AT138*(1-Справочники!$B$16),0))</f>
        <v/>
      </c>
      <c r="AX138" s="90" t="str">
        <f aca="false">IF(AT138="","",ROUND(AT138*(1-Справочники!$B$17),0))</f>
        <v/>
      </c>
      <c r="AY138" s="90" t="str">
        <f aca="false">IF(AT138="","",ROUND(AT138*(1-Справочники!$B$18),0))</f>
        <v/>
      </c>
      <c r="AZ138" s="90" t="str">
        <f aca="false">IF(AT138="","",ROUND(AT138*(1-Справочники!$B$19),0))</f>
        <v/>
      </c>
      <c r="BA138" s="81"/>
      <c r="BB138" s="81"/>
      <c r="BC138" s="81"/>
      <c r="BD138" s="81"/>
      <c r="BE138" s="91"/>
      <c r="BF138" s="81" t="s">
        <v>103</v>
      </c>
      <c r="BG138" s="89" t="n">
        <f aca="false" t="array" ref="BG138:BG138">IF(BF138="","",IFERROR(INDEX(Справочники!$B$4:$B$7,MATCH(BF138,Справочники!$A$4:$A$7,0)),""))</f>
        <v>68.5</v>
      </c>
      <c r="BH138" s="90" t="str">
        <f aca="false">IF(N(BN138)&gt;0,ROUND(SUMIF(ЗАКАЗЫ!$F$3:$F$500,$A138,ЗАКАЗЫ!$Y$3:$Y$500)/BN138,0),IF(OR(BE138="",BG138=""),"",ROUND(BE138*BG138*(1+Справочники!$B$10),0)))</f>
        <v/>
      </c>
      <c r="BI138" s="92" t="str">
        <f aca="false">IF(OR(AU138="",BH138="",AU138=0),"",(AU138-BH138)/AU138)</f>
        <v/>
      </c>
      <c r="BJ138" s="81"/>
      <c r="BK138" s="83"/>
      <c r="BL138" s="43" t="str">
        <f aca="false">IFERROR(INDEX(ЗАКАЗЫ!$N$3:$N$500,MATCH($A138,ЗАКАЗЫ!$F$3:$F$500,0)),"")</f>
        <v/>
      </c>
      <c r="BM138" s="8" t="str">
        <f aca="false">IF(BL138="","",IFERROR(VLOOKUP(BL138,'ТН ВЭД'!$A$4:$C$40,3,0),""))</f>
        <v/>
      </c>
      <c r="BN138" s="7" t="str">
        <f aca="false">IF(COUNTIF(ЗАКАЗЫ!$F$3:$F$500,$A138)=0,"",SUMIF(ЗАКАЗЫ!$F$3:$F$500,$A138,ЗАКАЗЫ!$J$3:$J$500))</f>
        <v/>
      </c>
      <c r="BO138" s="7" t="str">
        <f aca="false">IF(BN138="","",SUMIF(ЗАКАЗЫ!$F$3:$F$500,$A138,ЗАКАЗЫ!$AL$3:$AL$500))</f>
        <v/>
      </c>
      <c r="BP138" s="7" t="str">
        <f aca="false">IF(BN138="","",BN138-BO138)</f>
        <v/>
      </c>
      <c r="BQ138" s="55" t="str">
        <f aca="false">IF(BN138="","",IF(BO138&gt;=BN138,"На складе",IF(BO138&gt;0,"Частично","Ждём")))</f>
        <v/>
      </c>
      <c r="BR138" s="43"/>
      <c r="BS138" s="47" t="str">
        <f aca="false">IF(BN138="","",IF(_xlfn.MAXIFS(ЗАКАЗЫ!$AK$3:$AK$500,ЗАКАЗЫ!$F$3:$F$500,$A138)=0,"",_xlfn.MAXIFS(ЗАКАЗЫ!$AK$3:$AK$500,ЗАКАЗЫ!$F$3:$F$500,$A138)))</f>
        <v/>
      </c>
    </row>
    <row r="139" customFormat="false" ht="15.75" hidden="false" customHeight="true" outlineLevel="0" collapsed="false">
      <c r="A139" s="80" t="s">
        <v>2006</v>
      </c>
      <c r="B139" s="81"/>
      <c r="C139" s="81"/>
      <c r="D139" s="81"/>
      <c r="E139" s="83"/>
      <c r="F139" s="81"/>
      <c r="G139" s="83"/>
      <c r="H139" s="83"/>
      <c r="I139" s="84" t="str">
        <f aca="false">IF(E139="","",A139&amp;"_1.jpg")</f>
        <v/>
      </c>
      <c r="J139" s="84" t="str">
        <f aca="false">IF(E139="","",A139&amp;"_2.jpg; "&amp;A139&amp;"_3.jpg")</f>
        <v/>
      </c>
      <c r="K139" s="84" t="str">
        <f aca="false">IF(E139="","",A139&amp;"_schema.jpg")</f>
        <v/>
      </c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 t="s">
        <v>96</v>
      </c>
      <c r="W139" s="81"/>
      <c r="X139" s="81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6" t="str">
        <f aca="false">IF(SUM(Y139:AJ139)=0,"",SUM(Y139:AJ139))</f>
        <v/>
      </c>
      <c r="AL139" s="84" t="str">
        <f aca="false">MID(IF(N(Y139)&gt;0,", "&amp;Y$2,"")&amp;IF(N(Z139)&gt;0,", "&amp;Z$2,"")&amp;IF(N(AA139)&gt;0,", "&amp;AA$2,"")&amp;IF(N(AB139)&gt;0,", "&amp;AB$2,"")&amp;IF(N(AC139)&gt;0,", "&amp;AC$2,"")&amp;IF(N(AD139)&gt;0,", "&amp;AD$2,"")&amp;IF(N(AE139)&gt;0,", "&amp;AE$2,"")&amp;IF(N(AF139)&gt;0,", "&amp;AF$2,"")&amp;IF(N(AG139)&gt;0,", "&amp;AG$2,"")&amp;IF(N(AH139)&gt;0,", "&amp;AH$2,"")&amp;IF(N(AI139)&gt;0,", "&amp;AI$2,"")&amp;IF(N(AJ139)&gt;0,", "&amp;AJ$2,""),3,999)</f>
        <v/>
      </c>
      <c r="AM139" s="87" t="str">
        <f aca="false">IF(E139="","",MID(IF(N(Y139)&gt;0,", "&amp;A139&amp;"-"&amp;Y$2,"")&amp;IF(N(Z139)&gt;0,", "&amp;A139&amp;"-"&amp;Z$2,"")&amp;IF(N(AA139)&gt;0,", "&amp;A139&amp;"-"&amp;AA$2,"")&amp;IF(N(AB139)&gt;0,", "&amp;A139&amp;"-"&amp;AB$2,"")&amp;IF(N(AC139)&gt;0,", "&amp;A139&amp;"-"&amp;AC$2,"")&amp;IF(N(AD139)&gt;0,", "&amp;A139&amp;"-"&amp;AD$2,"")&amp;IF(N(AE139)&gt;0,", "&amp;A139&amp;"-"&amp;AE$2,"")&amp;IF(N(AF139)&gt;0,", "&amp;A139&amp;"-"&amp;AF$2,"")&amp;IF(N(AG139)&gt;0,", "&amp;A139&amp;"-"&amp;AG$2,"")&amp;IF(N(AH139)&gt;0,", "&amp;A139&amp;"-"&amp;AH$2,"")&amp;IF(N(AI139)&gt;0,", "&amp;A139&amp;"-"&amp;AI$2,"")&amp;IF(N(AJ139)&gt;0,", "&amp;A139&amp;"-"&amp;AJ$2,""),3,999))</f>
        <v/>
      </c>
      <c r="AN139" s="81"/>
      <c r="AO139" s="88"/>
      <c r="AP139" s="89" t="str">
        <f aca="false">IF(AO139="","",ROUND(AO139/(1+Справочники!$B$13),2))</f>
        <v/>
      </c>
      <c r="AQ139" s="90" t="str">
        <f aca="false" t="array" ref="AQ139:AQ139">IF(AP139="","",AP139*INDEX(Справочники!$B$4:$B$7,MATCH("RUB",Справочники!$A$4:$A$7,0)))</f>
        <v/>
      </c>
      <c r="AR139" s="90" t="str">
        <f aca="false">IF(AQ139="","",ROUND(AQ139*(1+Справочники!$B$12),0))</f>
        <v/>
      </c>
      <c r="AS139" s="90" t="str">
        <f aca="false">IF(AR139="","",ROUND(AR139*(1-Справочники!$B$11),0))</f>
        <v/>
      </c>
      <c r="AT139" s="88"/>
      <c r="AU139" s="90" t="str">
        <f aca="false">IF(AT139="","",ROUND(AT139/(1+Справочники!$B$12),0))</f>
        <v/>
      </c>
      <c r="AV139" s="90" t="str">
        <f aca="false">IF(AT139="","",ROUND(AT139*(1-Справочники!$B$15),0))</f>
        <v/>
      </c>
      <c r="AW139" s="90" t="str">
        <f aca="false">IF(AT139="","",ROUND(AT139*(1-Справочники!$B$16),0))</f>
        <v/>
      </c>
      <c r="AX139" s="90" t="str">
        <f aca="false">IF(AT139="","",ROUND(AT139*(1-Справочники!$B$17),0))</f>
        <v/>
      </c>
      <c r="AY139" s="90" t="str">
        <f aca="false">IF(AT139="","",ROUND(AT139*(1-Справочники!$B$18),0))</f>
        <v/>
      </c>
      <c r="AZ139" s="90" t="str">
        <f aca="false">IF(AT139="","",ROUND(AT139*(1-Справочники!$B$19),0))</f>
        <v/>
      </c>
      <c r="BA139" s="81"/>
      <c r="BB139" s="81"/>
      <c r="BC139" s="81"/>
      <c r="BD139" s="81"/>
      <c r="BE139" s="91"/>
      <c r="BF139" s="81" t="s">
        <v>103</v>
      </c>
      <c r="BG139" s="89" t="n">
        <f aca="false" t="array" ref="BG139:BG139">IF(BF139="","",IFERROR(INDEX(Справочники!$B$4:$B$7,MATCH(BF139,Справочники!$A$4:$A$7,0)),""))</f>
        <v>68.5</v>
      </c>
      <c r="BH139" s="90" t="str">
        <f aca="false">IF(N(BN139)&gt;0,ROUND(SUMIF(ЗАКАЗЫ!$F$3:$F$500,$A139,ЗАКАЗЫ!$Y$3:$Y$500)/BN139,0),IF(OR(BE139="",BG139=""),"",ROUND(BE139*BG139*(1+Справочники!$B$10),0)))</f>
        <v/>
      </c>
      <c r="BI139" s="92" t="str">
        <f aca="false">IF(OR(AU139="",BH139="",AU139=0),"",(AU139-BH139)/AU139)</f>
        <v/>
      </c>
      <c r="BJ139" s="81"/>
      <c r="BK139" s="83"/>
      <c r="BL139" s="43" t="str">
        <f aca="false">IFERROR(INDEX(ЗАКАЗЫ!$N$3:$N$500,MATCH($A139,ЗАКАЗЫ!$F$3:$F$500,0)),"")</f>
        <v/>
      </c>
      <c r="BM139" s="8" t="str">
        <f aca="false">IF(BL139="","",IFERROR(VLOOKUP(BL139,'ТН ВЭД'!$A$4:$C$40,3,0),""))</f>
        <v/>
      </c>
      <c r="BN139" s="7" t="str">
        <f aca="false">IF(COUNTIF(ЗАКАЗЫ!$F$3:$F$500,$A139)=0,"",SUMIF(ЗАКАЗЫ!$F$3:$F$500,$A139,ЗАКАЗЫ!$J$3:$J$500))</f>
        <v/>
      </c>
      <c r="BO139" s="7" t="str">
        <f aca="false">IF(BN139="","",SUMIF(ЗАКАЗЫ!$F$3:$F$500,$A139,ЗАКАЗЫ!$AL$3:$AL$500))</f>
        <v/>
      </c>
      <c r="BP139" s="7" t="str">
        <f aca="false">IF(BN139="","",BN139-BO139)</f>
        <v/>
      </c>
      <c r="BQ139" s="55" t="str">
        <f aca="false">IF(BN139="","",IF(BO139&gt;=BN139,"На складе",IF(BO139&gt;0,"Частично","Ждём")))</f>
        <v/>
      </c>
      <c r="BR139" s="43"/>
      <c r="BS139" s="47" t="str">
        <f aca="false">IF(BN139="","",IF(_xlfn.MAXIFS(ЗАКАЗЫ!$AK$3:$AK$500,ЗАКАЗЫ!$F$3:$F$500,$A139)=0,"",_xlfn.MAXIFS(ЗАКАЗЫ!$AK$3:$AK$500,ЗАКАЗЫ!$F$3:$F$500,$A139)))</f>
        <v/>
      </c>
    </row>
    <row r="140" customFormat="false" ht="15.75" hidden="false" customHeight="true" outlineLevel="0" collapsed="false">
      <c r="A140" s="80" t="s">
        <v>2007</v>
      </c>
      <c r="B140" s="81"/>
      <c r="C140" s="81"/>
      <c r="D140" s="81"/>
      <c r="E140" s="83"/>
      <c r="F140" s="81"/>
      <c r="G140" s="83"/>
      <c r="H140" s="83"/>
      <c r="I140" s="84" t="str">
        <f aca="false">IF(E140="","",A140&amp;"_1.jpg")</f>
        <v/>
      </c>
      <c r="J140" s="84" t="str">
        <f aca="false">IF(E140="","",A140&amp;"_2.jpg; "&amp;A140&amp;"_3.jpg")</f>
        <v/>
      </c>
      <c r="K140" s="84" t="str">
        <f aca="false">IF(E140="","",A140&amp;"_schema.jpg")</f>
        <v/>
      </c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 t="s">
        <v>96</v>
      </c>
      <c r="W140" s="81"/>
      <c r="X140" s="81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6" t="str">
        <f aca="false">IF(SUM(Y140:AJ140)=0,"",SUM(Y140:AJ140))</f>
        <v/>
      </c>
      <c r="AL140" s="84" t="str">
        <f aca="false">MID(IF(N(Y140)&gt;0,", "&amp;Y$2,"")&amp;IF(N(Z140)&gt;0,", "&amp;Z$2,"")&amp;IF(N(AA140)&gt;0,", "&amp;AA$2,"")&amp;IF(N(AB140)&gt;0,", "&amp;AB$2,"")&amp;IF(N(AC140)&gt;0,", "&amp;AC$2,"")&amp;IF(N(AD140)&gt;0,", "&amp;AD$2,"")&amp;IF(N(AE140)&gt;0,", "&amp;AE$2,"")&amp;IF(N(AF140)&gt;0,", "&amp;AF$2,"")&amp;IF(N(AG140)&gt;0,", "&amp;AG$2,"")&amp;IF(N(AH140)&gt;0,", "&amp;AH$2,"")&amp;IF(N(AI140)&gt;0,", "&amp;AI$2,"")&amp;IF(N(AJ140)&gt;0,", "&amp;AJ$2,""),3,999)</f>
        <v/>
      </c>
      <c r="AM140" s="87" t="str">
        <f aca="false">IF(E140="","",MID(IF(N(Y140)&gt;0,", "&amp;A140&amp;"-"&amp;Y$2,"")&amp;IF(N(Z140)&gt;0,", "&amp;A140&amp;"-"&amp;Z$2,"")&amp;IF(N(AA140)&gt;0,", "&amp;A140&amp;"-"&amp;AA$2,"")&amp;IF(N(AB140)&gt;0,", "&amp;A140&amp;"-"&amp;AB$2,"")&amp;IF(N(AC140)&gt;0,", "&amp;A140&amp;"-"&amp;AC$2,"")&amp;IF(N(AD140)&gt;0,", "&amp;A140&amp;"-"&amp;AD$2,"")&amp;IF(N(AE140)&gt;0,", "&amp;A140&amp;"-"&amp;AE$2,"")&amp;IF(N(AF140)&gt;0,", "&amp;A140&amp;"-"&amp;AF$2,"")&amp;IF(N(AG140)&gt;0,", "&amp;A140&amp;"-"&amp;AG$2,"")&amp;IF(N(AH140)&gt;0,", "&amp;A140&amp;"-"&amp;AH$2,"")&amp;IF(N(AI140)&gt;0,", "&amp;A140&amp;"-"&amp;AI$2,"")&amp;IF(N(AJ140)&gt;0,", "&amp;A140&amp;"-"&amp;AJ$2,""),3,999))</f>
        <v/>
      </c>
      <c r="AN140" s="81"/>
      <c r="AO140" s="88"/>
      <c r="AP140" s="89" t="str">
        <f aca="false">IF(AO140="","",ROUND(AO140/(1+Справочники!$B$13),2))</f>
        <v/>
      </c>
      <c r="AQ140" s="90" t="str">
        <f aca="false" t="array" ref="AQ140:AQ140">IF(AP140="","",AP140*INDEX(Справочники!$B$4:$B$7,MATCH("RUB",Справочники!$A$4:$A$7,0)))</f>
        <v/>
      </c>
      <c r="AR140" s="90" t="str">
        <f aca="false">IF(AQ140="","",ROUND(AQ140*(1+Справочники!$B$12),0))</f>
        <v/>
      </c>
      <c r="AS140" s="90" t="str">
        <f aca="false">IF(AR140="","",ROUND(AR140*(1-Справочники!$B$11),0))</f>
        <v/>
      </c>
      <c r="AT140" s="88"/>
      <c r="AU140" s="90" t="str">
        <f aca="false">IF(AT140="","",ROUND(AT140/(1+Справочники!$B$12),0))</f>
        <v/>
      </c>
      <c r="AV140" s="90" t="str">
        <f aca="false">IF(AT140="","",ROUND(AT140*(1-Справочники!$B$15),0))</f>
        <v/>
      </c>
      <c r="AW140" s="90" t="str">
        <f aca="false">IF(AT140="","",ROUND(AT140*(1-Справочники!$B$16),0))</f>
        <v/>
      </c>
      <c r="AX140" s="90" t="str">
        <f aca="false">IF(AT140="","",ROUND(AT140*(1-Справочники!$B$17),0))</f>
        <v/>
      </c>
      <c r="AY140" s="90" t="str">
        <f aca="false">IF(AT140="","",ROUND(AT140*(1-Справочники!$B$18),0))</f>
        <v/>
      </c>
      <c r="AZ140" s="90" t="str">
        <f aca="false">IF(AT140="","",ROUND(AT140*(1-Справочники!$B$19),0))</f>
        <v/>
      </c>
      <c r="BA140" s="81"/>
      <c r="BB140" s="81"/>
      <c r="BC140" s="81"/>
      <c r="BD140" s="81"/>
      <c r="BE140" s="91"/>
      <c r="BF140" s="81" t="s">
        <v>103</v>
      </c>
      <c r="BG140" s="89" t="n">
        <f aca="false" t="array" ref="BG140:BG140">IF(BF140="","",IFERROR(INDEX(Справочники!$B$4:$B$7,MATCH(BF140,Справочники!$A$4:$A$7,0)),""))</f>
        <v>68.5</v>
      </c>
      <c r="BH140" s="90" t="str">
        <f aca="false">IF(N(BN140)&gt;0,ROUND(SUMIF(ЗАКАЗЫ!$F$3:$F$500,$A140,ЗАКАЗЫ!$Y$3:$Y$500)/BN140,0),IF(OR(BE140="",BG140=""),"",ROUND(BE140*BG140*(1+Справочники!$B$10),0)))</f>
        <v/>
      </c>
      <c r="BI140" s="92" t="str">
        <f aca="false">IF(OR(AU140="",BH140="",AU140=0),"",(AU140-BH140)/AU140)</f>
        <v/>
      </c>
      <c r="BJ140" s="81"/>
      <c r="BK140" s="83"/>
      <c r="BL140" s="43" t="str">
        <f aca="false">IFERROR(INDEX(ЗАКАЗЫ!$N$3:$N$500,MATCH($A140,ЗАКАЗЫ!$F$3:$F$500,0)),"")</f>
        <v/>
      </c>
      <c r="BM140" s="8" t="str">
        <f aca="false">IF(BL140="","",IFERROR(VLOOKUP(BL140,'ТН ВЭД'!$A$4:$C$40,3,0),""))</f>
        <v/>
      </c>
      <c r="BN140" s="7" t="str">
        <f aca="false">IF(COUNTIF(ЗАКАЗЫ!$F$3:$F$500,$A140)=0,"",SUMIF(ЗАКАЗЫ!$F$3:$F$500,$A140,ЗАКАЗЫ!$J$3:$J$500))</f>
        <v/>
      </c>
      <c r="BO140" s="7" t="str">
        <f aca="false">IF(BN140="","",SUMIF(ЗАКАЗЫ!$F$3:$F$500,$A140,ЗАКАЗЫ!$AL$3:$AL$500))</f>
        <v/>
      </c>
      <c r="BP140" s="7" t="str">
        <f aca="false">IF(BN140="","",BN140-BO140)</f>
        <v/>
      </c>
      <c r="BQ140" s="55" t="str">
        <f aca="false">IF(BN140="","",IF(BO140&gt;=BN140,"На складе",IF(BO140&gt;0,"Частично","Ждём")))</f>
        <v/>
      </c>
      <c r="BR140" s="43"/>
      <c r="BS140" s="47" t="str">
        <f aca="false">IF(BN140="","",IF(_xlfn.MAXIFS(ЗАКАЗЫ!$AK$3:$AK$500,ЗАКАЗЫ!$F$3:$F$500,$A140)=0,"",_xlfn.MAXIFS(ЗАКАЗЫ!$AK$3:$AK$500,ЗАКАЗЫ!$F$3:$F$500,$A140)))</f>
        <v/>
      </c>
    </row>
    <row r="141" customFormat="false" ht="15.75" hidden="false" customHeight="true" outlineLevel="0" collapsed="false">
      <c r="A141" s="80" t="s">
        <v>2008</v>
      </c>
      <c r="B141" s="81"/>
      <c r="C141" s="81"/>
      <c r="D141" s="81"/>
      <c r="E141" s="83"/>
      <c r="F141" s="81"/>
      <c r="G141" s="83"/>
      <c r="H141" s="83"/>
      <c r="I141" s="84" t="str">
        <f aca="false">IF(E141="","",A141&amp;"_1.jpg")</f>
        <v/>
      </c>
      <c r="J141" s="84" t="str">
        <f aca="false">IF(E141="","",A141&amp;"_2.jpg; "&amp;A141&amp;"_3.jpg")</f>
        <v/>
      </c>
      <c r="K141" s="84" t="str">
        <f aca="false">IF(E141="","",A141&amp;"_schema.jpg")</f>
        <v/>
      </c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 t="s">
        <v>96</v>
      </c>
      <c r="W141" s="81"/>
      <c r="X141" s="81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6" t="str">
        <f aca="false">IF(SUM(Y141:AJ141)=0,"",SUM(Y141:AJ141))</f>
        <v/>
      </c>
      <c r="AL141" s="84" t="str">
        <f aca="false">MID(IF(N(Y141)&gt;0,", "&amp;Y$2,"")&amp;IF(N(Z141)&gt;0,", "&amp;Z$2,"")&amp;IF(N(AA141)&gt;0,", "&amp;AA$2,"")&amp;IF(N(AB141)&gt;0,", "&amp;AB$2,"")&amp;IF(N(AC141)&gt;0,", "&amp;AC$2,"")&amp;IF(N(AD141)&gt;0,", "&amp;AD$2,"")&amp;IF(N(AE141)&gt;0,", "&amp;AE$2,"")&amp;IF(N(AF141)&gt;0,", "&amp;AF$2,"")&amp;IF(N(AG141)&gt;0,", "&amp;AG$2,"")&amp;IF(N(AH141)&gt;0,", "&amp;AH$2,"")&amp;IF(N(AI141)&gt;0,", "&amp;AI$2,"")&amp;IF(N(AJ141)&gt;0,", "&amp;AJ$2,""),3,999)</f>
        <v/>
      </c>
      <c r="AM141" s="87" t="str">
        <f aca="false">IF(E141="","",MID(IF(N(Y141)&gt;0,", "&amp;A141&amp;"-"&amp;Y$2,"")&amp;IF(N(Z141)&gt;0,", "&amp;A141&amp;"-"&amp;Z$2,"")&amp;IF(N(AA141)&gt;0,", "&amp;A141&amp;"-"&amp;AA$2,"")&amp;IF(N(AB141)&gt;0,", "&amp;A141&amp;"-"&amp;AB$2,"")&amp;IF(N(AC141)&gt;0,", "&amp;A141&amp;"-"&amp;AC$2,"")&amp;IF(N(AD141)&gt;0,", "&amp;A141&amp;"-"&amp;AD$2,"")&amp;IF(N(AE141)&gt;0,", "&amp;A141&amp;"-"&amp;AE$2,"")&amp;IF(N(AF141)&gt;0,", "&amp;A141&amp;"-"&amp;AF$2,"")&amp;IF(N(AG141)&gt;0,", "&amp;A141&amp;"-"&amp;AG$2,"")&amp;IF(N(AH141)&gt;0,", "&amp;A141&amp;"-"&amp;AH$2,"")&amp;IF(N(AI141)&gt;0,", "&amp;A141&amp;"-"&amp;AI$2,"")&amp;IF(N(AJ141)&gt;0,", "&amp;A141&amp;"-"&amp;AJ$2,""),3,999))</f>
        <v/>
      </c>
      <c r="AN141" s="81"/>
      <c r="AO141" s="88"/>
      <c r="AP141" s="89" t="str">
        <f aca="false">IF(AO141="","",ROUND(AO141/(1+Справочники!$B$13),2))</f>
        <v/>
      </c>
      <c r="AQ141" s="90" t="str">
        <f aca="false" t="array" ref="AQ141:AQ141">IF(AP141="","",AP141*INDEX(Справочники!$B$4:$B$7,MATCH("RUB",Справочники!$A$4:$A$7,0)))</f>
        <v/>
      </c>
      <c r="AR141" s="90" t="str">
        <f aca="false">IF(AQ141="","",ROUND(AQ141*(1+Справочники!$B$12),0))</f>
        <v/>
      </c>
      <c r="AS141" s="90" t="str">
        <f aca="false">IF(AR141="","",ROUND(AR141*(1-Справочники!$B$11),0))</f>
        <v/>
      </c>
      <c r="AT141" s="88"/>
      <c r="AU141" s="90" t="str">
        <f aca="false">IF(AT141="","",ROUND(AT141/(1+Справочники!$B$12),0))</f>
        <v/>
      </c>
      <c r="AV141" s="90" t="str">
        <f aca="false">IF(AT141="","",ROUND(AT141*(1-Справочники!$B$15),0))</f>
        <v/>
      </c>
      <c r="AW141" s="90" t="str">
        <f aca="false">IF(AT141="","",ROUND(AT141*(1-Справочники!$B$16),0))</f>
        <v/>
      </c>
      <c r="AX141" s="90" t="str">
        <f aca="false">IF(AT141="","",ROUND(AT141*(1-Справочники!$B$17),0))</f>
        <v/>
      </c>
      <c r="AY141" s="90" t="str">
        <f aca="false">IF(AT141="","",ROUND(AT141*(1-Справочники!$B$18),0))</f>
        <v/>
      </c>
      <c r="AZ141" s="90" t="str">
        <f aca="false">IF(AT141="","",ROUND(AT141*(1-Справочники!$B$19),0))</f>
        <v/>
      </c>
      <c r="BA141" s="81"/>
      <c r="BB141" s="81"/>
      <c r="BC141" s="81"/>
      <c r="BD141" s="81"/>
      <c r="BE141" s="91"/>
      <c r="BF141" s="81" t="s">
        <v>103</v>
      </c>
      <c r="BG141" s="89" t="n">
        <f aca="false" t="array" ref="BG141:BG141">IF(BF141="","",IFERROR(INDEX(Справочники!$B$4:$B$7,MATCH(BF141,Справочники!$A$4:$A$7,0)),""))</f>
        <v>68.5</v>
      </c>
      <c r="BH141" s="90" t="str">
        <f aca="false">IF(N(BN141)&gt;0,ROUND(SUMIF(ЗАКАЗЫ!$F$3:$F$500,$A141,ЗАКАЗЫ!$Y$3:$Y$500)/BN141,0),IF(OR(BE141="",BG141=""),"",ROUND(BE141*BG141*(1+Справочники!$B$10),0)))</f>
        <v/>
      </c>
      <c r="BI141" s="92" t="str">
        <f aca="false">IF(OR(AU141="",BH141="",AU141=0),"",(AU141-BH141)/AU141)</f>
        <v/>
      </c>
      <c r="BJ141" s="81"/>
      <c r="BK141" s="83"/>
      <c r="BL141" s="43" t="str">
        <f aca="false">IFERROR(INDEX(ЗАКАЗЫ!$N$3:$N$500,MATCH($A141,ЗАКАЗЫ!$F$3:$F$500,0)),"")</f>
        <v/>
      </c>
      <c r="BM141" s="8" t="str">
        <f aca="false">IF(BL141="","",IFERROR(VLOOKUP(BL141,'ТН ВЭД'!$A$4:$C$40,3,0),""))</f>
        <v/>
      </c>
      <c r="BN141" s="7" t="str">
        <f aca="false">IF(COUNTIF(ЗАКАЗЫ!$F$3:$F$500,$A141)=0,"",SUMIF(ЗАКАЗЫ!$F$3:$F$500,$A141,ЗАКАЗЫ!$J$3:$J$500))</f>
        <v/>
      </c>
      <c r="BO141" s="7" t="str">
        <f aca="false">IF(BN141="","",SUMIF(ЗАКАЗЫ!$F$3:$F$500,$A141,ЗАКАЗЫ!$AL$3:$AL$500))</f>
        <v/>
      </c>
      <c r="BP141" s="7" t="str">
        <f aca="false">IF(BN141="","",BN141-BO141)</f>
        <v/>
      </c>
      <c r="BQ141" s="55" t="str">
        <f aca="false">IF(BN141="","",IF(BO141&gt;=BN141,"На складе",IF(BO141&gt;0,"Частично","Ждём")))</f>
        <v/>
      </c>
      <c r="BR141" s="43"/>
      <c r="BS141" s="47" t="str">
        <f aca="false">IF(BN141="","",IF(_xlfn.MAXIFS(ЗАКАЗЫ!$AK$3:$AK$500,ЗАКАЗЫ!$F$3:$F$500,$A141)=0,"",_xlfn.MAXIFS(ЗАКАЗЫ!$AK$3:$AK$500,ЗАКАЗЫ!$F$3:$F$500,$A141)))</f>
        <v/>
      </c>
    </row>
    <row r="142" customFormat="false" ht="15.75" hidden="false" customHeight="true" outlineLevel="0" collapsed="false">
      <c r="A142" s="80" t="s">
        <v>2009</v>
      </c>
      <c r="B142" s="81"/>
      <c r="C142" s="81"/>
      <c r="D142" s="81"/>
      <c r="E142" s="83"/>
      <c r="F142" s="81"/>
      <c r="G142" s="83"/>
      <c r="H142" s="83"/>
      <c r="I142" s="84" t="str">
        <f aca="false">IF(E142="","",A142&amp;"_1.jpg")</f>
        <v/>
      </c>
      <c r="J142" s="84" t="str">
        <f aca="false">IF(E142="","",A142&amp;"_2.jpg; "&amp;A142&amp;"_3.jpg")</f>
        <v/>
      </c>
      <c r="K142" s="84" t="str">
        <f aca="false">IF(E142="","",A142&amp;"_schema.jpg")</f>
        <v/>
      </c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 t="s">
        <v>96</v>
      </c>
      <c r="W142" s="81"/>
      <c r="X142" s="81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6" t="str">
        <f aca="false">IF(SUM(Y142:AJ142)=0,"",SUM(Y142:AJ142))</f>
        <v/>
      </c>
      <c r="AL142" s="84" t="str">
        <f aca="false">MID(IF(N(Y142)&gt;0,", "&amp;Y$2,"")&amp;IF(N(Z142)&gt;0,", "&amp;Z$2,"")&amp;IF(N(AA142)&gt;0,", "&amp;AA$2,"")&amp;IF(N(AB142)&gt;0,", "&amp;AB$2,"")&amp;IF(N(AC142)&gt;0,", "&amp;AC$2,"")&amp;IF(N(AD142)&gt;0,", "&amp;AD$2,"")&amp;IF(N(AE142)&gt;0,", "&amp;AE$2,"")&amp;IF(N(AF142)&gt;0,", "&amp;AF$2,"")&amp;IF(N(AG142)&gt;0,", "&amp;AG$2,"")&amp;IF(N(AH142)&gt;0,", "&amp;AH$2,"")&amp;IF(N(AI142)&gt;0,", "&amp;AI$2,"")&amp;IF(N(AJ142)&gt;0,", "&amp;AJ$2,""),3,999)</f>
        <v/>
      </c>
      <c r="AM142" s="87" t="str">
        <f aca="false">IF(E142="","",MID(IF(N(Y142)&gt;0,", "&amp;A142&amp;"-"&amp;Y$2,"")&amp;IF(N(Z142)&gt;0,", "&amp;A142&amp;"-"&amp;Z$2,"")&amp;IF(N(AA142)&gt;0,", "&amp;A142&amp;"-"&amp;AA$2,"")&amp;IF(N(AB142)&gt;0,", "&amp;A142&amp;"-"&amp;AB$2,"")&amp;IF(N(AC142)&gt;0,", "&amp;A142&amp;"-"&amp;AC$2,"")&amp;IF(N(AD142)&gt;0,", "&amp;A142&amp;"-"&amp;AD$2,"")&amp;IF(N(AE142)&gt;0,", "&amp;A142&amp;"-"&amp;AE$2,"")&amp;IF(N(AF142)&gt;0,", "&amp;A142&amp;"-"&amp;AF$2,"")&amp;IF(N(AG142)&gt;0,", "&amp;A142&amp;"-"&amp;AG$2,"")&amp;IF(N(AH142)&gt;0,", "&amp;A142&amp;"-"&amp;AH$2,"")&amp;IF(N(AI142)&gt;0,", "&amp;A142&amp;"-"&amp;AI$2,"")&amp;IF(N(AJ142)&gt;0,", "&amp;A142&amp;"-"&amp;AJ$2,""),3,999))</f>
        <v/>
      </c>
      <c r="AN142" s="81"/>
      <c r="AO142" s="88"/>
      <c r="AP142" s="89" t="str">
        <f aca="false">IF(AO142="","",ROUND(AO142/(1+Справочники!$B$13),2))</f>
        <v/>
      </c>
      <c r="AQ142" s="90" t="str">
        <f aca="false" t="array" ref="AQ142:AQ142">IF(AP142="","",AP142*INDEX(Справочники!$B$4:$B$7,MATCH("RUB",Справочники!$A$4:$A$7,0)))</f>
        <v/>
      </c>
      <c r="AR142" s="90" t="str">
        <f aca="false">IF(AQ142="","",ROUND(AQ142*(1+Справочники!$B$12),0))</f>
        <v/>
      </c>
      <c r="AS142" s="90" t="str">
        <f aca="false">IF(AR142="","",ROUND(AR142*(1-Справочники!$B$11),0))</f>
        <v/>
      </c>
      <c r="AT142" s="88"/>
      <c r="AU142" s="90" t="str">
        <f aca="false">IF(AT142="","",ROUND(AT142/(1+Справочники!$B$12),0))</f>
        <v/>
      </c>
      <c r="AV142" s="90" t="str">
        <f aca="false">IF(AT142="","",ROUND(AT142*(1-Справочники!$B$15),0))</f>
        <v/>
      </c>
      <c r="AW142" s="90" t="str">
        <f aca="false">IF(AT142="","",ROUND(AT142*(1-Справочники!$B$16),0))</f>
        <v/>
      </c>
      <c r="AX142" s="90" t="str">
        <f aca="false">IF(AT142="","",ROUND(AT142*(1-Справочники!$B$17),0))</f>
        <v/>
      </c>
      <c r="AY142" s="90" t="str">
        <f aca="false">IF(AT142="","",ROUND(AT142*(1-Справочники!$B$18),0))</f>
        <v/>
      </c>
      <c r="AZ142" s="90" t="str">
        <f aca="false">IF(AT142="","",ROUND(AT142*(1-Справочники!$B$19),0))</f>
        <v/>
      </c>
      <c r="BA142" s="81"/>
      <c r="BB142" s="81"/>
      <c r="BC142" s="81"/>
      <c r="BD142" s="81"/>
      <c r="BE142" s="91"/>
      <c r="BF142" s="81" t="s">
        <v>103</v>
      </c>
      <c r="BG142" s="89" t="n">
        <f aca="false" t="array" ref="BG142:BG142">IF(BF142="","",IFERROR(INDEX(Справочники!$B$4:$B$7,MATCH(BF142,Справочники!$A$4:$A$7,0)),""))</f>
        <v>68.5</v>
      </c>
      <c r="BH142" s="90" t="str">
        <f aca="false">IF(N(BN142)&gt;0,ROUND(SUMIF(ЗАКАЗЫ!$F$3:$F$500,$A142,ЗАКАЗЫ!$Y$3:$Y$500)/BN142,0),IF(OR(BE142="",BG142=""),"",ROUND(BE142*BG142*(1+Справочники!$B$10),0)))</f>
        <v/>
      </c>
      <c r="BI142" s="92" t="str">
        <f aca="false">IF(OR(AU142="",BH142="",AU142=0),"",(AU142-BH142)/AU142)</f>
        <v/>
      </c>
      <c r="BJ142" s="81"/>
      <c r="BK142" s="83"/>
      <c r="BL142" s="43" t="str">
        <f aca="false">IFERROR(INDEX(ЗАКАЗЫ!$N$3:$N$500,MATCH($A142,ЗАКАЗЫ!$F$3:$F$500,0)),"")</f>
        <v/>
      </c>
      <c r="BM142" s="8" t="str">
        <f aca="false">IF(BL142="","",IFERROR(VLOOKUP(BL142,'ТН ВЭД'!$A$4:$C$40,3,0),""))</f>
        <v/>
      </c>
      <c r="BN142" s="7" t="str">
        <f aca="false">IF(COUNTIF(ЗАКАЗЫ!$F$3:$F$500,$A142)=0,"",SUMIF(ЗАКАЗЫ!$F$3:$F$500,$A142,ЗАКАЗЫ!$J$3:$J$500))</f>
        <v/>
      </c>
      <c r="BO142" s="7" t="str">
        <f aca="false">IF(BN142="","",SUMIF(ЗАКАЗЫ!$F$3:$F$500,$A142,ЗАКАЗЫ!$AL$3:$AL$500))</f>
        <v/>
      </c>
      <c r="BP142" s="7" t="str">
        <f aca="false">IF(BN142="","",BN142-BO142)</f>
        <v/>
      </c>
      <c r="BQ142" s="55" t="str">
        <f aca="false">IF(BN142="","",IF(BO142&gt;=BN142,"На складе",IF(BO142&gt;0,"Частично","Ждём")))</f>
        <v/>
      </c>
      <c r="BR142" s="43"/>
      <c r="BS142" s="47" t="str">
        <f aca="false">IF(BN142="","",IF(_xlfn.MAXIFS(ЗАКАЗЫ!$AK$3:$AK$500,ЗАКАЗЫ!$F$3:$F$500,$A142)=0,"",_xlfn.MAXIFS(ЗАКАЗЫ!$AK$3:$AK$500,ЗАКАЗЫ!$F$3:$F$500,$A142)))</f>
        <v/>
      </c>
    </row>
    <row r="143" customFormat="false" ht="15.75" hidden="false" customHeight="true" outlineLevel="0" collapsed="false">
      <c r="A143" s="80" t="s">
        <v>2010</v>
      </c>
      <c r="B143" s="81"/>
      <c r="C143" s="81"/>
      <c r="D143" s="81"/>
      <c r="E143" s="83"/>
      <c r="F143" s="81"/>
      <c r="G143" s="83"/>
      <c r="H143" s="83"/>
      <c r="I143" s="84" t="str">
        <f aca="false">IF(E143="","",A143&amp;"_1.jpg")</f>
        <v/>
      </c>
      <c r="J143" s="84" t="str">
        <f aca="false">IF(E143="","",A143&amp;"_2.jpg; "&amp;A143&amp;"_3.jpg")</f>
        <v/>
      </c>
      <c r="K143" s="84" t="str">
        <f aca="false">IF(E143="","",A143&amp;"_schema.jpg")</f>
        <v/>
      </c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 t="s">
        <v>96</v>
      </c>
      <c r="W143" s="81"/>
      <c r="X143" s="81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6" t="str">
        <f aca="false">IF(SUM(Y143:AJ143)=0,"",SUM(Y143:AJ143))</f>
        <v/>
      </c>
      <c r="AL143" s="84" t="str">
        <f aca="false">MID(IF(N(Y143)&gt;0,", "&amp;Y$2,"")&amp;IF(N(Z143)&gt;0,", "&amp;Z$2,"")&amp;IF(N(AA143)&gt;0,", "&amp;AA$2,"")&amp;IF(N(AB143)&gt;0,", "&amp;AB$2,"")&amp;IF(N(AC143)&gt;0,", "&amp;AC$2,"")&amp;IF(N(AD143)&gt;0,", "&amp;AD$2,"")&amp;IF(N(AE143)&gt;0,", "&amp;AE$2,"")&amp;IF(N(AF143)&gt;0,", "&amp;AF$2,"")&amp;IF(N(AG143)&gt;0,", "&amp;AG$2,"")&amp;IF(N(AH143)&gt;0,", "&amp;AH$2,"")&amp;IF(N(AI143)&gt;0,", "&amp;AI$2,"")&amp;IF(N(AJ143)&gt;0,", "&amp;AJ$2,""),3,999)</f>
        <v/>
      </c>
      <c r="AM143" s="87" t="str">
        <f aca="false">IF(E143="","",MID(IF(N(Y143)&gt;0,", "&amp;A143&amp;"-"&amp;Y$2,"")&amp;IF(N(Z143)&gt;0,", "&amp;A143&amp;"-"&amp;Z$2,"")&amp;IF(N(AA143)&gt;0,", "&amp;A143&amp;"-"&amp;AA$2,"")&amp;IF(N(AB143)&gt;0,", "&amp;A143&amp;"-"&amp;AB$2,"")&amp;IF(N(AC143)&gt;0,", "&amp;A143&amp;"-"&amp;AC$2,"")&amp;IF(N(AD143)&gt;0,", "&amp;A143&amp;"-"&amp;AD$2,"")&amp;IF(N(AE143)&gt;0,", "&amp;A143&amp;"-"&amp;AE$2,"")&amp;IF(N(AF143)&gt;0,", "&amp;A143&amp;"-"&amp;AF$2,"")&amp;IF(N(AG143)&gt;0,", "&amp;A143&amp;"-"&amp;AG$2,"")&amp;IF(N(AH143)&gt;0,", "&amp;A143&amp;"-"&amp;AH$2,"")&amp;IF(N(AI143)&gt;0,", "&amp;A143&amp;"-"&amp;AI$2,"")&amp;IF(N(AJ143)&gt;0,", "&amp;A143&amp;"-"&amp;AJ$2,""),3,999))</f>
        <v/>
      </c>
      <c r="AN143" s="81"/>
      <c r="AO143" s="88"/>
      <c r="AP143" s="89" t="str">
        <f aca="false">IF(AO143="","",ROUND(AO143/(1+Справочники!$B$13),2))</f>
        <v/>
      </c>
      <c r="AQ143" s="90" t="str">
        <f aca="false" t="array" ref="AQ143:AQ143">IF(AP143="","",AP143*INDEX(Справочники!$B$4:$B$7,MATCH("RUB",Справочники!$A$4:$A$7,0)))</f>
        <v/>
      </c>
      <c r="AR143" s="90" t="str">
        <f aca="false">IF(AQ143="","",ROUND(AQ143*(1+Справочники!$B$12),0))</f>
        <v/>
      </c>
      <c r="AS143" s="90" t="str">
        <f aca="false">IF(AR143="","",ROUND(AR143*(1-Справочники!$B$11),0))</f>
        <v/>
      </c>
      <c r="AT143" s="88"/>
      <c r="AU143" s="90" t="str">
        <f aca="false">IF(AT143="","",ROUND(AT143/(1+Справочники!$B$12),0))</f>
        <v/>
      </c>
      <c r="AV143" s="90" t="str">
        <f aca="false">IF(AT143="","",ROUND(AT143*(1-Справочники!$B$15),0))</f>
        <v/>
      </c>
      <c r="AW143" s="90" t="str">
        <f aca="false">IF(AT143="","",ROUND(AT143*(1-Справочники!$B$16),0))</f>
        <v/>
      </c>
      <c r="AX143" s="90" t="str">
        <f aca="false">IF(AT143="","",ROUND(AT143*(1-Справочники!$B$17),0))</f>
        <v/>
      </c>
      <c r="AY143" s="90" t="str">
        <f aca="false">IF(AT143="","",ROUND(AT143*(1-Справочники!$B$18),0))</f>
        <v/>
      </c>
      <c r="AZ143" s="90" t="str">
        <f aca="false">IF(AT143="","",ROUND(AT143*(1-Справочники!$B$19),0))</f>
        <v/>
      </c>
      <c r="BA143" s="81"/>
      <c r="BB143" s="81"/>
      <c r="BC143" s="81"/>
      <c r="BD143" s="81"/>
      <c r="BE143" s="91"/>
      <c r="BF143" s="81" t="s">
        <v>103</v>
      </c>
      <c r="BG143" s="89" t="n">
        <f aca="false" t="array" ref="BG143:BG143">IF(BF143="","",IFERROR(INDEX(Справочники!$B$4:$B$7,MATCH(BF143,Справочники!$A$4:$A$7,0)),""))</f>
        <v>68.5</v>
      </c>
      <c r="BH143" s="90" t="str">
        <f aca="false">IF(N(BN143)&gt;0,ROUND(SUMIF(ЗАКАЗЫ!$F$3:$F$500,$A143,ЗАКАЗЫ!$Y$3:$Y$500)/BN143,0),IF(OR(BE143="",BG143=""),"",ROUND(BE143*BG143*(1+Справочники!$B$10),0)))</f>
        <v/>
      </c>
      <c r="BI143" s="92" t="str">
        <f aca="false">IF(OR(AU143="",BH143="",AU143=0),"",(AU143-BH143)/AU143)</f>
        <v/>
      </c>
      <c r="BJ143" s="81"/>
      <c r="BK143" s="83"/>
      <c r="BL143" s="43" t="str">
        <f aca="false">IFERROR(INDEX(ЗАКАЗЫ!$N$3:$N$500,MATCH($A143,ЗАКАЗЫ!$F$3:$F$500,0)),"")</f>
        <v/>
      </c>
      <c r="BM143" s="8" t="str">
        <f aca="false">IF(BL143="","",IFERROR(VLOOKUP(BL143,'ТН ВЭД'!$A$4:$C$40,3,0),""))</f>
        <v/>
      </c>
      <c r="BN143" s="7" t="str">
        <f aca="false">IF(COUNTIF(ЗАКАЗЫ!$F$3:$F$500,$A143)=0,"",SUMIF(ЗАКАЗЫ!$F$3:$F$500,$A143,ЗАКАЗЫ!$J$3:$J$500))</f>
        <v/>
      </c>
      <c r="BO143" s="7" t="str">
        <f aca="false">IF(BN143="","",SUMIF(ЗАКАЗЫ!$F$3:$F$500,$A143,ЗАКАЗЫ!$AL$3:$AL$500))</f>
        <v/>
      </c>
      <c r="BP143" s="7" t="str">
        <f aca="false">IF(BN143="","",BN143-BO143)</f>
        <v/>
      </c>
      <c r="BQ143" s="55" t="str">
        <f aca="false">IF(BN143="","",IF(BO143&gt;=BN143,"На складе",IF(BO143&gt;0,"Частично","Ждём")))</f>
        <v/>
      </c>
      <c r="BR143" s="43"/>
      <c r="BS143" s="47" t="str">
        <f aca="false">IF(BN143="","",IF(_xlfn.MAXIFS(ЗАКАЗЫ!$AK$3:$AK$500,ЗАКАЗЫ!$F$3:$F$500,$A143)=0,"",_xlfn.MAXIFS(ЗАКАЗЫ!$AK$3:$AK$500,ЗАКАЗЫ!$F$3:$F$500,$A143)))</f>
        <v/>
      </c>
    </row>
    <row r="144" customFormat="false" ht="15.75" hidden="false" customHeight="true" outlineLevel="0" collapsed="false">
      <c r="A144" s="80" t="s">
        <v>2011</v>
      </c>
      <c r="B144" s="81"/>
      <c r="C144" s="81"/>
      <c r="D144" s="81"/>
      <c r="E144" s="83"/>
      <c r="F144" s="81"/>
      <c r="G144" s="83"/>
      <c r="H144" s="83"/>
      <c r="I144" s="84" t="str">
        <f aca="false">IF(E144="","",A144&amp;"_1.jpg")</f>
        <v/>
      </c>
      <c r="J144" s="84" t="str">
        <f aca="false">IF(E144="","",A144&amp;"_2.jpg; "&amp;A144&amp;"_3.jpg")</f>
        <v/>
      </c>
      <c r="K144" s="84" t="str">
        <f aca="false">IF(E144="","",A144&amp;"_schema.jpg")</f>
        <v/>
      </c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 t="s">
        <v>96</v>
      </c>
      <c r="W144" s="81"/>
      <c r="X144" s="81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6" t="str">
        <f aca="false">IF(SUM(Y144:AJ144)=0,"",SUM(Y144:AJ144))</f>
        <v/>
      </c>
      <c r="AL144" s="84" t="str">
        <f aca="false">MID(IF(N(Y144)&gt;0,", "&amp;Y$2,"")&amp;IF(N(Z144)&gt;0,", "&amp;Z$2,"")&amp;IF(N(AA144)&gt;0,", "&amp;AA$2,"")&amp;IF(N(AB144)&gt;0,", "&amp;AB$2,"")&amp;IF(N(AC144)&gt;0,", "&amp;AC$2,"")&amp;IF(N(AD144)&gt;0,", "&amp;AD$2,"")&amp;IF(N(AE144)&gt;0,", "&amp;AE$2,"")&amp;IF(N(AF144)&gt;0,", "&amp;AF$2,"")&amp;IF(N(AG144)&gt;0,", "&amp;AG$2,"")&amp;IF(N(AH144)&gt;0,", "&amp;AH$2,"")&amp;IF(N(AI144)&gt;0,", "&amp;AI$2,"")&amp;IF(N(AJ144)&gt;0,", "&amp;AJ$2,""),3,999)</f>
        <v/>
      </c>
      <c r="AM144" s="87" t="str">
        <f aca="false">IF(E144="","",MID(IF(N(Y144)&gt;0,", "&amp;A144&amp;"-"&amp;Y$2,"")&amp;IF(N(Z144)&gt;0,", "&amp;A144&amp;"-"&amp;Z$2,"")&amp;IF(N(AA144)&gt;0,", "&amp;A144&amp;"-"&amp;AA$2,"")&amp;IF(N(AB144)&gt;0,", "&amp;A144&amp;"-"&amp;AB$2,"")&amp;IF(N(AC144)&gt;0,", "&amp;A144&amp;"-"&amp;AC$2,"")&amp;IF(N(AD144)&gt;0,", "&amp;A144&amp;"-"&amp;AD$2,"")&amp;IF(N(AE144)&gt;0,", "&amp;A144&amp;"-"&amp;AE$2,"")&amp;IF(N(AF144)&gt;0,", "&amp;A144&amp;"-"&amp;AF$2,"")&amp;IF(N(AG144)&gt;0,", "&amp;A144&amp;"-"&amp;AG$2,"")&amp;IF(N(AH144)&gt;0,", "&amp;A144&amp;"-"&amp;AH$2,"")&amp;IF(N(AI144)&gt;0,", "&amp;A144&amp;"-"&amp;AI$2,"")&amp;IF(N(AJ144)&gt;0,", "&amp;A144&amp;"-"&amp;AJ$2,""),3,999))</f>
        <v/>
      </c>
      <c r="AN144" s="81"/>
      <c r="AO144" s="88"/>
      <c r="AP144" s="89" t="str">
        <f aca="false">IF(AO144="","",ROUND(AO144/(1+Справочники!$B$13),2))</f>
        <v/>
      </c>
      <c r="AQ144" s="90" t="str">
        <f aca="false" t="array" ref="AQ144:AQ144">IF(AP144="","",AP144*INDEX(Справочники!$B$4:$B$7,MATCH("RUB",Справочники!$A$4:$A$7,0)))</f>
        <v/>
      </c>
      <c r="AR144" s="90" t="str">
        <f aca="false">IF(AQ144="","",ROUND(AQ144*(1+Справочники!$B$12),0))</f>
        <v/>
      </c>
      <c r="AS144" s="90" t="str">
        <f aca="false">IF(AR144="","",ROUND(AR144*(1-Справочники!$B$11),0))</f>
        <v/>
      </c>
      <c r="AT144" s="88"/>
      <c r="AU144" s="90" t="str">
        <f aca="false">IF(AT144="","",ROUND(AT144/(1+Справочники!$B$12),0))</f>
        <v/>
      </c>
      <c r="AV144" s="90" t="str">
        <f aca="false">IF(AT144="","",ROUND(AT144*(1-Справочники!$B$15),0))</f>
        <v/>
      </c>
      <c r="AW144" s="90" t="str">
        <f aca="false">IF(AT144="","",ROUND(AT144*(1-Справочники!$B$16),0))</f>
        <v/>
      </c>
      <c r="AX144" s="90" t="str">
        <f aca="false">IF(AT144="","",ROUND(AT144*(1-Справочники!$B$17),0))</f>
        <v/>
      </c>
      <c r="AY144" s="90" t="str">
        <f aca="false">IF(AT144="","",ROUND(AT144*(1-Справочники!$B$18),0))</f>
        <v/>
      </c>
      <c r="AZ144" s="90" t="str">
        <f aca="false">IF(AT144="","",ROUND(AT144*(1-Справочники!$B$19),0))</f>
        <v/>
      </c>
      <c r="BA144" s="81"/>
      <c r="BB144" s="81"/>
      <c r="BC144" s="81"/>
      <c r="BD144" s="81"/>
      <c r="BE144" s="91"/>
      <c r="BF144" s="81" t="s">
        <v>103</v>
      </c>
      <c r="BG144" s="89" t="n">
        <f aca="false" t="array" ref="BG144:BG144">IF(BF144="","",IFERROR(INDEX(Справочники!$B$4:$B$7,MATCH(BF144,Справочники!$A$4:$A$7,0)),""))</f>
        <v>68.5</v>
      </c>
      <c r="BH144" s="90" t="str">
        <f aca="false">IF(N(BN144)&gt;0,ROUND(SUMIF(ЗАКАЗЫ!$F$3:$F$500,$A144,ЗАКАЗЫ!$Y$3:$Y$500)/BN144,0),IF(OR(BE144="",BG144=""),"",ROUND(BE144*BG144*(1+Справочники!$B$10),0)))</f>
        <v/>
      </c>
      <c r="BI144" s="92" t="str">
        <f aca="false">IF(OR(AU144="",BH144="",AU144=0),"",(AU144-BH144)/AU144)</f>
        <v/>
      </c>
      <c r="BJ144" s="81"/>
      <c r="BK144" s="83"/>
      <c r="BL144" s="43" t="str">
        <f aca="false">IFERROR(INDEX(ЗАКАЗЫ!$N$3:$N$500,MATCH($A144,ЗАКАЗЫ!$F$3:$F$500,0)),"")</f>
        <v/>
      </c>
      <c r="BM144" s="8" t="str">
        <f aca="false">IF(BL144="","",IFERROR(VLOOKUP(BL144,'ТН ВЭД'!$A$4:$C$40,3,0),""))</f>
        <v/>
      </c>
      <c r="BN144" s="7" t="str">
        <f aca="false">IF(COUNTIF(ЗАКАЗЫ!$F$3:$F$500,$A144)=0,"",SUMIF(ЗАКАЗЫ!$F$3:$F$500,$A144,ЗАКАЗЫ!$J$3:$J$500))</f>
        <v/>
      </c>
      <c r="BO144" s="7" t="str">
        <f aca="false">IF(BN144="","",SUMIF(ЗАКАЗЫ!$F$3:$F$500,$A144,ЗАКАЗЫ!$AL$3:$AL$500))</f>
        <v/>
      </c>
      <c r="BP144" s="7" t="str">
        <f aca="false">IF(BN144="","",BN144-BO144)</f>
        <v/>
      </c>
      <c r="BQ144" s="55" t="str">
        <f aca="false">IF(BN144="","",IF(BO144&gt;=BN144,"На складе",IF(BO144&gt;0,"Частично","Ждём")))</f>
        <v/>
      </c>
      <c r="BR144" s="43"/>
      <c r="BS144" s="47" t="str">
        <f aca="false">IF(BN144="","",IF(_xlfn.MAXIFS(ЗАКАЗЫ!$AK$3:$AK$500,ЗАКАЗЫ!$F$3:$F$500,$A144)=0,"",_xlfn.MAXIFS(ЗАКАЗЫ!$AK$3:$AK$500,ЗАКАЗЫ!$F$3:$F$500,$A144)))</f>
        <v/>
      </c>
    </row>
    <row r="145" customFormat="false" ht="15.75" hidden="false" customHeight="true" outlineLevel="0" collapsed="false">
      <c r="A145" s="80" t="s">
        <v>2012</v>
      </c>
      <c r="B145" s="81"/>
      <c r="C145" s="81"/>
      <c r="D145" s="81"/>
      <c r="E145" s="83"/>
      <c r="F145" s="81"/>
      <c r="G145" s="83"/>
      <c r="H145" s="83"/>
      <c r="I145" s="84" t="str">
        <f aca="false">IF(E145="","",A145&amp;"_1.jpg")</f>
        <v/>
      </c>
      <c r="J145" s="84" t="str">
        <f aca="false">IF(E145="","",A145&amp;"_2.jpg; "&amp;A145&amp;"_3.jpg")</f>
        <v/>
      </c>
      <c r="K145" s="84" t="str">
        <f aca="false">IF(E145="","",A145&amp;"_schema.jpg")</f>
        <v/>
      </c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 t="s">
        <v>96</v>
      </c>
      <c r="W145" s="81"/>
      <c r="X145" s="81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6" t="str">
        <f aca="false">IF(SUM(Y145:AJ145)=0,"",SUM(Y145:AJ145))</f>
        <v/>
      </c>
      <c r="AL145" s="84" t="str">
        <f aca="false">MID(IF(N(Y145)&gt;0,", "&amp;Y$2,"")&amp;IF(N(Z145)&gt;0,", "&amp;Z$2,"")&amp;IF(N(AA145)&gt;0,", "&amp;AA$2,"")&amp;IF(N(AB145)&gt;0,", "&amp;AB$2,"")&amp;IF(N(AC145)&gt;0,", "&amp;AC$2,"")&amp;IF(N(AD145)&gt;0,", "&amp;AD$2,"")&amp;IF(N(AE145)&gt;0,", "&amp;AE$2,"")&amp;IF(N(AF145)&gt;0,", "&amp;AF$2,"")&amp;IF(N(AG145)&gt;0,", "&amp;AG$2,"")&amp;IF(N(AH145)&gt;0,", "&amp;AH$2,"")&amp;IF(N(AI145)&gt;0,", "&amp;AI$2,"")&amp;IF(N(AJ145)&gt;0,", "&amp;AJ$2,""),3,999)</f>
        <v/>
      </c>
      <c r="AM145" s="87" t="str">
        <f aca="false">IF(E145="","",MID(IF(N(Y145)&gt;0,", "&amp;A145&amp;"-"&amp;Y$2,"")&amp;IF(N(Z145)&gt;0,", "&amp;A145&amp;"-"&amp;Z$2,"")&amp;IF(N(AA145)&gt;0,", "&amp;A145&amp;"-"&amp;AA$2,"")&amp;IF(N(AB145)&gt;0,", "&amp;A145&amp;"-"&amp;AB$2,"")&amp;IF(N(AC145)&gt;0,", "&amp;A145&amp;"-"&amp;AC$2,"")&amp;IF(N(AD145)&gt;0,", "&amp;A145&amp;"-"&amp;AD$2,"")&amp;IF(N(AE145)&gt;0,", "&amp;A145&amp;"-"&amp;AE$2,"")&amp;IF(N(AF145)&gt;0,", "&amp;A145&amp;"-"&amp;AF$2,"")&amp;IF(N(AG145)&gt;0,", "&amp;A145&amp;"-"&amp;AG$2,"")&amp;IF(N(AH145)&gt;0,", "&amp;A145&amp;"-"&amp;AH$2,"")&amp;IF(N(AI145)&gt;0,", "&amp;A145&amp;"-"&amp;AI$2,"")&amp;IF(N(AJ145)&gt;0,", "&amp;A145&amp;"-"&amp;AJ$2,""),3,999))</f>
        <v/>
      </c>
      <c r="AN145" s="81"/>
      <c r="AO145" s="88"/>
      <c r="AP145" s="89" t="str">
        <f aca="false">IF(AO145="","",ROUND(AO145/(1+Справочники!$B$13),2))</f>
        <v/>
      </c>
      <c r="AQ145" s="90" t="str">
        <f aca="false" t="array" ref="AQ145:AQ145">IF(AP145="","",AP145*INDEX(Справочники!$B$4:$B$7,MATCH("RUB",Справочники!$A$4:$A$7,0)))</f>
        <v/>
      </c>
      <c r="AR145" s="90" t="str">
        <f aca="false">IF(AQ145="","",ROUND(AQ145*(1+Справочники!$B$12),0))</f>
        <v/>
      </c>
      <c r="AS145" s="90" t="str">
        <f aca="false">IF(AR145="","",ROUND(AR145*(1-Справочники!$B$11),0))</f>
        <v/>
      </c>
      <c r="AT145" s="88"/>
      <c r="AU145" s="90" t="str">
        <f aca="false">IF(AT145="","",ROUND(AT145/(1+Справочники!$B$12),0))</f>
        <v/>
      </c>
      <c r="AV145" s="90" t="str">
        <f aca="false">IF(AT145="","",ROUND(AT145*(1-Справочники!$B$15),0))</f>
        <v/>
      </c>
      <c r="AW145" s="90" t="str">
        <f aca="false">IF(AT145="","",ROUND(AT145*(1-Справочники!$B$16),0))</f>
        <v/>
      </c>
      <c r="AX145" s="90" t="str">
        <f aca="false">IF(AT145="","",ROUND(AT145*(1-Справочники!$B$17),0))</f>
        <v/>
      </c>
      <c r="AY145" s="90" t="str">
        <f aca="false">IF(AT145="","",ROUND(AT145*(1-Справочники!$B$18),0))</f>
        <v/>
      </c>
      <c r="AZ145" s="90" t="str">
        <f aca="false">IF(AT145="","",ROUND(AT145*(1-Справочники!$B$19),0))</f>
        <v/>
      </c>
      <c r="BA145" s="81"/>
      <c r="BB145" s="81"/>
      <c r="BC145" s="81"/>
      <c r="BD145" s="81"/>
      <c r="BE145" s="91"/>
      <c r="BF145" s="81" t="s">
        <v>103</v>
      </c>
      <c r="BG145" s="89" t="n">
        <f aca="false" t="array" ref="BG145:BG145">IF(BF145="","",IFERROR(INDEX(Справочники!$B$4:$B$7,MATCH(BF145,Справочники!$A$4:$A$7,0)),""))</f>
        <v>68.5</v>
      </c>
      <c r="BH145" s="90" t="str">
        <f aca="false">IF(N(BN145)&gt;0,ROUND(SUMIF(ЗАКАЗЫ!$F$3:$F$500,$A145,ЗАКАЗЫ!$Y$3:$Y$500)/BN145,0),IF(OR(BE145="",BG145=""),"",ROUND(BE145*BG145*(1+Справочники!$B$10),0)))</f>
        <v/>
      </c>
      <c r="BI145" s="92" t="str">
        <f aca="false">IF(OR(AU145="",BH145="",AU145=0),"",(AU145-BH145)/AU145)</f>
        <v/>
      </c>
      <c r="BJ145" s="81"/>
      <c r="BK145" s="83"/>
      <c r="BL145" s="43" t="str">
        <f aca="false">IFERROR(INDEX(ЗАКАЗЫ!$N$3:$N$500,MATCH($A145,ЗАКАЗЫ!$F$3:$F$500,0)),"")</f>
        <v/>
      </c>
      <c r="BM145" s="8" t="str">
        <f aca="false">IF(BL145="","",IFERROR(VLOOKUP(BL145,'ТН ВЭД'!$A$4:$C$40,3,0),""))</f>
        <v/>
      </c>
      <c r="BN145" s="7" t="str">
        <f aca="false">IF(COUNTIF(ЗАКАЗЫ!$F$3:$F$500,$A145)=0,"",SUMIF(ЗАКАЗЫ!$F$3:$F$500,$A145,ЗАКАЗЫ!$J$3:$J$500))</f>
        <v/>
      </c>
      <c r="BO145" s="7" t="str">
        <f aca="false">IF(BN145="","",SUMIF(ЗАКАЗЫ!$F$3:$F$500,$A145,ЗАКАЗЫ!$AL$3:$AL$500))</f>
        <v/>
      </c>
      <c r="BP145" s="7" t="str">
        <f aca="false">IF(BN145="","",BN145-BO145)</f>
        <v/>
      </c>
      <c r="BQ145" s="55" t="str">
        <f aca="false">IF(BN145="","",IF(BO145&gt;=BN145,"На складе",IF(BO145&gt;0,"Частично","Ждём")))</f>
        <v/>
      </c>
      <c r="BR145" s="43"/>
      <c r="BS145" s="47" t="str">
        <f aca="false">IF(BN145="","",IF(_xlfn.MAXIFS(ЗАКАЗЫ!$AK$3:$AK$500,ЗАКАЗЫ!$F$3:$F$500,$A145)=0,"",_xlfn.MAXIFS(ЗАКАЗЫ!$AK$3:$AK$500,ЗАКАЗЫ!$F$3:$F$500,$A145)))</f>
        <v/>
      </c>
    </row>
    <row r="146" customFormat="false" ht="15.75" hidden="false" customHeight="true" outlineLevel="0" collapsed="false">
      <c r="A146" s="80" t="s">
        <v>2013</v>
      </c>
      <c r="B146" s="81"/>
      <c r="C146" s="81"/>
      <c r="D146" s="81"/>
      <c r="E146" s="83"/>
      <c r="F146" s="81"/>
      <c r="G146" s="83"/>
      <c r="H146" s="83"/>
      <c r="I146" s="84" t="str">
        <f aca="false">IF(E146="","",A146&amp;"_1.jpg")</f>
        <v/>
      </c>
      <c r="J146" s="84" t="str">
        <f aca="false">IF(E146="","",A146&amp;"_2.jpg; "&amp;A146&amp;"_3.jpg")</f>
        <v/>
      </c>
      <c r="K146" s="84" t="str">
        <f aca="false">IF(E146="","",A146&amp;"_schema.jpg")</f>
        <v/>
      </c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 t="s">
        <v>96</v>
      </c>
      <c r="W146" s="81"/>
      <c r="X146" s="81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6" t="str">
        <f aca="false">IF(SUM(Y146:AJ146)=0,"",SUM(Y146:AJ146))</f>
        <v/>
      </c>
      <c r="AL146" s="84" t="str">
        <f aca="false">MID(IF(N(Y146)&gt;0,", "&amp;Y$2,"")&amp;IF(N(Z146)&gt;0,", "&amp;Z$2,"")&amp;IF(N(AA146)&gt;0,", "&amp;AA$2,"")&amp;IF(N(AB146)&gt;0,", "&amp;AB$2,"")&amp;IF(N(AC146)&gt;0,", "&amp;AC$2,"")&amp;IF(N(AD146)&gt;0,", "&amp;AD$2,"")&amp;IF(N(AE146)&gt;0,", "&amp;AE$2,"")&amp;IF(N(AF146)&gt;0,", "&amp;AF$2,"")&amp;IF(N(AG146)&gt;0,", "&amp;AG$2,"")&amp;IF(N(AH146)&gt;0,", "&amp;AH$2,"")&amp;IF(N(AI146)&gt;0,", "&amp;AI$2,"")&amp;IF(N(AJ146)&gt;0,", "&amp;AJ$2,""),3,999)</f>
        <v/>
      </c>
      <c r="AM146" s="87" t="str">
        <f aca="false">IF(E146="","",MID(IF(N(Y146)&gt;0,", "&amp;A146&amp;"-"&amp;Y$2,"")&amp;IF(N(Z146)&gt;0,", "&amp;A146&amp;"-"&amp;Z$2,"")&amp;IF(N(AA146)&gt;0,", "&amp;A146&amp;"-"&amp;AA$2,"")&amp;IF(N(AB146)&gt;0,", "&amp;A146&amp;"-"&amp;AB$2,"")&amp;IF(N(AC146)&gt;0,", "&amp;A146&amp;"-"&amp;AC$2,"")&amp;IF(N(AD146)&gt;0,", "&amp;A146&amp;"-"&amp;AD$2,"")&amp;IF(N(AE146)&gt;0,", "&amp;A146&amp;"-"&amp;AE$2,"")&amp;IF(N(AF146)&gt;0,", "&amp;A146&amp;"-"&amp;AF$2,"")&amp;IF(N(AG146)&gt;0,", "&amp;A146&amp;"-"&amp;AG$2,"")&amp;IF(N(AH146)&gt;0,", "&amp;A146&amp;"-"&amp;AH$2,"")&amp;IF(N(AI146)&gt;0,", "&amp;A146&amp;"-"&amp;AI$2,"")&amp;IF(N(AJ146)&gt;0,", "&amp;A146&amp;"-"&amp;AJ$2,""),3,999))</f>
        <v/>
      </c>
      <c r="AN146" s="81"/>
      <c r="AO146" s="88"/>
      <c r="AP146" s="89" t="str">
        <f aca="false">IF(AO146="","",ROUND(AO146/(1+Справочники!$B$13),2))</f>
        <v/>
      </c>
      <c r="AQ146" s="90" t="str">
        <f aca="false" t="array" ref="AQ146:AQ146">IF(AP146="","",AP146*INDEX(Справочники!$B$4:$B$7,MATCH("RUB",Справочники!$A$4:$A$7,0)))</f>
        <v/>
      </c>
      <c r="AR146" s="90" t="str">
        <f aca="false">IF(AQ146="","",ROUND(AQ146*(1+Справочники!$B$12),0))</f>
        <v/>
      </c>
      <c r="AS146" s="90" t="str">
        <f aca="false">IF(AR146="","",ROUND(AR146*(1-Справочники!$B$11),0))</f>
        <v/>
      </c>
      <c r="AT146" s="88"/>
      <c r="AU146" s="90" t="str">
        <f aca="false">IF(AT146="","",ROUND(AT146/(1+Справочники!$B$12),0))</f>
        <v/>
      </c>
      <c r="AV146" s="90" t="str">
        <f aca="false">IF(AT146="","",ROUND(AT146*(1-Справочники!$B$15),0))</f>
        <v/>
      </c>
      <c r="AW146" s="90" t="str">
        <f aca="false">IF(AT146="","",ROUND(AT146*(1-Справочники!$B$16),0))</f>
        <v/>
      </c>
      <c r="AX146" s="90" t="str">
        <f aca="false">IF(AT146="","",ROUND(AT146*(1-Справочники!$B$17),0))</f>
        <v/>
      </c>
      <c r="AY146" s="90" t="str">
        <f aca="false">IF(AT146="","",ROUND(AT146*(1-Справочники!$B$18),0))</f>
        <v/>
      </c>
      <c r="AZ146" s="90" t="str">
        <f aca="false">IF(AT146="","",ROUND(AT146*(1-Справочники!$B$19),0))</f>
        <v/>
      </c>
      <c r="BA146" s="81"/>
      <c r="BB146" s="81"/>
      <c r="BC146" s="81"/>
      <c r="BD146" s="81"/>
      <c r="BE146" s="91"/>
      <c r="BF146" s="81" t="s">
        <v>103</v>
      </c>
      <c r="BG146" s="89" t="n">
        <f aca="false" t="array" ref="BG146:BG146">IF(BF146="","",IFERROR(INDEX(Справочники!$B$4:$B$7,MATCH(BF146,Справочники!$A$4:$A$7,0)),""))</f>
        <v>68.5</v>
      </c>
      <c r="BH146" s="90" t="str">
        <f aca="false">IF(N(BN146)&gt;0,ROUND(SUMIF(ЗАКАЗЫ!$F$3:$F$500,$A146,ЗАКАЗЫ!$Y$3:$Y$500)/BN146,0),IF(OR(BE146="",BG146=""),"",ROUND(BE146*BG146*(1+Справочники!$B$10),0)))</f>
        <v/>
      </c>
      <c r="BI146" s="92" t="str">
        <f aca="false">IF(OR(AU146="",BH146="",AU146=0),"",(AU146-BH146)/AU146)</f>
        <v/>
      </c>
      <c r="BJ146" s="81"/>
      <c r="BK146" s="83"/>
      <c r="BL146" s="43" t="str">
        <f aca="false">IFERROR(INDEX(ЗАКАЗЫ!$N$3:$N$500,MATCH($A146,ЗАКАЗЫ!$F$3:$F$500,0)),"")</f>
        <v/>
      </c>
      <c r="BM146" s="8" t="str">
        <f aca="false">IF(BL146="","",IFERROR(VLOOKUP(BL146,'ТН ВЭД'!$A$4:$C$40,3,0),""))</f>
        <v/>
      </c>
      <c r="BN146" s="7" t="str">
        <f aca="false">IF(COUNTIF(ЗАКАЗЫ!$F$3:$F$500,$A146)=0,"",SUMIF(ЗАКАЗЫ!$F$3:$F$500,$A146,ЗАКАЗЫ!$J$3:$J$500))</f>
        <v/>
      </c>
      <c r="BO146" s="7" t="str">
        <f aca="false">IF(BN146="","",SUMIF(ЗАКАЗЫ!$F$3:$F$500,$A146,ЗАКАЗЫ!$AL$3:$AL$500))</f>
        <v/>
      </c>
      <c r="BP146" s="7" t="str">
        <f aca="false">IF(BN146="","",BN146-BO146)</f>
        <v/>
      </c>
      <c r="BQ146" s="55" t="str">
        <f aca="false">IF(BN146="","",IF(BO146&gt;=BN146,"На складе",IF(BO146&gt;0,"Частично","Ждём")))</f>
        <v/>
      </c>
      <c r="BR146" s="43"/>
      <c r="BS146" s="47" t="str">
        <f aca="false">IF(BN146="","",IF(_xlfn.MAXIFS(ЗАКАЗЫ!$AK$3:$AK$500,ЗАКАЗЫ!$F$3:$F$500,$A146)=0,"",_xlfn.MAXIFS(ЗАКАЗЫ!$AK$3:$AK$500,ЗАКАЗЫ!$F$3:$F$500,$A146)))</f>
        <v/>
      </c>
    </row>
    <row r="147" customFormat="false" ht="15.75" hidden="false" customHeight="true" outlineLevel="0" collapsed="false">
      <c r="A147" s="80" t="s">
        <v>2014</v>
      </c>
      <c r="B147" s="81"/>
      <c r="C147" s="81"/>
      <c r="D147" s="81"/>
      <c r="E147" s="83"/>
      <c r="F147" s="81"/>
      <c r="G147" s="83"/>
      <c r="H147" s="83"/>
      <c r="I147" s="84" t="str">
        <f aca="false">IF(E147="","",A147&amp;"_1.jpg")</f>
        <v/>
      </c>
      <c r="J147" s="84" t="str">
        <f aca="false">IF(E147="","",A147&amp;"_2.jpg; "&amp;A147&amp;"_3.jpg")</f>
        <v/>
      </c>
      <c r="K147" s="84" t="str">
        <f aca="false">IF(E147="","",A147&amp;"_schema.jpg")</f>
        <v/>
      </c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 t="s">
        <v>96</v>
      </c>
      <c r="W147" s="81"/>
      <c r="X147" s="81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6" t="str">
        <f aca="false">IF(SUM(Y147:AJ147)=0,"",SUM(Y147:AJ147))</f>
        <v/>
      </c>
      <c r="AL147" s="84" t="str">
        <f aca="false">MID(IF(N(Y147)&gt;0,", "&amp;Y$2,"")&amp;IF(N(Z147)&gt;0,", "&amp;Z$2,"")&amp;IF(N(AA147)&gt;0,", "&amp;AA$2,"")&amp;IF(N(AB147)&gt;0,", "&amp;AB$2,"")&amp;IF(N(AC147)&gt;0,", "&amp;AC$2,"")&amp;IF(N(AD147)&gt;0,", "&amp;AD$2,"")&amp;IF(N(AE147)&gt;0,", "&amp;AE$2,"")&amp;IF(N(AF147)&gt;0,", "&amp;AF$2,"")&amp;IF(N(AG147)&gt;0,", "&amp;AG$2,"")&amp;IF(N(AH147)&gt;0,", "&amp;AH$2,"")&amp;IF(N(AI147)&gt;0,", "&amp;AI$2,"")&amp;IF(N(AJ147)&gt;0,", "&amp;AJ$2,""),3,999)</f>
        <v/>
      </c>
      <c r="AM147" s="87" t="str">
        <f aca="false">IF(E147="","",MID(IF(N(Y147)&gt;0,", "&amp;A147&amp;"-"&amp;Y$2,"")&amp;IF(N(Z147)&gt;0,", "&amp;A147&amp;"-"&amp;Z$2,"")&amp;IF(N(AA147)&gt;0,", "&amp;A147&amp;"-"&amp;AA$2,"")&amp;IF(N(AB147)&gt;0,", "&amp;A147&amp;"-"&amp;AB$2,"")&amp;IF(N(AC147)&gt;0,", "&amp;A147&amp;"-"&amp;AC$2,"")&amp;IF(N(AD147)&gt;0,", "&amp;A147&amp;"-"&amp;AD$2,"")&amp;IF(N(AE147)&gt;0,", "&amp;A147&amp;"-"&amp;AE$2,"")&amp;IF(N(AF147)&gt;0,", "&amp;A147&amp;"-"&amp;AF$2,"")&amp;IF(N(AG147)&gt;0,", "&amp;A147&amp;"-"&amp;AG$2,"")&amp;IF(N(AH147)&gt;0,", "&amp;A147&amp;"-"&amp;AH$2,"")&amp;IF(N(AI147)&gt;0,", "&amp;A147&amp;"-"&amp;AI$2,"")&amp;IF(N(AJ147)&gt;0,", "&amp;A147&amp;"-"&amp;AJ$2,""),3,999))</f>
        <v/>
      </c>
      <c r="AN147" s="81"/>
      <c r="AO147" s="88"/>
      <c r="AP147" s="89" t="str">
        <f aca="false">IF(AO147="","",ROUND(AO147/(1+Справочники!$B$13),2))</f>
        <v/>
      </c>
      <c r="AQ147" s="90" t="str">
        <f aca="false" t="array" ref="AQ147:AQ147">IF(AP147="","",AP147*INDEX(Справочники!$B$4:$B$7,MATCH("RUB",Справочники!$A$4:$A$7,0)))</f>
        <v/>
      </c>
      <c r="AR147" s="90" t="str">
        <f aca="false">IF(AQ147="","",ROUND(AQ147*(1+Справочники!$B$12),0))</f>
        <v/>
      </c>
      <c r="AS147" s="90" t="str">
        <f aca="false">IF(AR147="","",ROUND(AR147*(1-Справочники!$B$11),0))</f>
        <v/>
      </c>
      <c r="AT147" s="88"/>
      <c r="AU147" s="90" t="str">
        <f aca="false">IF(AT147="","",ROUND(AT147/(1+Справочники!$B$12),0))</f>
        <v/>
      </c>
      <c r="AV147" s="90" t="str">
        <f aca="false">IF(AT147="","",ROUND(AT147*(1-Справочники!$B$15),0))</f>
        <v/>
      </c>
      <c r="AW147" s="90" t="str">
        <f aca="false">IF(AT147="","",ROUND(AT147*(1-Справочники!$B$16),0))</f>
        <v/>
      </c>
      <c r="AX147" s="90" t="str">
        <f aca="false">IF(AT147="","",ROUND(AT147*(1-Справочники!$B$17),0))</f>
        <v/>
      </c>
      <c r="AY147" s="90" t="str">
        <f aca="false">IF(AT147="","",ROUND(AT147*(1-Справочники!$B$18),0))</f>
        <v/>
      </c>
      <c r="AZ147" s="90" t="str">
        <f aca="false">IF(AT147="","",ROUND(AT147*(1-Справочники!$B$19),0))</f>
        <v/>
      </c>
      <c r="BA147" s="81"/>
      <c r="BB147" s="81"/>
      <c r="BC147" s="81"/>
      <c r="BD147" s="81"/>
      <c r="BE147" s="91"/>
      <c r="BF147" s="81" t="s">
        <v>103</v>
      </c>
      <c r="BG147" s="89" t="n">
        <f aca="false" t="array" ref="BG147:BG147">IF(BF147="","",IFERROR(INDEX(Справочники!$B$4:$B$7,MATCH(BF147,Справочники!$A$4:$A$7,0)),""))</f>
        <v>68.5</v>
      </c>
      <c r="BH147" s="90" t="str">
        <f aca="false">IF(N(BN147)&gt;0,ROUND(SUMIF(ЗАКАЗЫ!$F$3:$F$500,$A147,ЗАКАЗЫ!$Y$3:$Y$500)/BN147,0),IF(OR(BE147="",BG147=""),"",ROUND(BE147*BG147*(1+Справочники!$B$10),0)))</f>
        <v/>
      </c>
      <c r="BI147" s="92" t="str">
        <f aca="false">IF(OR(AU147="",BH147="",AU147=0),"",(AU147-BH147)/AU147)</f>
        <v/>
      </c>
      <c r="BJ147" s="81"/>
      <c r="BK147" s="83"/>
      <c r="BL147" s="43" t="str">
        <f aca="false">IFERROR(INDEX(ЗАКАЗЫ!$N$3:$N$500,MATCH($A147,ЗАКАЗЫ!$F$3:$F$500,0)),"")</f>
        <v/>
      </c>
      <c r="BM147" s="8" t="str">
        <f aca="false">IF(BL147="","",IFERROR(VLOOKUP(BL147,'ТН ВЭД'!$A$4:$C$40,3,0),""))</f>
        <v/>
      </c>
      <c r="BN147" s="7" t="str">
        <f aca="false">IF(COUNTIF(ЗАКАЗЫ!$F$3:$F$500,$A147)=0,"",SUMIF(ЗАКАЗЫ!$F$3:$F$500,$A147,ЗАКАЗЫ!$J$3:$J$500))</f>
        <v/>
      </c>
      <c r="BO147" s="7" t="str">
        <f aca="false">IF(BN147="","",SUMIF(ЗАКАЗЫ!$F$3:$F$500,$A147,ЗАКАЗЫ!$AL$3:$AL$500))</f>
        <v/>
      </c>
      <c r="BP147" s="7" t="str">
        <f aca="false">IF(BN147="","",BN147-BO147)</f>
        <v/>
      </c>
      <c r="BQ147" s="55" t="str">
        <f aca="false">IF(BN147="","",IF(BO147&gt;=BN147,"На складе",IF(BO147&gt;0,"Частично","Ждём")))</f>
        <v/>
      </c>
      <c r="BR147" s="43"/>
      <c r="BS147" s="47" t="str">
        <f aca="false">IF(BN147="","",IF(_xlfn.MAXIFS(ЗАКАЗЫ!$AK$3:$AK$500,ЗАКАЗЫ!$F$3:$F$500,$A147)=0,"",_xlfn.MAXIFS(ЗАКАЗЫ!$AK$3:$AK$500,ЗАКАЗЫ!$F$3:$F$500,$A147)))</f>
        <v/>
      </c>
    </row>
    <row r="148" customFormat="false" ht="15.75" hidden="false" customHeight="true" outlineLevel="0" collapsed="false">
      <c r="A148" s="80" t="s">
        <v>2015</v>
      </c>
      <c r="B148" s="81"/>
      <c r="C148" s="81"/>
      <c r="D148" s="81"/>
      <c r="E148" s="83"/>
      <c r="F148" s="81"/>
      <c r="G148" s="83"/>
      <c r="H148" s="83"/>
      <c r="I148" s="84" t="str">
        <f aca="false">IF(E148="","",A148&amp;"_1.jpg")</f>
        <v/>
      </c>
      <c r="J148" s="84" t="str">
        <f aca="false">IF(E148="","",A148&amp;"_2.jpg; "&amp;A148&amp;"_3.jpg")</f>
        <v/>
      </c>
      <c r="K148" s="84" t="str">
        <f aca="false">IF(E148="","",A148&amp;"_schema.jpg")</f>
        <v/>
      </c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 t="s">
        <v>96</v>
      </c>
      <c r="W148" s="81"/>
      <c r="X148" s="81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6" t="str">
        <f aca="false">IF(SUM(Y148:AJ148)=0,"",SUM(Y148:AJ148))</f>
        <v/>
      </c>
      <c r="AL148" s="84" t="str">
        <f aca="false">MID(IF(N(Y148)&gt;0,", "&amp;Y$2,"")&amp;IF(N(Z148)&gt;0,", "&amp;Z$2,"")&amp;IF(N(AA148)&gt;0,", "&amp;AA$2,"")&amp;IF(N(AB148)&gt;0,", "&amp;AB$2,"")&amp;IF(N(AC148)&gt;0,", "&amp;AC$2,"")&amp;IF(N(AD148)&gt;0,", "&amp;AD$2,"")&amp;IF(N(AE148)&gt;0,", "&amp;AE$2,"")&amp;IF(N(AF148)&gt;0,", "&amp;AF$2,"")&amp;IF(N(AG148)&gt;0,", "&amp;AG$2,"")&amp;IF(N(AH148)&gt;0,", "&amp;AH$2,"")&amp;IF(N(AI148)&gt;0,", "&amp;AI$2,"")&amp;IF(N(AJ148)&gt;0,", "&amp;AJ$2,""),3,999)</f>
        <v/>
      </c>
      <c r="AM148" s="87" t="str">
        <f aca="false">IF(E148="","",MID(IF(N(Y148)&gt;0,", "&amp;A148&amp;"-"&amp;Y$2,"")&amp;IF(N(Z148)&gt;0,", "&amp;A148&amp;"-"&amp;Z$2,"")&amp;IF(N(AA148)&gt;0,", "&amp;A148&amp;"-"&amp;AA$2,"")&amp;IF(N(AB148)&gt;0,", "&amp;A148&amp;"-"&amp;AB$2,"")&amp;IF(N(AC148)&gt;0,", "&amp;A148&amp;"-"&amp;AC$2,"")&amp;IF(N(AD148)&gt;0,", "&amp;A148&amp;"-"&amp;AD$2,"")&amp;IF(N(AE148)&gt;0,", "&amp;A148&amp;"-"&amp;AE$2,"")&amp;IF(N(AF148)&gt;0,", "&amp;A148&amp;"-"&amp;AF$2,"")&amp;IF(N(AG148)&gt;0,", "&amp;A148&amp;"-"&amp;AG$2,"")&amp;IF(N(AH148)&gt;0,", "&amp;A148&amp;"-"&amp;AH$2,"")&amp;IF(N(AI148)&gt;0,", "&amp;A148&amp;"-"&amp;AI$2,"")&amp;IF(N(AJ148)&gt;0,", "&amp;A148&amp;"-"&amp;AJ$2,""),3,999))</f>
        <v/>
      </c>
      <c r="AN148" s="81"/>
      <c r="AO148" s="88"/>
      <c r="AP148" s="89" t="str">
        <f aca="false">IF(AO148="","",ROUND(AO148/(1+Справочники!$B$13),2))</f>
        <v/>
      </c>
      <c r="AQ148" s="90" t="str">
        <f aca="false" t="array" ref="AQ148:AQ148">IF(AP148="","",AP148*INDEX(Справочники!$B$4:$B$7,MATCH("RUB",Справочники!$A$4:$A$7,0)))</f>
        <v/>
      </c>
      <c r="AR148" s="90" t="str">
        <f aca="false">IF(AQ148="","",ROUND(AQ148*(1+Справочники!$B$12),0))</f>
        <v/>
      </c>
      <c r="AS148" s="90" t="str">
        <f aca="false">IF(AR148="","",ROUND(AR148*(1-Справочники!$B$11),0))</f>
        <v/>
      </c>
      <c r="AT148" s="88"/>
      <c r="AU148" s="90" t="str">
        <f aca="false">IF(AT148="","",ROUND(AT148/(1+Справочники!$B$12),0))</f>
        <v/>
      </c>
      <c r="AV148" s="90" t="str">
        <f aca="false">IF(AT148="","",ROUND(AT148*(1-Справочники!$B$15),0))</f>
        <v/>
      </c>
      <c r="AW148" s="90" t="str">
        <f aca="false">IF(AT148="","",ROUND(AT148*(1-Справочники!$B$16),0))</f>
        <v/>
      </c>
      <c r="AX148" s="90" t="str">
        <f aca="false">IF(AT148="","",ROUND(AT148*(1-Справочники!$B$17),0))</f>
        <v/>
      </c>
      <c r="AY148" s="90" t="str">
        <f aca="false">IF(AT148="","",ROUND(AT148*(1-Справочники!$B$18),0))</f>
        <v/>
      </c>
      <c r="AZ148" s="90" t="str">
        <f aca="false">IF(AT148="","",ROUND(AT148*(1-Справочники!$B$19),0))</f>
        <v/>
      </c>
      <c r="BA148" s="81"/>
      <c r="BB148" s="81"/>
      <c r="BC148" s="81"/>
      <c r="BD148" s="81"/>
      <c r="BE148" s="91"/>
      <c r="BF148" s="81" t="s">
        <v>103</v>
      </c>
      <c r="BG148" s="89" t="n">
        <f aca="false" t="array" ref="BG148:BG148">IF(BF148="","",IFERROR(INDEX(Справочники!$B$4:$B$7,MATCH(BF148,Справочники!$A$4:$A$7,0)),""))</f>
        <v>68.5</v>
      </c>
      <c r="BH148" s="90" t="str">
        <f aca="false">IF(N(BN148)&gt;0,ROUND(SUMIF(ЗАКАЗЫ!$F$3:$F$500,$A148,ЗАКАЗЫ!$Y$3:$Y$500)/BN148,0),IF(OR(BE148="",BG148=""),"",ROUND(BE148*BG148*(1+Справочники!$B$10),0)))</f>
        <v/>
      </c>
      <c r="BI148" s="92" t="str">
        <f aca="false">IF(OR(AU148="",BH148="",AU148=0),"",(AU148-BH148)/AU148)</f>
        <v/>
      </c>
      <c r="BJ148" s="81"/>
      <c r="BK148" s="83"/>
      <c r="BL148" s="43" t="str">
        <f aca="false">IFERROR(INDEX(ЗАКАЗЫ!$N$3:$N$500,MATCH($A148,ЗАКАЗЫ!$F$3:$F$500,0)),"")</f>
        <v/>
      </c>
      <c r="BM148" s="8" t="str">
        <f aca="false">IF(BL148="","",IFERROR(VLOOKUP(BL148,'ТН ВЭД'!$A$4:$C$40,3,0),""))</f>
        <v/>
      </c>
      <c r="BN148" s="7" t="str">
        <f aca="false">IF(COUNTIF(ЗАКАЗЫ!$F$3:$F$500,$A148)=0,"",SUMIF(ЗАКАЗЫ!$F$3:$F$500,$A148,ЗАКАЗЫ!$J$3:$J$500))</f>
        <v/>
      </c>
      <c r="BO148" s="7" t="str">
        <f aca="false">IF(BN148="","",SUMIF(ЗАКАЗЫ!$F$3:$F$500,$A148,ЗАКАЗЫ!$AL$3:$AL$500))</f>
        <v/>
      </c>
      <c r="BP148" s="7" t="str">
        <f aca="false">IF(BN148="","",BN148-BO148)</f>
        <v/>
      </c>
      <c r="BQ148" s="55" t="str">
        <f aca="false">IF(BN148="","",IF(BO148&gt;=BN148,"На складе",IF(BO148&gt;0,"Частично","Ждём")))</f>
        <v/>
      </c>
      <c r="BR148" s="43"/>
      <c r="BS148" s="47" t="str">
        <f aca="false">IF(BN148="","",IF(_xlfn.MAXIFS(ЗАКАЗЫ!$AK$3:$AK$500,ЗАКАЗЫ!$F$3:$F$500,$A148)=0,"",_xlfn.MAXIFS(ЗАКАЗЫ!$AK$3:$AK$500,ЗАКАЗЫ!$F$3:$F$500,$A148)))</f>
        <v/>
      </c>
    </row>
    <row r="149" customFormat="false" ht="15.75" hidden="false" customHeight="true" outlineLevel="0" collapsed="false">
      <c r="A149" s="80" t="s">
        <v>2016</v>
      </c>
      <c r="B149" s="81"/>
      <c r="C149" s="81"/>
      <c r="D149" s="81"/>
      <c r="E149" s="83"/>
      <c r="F149" s="81"/>
      <c r="G149" s="83"/>
      <c r="H149" s="83"/>
      <c r="I149" s="84" t="str">
        <f aca="false">IF(E149="","",A149&amp;"_1.jpg")</f>
        <v/>
      </c>
      <c r="J149" s="84" t="str">
        <f aca="false">IF(E149="","",A149&amp;"_2.jpg; "&amp;A149&amp;"_3.jpg")</f>
        <v/>
      </c>
      <c r="K149" s="84" t="str">
        <f aca="false">IF(E149="","",A149&amp;"_schema.jpg")</f>
        <v/>
      </c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 t="s">
        <v>96</v>
      </c>
      <c r="W149" s="81"/>
      <c r="X149" s="81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6" t="str">
        <f aca="false">IF(SUM(Y149:AJ149)=0,"",SUM(Y149:AJ149))</f>
        <v/>
      </c>
      <c r="AL149" s="84" t="str">
        <f aca="false">MID(IF(N(Y149)&gt;0,", "&amp;Y$2,"")&amp;IF(N(Z149)&gt;0,", "&amp;Z$2,"")&amp;IF(N(AA149)&gt;0,", "&amp;AA$2,"")&amp;IF(N(AB149)&gt;0,", "&amp;AB$2,"")&amp;IF(N(AC149)&gt;0,", "&amp;AC$2,"")&amp;IF(N(AD149)&gt;0,", "&amp;AD$2,"")&amp;IF(N(AE149)&gt;0,", "&amp;AE$2,"")&amp;IF(N(AF149)&gt;0,", "&amp;AF$2,"")&amp;IF(N(AG149)&gt;0,", "&amp;AG$2,"")&amp;IF(N(AH149)&gt;0,", "&amp;AH$2,"")&amp;IF(N(AI149)&gt;0,", "&amp;AI$2,"")&amp;IF(N(AJ149)&gt;0,", "&amp;AJ$2,""),3,999)</f>
        <v/>
      </c>
      <c r="AM149" s="87" t="str">
        <f aca="false">IF(E149="","",MID(IF(N(Y149)&gt;0,", "&amp;A149&amp;"-"&amp;Y$2,"")&amp;IF(N(Z149)&gt;0,", "&amp;A149&amp;"-"&amp;Z$2,"")&amp;IF(N(AA149)&gt;0,", "&amp;A149&amp;"-"&amp;AA$2,"")&amp;IF(N(AB149)&gt;0,", "&amp;A149&amp;"-"&amp;AB$2,"")&amp;IF(N(AC149)&gt;0,", "&amp;A149&amp;"-"&amp;AC$2,"")&amp;IF(N(AD149)&gt;0,", "&amp;A149&amp;"-"&amp;AD$2,"")&amp;IF(N(AE149)&gt;0,", "&amp;A149&amp;"-"&amp;AE$2,"")&amp;IF(N(AF149)&gt;0,", "&amp;A149&amp;"-"&amp;AF$2,"")&amp;IF(N(AG149)&gt;0,", "&amp;A149&amp;"-"&amp;AG$2,"")&amp;IF(N(AH149)&gt;0,", "&amp;A149&amp;"-"&amp;AH$2,"")&amp;IF(N(AI149)&gt;0,", "&amp;A149&amp;"-"&amp;AI$2,"")&amp;IF(N(AJ149)&gt;0,", "&amp;A149&amp;"-"&amp;AJ$2,""),3,999))</f>
        <v/>
      </c>
      <c r="AN149" s="81"/>
      <c r="AO149" s="88"/>
      <c r="AP149" s="89" t="str">
        <f aca="false">IF(AO149="","",ROUND(AO149/(1+Справочники!$B$13),2))</f>
        <v/>
      </c>
      <c r="AQ149" s="90" t="str">
        <f aca="false" t="array" ref="AQ149:AQ149">IF(AP149="","",AP149*INDEX(Справочники!$B$4:$B$7,MATCH("RUB",Справочники!$A$4:$A$7,0)))</f>
        <v/>
      </c>
      <c r="AR149" s="90" t="str">
        <f aca="false">IF(AQ149="","",ROUND(AQ149*(1+Справочники!$B$12),0))</f>
        <v/>
      </c>
      <c r="AS149" s="90" t="str">
        <f aca="false">IF(AR149="","",ROUND(AR149*(1-Справочники!$B$11),0))</f>
        <v/>
      </c>
      <c r="AT149" s="88"/>
      <c r="AU149" s="90" t="str">
        <f aca="false">IF(AT149="","",ROUND(AT149/(1+Справочники!$B$12),0))</f>
        <v/>
      </c>
      <c r="AV149" s="90" t="str">
        <f aca="false">IF(AT149="","",ROUND(AT149*(1-Справочники!$B$15),0))</f>
        <v/>
      </c>
      <c r="AW149" s="90" t="str">
        <f aca="false">IF(AT149="","",ROUND(AT149*(1-Справочники!$B$16),0))</f>
        <v/>
      </c>
      <c r="AX149" s="90" t="str">
        <f aca="false">IF(AT149="","",ROUND(AT149*(1-Справочники!$B$17),0))</f>
        <v/>
      </c>
      <c r="AY149" s="90" t="str">
        <f aca="false">IF(AT149="","",ROUND(AT149*(1-Справочники!$B$18),0))</f>
        <v/>
      </c>
      <c r="AZ149" s="90" t="str">
        <f aca="false">IF(AT149="","",ROUND(AT149*(1-Справочники!$B$19),0))</f>
        <v/>
      </c>
      <c r="BA149" s="81"/>
      <c r="BB149" s="81"/>
      <c r="BC149" s="81"/>
      <c r="BD149" s="81"/>
      <c r="BE149" s="91"/>
      <c r="BF149" s="81" t="s">
        <v>103</v>
      </c>
      <c r="BG149" s="89" t="n">
        <f aca="false" t="array" ref="BG149:BG149">IF(BF149="","",IFERROR(INDEX(Справочники!$B$4:$B$7,MATCH(BF149,Справочники!$A$4:$A$7,0)),""))</f>
        <v>68.5</v>
      </c>
      <c r="BH149" s="90" t="str">
        <f aca="false">IF(N(BN149)&gt;0,ROUND(SUMIF(ЗАКАЗЫ!$F$3:$F$500,$A149,ЗАКАЗЫ!$Y$3:$Y$500)/BN149,0),IF(OR(BE149="",BG149=""),"",ROUND(BE149*BG149*(1+Справочники!$B$10),0)))</f>
        <v/>
      </c>
      <c r="BI149" s="92" t="str">
        <f aca="false">IF(OR(AU149="",BH149="",AU149=0),"",(AU149-BH149)/AU149)</f>
        <v/>
      </c>
      <c r="BJ149" s="81"/>
      <c r="BK149" s="83"/>
      <c r="BL149" s="43" t="str">
        <f aca="false">IFERROR(INDEX(ЗАКАЗЫ!$N$3:$N$500,MATCH($A149,ЗАКАЗЫ!$F$3:$F$500,0)),"")</f>
        <v/>
      </c>
      <c r="BM149" s="8" t="str">
        <f aca="false">IF(BL149="","",IFERROR(VLOOKUP(BL149,'ТН ВЭД'!$A$4:$C$40,3,0),""))</f>
        <v/>
      </c>
      <c r="BN149" s="7" t="str">
        <f aca="false">IF(COUNTIF(ЗАКАЗЫ!$F$3:$F$500,$A149)=0,"",SUMIF(ЗАКАЗЫ!$F$3:$F$500,$A149,ЗАКАЗЫ!$J$3:$J$500))</f>
        <v/>
      </c>
      <c r="BO149" s="7" t="str">
        <f aca="false">IF(BN149="","",SUMIF(ЗАКАЗЫ!$F$3:$F$500,$A149,ЗАКАЗЫ!$AL$3:$AL$500))</f>
        <v/>
      </c>
      <c r="BP149" s="7" t="str">
        <f aca="false">IF(BN149="","",BN149-BO149)</f>
        <v/>
      </c>
      <c r="BQ149" s="55" t="str">
        <f aca="false">IF(BN149="","",IF(BO149&gt;=BN149,"На складе",IF(BO149&gt;0,"Частично","Ждём")))</f>
        <v/>
      </c>
      <c r="BR149" s="43"/>
      <c r="BS149" s="47" t="str">
        <f aca="false">IF(BN149="","",IF(_xlfn.MAXIFS(ЗАКАЗЫ!$AK$3:$AK$500,ЗАКАЗЫ!$F$3:$F$500,$A149)=0,"",_xlfn.MAXIFS(ЗАКАЗЫ!$AK$3:$AK$500,ЗАКАЗЫ!$F$3:$F$500,$A149)))</f>
        <v/>
      </c>
    </row>
    <row r="150" customFormat="false" ht="15.75" hidden="false" customHeight="true" outlineLevel="0" collapsed="false">
      <c r="A150" s="80" t="s">
        <v>2017</v>
      </c>
      <c r="B150" s="81"/>
      <c r="C150" s="81"/>
      <c r="D150" s="81"/>
      <c r="E150" s="83"/>
      <c r="F150" s="81"/>
      <c r="G150" s="83"/>
      <c r="H150" s="83"/>
      <c r="I150" s="84" t="str">
        <f aca="false">IF(E150="","",A150&amp;"_1.jpg")</f>
        <v/>
      </c>
      <c r="J150" s="84" t="str">
        <f aca="false">IF(E150="","",A150&amp;"_2.jpg; "&amp;A150&amp;"_3.jpg")</f>
        <v/>
      </c>
      <c r="K150" s="84" t="str">
        <f aca="false">IF(E150="","",A150&amp;"_schema.jpg")</f>
        <v/>
      </c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 t="s">
        <v>96</v>
      </c>
      <c r="W150" s="81"/>
      <c r="X150" s="81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6" t="str">
        <f aca="false">IF(SUM(Y150:AJ150)=0,"",SUM(Y150:AJ150))</f>
        <v/>
      </c>
      <c r="AL150" s="84" t="str">
        <f aca="false">MID(IF(N(Y150)&gt;0,", "&amp;Y$2,"")&amp;IF(N(Z150)&gt;0,", "&amp;Z$2,"")&amp;IF(N(AA150)&gt;0,", "&amp;AA$2,"")&amp;IF(N(AB150)&gt;0,", "&amp;AB$2,"")&amp;IF(N(AC150)&gt;0,", "&amp;AC$2,"")&amp;IF(N(AD150)&gt;0,", "&amp;AD$2,"")&amp;IF(N(AE150)&gt;0,", "&amp;AE$2,"")&amp;IF(N(AF150)&gt;0,", "&amp;AF$2,"")&amp;IF(N(AG150)&gt;0,", "&amp;AG$2,"")&amp;IF(N(AH150)&gt;0,", "&amp;AH$2,"")&amp;IF(N(AI150)&gt;0,", "&amp;AI$2,"")&amp;IF(N(AJ150)&gt;0,", "&amp;AJ$2,""),3,999)</f>
        <v/>
      </c>
      <c r="AM150" s="87" t="str">
        <f aca="false">IF(E150="","",MID(IF(N(Y150)&gt;0,", "&amp;A150&amp;"-"&amp;Y$2,"")&amp;IF(N(Z150)&gt;0,", "&amp;A150&amp;"-"&amp;Z$2,"")&amp;IF(N(AA150)&gt;0,", "&amp;A150&amp;"-"&amp;AA$2,"")&amp;IF(N(AB150)&gt;0,", "&amp;A150&amp;"-"&amp;AB$2,"")&amp;IF(N(AC150)&gt;0,", "&amp;A150&amp;"-"&amp;AC$2,"")&amp;IF(N(AD150)&gt;0,", "&amp;A150&amp;"-"&amp;AD$2,"")&amp;IF(N(AE150)&gt;0,", "&amp;A150&amp;"-"&amp;AE$2,"")&amp;IF(N(AF150)&gt;0,", "&amp;A150&amp;"-"&amp;AF$2,"")&amp;IF(N(AG150)&gt;0,", "&amp;A150&amp;"-"&amp;AG$2,"")&amp;IF(N(AH150)&gt;0,", "&amp;A150&amp;"-"&amp;AH$2,"")&amp;IF(N(AI150)&gt;0,", "&amp;A150&amp;"-"&amp;AI$2,"")&amp;IF(N(AJ150)&gt;0,", "&amp;A150&amp;"-"&amp;AJ$2,""),3,999))</f>
        <v/>
      </c>
      <c r="AN150" s="81"/>
      <c r="AO150" s="88"/>
      <c r="AP150" s="89" t="str">
        <f aca="false">IF(AO150="","",ROUND(AO150/(1+Справочники!$B$13),2))</f>
        <v/>
      </c>
      <c r="AQ150" s="90" t="str">
        <f aca="false" t="array" ref="AQ150:AQ150">IF(AP150="","",AP150*INDEX(Справочники!$B$4:$B$7,MATCH("RUB",Справочники!$A$4:$A$7,0)))</f>
        <v/>
      </c>
      <c r="AR150" s="90" t="str">
        <f aca="false">IF(AQ150="","",ROUND(AQ150*(1+Справочники!$B$12),0))</f>
        <v/>
      </c>
      <c r="AS150" s="90" t="str">
        <f aca="false">IF(AR150="","",ROUND(AR150*(1-Справочники!$B$11),0))</f>
        <v/>
      </c>
      <c r="AT150" s="88"/>
      <c r="AU150" s="90" t="str">
        <f aca="false">IF(AT150="","",ROUND(AT150/(1+Справочники!$B$12),0))</f>
        <v/>
      </c>
      <c r="AV150" s="90" t="str">
        <f aca="false">IF(AT150="","",ROUND(AT150*(1-Справочники!$B$15),0))</f>
        <v/>
      </c>
      <c r="AW150" s="90" t="str">
        <f aca="false">IF(AT150="","",ROUND(AT150*(1-Справочники!$B$16),0))</f>
        <v/>
      </c>
      <c r="AX150" s="90" t="str">
        <f aca="false">IF(AT150="","",ROUND(AT150*(1-Справочники!$B$17),0))</f>
        <v/>
      </c>
      <c r="AY150" s="90" t="str">
        <f aca="false">IF(AT150="","",ROUND(AT150*(1-Справочники!$B$18),0))</f>
        <v/>
      </c>
      <c r="AZ150" s="90" t="str">
        <f aca="false">IF(AT150="","",ROUND(AT150*(1-Справочники!$B$19),0))</f>
        <v/>
      </c>
      <c r="BA150" s="81"/>
      <c r="BB150" s="81"/>
      <c r="BC150" s="81"/>
      <c r="BD150" s="81"/>
      <c r="BE150" s="91"/>
      <c r="BF150" s="81" t="s">
        <v>103</v>
      </c>
      <c r="BG150" s="89" t="n">
        <f aca="false" t="array" ref="BG150:BG150">IF(BF150="","",IFERROR(INDEX(Справочники!$B$4:$B$7,MATCH(BF150,Справочники!$A$4:$A$7,0)),""))</f>
        <v>68.5</v>
      </c>
      <c r="BH150" s="90" t="str">
        <f aca="false">IF(N(BN150)&gt;0,ROUND(SUMIF(ЗАКАЗЫ!$F$3:$F$500,$A150,ЗАКАЗЫ!$Y$3:$Y$500)/BN150,0),IF(OR(BE150="",BG150=""),"",ROUND(BE150*BG150*(1+Справочники!$B$10),0)))</f>
        <v/>
      </c>
      <c r="BI150" s="92" t="str">
        <f aca="false">IF(OR(AU150="",BH150="",AU150=0),"",(AU150-BH150)/AU150)</f>
        <v/>
      </c>
      <c r="BJ150" s="81"/>
      <c r="BK150" s="83"/>
      <c r="BL150" s="43" t="str">
        <f aca="false">IFERROR(INDEX(ЗАКАЗЫ!$N$3:$N$500,MATCH($A150,ЗАКАЗЫ!$F$3:$F$500,0)),"")</f>
        <v/>
      </c>
      <c r="BM150" s="8" t="str">
        <f aca="false">IF(BL150="","",IFERROR(VLOOKUP(BL150,'ТН ВЭД'!$A$4:$C$40,3,0),""))</f>
        <v/>
      </c>
      <c r="BN150" s="7" t="str">
        <f aca="false">IF(COUNTIF(ЗАКАЗЫ!$F$3:$F$500,$A150)=0,"",SUMIF(ЗАКАЗЫ!$F$3:$F$500,$A150,ЗАКАЗЫ!$J$3:$J$500))</f>
        <v/>
      </c>
      <c r="BO150" s="7" t="str">
        <f aca="false">IF(BN150="","",SUMIF(ЗАКАЗЫ!$F$3:$F$500,$A150,ЗАКАЗЫ!$AL$3:$AL$500))</f>
        <v/>
      </c>
      <c r="BP150" s="7" t="str">
        <f aca="false">IF(BN150="","",BN150-BO150)</f>
        <v/>
      </c>
      <c r="BQ150" s="55" t="str">
        <f aca="false">IF(BN150="","",IF(BO150&gt;=BN150,"На складе",IF(BO150&gt;0,"Частично","Ждём")))</f>
        <v/>
      </c>
      <c r="BR150" s="43"/>
      <c r="BS150" s="47" t="str">
        <f aca="false">IF(BN150="","",IF(_xlfn.MAXIFS(ЗАКАЗЫ!$AK$3:$AK$500,ЗАКАЗЫ!$F$3:$F$500,$A150)=0,"",_xlfn.MAXIFS(ЗАКАЗЫ!$AK$3:$AK$500,ЗАКАЗЫ!$F$3:$F$500,$A150)))</f>
        <v/>
      </c>
    </row>
    <row r="151" customFormat="false" ht="15.75" hidden="false" customHeight="true" outlineLevel="0" collapsed="false">
      <c r="A151" s="80" t="s">
        <v>2018</v>
      </c>
      <c r="B151" s="81"/>
      <c r="C151" s="81"/>
      <c r="D151" s="81"/>
      <c r="E151" s="83"/>
      <c r="F151" s="81"/>
      <c r="G151" s="83"/>
      <c r="H151" s="83"/>
      <c r="I151" s="84" t="str">
        <f aca="false">IF(E151="","",A151&amp;"_1.jpg")</f>
        <v/>
      </c>
      <c r="J151" s="84" t="str">
        <f aca="false">IF(E151="","",A151&amp;"_2.jpg; "&amp;A151&amp;"_3.jpg")</f>
        <v/>
      </c>
      <c r="K151" s="84" t="str">
        <f aca="false">IF(E151="","",A151&amp;"_schema.jpg")</f>
        <v/>
      </c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 t="s">
        <v>96</v>
      </c>
      <c r="W151" s="81"/>
      <c r="X151" s="81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6" t="str">
        <f aca="false">IF(SUM(Y151:AJ151)=0,"",SUM(Y151:AJ151))</f>
        <v/>
      </c>
      <c r="AL151" s="84" t="str">
        <f aca="false">MID(IF(N(Y151)&gt;0,", "&amp;Y$2,"")&amp;IF(N(Z151)&gt;0,", "&amp;Z$2,"")&amp;IF(N(AA151)&gt;0,", "&amp;AA$2,"")&amp;IF(N(AB151)&gt;0,", "&amp;AB$2,"")&amp;IF(N(AC151)&gt;0,", "&amp;AC$2,"")&amp;IF(N(AD151)&gt;0,", "&amp;AD$2,"")&amp;IF(N(AE151)&gt;0,", "&amp;AE$2,"")&amp;IF(N(AF151)&gt;0,", "&amp;AF$2,"")&amp;IF(N(AG151)&gt;0,", "&amp;AG$2,"")&amp;IF(N(AH151)&gt;0,", "&amp;AH$2,"")&amp;IF(N(AI151)&gt;0,", "&amp;AI$2,"")&amp;IF(N(AJ151)&gt;0,", "&amp;AJ$2,""),3,999)</f>
        <v/>
      </c>
      <c r="AM151" s="87" t="str">
        <f aca="false">IF(E151="","",MID(IF(N(Y151)&gt;0,", "&amp;A151&amp;"-"&amp;Y$2,"")&amp;IF(N(Z151)&gt;0,", "&amp;A151&amp;"-"&amp;Z$2,"")&amp;IF(N(AA151)&gt;0,", "&amp;A151&amp;"-"&amp;AA$2,"")&amp;IF(N(AB151)&gt;0,", "&amp;A151&amp;"-"&amp;AB$2,"")&amp;IF(N(AC151)&gt;0,", "&amp;A151&amp;"-"&amp;AC$2,"")&amp;IF(N(AD151)&gt;0,", "&amp;A151&amp;"-"&amp;AD$2,"")&amp;IF(N(AE151)&gt;0,", "&amp;A151&amp;"-"&amp;AE$2,"")&amp;IF(N(AF151)&gt;0,", "&amp;A151&amp;"-"&amp;AF$2,"")&amp;IF(N(AG151)&gt;0,", "&amp;A151&amp;"-"&amp;AG$2,"")&amp;IF(N(AH151)&gt;0,", "&amp;A151&amp;"-"&amp;AH$2,"")&amp;IF(N(AI151)&gt;0,", "&amp;A151&amp;"-"&amp;AI$2,"")&amp;IF(N(AJ151)&gt;0,", "&amp;A151&amp;"-"&amp;AJ$2,""),3,999))</f>
        <v/>
      </c>
      <c r="AN151" s="81"/>
      <c r="AO151" s="88"/>
      <c r="AP151" s="89" t="str">
        <f aca="false">IF(AO151="","",ROUND(AO151/(1+Справочники!$B$13),2))</f>
        <v/>
      </c>
      <c r="AQ151" s="90" t="str">
        <f aca="false" t="array" ref="AQ151:AQ151">IF(AP151="","",AP151*INDEX(Справочники!$B$4:$B$7,MATCH("RUB",Справочники!$A$4:$A$7,0)))</f>
        <v/>
      </c>
      <c r="AR151" s="90" t="str">
        <f aca="false">IF(AQ151="","",ROUND(AQ151*(1+Справочники!$B$12),0))</f>
        <v/>
      </c>
      <c r="AS151" s="90" t="str">
        <f aca="false">IF(AR151="","",ROUND(AR151*(1-Справочники!$B$11),0))</f>
        <v/>
      </c>
      <c r="AT151" s="88"/>
      <c r="AU151" s="90" t="str">
        <f aca="false">IF(AT151="","",ROUND(AT151/(1+Справочники!$B$12),0))</f>
        <v/>
      </c>
      <c r="AV151" s="90" t="str">
        <f aca="false">IF(AT151="","",ROUND(AT151*(1-Справочники!$B$15),0))</f>
        <v/>
      </c>
      <c r="AW151" s="90" t="str">
        <f aca="false">IF(AT151="","",ROUND(AT151*(1-Справочники!$B$16),0))</f>
        <v/>
      </c>
      <c r="AX151" s="90" t="str">
        <f aca="false">IF(AT151="","",ROUND(AT151*(1-Справочники!$B$17),0))</f>
        <v/>
      </c>
      <c r="AY151" s="90" t="str">
        <f aca="false">IF(AT151="","",ROUND(AT151*(1-Справочники!$B$18),0))</f>
        <v/>
      </c>
      <c r="AZ151" s="90" t="str">
        <f aca="false">IF(AT151="","",ROUND(AT151*(1-Справочники!$B$19),0))</f>
        <v/>
      </c>
      <c r="BA151" s="81"/>
      <c r="BB151" s="81"/>
      <c r="BC151" s="81"/>
      <c r="BD151" s="81"/>
      <c r="BE151" s="91"/>
      <c r="BF151" s="81" t="s">
        <v>103</v>
      </c>
      <c r="BG151" s="89" t="n">
        <f aca="false" t="array" ref="BG151:BG151">IF(BF151="","",IFERROR(INDEX(Справочники!$B$4:$B$7,MATCH(BF151,Справочники!$A$4:$A$7,0)),""))</f>
        <v>68.5</v>
      </c>
      <c r="BH151" s="90" t="str">
        <f aca="false">IF(N(BN151)&gt;0,ROUND(SUMIF(ЗАКАЗЫ!$F$3:$F$500,$A151,ЗАКАЗЫ!$Y$3:$Y$500)/BN151,0),IF(OR(BE151="",BG151=""),"",ROUND(BE151*BG151*(1+Справочники!$B$10),0)))</f>
        <v/>
      </c>
      <c r="BI151" s="92" t="str">
        <f aca="false">IF(OR(AU151="",BH151="",AU151=0),"",(AU151-BH151)/AU151)</f>
        <v/>
      </c>
      <c r="BJ151" s="81"/>
      <c r="BK151" s="83"/>
      <c r="BL151" s="43" t="str">
        <f aca="false">IFERROR(INDEX(ЗАКАЗЫ!$N$3:$N$500,MATCH($A151,ЗАКАЗЫ!$F$3:$F$500,0)),"")</f>
        <v/>
      </c>
      <c r="BM151" s="8" t="str">
        <f aca="false">IF(BL151="","",IFERROR(VLOOKUP(BL151,'ТН ВЭД'!$A$4:$C$40,3,0),""))</f>
        <v/>
      </c>
      <c r="BN151" s="7" t="str">
        <f aca="false">IF(COUNTIF(ЗАКАЗЫ!$F$3:$F$500,$A151)=0,"",SUMIF(ЗАКАЗЫ!$F$3:$F$500,$A151,ЗАКАЗЫ!$J$3:$J$500))</f>
        <v/>
      </c>
      <c r="BO151" s="7" t="str">
        <f aca="false">IF(BN151="","",SUMIF(ЗАКАЗЫ!$F$3:$F$500,$A151,ЗАКАЗЫ!$AL$3:$AL$500))</f>
        <v/>
      </c>
      <c r="BP151" s="7" t="str">
        <f aca="false">IF(BN151="","",BN151-BO151)</f>
        <v/>
      </c>
      <c r="BQ151" s="55" t="str">
        <f aca="false">IF(BN151="","",IF(BO151&gt;=BN151,"На складе",IF(BO151&gt;0,"Частично","Ждём")))</f>
        <v/>
      </c>
      <c r="BR151" s="43"/>
      <c r="BS151" s="47" t="str">
        <f aca="false">IF(BN151="","",IF(_xlfn.MAXIFS(ЗАКАЗЫ!$AK$3:$AK$500,ЗАКАЗЫ!$F$3:$F$500,$A151)=0,"",_xlfn.MAXIFS(ЗАКАЗЫ!$AK$3:$AK$500,ЗАКАЗЫ!$F$3:$F$500,$A151)))</f>
        <v/>
      </c>
    </row>
    <row r="152" customFormat="false" ht="15.75" hidden="false" customHeight="true" outlineLevel="0" collapsed="false">
      <c r="A152" s="80" t="s">
        <v>2019</v>
      </c>
      <c r="B152" s="81"/>
      <c r="C152" s="81"/>
      <c r="D152" s="81"/>
      <c r="E152" s="83"/>
      <c r="F152" s="81"/>
      <c r="G152" s="83"/>
      <c r="H152" s="83"/>
      <c r="I152" s="84" t="str">
        <f aca="false">IF(E152="","",A152&amp;"_1.jpg")</f>
        <v/>
      </c>
      <c r="J152" s="84" t="str">
        <f aca="false">IF(E152="","",A152&amp;"_2.jpg; "&amp;A152&amp;"_3.jpg")</f>
        <v/>
      </c>
      <c r="K152" s="84" t="str">
        <f aca="false">IF(E152="","",A152&amp;"_schema.jpg")</f>
        <v/>
      </c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 t="s">
        <v>96</v>
      </c>
      <c r="W152" s="81"/>
      <c r="X152" s="81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6" t="str">
        <f aca="false">IF(SUM(Y152:AJ152)=0,"",SUM(Y152:AJ152))</f>
        <v/>
      </c>
      <c r="AL152" s="84" t="str">
        <f aca="false">MID(IF(N(Y152)&gt;0,", "&amp;Y$2,"")&amp;IF(N(Z152)&gt;0,", "&amp;Z$2,"")&amp;IF(N(AA152)&gt;0,", "&amp;AA$2,"")&amp;IF(N(AB152)&gt;0,", "&amp;AB$2,"")&amp;IF(N(AC152)&gt;0,", "&amp;AC$2,"")&amp;IF(N(AD152)&gt;0,", "&amp;AD$2,"")&amp;IF(N(AE152)&gt;0,", "&amp;AE$2,"")&amp;IF(N(AF152)&gt;0,", "&amp;AF$2,"")&amp;IF(N(AG152)&gt;0,", "&amp;AG$2,"")&amp;IF(N(AH152)&gt;0,", "&amp;AH$2,"")&amp;IF(N(AI152)&gt;0,", "&amp;AI$2,"")&amp;IF(N(AJ152)&gt;0,", "&amp;AJ$2,""),3,999)</f>
        <v/>
      </c>
      <c r="AM152" s="87" t="str">
        <f aca="false">IF(E152="","",MID(IF(N(Y152)&gt;0,", "&amp;A152&amp;"-"&amp;Y$2,"")&amp;IF(N(Z152)&gt;0,", "&amp;A152&amp;"-"&amp;Z$2,"")&amp;IF(N(AA152)&gt;0,", "&amp;A152&amp;"-"&amp;AA$2,"")&amp;IF(N(AB152)&gt;0,", "&amp;A152&amp;"-"&amp;AB$2,"")&amp;IF(N(AC152)&gt;0,", "&amp;A152&amp;"-"&amp;AC$2,"")&amp;IF(N(AD152)&gt;0,", "&amp;A152&amp;"-"&amp;AD$2,"")&amp;IF(N(AE152)&gt;0,", "&amp;A152&amp;"-"&amp;AE$2,"")&amp;IF(N(AF152)&gt;0,", "&amp;A152&amp;"-"&amp;AF$2,"")&amp;IF(N(AG152)&gt;0,", "&amp;A152&amp;"-"&amp;AG$2,"")&amp;IF(N(AH152)&gt;0,", "&amp;A152&amp;"-"&amp;AH$2,"")&amp;IF(N(AI152)&gt;0,", "&amp;A152&amp;"-"&amp;AI$2,"")&amp;IF(N(AJ152)&gt;0,", "&amp;A152&amp;"-"&amp;AJ$2,""),3,999))</f>
        <v/>
      </c>
      <c r="AN152" s="81"/>
      <c r="AO152" s="88"/>
      <c r="AP152" s="89" t="str">
        <f aca="false">IF(AO152="","",ROUND(AO152/(1+Справочники!$B$13),2))</f>
        <v/>
      </c>
      <c r="AQ152" s="90" t="str">
        <f aca="false" t="array" ref="AQ152:AQ152">IF(AP152="","",AP152*INDEX(Справочники!$B$4:$B$7,MATCH("RUB",Справочники!$A$4:$A$7,0)))</f>
        <v/>
      </c>
      <c r="AR152" s="90" t="str">
        <f aca="false">IF(AQ152="","",ROUND(AQ152*(1+Справочники!$B$12),0))</f>
        <v/>
      </c>
      <c r="AS152" s="90" t="str">
        <f aca="false">IF(AR152="","",ROUND(AR152*(1-Справочники!$B$11),0))</f>
        <v/>
      </c>
      <c r="AT152" s="88"/>
      <c r="AU152" s="90" t="str">
        <f aca="false">IF(AT152="","",ROUND(AT152/(1+Справочники!$B$12),0))</f>
        <v/>
      </c>
      <c r="AV152" s="90" t="str">
        <f aca="false">IF(AT152="","",ROUND(AT152*(1-Справочники!$B$15),0))</f>
        <v/>
      </c>
      <c r="AW152" s="90" t="str">
        <f aca="false">IF(AT152="","",ROUND(AT152*(1-Справочники!$B$16),0))</f>
        <v/>
      </c>
      <c r="AX152" s="90" t="str">
        <f aca="false">IF(AT152="","",ROUND(AT152*(1-Справочники!$B$17),0))</f>
        <v/>
      </c>
      <c r="AY152" s="90" t="str">
        <f aca="false">IF(AT152="","",ROUND(AT152*(1-Справочники!$B$18),0))</f>
        <v/>
      </c>
      <c r="AZ152" s="90" t="str">
        <f aca="false">IF(AT152="","",ROUND(AT152*(1-Справочники!$B$19),0))</f>
        <v/>
      </c>
      <c r="BA152" s="81"/>
      <c r="BB152" s="81"/>
      <c r="BC152" s="81"/>
      <c r="BD152" s="81"/>
      <c r="BE152" s="91"/>
      <c r="BF152" s="81" t="s">
        <v>103</v>
      </c>
      <c r="BG152" s="89" t="n">
        <f aca="false" t="array" ref="BG152:BG152">IF(BF152="","",IFERROR(INDEX(Справочники!$B$4:$B$7,MATCH(BF152,Справочники!$A$4:$A$7,0)),""))</f>
        <v>68.5</v>
      </c>
      <c r="BH152" s="90" t="str">
        <f aca="false">IF(N(BN152)&gt;0,ROUND(SUMIF(ЗАКАЗЫ!$F$3:$F$500,$A152,ЗАКАЗЫ!$Y$3:$Y$500)/BN152,0),IF(OR(BE152="",BG152=""),"",ROUND(BE152*BG152*(1+Справочники!$B$10),0)))</f>
        <v/>
      </c>
      <c r="BI152" s="92" t="str">
        <f aca="false">IF(OR(AU152="",BH152="",AU152=0),"",(AU152-BH152)/AU152)</f>
        <v/>
      </c>
      <c r="BJ152" s="81"/>
      <c r="BK152" s="83"/>
      <c r="BL152" s="43" t="str">
        <f aca="false">IFERROR(INDEX(ЗАКАЗЫ!$N$3:$N$500,MATCH($A152,ЗАКАЗЫ!$F$3:$F$500,0)),"")</f>
        <v/>
      </c>
      <c r="BM152" s="8" t="str">
        <f aca="false">IF(BL152="","",IFERROR(VLOOKUP(BL152,'ТН ВЭД'!$A$4:$C$40,3,0),""))</f>
        <v/>
      </c>
      <c r="BN152" s="7" t="str">
        <f aca="false">IF(COUNTIF(ЗАКАЗЫ!$F$3:$F$500,$A152)=0,"",SUMIF(ЗАКАЗЫ!$F$3:$F$500,$A152,ЗАКАЗЫ!$J$3:$J$500))</f>
        <v/>
      </c>
      <c r="BO152" s="7" t="str">
        <f aca="false">IF(BN152="","",SUMIF(ЗАКАЗЫ!$F$3:$F$500,$A152,ЗАКАЗЫ!$AL$3:$AL$500))</f>
        <v/>
      </c>
      <c r="BP152" s="7" t="str">
        <f aca="false">IF(BN152="","",BN152-BO152)</f>
        <v/>
      </c>
      <c r="BQ152" s="55" t="str">
        <f aca="false">IF(BN152="","",IF(BO152&gt;=BN152,"На складе",IF(BO152&gt;0,"Частично","Ждём")))</f>
        <v/>
      </c>
      <c r="BR152" s="43"/>
      <c r="BS152" s="47" t="str">
        <f aca="false">IF(BN152="","",IF(_xlfn.MAXIFS(ЗАКАЗЫ!$AK$3:$AK$500,ЗАКАЗЫ!$F$3:$F$500,$A152)=0,"",_xlfn.MAXIFS(ЗАКАЗЫ!$AK$3:$AK$500,ЗАКАЗЫ!$F$3:$F$500,$A152)))</f>
        <v/>
      </c>
    </row>
    <row r="153" customFormat="false" ht="15.75" hidden="false" customHeight="true" outlineLevel="0" collapsed="false">
      <c r="A153" s="80" t="s">
        <v>2020</v>
      </c>
      <c r="B153" s="81"/>
      <c r="C153" s="81"/>
      <c r="D153" s="81"/>
      <c r="E153" s="83"/>
      <c r="F153" s="81"/>
      <c r="G153" s="83"/>
      <c r="H153" s="83"/>
      <c r="I153" s="84" t="str">
        <f aca="false">IF(E153="","",A153&amp;"_1.jpg")</f>
        <v/>
      </c>
      <c r="J153" s="84" t="str">
        <f aca="false">IF(E153="","",A153&amp;"_2.jpg; "&amp;A153&amp;"_3.jpg")</f>
        <v/>
      </c>
      <c r="K153" s="84" t="str">
        <f aca="false">IF(E153="","",A153&amp;"_schema.jpg")</f>
        <v/>
      </c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 t="s">
        <v>96</v>
      </c>
      <c r="W153" s="81"/>
      <c r="X153" s="81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6" t="str">
        <f aca="false">IF(SUM(Y153:AJ153)=0,"",SUM(Y153:AJ153))</f>
        <v/>
      </c>
      <c r="AL153" s="84" t="str">
        <f aca="false">MID(IF(N(Y153)&gt;0,", "&amp;Y$2,"")&amp;IF(N(Z153)&gt;0,", "&amp;Z$2,"")&amp;IF(N(AA153)&gt;0,", "&amp;AA$2,"")&amp;IF(N(AB153)&gt;0,", "&amp;AB$2,"")&amp;IF(N(AC153)&gt;0,", "&amp;AC$2,"")&amp;IF(N(AD153)&gt;0,", "&amp;AD$2,"")&amp;IF(N(AE153)&gt;0,", "&amp;AE$2,"")&amp;IF(N(AF153)&gt;0,", "&amp;AF$2,"")&amp;IF(N(AG153)&gt;0,", "&amp;AG$2,"")&amp;IF(N(AH153)&gt;0,", "&amp;AH$2,"")&amp;IF(N(AI153)&gt;0,", "&amp;AI$2,"")&amp;IF(N(AJ153)&gt;0,", "&amp;AJ$2,""),3,999)</f>
        <v/>
      </c>
      <c r="AM153" s="87" t="str">
        <f aca="false">IF(E153="","",MID(IF(N(Y153)&gt;0,", "&amp;A153&amp;"-"&amp;Y$2,"")&amp;IF(N(Z153)&gt;0,", "&amp;A153&amp;"-"&amp;Z$2,"")&amp;IF(N(AA153)&gt;0,", "&amp;A153&amp;"-"&amp;AA$2,"")&amp;IF(N(AB153)&gt;0,", "&amp;A153&amp;"-"&amp;AB$2,"")&amp;IF(N(AC153)&gt;0,", "&amp;A153&amp;"-"&amp;AC$2,"")&amp;IF(N(AD153)&gt;0,", "&amp;A153&amp;"-"&amp;AD$2,"")&amp;IF(N(AE153)&gt;0,", "&amp;A153&amp;"-"&amp;AE$2,"")&amp;IF(N(AF153)&gt;0,", "&amp;A153&amp;"-"&amp;AF$2,"")&amp;IF(N(AG153)&gt;0,", "&amp;A153&amp;"-"&amp;AG$2,"")&amp;IF(N(AH153)&gt;0,", "&amp;A153&amp;"-"&amp;AH$2,"")&amp;IF(N(AI153)&gt;0,", "&amp;A153&amp;"-"&amp;AI$2,"")&amp;IF(N(AJ153)&gt;0,", "&amp;A153&amp;"-"&amp;AJ$2,""),3,999))</f>
        <v/>
      </c>
      <c r="AN153" s="81"/>
      <c r="AO153" s="88"/>
      <c r="AP153" s="89" t="str">
        <f aca="false">IF(AO153="","",ROUND(AO153/(1+Справочники!$B$13),2))</f>
        <v/>
      </c>
      <c r="AQ153" s="90" t="str">
        <f aca="false" t="array" ref="AQ153:AQ153">IF(AP153="","",AP153*INDEX(Справочники!$B$4:$B$7,MATCH("RUB",Справочники!$A$4:$A$7,0)))</f>
        <v/>
      </c>
      <c r="AR153" s="90" t="str">
        <f aca="false">IF(AQ153="","",ROUND(AQ153*(1+Справочники!$B$12),0))</f>
        <v/>
      </c>
      <c r="AS153" s="90" t="str">
        <f aca="false">IF(AR153="","",ROUND(AR153*(1-Справочники!$B$11),0))</f>
        <v/>
      </c>
      <c r="AT153" s="88"/>
      <c r="AU153" s="90" t="str">
        <f aca="false">IF(AT153="","",ROUND(AT153/(1+Справочники!$B$12),0))</f>
        <v/>
      </c>
      <c r="AV153" s="90" t="str">
        <f aca="false">IF(AT153="","",ROUND(AT153*(1-Справочники!$B$15),0))</f>
        <v/>
      </c>
      <c r="AW153" s="90" t="str">
        <f aca="false">IF(AT153="","",ROUND(AT153*(1-Справочники!$B$16),0))</f>
        <v/>
      </c>
      <c r="AX153" s="90" t="str">
        <f aca="false">IF(AT153="","",ROUND(AT153*(1-Справочники!$B$17),0))</f>
        <v/>
      </c>
      <c r="AY153" s="90" t="str">
        <f aca="false">IF(AT153="","",ROUND(AT153*(1-Справочники!$B$18),0))</f>
        <v/>
      </c>
      <c r="AZ153" s="90" t="str">
        <f aca="false">IF(AT153="","",ROUND(AT153*(1-Справочники!$B$19),0))</f>
        <v/>
      </c>
      <c r="BA153" s="81"/>
      <c r="BB153" s="81"/>
      <c r="BC153" s="81"/>
      <c r="BD153" s="81"/>
      <c r="BE153" s="91"/>
      <c r="BF153" s="81" t="s">
        <v>103</v>
      </c>
      <c r="BG153" s="89" t="n">
        <f aca="false" t="array" ref="BG153:BG153">IF(BF153="","",IFERROR(INDEX(Справочники!$B$4:$B$7,MATCH(BF153,Справочники!$A$4:$A$7,0)),""))</f>
        <v>68.5</v>
      </c>
      <c r="BH153" s="90" t="str">
        <f aca="false">IF(N(BN153)&gt;0,ROUND(SUMIF(ЗАКАЗЫ!$F$3:$F$500,$A153,ЗАКАЗЫ!$Y$3:$Y$500)/BN153,0),IF(OR(BE153="",BG153=""),"",ROUND(BE153*BG153*(1+Справочники!$B$10),0)))</f>
        <v/>
      </c>
      <c r="BI153" s="92" t="str">
        <f aca="false">IF(OR(AU153="",BH153="",AU153=0),"",(AU153-BH153)/AU153)</f>
        <v/>
      </c>
      <c r="BJ153" s="81"/>
      <c r="BK153" s="83"/>
      <c r="BL153" s="43" t="str">
        <f aca="false">IFERROR(INDEX(ЗАКАЗЫ!$N$3:$N$500,MATCH($A153,ЗАКАЗЫ!$F$3:$F$500,0)),"")</f>
        <v/>
      </c>
      <c r="BM153" s="8" t="str">
        <f aca="false">IF(BL153="","",IFERROR(VLOOKUP(BL153,'ТН ВЭД'!$A$4:$C$40,3,0),""))</f>
        <v/>
      </c>
      <c r="BN153" s="7" t="str">
        <f aca="false">IF(COUNTIF(ЗАКАЗЫ!$F$3:$F$500,$A153)=0,"",SUMIF(ЗАКАЗЫ!$F$3:$F$500,$A153,ЗАКАЗЫ!$J$3:$J$500))</f>
        <v/>
      </c>
      <c r="BO153" s="7" t="str">
        <f aca="false">IF(BN153="","",SUMIF(ЗАКАЗЫ!$F$3:$F$500,$A153,ЗАКАЗЫ!$AL$3:$AL$500))</f>
        <v/>
      </c>
      <c r="BP153" s="7" t="str">
        <f aca="false">IF(BN153="","",BN153-BO153)</f>
        <v/>
      </c>
      <c r="BQ153" s="55" t="str">
        <f aca="false">IF(BN153="","",IF(BO153&gt;=BN153,"На складе",IF(BO153&gt;0,"Частично","Ждём")))</f>
        <v/>
      </c>
      <c r="BR153" s="43"/>
      <c r="BS153" s="47" t="str">
        <f aca="false">IF(BN153="","",IF(_xlfn.MAXIFS(ЗАКАЗЫ!$AK$3:$AK$500,ЗАКАЗЫ!$F$3:$F$500,$A153)=0,"",_xlfn.MAXIFS(ЗАКАЗЫ!$AK$3:$AK$500,ЗАКАЗЫ!$F$3:$F$500,$A153)))</f>
        <v/>
      </c>
    </row>
    <row r="154" customFormat="false" ht="15.75" hidden="false" customHeight="true" outlineLevel="0" collapsed="false">
      <c r="A154" s="80" t="s">
        <v>2021</v>
      </c>
      <c r="B154" s="81"/>
      <c r="C154" s="81"/>
      <c r="D154" s="81"/>
      <c r="E154" s="83"/>
      <c r="F154" s="81"/>
      <c r="G154" s="83"/>
      <c r="H154" s="83"/>
      <c r="I154" s="84" t="str">
        <f aca="false">IF(E154="","",A154&amp;"_1.jpg")</f>
        <v/>
      </c>
      <c r="J154" s="84" t="str">
        <f aca="false">IF(E154="","",A154&amp;"_2.jpg; "&amp;A154&amp;"_3.jpg")</f>
        <v/>
      </c>
      <c r="K154" s="84" t="str">
        <f aca="false">IF(E154="","",A154&amp;"_schema.jpg")</f>
        <v/>
      </c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 t="s">
        <v>96</v>
      </c>
      <c r="W154" s="81"/>
      <c r="X154" s="81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6" t="str">
        <f aca="false">IF(SUM(Y154:AJ154)=0,"",SUM(Y154:AJ154))</f>
        <v/>
      </c>
      <c r="AL154" s="84" t="str">
        <f aca="false">MID(IF(N(Y154)&gt;0,", "&amp;Y$2,"")&amp;IF(N(Z154)&gt;0,", "&amp;Z$2,"")&amp;IF(N(AA154)&gt;0,", "&amp;AA$2,"")&amp;IF(N(AB154)&gt;0,", "&amp;AB$2,"")&amp;IF(N(AC154)&gt;0,", "&amp;AC$2,"")&amp;IF(N(AD154)&gt;0,", "&amp;AD$2,"")&amp;IF(N(AE154)&gt;0,", "&amp;AE$2,"")&amp;IF(N(AF154)&gt;0,", "&amp;AF$2,"")&amp;IF(N(AG154)&gt;0,", "&amp;AG$2,"")&amp;IF(N(AH154)&gt;0,", "&amp;AH$2,"")&amp;IF(N(AI154)&gt;0,", "&amp;AI$2,"")&amp;IF(N(AJ154)&gt;0,", "&amp;AJ$2,""),3,999)</f>
        <v/>
      </c>
      <c r="AM154" s="87" t="str">
        <f aca="false">IF(E154="","",MID(IF(N(Y154)&gt;0,", "&amp;A154&amp;"-"&amp;Y$2,"")&amp;IF(N(Z154)&gt;0,", "&amp;A154&amp;"-"&amp;Z$2,"")&amp;IF(N(AA154)&gt;0,", "&amp;A154&amp;"-"&amp;AA$2,"")&amp;IF(N(AB154)&gt;0,", "&amp;A154&amp;"-"&amp;AB$2,"")&amp;IF(N(AC154)&gt;0,", "&amp;A154&amp;"-"&amp;AC$2,"")&amp;IF(N(AD154)&gt;0,", "&amp;A154&amp;"-"&amp;AD$2,"")&amp;IF(N(AE154)&gt;0,", "&amp;A154&amp;"-"&amp;AE$2,"")&amp;IF(N(AF154)&gt;0,", "&amp;A154&amp;"-"&amp;AF$2,"")&amp;IF(N(AG154)&gt;0,", "&amp;A154&amp;"-"&amp;AG$2,"")&amp;IF(N(AH154)&gt;0,", "&amp;A154&amp;"-"&amp;AH$2,"")&amp;IF(N(AI154)&gt;0,", "&amp;A154&amp;"-"&amp;AI$2,"")&amp;IF(N(AJ154)&gt;0,", "&amp;A154&amp;"-"&amp;AJ$2,""),3,999))</f>
        <v/>
      </c>
      <c r="AN154" s="81"/>
      <c r="AO154" s="88"/>
      <c r="AP154" s="89" t="str">
        <f aca="false">IF(AO154="","",ROUND(AO154/(1+Справочники!$B$13),2))</f>
        <v/>
      </c>
      <c r="AQ154" s="90" t="str">
        <f aca="false" t="array" ref="AQ154:AQ154">IF(AP154="","",AP154*INDEX(Справочники!$B$4:$B$7,MATCH("RUB",Справочники!$A$4:$A$7,0)))</f>
        <v/>
      </c>
      <c r="AR154" s="90" t="str">
        <f aca="false">IF(AQ154="","",ROUND(AQ154*(1+Справочники!$B$12),0))</f>
        <v/>
      </c>
      <c r="AS154" s="90" t="str">
        <f aca="false">IF(AR154="","",ROUND(AR154*(1-Справочники!$B$11),0))</f>
        <v/>
      </c>
      <c r="AT154" s="88"/>
      <c r="AU154" s="90" t="str">
        <f aca="false">IF(AT154="","",ROUND(AT154/(1+Справочники!$B$12),0))</f>
        <v/>
      </c>
      <c r="AV154" s="90" t="str">
        <f aca="false">IF(AT154="","",ROUND(AT154*(1-Справочники!$B$15),0))</f>
        <v/>
      </c>
      <c r="AW154" s="90" t="str">
        <f aca="false">IF(AT154="","",ROUND(AT154*(1-Справочники!$B$16),0))</f>
        <v/>
      </c>
      <c r="AX154" s="90" t="str">
        <f aca="false">IF(AT154="","",ROUND(AT154*(1-Справочники!$B$17),0))</f>
        <v/>
      </c>
      <c r="AY154" s="90" t="str">
        <f aca="false">IF(AT154="","",ROUND(AT154*(1-Справочники!$B$18),0))</f>
        <v/>
      </c>
      <c r="AZ154" s="90" t="str">
        <f aca="false">IF(AT154="","",ROUND(AT154*(1-Справочники!$B$19),0))</f>
        <v/>
      </c>
      <c r="BA154" s="81"/>
      <c r="BB154" s="81"/>
      <c r="BC154" s="81"/>
      <c r="BD154" s="81"/>
      <c r="BE154" s="91"/>
      <c r="BF154" s="81" t="s">
        <v>103</v>
      </c>
      <c r="BG154" s="89" t="n">
        <f aca="false" t="array" ref="BG154:BG154">IF(BF154="","",IFERROR(INDEX(Справочники!$B$4:$B$7,MATCH(BF154,Справочники!$A$4:$A$7,0)),""))</f>
        <v>68.5</v>
      </c>
      <c r="BH154" s="90" t="str">
        <f aca="false">IF(N(BN154)&gt;0,ROUND(SUMIF(ЗАКАЗЫ!$F$3:$F$500,$A154,ЗАКАЗЫ!$Y$3:$Y$500)/BN154,0),IF(OR(BE154="",BG154=""),"",ROUND(BE154*BG154*(1+Справочники!$B$10),0)))</f>
        <v/>
      </c>
      <c r="BI154" s="92" t="str">
        <f aca="false">IF(OR(AU154="",BH154="",AU154=0),"",(AU154-BH154)/AU154)</f>
        <v/>
      </c>
      <c r="BJ154" s="81"/>
      <c r="BK154" s="83"/>
      <c r="BL154" s="43" t="str">
        <f aca="false">IFERROR(INDEX(ЗАКАЗЫ!$N$3:$N$500,MATCH($A154,ЗАКАЗЫ!$F$3:$F$500,0)),"")</f>
        <v/>
      </c>
      <c r="BM154" s="8" t="str">
        <f aca="false">IF(BL154="","",IFERROR(VLOOKUP(BL154,'ТН ВЭД'!$A$4:$C$40,3,0),""))</f>
        <v/>
      </c>
      <c r="BN154" s="7" t="str">
        <f aca="false">IF(COUNTIF(ЗАКАЗЫ!$F$3:$F$500,$A154)=0,"",SUMIF(ЗАКАЗЫ!$F$3:$F$500,$A154,ЗАКАЗЫ!$J$3:$J$500))</f>
        <v/>
      </c>
      <c r="BO154" s="7" t="str">
        <f aca="false">IF(BN154="","",SUMIF(ЗАКАЗЫ!$F$3:$F$500,$A154,ЗАКАЗЫ!$AL$3:$AL$500))</f>
        <v/>
      </c>
      <c r="BP154" s="7" t="str">
        <f aca="false">IF(BN154="","",BN154-BO154)</f>
        <v/>
      </c>
      <c r="BQ154" s="55" t="str">
        <f aca="false">IF(BN154="","",IF(BO154&gt;=BN154,"На складе",IF(BO154&gt;0,"Частично","Ждём")))</f>
        <v/>
      </c>
      <c r="BR154" s="43"/>
      <c r="BS154" s="47" t="str">
        <f aca="false">IF(BN154="","",IF(_xlfn.MAXIFS(ЗАКАЗЫ!$AK$3:$AK$500,ЗАКАЗЫ!$F$3:$F$500,$A154)=0,"",_xlfn.MAXIFS(ЗАКАЗЫ!$AK$3:$AK$500,ЗАКАЗЫ!$F$3:$F$500,$A154)))</f>
        <v/>
      </c>
    </row>
    <row r="155" customFormat="false" ht="15.75" hidden="false" customHeight="true" outlineLevel="0" collapsed="false">
      <c r="A155" s="80" t="s">
        <v>2022</v>
      </c>
      <c r="B155" s="81"/>
      <c r="C155" s="81"/>
      <c r="D155" s="81"/>
      <c r="E155" s="83"/>
      <c r="F155" s="81"/>
      <c r="G155" s="83"/>
      <c r="H155" s="83"/>
      <c r="I155" s="84" t="str">
        <f aca="false">IF(E155="","",A155&amp;"_1.jpg")</f>
        <v/>
      </c>
      <c r="J155" s="84" t="str">
        <f aca="false">IF(E155="","",A155&amp;"_2.jpg; "&amp;A155&amp;"_3.jpg")</f>
        <v/>
      </c>
      <c r="K155" s="84" t="str">
        <f aca="false">IF(E155="","",A155&amp;"_schema.jpg")</f>
        <v/>
      </c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 t="s">
        <v>96</v>
      </c>
      <c r="W155" s="81"/>
      <c r="X155" s="81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6" t="str">
        <f aca="false">IF(SUM(Y155:AJ155)=0,"",SUM(Y155:AJ155))</f>
        <v/>
      </c>
      <c r="AL155" s="84" t="str">
        <f aca="false">MID(IF(N(Y155)&gt;0,", "&amp;Y$2,"")&amp;IF(N(Z155)&gt;0,", "&amp;Z$2,"")&amp;IF(N(AA155)&gt;0,", "&amp;AA$2,"")&amp;IF(N(AB155)&gt;0,", "&amp;AB$2,"")&amp;IF(N(AC155)&gt;0,", "&amp;AC$2,"")&amp;IF(N(AD155)&gt;0,", "&amp;AD$2,"")&amp;IF(N(AE155)&gt;0,", "&amp;AE$2,"")&amp;IF(N(AF155)&gt;0,", "&amp;AF$2,"")&amp;IF(N(AG155)&gt;0,", "&amp;AG$2,"")&amp;IF(N(AH155)&gt;0,", "&amp;AH$2,"")&amp;IF(N(AI155)&gt;0,", "&amp;AI$2,"")&amp;IF(N(AJ155)&gt;0,", "&amp;AJ$2,""),3,999)</f>
        <v/>
      </c>
      <c r="AM155" s="87" t="str">
        <f aca="false">IF(E155="","",MID(IF(N(Y155)&gt;0,", "&amp;A155&amp;"-"&amp;Y$2,"")&amp;IF(N(Z155)&gt;0,", "&amp;A155&amp;"-"&amp;Z$2,"")&amp;IF(N(AA155)&gt;0,", "&amp;A155&amp;"-"&amp;AA$2,"")&amp;IF(N(AB155)&gt;0,", "&amp;A155&amp;"-"&amp;AB$2,"")&amp;IF(N(AC155)&gt;0,", "&amp;A155&amp;"-"&amp;AC$2,"")&amp;IF(N(AD155)&gt;0,", "&amp;A155&amp;"-"&amp;AD$2,"")&amp;IF(N(AE155)&gt;0,", "&amp;A155&amp;"-"&amp;AE$2,"")&amp;IF(N(AF155)&gt;0,", "&amp;A155&amp;"-"&amp;AF$2,"")&amp;IF(N(AG155)&gt;0,", "&amp;A155&amp;"-"&amp;AG$2,"")&amp;IF(N(AH155)&gt;0,", "&amp;A155&amp;"-"&amp;AH$2,"")&amp;IF(N(AI155)&gt;0,", "&amp;A155&amp;"-"&amp;AI$2,"")&amp;IF(N(AJ155)&gt;0,", "&amp;A155&amp;"-"&amp;AJ$2,""),3,999))</f>
        <v/>
      </c>
      <c r="AN155" s="81"/>
      <c r="AO155" s="88"/>
      <c r="AP155" s="89" t="str">
        <f aca="false">IF(AO155="","",ROUND(AO155/(1+Справочники!$B$13),2))</f>
        <v/>
      </c>
      <c r="AQ155" s="90" t="str">
        <f aca="false" t="array" ref="AQ155:AQ155">IF(AP155="","",AP155*INDEX(Справочники!$B$4:$B$7,MATCH("RUB",Справочники!$A$4:$A$7,0)))</f>
        <v/>
      </c>
      <c r="AR155" s="90" t="str">
        <f aca="false">IF(AQ155="","",ROUND(AQ155*(1+Справочники!$B$12),0))</f>
        <v/>
      </c>
      <c r="AS155" s="90" t="str">
        <f aca="false">IF(AR155="","",ROUND(AR155*(1-Справочники!$B$11),0))</f>
        <v/>
      </c>
      <c r="AT155" s="88"/>
      <c r="AU155" s="90" t="str">
        <f aca="false">IF(AT155="","",ROUND(AT155/(1+Справочники!$B$12),0))</f>
        <v/>
      </c>
      <c r="AV155" s="90" t="str">
        <f aca="false">IF(AT155="","",ROUND(AT155*(1-Справочники!$B$15),0))</f>
        <v/>
      </c>
      <c r="AW155" s="90" t="str">
        <f aca="false">IF(AT155="","",ROUND(AT155*(1-Справочники!$B$16),0))</f>
        <v/>
      </c>
      <c r="AX155" s="90" t="str">
        <f aca="false">IF(AT155="","",ROUND(AT155*(1-Справочники!$B$17),0))</f>
        <v/>
      </c>
      <c r="AY155" s="90" t="str">
        <f aca="false">IF(AT155="","",ROUND(AT155*(1-Справочники!$B$18),0))</f>
        <v/>
      </c>
      <c r="AZ155" s="90" t="str">
        <f aca="false">IF(AT155="","",ROUND(AT155*(1-Справочники!$B$19),0))</f>
        <v/>
      </c>
      <c r="BA155" s="81"/>
      <c r="BB155" s="81"/>
      <c r="BC155" s="81"/>
      <c r="BD155" s="81"/>
      <c r="BE155" s="91"/>
      <c r="BF155" s="81" t="s">
        <v>103</v>
      </c>
      <c r="BG155" s="89" t="n">
        <f aca="false" t="array" ref="BG155:BG155">IF(BF155="","",IFERROR(INDEX(Справочники!$B$4:$B$7,MATCH(BF155,Справочники!$A$4:$A$7,0)),""))</f>
        <v>68.5</v>
      </c>
      <c r="BH155" s="90" t="str">
        <f aca="false">IF(N(BN155)&gt;0,ROUND(SUMIF(ЗАКАЗЫ!$F$3:$F$500,$A155,ЗАКАЗЫ!$Y$3:$Y$500)/BN155,0),IF(OR(BE155="",BG155=""),"",ROUND(BE155*BG155*(1+Справочники!$B$10),0)))</f>
        <v/>
      </c>
      <c r="BI155" s="92" t="str">
        <f aca="false">IF(OR(AU155="",BH155="",AU155=0),"",(AU155-BH155)/AU155)</f>
        <v/>
      </c>
      <c r="BJ155" s="81"/>
      <c r="BK155" s="83"/>
      <c r="BL155" s="43" t="str">
        <f aca="false">IFERROR(INDEX(ЗАКАЗЫ!$N$3:$N$500,MATCH($A155,ЗАКАЗЫ!$F$3:$F$500,0)),"")</f>
        <v/>
      </c>
      <c r="BM155" s="8" t="str">
        <f aca="false">IF(BL155="","",IFERROR(VLOOKUP(BL155,'ТН ВЭД'!$A$4:$C$40,3,0),""))</f>
        <v/>
      </c>
      <c r="BN155" s="7" t="str">
        <f aca="false">IF(COUNTIF(ЗАКАЗЫ!$F$3:$F$500,$A155)=0,"",SUMIF(ЗАКАЗЫ!$F$3:$F$500,$A155,ЗАКАЗЫ!$J$3:$J$500))</f>
        <v/>
      </c>
      <c r="BO155" s="7" t="str">
        <f aca="false">IF(BN155="","",SUMIF(ЗАКАЗЫ!$F$3:$F$500,$A155,ЗАКАЗЫ!$AL$3:$AL$500))</f>
        <v/>
      </c>
      <c r="BP155" s="7" t="str">
        <f aca="false">IF(BN155="","",BN155-BO155)</f>
        <v/>
      </c>
      <c r="BQ155" s="55" t="str">
        <f aca="false">IF(BN155="","",IF(BO155&gt;=BN155,"На складе",IF(BO155&gt;0,"Частично","Ждём")))</f>
        <v/>
      </c>
      <c r="BR155" s="43"/>
      <c r="BS155" s="47" t="str">
        <f aca="false">IF(BN155="","",IF(_xlfn.MAXIFS(ЗАКАЗЫ!$AK$3:$AK$500,ЗАКАЗЫ!$F$3:$F$500,$A155)=0,"",_xlfn.MAXIFS(ЗАКАЗЫ!$AK$3:$AK$500,ЗАКАЗЫ!$F$3:$F$500,$A155)))</f>
        <v/>
      </c>
    </row>
    <row r="156" customFormat="false" ht="15.75" hidden="false" customHeight="true" outlineLevel="0" collapsed="false">
      <c r="A156" s="80" t="s">
        <v>2023</v>
      </c>
      <c r="B156" s="81"/>
      <c r="C156" s="81"/>
      <c r="D156" s="81"/>
      <c r="E156" s="83"/>
      <c r="F156" s="81"/>
      <c r="G156" s="83"/>
      <c r="H156" s="83"/>
      <c r="I156" s="84" t="str">
        <f aca="false">IF(E156="","",A156&amp;"_1.jpg")</f>
        <v/>
      </c>
      <c r="J156" s="84" t="str">
        <f aca="false">IF(E156="","",A156&amp;"_2.jpg; "&amp;A156&amp;"_3.jpg")</f>
        <v/>
      </c>
      <c r="K156" s="84" t="str">
        <f aca="false">IF(E156="","",A156&amp;"_schema.jpg")</f>
        <v/>
      </c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 t="s">
        <v>96</v>
      </c>
      <c r="W156" s="81"/>
      <c r="X156" s="81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6" t="str">
        <f aca="false">IF(SUM(Y156:AJ156)=0,"",SUM(Y156:AJ156))</f>
        <v/>
      </c>
      <c r="AL156" s="84" t="str">
        <f aca="false">MID(IF(N(Y156)&gt;0,", "&amp;Y$2,"")&amp;IF(N(Z156)&gt;0,", "&amp;Z$2,"")&amp;IF(N(AA156)&gt;0,", "&amp;AA$2,"")&amp;IF(N(AB156)&gt;0,", "&amp;AB$2,"")&amp;IF(N(AC156)&gt;0,", "&amp;AC$2,"")&amp;IF(N(AD156)&gt;0,", "&amp;AD$2,"")&amp;IF(N(AE156)&gt;0,", "&amp;AE$2,"")&amp;IF(N(AF156)&gt;0,", "&amp;AF$2,"")&amp;IF(N(AG156)&gt;0,", "&amp;AG$2,"")&amp;IF(N(AH156)&gt;0,", "&amp;AH$2,"")&amp;IF(N(AI156)&gt;0,", "&amp;AI$2,"")&amp;IF(N(AJ156)&gt;0,", "&amp;AJ$2,""),3,999)</f>
        <v/>
      </c>
      <c r="AM156" s="87" t="str">
        <f aca="false">IF(E156="","",MID(IF(N(Y156)&gt;0,", "&amp;A156&amp;"-"&amp;Y$2,"")&amp;IF(N(Z156)&gt;0,", "&amp;A156&amp;"-"&amp;Z$2,"")&amp;IF(N(AA156)&gt;0,", "&amp;A156&amp;"-"&amp;AA$2,"")&amp;IF(N(AB156)&gt;0,", "&amp;A156&amp;"-"&amp;AB$2,"")&amp;IF(N(AC156)&gt;0,", "&amp;A156&amp;"-"&amp;AC$2,"")&amp;IF(N(AD156)&gt;0,", "&amp;A156&amp;"-"&amp;AD$2,"")&amp;IF(N(AE156)&gt;0,", "&amp;A156&amp;"-"&amp;AE$2,"")&amp;IF(N(AF156)&gt;0,", "&amp;A156&amp;"-"&amp;AF$2,"")&amp;IF(N(AG156)&gt;0,", "&amp;A156&amp;"-"&amp;AG$2,"")&amp;IF(N(AH156)&gt;0,", "&amp;A156&amp;"-"&amp;AH$2,"")&amp;IF(N(AI156)&gt;0,", "&amp;A156&amp;"-"&amp;AI$2,"")&amp;IF(N(AJ156)&gt;0,", "&amp;A156&amp;"-"&amp;AJ$2,""),3,999))</f>
        <v/>
      </c>
      <c r="AN156" s="81"/>
      <c r="AO156" s="88"/>
      <c r="AP156" s="89" t="str">
        <f aca="false">IF(AO156="","",ROUND(AO156/(1+Справочники!$B$13),2))</f>
        <v/>
      </c>
      <c r="AQ156" s="90" t="str">
        <f aca="false" t="array" ref="AQ156:AQ156">IF(AP156="","",AP156*INDEX(Справочники!$B$4:$B$7,MATCH("RUB",Справочники!$A$4:$A$7,0)))</f>
        <v/>
      </c>
      <c r="AR156" s="90" t="str">
        <f aca="false">IF(AQ156="","",ROUND(AQ156*(1+Справочники!$B$12),0))</f>
        <v/>
      </c>
      <c r="AS156" s="90" t="str">
        <f aca="false">IF(AR156="","",ROUND(AR156*(1-Справочники!$B$11),0))</f>
        <v/>
      </c>
      <c r="AT156" s="88"/>
      <c r="AU156" s="90" t="str">
        <f aca="false">IF(AT156="","",ROUND(AT156/(1+Справочники!$B$12),0))</f>
        <v/>
      </c>
      <c r="AV156" s="90" t="str">
        <f aca="false">IF(AT156="","",ROUND(AT156*(1-Справочники!$B$15),0))</f>
        <v/>
      </c>
      <c r="AW156" s="90" t="str">
        <f aca="false">IF(AT156="","",ROUND(AT156*(1-Справочники!$B$16),0))</f>
        <v/>
      </c>
      <c r="AX156" s="90" t="str">
        <f aca="false">IF(AT156="","",ROUND(AT156*(1-Справочники!$B$17),0))</f>
        <v/>
      </c>
      <c r="AY156" s="90" t="str">
        <f aca="false">IF(AT156="","",ROUND(AT156*(1-Справочники!$B$18),0))</f>
        <v/>
      </c>
      <c r="AZ156" s="90" t="str">
        <f aca="false">IF(AT156="","",ROUND(AT156*(1-Справочники!$B$19),0))</f>
        <v/>
      </c>
      <c r="BA156" s="81"/>
      <c r="BB156" s="81"/>
      <c r="BC156" s="81"/>
      <c r="BD156" s="81"/>
      <c r="BE156" s="91"/>
      <c r="BF156" s="81" t="s">
        <v>103</v>
      </c>
      <c r="BG156" s="89" t="n">
        <f aca="false" t="array" ref="BG156:BG156">IF(BF156="","",IFERROR(INDEX(Справочники!$B$4:$B$7,MATCH(BF156,Справочники!$A$4:$A$7,0)),""))</f>
        <v>68.5</v>
      </c>
      <c r="BH156" s="90" t="str">
        <f aca="false">IF(N(BN156)&gt;0,ROUND(SUMIF(ЗАКАЗЫ!$F$3:$F$500,$A156,ЗАКАЗЫ!$Y$3:$Y$500)/BN156,0),IF(OR(BE156="",BG156=""),"",ROUND(BE156*BG156*(1+Справочники!$B$10),0)))</f>
        <v/>
      </c>
      <c r="BI156" s="92" t="str">
        <f aca="false">IF(OR(AU156="",BH156="",AU156=0),"",(AU156-BH156)/AU156)</f>
        <v/>
      </c>
      <c r="BJ156" s="81"/>
      <c r="BK156" s="83"/>
      <c r="BL156" s="43" t="str">
        <f aca="false">IFERROR(INDEX(ЗАКАЗЫ!$N$3:$N$500,MATCH($A156,ЗАКАЗЫ!$F$3:$F$500,0)),"")</f>
        <v/>
      </c>
      <c r="BM156" s="8" t="str">
        <f aca="false">IF(BL156="","",IFERROR(VLOOKUP(BL156,'ТН ВЭД'!$A$4:$C$40,3,0),""))</f>
        <v/>
      </c>
      <c r="BN156" s="7" t="str">
        <f aca="false">IF(COUNTIF(ЗАКАЗЫ!$F$3:$F$500,$A156)=0,"",SUMIF(ЗАКАЗЫ!$F$3:$F$500,$A156,ЗАКАЗЫ!$J$3:$J$500))</f>
        <v/>
      </c>
      <c r="BO156" s="7" t="str">
        <f aca="false">IF(BN156="","",SUMIF(ЗАКАЗЫ!$F$3:$F$500,$A156,ЗАКАЗЫ!$AL$3:$AL$500))</f>
        <v/>
      </c>
      <c r="BP156" s="7" t="str">
        <f aca="false">IF(BN156="","",BN156-BO156)</f>
        <v/>
      </c>
      <c r="BQ156" s="55" t="str">
        <f aca="false">IF(BN156="","",IF(BO156&gt;=BN156,"На складе",IF(BO156&gt;0,"Частично","Ждём")))</f>
        <v/>
      </c>
      <c r="BR156" s="43"/>
      <c r="BS156" s="47" t="str">
        <f aca="false">IF(BN156="","",IF(_xlfn.MAXIFS(ЗАКАЗЫ!$AK$3:$AK$500,ЗАКАЗЫ!$F$3:$F$500,$A156)=0,"",_xlfn.MAXIFS(ЗАКАЗЫ!$AK$3:$AK$500,ЗАКАЗЫ!$F$3:$F$500,$A156)))</f>
        <v/>
      </c>
    </row>
    <row r="157" customFormat="false" ht="15.75" hidden="false" customHeight="true" outlineLevel="0" collapsed="false">
      <c r="A157" s="80" t="s">
        <v>2024</v>
      </c>
      <c r="B157" s="81"/>
      <c r="C157" s="81"/>
      <c r="D157" s="81"/>
      <c r="E157" s="83"/>
      <c r="F157" s="81"/>
      <c r="G157" s="83"/>
      <c r="H157" s="83"/>
      <c r="I157" s="84" t="str">
        <f aca="false">IF(E157="","",A157&amp;"_1.jpg")</f>
        <v/>
      </c>
      <c r="J157" s="84" t="str">
        <f aca="false">IF(E157="","",A157&amp;"_2.jpg; "&amp;A157&amp;"_3.jpg")</f>
        <v/>
      </c>
      <c r="K157" s="84" t="str">
        <f aca="false">IF(E157="","",A157&amp;"_schema.jpg")</f>
        <v/>
      </c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 t="s">
        <v>96</v>
      </c>
      <c r="W157" s="81"/>
      <c r="X157" s="81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6" t="str">
        <f aca="false">IF(SUM(Y157:AJ157)=0,"",SUM(Y157:AJ157))</f>
        <v/>
      </c>
      <c r="AL157" s="84" t="str">
        <f aca="false">MID(IF(N(Y157)&gt;0,", "&amp;Y$2,"")&amp;IF(N(Z157)&gt;0,", "&amp;Z$2,"")&amp;IF(N(AA157)&gt;0,", "&amp;AA$2,"")&amp;IF(N(AB157)&gt;0,", "&amp;AB$2,"")&amp;IF(N(AC157)&gt;0,", "&amp;AC$2,"")&amp;IF(N(AD157)&gt;0,", "&amp;AD$2,"")&amp;IF(N(AE157)&gt;0,", "&amp;AE$2,"")&amp;IF(N(AF157)&gt;0,", "&amp;AF$2,"")&amp;IF(N(AG157)&gt;0,", "&amp;AG$2,"")&amp;IF(N(AH157)&gt;0,", "&amp;AH$2,"")&amp;IF(N(AI157)&gt;0,", "&amp;AI$2,"")&amp;IF(N(AJ157)&gt;0,", "&amp;AJ$2,""),3,999)</f>
        <v/>
      </c>
      <c r="AM157" s="87" t="str">
        <f aca="false">IF(E157="","",MID(IF(N(Y157)&gt;0,", "&amp;A157&amp;"-"&amp;Y$2,"")&amp;IF(N(Z157)&gt;0,", "&amp;A157&amp;"-"&amp;Z$2,"")&amp;IF(N(AA157)&gt;0,", "&amp;A157&amp;"-"&amp;AA$2,"")&amp;IF(N(AB157)&gt;0,", "&amp;A157&amp;"-"&amp;AB$2,"")&amp;IF(N(AC157)&gt;0,", "&amp;A157&amp;"-"&amp;AC$2,"")&amp;IF(N(AD157)&gt;0,", "&amp;A157&amp;"-"&amp;AD$2,"")&amp;IF(N(AE157)&gt;0,", "&amp;A157&amp;"-"&amp;AE$2,"")&amp;IF(N(AF157)&gt;0,", "&amp;A157&amp;"-"&amp;AF$2,"")&amp;IF(N(AG157)&gt;0,", "&amp;A157&amp;"-"&amp;AG$2,"")&amp;IF(N(AH157)&gt;0,", "&amp;A157&amp;"-"&amp;AH$2,"")&amp;IF(N(AI157)&gt;0,", "&amp;A157&amp;"-"&amp;AI$2,"")&amp;IF(N(AJ157)&gt;0,", "&amp;A157&amp;"-"&amp;AJ$2,""),3,999))</f>
        <v/>
      </c>
      <c r="AN157" s="81"/>
      <c r="AO157" s="88"/>
      <c r="AP157" s="89" t="str">
        <f aca="false">IF(AO157="","",ROUND(AO157/(1+Справочники!$B$13),2))</f>
        <v/>
      </c>
      <c r="AQ157" s="90" t="str">
        <f aca="false" t="array" ref="AQ157:AQ157">IF(AP157="","",AP157*INDEX(Справочники!$B$4:$B$7,MATCH("RUB",Справочники!$A$4:$A$7,0)))</f>
        <v/>
      </c>
      <c r="AR157" s="90" t="str">
        <f aca="false">IF(AQ157="","",ROUND(AQ157*(1+Справочники!$B$12),0))</f>
        <v/>
      </c>
      <c r="AS157" s="90" t="str">
        <f aca="false">IF(AR157="","",ROUND(AR157*(1-Справочники!$B$11),0))</f>
        <v/>
      </c>
      <c r="AT157" s="88"/>
      <c r="AU157" s="90" t="str">
        <f aca="false">IF(AT157="","",ROUND(AT157/(1+Справочники!$B$12),0))</f>
        <v/>
      </c>
      <c r="AV157" s="90" t="str">
        <f aca="false">IF(AT157="","",ROUND(AT157*(1-Справочники!$B$15),0))</f>
        <v/>
      </c>
      <c r="AW157" s="90" t="str">
        <f aca="false">IF(AT157="","",ROUND(AT157*(1-Справочники!$B$16),0))</f>
        <v/>
      </c>
      <c r="AX157" s="90" t="str">
        <f aca="false">IF(AT157="","",ROUND(AT157*(1-Справочники!$B$17),0))</f>
        <v/>
      </c>
      <c r="AY157" s="90" t="str">
        <f aca="false">IF(AT157="","",ROUND(AT157*(1-Справочники!$B$18),0))</f>
        <v/>
      </c>
      <c r="AZ157" s="90" t="str">
        <f aca="false">IF(AT157="","",ROUND(AT157*(1-Справочники!$B$19),0))</f>
        <v/>
      </c>
      <c r="BA157" s="81"/>
      <c r="BB157" s="81"/>
      <c r="BC157" s="81"/>
      <c r="BD157" s="81"/>
      <c r="BE157" s="91"/>
      <c r="BF157" s="81" t="s">
        <v>103</v>
      </c>
      <c r="BG157" s="89" t="n">
        <f aca="false" t="array" ref="BG157:BG157">IF(BF157="","",IFERROR(INDEX(Справочники!$B$4:$B$7,MATCH(BF157,Справочники!$A$4:$A$7,0)),""))</f>
        <v>68.5</v>
      </c>
      <c r="BH157" s="90" t="str">
        <f aca="false">IF(N(BN157)&gt;0,ROUND(SUMIF(ЗАКАЗЫ!$F$3:$F$500,$A157,ЗАКАЗЫ!$Y$3:$Y$500)/BN157,0),IF(OR(BE157="",BG157=""),"",ROUND(BE157*BG157*(1+Справочники!$B$10),0)))</f>
        <v/>
      </c>
      <c r="BI157" s="92" t="str">
        <f aca="false">IF(OR(AU157="",BH157="",AU157=0),"",(AU157-BH157)/AU157)</f>
        <v/>
      </c>
      <c r="BJ157" s="81"/>
      <c r="BK157" s="83"/>
      <c r="BL157" s="43" t="str">
        <f aca="false">IFERROR(INDEX(ЗАКАЗЫ!$N$3:$N$500,MATCH($A157,ЗАКАЗЫ!$F$3:$F$500,0)),"")</f>
        <v/>
      </c>
      <c r="BM157" s="8" t="str">
        <f aca="false">IF(BL157="","",IFERROR(VLOOKUP(BL157,'ТН ВЭД'!$A$4:$C$40,3,0),""))</f>
        <v/>
      </c>
      <c r="BN157" s="7" t="str">
        <f aca="false">IF(COUNTIF(ЗАКАЗЫ!$F$3:$F$500,$A157)=0,"",SUMIF(ЗАКАЗЫ!$F$3:$F$500,$A157,ЗАКАЗЫ!$J$3:$J$500))</f>
        <v/>
      </c>
      <c r="BO157" s="7" t="str">
        <f aca="false">IF(BN157="","",SUMIF(ЗАКАЗЫ!$F$3:$F$500,$A157,ЗАКАЗЫ!$AL$3:$AL$500))</f>
        <v/>
      </c>
      <c r="BP157" s="7" t="str">
        <f aca="false">IF(BN157="","",BN157-BO157)</f>
        <v/>
      </c>
      <c r="BQ157" s="55" t="str">
        <f aca="false">IF(BN157="","",IF(BO157&gt;=BN157,"На складе",IF(BO157&gt;0,"Частично","Ждём")))</f>
        <v/>
      </c>
      <c r="BR157" s="43"/>
      <c r="BS157" s="47" t="str">
        <f aca="false">IF(BN157="","",IF(_xlfn.MAXIFS(ЗАКАЗЫ!$AK$3:$AK$500,ЗАКАЗЫ!$F$3:$F$500,$A157)=0,"",_xlfn.MAXIFS(ЗАКАЗЫ!$AK$3:$AK$500,ЗАКАЗЫ!$F$3:$F$500,$A157)))</f>
        <v/>
      </c>
    </row>
    <row r="158" customFormat="false" ht="15.75" hidden="false" customHeight="true" outlineLevel="0" collapsed="false">
      <c r="A158" s="80" t="s">
        <v>2025</v>
      </c>
      <c r="B158" s="81"/>
      <c r="C158" s="81"/>
      <c r="D158" s="81"/>
      <c r="E158" s="83"/>
      <c r="F158" s="81"/>
      <c r="G158" s="83"/>
      <c r="H158" s="83"/>
      <c r="I158" s="84" t="str">
        <f aca="false">IF(E158="","",A158&amp;"_1.jpg")</f>
        <v/>
      </c>
      <c r="J158" s="84" t="str">
        <f aca="false">IF(E158="","",A158&amp;"_2.jpg; "&amp;A158&amp;"_3.jpg")</f>
        <v/>
      </c>
      <c r="K158" s="84" t="str">
        <f aca="false">IF(E158="","",A158&amp;"_schema.jpg")</f>
        <v/>
      </c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 t="s">
        <v>96</v>
      </c>
      <c r="W158" s="81"/>
      <c r="X158" s="81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6" t="str">
        <f aca="false">IF(SUM(Y158:AJ158)=0,"",SUM(Y158:AJ158))</f>
        <v/>
      </c>
      <c r="AL158" s="84" t="str">
        <f aca="false">MID(IF(N(Y158)&gt;0,", "&amp;Y$2,"")&amp;IF(N(Z158)&gt;0,", "&amp;Z$2,"")&amp;IF(N(AA158)&gt;0,", "&amp;AA$2,"")&amp;IF(N(AB158)&gt;0,", "&amp;AB$2,"")&amp;IF(N(AC158)&gt;0,", "&amp;AC$2,"")&amp;IF(N(AD158)&gt;0,", "&amp;AD$2,"")&amp;IF(N(AE158)&gt;0,", "&amp;AE$2,"")&amp;IF(N(AF158)&gt;0,", "&amp;AF$2,"")&amp;IF(N(AG158)&gt;0,", "&amp;AG$2,"")&amp;IF(N(AH158)&gt;0,", "&amp;AH$2,"")&amp;IF(N(AI158)&gt;0,", "&amp;AI$2,"")&amp;IF(N(AJ158)&gt;0,", "&amp;AJ$2,""),3,999)</f>
        <v/>
      </c>
      <c r="AM158" s="87" t="str">
        <f aca="false">IF(E158="","",MID(IF(N(Y158)&gt;0,", "&amp;A158&amp;"-"&amp;Y$2,"")&amp;IF(N(Z158)&gt;0,", "&amp;A158&amp;"-"&amp;Z$2,"")&amp;IF(N(AA158)&gt;0,", "&amp;A158&amp;"-"&amp;AA$2,"")&amp;IF(N(AB158)&gt;0,", "&amp;A158&amp;"-"&amp;AB$2,"")&amp;IF(N(AC158)&gt;0,", "&amp;A158&amp;"-"&amp;AC$2,"")&amp;IF(N(AD158)&gt;0,", "&amp;A158&amp;"-"&amp;AD$2,"")&amp;IF(N(AE158)&gt;0,", "&amp;A158&amp;"-"&amp;AE$2,"")&amp;IF(N(AF158)&gt;0,", "&amp;A158&amp;"-"&amp;AF$2,"")&amp;IF(N(AG158)&gt;0,", "&amp;A158&amp;"-"&amp;AG$2,"")&amp;IF(N(AH158)&gt;0,", "&amp;A158&amp;"-"&amp;AH$2,"")&amp;IF(N(AI158)&gt;0,", "&amp;A158&amp;"-"&amp;AI$2,"")&amp;IF(N(AJ158)&gt;0,", "&amp;A158&amp;"-"&amp;AJ$2,""),3,999))</f>
        <v/>
      </c>
      <c r="AN158" s="81"/>
      <c r="AO158" s="88"/>
      <c r="AP158" s="89" t="str">
        <f aca="false">IF(AO158="","",ROUND(AO158/(1+Справочники!$B$13),2))</f>
        <v/>
      </c>
      <c r="AQ158" s="90" t="str">
        <f aca="false" t="array" ref="AQ158:AQ158">IF(AP158="","",AP158*INDEX(Справочники!$B$4:$B$7,MATCH("RUB",Справочники!$A$4:$A$7,0)))</f>
        <v/>
      </c>
      <c r="AR158" s="90" t="str">
        <f aca="false">IF(AQ158="","",ROUND(AQ158*(1+Справочники!$B$12),0))</f>
        <v/>
      </c>
      <c r="AS158" s="90" t="str">
        <f aca="false">IF(AR158="","",ROUND(AR158*(1-Справочники!$B$11),0))</f>
        <v/>
      </c>
      <c r="AT158" s="88"/>
      <c r="AU158" s="90" t="str">
        <f aca="false">IF(AT158="","",ROUND(AT158/(1+Справочники!$B$12),0))</f>
        <v/>
      </c>
      <c r="AV158" s="90" t="str">
        <f aca="false">IF(AT158="","",ROUND(AT158*(1-Справочники!$B$15),0))</f>
        <v/>
      </c>
      <c r="AW158" s="90" t="str">
        <f aca="false">IF(AT158="","",ROUND(AT158*(1-Справочники!$B$16),0))</f>
        <v/>
      </c>
      <c r="AX158" s="90" t="str">
        <f aca="false">IF(AT158="","",ROUND(AT158*(1-Справочники!$B$17),0))</f>
        <v/>
      </c>
      <c r="AY158" s="90" t="str">
        <f aca="false">IF(AT158="","",ROUND(AT158*(1-Справочники!$B$18),0))</f>
        <v/>
      </c>
      <c r="AZ158" s="90" t="str">
        <f aca="false">IF(AT158="","",ROUND(AT158*(1-Справочники!$B$19),0))</f>
        <v/>
      </c>
      <c r="BA158" s="81"/>
      <c r="BB158" s="81"/>
      <c r="BC158" s="81"/>
      <c r="BD158" s="81"/>
      <c r="BE158" s="91"/>
      <c r="BF158" s="81" t="s">
        <v>103</v>
      </c>
      <c r="BG158" s="89" t="n">
        <f aca="false" t="array" ref="BG158:BG158">IF(BF158="","",IFERROR(INDEX(Справочники!$B$4:$B$7,MATCH(BF158,Справочники!$A$4:$A$7,0)),""))</f>
        <v>68.5</v>
      </c>
      <c r="BH158" s="90" t="str">
        <f aca="false">IF(N(BN158)&gt;0,ROUND(SUMIF(ЗАКАЗЫ!$F$3:$F$500,$A158,ЗАКАЗЫ!$Y$3:$Y$500)/BN158,0),IF(OR(BE158="",BG158=""),"",ROUND(BE158*BG158*(1+Справочники!$B$10),0)))</f>
        <v/>
      </c>
      <c r="BI158" s="92" t="str">
        <f aca="false">IF(OR(AU158="",BH158="",AU158=0),"",(AU158-BH158)/AU158)</f>
        <v/>
      </c>
      <c r="BJ158" s="81"/>
      <c r="BK158" s="83"/>
      <c r="BL158" s="43" t="str">
        <f aca="false">IFERROR(INDEX(ЗАКАЗЫ!$N$3:$N$500,MATCH($A158,ЗАКАЗЫ!$F$3:$F$500,0)),"")</f>
        <v/>
      </c>
      <c r="BM158" s="8" t="str">
        <f aca="false">IF(BL158="","",IFERROR(VLOOKUP(BL158,'ТН ВЭД'!$A$4:$C$40,3,0),""))</f>
        <v/>
      </c>
      <c r="BN158" s="7" t="str">
        <f aca="false">IF(COUNTIF(ЗАКАЗЫ!$F$3:$F$500,$A158)=0,"",SUMIF(ЗАКАЗЫ!$F$3:$F$500,$A158,ЗАКАЗЫ!$J$3:$J$500))</f>
        <v/>
      </c>
      <c r="BO158" s="7" t="str">
        <f aca="false">IF(BN158="","",SUMIF(ЗАКАЗЫ!$F$3:$F$500,$A158,ЗАКАЗЫ!$AL$3:$AL$500))</f>
        <v/>
      </c>
      <c r="BP158" s="7" t="str">
        <f aca="false">IF(BN158="","",BN158-BO158)</f>
        <v/>
      </c>
      <c r="BQ158" s="55" t="str">
        <f aca="false">IF(BN158="","",IF(BO158&gt;=BN158,"На складе",IF(BO158&gt;0,"Частично","Ждём")))</f>
        <v/>
      </c>
      <c r="BR158" s="43"/>
      <c r="BS158" s="47" t="str">
        <f aca="false">IF(BN158="","",IF(_xlfn.MAXIFS(ЗАКАЗЫ!$AK$3:$AK$500,ЗАКАЗЫ!$F$3:$F$500,$A158)=0,"",_xlfn.MAXIFS(ЗАКАЗЫ!$AK$3:$AK$500,ЗАКАЗЫ!$F$3:$F$500,$A158)))</f>
        <v/>
      </c>
    </row>
    <row r="159" customFormat="false" ht="15.75" hidden="false" customHeight="true" outlineLevel="0" collapsed="false">
      <c r="A159" s="80" t="s">
        <v>2026</v>
      </c>
      <c r="B159" s="81"/>
      <c r="C159" s="81"/>
      <c r="D159" s="81"/>
      <c r="E159" s="83"/>
      <c r="F159" s="81"/>
      <c r="G159" s="83"/>
      <c r="H159" s="83"/>
      <c r="I159" s="84" t="str">
        <f aca="false">IF(E159="","",A159&amp;"_1.jpg")</f>
        <v/>
      </c>
      <c r="J159" s="84" t="str">
        <f aca="false">IF(E159="","",A159&amp;"_2.jpg; "&amp;A159&amp;"_3.jpg")</f>
        <v/>
      </c>
      <c r="K159" s="84" t="str">
        <f aca="false">IF(E159="","",A159&amp;"_schema.jpg")</f>
        <v/>
      </c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 t="s">
        <v>96</v>
      </c>
      <c r="W159" s="81"/>
      <c r="X159" s="81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6" t="str">
        <f aca="false">IF(SUM(Y159:AJ159)=0,"",SUM(Y159:AJ159))</f>
        <v/>
      </c>
      <c r="AL159" s="84" t="str">
        <f aca="false">MID(IF(N(Y159)&gt;0,", "&amp;Y$2,"")&amp;IF(N(Z159)&gt;0,", "&amp;Z$2,"")&amp;IF(N(AA159)&gt;0,", "&amp;AA$2,"")&amp;IF(N(AB159)&gt;0,", "&amp;AB$2,"")&amp;IF(N(AC159)&gt;0,", "&amp;AC$2,"")&amp;IF(N(AD159)&gt;0,", "&amp;AD$2,"")&amp;IF(N(AE159)&gt;0,", "&amp;AE$2,"")&amp;IF(N(AF159)&gt;0,", "&amp;AF$2,"")&amp;IF(N(AG159)&gt;0,", "&amp;AG$2,"")&amp;IF(N(AH159)&gt;0,", "&amp;AH$2,"")&amp;IF(N(AI159)&gt;0,", "&amp;AI$2,"")&amp;IF(N(AJ159)&gt;0,", "&amp;AJ$2,""),3,999)</f>
        <v/>
      </c>
      <c r="AM159" s="87" t="str">
        <f aca="false">IF(E159="","",MID(IF(N(Y159)&gt;0,", "&amp;A159&amp;"-"&amp;Y$2,"")&amp;IF(N(Z159)&gt;0,", "&amp;A159&amp;"-"&amp;Z$2,"")&amp;IF(N(AA159)&gt;0,", "&amp;A159&amp;"-"&amp;AA$2,"")&amp;IF(N(AB159)&gt;0,", "&amp;A159&amp;"-"&amp;AB$2,"")&amp;IF(N(AC159)&gt;0,", "&amp;A159&amp;"-"&amp;AC$2,"")&amp;IF(N(AD159)&gt;0,", "&amp;A159&amp;"-"&amp;AD$2,"")&amp;IF(N(AE159)&gt;0,", "&amp;A159&amp;"-"&amp;AE$2,"")&amp;IF(N(AF159)&gt;0,", "&amp;A159&amp;"-"&amp;AF$2,"")&amp;IF(N(AG159)&gt;0,", "&amp;A159&amp;"-"&amp;AG$2,"")&amp;IF(N(AH159)&gt;0,", "&amp;A159&amp;"-"&amp;AH$2,"")&amp;IF(N(AI159)&gt;0,", "&amp;A159&amp;"-"&amp;AI$2,"")&amp;IF(N(AJ159)&gt;0,", "&amp;A159&amp;"-"&amp;AJ$2,""),3,999))</f>
        <v/>
      </c>
      <c r="AN159" s="81"/>
      <c r="AO159" s="88"/>
      <c r="AP159" s="89" t="str">
        <f aca="false">IF(AO159="","",ROUND(AO159/(1+Справочники!$B$13),2))</f>
        <v/>
      </c>
      <c r="AQ159" s="90" t="str">
        <f aca="false" t="array" ref="AQ159:AQ159">IF(AP159="","",AP159*INDEX(Справочники!$B$4:$B$7,MATCH("RUB",Справочники!$A$4:$A$7,0)))</f>
        <v/>
      </c>
      <c r="AR159" s="90" t="str">
        <f aca="false">IF(AQ159="","",ROUND(AQ159*(1+Справочники!$B$12),0))</f>
        <v/>
      </c>
      <c r="AS159" s="90" t="str">
        <f aca="false">IF(AR159="","",ROUND(AR159*(1-Справочники!$B$11),0))</f>
        <v/>
      </c>
      <c r="AT159" s="88"/>
      <c r="AU159" s="90" t="str">
        <f aca="false">IF(AT159="","",ROUND(AT159/(1+Справочники!$B$12),0))</f>
        <v/>
      </c>
      <c r="AV159" s="90" t="str">
        <f aca="false">IF(AT159="","",ROUND(AT159*(1-Справочники!$B$15),0))</f>
        <v/>
      </c>
      <c r="AW159" s="90" t="str">
        <f aca="false">IF(AT159="","",ROUND(AT159*(1-Справочники!$B$16),0))</f>
        <v/>
      </c>
      <c r="AX159" s="90" t="str">
        <f aca="false">IF(AT159="","",ROUND(AT159*(1-Справочники!$B$17),0))</f>
        <v/>
      </c>
      <c r="AY159" s="90" t="str">
        <f aca="false">IF(AT159="","",ROUND(AT159*(1-Справочники!$B$18),0))</f>
        <v/>
      </c>
      <c r="AZ159" s="90" t="str">
        <f aca="false">IF(AT159="","",ROUND(AT159*(1-Справочники!$B$19),0))</f>
        <v/>
      </c>
      <c r="BA159" s="81"/>
      <c r="BB159" s="81"/>
      <c r="BC159" s="81"/>
      <c r="BD159" s="81"/>
      <c r="BE159" s="91"/>
      <c r="BF159" s="81" t="s">
        <v>103</v>
      </c>
      <c r="BG159" s="89" t="n">
        <f aca="false" t="array" ref="BG159:BG159">IF(BF159="","",IFERROR(INDEX(Справочники!$B$4:$B$7,MATCH(BF159,Справочники!$A$4:$A$7,0)),""))</f>
        <v>68.5</v>
      </c>
      <c r="BH159" s="90" t="str">
        <f aca="false">IF(N(BN159)&gt;0,ROUND(SUMIF(ЗАКАЗЫ!$F$3:$F$500,$A159,ЗАКАЗЫ!$Y$3:$Y$500)/BN159,0),IF(OR(BE159="",BG159=""),"",ROUND(BE159*BG159*(1+Справочники!$B$10),0)))</f>
        <v/>
      </c>
      <c r="BI159" s="92" t="str">
        <f aca="false">IF(OR(AU159="",BH159="",AU159=0),"",(AU159-BH159)/AU159)</f>
        <v/>
      </c>
      <c r="BJ159" s="81"/>
      <c r="BK159" s="83"/>
      <c r="BL159" s="43" t="str">
        <f aca="false">IFERROR(INDEX(ЗАКАЗЫ!$N$3:$N$500,MATCH($A159,ЗАКАЗЫ!$F$3:$F$500,0)),"")</f>
        <v/>
      </c>
      <c r="BM159" s="8" t="str">
        <f aca="false">IF(BL159="","",IFERROR(VLOOKUP(BL159,'ТН ВЭД'!$A$4:$C$40,3,0),""))</f>
        <v/>
      </c>
      <c r="BN159" s="7" t="str">
        <f aca="false">IF(COUNTIF(ЗАКАЗЫ!$F$3:$F$500,$A159)=0,"",SUMIF(ЗАКАЗЫ!$F$3:$F$500,$A159,ЗАКАЗЫ!$J$3:$J$500))</f>
        <v/>
      </c>
      <c r="BO159" s="7" t="str">
        <f aca="false">IF(BN159="","",SUMIF(ЗАКАЗЫ!$F$3:$F$500,$A159,ЗАКАЗЫ!$AL$3:$AL$500))</f>
        <v/>
      </c>
      <c r="BP159" s="7" t="str">
        <f aca="false">IF(BN159="","",BN159-BO159)</f>
        <v/>
      </c>
      <c r="BQ159" s="55" t="str">
        <f aca="false">IF(BN159="","",IF(BO159&gt;=BN159,"На складе",IF(BO159&gt;0,"Частично","Ждём")))</f>
        <v/>
      </c>
      <c r="BR159" s="43"/>
      <c r="BS159" s="47" t="str">
        <f aca="false">IF(BN159="","",IF(_xlfn.MAXIFS(ЗАКАЗЫ!$AK$3:$AK$500,ЗАКАЗЫ!$F$3:$F$500,$A159)=0,"",_xlfn.MAXIFS(ЗАКАЗЫ!$AK$3:$AK$500,ЗАКАЗЫ!$F$3:$F$500,$A159)))</f>
        <v/>
      </c>
    </row>
    <row r="160" customFormat="false" ht="15.75" hidden="false" customHeight="true" outlineLevel="0" collapsed="false">
      <c r="A160" s="80" t="s">
        <v>2027</v>
      </c>
      <c r="B160" s="81"/>
      <c r="C160" s="81"/>
      <c r="D160" s="81"/>
      <c r="E160" s="83"/>
      <c r="F160" s="81"/>
      <c r="G160" s="83"/>
      <c r="H160" s="83"/>
      <c r="I160" s="84" t="str">
        <f aca="false">IF(E160="","",A160&amp;"_1.jpg")</f>
        <v/>
      </c>
      <c r="J160" s="84" t="str">
        <f aca="false">IF(E160="","",A160&amp;"_2.jpg; "&amp;A160&amp;"_3.jpg")</f>
        <v/>
      </c>
      <c r="K160" s="84" t="str">
        <f aca="false">IF(E160="","",A160&amp;"_schema.jpg")</f>
        <v/>
      </c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 t="s">
        <v>96</v>
      </c>
      <c r="W160" s="81"/>
      <c r="X160" s="81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6" t="str">
        <f aca="false">IF(SUM(Y160:AJ160)=0,"",SUM(Y160:AJ160))</f>
        <v/>
      </c>
      <c r="AL160" s="84" t="str">
        <f aca="false">MID(IF(N(Y160)&gt;0,", "&amp;Y$2,"")&amp;IF(N(Z160)&gt;0,", "&amp;Z$2,"")&amp;IF(N(AA160)&gt;0,", "&amp;AA$2,"")&amp;IF(N(AB160)&gt;0,", "&amp;AB$2,"")&amp;IF(N(AC160)&gt;0,", "&amp;AC$2,"")&amp;IF(N(AD160)&gt;0,", "&amp;AD$2,"")&amp;IF(N(AE160)&gt;0,", "&amp;AE$2,"")&amp;IF(N(AF160)&gt;0,", "&amp;AF$2,"")&amp;IF(N(AG160)&gt;0,", "&amp;AG$2,"")&amp;IF(N(AH160)&gt;0,", "&amp;AH$2,"")&amp;IF(N(AI160)&gt;0,", "&amp;AI$2,"")&amp;IF(N(AJ160)&gt;0,", "&amp;AJ$2,""),3,999)</f>
        <v/>
      </c>
      <c r="AM160" s="87" t="str">
        <f aca="false">IF(E160="","",MID(IF(N(Y160)&gt;0,", "&amp;A160&amp;"-"&amp;Y$2,"")&amp;IF(N(Z160)&gt;0,", "&amp;A160&amp;"-"&amp;Z$2,"")&amp;IF(N(AA160)&gt;0,", "&amp;A160&amp;"-"&amp;AA$2,"")&amp;IF(N(AB160)&gt;0,", "&amp;A160&amp;"-"&amp;AB$2,"")&amp;IF(N(AC160)&gt;0,", "&amp;A160&amp;"-"&amp;AC$2,"")&amp;IF(N(AD160)&gt;0,", "&amp;A160&amp;"-"&amp;AD$2,"")&amp;IF(N(AE160)&gt;0,", "&amp;A160&amp;"-"&amp;AE$2,"")&amp;IF(N(AF160)&gt;0,", "&amp;A160&amp;"-"&amp;AF$2,"")&amp;IF(N(AG160)&gt;0,", "&amp;A160&amp;"-"&amp;AG$2,"")&amp;IF(N(AH160)&gt;0,", "&amp;A160&amp;"-"&amp;AH$2,"")&amp;IF(N(AI160)&gt;0,", "&amp;A160&amp;"-"&amp;AI$2,"")&amp;IF(N(AJ160)&gt;0,", "&amp;A160&amp;"-"&amp;AJ$2,""),3,999))</f>
        <v/>
      </c>
      <c r="AN160" s="81"/>
      <c r="AO160" s="88"/>
      <c r="AP160" s="89" t="str">
        <f aca="false">IF(AO160="","",ROUND(AO160/(1+Справочники!$B$13),2))</f>
        <v/>
      </c>
      <c r="AQ160" s="90" t="str">
        <f aca="false" t="array" ref="AQ160:AQ160">IF(AP160="","",AP160*INDEX(Справочники!$B$4:$B$7,MATCH("RUB",Справочники!$A$4:$A$7,0)))</f>
        <v/>
      </c>
      <c r="AR160" s="90" t="str">
        <f aca="false">IF(AQ160="","",ROUND(AQ160*(1+Справочники!$B$12),0))</f>
        <v/>
      </c>
      <c r="AS160" s="90" t="str">
        <f aca="false">IF(AR160="","",ROUND(AR160*(1-Справочники!$B$11),0))</f>
        <v/>
      </c>
      <c r="AT160" s="88"/>
      <c r="AU160" s="90" t="str">
        <f aca="false">IF(AT160="","",ROUND(AT160/(1+Справочники!$B$12),0))</f>
        <v/>
      </c>
      <c r="AV160" s="90" t="str">
        <f aca="false">IF(AT160="","",ROUND(AT160*(1-Справочники!$B$15),0))</f>
        <v/>
      </c>
      <c r="AW160" s="90" t="str">
        <f aca="false">IF(AT160="","",ROUND(AT160*(1-Справочники!$B$16),0))</f>
        <v/>
      </c>
      <c r="AX160" s="90" t="str">
        <f aca="false">IF(AT160="","",ROUND(AT160*(1-Справочники!$B$17),0))</f>
        <v/>
      </c>
      <c r="AY160" s="90" t="str">
        <f aca="false">IF(AT160="","",ROUND(AT160*(1-Справочники!$B$18),0))</f>
        <v/>
      </c>
      <c r="AZ160" s="90" t="str">
        <f aca="false">IF(AT160="","",ROUND(AT160*(1-Справочники!$B$19),0))</f>
        <v/>
      </c>
      <c r="BA160" s="81"/>
      <c r="BB160" s="81"/>
      <c r="BC160" s="81"/>
      <c r="BD160" s="81"/>
      <c r="BE160" s="91"/>
      <c r="BF160" s="81" t="s">
        <v>103</v>
      </c>
      <c r="BG160" s="89" t="n">
        <f aca="false" t="array" ref="BG160:BG160">IF(BF160="","",IFERROR(INDEX(Справочники!$B$4:$B$7,MATCH(BF160,Справочники!$A$4:$A$7,0)),""))</f>
        <v>68.5</v>
      </c>
      <c r="BH160" s="90" t="str">
        <f aca="false">IF(N(BN160)&gt;0,ROUND(SUMIF(ЗАКАЗЫ!$F$3:$F$500,$A160,ЗАКАЗЫ!$Y$3:$Y$500)/BN160,0),IF(OR(BE160="",BG160=""),"",ROUND(BE160*BG160*(1+Справочники!$B$10),0)))</f>
        <v/>
      </c>
      <c r="BI160" s="92" t="str">
        <f aca="false">IF(OR(AU160="",BH160="",AU160=0),"",(AU160-BH160)/AU160)</f>
        <v/>
      </c>
      <c r="BJ160" s="81"/>
      <c r="BK160" s="83"/>
      <c r="BL160" s="43" t="str">
        <f aca="false">IFERROR(INDEX(ЗАКАЗЫ!$N$3:$N$500,MATCH($A160,ЗАКАЗЫ!$F$3:$F$500,0)),"")</f>
        <v/>
      </c>
      <c r="BM160" s="8" t="str">
        <f aca="false">IF(BL160="","",IFERROR(VLOOKUP(BL160,'ТН ВЭД'!$A$4:$C$40,3,0),""))</f>
        <v/>
      </c>
      <c r="BN160" s="7" t="str">
        <f aca="false">IF(COUNTIF(ЗАКАЗЫ!$F$3:$F$500,$A160)=0,"",SUMIF(ЗАКАЗЫ!$F$3:$F$500,$A160,ЗАКАЗЫ!$J$3:$J$500))</f>
        <v/>
      </c>
      <c r="BO160" s="7" t="str">
        <f aca="false">IF(BN160="","",SUMIF(ЗАКАЗЫ!$F$3:$F$500,$A160,ЗАКАЗЫ!$AL$3:$AL$500))</f>
        <v/>
      </c>
      <c r="BP160" s="7" t="str">
        <f aca="false">IF(BN160="","",BN160-BO160)</f>
        <v/>
      </c>
      <c r="BQ160" s="55" t="str">
        <f aca="false">IF(BN160="","",IF(BO160&gt;=BN160,"На складе",IF(BO160&gt;0,"Частично","Ждём")))</f>
        <v/>
      </c>
      <c r="BR160" s="43"/>
      <c r="BS160" s="47" t="str">
        <f aca="false">IF(BN160="","",IF(_xlfn.MAXIFS(ЗАКАЗЫ!$AK$3:$AK$500,ЗАКАЗЫ!$F$3:$F$500,$A160)=0,"",_xlfn.MAXIFS(ЗАКАЗЫ!$AK$3:$AK$500,ЗАКАЗЫ!$F$3:$F$500,$A160)))</f>
        <v/>
      </c>
    </row>
    <row r="161" customFormat="false" ht="15.75" hidden="false" customHeight="true" outlineLevel="0" collapsed="false">
      <c r="A161" s="80" t="s">
        <v>2028</v>
      </c>
      <c r="B161" s="81"/>
      <c r="C161" s="81"/>
      <c r="D161" s="81"/>
      <c r="E161" s="83"/>
      <c r="F161" s="81"/>
      <c r="G161" s="83"/>
      <c r="H161" s="83"/>
      <c r="I161" s="84" t="str">
        <f aca="false">IF(E161="","",A161&amp;"_1.jpg")</f>
        <v/>
      </c>
      <c r="J161" s="84" t="str">
        <f aca="false">IF(E161="","",A161&amp;"_2.jpg; "&amp;A161&amp;"_3.jpg")</f>
        <v/>
      </c>
      <c r="K161" s="84" t="str">
        <f aca="false">IF(E161="","",A161&amp;"_schema.jpg")</f>
        <v/>
      </c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 t="s">
        <v>96</v>
      </c>
      <c r="W161" s="81"/>
      <c r="X161" s="81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6" t="str">
        <f aca="false">IF(SUM(Y161:AJ161)=0,"",SUM(Y161:AJ161))</f>
        <v/>
      </c>
      <c r="AL161" s="84" t="str">
        <f aca="false">MID(IF(N(Y161)&gt;0,", "&amp;Y$2,"")&amp;IF(N(Z161)&gt;0,", "&amp;Z$2,"")&amp;IF(N(AA161)&gt;0,", "&amp;AA$2,"")&amp;IF(N(AB161)&gt;0,", "&amp;AB$2,"")&amp;IF(N(AC161)&gt;0,", "&amp;AC$2,"")&amp;IF(N(AD161)&gt;0,", "&amp;AD$2,"")&amp;IF(N(AE161)&gt;0,", "&amp;AE$2,"")&amp;IF(N(AF161)&gt;0,", "&amp;AF$2,"")&amp;IF(N(AG161)&gt;0,", "&amp;AG$2,"")&amp;IF(N(AH161)&gt;0,", "&amp;AH$2,"")&amp;IF(N(AI161)&gt;0,", "&amp;AI$2,"")&amp;IF(N(AJ161)&gt;0,", "&amp;AJ$2,""),3,999)</f>
        <v/>
      </c>
      <c r="AM161" s="87" t="str">
        <f aca="false">IF(E161="","",MID(IF(N(Y161)&gt;0,", "&amp;A161&amp;"-"&amp;Y$2,"")&amp;IF(N(Z161)&gt;0,", "&amp;A161&amp;"-"&amp;Z$2,"")&amp;IF(N(AA161)&gt;0,", "&amp;A161&amp;"-"&amp;AA$2,"")&amp;IF(N(AB161)&gt;0,", "&amp;A161&amp;"-"&amp;AB$2,"")&amp;IF(N(AC161)&gt;0,", "&amp;A161&amp;"-"&amp;AC$2,"")&amp;IF(N(AD161)&gt;0,", "&amp;A161&amp;"-"&amp;AD$2,"")&amp;IF(N(AE161)&gt;0,", "&amp;A161&amp;"-"&amp;AE$2,"")&amp;IF(N(AF161)&gt;0,", "&amp;A161&amp;"-"&amp;AF$2,"")&amp;IF(N(AG161)&gt;0,", "&amp;A161&amp;"-"&amp;AG$2,"")&amp;IF(N(AH161)&gt;0,", "&amp;A161&amp;"-"&amp;AH$2,"")&amp;IF(N(AI161)&gt;0,", "&amp;A161&amp;"-"&amp;AI$2,"")&amp;IF(N(AJ161)&gt;0,", "&amp;A161&amp;"-"&amp;AJ$2,""),3,999))</f>
        <v/>
      </c>
      <c r="AN161" s="81"/>
      <c r="AO161" s="88"/>
      <c r="AP161" s="89" t="str">
        <f aca="false">IF(AO161="","",ROUND(AO161/(1+Справочники!$B$13),2))</f>
        <v/>
      </c>
      <c r="AQ161" s="90" t="str">
        <f aca="false" t="array" ref="AQ161:AQ161">IF(AP161="","",AP161*INDEX(Справочники!$B$4:$B$7,MATCH("RUB",Справочники!$A$4:$A$7,0)))</f>
        <v/>
      </c>
      <c r="AR161" s="90" t="str">
        <f aca="false">IF(AQ161="","",ROUND(AQ161*(1+Справочники!$B$12),0))</f>
        <v/>
      </c>
      <c r="AS161" s="90" t="str">
        <f aca="false">IF(AR161="","",ROUND(AR161*(1-Справочники!$B$11),0))</f>
        <v/>
      </c>
      <c r="AT161" s="88"/>
      <c r="AU161" s="90" t="str">
        <f aca="false">IF(AT161="","",ROUND(AT161/(1+Справочники!$B$12),0))</f>
        <v/>
      </c>
      <c r="AV161" s="90" t="str">
        <f aca="false">IF(AT161="","",ROUND(AT161*(1-Справочники!$B$15),0))</f>
        <v/>
      </c>
      <c r="AW161" s="90" t="str">
        <f aca="false">IF(AT161="","",ROUND(AT161*(1-Справочники!$B$16),0))</f>
        <v/>
      </c>
      <c r="AX161" s="90" t="str">
        <f aca="false">IF(AT161="","",ROUND(AT161*(1-Справочники!$B$17),0))</f>
        <v/>
      </c>
      <c r="AY161" s="90" t="str">
        <f aca="false">IF(AT161="","",ROUND(AT161*(1-Справочники!$B$18),0))</f>
        <v/>
      </c>
      <c r="AZ161" s="90" t="str">
        <f aca="false">IF(AT161="","",ROUND(AT161*(1-Справочники!$B$19),0))</f>
        <v/>
      </c>
      <c r="BA161" s="81"/>
      <c r="BB161" s="81"/>
      <c r="BC161" s="81"/>
      <c r="BD161" s="81"/>
      <c r="BE161" s="91"/>
      <c r="BF161" s="81" t="s">
        <v>103</v>
      </c>
      <c r="BG161" s="89" t="n">
        <f aca="false" t="array" ref="BG161:BG161">IF(BF161="","",IFERROR(INDEX(Справочники!$B$4:$B$7,MATCH(BF161,Справочники!$A$4:$A$7,0)),""))</f>
        <v>68.5</v>
      </c>
      <c r="BH161" s="90" t="str">
        <f aca="false">IF(N(BN161)&gt;0,ROUND(SUMIF(ЗАКАЗЫ!$F$3:$F$500,$A161,ЗАКАЗЫ!$Y$3:$Y$500)/BN161,0),IF(OR(BE161="",BG161=""),"",ROUND(BE161*BG161*(1+Справочники!$B$10),0)))</f>
        <v/>
      </c>
      <c r="BI161" s="92" t="str">
        <f aca="false">IF(OR(AU161="",BH161="",AU161=0),"",(AU161-BH161)/AU161)</f>
        <v/>
      </c>
      <c r="BJ161" s="81"/>
      <c r="BK161" s="83"/>
      <c r="BL161" s="43" t="str">
        <f aca="false">IFERROR(INDEX(ЗАКАЗЫ!$N$3:$N$500,MATCH($A161,ЗАКАЗЫ!$F$3:$F$500,0)),"")</f>
        <v/>
      </c>
      <c r="BM161" s="8" t="str">
        <f aca="false">IF(BL161="","",IFERROR(VLOOKUP(BL161,'ТН ВЭД'!$A$4:$C$40,3,0),""))</f>
        <v/>
      </c>
      <c r="BN161" s="7" t="str">
        <f aca="false">IF(COUNTIF(ЗАКАЗЫ!$F$3:$F$500,$A161)=0,"",SUMIF(ЗАКАЗЫ!$F$3:$F$500,$A161,ЗАКАЗЫ!$J$3:$J$500))</f>
        <v/>
      </c>
      <c r="BO161" s="7" t="str">
        <f aca="false">IF(BN161="","",SUMIF(ЗАКАЗЫ!$F$3:$F$500,$A161,ЗАКАЗЫ!$AL$3:$AL$500))</f>
        <v/>
      </c>
      <c r="BP161" s="7" t="str">
        <f aca="false">IF(BN161="","",BN161-BO161)</f>
        <v/>
      </c>
      <c r="BQ161" s="55" t="str">
        <f aca="false">IF(BN161="","",IF(BO161&gt;=BN161,"На складе",IF(BO161&gt;0,"Частично","Ждём")))</f>
        <v/>
      </c>
      <c r="BR161" s="43"/>
      <c r="BS161" s="47" t="str">
        <f aca="false">IF(BN161="","",IF(_xlfn.MAXIFS(ЗАКАЗЫ!$AK$3:$AK$500,ЗАКАЗЫ!$F$3:$F$500,$A161)=0,"",_xlfn.MAXIFS(ЗАКАЗЫ!$AK$3:$AK$500,ЗАКАЗЫ!$F$3:$F$500,$A161)))</f>
        <v/>
      </c>
    </row>
    <row r="162" customFormat="false" ht="15.75" hidden="false" customHeight="true" outlineLevel="0" collapsed="false">
      <c r="A162" s="80" t="s">
        <v>2029</v>
      </c>
      <c r="B162" s="81"/>
      <c r="C162" s="81"/>
      <c r="D162" s="81"/>
      <c r="E162" s="83"/>
      <c r="F162" s="81"/>
      <c r="G162" s="83"/>
      <c r="H162" s="83"/>
      <c r="I162" s="84" t="str">
        <f aca="false">IF(E162="","",A162&amp;"_1.jpg")</f>
        <v/>
      </c>
      <c r="J162" s="84" t="str">
        <f aca="false">IF(E162="","",A162&amp;"_2.jpg; "&amp;A162&amp;"_3.jpg")</f>
        <v/>
      </c>
      <c r="K162" s="84" t="str">
        <f aca="false">IF(E162="","",A162&amp;"_schema.jpg")</f>
        <v/>
      </c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 t="s">
        <v>96</v>
      </c>
      <c r="W162" s="81"/>
      <c r="X162" s="81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6" t="str">
        <f aca="false">IF(SUM(Y162:AJ162)=0,"",SUM(Y162:AJ162))</f>
        <v/>
      </c>
      <c r="AL162" s="84" t="str">
        <f aca="false">MID(IF(N(Y162)&gt;0,", "&amp;Y$2,"")&amp;IF(N(Z162)&gt;0,", "&amp;Z$2,"")&amp;IF(N(AA162)&gt;0,", "&amp;AA$2,"")&amp;IF(N(AB162)&gt;0,", "&amp;AB$2,"")&amp;IF(N(AC162)&gt;0,", "&amp;AC$2,"")&amp;IF(N(AD162)&gt;0,", "&amp;AD$2,"")&amp;IF(N(AE162)&gt;0,", "&amp;AE$2,"")&amp;IF(N(AF162)&gt;0,", "&amp;AF$2,"")&amp;IF(N(AG162)&gt;0,", "&amp;AG$2,"")&amp;IF(N(AH162)&gt;0,", "&amp;AH$2,"")&amp;IF(N(AI162)&gt;0,", "&amp;AI$2,"")&amp;IF(N(AJ162)&gt;0,", "&amp;AJ$2,""),3,999)</f>
        <v/>
      </c>
      <c r="AM162" s="87" t="str">
        <f aca="false">IF(E162="","",MID(IF(N(Y162)&gt;0,", "&amp;A162&amp;"-"&amp;Y$2,"")&amp;IF(N(Z162)&gt;0,", "&amp;A162&amp;"-"&amp;Z$2,"")&amp;IF(N(AA162)&gt;0,", "&amp;A162&amp;"-"&amp;AA$2,"")&amp;IF(N(AB162)&gt;0,", "&amp;A162&amp;"-"&amp;AB$2,"")&amp;IF(N(AC162)&gt;0,", "&amp;A162&amp;"-"&amp;AC$2,"")&amp;IF(N(AD162)&gt;0,", "&amp;A162&amp;"-"&amp;AD$2,"")&amp;IF(N(AE162)&gt;0,", "&amp;A162&amp;"-"&amp;AE$2,"")&amp;IF(N(AF162)&gt;0,", "&amp;A162&amp;"-"&amp;AF$2,"")&amp;IF(N(AG162)&gt;0,", "&amp;A162&amp;"-"&amp;AG$2,"")&amp;IF(N(AH162)&gt;0,", "&amp;A162&amp;"-"&amp;AH$2,"")&amp;IF(N(AI162)&gt;0,", "&amp;A162&amp;"-"&amp;AI$2,"")&amp;IF(N(AJ162)&gt;0,", "&amp;A162&amp;"-"&amp;AJ$2,""),3,999))</f>
        <v/>
      </c>
      <c r="AN162" s="81"/>
      <c r="AO162" s="88"/>
      <c r="AP162" s="89" t="str">
        <f aca="false">IF(AO162="","",ROUND(AO162/(1+Справочники!$B$13),2))</f>
        <v/>
      </c>
      <c r="AQ162" s="90" t="str">
        <f aca="false" t="array" ref="AQ162:AQ162">IF(AP162="","",AP162*INDEX(Справочники!$B$4:$B$7,MATCH("RUB",Справочники!$A$4:$A$7,0)))</f>
        <v/>
      </c>
      <c r="AR162" s="90" t="str">
        <f aca="false">IF(AQ162="","",ROUND(AQ162*(1+Справочники!$B$12),0))</f>
        <v/>
      </c>
      <c r="AS162" s="90" t="str">
        <f aca="false">IF(AR162="","",ROUND(AR162*(1-Справочники!$B$11),0))</f>
        <v/>
      </c>
      <c r="AT162" s="88"/>
      <c r="AU162" s="90" t="str">
        <f aca="false">IF(AT162="","",ROUND(AT162/(1+Справочники!$B$12),0))</f>
        <v/>
      </c>
      <c r="AV162" s="90" t="str">
        <f aca="false">IF(AT162="","",ROUND(AT162*(1-Справочники!$B$15),0))</f>
        <v/>
      </c>
      <c r="AW162" s="90" t="str">
        <f aca="false">IF(AT162="","",ROUND(AT162*(1-Справочники!$B$16),0))</f>
        <v/>
      </c>
      <c r="AX162" s="90" t="str">
        <f aca="false">IF(AT162="","",ROUND(AT162*(1-Справочники!$B$17),0))</f>
        <v/>
      </c>
      <c r="AY162" s="90" t="str">
        <f aca="false">IF(AT162="","",ROUND(AT162*(1-Справочники!$B$18),0))</f>
        <v/>
      </c>
      <c r="AZ162" s="90" t="str">
        <f aca="false">IF(AT162="","",ROUND(AT162*(1-Справочники!$B$19),0))</f>
        <v/>
      </c>
      <c r="BA162" s="81"/>
      <c r="BB162" s="81"/>
      <c r="BC162" s="81"/>
      <c r="BD162" s="81"/>
      <c r="BE162" s="91"/>
      <c r="BF162" s="81" t="s">
        <v>103</v>
      </c>
      <c r="BG162" s="89" t="n">
        <f aca="false" t="array" ref="BG162:BG162">IF(BF162="","",IFERROR(INDEX(Справочники!$B$4:$B$7,MATCH(BF162,Справочники!$A$4:$A$7,0)),""))</f>
        <v>68.5</v>
      </c>
      <c r="BH162" s="90" t="str">
        <f aca="false">IF(N(BN162)&gt;0,ROUND(SUMIF(ЗАКАЗЫ!$F$3:$F$500,$A162,ЗАКАЗЫ!$Y$3:$Y$500)/BN162,0),IF(OR(BE162="",BG162=""),"",ROUND(BE162*BG162*(1+Справочники!$B$10),0)))</f>
        <v/>
      </c>
      <c r="BI162" s="92" t="str">
        <f aca="false">IF(OR(AU162="",BH162="",AU162=0),"",(AU162-BH162)/AU162)</f>
        <v/>
      </c>
      <c r="BJ162" s="81"/>
      <c r="BK162" s="83"/>
      <c r="BL162" s="43" t="str">
        <f aca="false">IFERROR(INDEX(ЗАКАЗЫ!$N$3:$N$500,MATCH($A162,ЗАКАЗЫ!$F$3:$F$500,0)),"")</f>
        <v/>
      </c>
      <c r="BM162" s="8" t="str">
        <f aca="false">IF(BL162="","",IFERROR(VLOOKUP(BL162,'ТН ВЭД'!$A$4:$C$40,3,0),""))</f>
        <v/>
      </c>
      <c r="BN162" s="7" t="str">
        <f aca="false">IF(COUNTIF(ЗАКАЗЫ!$F$3:$F$500,$A162)=0,"",SUMIF(ЗАКАЗЫ!$F$3:$F$500,$A162,ЗАКАЗЫ!$J$3:$J$500))</f>
        <v/>
      </c>
      <c r="BO162" s="7" t="str">
        <f aca="false">IF(BN162="","",SUMIF(ЗАКАЗЫ!$F$3:$F$500,$A162,ЗАКАЗЫ!$AL$3:$AL$500))</f>
        <v/>
      </c>
      <c r="BP162" s="7" t="str">
        <f aca="false">IF(BN162="","",BN162-BO162)</f>
        <v/>
      </c>
      <c r="BQ162" s="55" t="str">
        <f aca="false">IF(BN162="","",IF(BO162&gt;=BN162,"На складе",IF(BO162&gt;0,"Частично","Ждём")))</f>
        <v/>
      </c>
      <c r="BR162" s="43"/>
      <c r="BS162" s="47" t="str">
        <f aca="false">IF(BN162="","",IF(_xlfn.MAXIFS(ЗАКАЗЫ!$AK$3:$AK$500,ЗАКАЗЫ!$F$3:$F$500,$A162)=0,"",_xlfn.MAXIFS(ЗАКАЗЫ!$AK$3:$AK$500,ЗАКАЗЫ!$F$3:$F$500,$A162)))</f>
        <v/>
      </c>
    </row>
    <row r="163" customFormat="false" ht="15.75" hidden="false" customHeight="true" outlineLevel="0" collapsed="false">
      <c r="A163" s="80" t="s">
        <v>2030</v>
      </c>
      <c r="B163" s="81"/>
      <c r="C163" s="81"/>
      <c r="D163" s="81"/>
      <c r="E163" s="83"/>
      <c r="F163" s="81"/>
      <c r="G163" s="83"/>
      <c r="H163" s="83"/>
      <c r="I163" s="84" t="str">
        <f aca="false">IF(E163="","",A163&amp;"_1.jpg")</f>
        <v/>
      </c>
      <c r="J163" s="84" t="str">
        <f aca="false">IF(E163="","",A163&amp;"_2.jpg; "&amp;A163&amp;"_3.jpg")</f>
        <v/>
      </c>
      <c r="K163" s="84" t="str">
        <f aca="false">IF(E163="","",A163&amp;"_schema.jpg")</f>
        <v/>
      </c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 t="s">
        <v>96</v>
      </c>
      <c r="W163" s="81"/>
      <c r="X163" s="81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6" t="str">
        <f aca="false">IF(SUM(Y163:AJ163)=0,"",SUM(Y163:AJ163))</f>
        <v/>
      </c>
      <c r="AL163" s="84" t="str">
        <f aca="false">MID(IF(N(Y163)&gt;0,", "&amp;Y$2,"")&amp;IF(N(Z163)&gt;0,", "&amp;Z$2,"")&amp;IF(N(AA163)&gt;0,", "&amp;AA$2,"")&amp;IF(N(AB163)&gt;0,", "&amp;AB$2,"")&amp;IF(N(AC163)&gt;0,", "&amp;AC$2,"")&amp;IF(N(AD163)&gt;0,", "&amp;AD$2,"")&amp;IF(N(AE163)&gt;0,", "&amp;AE$2,"")&amp;IF(N(AF163)&gt;0,", "&amp;AF$2,"")&amp;IF(N(AG163)&gt;0,", "&amp;AG$2,"")&amp;IF(N(AH163)&gt;0,", "&amp;AH$2,"")&amp;IF(N(AI163)&gt;0,", "&amp;AI$2,"")&amp;IF(N(AJ163)&gt;0,", "&amp;AJ$2,""),3,999)</f>
        <v/>
      </c>
      <c r="AM163" s="87" t="str">
        <f aca="false">IF(E163="","",MID(IF(N(Y163)&gt;0,", "&amp;A163&amp;"-"&amp;Y$2,"")&amp;IF(N(Z163)&gt;0,", "&amp;A163&amp;"-"&amp;Z$2,"")&amp;IF(N(AA163)&gt;0,", "&amp;A163&amp;"-"&amp;AA$2,"")&amp;IF(N(AB163)&gt;0,", "&amp;A163&amp;"-"&amp;AB$2,"")&amp;IF(N(AC163)&gt;0,", "&amp;A163&amp;"-"&amp;AC$2,"")&amp;IF(N(AD163)&gt;0,", "&amp;A163&amp;"-"&amp;AD$2,"")&amp;IF(N(AE163)&gt;0,", "&amp;A163&amp;"-"&amp;AE$2,"")&amp;IF(N(AF163)&gt;0,", "&amp;A163&amp;"-"&amp;AF$2,"")&amp;IF(N(AG163)&gt;0,", "&amp;A163&amp;"-"&amp;AG$2,"")&amp;IF(N(AH163)&gt;0,", "&amp;A163&amp;"-"&amp;AH$2,"")&amp;IF(N(AI163)&gt;0,", "&amp;A163&amp;"-"&amp;AI$2,"")&amp;IF(N(AJ163)&gt;0,", "&amp;A163&amp;"-"&amp;AJ$2,""),3,999))</f>
        <v/>
      </c>
      <c r="AN163" s="81"/>
      <c r="AO163" s="88"/>
      <c r="AP163" s="89" t="str">
        <f aca="false">IF(AO163="","",ROUND(AO163/(1+Справочники!$B$13),2))</f>
        <v/>
      </c>
      <c r="AQ163" s="90" t="str">
        <f aca="false" t="array" ref="AQ163:AQ163">IF(AP163="","",AP163*INDEX(Справочники!$B$4:$B$7,MATCH("RUB",Справочники!$A$4:$A$7,0)))</f>
        <v/>
      </c>
      <c r="AR163" s="90" t="str">
        <f aca="false">IF(AQ163="","",ROUND(AQ163*(1+Справочники!$B$12),0))</f>
        <v/>
      </c>
      <c r="AS163" s="90" t="str">
        <f aca="false">IF(AR163="","",ROUND(AR163*(1-Справочники!$B$11),0))</f>
        <v/>
      </c>
      <c r="AT163" s="88"/>
      <c r="AU163" s="90" t="str">
        <f aca="false">IF(AT163="","",ROUND(AT163/(1+Справочники!$B$12),0))</f>
        <v/>
      </c>
      <c r="AV163" s="90" t="str">
        <f aca="false">IF(AT163="","",ROUND(AT163*(1-Справочники!$B$15),0))</f>
        <v/>
      </c>
      <c r="AW163" s="90" t="str">
        <f aca="false">IF(AT163="","",ROUND(AT163*(1-Справочники!$B$16),0))</f>
        <v/>
      </c>
      <c r="AX163" s="90" t="str">
        <f aca="false">IF(AT163="","",ROUND(AT163*(1-Справочники!$B$17),0))</f>
        <v/>
      </c>
      <c r="AY163" s="90" t="str">
        <f aca="false">IF(AT163="","",ROUND(AT163*(1-Справочники!$B$18),0))</f>
        <v/>
      </c>
      <c r="AZ163" s="90" t="str">
        <f aca="false">IF(AT163="","",ROUND(AT163*(1-Справочники!$B$19),0))</f>
        <v/>
      </c>
      <c r="BA163" s="81"/>
      <c r="BB163" s="81"/>
      <c r="BC163" s="81"/>
      <c r="BD163" s="81"/>
      <c r="BE163" s="91"/>
      <c r="BF163" s="81" t="s">
        <v>103</v>
      </c>
      <c r="BG163" s="89" t="n">
        <f aca="false" t="array" ref="BG163:BG163">IF(BF163="","",IFERROR(INDEX(Справочники!$B$4:$B$7,MATCH(BF163,Справочники!$A$4:$A$7,0)),""))</f>
        <v>68.5</v>
      </c>
      <c r="BH163" s="90" t="str">
        <f aca="false">IF(N(BN163)&gt;0,ROUND(SUMIF(ЗАКАЗЫ!$F$3:$F$500,$A163,ЗАКАЗЫ!$Y$3:$Y$500)/BN163,0),IF(OR(BE163="",BG163=""),"",ROUND(BE163*BG163*(1+Справочники!$B$10),0)))</f>
        <v/>
      </c>
      <c r="BI163" s="92" t="str">
        <f aca="false">IF(OR(AU163="",BH163="",AU163=0),"",(AU163-BH163)/AU163)</f>
        <v/>
      </c>
      <c r="BJ163" s="81"/>
      <c r="BK163" s="83"/>
      <c r="BL163" s="43" t="str">
        <f aca="false">IFERROR(INDEX(ЗАКАЗЫ!$N$3:$N$500,MATCH($A163,ЗАКАЗЫ!$F$3:$F$500,0)),"")</f>
        <v/>
      </c>
      <c r="BM163" s="8" t="str">
        <f aca="false">IF(BL163="","",IFERROR(VLOOKUP(BL163,'ТН ВЭД'!$A$4:$C$40,3,0),""))</f>
        <v/>
      </c>
      <c r="BN163" s="7" t="str">
        <f aca="false">IF(COUNTIF(ЗАКАЗЫ!$F$3:$F$500,$A163)=0,"",SUMIF(ЗАКАЗЫ!$F$3:$F$500,$A163,ЗАКАЗЫ!$J$3:$J$500))</f>
        <v/>
      </c>
      <c r="BO163" s="7" t="str">
        <f aca="false">IF(BN163="","",SUMIF(ЗАКАЗЫ!$F$3:$F$500,$A163,ЗАКАЗЫ!$AL$3:$AL$500))</f>
        <v/>
      </c>
      <c r="BP163" s="7" t="str">
        <f aca="false">IF(BN163="","",BN163-BO163)</f>
        <v/>
      </c>
      <c r="BQ163" s="55" t="str">
        <f aca="false">IF(BN163="","",IF(BO163&gt;=BN163,"На складе",IF(BO163&gt;0,"Частично","Ждём")))</f>
        <v/>
      </c>
      <c r="BR163" s="43"/>
      <c r="BS163" s="47" t="str">
        <f aca="false">IF(BN163="","",IF(_xlfn.MAXIFS(ЗАКАЗЫ!$AK$3:$AK$500,ЗАКАЗЫ!$F$3:$F$500,$A163)=0,"",_xlfn.MAXIFS(ЗАКАЗЫ!$AK$3:$AK$500,ЗАКАЗЫ!$F$3:$F$500,$A163)))</f>
        <v/>
      </c>
    </row>
    <row r="164" customFormat="false" ht="15.75" hidden="false" customHeight="true" outlineLevel="0" collapsed="false">
      <c r="A164" s="80" t="s">
        <v>2031</v>
      </c>
      <c r="B164" s="81"/>
      <c r="C164" s="81"/>
      <c r="D164" s="81"/>
      <c r="E164" s="83"/>
      <c r="F164" s="81"/>
      <c r="G164" s="83"/>
      <c r="H164" s="83"/>
      <c r="I164" s="84" t="str">
        <f aca="false">IF(E164="","",A164&amp;"_1.jpg")</f>
        <v/>
      </c>
      <c r="J164" s="84" t="str">
        <f aca="false">IF(E164="","",A164&amp;"_2.jpg; "&amp;A164&amp;"_3.jpg")</f>
        <v/>
      </c>
      <c r="K164" s="84" t="str">
        <f aca="false">IF(E164="","",A164&amp;"_schema.jpg")</f>
        <v/>
      </c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 t="s">
        <v>96</v>
      </c>
      <c r="W164" s="81"/>
      <c r="X164" s="81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6" t="str">
        <f aca="false">IF(SUM(Y164:AJ164)=0,"",SUM(Y164:AJ164))</f>
        <v/>
      </c>
      <c r="AL164" s="84" t="str">
        <f aca="false">MID(IF(N(Y164)&gt;0,", "&amp;Y$2,"")&amp;IF(N(Z164)&gt;0,", "&amp;Z$2,"")&amp;IF(N(AA164)&gt;0,", "&amp;AA$2,"")&amp;IF(N(AB164)&gt;0,", "&amp;AB$2,"")&amp;IF(N(AC164)&gt;0,", "&amp;AC$2,"")&amp;IF(N(AD164)&gt;0,", "&amp;AD$2,"")&amp;IF(N(AE164)&gt;0,", "&amp;AE$2,"")&amp;IF(N(AF164)&gt;0,", "&amp;AF$2,"")&amp;IF(N(AG164)&gt;0,", "&amp;AG$2,"")&amp;IF(N(AH164)&gt;0,", "&amp;AH$2,"")&amp;IF(N(AI164)&gt;0,", "&amp;AI$2,"")&amp;IF(N(AJ164)&gt;0,", "&amp;AJ$2,""),3,999)</f>
        <v/>
      </c>
      <c r="AM164" s="87" t="str">
        <f aca="false">IF(E164="","",MID(IF(N(Y164)&gt;0,", "&amp;A164&amp;"-"&amp;Y$2,"")&amp;IF(N(Z164)&gt;0,", "&amp;A164&amp;"-"&amp;Z$2,"")&amp;IF(N(AA164)&gt;0,", "&amp;A164&amp;"-"&amp;AA$2,"")&amp;IF(N(AB164)&gt;0,", "&amp;A164&amp;"-"&amp;AB$2,"")&amp;IF(N(AC164)&gt;0,", "&amp;A164&amp;"-"&amp;AC$2,"")&amp;IF(N(AD164)&gt;0,", "&amp;A164&amp;"-"&amp;AD$2,"")&amp;IF(N(AE164)&gt;0,", "&amp;A164&amp;"-"&amp;AE$2,"")&amp;IF(N(AF164)&gt;0,", "&amp;A164&amp;"-"&amp;AF$2,"")&amp;IF(N(AG164)&gt;0,", "&amp;A164&amp;"-"&amp;AG$2,"")&amp;IF(N(AH164)&gt;0,", "&amp;A164&amp;"-"&amp;AH$2,"")&amp;IF(N(AI164)&gt;0,", "&amp;A164&amp;"-"&amp;AI$2,"")&amp;IF(N(AJ164)&gt;0,", "&amp;A164&amp;"-"&amp;AJ$2,""),3,999))</f>
        <v/>
      </c>
      <c r="AN164" s="81"/>
      <c r="AO164" s="88"/>
      <c r="AP164" s="89" t="str">
        <f aca="false">IF(AO164="","",ROUND(AO164/(1+Справочники!$B$13),2))</f>
        <v/>
      </c>
      <c r="AQ164" s="90" t="str">
        <f aca="false" t="array" ref="AQ164:AQ164">IF(AP164="","",AP164*INDEX(Справочники!$B$4:$B$7,MATCH("RUB",Справочники!$A$4:$A$7,0)))</f>
        <v/>
      </c>
      <c r="AR164" s="90" t="str">
        <f aca="false">IF(AQ164="","",ROUND(AQ164*(1+Справочники!$B$12),0))</f>
        <v/>
      </c>
      <c r="AS164" s="90" t="str">
        <f aca="false">IF(AR164="","",ROUND(AR164*(1-Справочники!$B$11),0))</f>
        <v/>
      </c>
      <c r="AT164" s="88"/>
      <c r="AU164" s="90" t="str">
        <f aca="false">IF(AT164="","",ROUND(AT164/(1+Справочники!$B$12),0))</f>
        <v/>
      </c>
      <c r="AV164" s="90" t="str">
        <f aca="false">IF(AT164="","",ROUND(AT164*(1-Справочники!$B$15),0))</f>
        <v/>
      </c>
      <c r="AW164" s="90" t="str">
        <f aca="false">IF(AT164="","",ROUND(AT164*(1-Справочники!$B$16),0))</f>
        <v/>
      </c>
      <c r="AX164" s="90" t="str">
        <f aca="false">IF(AT164="","",ROUND(AT164*(1-Справочники!$B$17),0))</f>
        <v/>
      </c>
      <c r="AY164" s="90" t="str">
        <f aca="false">IF(AT164="","",ROUND(AT164*(1-Справочники!$B$18),0))</f>
        <v/>
      </c>
      <c r="AZ164" s="90" t="str">
        <f aca="false">IF(AT164="","",ROUND(AT164*(1-Справочники!$B$19),0))</f>
        <v/>
      </c>
      <c r="BA164" s="81"/>
      <c r="BB164" s="81"/>
      <c r="BC164" s="81"/>
      <c r="BD164" s="81"/>
      <c r="BE164" s="91"/>
      <c r="BF164" s="81" t="s">
        <v>103</v>
      </c>
      <c r="BG164" s="89" t="n">
        <f aca="false" t="array" ref="BG164:BG164">IF(BF164="","",IFERROR(INDEX(Справочники!$B$4:$B$7,MATCH(BF164,Справочники!$A$4:$A$7,0)),""))</f>
        <v>68.5</v>
      </c>
      <c r="BH164" s="90" t="str">
        <f aca="false">IF(N(BN164)&gt;0,ROUND(SUMIF(ЗАКАЗЫ!$F$3:$F$500,$A164,ЗАКАЗЫ!$Y$3:$Y$500)/BN164,0),IF(OR(BE164="",BG164=""),"",ROUND(BE164*BG164*(1+Справочники!$B$10),0)))</f>
        <v/>
      </c>
      <c r="BI164" s="92" t="str">
        <f aca="false">IF(OR(AU164="",BH164="",AU164=0),"",(AU164-BH164)/AU164)</f>
        <v/>
      </c>
      <c r="BJ164" s="81"/>
      <c r="BK164" s="83"/>
      <c r="BL164" s="43" t="str">
        <f aca="false">IFERROR(INDEX(ЗАКАЗЫ!$N$3:$N$500,MATCH($A164,ЗАКАЗЫ!$F$3:$F$500,0)),"")</f>
        <v/>
      </c>
      <c r="BM164" s="8" t="str">
        <f aca="false">IF(BL164="","",IFERROR(VLOOKUP(BL164,'ТН ВЭД'!$A$4:$C$40,3,0),""))</f>
        <v/>
      </c>
      <c r="BN164" s="7" t="str">
        <f aca="false">IF(COUNTIF(ЗАКАЗЫ!$F$3:$F$500,$A164)=0,"",SUMIF(ЗАКАЗЫ!$F$3:$F$500,$A164,ЗАКАЗЫ!$J$3:$J$500))</f>
        <v/>
      </c>
      <c r="BO164" s="7" t="str">
        <f aca="false">IF(BN164="","",SUMIF(ЗАКАЗЫ!$F$3:$F$500,$A164,ЗАКАЗЫ!$AL$3:$AL$500))</f>
        <v/>
      </c>
      <c r="BP164" s="7" t="str">
        <f aca="false">IF(BN164="","",BN164-BO164)</f>
        <v/>
      </c>
      <c r="BQ164" s="55" t="str">
        <f aca="false">IF(BN164="","",IF(BO164&gt;=BN164,"На складе",IF(BO164&gt;0,"Частично","Ждём")))</f>
        <v/>
      </c>
      <c r="BR164" s="43"/>
      <c r="BS164" s="47" t="str">
        <f aca="false">IF(BN164="","",IF(_xlfn.MAXIFS(ЗАКАЗЫ!$AK$3:$AK$500,ЗАКАЗЫ!$F$3:$F$500,$A164)=0,"",_xlfn.MAXIFS(ЗАКАЗЫ!$AK$3:$AK$500,ЗАКАЗЫ!$F$3:$F$500,$A164)))</f>
        <v/>
      </c>
    </row>
    <row r="165" customFormat="false" ht="15.75" hidden="false" customHeight="true" outlineLevel="0" collapsed="false">
      <c r="A165" s="80" t="s">
        <v>2032</v>
      </c>
      <c r="B165" s="81"/>
      <c r="C165" s="81"/>
      <c r="D165" s="81"/>
      <c r="E165" s="83"/>
      <c r="F165" s="81"/>
      <c r="G165" s="83"/>
      <c r="H165" s="83"/>
      <c r="I165" s="84" t="str">
        <f aca="false">IF(E165="","",A165&amp;"_1.jpg")</f>
        <v/>
      </c>
      <c r="J165" s="84" t="str">
        <f aca="false">IF(E165="","",A165&amp;"_2.jpg; "&amp;A165&amp;"_3.jpg")</f>
        <v/>
      </c>
      <c r="K165" s="84" t="str">
        <f aca="false">IF(E165="","",A165&amp;"_schema.jpg")</f>
        <v/>
      </c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 t="s">
        <v>96</v>
      </c>
      <c r="W165" s="81"/>
      <c r="X165" s="81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6" t="str">
        <f aca="false">IF(SUM(Y165:AJ165)=0,"",SUM(Y165:AJ165))</f>
        <v/>
      </c>
      <c r="AL165" s="84" t="str">
        <f aca="false">MID(IF(N(Y165)&gt;0,", "&amp;Y$2,"")&amp;IF(N(Z165)&gt;0,", "&amp;Z$2,"")&amp;IF(N(AA165)&gt;0,", "&amp;AA$2,"")&amp;IF(N(AB165)&gt;0,", "&amp;AB$2,"")&amp;IF(N(AC165)&gt;0,", "&amp;AC$2,"")&amp;IF(N(AD165)&gt;0,", "&amp;AD$2,"")&amp;IF(N(AE165)&gt;0,", "&amp;AE$2,"")&amp;IF(N(AF165)&gt;0,", "&amp;AF$2,"")&amp;IF(N(AG165)&gt;0,", "&amp;AG$2,"")&amp;IF(N(AH165)&gt;0,", "&amp;AH$2,"")&amp;IF(N(AI165)&gt;0,", "&amp;AI$2,"")&amp;IF(N(AJ165)&gt;0,", "&amp;AJ$2,""),3,999)</f>
        <v/>
      </c>
      <c r="AM165" s="87" t="str">
        <f aca="false">IF(E165="","",MID(IF(N(Y165)&gt;0,", "&amp;A165&amp;"-"&amp;Y$2,"")&amp;IF(N(Z165)&gt;0,", "&amp;A165&amp;"-"&amp;Z$2,"")&amp;IF(N(AA165)&gt;0,", "&amp;A165&amp;"-"&amp;AA$2,"")&amp;IF(N(AB165)&gt;0,", "&amp;A165&amp;"-"&amp;AB$2,"")&amp;IF(N(AC165)&gt;0,", "&amp;A165&amp;"-"&amp;AC$2,"")&amp;IF(N(AD165)&gt;0,", "&amp;A165&amp;"-"&amp;AD$2,"")&amp;IF(N(AE165)&gt;0,", "&amp;A165&amp;"-"&amp;AE$2,"")&amp;IF(N(AF165)&gt;0,", "&amp;A165&amp;"-"&amp;AF$2,"")&amp;IF(N(AG165)&gt;0,", "&amp;A165&amp;"-"&amp;AG$2,"")&amp;IF(N(AH165)&gt;0,", "&amp;A165&amp;"-"&amp;AH$2,"")&amp;IF(N(AI165)&gt;0,", "&amp;A165&amp;"-"&amp;AI$2,"")&amp;IF(N(AJ165)&gt;0,", "&amp;A165&amp;"-"&amp;AJ$2,""),3,999))</f>
        <v/>
      </c>
      <c r="AN165" s="81"/>
      <c r="AO165" s="88"/>
      <c r="AP165" s="89" t="str">
        <f aca="false">IF(AO165="","",ROUND(AO165/(1+Справочники!$B$13),2))</f>
        <v/>
      </c>
      <c r="AQ165" s="90" t="str">
        <f aca="false" t="array" ref="AQ165:AQ165">IF(AP165="","",AP165*INDEX(Справочники!$B$4:$B$7,MATCH("RUB",Справочники!$A$4:$A$7,0)))</f>
        <v/>
      </c>
      <c r="AR165" s="90" t="str">
        <f aca="false">IF(AQ165="","",ROUND(AQ165*(1+Справочники!$B$12),0))</f>
        <v/>
      </c>
      <c r="AS165" s="90" t="str">
        <f aca="false">IF(AR165="","",ROUND(AR165*(1-Справочники!$B$11),0))</f>
        <v/>
      </c>
      <c r="AT165" s="88"/>
      <c r="AU165" s="90" t="str">
        <f aca="false">IF(AT165="","",ROUND(AT165/(1+Справочники!$B$12),0))</f>
        <v/>
      </c>
      <c r="AV165" s="90" t="str">
        <f aca="false">IF(AT165="","",ROUND(AT165*(1-Справочники!$B$15),0))</f>
        <v/>
      </c>
      <c r="AW165" s="90" t="str">
        <f aca="false">IF(AT165="","",ROUND(AT165*(1-Справочники!$B$16),0))</f>
        <v/>
      </c>
      <c r="AX165" s="90" t="str">
        <f aca="false">IF(AT165="","",ROUND(AT165*(1-Справочники!$B$17),0))</f>
        <v/>
      </c>
      <c r="AY165" s="90" t="str">
        <f aca="false">IF(AT165="","",ROUND(AT165*(1-Справочники!$B$18),0))</f>
        <v/>
      </c>
      <c r="AZ165" s="90" t="str">
        <f aca="false">IF(AT165="","",ROUND(AT165*(1-Справочники!$B$19),0))</f>
        <v/>
      </c>
      <c r="BA165" s="81"/>
      <c r="BB165" s="81"/>
      <c r="BC165" s="81"/>
      <c r="BD165" s="81"/>
      <c r="BE165" s="91"/>
      <c r="BF165" s="81" t="s">
        <v>103</v>
      </c>
      <c r="BG165" s="89" t="n">
        <f aca="false" t="array" ref="BG165:BG165">IF(BF165="","",IFERROR(INDEX(Справочники!$B$4:$B$7,MATCH(BF165,Справочники!$A$4:$A$7,0)),""))</f>
        <v>68.5</v>
      </c>
      <c r="BH165" s="90" t="str">
        <f aca="false">IF(N(BN165)&gt;0,ROUND(SUMIF(ЗАКАЗЫ!$F$3:$F$500,$A165,ЗАКАЗЫ!$Y$3:$Y$500)/BN165,0),IF(OR(BE165="",BG165=""),"",ROUND(BE165*BG165*(1+Справочники!$B$10),0)))</f>
        <v/>
      </c>
      <c r="BI165" s="92" t="str">
        <f aca="false">IF(OR(AU165="",BH165="",AU165=0),"",(AU165-BH165)/AU165)</f>
        <v/>
      </c>
      <c r="BJ165" s="81"/>
      <c r="BK165" s="83"/>
      <c r="BL165" s="43" t="str">
        <f aca="false">IFERROR(INDEX(ЗАКАЗЫ!$N$3:$N$500,MATCH($A165,ЗАКАЗЫ!$F$3:$F$500,0)),"")</f>
        <v/>
      </c>
      <c r="BM165" s="8" t="str">
        <f aca="false">IF(BL165="","",IFERROR(VLOOKUP(BL165,'ТН ВЭД'!$A$4:$C$40,3,0),""))</f>
        <v/>
      </c>
      <c r="BN165" s="7" t="str">
        <f aca="false">IF(COUNTIF(ЗАКАЗЫ!$F$3:$F$500,$A165)=0,"",SUMIF(ЗАКАЗЫ!$F$3:$F$500,$A165,ЗАКАЗЫ!$J$3:$J$500))</f>
        <v/>
      </c>
      <c r="BO165" s="7" t="str">
        <f aca="false">IF(BN165="","",SUMIF(ЗАКАЗЫ!$F$3:$F$500,$A165,ЗАКАЗЫ!$AL$3:$AL$500))</f>
        <v/>
      </c>
      <c r="BP165" s="7" t="str">
        <f aca="false">IF(BN165="","",BN165-BO165)</f>
        <v/>
      </c>
      <c r="BQ165" s="55" t="str">
        <f aca="false">IF(BN165="","",IF(BO165&gt;=BN165,"На складе",IF(BO165&gt;0,"Частично","Ждём")))</f>
        <v/>
      </c>
      <c r="BR165" s="43"/>
      <c r="BS165" s="47" t="str">
        <f aca="false">IF(BN165="","",IF(_xlfn.MAXIFS(ЗАКАЗЫ!$AK$3:$AK$500,ЗАКАЗЫ!$F$3:$F$500,$A165)=0,"",_xlfn.MAXIFS(ЗАКАЗЫ!$AK$3:$AK$500,ЗАКАЗЫ!$F$3:$F$500,$A165)))</f>
        <v/>
      </c>
    </row>
    <row r="166" customFormat="false" ht="15.75" hidden="false" customHeight="true" outlineLevel="0" collapsed="false">
      <c r="A166" s="80" t="s">
        <v>2033</v>
      </c>
      <c r="B166" s="81"/>
      <c r="C166" s="81"/>
      <c r="D166" s="81"/>
      <c r="E166" s="83"/>
      <c r="F166" s="81"/>
      <c r="G166" s="83"/>
      <c r="H166" s="83"/>
      <c r="I166" s="84" t="str">
        <f aca="false">IF(E166="","",A166&amp;"_1.jpg")</f>
        <v/>
      </c>
      <c r="J166" s="84" t="str">
        <f aca="false">IF(E166="","",A166&amp;"_2.jpg; "&amp;A166&amp;"_3.jpg")</f>
        <v/>
      </c>
      <c r="K166" s="84" t="str">
        <f aca="false">IF(E166="","",A166&amp;"_schema.jpg")</f>
        <v/>
      </c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 t="s">
        <v>96</v>
      </c>
      <c r="W166" s="81"/>
      <c r="X166" s="81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6" t="str">
        <f aca="false">IF(SUM(Y166:AJ166)=0,"",SUM(Y166:AJ166))</f>
        <v/>
      </c>
      <c r="AL166" s="84" t="str">
        <f aca="false">MID(IF(N(Y166)&gt;0,", "&amp;Y$2,"")&amp;IF(N(Z166)&gt;0,", "&amp;Z$2,"")&amp;IF(N(AA166)&gt;0,", "&amp;AA$2,"")&amp;IF(N(AB166)&gt;0,", "&amp;AB$2,"")&amp;IF(N(AC166)&gt;0,", "&amp;AC$2,"")&amp;IF(N(AD166)&gt;0,", "&amp;AD$2,"")&amp;IF(N(AE166)&gt;0,", "&amp;AE$2,"")&amp;IF(N(AF166)&gt;0,", "&amp;AF$2,"")&amp;IF(N(AG166)&gt;0,", "&amp;AG$2,"")&amp;IF(N(AH166)&gt;0,", "&amp;AH$2,"")&amp;IF(N(AI166)&gt;0,", "&amp;AI$2,"")&amp;IF(N(AJ166)&gt;0,", "&amp;AJ$2,""),3,999)</f>
        <v/>
      </c>
      <c r="AM166" s="87" t="str">
        <f aca="false">IF(E166="","",MID(IF(N(Y166)&gt;0,", "&amp;A166&amp;"-"&amp;Y$2,"")&amp;IF(N(Z166)&gt;0,", "&amp;A166&amp;"-"&amp;Z$2,"")&amp;IF(N(AA166)&gt;0,", "&amp;A166&amp;"-"&amp;AA$2,"")&amp;IF(N(AB166)&gt;0,", "&amp;A166&amp;"-"&amp;AB$2,"")&amp;IF(N(AC166)&gt;0,", "&amp;A166&amp;"-"&amp;AC$2,"")&amp;IF(N(AD166)&gt;0,", "&amp;A166&amp;"-"&amp;AD$2,"")&amp;IF(N(AE166)&gt;0,", "&amp;A166&amp;"-"&amp;AE$2,"")&amp;IF(N(AF166)&gt;0,", "&amp;A166&amp;"-"&amp;AF$2,"")&amp;IF(N(AG166)&gt;0,", "&amp;A166&amp;"-"&amp;AG$2,"")&amp;IF(N(AH166)&gt;0,", "&amp;A166&amp;"-"&amp;AH$2,"")&amp;IF(N(AI166)&gt;0,", "&amp;A166&amp;"-"&amp;AI$2,"")&amp;IF(N(AJ166)&gt;0,", "&amp;A166&amp;"-"&amp;AJ$2,""),3,999))</f>
        <v/>
      </c>
      <c r="AN166" s="81"/>
      <c r="AO166" s="88"/>
      <c r="AP166" s="89" t="str">
        <f aca="false">IF(AO166="","",ROUND(AO166/(1+Справочники!$B$13),2))</f>
        <v/>
      </c>
      <c r="AQ166" s="90" t="str">
        <f aca="false" t="array" ref="AQ166:AQ166">IF(AP166="","",AP166*INDEX(Справочники!$B$4:$B$7,MATCH("RUB",Справочники!$A$4:$A$7,0)))</f>
        <v/>
      </c>
      <c r="AR166" s="90" t="str">
        <f aca="false">IF(AQ166="","",ROUND(AQ166*(1+Справочники!$B$12),0))</f>
        <v/>
      </c>
      <c r="AS166" s="90" t="str">
        <f aca="false">IF(AR166="","",ROUND(AR166*(1-Справочники!$B$11),0))</f>
        <v/>
      </c>
      <c r="AT166" s="88"/>
      <c r="AU166" s="90" t="str">
        <f aca="false">IF(AT166="","",ROUND(AT166/(1+Справочники!$B$12),0))</f>
        <v/>
      </c>
      <c r="AV166" s="90" t="str">
        <f aca="false">IF(AT166="","",ROUND(AT166*(1-Справочники!$B$15),0))</f>
        <v/>
      </c>
      <c r="AW166" s="90" t="str">
        <f aca="false">IF(AT166="","",ROUND(AT166*(1-Справочники!$B$16),0))</f>
        <v/>
      </c>
      <c r="AX166" s="90" t="str">
        <f aca="false">IF(AT166="","",ROUND(AT166*(1-Справочники!$B$17),0))</f>
        <v/>
      </c>
      <c r="AY166" s="90" t="str">
        <f aca="false">IF(AT166="","",ROUND(AT166*(1-Справочники!$B$18),0))</f>
        <v/>
      </c>
      <c r="AZ166" s="90" t="str">
        <f aca="false">IF(AT166="","",ROUND(AT166*(1-Справочники!$B$19),0))</f>
        <v/>
      </c>
      <c r="BA166" s="81"/>
      <c r="BB166" s="81"/>
      <c r="BC166" s="81"/>
      <c r="BD166" s="81"/>
      <c r="BE166" s="91"/>
      <c r="BF166" s="81" t="s">
        <v>103</v>
      </c>
      <c r="BG166" s="89" t="n">
        <f aca="false" t="array" ref="BG166:BG166">IF(BF166="","",IFERROR(INDEX(Справочники!$B$4:$B$7,MATCH(BF166,Справочники!$A$4:$A$7,0)),""))</f>
        <v>68.5</v>
      </c>
      <c r="BH166" s="90" t="str">
        <f aca="false">IF(N(BN166)&gt;0,ROUND(SUMIF(ЗАКАЗЫ!$F$3:$F$500,$A166,ЗАКАЗЫ!$Y$3:$Y$500)/BN166,0),IF(OR(BE166="",BG166=""),"",ROUND(BE166*BG166*(1+Справочники!$B$10),0)))</f>
        <v/>
      </c>
      <c r="BI166" s="92" t="str">
        <f aca="false">IF(OR(AU166="",BH166="",AU166=0),"",(AU166-BH166)/AU166)</f>
        <v/>
      </c>
      <c r="BJ166" s="81"/>
      <c r="BK166" s="83"/>
      <c r="BL166" s="43" t="str">
        <f aca="false">IFERROR(INDEX(ЗАКАЗЫ!$N$3:$N$500,MATCH($A166,ЗАКАЗЫ!$F$3:$F$500,0)),"")</f>
        <v/>
      </c>
      <c r="BM166" s="8" t="str">
        <f aca="false">IF(BL166="","",IFERROR(VLOOKUP(BL166,'ТН ВЭД'!$A$4:$C$40,3,0),""))</f>
        <v/>
      </c>
      <c r="BN166" s="7" t="str">
        <f aca="false">IF(COUNTIF(ЗАКАЗЫ!$F$3:$F$500,$A166)=0,"",SUMIF(ЗАКАЗЫ!$F$3:$F$500,$A166,ЗАКАЗЫ!$J$3:$J$500))</f>
        <v/>
      </c>
      <c r="BO166" s="7" t="str">
        <f aca="false">IF(BN166="","",SUMIF(ЗАКАЗЫ!$F$3:$F$500,$A166,ЗАКАЗЫ!$AL$3:$AL$500))</f>
        <v/>
      </c>
      <c r="BP166" s="7" t="str">
        <f aca="false">IF(BN166="","",BN166-BO166)</f>
        <v/>
      </c>
      <c r="BQ166" s="55" t="str">
        <f aca="false">IF(BN166="","",IF(BO166&gt;=BN166,"На складе",IF(BO166&gt;0,"Частично","Ждём")))</f>
        <v/>
      </c>
      <c r="BR166" s="43"/>
      <c r="BS166" s="47" t="str">
        <f aca="false">IF(BN166="","",IF(_xlfn.MAXIFS(ЗАКАЗЫ!$AK$3:$AK$500,ЗАКАЗЫ!$F$3:$F$500,$A166)=0,"",_xlfn.MAXIFS(ЗАКАЗЫ!$AK$3:$AK$500,ЗАКАЗЫ!$F$3:$F$500,$A166)))</f>
        <v/>
      </c>
    </row>
    <row r="167" customFormat="false" ht="15.75" hidden="false" customHeight="true" outlineLevel="0" collapsed="false">
      <c r="A167" s="80" t="s">
        <v>2034</v>
      </c>
      <c r="B167" s="81"/>
      <c r="C167" s="81"/>
      <c r="D167" s="81"/>
      <c r="E167" s="83"/>
      <c r="F167" s="81"/>
      <c r="G167" s="83"/>
      <c r="H167" s="83"/>
      <c r="I167" s="84" t="str">
        <f aca="false">IF(E167="","",A167&amp;"_1.jpg")</f>
        <v/>
      </c>
      <c r="J167" s="84" t="str">
        <f aca="false">IF(E167="","",A167&amp;"_2.jpg; "&amp;A167&amp;"_3.jpg")</f>
        <v/>
      </c>
      <c r="K167" s="84" t="str">
        <f aca="false">IF(E167="","",A167&amp;"_schema.jpg")</f>
        <v/>
      </c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 t="s">
        <v>96</v>
      </c>
      <c r="W167" s="81"/>
      <c r="X167" s="81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6" t="str">
        <f aca="false">IF(SUM(Y167:AJ167)=0,"",SUM(Y167:AJ167))</f>
        <v/>
      </c>
      <c r="AL167" s="84" t="str">
        <f aca="false">MID(IF(N(Y167)&gt;0,", "&amp;Y$2,"")&amp;IF(N(Z167)&gt;0,", "&amp;Z$2,"")&amp;IF(N(AA167)&gt;0,", "&amp;AA$2,"")&amp;IF(N(AB167)&gt;0,", "&amp;AB$2,"")&amp;IF(N(AC167)&gt;0,", "&amp;AC$2,"")&amp;IF(N(AD167)&gt;0,", "&amp;AD$2,"")&amp;IF(N(AE167)&gt;0,", "&amp;AE$2,"")&amp;IF(N(AF167)&gt;0,", "&amp;AF$2,"")&amp;IF(N(AG167)&gt;0,", "&amp;AG$2,"")&amp;IF(N(AH167)&gt;0,", "&amp;AH$2,"")&amp;IF(N(AI167)&gt;0,", "&amp;AI$2,"")&amp;IF(N(AJ167)&gt;0,", "&amp;AJ$2,""),3,999)</f>
        <v/>
      </c>
      <c r="AM167" s="87" t="str">
        <f aca="false">IF(E167="","",MID(IF(N(Y167)&gt;0,", "&amp;A167&amp;"-"&amp;Y$2,"")&amp;IF(N(Z167)&gt;0,", "&amp;A167&amp;"-"&amp;Z$2,"")&amp;IF(N(AA167)&gt;0,", "&amp;A167&amp;"-"&amp;AA$2,"")&amp;IF(N(AB167)&gt;0,", "&amp;A167&amp;"-"&amp;AB$2,"")&amp;IF(N(AC167)&gt;0,", "&amp;A167&amp;"-"&amp;AC$2,"")&amp;IF(N(AD167)&gt;0,", "&amp;A167&amp;"-"&amp;AD$2,"")&amp;IF(N(AE167)&gt;0,", "&amp;A167&amp;"-"&amp;AE$2,"")&amp;IF(N(AF167)&gt;0,", "&amp;A167&amp;"-"&amp;AF$2,"")&amp;IF(N(AG167)&gt;0,", "&amp;A167&amp;"-"&amp;AG$2,"")&amp;IF(N(AH167)&gt;0,", "&amp;A167&amp;"-"&amp;AH$2,"")&amp;IF(N(AI167)&gt;0,", "&amp;A167&amp;"-"&amp;AI$2,"")&amp;IF(N(AJ167)&gt;0,", "&amp;A167&amp;"-"&amp;AJ$2,""),3,999))</f>
        <v/>
      </c>
      <c r="AN167" s="81"/>
      <c r="AO167" s="88"/>
      <c r="AP167" s="89" t="str">
        <f aca="false">IF(AO167="","",ROUND(AO167/(1+Справочники!$B$13),2))</f>
        <v/>
      </c>
      <c r="AQ167" s="90" t="str">
        <f aca="false" t="array" ref="AQ167:AQ167">IF(AP167="","",AP167*INDEX(Справочники!$B$4:$B$7,MATCH("RUB",Справочники!$A$4:$A$7,0)))</f>
        <v/>
      </c>
      <c r="AR167" s="90" t="str">
        <f aca="false">IF(AQ167="","",ROUND(AQ167*(1+Справочники!$B$12),0))</f>
        <v/>
      </c>
      <c r="AS167" s="90" t="str">
        <f aca="false">IF(AR167="","",ROUND(AR167*(1-Справочники!$B$11),0))</f>
        <v/>
      </c>
      <c r="AT167" s="88"/>
      <c r="AU167" s="90" t="str">
        <f aca="false">IF(AT167="","",ROUND(AT167/(1+Справочники!$B$12),0))</f>
        <v/>
      </c>
      <c r="AV167" s="90" t="str">
        <f aca="false">IF(AT167="","",ROUND(AT167*(1-Справочники!$B$15),0))</f>
        <v/>
      </c>
      <c r="AW167" s="90" t="str">
        <f aca="false">IF(AT167="","",ROUND(AT167*(1-Справочники!$B$16),0))</f>
        <v/>
      </c>
      <c r="AX167" s="90" t="str">
        <f aca="false">IF(AT167="","",ROUND(AT167*(1-Справочники!$B$17),0))</f>
        <v/>
      </c>
      <c r="AY167" s="90" t="str">
        <f aca="false">IF(AT167="","",ROUND(AT167*(1-Справочники!$B$18),0))</f>
        <v/>
      </c>
      <c r="AZ167" s="90" t="str">
        <f aca="false">IF(AT167="","",ROUND(AT167*(1-Справочники!$B$19),0))</f>
        <v/>
      </c>
      <c r="BA167" s="81"/>
      <c r="BB167" s="81"/>
      <c r="BC167" s="81"/>
      <c r="BD167" s="81"/>
      <c r="BE167" s="91"/>
      <c r="BF167" s="81" t="s">
        <v>103</v>
      </c>
      <c r="BG167" s="89" t="n">
        <f aca="false" t="array" ref="BG167:BG167">IF(BF167="","",IFERROR(INDEX(Справочники!$B$4:$B$7,MATCH(BF167,Справочники!$A$4:$A$7,0)),""))</f>
        <v>68.5</v>
      </c>
      <c r="BH167" s="90" t="str">
        <f aca="false">IF(N(BN167)&gt;0,ROUND(SUMIF(ЗАКАЗЫ!$F$3:$F$500,$A167,ЗАКАЗЫ!$Y$3:$Y$500)/BN167,0),IF(OR(BE167="",BG167=""),"",ROUND(BE167*BG167*(1+Справочники!$B$10),0)))</f>
        <v/>
      </c>
      <c r="BI167" s="92" t="str">
        <f aca="false">IF(OR(AU167="",BH167="",AU167=0),"",(AU167-BH167)/AU167)</f>
        <v/>
      </c>
      <c r="BJ167" s="81"/>
      <c r="BK167" s="83"/>
      <c r="BL167" s="43" t="str">
        <f aca="false">IFERROR(INDEX(ЗАКАЗЫ!$N$3:$N$500,MATCH($A167,ЗАКАЗЫ!$F$3:$F$500,0)),"")</f>
        <v/>
      </c>
      <c r="BM167" s="8" t="str">
        <f aca="false">IF(BL167="","",IFERROR(VLOOKUP(BL167,'ТН ВЭД'!$A$4:$C$40,3,0),""))</f>
        <v/>
      </c>
      <c r="BN167" s="7" t="str">
        <f aca="false">IF(COUNTIF(ЗАКАЗЫ!$F$3:$F$500,$A167)=0,"",SUMIF(ЗАКАЗЫ!$F$3:$F$500,$A167,ЗАКАЗЫ!$J$3:$J$500))</f>
        <v/>
      </c>
      <c r="BO167" s="7" t="str">
        <f aca="false">IF(BN167="","",SUMIF(ЗАКАЗЫ!$F$3:$F$500,$A167,ЗАКАЗЫ!$AL$3:$AL$500))</f>
        <v/>
      </c>
      <c r="BP167" s="7" t="str">
        <f aca="false">IF(BN167="","",BN167-BO167)</f>
        <v/>
      </c>
      <c r="BQ167" s="55" t="str">
        <f aca="false">IF(BN167="","",IF(BO167&gt;=BN167,"На складе",IF(BO167&gt;0,"Частично","Ждём")))</f>
        <v/>
      </c>
      <c r="BR167" s="43"/>
      <c r="BS167" s="47" t="str">
        <f aca="false">IF(BN167="","",IF(_xlfn.MAXIFS(ЗАКАЗЫ!$AK$3:$AK$500,ЗАКАЗЫ!$F$3:$F$500,$A167)=0,"",_xlfn.MAXIFS(ЗАКАЗЫ!$AK$3:$AK$500,ЗАКАЗЫ!$F$3:$F$500,$A167)))</f>
        <v/>
      </c>
    </row>
    <row r="168" customFormat="false" ht="15.75" hidden="false" customHeight="true" outlineLevel="0" collapsed="false">
      <c r="A168" s="80" t="s">
        <v>2035</v>
      </c>
      <c r="B168" s="81"/>
      <c r="C168" s="81"/>
      <c r="D168" s="81"/>
      <c r="E168" s="83"/>
      <c r="F168" s="81"/>
      <c r="G168" s="83"/>
      <c r="H168" s="83"/>
      <c r="I168" s="84" t="str">
        <f aca="false">IF(E168="","",A168&amp;"_1.jpg")</f>
        <v/>
      </c>
      <c r="J168" s="84" t="str">
        <f aca="false">IF(E168="","",A168&amp;"_2.jpg; "&amp;A168&amp;"_3.jpg")</f>
        <v/>
      </c>
      <c r="K168" s="84" t="str">
        <f aca="false">IF(E168="","",A168&amp;"_schema.jpg")</f>
        <v/>
      </c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 t="s">
        <v>96</v>
      </c>
      <c r="W168" s="81"/>
      <c r="X168" s="81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6" t="str">
        <f aca="false">IF(SUM(Y168:AJ168)=0,"",SUM(Y168:AJ168))</f>
        <v/>
      </c>
      <c r="AL168" s="84" t="str">
        <f aca="false">MID(IF(N(Y168)&gt;0,", "&amp;Y$2,"")&amp;IF(N(Z168)&gt;0,", "&amp;Z$2,"")&amp;IF(N(AA168)&gt;0,", "&amp;AA$2,"")&amp;IF(N(AB168)&gt;0,", "&amp;AB$2,"")&amp;IF(N(AC168)&gt;0,", "&amp;AC$2,"")&amp;IF(N(AD168)&gt;0,", "&amp;AD$2,"")&amp;IF(N(AE168)&gt;0,", "&amp;AE$2,"")&amp;IF(N(AF168)&gt;0,", "&amp;AF$2,"")&amp;IF(N(AG168)&gt;0,", "&amp;AG$2,"")&amp;IF(N(AH168)&gt;0,", "&amp;AH$2,"")&amp;IF(N(AI168)&gt;0,", "&amp;AI$2,"")&amp;IF(N(AJ168)&gt;0,", "&amp;AJ$2,""),3,999)</f>
        <v/>
      </c>
      <c r="AM168" s="87" t="str">
        <f aca="false">IF(E168="","",MID(IF(N(Y168)&gt;0,", "&amp;A168&amp;"-"&amp;Y$2,"")&amp;IF(N(Z168)&gt;0,", "&amp;A168&amp;"-"&amp;Z$2,"")&amp;IF(N(AA168)&gt;0,", "&amp;A168&amp;"-"&amp;AA$2,"")&amp;IF(N(AB168)&gt;0,", "&amp;A168&amp;"-"&amp;AB$2,"")&amp;IF(N(AC168)&gt;0,", "&amp;A168&amp;"-"&amp;AC$2,"")&amp;IF(N(AD168)&gt;0,", "&amp;A168&amp;"-"&amp;AD$2,"")&amp;IF(N(AE168)&gt;0,", "&amp;A168&amp;"-"&amp;AE$2,"")&amp;IF(N(AF168)&gt;0,", "&amp;A168&amp;"-"&amp;AF$2,"")&amp;IF(N(AG168)&gt;0,", "&amp;A168&amp;"-"&amp;AG$2,"")&amp;IF(N(AH168)&gt;0,", "&amp;A168&amp;"-"&amp;AH$2,"")&amp;IF(N(AI168)&gt;0,", "&amp;A168&amp;"-"&amp;AI$2,"")&amp;IF(N(AJ168)&gt;0,", "&amp;A168&amp;"-"&amp;AJ$2,""),3,999))</f>
        <v/>
      </c>
      <c r="AN168" s="81"/>
      <c r="AO168" s="88"/>
      <c r="AP168" s="89" t="str">
        <f aca="false">IF(AO168="","",ROUND(AO168/(1+Справочники!$B$13),2))</f>
        <v/>
      </c>
      <c r="AQ168" s="90" t="str">
        <f aca="false" t="array" ref="AQ168:AQ168">IF(AP168="","",AP168*INDEX(Справочники!$B$4:$B$7,MATCH("RUB",Справочники!$A$4:$A$7,0)))</f>
        <v/>
      </c>
      <c r="AR168" s="90" t="str">
        <f aca="false">IF(AQ168="","",ROUND(AQ168*(1+Справочники!$B$12),0))</f>
        <v/>
      </c>
      <c r="AS168" s="90" t="str">
        <f aca="false">IF(AR168="","",ROUND(AR168*(1-Справочники!$B$11),0))</f>
        <v/>
      </c>
      <c r="AT168" s="88"/>
      <c r="AU168" s="90" t="str">
        <f aca="false">IF(AT168="","",ROUND(AT168/(1+Справочники!$B$12),0))</f>
        <v/>
      </c>
      <c r="AV168" s="90" t="str">
        <f aca="false">IF(AT168="","",ROUND(AT168*(1-Справочники!$B$15),0))</f>
        <v/>
      </c>
      <c r="AW168" s="90" t="str">
        <f aca="false">IF(AT168="","",ROUND(AT168*(1-Справочники!$B$16),0))</f>
        <v/>
      </c>
      <c r="AX168" s="90" t="str">
        <f aca="false">IF(AT168="","",ROUND(AT168*(1-Справочники!$B$17),0))</f>
        <v/>
      </c>
      <c r="AY168" s="90" t="str">
        <f aca="false">IF(AT168="","",ROUND(AT168*(1-Справочники!$B$18),0))</f>
        <v/>
      </c>
      <c r="AZ168" s="90" t="str">
        <f aca="false">IF(AT168="","",ROUND(AT168*(1-Справочники!$B$19),0))</f>
        <v/>
      </c>
      <c r="BA168" s="81"/>
      <c r="BB168" s="81"/>
      <c r="BC168" s="81"/>
      <c r="BD168" s="81"/>
      <c r="BE168" s="91"/>
      <c r="BF168" s="81" t="s">
        <v>103</v>
      </c>
      <c r="BG168" s="89" t="n">
        <f aca="false" t="array" ref="BG168:BG168">IF(BF168="","",IFERROR(INDEX(Справочники!$B$4:$B$7,MATCH(BF168,Справочники!$A$4:$A$7,0)),""))</f>
        <v>68.5</v>
      </c>
      <c r="BH168" s="90" t="str">
        <f aca="false">IF(N(BN168)&gt;0,ROUND(SUMIF(ЗАКАЗЫ!$F$3:$F$500,$A168,ЗАКАЗЫ!$Y$3:$Y$500)/BN168,0),IF(OR(BE168="",BG168=""),"",ROUND(BE168*BG168*(1+Справочники!$B$10),0)))</f>
        <v/>
      </c>
      <c r="BI168" s="92" t="str">
        <f aca="false">IF(OR(AU168="",BH168="",AU168=0),"",(AU168-BH168)/AU168)</f>
        <v/>
      </c>
      <c r="BJ168" s="81"/>
      <c r="BK168" s="83"/>
      <c r="BL168" s="43" t="str">
        <f aca="false">IFERROR(INDEX(ЗАКАЗЫ!$N$3:$N$500,MATCH($A168,ЗАКАЗЫ!$F$3:$F$500,0)),"")</f>
        <v/>
      </c>
      <c r="BM168" s="8" t="str">
        <f aca="false">IF(BL168="","",IFERROR(VLOOKUP(BL168,'ТН ВЭД'!$A$4:$C$40,3,0),""))</f>
        <v/>
      </c>
      <c r="BN168" s="7" t="str">
        <f aca="false">IF(COUNTIF(ЗАКАЗЫ!$F$3:$F$500,$A168)=0,"",SUMIF(ЗАКАЗЫ!$F$3:$F$500,$A168,ЗАКАЗЫ!$J$3:$J$500))</f>
        <v/>
      </c>
      <c r="BO168" s="7" t="str">
        <f aca="false">IF(BN168="","",SUMIF(ЗАКАЗЫ!$F$3:$F$500,$A168,ЗАКАЗЫ!$AL$3:$AL$500))</f>
        <v/>
      </c>
      <c r="BP168" s="7" t="str">
        <f aca="false">IF(BN168="","",BN168-BO168)</f>
        <v/>
      </c>
      <c r="BQ168" s="55" t="str">
        <f aca="false">IF(BN168="","",IF(BO168&gt;=BN168,"На складе",IF(BO168&gt;0,"Частично","Ждём")))</f>
        <v/>
      </c>
      <c r="BR168" s="43"/>
      <c r="BS168" s="47" t="str">
        <f aca="false">IF(BN168="","",IF(_xlfn.MAXIFS(ЗАКАЗЫ!$AK$3:$AK$500,ЗАКАЗЫ!$F$3:$F$500,$A168)=0,"",_xlfn.MAXIFS(ЗАКАЗЫ!$AK$3:$AK$500,ЗАКАЗЫ!$F$3:$F$500,$A168)))</f>
        <v/>
      </c>
    </row>
    <row r="169" customFormat="false" ht="15.75" hidden="false" customHeight="true" outlineLevel="0" collapsed="false">
      <c r="A169" s="80" t="s">
        <v>2036</v>
      </c>
      <c r="B169" s="81"/>
      <c r="C169" s="81"/>
      <c r="D169" s="81"/>
      <c r="E169" s="83"/>
      <c r="F169" s="81"/>
      <c r="G169" s="83"/>
      <c r="H169" s="83"/>
      <c r="I169" s="84" t="str">
        <f aca="false">IF(E169="","",A169&amp;"_1.jpg")</f>
        <v/>
      </c>
      <c r="J169" s="84" t="str">
        <f aca="false">IF(E169="","",A169&amp;"_2.jpg; "&amp;A169&amp;"_3.jpg")</f>
        <v/>
      </c>
      <c r="K169" s="84" t="str">
        <f aca="false">IF(E169="","",A169&amp;"_schema.jpg")</f>
        <v/>
      </c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 t="s">
        <v>96</v>
      </c>
      <c r="W169" s="81"/>
      <c r="X169" s="81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6" t="str">
        <f aca="false">IF(SUM(Y169:AJ169)=0,"",SUM(Y169:AJ169))</f>
        <v/>
      </c>
      <c r="AL169" s="84" t="str">
        <f aca="false">MID(IF(N(Y169)&gt;0,", "&amp;Y$2,"")&amp;IF(N(Z169)&gt;0,", "&amp;Z$2,"")&amp;IF(N(AA169)&gt;0,", "&amp;AA$2,"")&amp;IF(N(AB169)&gt;0,", "&amp;AB$2,"")&amp;IF(N(AC169)&gt;0,", "&amp;AC$2,"")&amp;IF(N(AD169)&gt;0,", "&amp;AD$2,"")&amp;IF(N(AE169)&gt;0,", "&amp;AE$2,"")&amp;IF(N(AF169)&gt;0,", "&amp;AF$2,"")&amp;IF(N(AG169)&gt;0,", "&amp;AG$2,"")&amp;IF(N(AH169)&gt;0,", "&amp;AH$2,"")&amp;IF(N(AI169)&gt;0,", "&amp;AI$2,"")&amp;IF(N(AJ169)&gt;0,", "&amp;AJ$2,""),3,999)</f>
        <v/>
      </c>
      <c r="AM169" s="87" t="str">
        <f aca="false">IF(E169="","",MID(IF(N(Y169)&gt;0,", "&amp;A169&amp;"-"&amp;Y$2,"")&amp;IF(N(Z169)&gt;0,", "&amp;A169&amp;"-"&amp;Z$2,"")&amp;IF(N(AA169)&gt;0,", "&amp;A169&amp;"-"&amp;AA$2,"")&amp;IF(N(AB169)&gt;0,", "&amp;A169&amp;"-"&amp;AB$2,"")&amp;IF(N(AC169)&gt;0,", "&amp;A169&amp;"-"&amp;AC$2,"")&amp;IF(N(AD169)&gt;0,", "&amp;A169&amp;"-"&amp;AD$2,"")&amp;IF(N(AE169)&gt;0,", "&amp;A169&amp;"-"&amp;AE$2,"")&amp;IF(N(AF169)&gt;0,", "&amp;A169&amp;"-"&amp;AF$2,"")&amp;IF(N(AG169)&gt;0,", "&amp;A169&amp;"-"&amp;AG$2,"")&amp;IF(N(AH169)&gt;0,", "&amp;A169&amp;"-"&amp;AH$2,"")&amp;IF(N(AI169)&gt;0,", "&amp;A169&amp;"-"&amp;AI$2,"")&amp;IF(N(AJ169)&gt;0,", "&amp;A169&amp;"-"&amp;AJ$2,""),3,999))</f>
        <v/>
      </c>
      <c r="AN169" s="81"/>
      <c r="AO169" s="88"/>
      <c r="AP169" s="89" t="str">
        <f aca="false">IF(AO169="","",ROUND(AO169/(1+Справочники!$B$13),2))</f>
        <v/>
      </c>
      <c r="AQ169" s="90" t="str">
        <f aca="false" t="array" ref="AQ169:AQ169">IF(AP169="","",AP169*INDEX(Справочники!$B$4:$B$7,MATCH("RUB",Справочники!$A$4:$A$7,0)))</f>
        <v/>
      </c>
      <c r="AR169" s="90" t="str">
        <f aca="false">IF(AQ169="","",ROUND(AQ169*(1+Справочники!$B$12),0))</f>
        <v/>
      </c>
      <c r="AS169" s="90" t="str">
        <f aca="false">IF(AR169="","",ROUND(AR169*(1-Справочники!$B$11),0))</f>
        <v/>
      </c>
      <c r="AT169" s="88"/>
      <c r="AU169" s="90" t="str">
        <f aca="false">IF(AT169="","",ROUND(AT169/(1+Справочники!$B$12),0))</f>
        <v/>
      </c>
      <c r="AV169" s="90" t="str">
        <f aca="false">IF(AT169="","",ROUND(AT169*(1-Справочники!$B$15),0))</f>
        <v/>
      </c>
      <c r="AW169" s="90" t="str">
        <f aca="false">IF(AT169="","",ROUND(AT169*(1-Справочники!$B$16),0))</f>
        <v/>
      </c>
      <c r="AX169" s="90" t="str">
        <f aca="false">IF(AT169="","",ROUND(AT169*(1-Справочники!$B$17),0))</f>
        <v/>
      </c>
      <c r="AY169" s="90" t="str">
        <f aca="false">IF(AT169="","",ROUND(AT169*(1-Справочники!$B$18),0))</f>
        <v/>
      </c>
      <c r="AZ169" s="90" t="str">
        <f aca="false">IF(AT169="","",ROUND(AT169*(1-Справочники!$B$19),0))</f>
        <v/>
      </c>
      <c r="BA169" s="81"/>
      <c r="BB169" s="81"/>
      <c r="BC169" s="81"/>
      <c r="BD169" s="81"/>
      <c r="BE169" s="91"/>
      <c r="BF169" s="81" t="s">
        <v>103</v>
      </c>
      <c r="BG169" s="89" t="n">
        <f aca="false" t="array" ref="BG169:BG169">IF(BF169="","",IFERROR(INDEX(Справочники!$B$4:$B$7,MATCH(BF169,Справочники!$A$4:$A$7,0)),""))</f>
        <v>68.5</v>
      </c>
      <c r="BH169" s="90" t="str">
        <f aca="false">IF(N(BN169)&gt;0,ROUND(SUMIF(ЗАКАЗЫ!$F$3:$F$500,$A169,ЗАКАЗЫ!$Y$3:$Y$500)/BN169,0),IF(OR(BE169="",BG169=""),"",ROUND(BE169*BG169*(1+Справочники!$B$10),0)))</f>
        <v/>
      </c>
      <c r="BI169" s="92" t="str">
        <f aca="false">IF(OR(AU169="",BH169="",AU169=0),"",(AU169-BH169)/AU169)</f>
        <v/>
      </c>
      <c r="BJ169" s="81"/>
      <c r="BK169" s="83"/>
      <c r="BL169" s="43" t="str">
        <f aca="false">IFERROR(INDEX(ЗАКАЗЫ!$N$3:$N$500,MATCH($A169,ЗАКАЗЫ!$F$3:$F$500,0)),"")</f>
        <v/>
      </c>
      <c r="BM169" s="8" t="str">
        <f aca="false">IF(BL169="","",IFERROR(VLOOKUP(BL169,'ТН ВЭД'!$A$4:$C$40,3,0),""))</f>
        <v/>
      </c>
      <c r="BN169" s="7" t="str">
        <f aca="false">IF(COUNTIF(ЗАКАЗЫ!$F$3:$F$500,$A169)=0,"",SUMIF(ЗАКАЗЫ!$F$3:$F$500,$A169,ЗАКАЗЫ!$J$3:$J$500))</f>
        <v/>
      </c>
      <c r="BO169" s="7" t="str">
        <f aca="false">IF(BN169="","",SUMIF(ЗАКАЗЫ!$F$3:$F$500,$A169,ЗАКАЗЫ!$AL$3:$AL$500))</f>
        <v/>
      </c>
      <c r="BP169" s="7" t="str">
        <f aca="false">IF(BN169="","",BN169-BO169)</f>
        <v/>
      </c>
      <c r="BQ169" s="55" t="str">
        <f aca="false">IF(BN169="","",IF(BO169&gt;=BN169,"На складе",IF(BO169&gt;0,"Частично","Ждём")))</f>
        <v/>
      </c>
      <c r="BR169" s="43"/>
      <c r="BS169" s="47" t="str">
        <f aca="false">IF(BN169="","",IF(_xlfn.MAXIFS(ЗАКАЗЫ!$AK$3:$AK$500,ЗАКАЗЫ!$F$3:$F$500,$A169)=0,"",_xlfn.MAXIFS(ЗАКАЗЫ!$AK$3:$AK$500,ЗАКАЗЫ!$F$3:$F$500,$A169)))</f>
        <v/>
      </c>
    </row>
    <row r="170" customFormat="false" ht="15.75" hidden="false" customHeight="true" outlineLevel="0" collapsed="false">
      <c r="A170" s="80" t="s">
        <v>2037</v>
      </c>
      <c r="B170" s="81"/>
      <c r="C170" s="81"/>
      <c r="D170" s="81"/>
      <c r="E170" s="83"/>
      <c r="F170" s="81"/>
      <c r="G170" s="83"/>
      <c r="H170" s="83"/>
      <c r="I170" s="84" t="str">
        <f aca="false">IF(E170="","",A170&amp;"_1.jpg")</f>
        <v/>
      </c>
      <c r="J170" s="84" t="str">
        <f aca="false">IF(E170="","",A170&amp;"_2.jpg; "&amp;A170&amp;"_3.jpg")</f>
        <v/>
      </c>
      <c r="K170" s="84" t="str">
        <f aca="false">IF(E170="","",A170&amp;"_schema.jpg")</f>
        <v/>
      </c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 t="s">
        <v>96</v>
      </c>
      <c r="W170" s="81"/>
      <c r="X170" s="81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6" t="str">
        <f aca="false">IF(SUM(Y170:AJ170)=0,"",SUM(Y170:AJ170))</f>
        <v/>
      </c>
      <c r="AL170" s="84" t="str">
        <f aca="false">MID(IF(N(Y170)&gt;0,", "&amp;Y$2,"")&amp;IF(N(Z170)&gt;0,", "&amp;Z$2,"")&amp;IF(N(AA170)&gt;0,", "&amp;AA$2,"")&amp;IF(N(AB170)&gt;0,", "&amp;AB$2,"")&amp;IF(N(AC170)&gt;0,", "&amp;AC$2,"")&amp;IF(N(AD170)&gt;0,", "&amp;AD$2,"")&amp;IF(N(AE170)&gt;0,", "&amp;AE$2,"")&amp;IF(N(AF170)&gt;0,", "&amp;AF$2,"")&amp;IF(N(AG170)&gt;0,", "&amp;AG$2,"")&amp;IF(N(AH170)&gt;0,", "&amp;AH$2,"")&amp;IF(N(AI170)&gt;0,", "&amp;AI$2,"")&amp;IF(N(AJ170)&gt;0,", "&amp;AJ$2,""),3,999)</f>
        <v/>
      </c>
      <c r="AM170" s="87" t="str">
        <f aca="false">IF(E170="","",MID(IF(N(Y170)&gt;0,", "&amp;A170&amp;"-"&amp;Y$2,"")&amp;IF(N(Z170)&gt;0,", "&amp;A170&amp;"-"&amp;Z$2,"")&amp;IF(N(AA170)&gt;0,", "&amp;A170&amp;"-"&amp;AA$2,"")&amp;IF(N(AB170)&gt;0,", "&amp;A170&amp;"-"&amp;AB$2,"")&amp;IF(N(AC170)&gt;0,", "&amp;A170&amp;"-"&amp;AC$2,"")&amp;IF(N(AD170)&gt;0,", "&amp;A170&amp;"-"&amp;AD$2,"")&amp;IF(N(AE170)&gt;0,", "&amp;A170&amp;"-"&amp;AE$2,"")&amp;IF(N(AF170)&gt;0,", "&amp;A170&amp;"-"&amp;AF$2,"")&amp;IF(N(AG170)&gt;0,", "&amp;A170&amp;"-"&amp;AG$2,"")&amp;IF(N(AH170)&gt;0,", "&amp;A170&amp;"-"&amp;AH$2,"")&amp;IF(N(AI170)&gt;0,", "&amp;A170&amp;"-"&amp;AI$2,"")&amp;IF(N(AJ170)&gt;0,", "&amp;A170&amp;"-"&amp;AJ$2,""),3,999))</f>
        <v/>
      </c>
      <c r="AN170" s="81"/>
      <c r="AO170" s="88"/>
      <c r="AP170" s="89" t="str">
        <f aca="false">IF(AO170="","",ROUND(AO170/(1+Справочники!$B$13),2))</f>
        <v/>
      </c>
      <c r="AQ170" s="90" t="str">
        <f aca="false" t="array" ref="AQ170:AQ170">IF(AP170="","",AP170*INDEX(Справочники!$B$4:$B$7,MATCH("RUB",Справочники!$A$4:$A$7,0)))</f>
        <v/>
      </c>
      <c r="AR170" s="90" t="str">
        <f aca="false">IF(AQ170="","",ROUND(AQ170*(1+Справочники!$B$12),0))</f>
        <v/>
      </c>
      <c r="AS170" s="90" t="str">
        <f aca="false">IF(AR170="","",ROUND(AR170*(1-Справочники!$B$11),0))</f>
        <v/>
      </c>
      <c r="AT170" s="88"/>
      <c r="AU170" s="90" t="str">
        <f aca="false">IF(AT170="","",ROUND(AT170/(1+Справочники!$B$12),0))</f>
        <v/>
      </c>
      <c r="AV170" s="90" t="str">
        <f aca="false">IF(AT170="","",ROUND(AT170*(1-Справочники!$B$15),0))</f>
        <v/>
      </c>
      <c r="AW170" s="90" t="str">
        <f aca="false">IF(AT170="","",ROUND(AT170*(1-Справочники!$B$16),0))</f>
        <v/>
      </c>
      <c r="AX170" s="90" t="str">
        <f aca="false">IF(AT170="","",ROUND(AT170*(1-Справочники!$B$17),0))</f>
        <v/>
      </c>
      <c r="AY170" s="90" t="str">
        <f aca="false">IF(AT170="","",ROUND(AT170*(1-Справочники!$B$18),0))</f>
        <v/>
      </c>
      <c r="AZ170" s="90" t="str">
        <f aca="false">IF(AT170="","",ROUND(AT170*(1-Справочники!$B$19),0))</f>
        <v/>
      </c>
      <c r="BA170" s="81"/>
      <c r="BB170" s="81"/>
      <c r="BC170" s="81"/>
      <c r="BD170" s="81"/>
      <c r="BE170" s="91"/>
      <c r="BF170" s="81" t="s">
        <v>103</v>
      </c>
      <c r="BG170" s="89" t="n">
        <f aca="false" t="array" ref="BG170:BG170">IF(BF170="","",IFERROR(INDEX(Справочники!$B$4:$B$7,MATCH(BF170,Справочники!$A$4:$A$7,0)),""))</f>
        <v>68.5</v>
      </c>
      <c r="BH170" s="90" t="str">
        <f aca="false">IF(N(BN170)&gt;0,ROUND(SUMIF(ЗАКАЗЫ!$F$3:$F$500,$A170,ЗАКАЗЫ!$Y$3:$Y$500)/BN170,0),IF(OR(BE170="",BG170=""),"",ROUND(BE170*BG170*(1+Справочники!$B$10),0)))</f>
        <v/>
      </c>
      <c r="BI170" s="92" t="str">
        <f aca="false">IF(OR(AU170="",BH170="",AU170=0),"",(AU170-BH170)/AU170)</f>
        <v/>
      </c>
      <c r="BJ170" s="81"/>
      <c r="BK170" s="83"/>
      <c r="BL170" s="43" t="str">
        <f aca="false">IFERROR(INDEX(ЗАКАЗЫ!$N$3:$N$500,MATCH($A170,ЗАКАЗЫ!$F$3:$F$500,0)),"")</f>
        <v/>
      </c>
      <c r="BM170" s="8" t="str">
        <f aca="false">IF(BL170="","",IFERROR(VLOOKUP(BL170,'ТН ВЭД'!$A$4:$C$40,3,0),""))</f>
        <v/>
      </c>
      <c r="BN170" s="7" t="str">
        <f aca="false">IF(COUNTIF(ЗАКАЗЫ!$F$3:$F$500,$A170)=0,"",SUMIF(ЗАКАЗЫ!$F$3:$F$500,$A170,ЗАКАЗЫ!$J$3:$J$500))</f>
        <v/>
      </c>
      <c r="BO170" s="7" t="str">
        <f aca="false">IF(BN170="","",SUMIF(ЗАКАЗЫ!$F$3:$F$500,$A170,ЗАКАЗЫ!$AL$3:$AL$500))</f>
        <v/>
      </c>
      <c r="BP170" s="7" t="str">
        <f aca="false">IF(BN170="","",BN170-BO170)</f>
        <v/>
      </c>
      <c r="BQ170" s="55" t="str">
        <f aca="false">IF(BN170="","",IF(BO170&gt;=BN170,"На складе",IF(BO170&gt;0,"Частично","Ждём")))</f>
        <v/>
      </c>
      <c r="BR170" s="43"/>
      <c r="BS170" s="47" t="str">
        <f aca="false">IF(BN170="","",IF(_xlfn.MAXIFS(ЗАКАЗЫ!$AK$3:$AK$500,ЗАКАЗЫ!$F$3:$F$500,$A170)=0,"",_xlfn.MAXIFS(ЗАКАЗЫ!$AK$3:$AK$500,ЗАКАЗЫ!$F$3:$F$500,$A170)))</f>
        <v/>
      </c>
    </row>
    <row r="171" customFormat="false" ht="15.75" hidden="false" customHeight="true" outlineLevel="0" collapsed="false">
      <c r="A171" s="80" t="s">
        <v>2038</v>
      </c>
      <c r="B171" s="81"/>
      <c r="C171" s="81"/>
      <c r="D171" s="81"/>
      <c r="E171" s="83"/>
      <c r="F171" s="81"/>
      <c r="G171" s="83"/>
      <c r="H171" s="83"/>
      <c r="I171" s="84" t="str">
        <f aca="false">IF(E171="","",A171&amp;"_1.jpg")</f>
        <v/>
      </c>
      <c r="J171" s="84" t="str">
        <f aca="false">IF(E171="","",A171&amp;"_2.jpg; "&amp;A171&amp;"_3.jpg")</f>
        <v/>
      </c>
      <c r="K171" s="84" t="str">
        <f aca="false">IF(E171="","",A171&amp;"_schema.jpg")</f>
        <v/>
      </c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 t="s">
        <v>96</v>
      </c>
      <c r="W171" s="81"/>
      <c r="X171" s="81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6" t="str">
        <f aca="false">IF(SUM(Y171:AJ171)=0,"",SUM(Y171:AJ171))</f>
        <v/>
      </c>
      <c r="AL171" s="84" t="str">
        <f aca="false">MID(IF(N(Y171)&gt;0,", "&amp;Y$2,"")&amp;IF(N(Z171)&gt;0,", "&amp;Z$2,"")&amp;IF(N(AA171)&gt;0,", "&amp;AA$2,"")&amp;IF(N(AB171)&gt;0,", "&amp;AB$2,"")&amp;IF(N(AC171)&gt;0,", "&amp;AC$2,"")&amp;IF(N(AD171)&gt;0,", "&amp;AD$2,"")&amp;IF(N(AE171)&gt;0,", "&amp;AE$2,"")&amp;IF(N(AF171)&gt;0,", "&amp;AF$2,"")&amp;IF(N(AG171)&gt;0,", "&amp;AG$2,"")&amp;IF(N(AH171)&gt;0,", "&amp;AH$2,"")&amp;IF(N(AI171)&gt;0,", "&amp;AI$2,"")&amp;IF(N(AJ171)&gt;0,", "&amp;AJ$2,""),3,999)</f>
        <v/>
      </c>
      <c r="AM171" s="87" t="str">
        <f aca="false">IF(E171="","",MID(IF(N(Y171)&gt;0,", "&amp;A171&amp;"-"&amp;Y$2,"")&amp;IF(N(Z171)&gt;0,", "&amp;A171&amp;"-"&amp;Z$2,"")&amp;IF(N(AA171)&gt;0,", "&amp;A171&amp;"-"&amp;AA$2,"")&amp;IF(N(AB171)&gt;0,", "&amp;A171&amp;"-"&amp;AB$2,"")&amp;IF(N(AC171)&gt;0,", "&amp;A171&amp;"-"&amp;AC$2,"")&amp;IF(N(AD171)&gt;0,", "&amp;A171&amp;"-"&amp;AD$2,"")&amp;IF(N(AE171)&gt;0,", "&amp;A171&amp;"-"&amp;AE$2,"")&amp;IF(N(AF171)&gt;0,", "&amp;A171&amp;"-"&amp;AF$2,"")&amp;IF(N(AG171)&gt;0,", "&amp;A171&amp;"-"&amp;AG$2,"")&amp;IF(N(AH171)&gt;0,", "&amp;A171&amp;"-"&amp;AH$2,"")&amp;IF(N(AI171)&gt;0,", "&amp;A171&amp;"-"&amp;AI$2,"")&amp;IF(N(AJ171)&gt;0,", "&amp;A171&amp;"-"&amp;AJ$2,""),3,999))</f>
        <v/>
      </c>
      <c r="AN171" s="81"/>
      <c r="AO171" s="88"/>
      <c r="AP171" s="89" t="str">
        <f aca="false">IF(AO171="","",ROUND(AO171/(1+Справочники!$B$13),2))</f>
        <v/>
      </c>
      <c r="AQ171" s="90" t="str">
        <f aca="false" t="array" ref="AQ171:AQ171">IF(AP171="","",AP171*INDEX(Справочники!$B$4:$B$7,MATCH("RUB",Справочники!$A$4:$A$7,0)))</f>
        <v/>
      </c>
      <c r="AR171" s="90" t="str">
        <f aca="false">IF(AQ171="","",ROUND(AQ171*(1+Справочники!$B$12),0))</f>
        <v/>
      </c>
      <c r="AS171" s="90" t="str">
        <f aca="false">IF(AR171="","",ROUND(AR171*(1-Справочники!$B$11),0))</f>
        <v/>
      </c>
      <c r="AT171" s="88"/>
      <c r="AU171" s="90" t="str">
        <f aca="false">IF(AT171="","",ROUND(AT171/(1+Справочники!$B$12),0))</f>
        <v/>
      </c>
      <c r="AV171" s="90" t="str">
        <f aca="false">IF(AT171="","",ROUND(AT171*(1-Справочники!$B$15),0))</f>
        <v/>
      </c>
      <c r="AW171" s="90" t="str">
        <f aca="false">IF(AT171="","",ROUND(AT171*(1-Справочники!$B$16),0))</f>
        <v/>
      </c>
      <c r="AX171" s="90" t="str">
        <f aca="false">IF(AT171="","",ROUND(AT171*(1-Справочники!$B$17),0))</f>
        <v/>
      </c>
      <c r="AY171" s="90" t="str">
        <f aca="false">IF(AT171="","",ROUND(AT171*(1-Справочники!$B$18),0))</f>
        <v/>
      </c>
      <c r="AZ171" s="90" t="str">
        <f aca="false">IF(AT171="","",ROUND(AT171*(1-Справочники!$B$19),0))</f>
        <v/>
      </c>
      <c r="BA171" s="81"/>
      <c r="BB171" s="81"/>
      <c r="BC171" s="81"/>
      <c r="BD171" s="81"/>
      <c r="BE171" s="91"/>
      <c r="BF171" s="81" t="s">
        <v>103</v>
      </c>
      <c r="BG171" s="89" t="n">
        <f aca="false" t="array" ref="BG171:BG171">IF(BF171="","",IFERROR(INDEX(Справочники!$B$4:$B$7,MATCH(BF171,Справочники!$A$4:$A$7,0)),""))</f>
        <v>68.5</v>
      </c>
      <c r="BH171" s="90" t="str">
        <f aca="false">IF(N(BN171)&gt;0,ROUND(SUMIF(ЗАКАЗЫ!$F$3:$F$500,$A171,ЗАКАЗЫ!$Y$3:$Y$500)/BN171,0),IF(OR(BE171="",BG171=""),"",ROUND(BE171*BG171*(1+Справочники!$B$10),0)))</f>
        <v/>
      </c>
      <c r="BI171" s="92" t="str">
        <f aca="false">IF(OR(AU171="",BH171="",AU171=0),"",(AU171-BH171)/AU171)</f>
        <v/>
      </c>
      <c r="BJ171" s="81"/>
      <c r="BK171" s="83"/>
      <c r="BL171" s="43" t="str">
        <f aca="false">IFERROR(INDEX(ЗАКАЗЫ!$N$3:$N$500,MATCH($A171,ЗАКАЗЫ!$F$3:$F$500,0)),"")</f>
        <v/>
      </c>
      <c r="BM171" s="8" t="str">
        <f aca="false">IF(BL171="","",IFERROR(VLOOKUP(BL171,'ТН ВЭД'!$A$4:$C$40,3,0),""))</f>
        <v/>
      </c>
      <c r="BN171" s="7" t="str">
        <f aca="false">IF(COUNTIF(ЗАКАЗЫ!$F$3:$F$500,$A171)=0,"",SUMIF(ЗАКАЗЫ!$F$3:$F$500,$A171,ЗАКАЗЫ!$J$3:$J$500))</f>
        <v/>
      </c>
      <c r="BO171" s="7" t="str">
        <f aca="false">IF(BN171="","",SUMIF(ЗАКАЗЫ!$F$3:$F$500,$A171,ЗАКАЗЫ!$AL$3:$AL$500))</f>
        <v/>
      </c>
      <c r="BP171" s="7" t="str">
        <f aca="false">IF(BN171="","",BN171-BO171)</f>
        <v/>
      </c>
      <c r="BQ171" s="55" t="str">
        <f aca="false">IF(BN171="","",IF(BO171&gt;=BN171,"На складе",IF(BO171&gt;0,"Частично","Ждём")))</f>
        <v/>
      </c>
      <c r="BR171" s="43"/>
      <c r="BS171" s="47" t="str">
        <f aca="false">IF(BN171="","",IF(_xlfn.MAXIFS(ЗАКАЗЫ!$AK$3:$AK$500,ЗАКАЗЫ!$F$3:$F$500,$A171)=0,"",_xlfn.MAXIFS(ЗАКАЗЫ!$AK$3:$AK$500,ЗАКАЗЫ!$F$3:$F$500,$A171)))</f>
        <v/>
      </c>
    </row>
    <row r="172" customFormat="false" ht="15.75" hidden="false" customHeight="true" outlineLevel="0" collapsed="false">
      <c r="A172" s="80" t="s">
        <v>2039</v>
      </c>
      <c r="B172" s="81"/>
      <c r="C172" s="81"/>
      <c r="D172" s="81"/>
      <c r="E172" s="83"/>
      <c r="F172" s="81"/>
      <c r="G172" s="83"/>
      <c r="H172" s="83"/>
      <c r="I172" s="84" t="str">
        <f aca="false">IF(E172="","",A172&amp;"_1.jpg")</f>
        <v/>
      </c>
      <c r="J172" s="84" t="str">
        <f aca="false">IF(E172="","",A172&amp;"_2.jpg; "&amp;A172&amp;"_3.jpg")</f>
        <v/>
      </c>
      <c r="K172" s="84" t="str">
        <f aca="false">IF(E172="","",A172&amp;"_schema.jpg")</f>
        <v/>
      </c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 t="s">
        <v>96</v>
      </c>
      <c r="W172" s="81"/>
      <c r="X172" s="81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6" t="str">
        <f aca="false">IF(SUM(Y172:AJ172)=0,"",SUM(Y172:AJ172))</f>
        <v/>
      </c>
      <c r="AL172" s="84" t="str">
        <f aca="false">MID(IF(N(Y172)&gt;0,", "&amp;Y$2,"")&amp;IF(N(Z172)&gt;0,", "&amp;Z$2,"")&amp;IF(N(AA172)&gt;0,", "&amp;AA$2,"")&amp;IF(N(AB172)&gt;0,", "&amp;AB$2,"")&amp;IF(N(AC172)&gt;0,", "&amp;AC$2,"")&amp;IF(N(AD172)&gt;0,", "&amp;AD$2,"")&amp;IF(N(AE172)&gt;0,", "&amp;AE$2,"")&amp;IF(N(AF172)&gt;0,", "&amp;AF$2,"")&amp;IF(N(AG172)&gt;0,", "&amp;AG$2,"")&amp;IF(N(AH172)&gt;0,", "&amp;AH$2,"")&amp;IF(N(AI172)&gt;0,", "&amp;AI$2,"")&amp;IF(N(AJ172)&gt;0,", "&amp;AJ$2,""),3,999)</f>
        <v/>
      </c>
      <c r="AM172" s="87" t="str">
        <f aca="false">IF(E172="","",MID(IF(N(Y172)&gt;0,", "&amp;A172&amp;"-"&amp;Y$2,"")&amp;IF(N(Z172)&gt;0,", "&amp;A172&amp;"-"&amp;Z$2,"")&amp;IF(N(AA172)&gt;0,", "&amp;A172&amp;"-"&amp;AA$2,"")&amp;IF(N(AB172)&gt;0,", "&amp;A172&amp;"-"&amp;AB$2,"")&amp;IF(N(AC172)&gt;0,", "&amp;A172&amp;"-"&amp;AC$2,"")&amp;IF(N(AD172)&gt;0,", "&amp;A172&amp;"-"&amp;AD$2,"")&amp;IF(N(AE172)&gt;0,", "&amp;A172&amp;"-"&amp;AE$2,"")&amp;IF(N(AF172)&gt;0,", "&amp;A172&amp;"-"&amp;AF$2,"")&amp;IF(N(AG172)&gt;0,", "&amp;A172&amp;"-"&amp;AG$2,"")&amp;IF(N(AH172)&gt;0,", "&amp;A172&amp;"-"&amp;AH$2,"")&amp;IF(N(AI172)&gt;0,", "&amp;A172&amp;"-"&amp;AI$2,"")&amp;IF(N(AJ172)&gt;0,", "&amp;A172&amp;"-"&amp;AJ$2,""),3,999))</f>
        <v/>
      </c>
      <c r="AN172" s="81"/>
      <c r="AO172" s="88"/>
      <c r="AP172" s="89" t="str">
        <f aca="false">IF(AO172="","",ROUND(AO172/(1+Справочники!$B$13),2))</f>
        <v/>
      </c>
      <c r="AQ172" s="90" t="str">
        <f aca="false" t="array" ref="AQ172:AQ172">IF(AP172="","",AP172*INDEX(Справочники!$B$4:$B$7,MATCH("RUB",Справочники!$A$4:$A$7,0)))</f>
        <v/>
      </c>
      <c r="AR172" s="90" t="str">
        <f aca="false">IF(AQ172="","",ROUND(AQ172*(1+Справочники!$B$12),0))</f>
        <v/>
      </c>
      <c r="AS172" s="90" t="str">
        <f aca="false">IF(AR172="","",ROUND(AR172*(1-Справочники!$B$11),0))</f>
        <v/>
      </c>
      <c r="AT172" s="88"/>
      <c r="AU172" s="90" t="str">
        <f aca="false">IF(AT172="","",ROUND(AT172/(1+Справочники!$B$12),0))</f>
        <v/>
      </c>
      <c r="AV172" s="90" t="str">
        <f aca="false">IF(AT172="","",ROUND(AT172*(1-Справочники!$B$15),0))</f>
        <v/>
      </c>
      <c r="AW172" s="90" t="str">
        <f aca="false">IF(AT172="","",ROUND(AT172*(1-Справочники!$B$16),0))</f>
        <v/>
      </c>
      <c r="AX172" s="90" t="str">
        <f aca="false">IF(AT172="","",ROUND(AT172*(1-Справочники!$B$17),0))</f>
        <v/>
      </c>
      <c r="AY172" s="90" t="str">
        <f aca="false">IF(AT172="","",ROUND(AT172*(1-Справочники!$B$18),0))</f>
        <v/>
      </c>
      <c r="AZ172" s="90" t="str">
        <f aca="false">IF(AT172="","",ROUND(AT172*(1-Справочники!$B$19),0))</f>
        <v/>
      </c>
      <c r="BA172" s="81"/>
      <c r="BB172" s="81"/>
      <c r="BC172" s="81"/>
      <c r="BD172" s="81"/>
      <c r="BE172" s="91"/>
      <c r="BF172" s="81" t="s">
        <v>103</v>
      </c>
      <c r="BG172" s="89" t="n">
        <f aca="false" t="array" ref="BG172:BG172">IF(BF172="","",IFERROR(INDEX(Справочники!$B$4:$B$7,MATCH(BF172,Справочники!$A$4:$A$7,0)),""))</f>
        <v>68.5</v>
      </c>
      <c r="BH172" s="90" t="str">
        <f aca="false">IF(N(BN172)&gt;0,ROUND(SUMIF(ЗАКАЗЫ!$F$3:$F$500,$A172,ЗАКАЗЫ!$Y$3:$Y$500)/BN172,0),IF(OR(BE172="",BG172=""),"",ROUND(BE172*BG172*(1+Справочники!$B$10),0)))</f>
        <v/>
      </c>
      <c r="BI172" s="92" t="str">
        <f aca="false">IF(OR(AU172="",BH172="",AU172=0),"",(AU172-BH172)/AU172)</f>
        <v/>
      </c>
      <c r="BJ172" s="81"/>
      <c r="BK172" s="83"/>
      <c r="BL172" s="43" t="str">
        <f aca="false">IFERROR(INDEX(ЗАКАЗЫ!$N$3:$N$500,MATCH($A172,ЗАКАЗЫ!$F$3:$F$500,0)),"")</f>
        <v/>
      </c>
      <c r="BM172" s="8" t="str">
        <f aca="false">IF(BL172="","",IFERROR(VLOOKUP(BL172,'ТН ВЭД'!$A$4:$C$40,3,0),""))</f>
        <v/>
      </c>
      <c r="BN172" s="7" t="str">
        <f aca="false">IF(COUNTIF(ЗАКАЗЫ!$F$3:$F$500,$A172)=0,"",SUMIF(ЗАКАЗЫ!$F$3:$F$500,$A172,ЗАКАЗЫ!$J$3:$J$500))</f>
        <v/>
      </c>
      <c r="BO172" s="7" t="str">
        <f aca="false">IF(BN172="","",SUMIF(ЗАКАЗЫ!$F$3:$F$500,$A172,ЗАКАЗЫ!$AL$3:$AL$500))</f>
        <v/>
      </c>
      <c r="BP172" s="7" t="str">
        <f aca="false">IF(BN172="","",BN172-BO172)</f>
        <v/>
      </c>
      <c r="BQ172" s="55" t="str">
        <f aca="false">IF(BN172="","",IF(BO172&gt;=BN172,"На складе",IF(BO172&gt;0,"Частично","Ждём")))</f>
        <v/>
      </c>
      <c r="BR172" s="43"/>
      <c r="BS172" s="47" t="str">
        <f aca="false">IF(BN172="","",IF(_xlfn.MAXIFS(ЗАКАЗЫ!$AK$3:$AK$500,ЗАКАЗЫ!$F$3:$F$500,$A172)=0,"",_xlfn.MAXIFS(ЗАКАЗЫ!$AK$3:$AK$500,ЗАКАЗЫ!$F$3:$F$500,$A172)))</f>
        <v/>
      </c>
    </row>
    <row r="173" customFormat="false" ht="15.75" hidden="false" customHeight="true" outlineLevel="0" collapsed="false">
      <c r="A173" s="80" t="s">
        <v>2040</v>
      </c>
      <c r="B173" s="81"/>
      <c r="C173" s="81"/>
      <c r="D173" s="81"/>
      <c r="E173" s="83"/>
      <c r="F173" s="81"/>
      <c r="G173" s="83"/>
      <c r="H173" s="83"/>
      <c r="I173" s="84" t="str">
        <f aca="false">IF(E173="","",A173&amp;"_1.jpg")</f>
        <v/>
      </c>
      <c r="J173" s="84" t="str">
        <f aca="false">IF(E173="","",A173&amp;"_2.jpg; "&amp;A173&amp;"_3.jpg")</f>
        <v/>
      </c>
      <c r="K173" s="84" t="str">
        <f aca="false">IF(E173="","",A173&amp;"_schema.jpg")</f>
        <v/>
      </c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 t="s">
        <v>96</v>
      </c>
      <c r="W173" s="81"/>
      <c r="X173" s="81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6" t="str">
        <f aca="false">IF(SUM(Y173:AJ173)=0,"",SUM(Y173:AJ173))</f>
        <v/>
      </c>
      <c r="AL173" s="84" t="str">
        <f aca="false">MID(IF(N(Y173)&gt;0,", "&amp;Y$2,"")&amp;IF(N(Z173)&gt;0,", "&amp;Z$2,"")&amp;IF(N(AA173)&gt;0,", "&amp;AA$2,"")&amp;IF(N(AB173)&gt;0,", "&amp;AB$2,"")&amp;IF(N(AC173)&gt;0,", "&amp;AC$2,"")&amp;IF(N(AD173)&gt;0,", "&amp;AD$2,"")&amp;IF(N(AE173)&gt;0,", "&amp;AE$2,"")&amp;IF(N(AF173)&gt;0,", "&amp;AF$2,"")&amp;IF(N(AG173)&gt;0,", "&amp;AG$2,"")&amp;IF(N(AH173)&gt;0,", "&amp;AH$2,"")&amp;IF(N(AI173)&gt;0,", "&amp;AI$2,"")&amp;IF(N(AJ173)&gt;0,", "&amp;AJ$2,""),3,999)</f>
        <v/>
      </c>
      <c r="AM173" s="87" t="str">
        <f aca="false">IF(E173="","",MID(IF(N(Y173)&gt;0,", "&amp;A173&amp;"-"&amp;Y$2,"")&amp;IF(N(Z173)&gt;0,", "&amp;A173&amp;"-"&amp;Z$2,"")&amp;IF(N(AA173)&gt;0,", "&amp;A173&amp;"-"&amp;AA$2,"")&amp;IF(N(AB173)&gt;0,", "&amp;A173&amp;"-"&amp;AB$2,"")&amp;IF(N(AC173)&gt;0,", "&amp;A173&amp;"-"&amp;AC$2,"")&amp;IF(N(AD173)&gt;0,", "&amp;A173&amp;"-"&amp;AD$2,"")&amp;IF(N(AE173)&gt;0,", "&amp;A173&amp;"-"&amp;AE$2,"")&amp;IF(N(AF173)&gt;0,", "&amp;A173&amp;"-"&amp;AF$2,"")&amp;IF(N(AG173)&gt;0,", "&amp;A173&amp;"-"&amp;AG$2,"")&amp;IF(N(AH173)&gt;0,", "&amp;A173&amp;"-"&amp;AH$2,"")&amp;IF(N(AI173)&gt;0,", "&amp;A173&amp;"-"&amp;AI$2,"")&amp;IF(N(AJ173)&gt;0,", "&amp;A173&amp;"-"&amp;AJ$2,""),3,999))</f>
        <v/>
      </c>
      <c r="AN173" s="81"/>
      <c r="AO173" s="88"/>
      <c r="AP173" s="89" t="str">
        <f aca="false">IF(AO173="","",ROUND(AO173/(1+Справочники!$B$13),2))</f>
        <v/>
      </c>
      <c r="AQ173" s="90" t="str">
        <f aca="false" t="array" ref="AQ173:AQ173">IF(AP173="","",AP173*INDEX(Справочники!$B$4:$B$7,MATCH("RUB",Справочники!$A$4:$A$7,0)))</f>
        <v/>
      </c>
      <c r="AR173" s="90" t="str">
        <f aca="false">IF(AQ173="","",ROUND(AQ173*(1+Справочники!$B$12),0))</f>
        <v/>
      </c>
      <c r="AS173" s="90" t="str">
        <f aca="false">IF(AR173="","",ROUND(AR173*(1-Справочники!$B$11),0))</f>
        <v/>
      </c>
      <c r="AT173" s="88"/>
      <c r="AU173" s="90" t="str">
        <f aca="false">IF(AT173="","",ROUND(AT173/(1+Справочники!$B$12),0))</f>
        <v/>
      </c>
      <c r="AV173" s="90" t="str">
        <f aca="false">IF(AT173="","",ROUND(AT173*(1-Справочники!$B$15),0))</f>
        <v/>
      </c>
      <c r="AW173" s="90" t="str">
        <f aca="false">IF(AT173="","",ROUND(AT173*(1-Справочники!$B$16),0))</f>
        <v/>
      </c>
      <c r="AX173" s="90" t="str">
        <f aca="false">IF(AT173="","",ROUND(AT173*(1-Справочники!$B$17),0))</f>
        <v/>
      </c>
      <c r="AY173" s="90" t="str">
        <f aca="false">IF(AT173="","",ROUND(AT173*(1-Справочники!$B$18),0))</f>
        <v/>
      </c>
      <c r="AZ173" s="90" t="str">
        <f aca="false">IF(AT173="","",ROUND(AT173*(1-Справочники!$B$19),0))</f>
        <v/>
      </c>
      <c r="BA173" s="81"/>
      <c r="BB173" s="81"/>
      <c r="BC173" s="81"/>
      <c r="BD173" s="81"/>
      <c r="BE173" s="91"/>
      <c r="BF173" s="81" t="s">
        <v>103</v>
      </c>
      <c r="BG173" s="89" t="n">
        <f aca="false" t="array" ref="BG173:BG173">IF(BF173="","",IFERROR(INDEX(Справочники!$B$4:$B$7,MATCH(BF173,Справочники!$A$4:$A$7,0)),""))</f>
        <v>68.5</v>
      </c>
      <c r="BH173" s="90" t="str">
        <f aca="false">IF(N(BN173)&gt;0,ROUND(SUMIF(ЗАКАЗЫ!$F$3:$F$500,$A173,ЗАКАЗЫ!$Y$3:$Y$500)/BN173,0),IF(OR(BE173="",BG173=""),"",ROUND(BE173*BG173*(1+Справочники!$B$10),0)))</f>
        <v/>
      </c>
      <c r="BI173" s="92" t="str">
        <f aca="false">IF(OR(AU173="",BH173="",AU173=0),"",(AU173-BH173)/AU173)</f>
        <v/>
      </c>
      <c r="BJ173" s="81"/>
      <c r="BK173" s="83"/>
      <c r="BL173" s="43" t="str">
        <f aca="false">IFERROR(INDEX(ЗАКАЗЫ!$N$3:$N$500,MATCH($A173,ЗАКАЗЫ!$F$3:$F$500,0)),"")</f>
        <v/>
      </c>
      <c r="BM173" s="8" t="str">
        <f aca="false">IF(BL173="","",IFERROR(VLOOKUP(BL173,'ТН ВЭД'!$A$4:$C$40,3,0),""))</f>
        <v/>
      </c>
      <c r="BN173" s="7" t="str">
        <f aca="false">IF(COUNTIF(ЗАКАЗЫ!$F$3:$F$500,$A173)=0,"",SUMIF(ЗАКАЗЫ!$F$3:$F$500,$A173,ЗАКАЗЫ!$J$3:$J$500))</f>
        <v/>
      </c>
      <c r="BO173" s="7" t="str">
        <f aca="false">IF(BN173="","",SUMIF(ЗАКАЗЫ!$F$3:$F$500,$A173,ЗАКАЗЫ!$AL$3:$AL$500))</f>
        <v/>
      </c>
      <c r="BP173" s="7" t="str">
        <f aca="false">IF(BN173="","",BN173-BO173)</f>
        <v/>
      </c>
      <c r="BQ173" s="55" t="str">
        <f aca="false">IF(BN173="","",IF(BO173&gt;=BN173,"На складе",IF(BO173&gt;0,"Частично","Ждём")))</f>
        <v/>
      </c>
      <c r="BR173" s="43"/>
      <c r="BS173" s="47" t="str">
        <f aca="false">IF(BN173="","",IF(_xlfn.MAXIFS(ЗАКАЗЫ!$AK$3:$AK$500,ЗАКАЗЫ!$F$3:$F$500,$A173)=0,"",_xlfn.MAXIFS(ЗАКАЗЫ!$AK$3:$AK$500,ЗАКАЗЫ!$F$3:$F$500,$A173)))</f>
        <v/>
      </c>
    </row>
    <row r="174" customFormat="false" ht="15.75" hidden="false" customHeight="true" outlineLevel="0" collapsed="false">
      <c r="A174" s="80" t="s">
        <v>2041</v>
      </c>
      <c r="B174" s="81"/>
      <c r="C174" s="81"/>
      <c r="D174" s="81"/>
      <c r="E174" s="83"/>
      <c r="F174" s="81"/>
      <c r="G174" s="83"/>
      <c r="H174" s="83"/>
      <c r="I174" s="84" t="str">
        <f aca="false">IF(E174="","",A174&amp;"_1.jpg")</f>
        <v/>
      </c>
      <c r="J174" s="84" t="str">
        <f aca="false">IF(E174="","",A174&amp;"_2.jpg; "&amp;A174&amp;"_3.jpg")</f>
        <v/>
      </c>
      <c r="K174" s="84" t="str">
        <f aca="false">IF(E174="","",A174&amp;"_schema.jpg")</f>
        <v/>
      </c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 t="s">
        <v>96</v>
      </c>
      <c r="W174" s="81"/>
      <c r="X174" s="81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6" t="str">
        <f aca="false">IF(SUM(Y174:AJ174)=0,"",SUM(Y174:AJ174))</f>
        <v/>
      </c>
      <c r="AL174" s="84" t="str">
        <f aca="false">MID(IF(N(Y174)&gt;0,", "&amp;Y$2,"")&amp;IF(N(Z174)&gt;0,", "&amp;Z$2,"")&amp;IF(N(AA174)&gt;0,", "&amp;AA$2,"")&amp;IF(N(AB174)&gt;0,", "&amp;AB$2,"")&amp;IF(N(AC174)&gt;0,", "&amp;AC$2,"")&amp;IF(N(AD174)&gt;0,", "&amp;AD$2,"")&amp;IF(N(AE174)&gt;0,", "&amp;AE$2,"")&amp;IF(N(AF174)&gt;0,", "&amp;AF$2,"")&amp;IF(N(AG174)&gt;0,", "&amp;AG$2,"")&amp;IF(N(AH174)&gt;0,", "&amp;AH$2,"")&amp;IF(N(AI174)&gt;0,", "&amp;AI$2,"")&amp;IF(N(AJ174)&gt;0,", "&amp;AJ$2,""),3,999)</f>
        <v/>
      </c>
      <c r="AM174" s="87" t="str">
        <f aca="false">IF(E174="","",MID(IF(N(Y174)&gt;0,", "&amp;A174&amp;"-"&amp;Y$2,"")&amp;IF(N(Z174)&gt;0,", "&amp;A174&amp;"-"&amp;Z$2,"")&amp;IF(N(AA174)&gt;0,", "&amp;A174&amp;"-"&amp;AA$2,"")&amp;IF(N(AB174)&gt;0,", "&amp;A174&amp;"-"&amp;AB$2,"")&amp;IF(N(AC174)&gt;0,", "&amp;A174&amp;"-"&amp;AC$2,"")&amp;IF(N(AD174)&gt;0,", "&amp;A174&amp;"-"&amp;AD$2,"")&amp;IF(N(AE174)&gt;0,", "&amp;A174&amp;"-"&amp;AE$2,"")&amp;IF(N(AF174)&gt;0,", "&amp;A174&amp;"-"&amp;AF$2,"")&amp;IF(N(AG174)&gt;0,", "&amp;A174&amp;"-"&amp;AG$2,"")&amp;IF(N(AH174)&gt;0,", "&amp;A174&amp;"-"&amp;AH$2,"")&amp;IF(N(AI174)&gt;0,", "&amp;A174&amp;"-"&amp;AI$2,"")&amp;IF(N(AJ174)&gt;0,", "&amp;A174&amp;"-"&amp;AJ$2,""),3,999))</f>
        <v/>
      </c>
      <c r="AN174" s="81"/>
      <c r="AO174" s="88"/>
      <c r="AP174" s="89" t="str">
        <f aca="false">IF(AO174="","",ROUND(AO174/(1+Справочники!$B$13),2))</f>
        <v/>
      </c>
      <c r="AQ174" s="90" t="str">
        <f aca="false" t="array" ref="AQ174:AQ174">IF(AP174="","",AP174*INDEX(Справочники!$B$4:$B$7,MATCH("RUB",Справочники!$A$4:$A$7,0)))</f>
        <v/>
      </c>
      <c r="AR174" s="90" t="str">
        <f aca="false">IF(AQ174="","",ROUND(AQ174*(1+Справочники!$B$12),0))</f>
        <v/>
      </c>
      <c r="AS174" s="90" t="str">
        <f aca="false">IF(AR174="","",ROUND(AR174*(1-Справочники!$B$11),0))</f>
        <v/>
      </c>
      <c r="AT174" s="88"/>
      <c r="AU174" s="90" t="str">
        <f aca="false">IF(AT174="","",ROUND(AT174/(1+Справочники!$B$12),0))</f>
        <v/>
      </c>
      <c r="AV174" s="90" t="str">
        <f aca="false">IF(AT174="","",ROUND(AT174*(1-Справочники!$B$15),0))</f>
        <v/>
      </c>
      <c r="AW174" s="90" t="str">
        <f aca="false">IF(AT174="","",ROUND(AT174*(1-Справочники!$B$16),0))</f>
        <v/>
      </c>
      <c r="AX174" s="90" t="str">
        <f aca="false">IF(AT174="","",ROUND(AT174*(1-Справочники!$B$17),0))</f>
        <v/>
      </c>
      <c r="AY174" s="90" t="str">
        <f aca="false">IF(AT174="","",ROUND(AT174*(1-Справочники!$B$18),0))</f>
        <v/>
      </c>
      <c r="AZ174" s="90" t="str">
        <f aca="false">IF(AT174="","",ROUND(AT174*(1-Справочники!$B$19),0))</f>
        <v/>
      </c>
      <c r="BA174" s="81"/>
      <c r="BB174" s="81"/>
      <c r="BC174" s="81"/>
      <c r="BD174" s="81"/>
      <c r="BE174" s="91"/>
      <c r="BF174" s="81" t="s">
        <v>103</v>
      </c>
      <c r="BG174" s="89" t="n">
        <f aca="false" t="array" ref="BG174:BG174">IF(BF174="","",IFERROR(INDEX(Справочники!$B$4:$B$7,MATCH(BF174,Справочники!$A$4:$A$7,0)),""))</f>
        <v>68.5</v>
      </c>
      <c r="BH174" s="90" t="str">
        <f aca="false">IF(N(BN174)&gt;0,ROUND(SUMIF(ЗАКАЗЫ!$F$3:$F$500,$A174,ЗАКАЗЫ!$Y$3:$Y$500)/BN174,0),IF(OR(BE174="",BG174=""),"",ROUND(BE174*BG174*(1+Справочники!$B$10),0)))</f>
        <v/>
      </c>
      <c r="BI174" s="92" t="str">
        <f aca="false">IF(OR(AU174="",BH174="",AU174=0),"",(AU174-BH174)/AU174)</f>
        <v/>
      </c>
      <c r="BJ174" s="81"/>
      <c r="BK174" s="83"/>
      <c r="BL174" s="43" t="str">
        <f aca="false">IFERROR(INDEX(ЗАКАЗЫ!$N$3:$N$500,MATCH($A174,ЗАКАЗЫ!$F$3:$F$500,0)),"")</f>
        <v/>
      </c>
      <c r="BM174" s="8" t="str">
        <f aca="false">IF(BL174="","",IFERROR(VLOOKUP(BL174,'ТН ВЭД'!$A$4:$C$40,3,0),""))</f>
        <v/>
      </c>
      <c r="BN174" s="7" t="str">
        <f aca="false">IF(COUNTIF(ЗАКАЗЫ!$F$3:$F$500,$A174)=0,"",SUMIF(ЗАКАЗЫ!$F$3:$F$500,$A174,ЗАКАЗЫ!$J$3:$J$500))</f>
        <v/>
      </c>
      <c r="BO174" s="7" t="str">
        <f aca="false">IF(BN174="","",SUMIF(ЗАКАЗЫ!$F$3:$F$500,$A174,ЗАКАЗЫ!$AL$3:$AL$500))</f>
        <v/>
      </c>
      <c r="BP174" s="7" t="str">
        <f aca="false">IF(BN174="","",BN174-BO174)</f>
        <v/>
      </c>
      <c r="BQ174" s="55" t="str">
        <f aca="false">IF(BN174="","",IF(BO174&gt;=BN174,"На складе",IF(BO174&gt;0,"Частично","Ждём")))</f>
        <v/>
      </c>
      <c r="BR174" s="43"/>
      <c r="BS174" s="47" t="str">
        <f aca="false">IF(BN174="","",IF(_xlfn.MAXIFS(ЗАКАЗЫ!$AK$3:$AK$500,ЗАКАЗЫ!$F$3:$F$500,$A174)=0,"",_xlfn.MAXIFS(ЗАКАЗЫ!$AK$3:$AK$500,ЗАКАЗЫ!$F$3:$F$500,$A174)))</f>
        <v/>
      </c>
    </row>
    <row r="175" customFormat="false" ht="15.75" hidden="false" customHeight="true" outlineLevel="0" collapsed="false">
      <c r="A175" s="80" t="s">
        <v>2042</v>
      </c>
      <c r="B175" s="81"/>
      <c r="C175" s="81"/>
      <c r="D175" s="81"/>
      <c r="E175" s="83"/>
      <c r="F175" s="81"/>
      <c r="G175" s="83"/>
      <c r="H175" s="83"/>
      <c r="I175" s="84" t="str">
        <f aca="false">IF(E175="","",A175&amp;"_1.jpg")</f>
        <v/>
      </c>
      <c r="J175" s="84" t="str">
        <f aca="false">IF(E175="","",A175&amp;"_2.jpg; "&amp;A175&amp;"_3.jpg")</f>
        <v/>
      </c>
      <c r="K175" s="84" t="str">
        <f aca="false">IF(E175="","",A175&amp;"_schema.jpg")</f>
        <v/>
      </c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 t="s">
        <v>96</v>
      </c>
      <c r="W175" s="81"/>
      <c r="X175" s="81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6" t="str">
        <f aca="false">IF(SUM(Y175:AJ175)=0,"",SUM(Y175:AJ175))</f>
        <v/>
      </c>
      <c r="AL175" s="84" t="str">
        <f aca="false">MID(IF(N(Y175)&gt;0,", "&amp;Y$2,"")&amp;IF(N(Z175)&gt;0,", "&amp;Z$2,"")&amp;IF(N(AA175)&gt;0,", "&amp;AA$2,"")&amp;IF(N(AB175)&gt;0,", "&amp;AB$2,"")&amp;IF(N(AC175)&gt;0,", "&amp;AC$2,"")&amp;IF(N(AD175)&gt;0,", "&amp;AD$2,"")&amp;IF(N(AE175)&gt;0,", "&amp;AE$2,"")&amp;IF(N(AF175)&gt;0,", "&amp;AF$2,"")&amp;IF(N(AG175)&gt;0,", "&amp;AG$2,"")&amp;IF(N(AH175)&gt;0,", "&amp;AH$2,"")&amp;IF(N(AI175)&gt;0,", "&amp;AI$2,"")&amp;IF(N(AJ175)&gt;0,", "&amp;AJ$2,""),3,999)</f>
        <v/>
      </c>
      <c r="AM175" s="87" t="str">
        <f aca="false">IF(E175="","",MID(IF(N(Y175)&gt;0,", "&amp;A175&amp;"-"&amp;Y$2,"")&amp;IF(N(Z175)&gt;0,", "&amp;A175&amp;"-"&amp;Z$2,"")&amp;IF(N(AA175)&gt;0,", "&amp;A175&amp;"-"&amp;AA$2,"")&amp;IF(N(AB175)&gt;0,", "&amp;A175&amp;"-"&amp;AB$2,"")&amp;IF(N(AC175)&gt;0,", "&amp;A175&amp;"-"&amp;AC$2,"")&amp;IF(N(AD175)&gt;0,", "&amp;A175&amp;"-"&amp;AD$2,"")&amp;IF(N(AE175)&gt;0,", "&amp;A175&amp;"-"&amp;AE$2,"")&amp;IF(N(AF175)&gt;0,", "&amp;A175&amp;"-"&amp;AF$2,"")&amp;IF(N(AG175)&gt;0,", "&amp;A175&amp;"-"&amp;AG$2,"")&amp;IF(N(AH175)&gt;0,", "&amp;A175&amp;"-"&amp;AH$2,"")&amp;IF(N(AI175)&gt;0,", "&amp;A175&amp;"-"&amp;AI$2,"")&amp;IF(N(AJ175)&gt;0,", "&amp;A175&amp;"-"&amp;AJ$2,""),3,999))</f>
        <v/>
      </c>
      <c r="AN175" s="81"/>
      <c r="AO175" s="88"/>
      <c r="AP175" s="89" t="str">
        <f aca="false">IF(AO175="","",ROUND(AO175/(1+Справочники!$B$13),2))</f>
        <v/>
      </c>
      <c r="AQ175" s="90" t="str">
        <f aca="false" t="array" ref="AQ175:AQ175">IF(AP175="","",AP175*INDEX(Справочники!$B$4:$B$7,MATCH("RUB",Справочники!$A$4:$A$7,0)))</f>
        <v/>
      </c>
      <c r="AR175" s="90" t="str">
        <f aca="false">IF(AQ175="","",ROUND(AQ175*(1+Справочники!$B$12),0))</f>
        <v/>
      </c>
      <c r="AS175" s="90" t="str">
        <f aca="false">IF(AR175="","",ROUND(AR175*(1-Справочники!$B$11),0))</f>
        <v/>
      </c>
      <c r="AT175" s="88"/>
      <c r="AU175" s="90" t="str">
        <f aca="false">IF(AT175="","",ROUND(AT175/(1+Справочники!$B$12),0))</f>
        <v/>
      </c>
      <c r="AV175" s="90" t="str">
        <f aca="false">IF(AT175="","",ROUND(AT175*(1-Справочники!$B$15),0))</f>
        <v/>
      </c>
      <c r="AW175" s="90" t="str">
        <f aca="false">IF(AT175="","",ROUND(AT175*(1-Справочники!$B$16),0))</f>
        <v/>
      </c>
      <c r="AX175" s="90" t="str">
        <f aca="false">IF(AT175="","",ROUND(AT175*(1-Справочники!$B$17),0))</f>
        <v/>
      </c>
      <c r="AY175" s="90" t="str">
        <f aca="false">IF(AT175="","",ROUND(AT175*(1-Справочники!$B$18),0))</f>
        <v/>
      </c>
      <c r="AZ175" s="90" t="str">
        <f aca="false">IF(AT175="","",ROUND(AT175*(1-Справочники!$B$19),0))</f>
        <v/>
      </c>
      <c r="BA175" s="81"/>
      <c r="BB175" s="81"/>
      <c r="BC175" s="81"/>
      <c r="BD175" s="81"/>
      <c r="BE175" s="91"/>
      <c r="BF175" s="81" t="s">
        <v>103</v>
      </c>
      <c r="BG175" s="89" t="n">
        <f aca="false" t="array" ref="BG175:BG175">IF(BF175="","",IFERROR(INDEX(Справочники!$B$4:$B$7,MATCH(BF175,Справочники!$A$4:$A$7,0)),""))</f>
        <v>68.5</v>
      </c>
      <c r="BH175" s="90" t="str">
        <f aca="false">IF(N(BN175)&gt;0,ROUND(SUMIF(ЗАКАЗЫ!$F$3:$F$500,$A175,ЗАКАЗЫ!$Y$3:$Y$500)/BN175,0),IF(OR(BE175="",BG175=""),"",ROUND(BE175*BG175*(1+Справочники!$B$10),0)))</f>
        <v/>
      </c>
      <c r="BI175" s="92" t="str">
        <f aca="false">IF(OR(AU175="",BH175="",AU175=0),"",(AU175-BH175)/AU175)</f>
        <v/>
      </c>
      <c r="BJ175" s="81"/>
      <c r="BK175" s="83"/>
      <c r="BL175" s="43" t="str">
        <f aca="false">IFERROR(INDEX(ЗАКАЗЫ!$N$3:$N$500,MATCH($A175,ЗАКАЗЫ!$F$3:$F$500,0)),"")</f>
        <v/>
      </c>
      <c r="BM175" s="8" t="str">
        <f aca="false">IF(BL175="","",IFERROR(VLOOKUP(BL175,'ТН ВЭД'!$A$4:$C$40,3,0),""))</f>
        <v/>
      </c>
      <c r="BN175" s="7" t="str">
        <f aca="false">IF(COUNTIF(ЗАКАЗЫ!$F$3:$F$500,$A175)=0,"",SUMIF(ЗАКАЗЫ!$F$3:$F$500,$A175,ЗАКАЗЫ!$J$3:$J$500))</f>
        <v/>
      </c>
      <c r="BO175" s="7" t="str">
        <f aca="false">IF(BN175="","",SUMIF(ЗАКАЗЫ!$F$3:$F$500,$A175,ЗАКАЗЫ!$AL$3:$AL$500))</f>
        <v/>
      </c>
      <c r="BP175" s="7" t="str">
        <f aca="false">IF(BN175="","",BN175-BO175)</f>
        <v/>
      </c>
      <c r="BQ175" s="55" t="str">
        <f aca="false">IF(BN175="","",IF(BO175&gt;=BN175,"На складе",IF(BO175&gt;0,"Частично","Ждём")))</f>
        <v/>
      </c>
      <c r="BR175" s="43"/>
      <c r="BS175" s="47" t="str">
        <f aca="false">IF(BN175="","",IF(_xlfn.MAXIFS(ЗАКАЗЫ!$AK$3:$AK$500,ЗАКАЗЫ!$F$3:$F$500,$A175)=0,"",_xlfn.MAXIFS(ЗАКАЗЫ!$AK$3:$AK$500,ЗАКАЗЫ!$F$3:$F$500,$A175)))</f>
        <v/>
      </c>
    </row>
    <row r="176" customFormat="false" ht="15.75" hidden="false" customHeight="true" outlineLevel="0" collapsed="false">
      <c r="A176" s="80" t="s">
        <v>2043</v>
      </c>
      <c r="B176" s="81"/>
      <c r="C176" s="81"/>
      <c r="D176" s="81"/>
      <c r="E176" s="83"/>
      <c r="F176" s="81"/>
      <c r="G176" s="83"/>
      <c r="H176" s="83"/>
      <c r="I176" s="84" t="str">
        <f aca="false">IF(E176="","",A176&amp;"_1.jpg")</f>
        <v/>
      </c>
      <c r="J176" s="84" t="str">
        <f aca="false">IF(E176="","",A176&amp;"_2.jpg; "&amp;A176&amp;"_3.jpg")</f>
        <v/>
      </c>
      <c r="K176" s="84" t="str">
        <f aca="false">IF(E176="","",A176&amp;"_schema.jpg")</f>
        <v/>
      </c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 t="s">
        <v>96</v>
      </c>
      <c r="W176" s="81"/>
      <c r="X176" s="81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6" t="str">
        <f aca="false">IF(SUM(Y176:AJ176)=0,"",SUM(Y176:AJ176))</f>
        <v/>
      </c>
      <c r="AL176" s="84" t="str">
        <f aca="false">MID(IF(N(Y176)&gt;0,", "&amp;Y$2,"")&amp;IF(N(Z176)&gt;0,", "&amp;Z$2,"")&amp;IF(N(AA176)&gt;0,", "&amp;AA$2,"")&amp;IF(N(AB176)&gt;0,", "&amp;AB$2,"")&amp;IF(N(AC176)&gt;0,", "&amp;AC$2,"")&amp;IF(N(AD176)&gt;0,", "&amp;AD$2,"")&amp;IF(N(AE176)&gt;0,", "&amp;AE$2,"")&amp;IF(N(AF176)&gt;0,", "&amp;AF$2,"")&amp;IF(N(AG176)&gt;0,", "&amp;AG$2,"")&amp;IF(N(AH176)&gt;0,", "&amp;AH$2,"")&amp;IF(N(AI176)&gt;0,", "&amp;AI$2,"")&amp;IF(N(AJ176)&gt;0,", "&amp;AJ$2,""),3,999)</f>
        <v/>
      </c>
      <c r="AM176" s="87" t="str">
        <f aca="false">IF(E176="","",MID(IF(N(Y176)&gt;0,", "&amp;A176&amp;"-"&amp;Y$2,"")&amp;IF(N(Z176)&gt;0,", "&amp;A176&amp;"-"&amp;Z$2,"")&amp;IF(N(AA176)&gt;0,", "&amp;A176&amp;"-"&amp;AA$2,"")&amp;IF(N(AB176)&gt;0,", "&amp;A176&amp;"-"&amp;AB$2,"")&amp;IF(N(AC176)&gt;0,", "&amp;A176&amp;"-"&amp;AC$2,"")&amp;IF(N(AD176)&gt;0,", "&amp;A176&amp;"-"&amp;AD$2,"")&amp;IF(N(AE176)&gt;0,", "&amp;A176&amp;"-"&amp;AE$2,"")&amp;IF(N(AF176)&gt;0,", "&amp;A176&amp;"-"&amp;AF$2,"")&amp;IF(N(AG176)&gt;0,", "&amp;A176&amp;"-"&amp;AG$2,"")&amp;IF(N(AH176)&gt;0,", "&amp;A176&amp;"-"&amp;AH$2,"")&amp;IF(N(AI176)&gt;0,", "&amp;A176&amp;"-"&amp;AI$2,"")&amp;IF(N(AJ176)&gt;0,", "&amp;A176&amp;"-"&amp;AJ$2,""),3,999))</f>
        <v/>
      </c>
      <c r="AN176" s="81"/>
      <c r="AO176" s="88"/>
      <c r="AP176" s="89" t="str">
        <f aca="false">IF(AO176="","",ROUND(AO176/(1+Справочники!$B$13),2))</f>
        <v/>
      </c>
      <c r="AQ176" s="90" t="str">
        <f aca="false" t="array" ref="AQ176:AQ176">IF(AP176="","",AP176*INDEX(Справочники!$B$4:$B$7,MATCH("RUB",Справочники!$A$4:$A$7,0)))</f>
        <v/>
      </c>
      <c r="AR176" s="90" t="str">
        <f aca="false">IF(AQ176="","",ROUND(AQ176*(1+Справочники!$B$12),0))</f>
        <v/>
      </c>
      <c r="AS176" s="90" t="str">
        <f aca="false">IF(AR176="","",ROUND(AR176*(1-Справочники!$B$11),0))</f>
        <v/>
      </c>
      <c r="AT176" s="88"/>
      <c r="AU176" s="90" t="str">
        <f aca="false">IF(AT176="","",ROUND(AT176/(1+Справочники!$B$12),0))</f>
        <v/>
      </c>
      <c r="AV176" s="90" t="str">
        <f aca="false">IF(AT176="","",ROUND(AT176*(1-Справочники!$B$15),0))</f>
        <v/>
      </c>
      <c r="AW176" s="90" t="str">
        <f aca="false">IF(AT176="","",ROUND(AT176*(1-Справочники!$B$16),0))</f>
        <v/>
      </c>
      <c r="AX176" s="90" t="str">
        <f aca="false">IF(AT176="","",ROUND(AT176*(1-Справочники!$B$17),0))</f>
        <v/>
      </c>
      <c r="AY176" s="90" t="str">
        <f aca="false">IF(AT176="","",ROUND(AT176*(1-Справочники!$B$18),0))</f>
        <v/>
      </c>
      <c r="AZ176" s="90" t="str">
        <f aca="false">IF(AT176="","",ROUND(AT176*(1-Справочники!$B$19),0))</f>
        <v/>
      </c>
      <c r="BA176" s="81"/>
      <c r="BB176" s="81"/>
      <c r="BC176" s="81"/>
      <c r="BD176" s="81"/>
      <c r="BE176" s="91"/>
      <c r="BF176" s="81" t="s">
        <v>103</v>
      </c>
      <c r="BG176" s="89" t="n">
        <f aca="false" t="array" ref="BG176:BG176">IF(BF176="","",IFERROR(INDEX(Справочники!$B$4:$B$7,MATCH(BF176,Справочники!$A$4:$A$7,0)),""))</f>
        <v>68.5</v>
      </c>
      <c r="BH176" s="90" t="str">
        <f aca="false">IF(N(BN176)&gt;0,ROUND(SUMIF(ЗАКАЗЫ!$F$3:$F$500,$A176,ЗАКАЗЫ!$Y$3:$Y$500)/BN176,0),IF(OR(BE176="",BG176=""),"",ROUND(BE176*BG176*(1+Справочники!$B$10),0)))</f>
        <v/>
      </c>
      <c r="BI176" s="92" t="str">
        <f aca="false">IF(OR(AU176="",BH176="",AU176=0),"",(AU176-BH176)/AU176)</f>
        <v/>
      </c>
      <c r="BJ176" s="81"/>
      <c r="BK176" s="83"/>
      <c r="BL176" s="43" t="str">
        <f aca="false">IFERROR(INDEX(ЗАКАЗЫ!$N$3:$N$500,MATCH($A176,ЗАКАЗЫ!$F$3:$F$500,0)),"")</f>
        <v/>
      </c>
      <c r="BM176" s="8" t="str">
        <f aca="false">IF(BL176="","",IFERROR(VLOOKUP(BL176,'ТН ВЭД'!$A$4:$C$40,3,0),""))</f>
        <v/>
      </c>
      <c r="BN176" s="7" t="str">
        <f aca="false">IF(COUNTIF(ЗАКАЗЫ!$F$3:$F$500,$A176)=0,"",SUMIF(ЗАКАЗЫ!$F$3:$F$500,$A176,ЗАКАЗЫ!$J$3:$J$500))</f>
        <v/>
      </c>
      <c r="BO176" s="7" t="str">
        <f aca="false">IF(BN176="","",SUMIF(ЗАКАЗЫ!$F$3:$F$500,$A176,ЗАКАЗЫ!$AL$3:$AL$500))</f>
        <v/>
      </c>
      <c r="BP176" s="7" t="str">
        <f aca="false">IF(BN176="","",BN176-BO176)</f>
        <v/>
      </c>
      <c r="BQ176" s="55" t="str">
        <f aca="false">IF(BN176="","",IF(BO176&gt;=BN176,"На складе",IF(BO176&gt;0,"Частично","Ждём")))</f>
        <v/>
      </c>
      <c r="BR176" s="43"/>
      <c r="BS176" s="47" t="str">
        <f aca="false">IF(BN176="","",IF(_xlfn.MAXIFS(ЗАКАЗЫ!$AK$3:$AK$500,ЗАКАЗЫ!$F$3:$F$500,$A176)=0,"",_xlfn.MAXIFS(ЗАКАЗЫ!$AK$3:$AK$500,ЗАКАЗЫ!$F$3:$F$500,$A176)))</f>
        <v/>
      </c>
    </row>
    <row r="177" customFormat="false" ht="15.75" hidden="false" customHeight="true" outlineLevel="0" collapsed="false">
      <c r="A177" s="80" t="s">
        <v>2044</v>
      </c>
      <c r="B177" s="81"/>
      <c r="C177" s="81"/>
      <c r="D177" s="81"/>
      <c r="E177" s="83"/>
      <c r="F177" s="81"/>
      <c r="G177" s="83"/>
      <c r="H177" s="83"/>
      <c r="I177" s="84" t="str">
        <f aca="false">IF(E177="","",A177&amp;"_1.jpg")</f>
        <v/>
      </c>
      <c r="J177" s="84" t="str">
        <f aca="false">IF(E177="","",A177&amp;"_2.jpg; "&amp;A177&amp;"_3.jpg")</f>
        <v/>
      </c>
      <c r="K177" s="84" t="str">
        <f aca="false">IF(E177="","",A177&amp;"_schema.jpg")</f>
        <v/>
      </c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 t="s">
        <v>96</v>
      </c>
      <c r="W177" s="81"/>
      <c r="X177" s="81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6" t="str">
        <f aca="false">IF(SUM(Y177:AJ177)=0,"",SUM(Y177:AJ177))</f>
        <v/>
      </c>
      <c r="AL177" s="84" t="str">
        <f aca="false">MID(IF(N(Y177)&gt;0,", "&amp;Y$2,"")&amp;IF(N(Z177)&gt;0,", "&amp;Z$2,"")&amp;IF(N(AA177)&gt;0,", "&amp;AA$2,"")&amp;IF(N(AB177)&gt;0,", "&amp;AB$2,"")&amp;IF(N(AC177)&gt;0,", "&amp;AC$2,"")&amp;IF(N(AD177)&gt;0,", "&amp;AD$2,"")&amp;IF(N(AE177)&gt;0,", "&amp;AE$2,"")&amp;IF(N(AF177)&gt;0,", "&amp;AF$2,"")&amp;IF(N(AG177)&gt;0,", "&amp;AG$2,"")&amp;IF(N(AH177)&gt;0,", "&amp;AH$2,"")&amp;IF(N(AI177)&gt;0,", "&amp;AI$2,"")&amp;IF(N(AJ177)&gt;0,", "&amp;AJ$2,""),3,999)</f>
        <v/>
      </c>
      <c r="AM177" s="87" t="str">
        <f aca="false">IF(E177="","",MID(IF(N(Y177)&gt;0,", "&amp;A177&amp;"-"&amp;Y$2,"")&amp;IF(N(Z177)&gt;0,", "&amp;A177&amp;"-"&amp;Z$2,"")&amp;IF(N(AA177)&gt;0,", "&amp;A177&amp;"-"&amp;AA$2,"")&amp;IF(N(AB177)&gt;0,", "&amp;A177&amp;"-"&amp;AB$2,"")&amp;IF(N(AC177)&gt;0,", "&amp;A177&amp;"-"&amp;AC$2,"")&amp;IF(N(AD177)&gt;0,", "&amp;A177&amp;"-"&amp;AD$2,"")&amp;IF(N(AE177)&gt;0,", "&amp;A177&amp;"-"&amp;AE$2,"")&amp;IF(N(AF177)&gt;0,", "&amp;A177&amp;"-"&amp;AF$2,"")&amp;IF(N(AG177)&gt;0,", "&amp;A177&amp;"-"&amp;AG$2,"")&amp;IF(N(AH177)&gt;0,", "&amp;A177&amp;"-"&amp;AH$2,"")&amp;IF(N(AI177)&gt;0,", "&amp;A177&amp;"-"&amp;AI$2,"")&amp;IF(N(AJ177)&gt;0,", "&amp;A177&amp;"-"&amp;AJ$2,""),3,999))</f>
        <v/>
      </c>
      <c r="AN177" s="81"/>
      <c r="AO177" s="88"/>
      <c r="AP177" s="89" t="str">
        <f aca="false">IF(AO177="","",ROUND(AO177/(1+Справочники!$B$13),2))</f>
        <v/>
      </c>
      <c r="AQ177" s="90" t="str">
        <f aca="false" t="array" ref="AQ177:AQ177">IF(AP177="","",AP177*INDEX(Справочники!$B$4:$B$7,MATCH("RUB",Справочники!$A$4:$A$7,0)))</f>
        <v/>
      </c>
      <c r="AR177" s="90" t="str">
        <f aca="false">IF(AQ177="","",ROUND(AQ177*(1+Справочники!$B$12),0))</f>
        <v/>
      </c>
      <c r="AS177" s="90" t="str">
        <f aca="false">IF(AR177="","",ROUND(AR177*(1-Справочники!$B$11),0))</f>
        <v/>
      </c>
      <c r="AT177" s="88"/>
      <c r="AU177" s="90" t="str">
        <f aca="false">IF(AT177="","",ROUND(AT177/(1+Справочники!$B$12),0))</f>
        <v/>
      </c>
      <c r="AV177" s="90" t="str">
        <f aca="false">IF(AT177="","",ROUND(AT177*(1-Справочники!$B$15),0))</f>
        <v/>
      </c>
      <c r="AW177" s="90" t="str">
        <f aca="false">IF(AT177="","",ROUND(AT177*(1-Справочники!$B$16),0))</f>
        <v/>
      </c>
      <c r="AX177" s="90" t="str">
        <f aca="false">IF(AT177="","",ROUND(AT177*(1-Справочники!$B$17),0))</f>
        <v/>
      </c>
      <c r="AY177" s="90" t="str">
        <f aca="false">IF(AT177="","",ROUND(AT177*(1-Справочники!$B$18),0))</f>
        <v/>
      </c>
      <c r="AZ177" s="90" t="str">
        <f aca="false">IF(AT177="","",ROUND(AT177*(1-Справочники!$B$19),0))</f>
        <v/>
      </c>
      <c r="BA177" s="81"/>
      <c r="BB177" s="81"/>
      <c r="BC177" s="81"/>
      <c r="BD177" s="81"/>
      <c r="BE177" s="91"/>
      <c r="BF177" s="81" t="s">
        <v>103</v>
      </c>
      <c r="BG177" s="89" t="n">
        <f aca="false" t="array" ref="BG177:BG177">IF(BF177="","",IFERROR(INDEX(Справочники!$B$4:$B$7,MATCH(BF177,Справочники!$A$4:$A$7,0)),""))</f>
        <v>68.5</v>
      </c>
      <c r="BH177" s="90" t="str">
        <f aca="false">IF(N(BN177)&gt;0,ROUND(SUMIF(ЗАКАЗЫ!$F$3:$F$500,$A177,ЗАКАЗЫ!$Y$3:$Y$500)/BN177,0),IF(OR(BE177="",BG177=""),"",ROUND(BE177*BG177*(1+Справочники!$B$10),0)))</f>
        <v/>
      </c>
      <c r="BI177" s="92" t="str">
        <f aca="false">IF(OR(AU177="",BH177="",AU177=0),"",(AU177-BH177)/AU177)</f>
        <v/>
      </c>
      <c r="BJ177" s="81"/>
      <c r="BK177" s="83"/>
      <c r="BL177" s="43" t="str">
        <f aca="false">IFERROR(INDEX(ЗАКАЗЫ!$N$3:$N$500,MATCH($A177,ЗАКАЗЫ!$F$3:$F$500,0)),"")</f>
        <v/>
      </c>
      <c r="BM177" s="8" t="str">
        <f aca="false">IF(BL177="","",IFERROR(VLOOKUP(BL177,'ТН ВЭД'!$A$4:$C$40,3,0),""))</f>
        <v/>
      </c>
      <c r="BN177" s="7" t="str">
        <f aca="false">IF(COUNTIF(ЗАКАЗЫ!$F$3:$F$500,$A177)=0,"",SUMIF(ЗАКАЗЫ!$F$3:$F$500,$A177,ЗАКАЗЫ!$J$3:$J$500))</f>
        <v/>
      </c>
      <c r="BO177" s="7" t="str">
        <f aca="false">IF(BN177="","",SUMIF(ЗАКАЗЫ!$F$3:$F$500,$A177,ЗАКАЗЫ!$AL$3:$AL$500))</f>
        <v/>
      </c>
      <c r="BP177" s="7" t="str">
        <f aca="false">IF(BN177="","",BN177-BO177)</f>
        <v/>
      </c>
      <c r="BQ177" s="55" t="str">
        <f aca="false">IF(BN177="","",IF(BO177&gt;=BN177,"На складе",IF(BO177&gt;0,"Частично","Ждём")))</f>
        <v/>
      </c>
      <c r="BR177" s="43"/>
      <c r="BS177" s="47" t="str">
        <f aca="false">IF(BN177="","",IF(_xlfn.MAXIFS(ЗАКАЗЫ!$AK$3:$AK$500,ЗАКАЗЫ!$F$3:$F$500,$A177)=0,"",_xlfn.MAXIFS(ЗАКАЗЫ!$AK$3:$AK$500,ЗАКАЗЫ!$F$3:$F$500,$A177)))</f>
        <v/>
      </c>
    </row>
    <row r="178" customFormat="false" ht="15.75" hidden="false" customHeight="true" outlineLevel="0" collapsed="false">
      <c r="A178" s="80" t="s">
        <v>2045</v>
      </c>
      <c r="B178" s="81"/>
      <c r="C178" s="81"/>
      <c r="D178" s="81"/>
      <c r="E178" s="83"/>
      <c r="F178" s="81"/>
      <c r="G178" s="83"/>
      <c r="H178" s="83"/>
      <c r="I178" s="84" t="str">
        <f aca="false">IF(E178="","",A178&amp;"_1.jpg")</f>
        <v/>
      </c>
      <c r="J178" s="84" t="str">
        <f aca="false">IF(E178="","",A178&amp;"_2.jpg; "&amp;A178&amp;"_3.jpg")</f>
        <v/>
      </c>
      <c r="K178" s="84" t="str">
        <f aca="false">IF(E178="","",A178&amp;"_schema.jpg")</f>
        <v/>
      </c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 t="s">
        <v>96</v>
      </c>
      <c r="W178" s="81"/>
      <c r="X178" s="81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6" t="str">
        <f aca="false">IF(SUM(Y178:AJ178)=0,"",SUM(Y178:AJ178))</f>
        <v/>
      </c>
      <c r="AL178" s="84" t="str">
        <f aca="false">MID(IF(N(Y178)&gt;0,", "&amp;Y$2,"")&amp;IF(N(Z178)&gt;0,", "&amp;Z$2,"")&amp;IF(N(AA178)&gt;0,", "&amp;AA$2,"")&amp;IF(N(AB178)&gt;0,", "&amp;AB$2,"")&amp;IF(N(AC178)&gt;0,", "&amp;AC$2,"")&amp;IF(N(AD178)&gt;0,", "&amp;AD$2,"")&amp;IF(N(AE178)&gt;0,", "&amp;AE$2,"")&amp;IF(N(AF178)&gt;0,", "&amp;AF$2,"")&amp;IF(N(AG178)&gt;0,", "&amp;AG$2,"")&amp;IF(N(AH178)&gt;0,", "&amp;AH$2,"")&amp;IF(N(AI178)&gt;0,", "&amp;AI$2,"")&amp;IF(N(AJ178)&gt;0,", "&amp;AJ$2,""),3,999)</f>
        <v/>
      </c>
      <c r="AM178" s="87" t="str">
        <f aca="false">IF(E178="","",MID(IF(N(Y178)&gt;0,", "&amp;A178&amp;"-"&amp;Y$2,"")&amp;IF(N(Z178)&gt;0,", "&amp;A178&amp;"-"&amp;Z$2,"")&amp;IF(N(AA178)&gt;0,", "&amp;A178&amp;"-"&amp;AA$2,"")&amp;IF(N(AB178)&gt;0,", "&amp;A178&amp;"-"&amp;AB$2,"")&amp;IF(N(AC178)&gt;0,", "&amp;A178&amp;"-"&amp;AC$2,"")&amp;IF(N(AD178)&gt;0,", "&amp;A178&amp;"-"&amp;AD$2,"")&amp;IF(N(AE178)&gt;0,", "&amp;A178&amp;"-"&amp;AE$2,"")&amp;IF(N(AF178)&gt;0,", "&amp;A178&amp;"-"&amp;AF$2,"")&amp;IF(N(AG178)&gt;0,", "&amp;A178&amp;"-"&amp;AG$2,"")&amp;IF(N(AH178)&gt;0,", "&amp;A178&amp;"-"&amp;AH$2,"")&amp;IF(N(AI178)&gt;0,", "&amp;A178&amp;"-"&amp;AI$2,"")&amp;IF(N(AJ178)&gt;0,", "&amp;A178&amp;"-"&amp;AJ$2,""),3,999))</f>
        <v/>
      </c>
      <c r="AN178" s="81"/>
      <c r="AO178" s="88"/>
      <c r="AP178" s="89" t="str">
        <f aca="false">IF(AO178="","",ROUND(AO178/(1+Справочники!$B$13),2))</f>
        <v/>
      </c>
      <c r="AQ178" s="90" t="str">
        <f aca="false" t="array" ref="AQ178:AQ178">IF(AP178="","",AP178*INDEX(Справочники!$B$4:$B$7,MATCH("RUB",Справочники!$A$4:$A$7,0)))</f>
        <v/>
      </c>
      <c r="AR178" s="90" t="str">
        <f aca="false">IF(AQ178="","",ROUND(AQ178*(1+Справочники!$B$12),0))</f>
        <v/>
      </c>
      <c r="AS178" s="90" t="str">
        <f aca="false">IF(AR178="","",ROUND(AR178*(1-Справочники!$B$11),0))</f>
        <v/>
      </c>
      <c r="AT178" s="88"/>
      <c r="AU178" s="90" t="str">
        <f aca="false">IF(AT178="","",ROUND(AT178/(1+Справочники!$B$12),0))</f>
        <v/>
      </c>
      <c r="AV178" s="90" t="str">
        <f aca="false">IF(AT178="","",ROUND(AT178*(1-Справочники!$B$15),0))</f>
        <v/>
      </c>
      <c r="AW178" s="90" t="str">
        <f aca="false">IF(AT178="","",ROUND(AT178*(1-Справочники!$B$16),0))</f>
        <v/>
      </c>
      <c r="AX178" s="90" t="str">
        <f aca="false">IF(AT178="","",ROUND(AT178*(1-Справочники!$B$17),0))</f>
        <v/>
      </c>
      <c r="AY178" s="90" t="str">
        <f aca="false">IF(AT178="","",ROUND(AT178*(1-Справочники!$B$18),0))</f>
        <v/>
      </c>
      <c r="AZ178" s="90" t="str">
        <f aca="false">IF(AT178="","",ROUND(AT178*(1-Справочники!$B$19),0))</f>
        <v/>
      </c>
      <c r="BA178" s="81"/>
      <c r="BB178" s="81"/>
      <c r="BC178" s="81"/>
      <c r="BD178" s="81"/>
      <c r="BE178" s="91"/>
      <c r="BF178" s="81" t="s">
        <v>103</v>
      </c>
      <c r="BG178" s="89" t="n">
        <f aca="false" t="array" ref="BG178:BG178">IF(BF178="","",IFERROR(INDEX(Справочники!$B$4:$B$7,MATCH(BF178,Справочники!$A$4:$A$7,0)),""))</f>
        <v>68.5</v>
      </c>
      <c r="BH178" s="90" t="str">
        <f aca="false">IF(N(BN178)&gt;0,ROUND(SUMIF(ЗАКАЗЫ!$F$3:$F$500,$A178,ЗАКАЗЫ!$Y$3:$Y$500)/BN178,0),IF(OR(BE178="",BG178=""),"",ROUND(BE178*BG178*(1+Справочники!$B$10),0)))</f>
        <v/>
      </c>
      <c r="BI178" s="92" t="str">
        <f aca="false">IF(OR(AU178="",BH178="",AU178=0),"",(AU178-BH178)/AU178)</f>
        <v/>
      </c>
      <c r="BJ178" s="81"/>
      <c r="BK178" s="83"/>
      <c r="BL178" s="43" t="str">
        <f aca="false">IFERROR(INDEX(ЗАКАЗЫ!$N$3:$N$500,MATCH($A178,ЗАКАЗЫ!$F$3:$F$500,0)),"")</f>
        <v/>
      </c>
      <c r="BM178" s="8" t="str">
        <f aca="false">IF(BL178="","",IFERROR(VLOOKUP(BL178,'ТН ВЭД'!$A$4:$C$40,3,0),""))</f>
        <v/>
      </c>
      <c r="BN178" s="7" t="str">
        <f aca="false">IF(COUNTIF(ЗАКАЗЫ!$F$3:$F$500,$A178)=0,"",SUMIF(ЗАКАЗЫ!$F$3:$F$500,$A178,ЗАКАЗЫ!$J$3:$J$500))</f>
        <v/>
      </c>
      <c r="BO178" s="7" t="str">
        <f aca="false">IF(BN178="","",SUMIF(ЗАКАЗЫ!$F$3:$F$500,$A178,ЗАКАЗЫ!$AL$3:$AL$500))</f>
        <v/>
      </c>
      <c r="BP178" s="7" t="str">
        <f aca="false">IF(BN178="","",BN178-BO178)</f>
        <v/>
      </c>
      <c r="BQ178" s="55" t="str">
        <f aca="false">IF(BN178="","",IF(BO178&gt;=BN178,"На складе",IF(BO178&gt;0,"Частично","Ждём")))</f>
        <v/>
      </c>
      <c r="BR178" s="43"/>
      <c r="BS178" s="47" t="str">
        <f aca="false">IF(BN178="","",IF(_xlfn.MAXIFS(ЗАКАЗЫ!$AK$3:$AK$500,ЗАКАЗЫ!$F$3:$F$500,$A178)=0,"",_xlfn.MAXIFS(ЗАКАЗЫ!$AK$3:$AK$500,ЗАКАЗЫ!$F$3:$F$500,$A178)))</f>
        <v/>
      </c>
    </row>
    <row r="179" customFormat="false" ht="15.75" hidden="false" customHeight="true" outlineLevel="0" collapsed="false">
      <c r="A179" s="80" t="s">
        <v>2046</v>
      </c>
      <c r="B179" s="81"/>
      <c r="C179" s="81"/>
      <c r="D179" s="81"/>
      <c r="E179" s="83"/>
      <c r="F179" s="81"/>
      <c r="G179" s="83"/>
      <c r="H179" s="83"/>
      <c r="I179" s="84" t="str">
        <f aca="false">IF(E179="","",A179&amp;"_1.jpg")</f>
        <v/>
      </c>
      <c r="J179" s="84" t="str">
        <f aca="false">IF(E179="","",A179&amp;"_2.jpg; "&amp;A179&amp;"_3.jpg")</f>
        <v/>
      </c>
      <c r="K179" s="84" t="str">
        <f aca="false">IF(E179="","",A179&amp;"_schema.jpg")</f>
        <v/>
      </c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 t="s">
        <v>96</v>
      </c>
      <c r="W179" s="81"/>
      <c r="X179" s="81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6" t="str">
        <f aca="false">IF(SUM(Y179:AJ179)=0,"",SUM(Y179:AJ179))</f>
        <v/>
      </c>
      <c r="AL179" s="84" t="str">
        <f aca="false">MID(IF(N(Y179)&gt;0,", "&amp;Y$2,"")&amp;IF(N(Z179)&gt;0,", "&amp;Z$2,"")&amp;IF(N(AA179)&gt;0,", "&amp;AA$2,"")&amp;IF(N(AB179)&gt;0,", "&amp;AB$2,"")&amp;IF(N(AC179)&gt;0,", "&amp;AC$2,"")&amp;IF(N(AD179)&gt;0,", "&amp;AD$2,"")&amp;IF(N(AE179)&gt;0,", "&amp;AE$2,"")&amp;IF(N(AF179)&gt;0,", "&amp;AF$2,"")&amp;IF(N(AG179)&gt;0,", "&amp;AG$2,"")&amp;IF(N(AH179)&gt;0,", "&amp;AH$2,"")&amp;IF(N(AI179)&gt;0,", "&amp;AI$2,"")&amp;IF(N(AJ179)&gt;0,", "&amp;AJ$2,""),3,999)</f>
        <v/>
      </c>
      <c r="AM179" s="87" t="str">
        <f aca="false">IF(E179="","",MID(IF(N(Y179)&gt;0,", "&amp;A179&amp;"-"&amp;Y$2,"")&amp;IF(N(Z179)&gt;0,", "&amp;A179&amp;"-"&amp;Z$2,"")&amp;IF(N(AA179)&gt;0,", "&amp;A179&amp;"-"&amp;AA$2,"")&amp;IF(N(AB179)&gt;0,", "&amp;A179&amp;"-"&amp;AB$2,"")&amp;IF(N(AC179)&gt;0,", "&amp;A179&amp;"-"&amp;AC$2,"")&amp;IF(N(AD179)&gt;0,", "&amp;A179&amp;"-"&amp;AD$2,"")&amp;IF(N(AE179)&gt;0,", "&amp;A179&amp;"-"&amp;AE$2,"")&amp;IF(N(AF179)&gt;0,", "&amp;A179&amp;"-"&amp;AF$2,"")&amp;IF(N(AG179)&gt;0,", "&amp;A179&amp;"-"&amp;AG$2,"")&amp;IF(N(AH179)&gt;0,", "&amp;A179&amp;"-"&amp;AH$2,"")&amp;IF(N(AI179)&gt;0,", "&amp;A179&amp;"-"&amp;AI$2,"")&amp;IF(N(AJ179)&gt;0,", "&amp;A179&amp;"-"&amp;AJ$2,""),3,999))</f>
        <v/>
      </c>
      <c r="AN179" s="81"/>
      <c r="AO179" s="88"/>
      <c r="AP179" s="89" t="str">
        <f aca="false">IF(AO179="","",ROUND(AO179/(1+Справочники!$B$13),2))</f>
        <v/>
      </c>
      <c r="AQ179" s="90" t="str">
        <f aca="false" t="array" ref="AQ179:AQ179">IF(AP179="","",AP179*INDEX(Справочники!$B$4:$B$7,MATCH("RUB",Справочники!$A$4:$A$7,0)))</f>
        <v/>
      </c>
      <c r="AR179" s="90" t="str">
        <f aca="false">IF(AQ179="","",ROUND(AQ179*(1+Справочники!$B$12),0))</f>
        <v/>
      </c>
      <c r="AS179" s="90" t="str">
        <f aca="false">IF(AR179="","",ROUND(AR179*(1-Справочники!$B$11),0))</f>
        <v/>
      </c>
      <c r="AT179" s="88"/>
      <c r="AU179" s="90" t="str">
        <f aca="false">IF(AT179="","",ROUND(AT179/(1+Справочники!$B$12),0))</f>
        <v/>
      </c>
      <c r="AV179" s="90" t="str">
        <f aca="false">IF(AT179="","",ROUND(AT179*(1-Справочники!$B$15),0))</f>
        <v/>
      </c>
      <c r="AW179" s="90" t="str">
        <f aca="false">IF(AT179="","",ROUND(AT179*(1-Справочники!$B$16),0))</f>
        <v/>
      </c>
      <c r="AX179" s="90" t="str">
        <f aca="false">IF(AT179="","",ROUND(AT179*(1-Справочники!$B$17),0))</f>
        <v/>
      </c>
      <c r="AY179" s="90" t="str">
        <f aca="false">IF(AT179="","",ROUND(AT179*(1-Справочники!$B$18),0))</f>
        <v/>
      </c>
      <c r="AZ179" s="90" t="str">
        <f aca="false">IF(AT179="","",ROUND(AT179*(1-Справочники!$B$19),0))</f>
        <v/>
      </c>
      <c r="BA179" s="81"/>
      <c r="BB179" s="81"/>
      <c r="BC179" s="81"/>
      <c r="BD179" s="81"/>
      <c r="BE179" s="91"/>
      <c r="BF179" s="81" t="s">
        <v>103</v>
      </c>
      <c r="BG179" s="89" t="n">
        <f aca="false" t="array" ref="BG179:BG179">IF(BF179="","",IFERROR(INDEX(Справочники!$B$4:$B$7,MATCH(BF179,Справочники!$A$4:$A$7,0)),""))</f>
        <v>68.5</v>
      </c>
      <c r="BH179" s="90" t="str">
        <f aca="false">IF(N(BN179)&gt;0,ROUND(SUMIF(ЗАКАЗЫ!$F$3:$F$500,$A179,ЗАКАЗЫ!$Y$3:$Y$500)/BN179,0),IF(OR(BE179="",BG179=""),"",ROUND(BE179*BG179*(1+Справочники!$B$10),0)))</f>
        <v/>
      </c>
      <c r="BI179" s="92" t="str">
        <f aca="false">IF(OR(AU179="",BH179="",AU179=0),"",(AU179-BH179)/AU179)</f>
        <v/>
      </c>
      <c r="BJ179" s="81"/>
      <c r="BK179" s="83"/>
      <c r="BL179" s="43" t="str">
        <f aca="false">IFERROR(INDEX(ЗАКАЗЫ!$N$3:$N$500,MATCH($A179,ЗАКАЗЫ!$F$3:$F$500,0)),"")</f>
        <v/>
      </c>
      <c r="BM179" s="8" t="str">
        <f aca="false">IF(BL179="","",IFERROR(VLOOKUP(BL179,'ТН ВЭД'!$A$4:$C$40,3,0),""))</f>
        <v/>
      </c>
      <c r="BN179" s="7" t="str">
        <f aca="false">IF(COUNTIF(ЗАКАЗЫ!$F$3:$F$500,$A179)=0,"",SUMIF(ЗАКАЗЫ!$F$3:$F$500,$A179,ЗАКАЗЫ!$J$3:$J$500))</f>
        <v/>
      </c>
      <c r="BO179" s="7" t="str">
        <f aca="false">IF(BN179="","",SUMIF(ЗАКАЗЫ!$F$3:$F$500,$A179,ЗАКАЗЫ!$AL$3:$AL$500))</f>
        <v/>
      </c>
      <c r="BP179" s="7" t="str">
        <f aca="false">IF(BN179="","",BN179-BO179)</f>
        <v/>
      </c>
      <c r="BQ179" s="55" t="str">
        <f aca="false">IF(BN179="","",IF(BO179&gt;=BN179,"На складе",IF(BO179&gt;0,"Частично","Ждём")))</f>
        <v/>
      </c>
      <c r="BR179" s="43"/>
      <c r="BS179" s="47" t="str">
        <f aca="false">IF(BN179="","",IF(_xlfn.MAXIFS(ЗАКАЗЫ!$AK$3:$AK$500,ЗАКАЗЫ!$F$3:$F$500,$A179)=0,"",_xlfn.MAXIFS(ЗАКАЗЫ!$AK$3:$AK$500,ЗАКАЗЫ!$F$3:$F$500,$A179)))</f>
        <v/>
      </c>
    </row>
    <row r="180" customFormat="false" ht="15.75" hidden="false" customHeight="true" outlineLevel="0" collapsed="false">
      <c r="A180" s="80" t="s">
        <v>2047</v>
      </c>
      <c r="B180" s="81"/>
      <c r="C180" s="81"/>
      <c r="D180" s="81"/>
      <c r="E180" s="83"/>
      <c r="F180" s="81"/>
      <c r="G180" s="83"/>
      <c r="H180" s="83"/>
      <c r="I180" s="84" t="str">
        <f aca="false">IF(E180="","",A180&amp;"_1.jpg")</f>
        <v/>
      </c>
      <c r="J180" s="84" t="str">
        <f aca="false">IF(E180="","",A180&amp;"_2.jpg; "&amp;A180&amp;"_3.jpg")</f>
        <v/>
      </c>
      <c r="K180" s="84" t="str">
        <f aca="false">IF(E180="","",A180&amp;"_schema.jpg")</f>
        <v/>
      </c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 t="s">
        <v>96</v>
      </c>
      <c r="W180" s="81"/>
      <c r="X180" s="81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6" t="str">
        <f aca="false">IF(SUM(Y180:AJ180)=0,"",SUM(Y180:AJ180))</f>
        <v/>
      </c>
      <c r="AL180" s="84" t="str">
        <f aca="false">MID(IF(N(Y180)&gt;0,", "&amp;Y$2,"")&amp;IF(N(Z180)&gt;0,", "&amp;Z$2,"")&amp;IF(N(AA180)&gt;0,", "&amp;AA$2,"")&amp;IF(N(AB180)&gt;0,", "&amp;AB$2,"")&amp;IF(N(AC180)&gt;0,", "&amp;AC$2,"")&amp;IF(N(AD180)&gt;0,", "&amp;AD$2,"")&amp;IF(N(AE180)&gt;0,", "&amp;AE$2,"")&amp;IF(N(AF180)&gt;0,", "&amp;AF$2,"")&amp;IF(N(AG180)&gt;0,", "&amp;AG$2,"")&amp;IF(N(AH180)&gt;0,", "&amp;AH$2,"")&amp;IF(N(AI180)&gt;0,", "&amp;AI$2,"")&amp;IF(N(AJ180)&gt;0,", "&amp;AJ$2,""),3,999)</f>
        <v/>
      </c>
      <c r="AM180" s="87" t="str">
        <f aca="false">IF(E180="","",MID(IF(N(Y180)&gt;0,", "&amp;A180&amp;"-"&amp;Y$2,"")&amp;IF(N(Z180)&gt;0,", "&amp;A180&amp;"-"&amp;Z$2,"")&amp;IF(N(AA180)&gt;0,", "&amp;A180&amp;"-"&amp;AA$2,"")&amp;IF(N(AB180)&gt;0,", "&amp;A180&amp;"-"&amp;AB$2,"")&amp;IF(N(AC180)&gt;0,", "&amp;A180&amp;"-"&amp;AC$2,"")&amp;IF(N(AD180)&gt;0,", "&amp;A180&amp;"-"&amp;AD$2,"")&amp;IF(N(AE180)&gt;0,", "&amp;A180&amp;"-"&amp;AE$2,"")&amp;IF(N(AF180)&gt;0,", "&amp;A180&amp;"-"&amp;AF$2,"")&amp;IF(N(AG180)&gt;0,", "&amp;A180&amp;"-"&amp;AG$2,"")&amp;IF(N(AH180)&gt;0,", "&amp;A180&amp;"-"&amp;AH$2,"")&amp;IF(N(AI180)&gt;0,", "&amp;A180&amp;"-"&amp;AI$2,"")&amp;IF(N(AJ180)&gt;0,", "&amp;A180&amp;"-"&amp;AJ$2,""),3,999))</f>
        <v/>
      </c>
      <c r="AN180" s="81"/>
      <c r="AO180" s="88"/>
      <c r="AP180" s="89" t="str">
        <f aca="false">IF(AO180="","",ROUND(AO180/(1+Справочники!$B$13),2))</f>
        <v/>
      </c>
      <c r="AQ180" s="90" t="str">
        <f aca="false" t="array" ref="AQ180:AQ180">IF(AP180="","",AP180*INDEX(Справочники!$B$4:$B$7,MATCH("RUB",Справочники!$A$4:$A$7,0)))</f>
        <v/>
      </c>
      <c r="AR180" s="90" t="str">
        <f aca="false">IF(AQ180="","",ROUND(AQ180*(1+Справочники!$B$12),0))</f>
        <v/>
      </c>
      <c r="AS180" s="90" t="str">
        <f aca="false">IF(AR180="","",ROUND(AR180*(1-Справочники!$B$11),0))</f>
        <v/>
      </c>
      <c r="AT180" s="88"/>
      <c r="AU180" s="90" t="str">
        <f aca="false">IF(AT180="","",ROUND(AT180/(1+Справочники!$B$12),0))</f>
        <v/>
      </c>
      <c r="AV180" s="90" t="str">
        <f aca="false">IF(AT180="","",ROUND(AT180*(1-Справочники!$B$15),0))</f>
        <v/>
      </c>
      <c r="AW180" s="90" t="str">
        <f aca="false">IF(AT180="","",ROUND(AT180*(1-Справочники!$B$16),0))</f>
        <v/>
      </c>
      <c r="AX180" s="90" t="str">
        <f aca="false">IF(AT180="","",ROUND(AT180*(1-Справочники!$B$17),0))</f>
        <v/>
      </c>
      <c r="AY180" s="90" t="str">
        <f aca="false">IF(AT180="","",ROUND(AT180*(1-Справочники!$B$18),0))</f>
        <v/>
      </c>
      <c r="AZ180" s="90" t="str">
        <f aca="false">IF(AT180="","",ROUND(AT180*(1-Справочники!$B$19),0))</f>
        <v/>
      </c>
      <c r="BA180" s="81"/>
      <c r="BB180" s="81"/>
      <c r="BC180" s="81"/>
      <c r="BD180" s="81"/>
      <c r="BE180" s="91"/>
      <c r="BF180" s="81" t="s">
        <v>103</v>
      </c>
      <c r="BG180" s="89" t="n">
        <f aca="false" t="array" ref="BG180:BG180">IF(BF180="","",IFERROR(INDEX(Справочники!$B$4:$B$7,MATCH(BF180,Справочники!$A$4:$A$7,0)),""))</f>
        <v>68.5</v>
      </c>
      <c r="BH180" s="90" t="str">
        <f aca="false">IF(N(BN180)&gt;0,ROUND(SUMIF(ЗАКАЗЫ!$F$3:$F$500,$A180,ЗАКАЗЫ!$Y$3:$Y$500)/BN180,0),IF(OR(BE180="",BG180=""),"",ROUND(BE180*BG180*(1+Справочники!$B$10),0)))</f>
        <v/>
      </c>
      <c r="BI180" s="92" t="str">
        <f aca="false">IF(OR(AU180="",BH180="",AU180=0),"",(AU180-BH180)/AU180)</f>
        <v/>
      </c>
      <c r="BJ180" s="81"/>
      <c r="BK180" s="83"/>
      <c r="BL180" s="43" t="str">
        <f aca="false">IFERROR(INDEX(ЗАКАЗЫ!$N$3:$N$500,MATCH($A180,ЗАКАЗЫ!$F$3:$F$500,0)),"")</f>
        <v/>
      </c>
      <c r="BM180" s="8" t="str">
        <f aca="false">IF(BL180="","",IFERROR(VLOOKUP(BL180,'ТН ВЭД'!$A$4:$C$40,3,0),""))</f>
        <v/>
      </c>
      <c r="BN180" s="7" t="str">
        <f aca="false">IF(COUNTIF(ЗАКАЗЫ!$F$3:$F$500,$A180)=0,"",SUMIF(ЗАКАЗЫ!$F$3:$F$500,$A180,ЗАКАЗЫ!$J$3:$J$500))</f>
        <v/>
      </c>
      <c r="BO180" s="7" t="str">
        <f aca="false">IF(BN180="","",SUMIF(ЗАКАЗЫ!$F$3:$F$500,$A180,ЗАКАЗЫ!$AL$3:$AL$500))</f>
        <v/>
      </c>
      <c r="BP180" s="7" t="str">
        <f aca="false">IF(BN180="","",BN180-BO180)</f>
        <v/>
      </c>
      <c r="BQ180" s="55" t="str">
        <f aca="false">IF(BN180="","",IF(BO180&gt;=BN180,"На складе",IF(BO180&gt;0,"Частично","Ждём")))</f>
        <v/>
      </c>
      <c r="BR180" s="43"/>
      <c r="BS180" s="47" t="str">
        <f aca="false">IF(BN180="","",IF(_xlfn.MAXIFS(ЗАКАЗЫ!$AK$3:$AK$500,ЗАКАЗЫ!$F$3:$F$500,$A180)=0,"",_xlfn.MAXIFS(ЗАКАЗЫ!$AK$3:$AK$500,ЗАКАЗЫ!$F$3:$F$500,$A180)))</f>
        <v/>
      </c>
    </row>
    <row r="181" customFormat="false" ht="15.75" hidden="false" customHeight="true" outlineLevel="0" collapsed="false">
      <c r="A181" s="80" t="s">
        <v>2048</v>
      </c>
      <c r="B181" s="81"/>
      <c r="C181" s="81"/>
      <c r="D181" s="81"/>
      <c r="E181" s="83"/>
      <c r="F181" s="81"/>
      <c r="G181" s="83"/>
      <c r="H181" s="83"/>
      <c r="I181" s="84" t="str">
        <f aca="false">IF(E181="","",A181&amp;"_1.jpg")</f>
        <v/>
      </c>
      <c r="J181" s="84" t="str">
        <f aca="false">IF(E181="","",A181&amp;"_2.jpg; "&amp;A181&amp;"_3.jpg")</f>
        <v/>
      </c>
      <c r="K181" s="84" t="str">
        <f aca="false">IF(E181="","",A181&amp;"_schema.jpg")</f>
        <v/>
      </c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 t="s">
        <v>96</v>
      </c>
      <c r="W181" s="81"/>
      <c r="X181" s="81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6" t="str">
        <f aca="false">IF(SUM(Y181:AJ181)=0,"",SUM(Y181:AJ181))</f>
        <v/>
      </c>
      <c r="AL181" s="84" t="str">
        <f aca="false">MID(IF(N(Y181)&gt;0,", "&amp;Y$2,"")&amp;IF(N(Z181)&gt;0,", "&amp;Z$2,"")&amp;IF(N(AA181)&gt;0,", "&amp;AA$2,"")&amp;IF(N(AB181)&gt;0,", "&amp;AB$2,"")&amp;IF(N(AC181)&gt;0,", "&amp;AC$2,"")&amp;IF(N(AD181)&gt;0,", "&amp;AD$2,"")&amp;IF(N(AE181)&gt;0,", "&amp;AE$2,"")&amp;IF(N(AF181)&gt;0,", "&amp;AF$2,"")&amp;IF(N(AG181)&gt;0,", "&amp;AG$2,"")&amp;IF(N(AH181)&gt;0,", "&amp;AH$2,"")&amp;IF(N(AI181)&gt;0,", "&amp;AI$2,"")&amp;IF(N(AJ181)&gt;0,", "&amp;AJ$2,""),3,999)</f>
        <v/>
      </c>
      <c r="AM181" s="87" t="str">
        <f aca="false">IF(E181="","",MID(IF(N(Y181)&gt;0,", "&amp;A181&amp;"-"&amp;Y$2,"")&amp;IF(N(Z181)&gt;0,", "&amp;A181&amp;"-"&amp;Z$2,"")&amp;IF(N(AA181)&gt;0,", "&amp;A181&amp;"-"&amp;AA$2,"")&amp;IF(N(AB181)&gt;0,", "&amp;A181&amp;"-"&amp;AB$2,"")&amp;IF(N(AC181)&gt;0,", "&amp;A181&amp;"-"&amp;AC$2,"")&amp;IF(N(AD181)&gt;0,", "&amp;A181&amp;"-"&amp;AD$2,"")&amp;IF(N(AE181)&gt;0,", "&amp;A181&amp;"-"&amp;AE$2,"")&amp;IF(N(AF181)&gt;0,", "&amp;A181&amp;"-"&amp;AF$2,"")&amp;IF(N(AG181)&gt;0,", "&amp;A181&amp;"-"&amp;AG$2,"")&amp;IF(N(AH181)&gt;0,", "&amp;A181&amp;"-"&amp;AH$2,"")&amp;IF(N(AI181)&gt;0,", "&amp;A181&amp;"-"&amp;AI$2,"")&amp;IF(N(AJ181)&gt;0,", "&amp;A181&amp;"-"&amp;AJ$2,""),3,999))</f>
        <v/>
      </c>
      <c r="AN181" s="81"/>
      <c r="AO181" s="88"/>
      <c r="AP181" s="89" t="str">
        <f aca="false">IF(AO181="","",ROUND(AO181/(1+Справочники!$B$13),2))</f>
        <v/>
      </c>
      <c r="AQ181" s="90" t="str">
        <f aca="false" t="array" ref="AQ181:AQ181">IF(AP181="","",AP181*INDEX(Справочники!$B$4:$B$7,MATCH("RUB",Справочники!$A$4:$A$7,0)))</f>
        <v/>
      </c>
      <c r="AR181" s="90" t="str">
        <f aca="false">IF(AQ181="","",ROUND(AQ181*(1+Справочники!$B$12),0))</f>
        <v/>
      </c>
      <c r="AS181" s="90" t="str">
        <f aca="false">IF(AR181="","",ROUND(AR181*(1-Справочники!$B$11),0))</f>
        <v/>
      </c>
      <c r="AT181" s="88"/>
      <c r="AU181" s="90" t="str">
        <f aca="false">IF(AT181="","",ROUND(AT181/(1+Справочники!$B$12),0))</f>
        <v/>
      </c>
      <c r="AV181" s="90" t="str">
        <f aca="false">IF(AT181="","",ROUND(AT181*(1-Справочники!$B$15),0))</f>
        <v/>
      </c>
      <c r="AW181" s="90" t="str">
        <f aca="false">IF(AT181="","",ROUND(AT181*(1-Справочники!$B$16),0))</f>
        <v/>
      </c>
      <c r="AX181" s="90" t="str">
        <f aca="false">IF(AT181="","",ROUND(AT181*(1-Справочники!$B$17),0))</f>
        <v/>
      </c>
      <c r="AY181" s="90" t="str">
        <f aca="false">IF(AT181="","",ROUND(AT181*(1-Справочники!$B$18),0))</f>
        <v/>
      </c>
      <c r="AZ181" s="90" t="str">
        <f aca="false">IF(AT181="","",ROUND(AT181*(1-Справочники!$B$19),0))</f>
        <v/>
      </c>
      <c r="BA181" s="81"/>
      <c r="BB181" s="81"/>
      <c r="BC181" s="81"/>
      <c r="BD181" s="81"/>
      <c r="BE181" s="91"/>
      <c r="BF181" s="81" t="s">
        <v>103</v>
      </c>
      <c r="BG181" s="89" t="n">
        <f aca="false" t="array" ref="BG181:BG181">IF(BF181="","",IFERROR(INDEX(Справочники!$B$4:$B$7,MATCH(BF181,Справочники!$A$4:$A$7,0)),""))</f>
        <v>68.5</v>
      </c>
      <c r="BH181" s="90" t="str">
        <f aca="false">IF(N(BN181)&gt;0,ROUND(SUMIF(ЗАКАЗЫ!$F$3:$F$500,$A181,ЗАКАЗЫ!$Y$3:$Y$500)/BN181,0),IF(OR(BE181="",BG181=""),"",ROUND(BE181*BG181*(1+Справочники!$B$10),0)))</f>
        <v/>
      </c>
      <c r="BI181" s="92" t="str">
        <f aca="false">IF(OR(AU181="",BH181="",AU181=0),"",(AU181-BH181)/AU181)</f>
        <v/>
      </c>
      <c r="BJ181" s="81"/>
      <c r="BK181" s="83"/>
      <c r="BL181" s="43" t="str">
        <f aca="false">IFERROR(INDEX(ЗАКАЗЫ!$N$3:$N$500,MATCH($A181,ЗАКАЗЫ!$F$3:$F$500,0)),"")</f>
        <v/>
      </c>
      <c r="BM181" s="8" t="str">
        <f aca="false">IF(BL181="","",IFERROR(VLOOKUP(BL181,'ТН ВЭД'!$A$4:$C$40,3,0),""))</f>
        <v/>
      </c>
      <c r="BN181" s="7" t="str">
        <f aca="false">IF(COUNTIF(ЗАКАЗЫ!$F$3:$F$500,$A181)=0,"",SUMIF(ЗАКАЗЫ!$F$3:$F$500,$A181,ЗАКАЗЫ!$J$3:$J$500))</f>
        <v/>
      </c>
      <c r="BO181" s="7" t="str">
        <f aca="false">IF(BN181="","",SUMIF(ЗАКАЗЫ!$F$3:$F$500,$A181,ЗАКАЗЫ!$AL$3:$AL$500))</f>
        <v/>
      </c>
      <c r="BP181" s="7" t="str">
        <f aca="false">IF(BN181="","",BN181-BO181)</f>
        <v/>
      </c>
      <c r="BQ181" s="55" t="str">
        <f aca="false">IF(BN181="","",IF(BO181&gt;=BN181,"На складе",IF(BO181&gt;0,"Частично","Ждём")))</f>
        <v/>
      </c>
      <c r="BR181" s="43"/>
      <c r="BS181" s="47" t="str">
        <f aca="false">IF(BN181="","",IF(_xlfn.MAXIFS(ЗАКАЗЫ!$AK$3:$AK$500,ЗАКАЗЫ!$F$3:$F$500,$A181)=0,"",_xlfn.MAXIFS(ЗАКАЗЫ!$AK$3:$AK$500,ЗАКАЗЫ!$F$3:$F$500,$A181)))</f>
        <v/>
      </c>
    </row>
    <row r="182" customFormat="false" ht="15.75" hidden="false" customHeight="true" outlineLevel="0" collapsed="false">
      <c r="A182" s="80" t="s">
        <v>2049</v>
      </c>
      <c r="B182" s="81"/>
      <c r="C182" s="81"/>
      <c r="D182" s="81"/>
      <c r="E182" s="83"/>
      <c r="F182" s="81"/>
      <c r="G182" s="83"/>
      <c r="H182" s="83"/>
      <c r="I182" s="84" t="str">
        <f aca="false">IF(E182="","",A182&amp;"_1.jpg")</f>
        <v/>
      </c>
      <c r="J182" s="84" t="str">
        <f aca="false">IF(E182="","",A182&amp;"_2.jpg; "&amp;A182&amp;"_3.jpg")</f>
        <v/>
      </c>
      <c r="K182" s="84" t="str">
        <f aca="false">IF(E182="","",A182&amp;"_schema.jpg")</f>
        <v/>
      </c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 t="s">
        <v>96</v>
      </c>
      <c r="W182" s="81"/>
      <c r="X182" s="81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6" t="str">
        <f aca="false">IF(SUM(Y182:AJ182)=0,"",SUM(Y182:AJ182))</f>
        <v/>
      </c>
      <c r="AL182" s="84" t="str">
        <f aca="false">MID(IF(N(Y182)&gt;0,", "&amp;Y$2,"")&amp;IF(N(Z182)&gt;0,", "&amp;Z$2,"")&amp;IF(N(AA182)&gt;0,", "&amp;AA$2,"")&amp;IF(N(AB182)&gt;0,", "&amp;AB$2,"")&amp;IF(N(AC182)&gt;0,", "&amp;AC$2,"")&amp;IF(N(AD182)&gt;0,", "&amp;AD$2,"")&amp;IF(N(AE182)&gt;0,", "&amp;AE$2,"")&amp;IF(N(AF182)&gt;0,", "&amp;AF$2,"")&amp;IF(N(AG182)&gt;0,", "&amp;AG$2,"")&amp;IF(N(AH182)&gt;0,", "&amp;AH$2,"")&amp;IF(N(AI182)&gt;0,", "&amp;AI$2,"")&amp;IF(N(AJ182)&gt;0,", "&amp;AJ$2,""),3,999)</f>
        <v/>
      </c>
      <c r="AM182" s="87" t="str">
        <f aca="false">IF(E182="","",MID(IF(N(Y182)&gt;0,", "&amp;A182&amp;"-"&amp;Y$2,"")&amp;IF(N(Z182)&gt;0,", "&amp;A182&amp;"-"&amp;Z$2,"")&amp;IF(N(AA182)&gt;0,", "&amp;A182&amp;"-"&amp;AA$2,"")&amp;IF(N(AB182)&gt;0,", "&amp;A182&amp;"-"&amp;AB$2,"")&amp;IF(N(AC182)&gt;0,", "&amp;A182&amp;"-"&amp;AC$2,"")&amp;IF(N(AD182)&gt;0,", "&amp;A182&amp;"-"&amp;AD$2,"")&amp;IF(N(AE182)&gt;0,", "&amp;A182&amp;"-"&amp;AE$2,"")&amp;IF(N(AF182)&gt;0,", "&amp;A182&amp;"-"&amp;AF$2,"")&amp;IF(N(AG182)&gt;0,", "&amp;A182&amp;"-"&amp;AG$2,"")&amp;IF(N(AH182)&gt;0,", "&amp;A182&amp;"-"&amp;AH$2,"")&amp;IF(N(AI182)&gt;0,", "&amp;A182&amp;"-"&amp;AI$2,"")&amp;IF(N(AJ182)&gt;0,", "&amp;A182&amp;"-"&amp;AJ$2,""),3,999))</f>
        <v/>
      </c>
      <c r="AN182" s="81"/>
      <c r="AO182" s="88"/>
      <c r="AP182" s="89" t="str">
        <f aca="false">IF(AO182="","",ROUND(AO182/(1+Справочники!$B$13),2))</f>
        <v/>
      </c>
      <c r="AQ182" s="90" t="str">
        <f aca="false" t="array" ref="AQ182:AQ182">IF(AP182="","",AP182*INDEX(Справочники!$B$4:$B$7,MATCH("RUB",Справочники!$A$4:$A$7,0)))</f>
        <v/>
      </c>
      <c r="AR182" s="90" t="str">
        <f aca="false">IF(AQ182="","",ROUND(AQ182*(1+Справочники!$B$12),0))</f>
        <v/>
      </c>
      <c r="AS182" s="90" t="str">
        <f aca="false">IF(AR182="","",ROUND(AR182*(1-Справочники!$B$11),0))</f>
        <v/>
      </c>
      <c r="AT182" s="88"/>
      <c r="AU182" s="90" t="str">
        <f aca="false">IF(AT182="","",ROUND(AT182/(1+Справочники!$B$12),0))</f>
        <v/>
      </c>
      <c r="AV182" s="90" t="str">
        <f aca="false">IF(AT182="","",ROUND(AT182*(1-Справочники!$B$15),0))</f>
        <v/>
      </c>
      <c r="AW182" s="90" t="str">
        <f aca="false">IF(AT182="","",ROUND(AT182*(1-Справочники!$B$16),0))</f>
        <v/>
      </c>
      <c r="AX182" s="90" t="str">
        <f aca="false">IF(AT182="","",ROUND(AT182*(1-Справочники!$B$17),0))</f>
        <v/>
      </c>
      <c r="AY182" s="90" t="str">
        <f aca="false">IF(AT182="","",ROUND(AT182*(1-Справочники!$B$18),0))</f>
        <v/>
      </c>
      <c r="AZ182" s="90" t="str">
        <f aca="false">IF(AT182="","",ROUND(AT182*(1-Справочники!$B$19),0))</f>
        <v/>
      </c>
      <c r="BA182" s="81"/>
      <c r="BB182" s="81"/>
      <c r="BC182" s="81"/>
      <c r="BD182" s="81"/>
      <c r="BE182" s="91"/>
      <c r="BF182" s="81" t="s">
        <v>103</v>
      </c>
      <c r="BG182" s="89" t="n">
        <f aca="false" t="array" ref="BG182:BG182">IF(BF182="","",IFERROR(INDEX(Справочники!$B$4:$B$7,MATCH(BF182,Справочники!$A$4:$A$7,0)),""))</f>
        <v>68.5</v>
      </c>
      <c r="BH182" s="90" t="str">
        <f aca="false">IF(N(BN182)&gt;0,ROUND(SUMIF(ЗАКАЗЫ!$F$3:$F$500,$A182,ЗАКАЗЫ!$Y$3:$Y$500)/BN182,0),IF(OR(BE182="",BG182=""),"",ROUND(BE182*BG182*(1+Справочники!$B$10),0)))</f>
        <v/>
      </c>
      <c r="BI182" s="92" t="str">
        <f aca="false">IF(OR(AU182="",BH182="",AU182=0),"",(AU182-BH182)/AU182)</f>
        <v/>
      </c>
      <c r="BJ182" s="81"/>
      <c r="BK182" s="83"/>
      <c r="BL182" s="43" t="str">
        <f aca="false">IFERROR(INDEX(ЗАКАЗЫ!$N$3:$N$500,MATCH($A182,ЗАКАЗЫ!$F$3:$F$500,0)),"")</f>
        <v/>
      </c>
      <c r="BM182" s="8" t="str">
        <f aca="false">IF(BL182="","",IFERROR(VLOOKUP(BL182,'ТН ВЭД'!$A$4:$C$40,3,0),""))</f>
        <v/>
      </c>
      <c r="BN182" s="7" t="str">
        <f aca="false">IF(COUNTIF(ЗАКАЗЫ!$F$3:$F$500,$A182)=0,"",SUMIF(ЗАКАЗЫ!$F$3:$F$500,$A182,ЗАКАЗЫ!$J$3:$J$500))</f>
        <v/>
      </c>
      <c r="BO182" s="7" t="str">
        <f aca="false">IF(BN182="","",SUMIF(ЗАКАЗЫ!$F$3:$F$500,$A182,ЗАКАЗЫ!$AL$3:$AL$500))</f>
        <v/>
      </c>
      <c r="BP182" s="7" t="str">
        <f aca="false">IF(BN182="","",BN182-BO182)</f>
        <v/>
      </c>
      <c r="BQ182" s="55" t="str">
        <f aca="false">IF(BN182="","",IF(BO182&gt;=BN182,"На складе",IF(BO182&gt;0,"Частично","Ждём")))</f>
        <v/>
      </c>
      <c r="BR182" s="43"/>
      <c r="BS182" s="47" t="str">
        <f aca="false">IF(BN182="","",IF(_xlfn.MAXIFS(ЗАКАЗЫ!$AK$3:$AK$500,ЗАКАЗЫ!$F$3:$F$500,$A182)=0,"",_xlfn.MAXIFS(ЗАКАЗЫ!$AK$3:$AK$500,ЗАКАЗЫ!$F$3:$F$500,$A182)))</f>
        <v/>
      </c>
    </row>
    <row r="183" customFormat="false" ht="15.75" hidden="false" customHeight="true" outlineLevel="0" collapsed="false">
      <c r="A183" s="80" t="s">
        <v>2050</v>
      </c>
      <c r="B183" s="81"/>
      <c r="C183" s="81"/>
      <c r="D183" s="81"/>
      <c r="E183" s="83"/>
      <c r="F183" s="81"/>
      <c r="G183" s="83"/>
      <c r="H183" s="83"/>
      <c r="I183" s="84" t="str">
        <f aca="false">IF(E183="","",A183&amp;"_1.jpg")</f>
        <v/>
      </c>
      <c r="J183" s="84" t="str">
        <f aca="false">IF(E183="","",A183&amp;"_2.jpg; "&amp;A183&amp;"_3.jpg")</f>
        <v/>
      </c>
      <c r="K183" s="84" t="str">
        <f aca="false">IF(E183="","",A183&amp;"_schema.jpg")</f>
        <v/>
      </c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 t="s">
        <v>96</v>
      </c>
      <c r="W183" s="81"/>
      <c r="X183" s="81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6" t="str">
        <f aca="false">IF(SUM(Y183:AJ183)=0,"",SUM(Y183:AJ183))</f>
        <v/>
      </c>
      <c r="AL183" s="84" t="str">
        <f aca="false">MID(IF(N(Y183)&gt;0,", "&amp;Y$2,"")&amp;IF(N(Z183)&gt;0,", "&amp;Z$2,"")&amp;IF(N(AA183)&gt;0,", "&amp;AA$2,"")&amp;IF(N(AB183)&gt;0,", "&amp;AB$2,"")&amp;IF(N(AC183)&gt;0,", "&amp;AC$2,"")&amp;IF(N(AD183)&gt;0,", "&amp;AD$2,"")&amp;IF(N(AE183)&gt;0,", "&amp;AE$2,"")&amp;IF(N(AF183)&gt;0,", "&amp;AF$2,"")&amp;IF(N(AG183)&gt;0,", "&amp;AG$2,"")&amp;IF(N(AH183)&gt;0,", "&amp;AH$2,"")&amp;IF(N(AI183)&gt;0,", "&amp;AI$2,"")&amp;IF(N(AJ183)&gt;0,", "&amp;AJ$2,""),3,999)</f>
        <v/>
      </c>
      <c r="AM183" s="87" t="str">
        <f aca="false">IF(E183="","",MID(IF(N(Y183)&gt;0,", "&amp;A183&amp;"-"&amp;Y$2,"")&amp;IF(N(Z183)&gt;0,", "&amp;A183&amp;"-"&amp;Z$2,"")&amp;IF(N(AA183)&gt;0,", "&amp;A183&amp;"-"&amp;AA$2,"")&amp;IF(N(AB183)&gt;0,", "&amp;A183&amp;"-"&amp;AB$2,"")&amp;IF(N(AC183)&gt;0,", "&amp;A183&amp;"-"&amp;AC$2,"")&amp;IF(N(AD183)&gt;0,", "&amp;A183&amp;"-"&amp;AD$2,"")&amp;IF(N(AE183)&gt;0,", "&amp;A183&amp;"-"&amp;AE$2,"")&amp;IF(N(AF183)&gt;0,", "&amp;A183&amp;"-"&amp;AF$2,"")&amp;IF(N(AG183)&gt;0,", "&amp;A183&amp;"-"&amp;AG$2,"")&amp;IF(N(AH183)&gt;0,", "&amp;A183&amp;"-"&amp;AH$2,"")&amp;IF(N(AI183)&gt;0,", "&amp;A183&amp;"-"&amp;AI$2,"")&amp;IF(N(AJ183)&gt;0,", "&amp;A183&amp;"-"&amp;AJ$2,""),3,999))</f>
        <v/>
      </c>
      <c r="AN183" s="81"/>
      <c r="AO183" s="88"/>
      <c r="AP183" s="89" t="str">
        <f aca="false">IF(AO183="","",ROUND(AO183/(1+Справочники!$B$13),2))</f>
        <v/>
      </c>
      <c r="AQ183" s="90" t="str">
        <f aca="false" t="array" ref="AQ183:AQ183">IF(AP183="","",AP183*INDEX(Справочники!$B$4:$B$7,MATCH("RUB",Справочники!$A$4:$A$7,0)))</f>
        <v/>
      </c>
      <c r="AR183" s="90" t="str">
        <f aca="false">IF(AQ183="","",ROUND(AQ183*(1+Справочники!$B$12),0))</f>
        <v/>
      </c>
      <c r="AS183" s="90" t="str">
        <f aca="false">IF(AR183="","",ROUND(AR183*(1-Справочники!$B$11),0))</f>
        <v/>
      </c>
      <c r="AT183" s="88"/>
      <c r="AU183" s="90" t="str">
        <f aca="false">IF(AT183="","",ROUND(AT183/(1+Справочники!$B$12),0))</f>
        <v/>
      </c>
      <c r="AV183" s="90" t="str">
        <f aca="false">IF(AT183="","",ROUND(AT183*(1-Справочники!$B$15),0))</f>
        <v/>
      </c>
      <c r="AW183" s="90" t="str">
        <f aca="false">IF(AT183="","",ROUND(AT183*(1-Справочники!$B$16),0))</f>
        <v/>
      </c>
      <c r="AX183" s="90" t="str">
        <f aca="false">IF(AT183="","",ROUND(AT183*(1-Справочники!$B$17),0))</f>
        <v/>
      </c>
      <c r="AY183" s="90" t="str">
        <f aca="false">IF(AT183="","",ROUND(AT183*(1-Справочники!$B$18),0))</f>
        <v/>
      </c>
      <c r="AZ183" s="90" t="str">
        <f aca="false">IF(AT183="","",ROUND(AT183*(1-Справочники!$B$19),0))</f>
        <v/>
      </c>
      <c r="BA183" s="81"/>
      <c r="BB183" s="81"/>
      <c r="BC183" s="81"/>
      <c r="BD183" s="81"/>
      <c r="BE183" s="91"/>
      <c r="BF183" s="81" t="s">
        <v>103</v>
      </c>
      <c r="BG183" s="89" t="n">
        <f aca="false" t="array" ref="BG183:BG183">IF(BF183="","",IFERROR(INDEX(Справочники!$B$4:$B$7,MATCH(BF183,Справочники!$A$4:$A$7,0)),""))</f>
        <v>68.5</v>
      </c>
      <c r="BH183" s="90" t="str">
        <f aca="false">IF(N(BN183)&gt;0,ROUND(SUMIF(ЗАКАЗЫ!$F$3:$F$500,$A183,ЗАКАЗЫ!$Y$3:$Y$500)/BN183,0),IF(OR(BE183="",BG183=""),"",ROUND(BE183*BG183*(1+Справочники!$B$10),0)))</f>
        <v/>
      </c>
      <c r="BI183" s="92" t="str">
        <f aca="false">IF(OR(AU183="",BH183="",AU183=0),"",(AU183-BH183)/AU183)</f>
        <v/>
      </c>
      <c r="BJ183" s="81"/>
      <c r="BK183" s="83"/>
      <c r="BL183" s="43" t="str">
        <f aca="false">IFERROR(INDEX(ЗАКАЗЫ!$N$3:$N$500,MATCH($A183,ЗАКАЗЫ!$F$3:$F$500,0)),"")</f>
        <v/>
      </c>
      <c r="BM183" s="8" t="str">
        <f aca="false">IF(BL183="","",IFERROR(VLOOKUP(BL183,'ТН ВЭД'!$A$4:$C$40,3,0),""))</f>
        <v/>
      </c>
      <c r="BN183" s="7" t="str">
        <f aca="false">IF(COUNTIF(ЗАКАЗЫ!$F$3:$F$500,$A183)=0,"",SUMIF(ЗАКАЗЫ!$F$3:$F$500,$A183,ЗАКАЗЫ!$J$3:$J$500))</f>
        <v/>
      </c>
      <c r="BO183" s="7" t="str">
        <f aca="false">IF(BN183="","",SUMIF(ЗАКАЗЫ!$F$3:$F$500,$A183,ЗАКАЗЫ!$AL$3:$AL$500))</f>
        <v/>
      </c>
      <c r="BP183" s="7" t="str">
        <f aca="false">IF(BN183="","",BN183-BO183)</f>
        <v/>
      </c>
      <c r="BQ183" s="55" t="str">
        <f aca="false">IF(BN183="","",IF(BO183&gt;=BN183,"На складе",IF(BO183&gt;0,"Частично","Ждём")))</f>
        <v/>
      </c>
      <c r="BR183" s="43"/>
      <c r="BS183" s="47" t="str">
        <f aca="false">IF(BN183="","",IF(_xlfn.MAXIFS(ЗАКАЗЫ!$AK$3:$AK$500,ЗАКАЗЫ!$F$3:$F$500,$A183)=0,"",_xlfn.MAXIFS(ЗАКАЗЫ!$AK$3:$AK$500,ЗАКАЗЫ!$F$3:$F$500,$A183)))</f>
        <v/>
      </c>
    </row>
    <row r="184" customFormat="false" ht="15.75" hidden="false" customHeight="true" outlineLevel="0" collapsed="false">
      <c r="A184" s="80" t="s">
        <v>2051</v>
      </c>
      <c r="B184" s="81"/>
      <c r="C184" s="81"/>
      <c r="D184" s="81"/>
      <c r="E184" s="83"/>
      <c r="F184" s="81"/>
      <c r="G184" s="83"/>
      <c r="H184" s="83"/>
      <c r="I184" s="84" t="str">
        <f aca="false">IF(E184="","",A184&amp;"_1.jpg")</f>
        <v/>
      </c>
      <c r="J184" s="84" t="str">
        <f aca="false">IF(E184="","",A184&amp;"_2.jpg; "&amp;A184&amp;"_3.jpg")</f>
        <v/>
      </c>
      <c r="K184" s="84" t="str">
        <f aca="false">IF(E184="","",A184&amp;"_schema.jpg")</f>
        <v/>
      </c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 t="s">
        <v>96</v>
      </c>
      <c r="W184" s="81"/>
      <c r="X184" s="81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6" t="str">
        <f aca="false">IF(SUM(Y184:AJ184)=0,"",SUM(Y184:AJ184))</f>
        <v/>
      </c>
      <c r="AL184" s="84" t="str">
        <f aca="false">MID(IF(N(Y184)&gt;0,", "&amp;Y$2,"")&amp;IF(N(Z184)&gt;0,", "&amp;Z$2,"")&amp;IF(N(AA184)&gt;0,", "&amp;AA$2,"")&amp;IF(N(AB184)&gt;0,", "&amp;AB$2,"")&amp;IF(N(AC184)&gt;0,", "&amp;AC$2,"")&amp;IF(N(AD184)&gt;0,", "&amp;AD$2,"")&amp;IF(N(AE184)&gt;0,", "&amp;AE$2,"")&amp;IF(N(AF184)&gt;0,", "&amp;AF$2,"")&amp;IF(N(AG184)&gt;0,", "&amp;AG$2,"")&amp;IF(N(AH184)&gt;0,", "&amp;AH$2,"")&amp;IF(N(AI184)&gt;0,", "&amp;AI$2,"")&amp;IF(N(AJ184)&gt;0,", "&amp;AJ$2,""),3,999)</f>
        <v/>
      </c>
      <c r="AM184" s="87" t="str">
        <f aca="false">IF(E184="","",MID(IF(N(Y184)&gt;0,", "&amp;A184&amp;"-"&amp;Y$2,"")&amp;IF(N(Z184)&gt;0,", "&amp;A184&amp;"-"&amp;Z$2,"")&amp;IF(N(AA184)&gt;0,", "&amp;A184&amp;"-"&amp;AA$2,"")&amp;IF(N(AB184)&gt;0,", "&amp;A184&amp;"-"&amp;AB$2,"")&amp;IF(N(AC184)&gt;0,", "&amp;A184&amp;"-"&amp;AC$2,"")&amp;IF(N(AD184)&gt;0,", "&amp;A184&amp;"-"&amp;AD$2,"")&amp;IF(N(AE184)&gt;0,", "&amp;A184&amp;"-"&amp;AE$2,"")&amp;IF(N(AF184)&gt;0,", "&amp;A184&amp;"-"&amp;AF$2,"")&amp;IF(N(AG184)&gt;0,", "&amp;A184&amp;"-"&amp;AG$2,"")&amp;IF(N(AH184)&gt;0,", "&amp;A184&amp;"-"&amp;AH$2,"")&amp;IF(N(AI184)&gt;0,", "&amp;A184&amp;"-"&amp;AI$2,"")&amp;IF(N(AJ184)&gt;0,", "&amp;A184&amp;"-"&amp;AJ$2,""),3,999))</f>
        <v/>
      </c>
      <c r="AN184" s="81"/>
      <c r="AO184" s="88"/>
      <c r="AP184" s="89" t="str">
        <f aca="false">IF(AO184="","",ROUND(AO184/(1+Справочники!$B$13),2))</f>
        <v/>
      </c>
      <c r="AQ184" s="90" t="str">
        <f aca="false" t="array" ref="AQ184:AQ184">IF(AP184="","",AP184*INDEX(Справочники!$B$4:$B$7,MATCH("RUB",Справочники!$A$4:$A$7,0)))</f>
        <v/>
      </c>
      <c r="AR184" s="90" t="str">
        <f aca="false">IF(AQ184="","",ROUND(AQ184*(1+Справочники!$B$12),0))</f>
        <v/>
      </c>
      <c r="AS184" s="90" t="str">
        <f aca="false">IF(AR184="","",ROUND(AR184*(1-Справочники!$B$11),0))</f>
        <v/>
      </c>
      <c r="AT184" s="88"/>
      <c r="AU184" s="90" t="str">
        <f aca="false">IF(AT184="","",ROUND(AT184/(1+Справочники!$B$12),0))</f>
        <v/>
      </c>
      <c r="AV184" s="90" t="str">
        <f aca="false">IF(AT184="","",ROUND(AT184*(1-Справочники!$B$15),0))</f>
        <v/>
      </c>
      <c r="AW184" s="90" t="str">
        <f aca="false">IF(AT184="","",ROUND(AT184*(1-Справочники!$B$16),0))</f>
        <v/>
      </c>
      <c r="AX184" s="90" t="str">
        <f aca="false">IF(AT184="","",ROUND(AT184*(1-Справочники!$B$17),0))</f>
        <v/>
      </c>
      <c r="AY184" s="90" t="str">
        <f aca="false">IF(AT184="","",ROUND(AT184*(1-Справочники!$B$18),0))</f>
        <v/>
      </c>
      <c r="AZ184" s="90" t="str">
        <f aca="false">IF(AT184="","",ROUND(AT184*(1-Справочники!$B$19),0))</f>
        <v/>
      </c>
      <c r="BA184" s="81"/>
      <c r="BB184" s="81"/>
      <c r="BC184" s="81"/>
      <c r="BD184" s="81"/>
      <c r="BE184" s="91"/>
      <c r="BF184" s="81" t="s">
        <v>103</v>
      </c>
      <c r="BG184" s="89" t="n">
        <f aca="false" t="array" ref="BG184:BG184">IF(BF184="","",IFERROR(INDEX(Справочники!$B$4:$B$7,MATCH(BF184,Справочники!$A$4:$A$7,0)),""))</f>
        <v>68.5</v>
      </c>
      <c r="BH184" s="90" t="str">
        <f aca="false">IF(N(BN184)&gt;0,ROUND(SUMIF(ЗАКАЗЫ!$F$3:$F$500,$A184,ЗАКАЗЫ!$Y$3:$Y$500)/BN184,0),IF(OR(BE184="",BG184=""),"",ROUND(BE184*BG184*(1+Справочники!$B$10),0)))</f>
        <v/>
      </c>
      <c r="BI184" s="92" t="str">
        <f aca="false">IF(OR(AU184="",BH184="",AU184=0),"",(AU184-BH184)/AU184)</f>
        <v/>
      </c>
      <c r="BJ184" s="81"/>
      <c r="BK184" s="83"/>
      <c r="BL184" s="43" t="str">
        <f aca="false">IFERROR(INDEX(ЗАКАЗЫ!$N$3:$N$500,MATCH($A184,ЗАКАЗЫ!$F$3:$F$500,0)),"")</f>
        <v/>
      </c>
      <c r="BM184" s="8" t="str">
        <f aca="false">IF(BL184="","",IFERROR(VLOOKUP(BL184,'ТН ВЭД'!$A$4:$C$40,3,0),""))</f>
        <v/>
      </c>
      <c r="BN184" s="7" t="str">
        <f aca="false">IF(COUNTIF(ЗАКАЗЫ!$F$3:$F$500,$A184)=0,"",SUMIF(ЗАКАЗЫ!$F$3:$F$500,$A184,ЗАКАЗЫ!$J$3:$J$500))</f>
        <v/>
      </c>
      <c r="BO184" s="7" t="str">
        <f aca="false">IF(BN184="","",SUMIF(ЗАКАЗЫ!$F$3:$F$500,$A184,ЗАКАЗЫ!$AL$3:$AL$500))</f>
        <v/>
      </c>
      <c r="BP184" s="7" t="str">
        <f aca="false">IF(BN184="","",BN184-BO184)</f>
        <v/>
      </c>
      <c r="BQ184" s="55" t="str">
        <f aca="false">IF(BN184="","",IF(BO184&gt;=BN184,"На складе",IF(BO184&gt;0,"Частично","Ждём")))</f>
        <v/>
      </c>
      <c r="BR184" s="43"/>
      <c r="BS184" s="47" t="str">
        <f aca="false">IF(BN184="","",IF(_xlfn.MAXIFS(ЗАКАЗЫ!$AK$3:$AK$500,ЗАКАЗЫ!$F$3:$F$500,$A184)=0,"",_xlfn.MAXIFS(ЗАКАЗЫ!$AK$3:$AK$500,ЗАКАЗЫ!$F$3:$F$500,$A184)))</f>
        <v/>
      </c>
    </row>
    <row r="185" customFormat="false" ht="15.75" hidden="false" customHeight="true" outlineLevel="0" collapsed="false">
      <c r="A185" s="80" t="s">
        <v>2052</v>
      </c>
      <c r="B185" s="81"/>
      <c r="C185" s="81"/>
      <c r="D185" s="81"/>
      <c r="E185" s="83"/>
      <c r="F185" s="81"/>
      <c r="G185" s="83"/>
      <c r="H185" s="83"/>
      <c r="I185" s="84" t="str">
        <f aca="false">IF(E185="","",A185&amp;"_1.jpg")</f>
        <v/>
      </c>
      <c r="J185" s="84" t="str">
        <f aca="false">IF(E185="","",A185&amp;"_2.jpg; "&amp;A185&amp;"_3.jpg")</f>
        <v/>
      </c>
      <c r="K185" s="84" t="str">
        <f aca="false">IF(E185="","",A185&amp;"_schema.jpg")</f>
        <v/>
      </c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 t="s">
        <v>96</v>
      </c>
      <c r="W185" s="81"/>
      <c r="X185" s="81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6" t="str">
        <f aca="false">IF(SUM(Y185:AJ185)=0,"",SUM(Y185:AJ185))</f>
        <v/>
      </c>
      <c r="AL185" s="84" t="str">
        <f aca="false">MID(IF(N(Y185)&gt;0,", "&amp;Y$2,"")&amp;IF(N(Z185)&gt;0,", "&amp;Z$2,"")&amp;IF(N(AA185)&gt;0,", "&amp;AA$2,"")&amp;IF(N(AB185)&gt;0,", "&amp;AB$2,"")&amp;IF(N(AC185)&gt;0,", "&amp;AC$2,"")&amp;IF(N(AD185)&gt;0,", "&amp;AD$2,"")&amp;IF(N(AE185)&gt;0,", "&amp;AE$2,"")&amp;IF(N(AF185)&gt;0,", "&amp;AF$2,"")&amp;IF(N(AG185)&gt;0,", "&amp;AG$2,"")&amp;IF(N(AH185)&gt;0,", "&amp;AH$2,"")&amp;IF(N(AI185)&gt;0,", "&amp;AI$2,"")&amp;IF(N(AJ185)&gt;0,", "&amp;AJ$2,""),3,999)</f>
        <v/>
      </c>
      <c r="AM185" s="87" t="str">
        <f aca="false">IF(E185="","",MID(IF(N(Y185)&gt;0,", "&amp;A185&amp;"-"&amp;Y$2,"")&amp;IF(N(Z185)&gt;0,", "&amp;A185&amp;"-"&amp;Z$2,"")&amp;IF(N(AA185)&gt;0,", "&amp;A185&amp;"-"&amp;AA$2,"")&amp;IF(N(AB185)&gt;0,", "&amp;A185&amp;"-"&amp;AB$2,"")&amp;IF(N(AC185)&gt;0,", "&amp;A185&amp;"-"&amp;AC$2,"")&amp;IF(N(AD185)&gt;0,", "&amp;A185&amp;"-"&amp;AD$2,"")&amp;IF(N(AE185)&gt;0,", "&amp;A185&amp;"-"&amp;AE$2,"")&amp;IF(N(AF185)&gt;0,", "&amp;A185&amp;"-"&amp;AF$2,"")&amp;IF(N(AG185)&gt;0,", "&amp;A185&amp;"-"&amp;AG$2,"")&amp;IF(N(AH185)&gt;0,", "&amp;A185&amp;"-"&amp;AH$2,"")&amp;IF(N(AI185)&gt;0,", "&amp;A185&amp;"-"&amp;AI$2,"")&amp;IF(N(AJ185)&gt;0,", "&amp;A185&amp;"-"&amp;AJ$2,""),3,999))</f>
        <v/>
      </c>
      <c r="AN185" s="81"/>
      <c r="AO185" s="88"/>
      <c r="AP185" s="89" t="str">
        <f aca="false">IF(AO185="","",ROUND(AO185/(1+Справочники!$B$13),2))</f>
        <v/>
      </c>
      <c r="AQ185" s="90" t="str">
        <f aca="false" t="array" ref="AQ185:AQ185">IF(AP185="","",AP185*INDEX(Справочники!$B$4:$B$7,MATCH("RUB",Справочники!$A$4:$A$7,0)))</f>
        <v/>
      </c>
      <c r="AR185" s="90" t="str">
        <f aca="false">IF(AQ185="","",ROUND(AQ185*(1+Справочники!$B$12),0))</f>
        <v/>
      </c>
      <c r="AS185" s="90" t="str">
        <f aca="false">IF(AR185="","",ROUND(AR185*(1-Справочники!$B$11),0))</f>
        <v/>
      </c>
      <c r="AT185" s="88"/>
      <c r="AU185" s="90" t="str">
        <f aca="false">IF(AT185="","",ROUND(AT185/(1+Справочники!$B$12),0))</f>
        <v/>
      </c>
      <c r="AV185" s="90" t="str">
        <f aca="false">IF(AT185="","",ROUND(AT185*(1-Справочники!$B$15),0))</f>
        <v/>
      </c>
      <c r="AW185" s="90" t="str">
        <f aca="false">IF(AT185="","",ROUND(AT185*(1-Справочники!$B$16),0))</f>
        <v/>
      </c>
      <c r="AX185" s="90" t="str">
        <f aca="false">IF(AT185="","",ROUND(AT185*(1-Справочники!$B$17),0))</f>
        <v/>
      </c>
      <c r="AY185" s="90" t="str">
        <f aca="false">IF(AT185="","",ROUND(AT185*(1-Справочники!$B$18),0))</f>
        <v/>
      </c>
      <c r="AZ185" s="90" t="str">
        <f aca="false">IF(AT185="","",ROUND(AT185*(1-Справочники!$B$19),0))</f>
        <v/>
      </c>
      <c r="BA185" s="81"/>
      <c r="BB185" s="81"/>
      <c r="BC185" s="81"/>
      <c r="BD185" s="81"/>
      <c r="BE185" s="91"/>
      <c r="BF185" s="81" t="s">
        <v>103</v>
      </c>
      <c r="BG185" s="89" t="n">
        <f aca="false" t="array" ref="BG185:BG185">IF(BF185="","",IFERROR(INDEX(Справочники!$B$4:$B$7,MATCH(BF185,Справочники!$A$4:$A$7,0)),""))</f>
        <v>68.5</v>
      </c>
      <c r="BH185" s="90" t="str">
        <f aca="false">IF(N(BN185)&gt;0,ROUND(SUMIF(ЗАКАЗЫ!$F$3:$F$500,$A185,ЗАКАЗЫ!$Y$3:$Y$500)/BN185,0),IF(OR(BE185="",BG185=""),"",ROUND(BE185*BG185*(1+Справочники!$B$10),0)))</f>
        <v/>
      </c>
      <c r="BI185" s="92" t="str">
        <f aca="false">IF(OR(AU185="",BH185="",AU185=0),"",(AU185-BH185)/AU185)</f>
        <v/>
      </c>
      <c r="BJ185" s="81"/>
      <c r="BK185" s="83"/>
      <c r="BL185" s="43" t="str">
        <f aca="false">IFERROR(INDEX(ЗАКАЗЫ!$N$3:$N$500,MATCH($A185,ЗАКАЗЫ!$F$3:$F$500,0)),"")</f>
        <v/>
      </c>
      <c r="BM185" s="8" t="str">
        <f aca="false">IF(BL185="","",IFERROR(VLOOKUP(BL185,'ТН ВЭД'!$A$4:$C$40,3,0),""))</f>
        <v/>
      </c>
      <c r="BN185" s="7" t="str">
        <f aca="false">IF(COUNTIF(ЗАКАЗЫ!$F$3:$F$500,$A185)=0,"",SUMIF(ЗАКАЗЫ!$F$3:$F$500,$A185,ЗАКАЗЫ!$J$3:$J$500))</f>
        <v/>
      </c>
      <c r="BO185" s="7" t="str">
        <f aca="false">IF(BN185="","",SUMIF(ЗАКАЗЫ!$F$3:$F$500,$A185,ЗАКАЗЫ!$AL$3:$AL$500))</f>
        <v/>
      </c>
      <c r="BP185" s="7" t="str">
        <f aca="false">IF(BN185="","",BN185-BO185)</f>
        <v/>
      </c>
      <c r="BQ185" s="55" t="str">
        <f aca="false">IF(BN185="","",IF(BO185&gt;=BN185,"На складе",IF(BO185&gt;0,"Частично","Ждём")))</f>
        <v/>
      </c>
      <c r="BR185" s="43"/>
      <c r="BS185" s="47" t="str">
        <f aca="false">IF(BN185="","",IF(_xlfn.MAXIFS(ЗАКАЗЫ!$AK$3:$AK$500,ЗАКАЗЫ!$F$3:$F$500,$A185)=0,"",_xlfn.MAXIFS(ЗАКАЗЫ!$AK$3:$AK$500,ЗАКАЗЫ!$F$3:$F$500,$A185)))</f>
        <v/>
      </c>
    </row>
    <row r="186" customFormat="false" ht="15.75" hidden="false" customHeight="true" outlineLevel="0" collapsed="false">
      <c r="A186" s="80" t="s">
        <v>2053</v>
      </c>
      <c r="B186" s="81"/>
      <c r="C186" s="81"/>
      <c r="D186" s="81"/>
      <c r="E186" s="83"/>
      <c r="F186" s="81"/>
      <c r="G186" s="83"/>
      <c r="H186" s="83"/>
      <c r="I186" s="84" t="str">
        <f aca="false">IF(E186="","",A186&amp;"_1.jpg")</f>
        <v/>
      </c>
      <c r="J186" s="84" t="str">
        <f aca="false">IF(E186="","",A186&amp;"_2.jpg; "&amp;A186&amp;"_3.jpg")</f>
        <v/>
      </c>
      <c r="K186" s="84" t="str">
        <f aca="false">IF(E186="","",A186&amp;"_schema.jpg")</f>
        <v/>
      </c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 t="s">
        <v>96</v>
      </c>
      <c r="W186" s="81"/>
      <c r="X186" s="81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6" t="str">
        <f aca="false">IF(SUM(Y186:AJ186)=0,"",SUM(Y186:AJ186))</f>
        <v/>
      </c>
      <c r="AL186" s="84" t="str">
        <f aca="false">MID(IF(N(Y186)&gt;0,", "&amp;Y$2,"")&amp;IF(N(Z186)&gt;0,", "&amp;Z$2,"")&amp;IF(N(AA186)&gt;0,", "&amp;AA$2,"")&amp;IF(N(AB186)&gt;0,", "&amp;AB$2,"")&amp;IF(N(AC186)&gt;0,", "&amp;AC$2,"")&amp;IF(N(AD186)&gt;0,", "&amp;AD$2,"")&amp;IF(N(AE186)&gt;0,", "&amp;AE$2,"")&amp;IF(N(AF186)&gt;0,", "&amp;AF$2,"")&amp;IF(N(AG186)&gt;0,", "&amp;AG$2,"")&amp;IF(N(AH186)&gt;0,", "&amp;AH$2,"")&amp;IF(N(AI186)&gt;0,", "&amp;AI$2,"")&amp;IF(N(AJ186)&gt;0,", "&amp;AJ$2,""),3,999)</f>
        <v/>
      </c>
      <c r="AM186" s="87" t="str">
        <f aca="false">IF(E186="","",MID(IF(N(Y186)&gt;0,", "&amp;A186&amp;"-"&amp;Y$2,"")&amp;IF(N(Z186)&gt;0,", "&amp;A186&amp;"-"&amp;Z$2,"")&amp;IF(N(AA186)&gt;0,", "&amp;A186&amp;"-"&amp;AA$2,"")&amp;IF(N(AB186)&gt;0,", "&amp;A186&amp;"-"&amp;AB$2,"")&amp;IF(N(AC186)&gt;0,", "&amp;A186&amp;"-"&amp;AC$2,"")&amp;IF(N(AD186)&gt;0,", "&amp;A186&amp;"-"&amp;AD$2,"")&amp;IF(N(AE186)&gt;0,", "&amp;A186&amp;"-"&amp;AE$2,"")&amp;IF(N(AF186)&gt;0,", "&amp;A186&amp;"-"&amp;AF$2,"")&amp;IF(N(AG186)&gt;0,", "&amp;A186&amp;"-"&amp;AG$2,"")&amp;IF(N(AH186)&gt;0,", "&amp;A186&amp;"-"&amp;AH$2,"")&amp;IF(N(AI186)&gt;0,", "&amp;A186&amp;"-"&amp;AI$2,"")&amp;IF(N(AJ186)&gt;0,", "&amp;A186&amp;"-"&amp;AJ$2,""),3,999))</f>
        <v/>
      </c>
      <c r="AN186" s="81"/>
      <c r="AO186" s="88"/>
      <c r="AP186" s="89" t="str">
        <f aca="false">IF(AO186="","",ROUND(AO186/(1+Справочники!$B$13),2))</f>
        <v/>
      </c>
      <c r="AQ186" s="90" t="str">
        <f aca="false" t="array" ref="AQ186:AQ186">IF(AP186="","",AP186*INDEX(Справочники!$B$4:$B$7,MATCH("RUB",Справочники!$A$4:$A$7,0)))</f>
        <v/>
      </c>
      <c r="AR186" s="90" t="str">
        <f aca="false">IF(AQ186="","",ROUND(AQ186*(1+Справочники!$B$12),0))</f>
        <v/>
      </c>
      <c r="AS186" s="90" t="str">
        <f aca="false">IF(AR186="","",ROUND(AR186*(1-Справочники!$B$11),0))</f>
        <v/>
      </c>
      <c r="AT186" s="88"/>
      <c r="AU186" s="90" t="str">
        <f aca="false">IF(AT186="","",ROUND(AT186/(1+Справочники!$B$12),0))</f>
        <v/>
      </c>
      <c r="AV186" s="90" t="str">
        <f aca="false">IF(AT186="","",ROUND(AT186*(1-Справочники!$B$15),0))</f>
        <v/>
      </c>
      <c r="AW186" s="90" t="str">
        <f aca="false">IF(AT186="","",ROUND(AT186*(1-Справочники!$B$16),0))</f>
        <v/>
      </c>
      <c r="AX186" s="90" t="str">
        <f aca="false">IF(AT186="","",ROUND(AT186*(1-Справочники!$B$17),0))</f>
        <v/>
      </c>
      <c r="AY186" s="90" t="str">
        <f aca="false">IF(AT186="","",ROUND(AT186*(1-Справочники!$B$18),0))</f>
        <v/>
      </c>
      <c r="AZ186" s="90" t="str">
        <f aca="false">IF(AT186="","",ROUND(AT186*(1-Справочники!$B$19),0))</f>
        <v/>
      </c>
      <c r="BA186" s="81"/>
      <c r="BB186" s="81"/>
      <c r="BC186" s="81"/>
      <c r="BD186" s="81"/>
      <c r="BE186" s="91"/>
      <c r="BF186" s="81" t="s">
        <v>103</v>
      </c>
      <c r="BG186" s="89" t="n">
        <f aca="false" t="array" ref="BG186:BG186">IF(BF186="","",IFERROR(INDEX(Справочники!$B$4:$B$7,MATCH(BF186,Справочники!$A$4:$A$7,0)),""))</f>
        <v>68.5</v>
      </c>
      <c r="BH186" s="90" t="str">
        <f aca="false">IF(N(BN186)&gt;0,ROUND(SUMIF(ЗАКАЗЫ!$F$3:$F$500,$A186,ЗАКАЗЫ!$Y$3:$Y$500)/BN186,0),IF(OR(BE186="",BG186=""),"",ROUND(BE186*BG186*(1+Справочники!$B$10),0)))</f>
        <v/>
      </c>
      <c r="BI186" s="92" t="str">
        <f aca="false">IF(OR(AU186="",BH186="",AU186=0),"",(AU186-BH186)/AU186)</f>
        <v/>
      </c>
      <c r="BJ186" s="81"/>
      <c r="BK186" s="83"/>
      <c r="BL186" s="43" t="str">
        <f aca="false">IFERROR(INDEX(ЗАКАЗЫ!$N$3:$N$500,MATCH($A186,ЗАКАЗЫ!$F$3:$F$500,0)),"")</f>
        <v/>
      </c>
      <c r="BM186" s="8" t="str">
        <f aca="false">IF(BL186="","",IFERROR(VLOOKUP(BL186,'ТН ВЭД'!$A$4:$C$40,3,0),""))</f>
        <v/>
      </c>
      <c r="BN186" s="7" t="str">
        <f aca="false">IF(COUNTIF(ЗАКАЗЫ!$F$3:$F$500,$A186)=0,"",SUMIF(ЗАКАЗЫ!$F$3:$F$500,$A186,ЗАКАЗЫ!$J$3:$J$500))</f>
        <v/>
      </c>
      <c r="BO186" s="7" t="str">
        <f aca="false">IF(BN186="","",SUMIF(ЗАКАЗЫ!$F$3:$F$500,$A186,ЗАКАЗЫ!$AL$3:$AL$500))</f>
        <v/>
      </c>
      <c r="BP186" s="7" t="str">
        <f aca="false">IF(BN186="","",BN186-BO186)</f>
        <v/>
      </c>
      <c r="BQ186" s="55" t="str">
        <f aca="false">IF(BN186="","",IF(BO186&gt;=BN186,"На складе",IF(BO186&gt;0,"Частично","Ждём")))</f>
        <v/>
      </c>
      <c r="BR186" s="43"/>
      <c r="BS186" s="47" t="str">
        <f aca="false">IF(BN186="","",IF(_xlfn.MAXIFS(ЗАКАЗЫ!$AK$3:$AK$500,ЗАКАЗЫ!$F$3:$F$500,$A186)=0,"",_xlfn.MAXIFS(ЗАКАЗЫ!$AK$3:$AK$500,ЗАКАЗЫ!$F$3:$F$500,$A186)))</f>
        <v/>
      </c>
    </row>
    <row r="187" customFormat="false" ht="15.75" hidden="false" customHeight="true" outlineLevel="0" collapsed="false">
      <c r="A187" s="80" t="s">
        <v>2054</v>
      </c>
      <c r="B187" s="81"/>
      <c r="C187" s="81"/>
      <c r="D187" s="81"/>
      <c r="E187" s="83"/>
      <c r="F187" s="81"/>
      <c r="G187" s="83"/>
      <c r="H187" s="83"/>
      <c r="I187" s="84" t="str">
        <f aca="false">IF(E187="","",A187&amp;"_1.jpg")</f>
        <v/>
      </c>
      <c r="J187" s="84" t="str">
        <f aca="false">IF(E187="","",A187&amp;"_2.jpg; "&amp;A187&amp;"_3.jpg")</f>
        <v/>
      </c>
      <c r="K187" s="84" t="str">
        <f aca="false">IF(E187="","",A187&amp;"_schema.jpg")</f>
        <v/>
      </c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 t="s">
        <v>96</v>
      </c>
      <c r="W187" s="81"/>
      <c r="X187" s="81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6" t="str">
        <f aca="false">IF(SUM(Y187:AJ187)=0,"",SUM(Y187:AJ187))</f>
        <v/>
      </c>
      <c r="AL187" s="84" t="str">
        <f aca="false">MID(IF(N(Y187)&gt;0,", "&amp;Y$2,"")&amp;IF(N(Z187)&gt;0,", "&amp;Z$2,"")&amp;IF(N(AA187)&gt;0,", "&amp;AA$2,"")&amp;IF(N(AB187)&gt;0,", "&amp;AB$2,"")&amp;IF(N(AC187)&gt;0,", "&amp;AC$2,"")&amp;IF(N(AD187)&gt;0,", "&amp;AD$2,"")&amp;IF(N(AE187)&gt;0,", "&amp;AE$2,"")&amp;IF(N(AF187)&gt;0,", "&amp;AF$2,"")&amp;IF(N(AG187)&gt;0,", "&amp;AG$2,"")&amp;IF(N(AH187)&gt;0,", "&amp;AH$2,"")&amp;IF(N(AI187)&gt;0,", "&amp;AI$2,"")&amp;IF(N(AJ187)&gt;0,", "&amp;AJ$2,""),3,999)</f>
        <v/>
      </c>
      <c r="AM187" s="87" t="str">
        <f aca="false">IF(E187="","",MID(IF(N(Y187)&gt;0,", "&amp;A187&amp;"-"&amp;Y$2,"")&amp;IF(N(Z187)&gt;0,", "&amp;A187&amp;"-"&amp;Z$2,"")&amp;IF(N(AA187)&gt;0,", "&amp;A187&amp;"-"&amp;AA$2,"")&amp;IF(N(AB187)&gt;0,", "&amp;A187&amp;"-"&amp;AB$2,"")&amp;IF(N(AC187)&gt;0,", "&amp;A187&amp;"-"&amp;AC$2,"")&amp;IF(N(AD187)&gt;0,", "&amp;A187&amp;"-"&amp;AD$2,"")&amp;IF(N(AE187)&gt;0,", "&amp;A187&amp;"-"&amp;AE$2,"")&amp;IF(N(AF187)&gt;0,", "&amp;A187&amp;"-"&amp;AF$2,"")&amp;IF(N(AG187)&gt;0,", "&amp;A187&amp;"-"&amp;AG$2,"")&amp;IF(N(AH187)&gt;0,", "&amp;A187&amp;"-"&amp;AH$2,"")&amp;IF(N(AI187)&gt;0,", "&amp;A187&amp;"-"&amp;AI$2,"")&amp;IF(N(AJ187)&gt;0,", "&amp;A187&amp;"-"&amp;AJ$2,""),3,999))</f>
        <v/>
      </c>
      <c r="AN187" s="81"/>
      <c r="AO187" s="88"/>
      <c r="AP187" s="89" t="str">
        <f aca="false">IF(AO187="","",ROUND(AO187/(1+Справочники!$B$13),2))</f>
        <v/>
      </c>
      <c r="AQ187" s="90" t="str">
        <f aca="false" t="array" ref="AQ187:AQ187">IF(AP187="","",AP187*INDEX(Справочники!$B$4:$B$7,MATCH("RUB",Справочники!$A$4:$A$7,0)))</f>
        <v/>
      </c>
      <c r="AR187" s="90" t="str">
        <f aca="false">IF(AQ187="","",ROUND(AQ187*(1+Справочники!$B$12),0))</f>
        <v/>
      </c>
      <c r="AS187" s="90" t="str">
        <f aca="false">IF(AR187="","",ROUND(AR187*(1-Справочники!$B$11),0))</f>
        <v/>
      </c>
      <c r="AT187" s="88"/>
      <c r="AU187" s="90" t="str">
        <f aca="false">IF(AT187="","",ROUND(AT187/(1+Справочники!$B$12),0))</f>
        <v/>
      </c>
      <c r="AV187" s="90" t="str">
        <f aca="false">IF(AT187="","",ROUND(AT187*(1-Справочники!$B$15),0))</f>
        <v/>
      </c>
      <c r="AW187" s="90" t="str">
        <f aca="false">IF(AT187="","",ROUND(AT187*(1-Справочники!$B$16),0))</f>
        <v/>
      </c>
      <c r="AX187" s="90" t="str">
        <f aca="false">IF(AT187="","",ROUND(AT187*(1-Справочники!$B$17),0))</f>
        <v/>
      </c>
      <c r="AY187" s="90" t="str">
        <f aca="false">IF(AT187="","",ROUND(AT187*(1-Справочники!$B$18),0))</f>
        <v/>
      </c>
      <c r="AZ187" s="90" t="str">
        <f aca="false">IF(AT187="","",ROUND(AT187*(1-Справочники!$B$19),0))</f>
        <v/>
      </c>
      <c r="BA187" s="81"/>
      <c r="BB187" s="81"/>
      <c r="BC187" s="81"/>
      <c r="BD187" s="81"/>
      <c r="BE187" s="91"/>
      <c r="BF187" s="81" t="s">
        <v>103</v>
      </c>
      <c r="BG187" s="89" t="n">
        <f aca="false" t="array" ref="BG187:BG187">IF(BF187="","",IFERROR(INDEX(Справочники!$B$4:$B$7,MATCH(BF187,Справочники!$A$4:$A$7,0)),""))</f>
        <v>68.5</v>
      </c>
      <c r="BH187" s="90" t="str">
        <f aca="false">IF(N(BN187)&gt;0,ROUND(SUMIF(ЗАКАЗЫ!$F$3:$F$500,$A187,ЗАКАЗЫ!$Y$3:$Y$500)/BN187,0),IF(OR(BE187="",BG187=""),"",ROUND(BE187*BG187*(1+Справочники!$B$10),0)))</f>
        <v/>
      </c>
      <c r="BI187" s="92" t="str">
        <f aca="false">IF(OR(AU187="",BH187="",AU187=0),"",(AU187-BH187)/AU187)</f>
        <v/>
      </c>
      <c r="BJ187" s="81"/>
      <c r="BK187" s="83"/>
      <c r="BL187" s="43" t="str">
        <f aca="false">IFERROR(INDEX(ЗАКАЗЫ!$N$3:$N$500,MATCH($A187,ЗАКАЗЫ!$F$3:$F$500,0)),"")</f>
        <v/>
      </c>
      <c r="BM187" s="8" t="str">
        <f aca="false">IF(BL187="","",IFERROR(VLOOKUP(BL187,'ТН ВЭД'!$A$4:$C$40,3,0),""))</f>
        <v/>
      </c>
      <c r="BN187" s="7" t="str">
        <f aca="false">IF(COUNTIF(ЗАКАЗЫ!$F$3:$F$500,$A187)=0,"",SUMIF(ЗАКАЗЫ!$F$3:$F$500,$A187,ЗАКАЗЫ!$J$3:$J$500))</f>
        <v/>
      </c>
      <c r="BO187" s="7" t="str">
        <f aca="false">IF(BN187="","",SUMIF(ЗАКАЗЫ!$F$3:$F$500,$A187,ЗАКАЗЫ!$AL$3:$AL$500))</f>
        <v/>
      </c>
      <c r="BP187" s="7" t="str">
        <f aca="false">IF(BN187="","",BN187-BO187)</f>
        <v/>
      </c>
      <c r="BQ187" s="55" t="str">
        <f aca="false">IF(BN187="","",IF(BO187&gt;=BN187,"На складе",IF(BO187&gt;0,"Частично","Ждём")))</f>
        <v/>
      </c>
      <c r="BR187" s="43"/>
      <c r="BS187" s="47" t="str">
        <f aca="false">IF(BN187="","",IF(_xlfn.MAXIFS(ЗАКАЗЫ!$AK$3:$AK$500,ЗАКАЗЫ!$F$3:$F$500,$A187)=0,"",_xlfn.MAXIFS(ЗАКАЗЫ!$AK$3:$AK$500,ЗАКАЗЫ!$F$3:$F$500,$A187)))</f>
        <v/>
      </c>
    </row>
    <row r="188" customFormat="false" ht="15.75" hidden="false" customHeight="true" outlineLevel="0" collapsed="false">
      <c r="A188" s="80" t="s">
        <v>2055</v>
      </c>
      <c r="B188" s="81"/>
      <c r="C188" s="81"/>
      <c r="D188" s="81"/>
      <c r="E188" s="83"/>
      <c r="F188" s="81"/>
      <c r="G188" s="83"/>
      <c r="H188" s="83"/>
      <c r="I188" s="84" t="str">
        <f aca="false">IF(E188="","",A188&amp;"_1.jpg")</f>
        <v/>
      </c>
      <c r="J188" s="84" t="str">
        <f aca="false">IF(E188="","",A188&amp;"_2.jpg; "&amp;A188&amp;"_3.jpg")</f>
        <v/>
      </c>
      <c r="K188" s="84" t="str">
        <f aca="false">IF(E188="","",A188&amp;"_schema.jpg")</f>
        <v/>
      </c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 t="s">
        <v>96</v>
      </c>
      <c r="W188" s="81"/>
      <c r="X188" s="81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6" t="str">
        <f aca="false">IF(SUM(Y188:AJ188)=0,"",SUM(Y188:AJ188))</f>
        <v/>
      </c>
      <c r="AL188" s="84" t="str">
        <f aca="false">MID(IF(N(Y188)&gt;0,", "&amp;Y$2,"")&amp;IF(N(Z188)&gt;0,", "&amp;Z$2,"")&amp;IF(N(AA188)&gt;0,", "&amp;AA$2,"")&amp;IF(N(AB188)&gt;0,", "&amp;AB$2,"")&amp;IF(N(AC188)&gt;0,", "&amp;AC$2,"")&amp;IF(N(AD188)&gt;0,", "&amp;AD$2,"")&amp;IF(N(AE188)&gt;0,", "&amp;AE$2,"")&amp;IF(N(AF188)&gt;0,", "&amp;AF$2,"")&amp;IF(N(AG188)&gt;0,", "&amp;AG$2,"")&amp;IF(N(AH188)&gt;0,", "&amp;AH$2,"")&amp;IF(N(AI188)&gt;0,", "&amp;AI$2,"")&amp;IF(N(AJ188)&gt;0,", "&amp;AJ$2,""),3,999)</f>
        <v/>
      </c>
      <c r="AM188" s="87" t="str">
        <f aca="false">IF(E188="","",MID(IF(N(Y188)&gt;0,", "&amp;A188&amp;"-"&amp;Y$2,"")&amp;IF(N(Z188)&gt;0,", "&amp;A188&amp;"-"&amp;Z$2,"")&amp;IF(N(AA188)&gt;0,", "&amp;A188&amp;"-"&amp;AA$2,"")&amp;IF(N(AB188)&gt;0,", "&amp;A188&amp;"-"&amp;AB$2,"")&amp;IF(N(AC188)&gt;0,", "&amp;A188&amp;"-"&amp;AC$2,"")&amp;IF(N(AD188)&gt;0,", "&amp;A188&amp;"-"&amp;AD$2,"")&amp;IF(N(AE188)&gt;0,", "&amp;A188&amp;"-"&amp;AE$2,"")&amp;IF(N(AF188)&gt;0,", "&amp;A188&amp;"-"&amp;AF$2,"")&amp;IF(N(AG188)&gt;0,", "&amp;A188&amp;"-"&amp;AG$2,"")&amp;IF(N(AH188)&gt;0,", "&amp;A188&amp;"-"&amp;AH$2,"")&amp;IF(N(AI188)&gt;0,", "&amp;A188&amp;"-"&amp;AI$2,"")&amp;IF(N(AJ188)&gt;0,", "&amp;A188&amp;"-"&amp;AJ$2,""),3,999))</f>
        <v/>
      </c>
      <c r="AN188" s="81"/>
      <c r="AO188" s="88"/>
      <c r="AP188" s="89" t="str">
        <f aca="false">IF(AO188="","",ROUND(AO188/(1+Справочники!$B$13),2))</f>
        <v/>
      </c>
      <c r="AQ188" s="90" t="str">
        <f aca="false" t="array" ref="AQ188:AQ188">IF(AP188="","",AP188*INDEX(Справочники!$B$4:$B$7,MATCH("RUB",Справочники!$A$4:$A$7,0)))</f>
        <v/>
      </c>
      <c r="AR188" s="90" t="str">
        <f aca="false">IF(AQ188="","",ROUND(AQ188*(1+Справочники!$B$12),0))</f>
        <v/>
      </c>
      <c r="AS188" s="90" t="str">
        <f aca="false">IF(AR188="","",ROUND(AR188*(1-Справочники!$B$11),0))</f>
        <v/>
      </c>
      <c r="AT188" s="88"/>
      <c r="AU188" s="90" t="str">
        <f aca="false">IF(AT188="","",ROUND(AT188/(1+Справочники!$B$12),0))</f>
        <v/>
      </c>
      <c r="AV188" s="90" t="str">
        <f aca="false">IF(AT188="","",ROUND(AT188*(1-Справочники!$B$15),0))</f>
        <v/>
      </c>
      <c r="AW188" s="90" t="str">
        <f aca="false">IF(AT188="","",ROUND(AT188*(1-Справочники!$B$16),0))</f>
        <v/>
      </c>
      <c r="AX188" s="90" t="str">
        <f aca="false">IF(AT188="","",ROUND(AT188*(1-Справочники!$B$17),0))</f>
        <v/>
      </c>
      <c r="AY188" s="90" t="str">
        <f aca="false">IF(AT188="","",ROUND(AT188*(1-Справочники!$B$18),0))</f>
        <v/>
      </c>
      <c r="AZ188" s="90" t="str">
        <f aca="false">IF(AT188="","",ROUND(AT188*(1-Справочники!$B$19),0))</f>
        <v/>
      </c>
      <c r="BA188" s="81"/>
      <c r="BB188" s="81"/>
      <c r="BC188" s="81"/>
      <c r="BD188" s="81"/>
      <c r="BE188" s="91"/>
      <c r="BF188" s="81" t="s">
        <v>103</v>
      </c>
      <c r="BG188" s="89" t="n">
        <f aca="false" t="array" ref="BG188:BG188">IF(BF188="","",IFERROR(INDEX(Справочники!$B$4:$B$7,MATCH(BF188,Справочники!$A$4:$A$7,0)),""))</f>
        <v>68.5</v>
      </c>
      <c r="BH188" s="90" t="str">
        <f aca="false">IF(N(BN188)&gt;0,ROUND(SUMIF(ЗАКАЗЫ!$F$3:$F$500,$A188,ЗАКАЗЫ!$Y$3:$Y$500)/BN188,0),IF(OR(BE188="",BG188=""),"",ROUND(BE188*BG188*(1+Справочники!$B$10),0)))</f>
        <v/>
      </c>
      <c r="BI188" s="92" t="str">
        <f aca="false">IF(OR(AU188="",BH188="",AU188=0),"",(AU188-BH188)/AU188)</f>
        <v/>
      </c>
      <c r="BJ188" s="81"/>
      <c r="BK188" s="83"/>
      <c r="BL188" s="43" t="str">
        <f aca="false">IFERROR(INDEX(ЗАКАЗЫ!$N$3:$N$500,MATCH($A188,ЗАКАЗЫ!$F$3:$F$500,0)),"")</f>
        <v/>
      </c>
      <c r="BM188" s="8" t="str">
        <f aca="false">IF(BL188="","",IFERROR(VLOOKUP(BL188,'ТН ВЭД'!$A$4:$C$40,3,0),""))</f>
        <v/>
      </c>
      <c r="BN188" s="7" t="str">
        <f aca="false">IF(COUNTIF(ЗАКАЗЫ!$F$3:$F$500,$A188)=0,"",SUMIF(ЗАКАЗЫ!$F$3:$F$500,$A188,ЗАКАЗЫ!$J$3:$J$500))</f>
        <v/>
      </c>
      <c r="BO188" s="7" t="str">
        <f aca="false">IF(BN188="","",SUMIF(ЗАКАЗЫ!$F$3:$F$500,$A188,ЗАКАЗЫ!$AL$3:$AL$500))</f>
        <v/>
      </c>
      <c r="BP188" s="7" t="str">
        <f aca="false">IF(BN188="","",BN188-BO188)</f>
        <v/>
      </c>
      <c r="BQ188" s="55" t="str">
        <f aca="false">IF(BN188="","",IF(BO188&gt;=BN188,"На складе",IF(BO188&gt;0,"Частично","Ждём")))</f>
        <v/>
      </c>
      <c r="BR188" s="43"/>
      <c r="BS188" s="47" t="str">
        <f aca="false">IF(BN188="","",IF(_xlfn.MAXIFS(ЗАКАЗЫ!$AK$3:$AK$500,ЗАКАЗЫ!$F$3:$F$500,$A188)=0,"",_xlfn.MAXIFS(ЗАКАЗЫ!$AK$3:$AK$500,ЗАКАЗЫ!$F$3:$F$500,$A188)))</f>
        <v/>
      </c>
    </row>
    <row r="189" customFormat="false" ht="15.75" hidden="false" customHeight="true" outlineLevel="0" collapsed="false">
      <c r="A189" s="80" t="s">
        <v>2056</v>
      </c>
      <c r="B189" s="81"/>
      <c r="C189" s="81"/>
      <c r="D189" s="81"/>
      <c r="E189" s="83"/>
      <c r="F189" s="81"/>
      <c r="G189" s="83"/>
      <c r="H189" s="83"/>
      <c r="I189" s="84" t="str">
        <f aca="false">IF(E189="","",A189&amp;"_1.jpg")</f>
        <v/>
      </c>
      <c r="J189" s="84" t="str">
        <f aca="false">IF(E189="","",A189&amp;"_2.jpg; "&amp;A189&amp;"_3.jpg")</f>
        <v/>
      </c>
      <c r="K189" s="84" t="str">
        <f aca="false">IF(E189="","",A189&amp;"_schema.jpg")</f>
        <v/>
      </c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 t="s">
        <v>96</v>
      </c>
      <c r="W189" s="81"/>
      <c r="X189" s="81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6" t="str">
        <f aca="false">IF(SUM(Y189:AJ189)=0,"",SUM(Y189:AJ189))</f>
        <v/>
      </c>
      <c r="AL189" s="84" t="str">
        <f aca="false">MID(IF(N(Y189)&gt;0,", "&amp;Y$2,"")&amp;IF(N(Z189)&gt;0,", "&amp;Z$2,"")&amp;IF(N(AA189)&gt;0,", "&amp;AA$2,"")&amp;IF(N(AB189)&gt;0,", "&amp;AB$2,"")&amp;IF(N(AC189)&gt;0,", "&amp;AC$2,"")&amp;IF(N(AD189)&gt;0,", "&amp;AD$2,"")&amp;IF(N(AE189)&gt;0,", "&amp;AE$2,"")&amp;IF(N(AF189)&gt;0,", "&amp;AF$2,"")&amp;IF(N(AG189)&gt;0,", "&amp;AG$2,"")&amp;IF(N(AH189)&gt;0,", "&amp;AH$2,"")&amp;IF(N(AI189)&gt;0,", "&amp;AI$2,"")&amp;IF(N(AJ189)&gt;0,", "&amp;AJ$2,""),3,999)</f>
        <v/>
      </c>
      <c r="AM189" s="87" t="str">
        <f aca="false">IF(E189="","",MID(IF(N(Y189)&gt;0,", "&amp;A189&amp;"-"&amp;Y$2,"")&amp;IF(N(Z189)&gt;0,", "&amp;A189&amp;"-"&amp;Z$2,"")&amp;IF(N(AA189)&gt;0,", "&amp;A189&amp;"-"&amp;AA$2,"")&amp;IF(N(AB189)&gt;0,", "&amp;A189&amp;"-"&amp;AB$2,"")&amp;IF(N(AC189)&gt;0,", "&amp;A189&amp;"-"&amp;AC$2,"")&amp;IF(N(AD189)&gt;0,", "&amp;A189&amp;"-"&amp;AD$2,"")&amp;IF(N(AE189)&gt;0,", "&amp;A189&amp;"-"&amp;AE$2,"")&amp;IF(N(AF189)&gt;0,", "&amp;A189&amp;"-"&amp;AF$2,"")&amp;IF(N(AG189)&gt;0,", "&amp;A189&amp;"-"&amp;AG$2,"")&amp;IF(N(AH189)&gt;0,", "&amp;A189&amp;"-"&amp;AH$2,"")&amp;IF(N(AI189)&gt;0,", "&amp;A189&amp;"-"&amp;AI$2,"")&amp;IF(N(AJ189)&gt;0,", "&amp;A189&amp;"-"&amp;AJ$2,""),3,999))</f>
        <v/>
      </c>
      <c r="AN189" s="81"/>
      <c r="AO189" s="88"/>
      <c r="AP189" s="89" t="str">
        <f aca="false">IF(AO189="","",ROUND(AO189/(1+Справочники!$B$13),2))</f>
        <v/>
      </c>
      <c r="AQ189" s="90" t="str">
        <f aca="false" t="array" ref="AQ189:AQ189">IF(AP189="","",AP189*INDEX(Справочники!$B$4:$B$7,MATCH("RUB",Справочники!$A$4:$A$7,0)))</f>
        <v/>
      </c>
      <c r="AR189" s="90" t="str">
        <f aca="false">IF(AQ189="","",ROUND(AQ189*(1+Справочники!$B$12),0))</f>
        <v/>
      </c>
      <c r="AS189" s="90" t="str">
        <f aca="false">IF(AR189="","",ROUND(AR189*(1-Справочники!$B$11),0))</f>
        <v/>
      </c>
      <c r="AT189" s="88"/>
      <c r="AU189" s="90" t="str">
        <f aca="false">IF(AT189="","",ROUND(AT189/(1+Справочники!$B$12),0))</f>
        <v/>
      </c>
      <c r="AV189" s="90" t="str">
        <f aca="false">IF(AT189="","",ROUND(AT189*(1-Справочники!$B$15),0))</f>
        <v/>
      </c>
      <c r="AW189" s="90" t="str">
        <f aca="false">IF(AT189="","",ROUND(AT189*(1-Справочники!$B$16),0))</f>
        <v/>
      </c>
      <c r="AX189" s="90" t="str">
        <f aca="false">IF(AT189="","",ROUND(AT189*(1-Справочники!$B$17),0))</f>
        <v/>
      </c>
      <c r="AY189" s="90" t="str">
        <f aca="false">IF(AT189="","",ROUND(AT189*(1-Справочники!$B$18),0))</f>
        <v/>
      </c>
      <c r="AZ189" s="90" t="str">
        <f aca="false">IF(AT189="","",ROUND(AT189*(1-Справочники!$B$19),0))</f>
        <v/>
      </c>
      <c r="BA189" s="81"/>
      <c r="BB189" s="81"/>
      <c r="BC189" s="81"/>
      <c r="BD189" s="81"/>
      <c r="BE189" s="91"/>
      <c r="BF189" s="81" t="s">
        <v>103</v>
      </c>
      <c r="BG189" s="89" t="n">
        <f aca="false" t="array" ref="BG189:BG189">IF(BF189="","",IFERROR(INDEX(Справочники!$B$4:$B$7,MATCH(BF189,Справочники!$A$4:$A$7,0)),""))</f>
        <v>68.5</v>
      </c>
      <c r="BH189" s="90" t="str">
        <f aca="false">IF(N(BN189)&gt;0,ROUND(SUMIF(ЗАКАЗЫ!$F$3:$F$500,$A189,ЗАКАЗЫ!$Y$3:$Y$500)/BN189,0),IF(OR(BE189="",BG189=""),"",ROUND(BE189*BG189*(1+Справочники!$B$10),0)))</f>
        <v/>
      </c>
      <c r="BI189" s="92" t="str">
        <f aca="false">IF(OR(AU189="",BH189="",AU189=0),"",(AU189-BH189)/AU189)</f>
        <v/>
      </c>
      <c r="BJ189" s="81"/>
      <c r="BK189" s="83"/>
      <c r="BL189" s="43" t="str">
        <f aca="false">IFERROR(INDEX(ЗАКАЗЫ!$N$3:$N$500,MATCH($A189,ЗАКАЗЫ!$F$3:$F$500,0)),"")</f>
        <v/>
      </c>
      <c r="BM189" s="8" t="str">
        <f aca="false">IF(BL189="","",IFERROR(VLOOKUP(BL189,'ТН ВЭД'!$A$4:$C$40,3,0),""))</f>
        <v/>
      </c>
      <c r="BN189" s="7" t="str">
        <f aca="false">IF(COUNTIF(ЗАКАЗЫ!$F$3:$F$500,$A189)=0,"",SUMIF(ЗАКАЗЫ!$F$3:$F$500,$A189,ЗАКАЗЫ!$J$3:$J$500))</f>
        <v/>
      </c>
      <c r="BO189" s="7" t="str">
        <f aca="false">IF(BN189="","",SUMIF(ЗАКАЗЫ!$F$3:$F$500,$A189,ЗАКАЗЫ!$AL$3:$AL$500))</f>
        <v/>
      </c>
      <c r="BP189" s="7" t="str">
        <f aca="false">IF(BN189="","",BN189-BO189)</f>
        <v/>
      </c>
      <c r="BQ189" s="55" t="str">
        <f aca="false">IF(BN189="","",IF(BO189&gt;=BN189,"На складе",IF(BO189&gt;0,"Частично","Ждём")))</f>
        <v/>
      </c>
      <c r="BR189" s="43"/>
      <c r="BS189" s="47" t="str">
        <f aca="false">IF(BN189="","",IF(_xlfn.MAXIFS(ЗАКАЗЫ!$AK$3:$AK$500,ЗАКАЗЫ!$F$3:$F$500,$A189)=0,"",_xlfn.MAXIFS(ЗАКАЗЫ!$AK$3:$AK$500,ЗАКАЗЫ!$F$3:$F$500,$A189)))</f>
        <v/>
      </c>
    </row>
    <row r="190" customFormat="false" ht="15.75" hidden="false" customHeight="true" outlineLevel="0" collapsed="false">
      <c r="A190" s="80" t="s">
        <v>2057</v>
      </c>
      <c r="B190" s="81"/>
      <c r="C190" s="81"/>
      <c r="D190" s="81"/>
      <c r="E190" s="83"/>
      <c r="F190" s="81"/>
      <c r="G190" s="83"/>
      <c r="H190" s="83"/>
      <c r="I190" s="84" t="str">
        <f aca="false">IF(E190="","",A190&amp;"_1.jpg")</f>
        <v/>
      </c>
      <c r="J190" s="84" t="str">
        <f aca="false">IF(E190="","",A190&amp;"_2.jpg; "&amp;A190&amp;"_3.jpg")</f>
        <v/>
      </c>
      <c r="K190" s="84" t="str">
        <f aca="false">IF(E190="","",A190&amp;"_schema.jpg")</f>
        <v/>
      </c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 t="s">
        <v>96</v>
      </c>
      <c r="W190" s="81"/>
      <c r="X190" s="81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6" t="str">
        <f aca="false">IF(SUM(Y190:AJ190)=0,"",SUM(Y190:AJ190))</f>
        <v/>
      </c>
      <c r="AL190" s="84" t="str">
        <f aca="false">MID(IF(N(Y190)&gt;0,", "&amp;Y$2,"")&amp;IF(N(Z190)&gt;0,", "&amp;Z$2,"")&amp;IF(N(AA190)&gt;0,", "&amp;AA$2,"")&amp;IF(N(AB190)&gt;0,", "&amp;AB$2,"")&amp;IF(N(AC190)&gt;0,", "&amp;AC$2,"")&amp;IF(N(AD190)&gt;0,", "&amp;AD$2,"")&amp;IF(N(AE190)&gt;0,", "&amp;AE$2,"")&amp;IF(N(AF190)&gt;0,", "&amp;AF$2,"")&amp;IF(N(AG190)&gt;0,", "&amp;AG$2,"")&amp;IF(N(AH190)&gt;0,", "&amp;AH$2,"")&amp;IF(N(AI190)&gt;0,", "&amp;AI$2,"")&amp;IF(N(AJ190)&gt;0,", "&amp;AJ$2,""),3,999)</f>
        <v/>
      </c>
      <c r="AM190" s="87" t="str">
        <f aca="false">IF(E190="","",MID(IF(N(Y190)&gt;0,", "&amp;A190&amp;"-"&amp;Y$2,"")&amp;IF(N(Z190)&gt;0,", "&amp;A190&amp;"-"&amp;Z$2,"")&amp;IF(N(AA190)&gt;0,", "&amp;A190&amp;"-"&amp;AA$2,"")&amp;IF(N(AB190)&gt;0,", "&amp;A190&amp;"-"&amp;AB$2,"")&amp;IF(N(AC190)&gt;0,", "&amp;A190&amp;"-"&amp;AC$2,"")&amp;IF(N(AD190)&gt;0,", "&amp;A190&amp;"-"&amp;AD$2,"")&amp;IF(N(AE190)&gt;0,", "&amp;A190&amp;"-"&amp;AE$2,"")&amp;IF(N(AF190)&gt;0,", "&amp;A190&amp;"-"&amp;AF$2,"")&amp;IF(N(AG190)&gt;0,", "&amp;A190&amp;"-"&amp;AG$2,"")&amp;IF(N(AH190)&gt;0,", "&amp;A190&amp;"-"&amp;AH$2,"")&amp;IF(N(AI190)&gt;0,", "&amp;A190&amp;"-"&amp;AI$2,"")&amp;IF(N(AJ190)&gt;0,", "&amp;A190&amp;"-"&amp;AJ$2,""),3,999))</f>
        <v/>
      </c>
      <c r="AN190" s="81"/>
      <c r="AO190" s="88"/>
      <c r="AP190" s="89" t="str">
        <f aca="false">IF(AO190="","",ROUND(AO190/(1+Справочники!$B$13),2))</f>
        <v/>
      </c>
      <c r="AQ190" s="90" t="str">
        <f aca="false" t="array" ref="AQ190:AQ190">IF(AP190="","",AP190*INDEX(Справочники!$B$4:$B$7,MATCH("RUB",Справочники!$A$4:$A$7,0)))</f>
        <v/>
      </c>
      <c r="AR190" s="90" t="str">
        <f aca="false">IF(AQ190="","",ROUND(AQ190*(1+Справочники!$B$12),0))</f>
        <v/>
      </c>
      <c r="AS190" s="90" t="str">
        <f aca="false">IF(AR190="","",ROUND(AR190*(1-Справочники!$B$11),0))</f>
        <v/>
      </c>
      <c r="AT190" s="88"/>
      <c r="AU190" s="90" t="str">
        <f aca="false">IF(AT190="","",ROUND(AT190/(1+Справочники!$B$12),0))</f>
        <v/>
      </c>
      <c r="AV190" s="90" t="str">
        <f aca="false">IF(AT190="","",ROUND(AT190*(1-Справочники!$B$15),0))</f>
        <v/>
      </c>
      <c r="AW190" s="90" t="str">
        <f aca="false">IF(AT190="","",ROUND(AT190*(1-Справочники!$B$16),0))</f>
        <v/>
      </c>
      <c r="AX190" s="90" t="str">
        <f aca="false">IF(AT190="","",ROUND(AT190*(1-Справочники!$B$17),0))</f>
        <v/>
      </c>
      <c r="AY190" s="90" t="str">
        <f aca="false">IF(AT190="","",ROUND(AT190*(1-Справочники!$B$18),0))</f>
        <v/>
      </c>
      <c r="AZ190" s="90" t="str">
        <f aca="false">IF(AT190="","",ROUND(AT190*(1-Справочники!$B$19),0))</f>
        <v/>
      </c>
      <c r="BA190" s="81"/>
      <c r="BB190" s="81"/>
      <c r="BC190" s="81"/>
      <c r="BD190" s="81"/>
      <c r="BE190" s="91"/>
      <c r="BF190" s="81" t="s">
        <v>103</v>
      </c>
      <c r="BG190" s="89" t="n">
        <f aca="false" t="array" ref="BG190:BG190">IF(BF190="","",IFERROR(INDEX(Справочники!$B$4:$B$7,MATCH(BF190,Справочники!$A$4:$A$7,0)),""))</f>
        <v>68.5</v>
      </c>
      <c r="BH190" s="90" t="str">
        <f aca="false">IF(N(BN190)&gt;0,ROUND(SUMIF(ЗАКАЗЫ!$F$3:$F$500,$A190,ЗАКАЗЫ!$Y$3:$Y$500)/BN190,0),IF(OR(BE190="",BG190=""),"",ROUND(BE190*BG190*(1+Справочники!$B$10),0)))</f>
        <v/>
      </c>
      <c r="BI190" s="92" t="str">
        <f aca="false">IF(OR(AU190="",BH190="",AU190=0),"",(AU190-BH190)/AU190)</f>
        <v/>
      </c>
      <c r="BJ190" s="81"/>
      <c r="BK190" s="83"/>
      <c r="BL190" s="43" t="str">
        <f aca="false">IFERROR(INDEX(ЗАКАЗЫ!$N$3:$N$500,MATCH($A190,ЗАКАЗЫ!$F$3:$F$500,0)),"")</f>
        <v/>
      </c>
      <c r="BM190" s="8" t="str">
        <f aca="false">IF(BL190="","",IFERROR(VLOOKUP(BL190,'ТН ВЭД'!$A$4:$C$40,3,0),""))</f>
        <v/>
      </c>
      <c r="BN190" s="7" t="str">
        <f aca="false">IF(COUNTIF(ЗАКАЗЫ!$F$3:$F$500,$A190)=0,"",SUMIF(ЗАКАЗЫ!$F$3:$F$500,$A190,ЗАКАЗЫ!$J$3:$J$500))</f>
        <v/>
      </c>
      <c r="BO190" s="7" t="str">
        <f aca="false">IF(BN190="","",SUMIF(ЗАКАЗЫ!$F$3:$F$500,$A190,ЗАКАЗЫ!$AL$3:$AL$500))</f>
        <v/>
      </c>
      <c r="BP190" s="7" t="str">
        <f aca="false">IF(BN190="","",BN190-BO190)</f>
        <v/>
      </c>
      <c r="BQ190" s="55" t="str">
        <f aca="false">IF(BN190="","",IF(BO190&gt;=BN190,"На складе",IF(BO190&gt;0,"Частично","Ждём")))</f>
        <v/>
      </c>
      <c r="BR190" s="43"/>
      <c r="BS190" s="47" t="str">
        <f aca="false">IF(BN190="","",IF(_xlfn.MAXIFS(ЗАКАЗЫ!$AK$3:$AK$500,ЗАКАЗЫ!$F$3:$F$500,$A190)=0,"",_xlfn.MAXIFS(ЗАКАЗЫ!$AK$3:$AK$500,ЗАКАЗЫ!$F$3:$F$500,$A190)))</f>
        <v/>
      </c>
    </row>
    <row r="191" customFormat="false" ht="15.75" hidden="false" customHeight="true" outlineLevel="0" collapsed="false">
      <c r="A191" s="80" t="s">
        <v>2058</v>
      </c>
      <c r="B191" s="81"/>
      <c r="C191" s="81"/>
      <c r="D191" s="81"/>
      <c r="E191" s="83"/>
      <c r="F191" s="81"/>
      <c r="G191" s="83"/>
      <c r="H191" s="83"/>
      <c r="I191" s="84" t="str">
        <f aca="false">IF(E191="","",A191&amp;"_1.jpg")</f>
        <v/>
      </c>
      <c r="J191" s="84" t="str">
        <f aca="false">IF(E191="","",A191&amp;"_2.jpg; "&amp;A191&amp;"_3.jpg")</f>
        <v/>
      </c>
      <c r="K191" s="84" t="str">
        <f aca="false">IF(E191="","",A191&amp;"_schema.jpg")</f>
        <v/>
      </c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 t="s">
        <v>96</v>
      </c>
      <c r="W191" s="81"/>
      <c r="X191" s="81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6" t="str">
        <f aca="false">IF(SUM(Y191:AJ191)=0,"",SUM(Y191:AJ191))</f>
        <v/>
      </c>
      <c r="AL191" s="84" t="str">
        <f aca="false">MID(IF(N(Y191)&gt;0,", "&amp;Y$2,"")&amp;IF(N(Z191)&gt;0,", "&amp;Z$2,"")&amp;IF(N(AA191)&gt;0,", "&amp;AA$2,"")&amp;IF(N(AB191)&gt;0,", "&amp;AB$2,"")&amp;IF(N(AC191)&gt;0,", "&amp;AC$2,"")&amp;IF(N(AD191)&gt;0,", "&amp;AD$2,"")&amp;IF(N(AE191)&gt;0,", "&amp;AE$2,"")&amp;IF(N(AF191)&gt;0,", "&amp;AF$2,"")&amp;IF(N(AG191)&gt;0,", "&amp;AG$2,"")&amp;IF(N(AH191)&gt;0,", "&amp;AH$2,"")&amp;IF(N(AI191)&gt;0,", "&amp;AI$2,"")&amp;IF(N(AJ191)&gt;0,", "&amp;AJ$2,""),3,999)</f>
        <v/>
      </c>
      <c r="AM191" s="87" t="str">
        <f aca="false">IF(E191="","",MID(IF(N(Y191)&gt;0,", "&amp;A191&amp;"-"&amp;Y$2,"")&amp;IF(N(Z191)&gt;0,", "&amp;A191&amp;"-"&amp;Z$2,"")&amp;IF(N(AA191)&gt;0,", "&amp;A191&amp;"-"&amp;AA$2,"")&amp;IF(N(AB191)&gt;0,", "&amp;A191&amp;"-"&amp;AB$2,"")&amp;IF(N(AC191)&gt;0,", "&amp;A191&amp;"-"&amp;AC$2,"")&amp;IF(N(AD191)&gt;0,", "&amp;A191&amp;"-"&amp;AD$2,"")&amp;IF(N(AE191)&gt;0,", "&amp;A191&amp;"-"&amp;AE$2,"")&amp;IF(N(AF191)&gt;0,", "&amp;A191&amp;"-"&amp;AF$2,"")&amp;IF(N(AG191)&gt;0,", "&amp;A191&amp;"-"&amp;AG$2,"")&amp;IF(N(AH191)&gt;0,", "&amp;A191&amp;"-"&amp;AH$2,"")&amp;IF(N(AI191)&gt;0,", "&amp;A191&amp;"-"&amp;AI$2,"")&amp;IF(N(AJ191)&gt;0,", "&amp;A191&amp;"-"&amp;AJ$2,""),3,999))</f>
        <v/>
      </c>
      <c r="AN191" s="81"/>
      <c r="AO191" s="88"/>
      <c r="AP191" s="89" t="str">
        <f aca="false">IF(AO191="","",ROUND(AO191/(1+Справочники!$B$13),2))</f>
        <v/>
      </c>
      <c r="AQ191" s="90" t="str">
        <f aca="false" t="array" ref="AQ191:AQ191">IF(AP191="","",AP191*INDEX(Справочники!$B$4:$B$7,MATCH("RUB",Справочники!$A$4:$A$7,0)))</f>
        <v/>
      </c>
      <c r="AR191" s="90" t="str">
        <f aca="false">IF(AQ191="","",ROUND(AQ191*(1+Справочники!$B$12),0))</f>
        <v/>
      </c>
      <c r="AS191" s="90" t="str">
        <f aca="false">IF(AR191="","",ROUND(AR191*(1-Справочники!$B$11),0))</f>
        <v/>
      </c>
      <c r="AT191" s="88"/>
      <c r="AU191" s="90" t="str">
        <f aca="false">IF(AT191="","",ROUND(AT191/(1+Справочники!$B$12),0))</f>
        <v/>
      </c>
      <c r="AV191" s="90" t="str">
        <f aca="false">IF(AT191="","",ROUND(AT191*(1-Справочники!$B$15),0))</f>
        <v/>
      </c>
      <c r="AW191" s="90" t="str">
        <f aca="false">IF(AT191="","",ROUND(AT191*(1-Справочники!$B$16),0))</f>
        <v/>
      </c>
      <c r="AX191" s="90" t="str">
        <f aca="false">IF(AT191="","",ROUND(AT191*(1-Справочники!$B$17),0))</f>
        <v/>
      </c>
      <c r="AY191" s="90" t="str">
        <f aca="false">IF(AT191="","",ROUND(AT191*(1-Справочники!$B$18),0))</f>
        <v/>
      </c>
      <c r="AZ191" s="90" t="str">
        <f aca="false">IF(AT191="","",ROUND(AT191*(1-Справочники!$B$19),0))</f>
        <v/>
      </c>
      <c r="BA191" s="81"/>
      <c r="BB191" s="81"/>
      <c r="BC191" s="81"/>
      <c r="BD191" s="81"/>
      <c r="BE191" s="91"/>
      <c r="BF191" s="81" t="s">
        <v>103</v>
      </c>
      <c r="BG191" s="89" t="n">
        <f aca="false" t="array" ref="BG191:BG191">IF(BF191="","",IFERROR(INDEX(Справочники!$B$4:$B$7,MATCH(BF191,Справочники!$A$4:$A$7,0)),""))</f>
        <v>68.5</v>
      </c>
      <c r="BH191" s="90" t="str">
        <f aca="false">IF(N(BN191)&gt;0,ROUND(SUMIF(ЗАКАЗЫ!$F$3:$F$500,$A191,ЗАКАЗЫ!$Y$3:$Y$500)/BN191,0),IF(OR(BE191="",BG191=""),"",ROUND(BE191*BG191*(1+Справочники!$B$10),0)))</f>
        <v/>
      </c>
      <c r="BI191" s="92" t="str">
        <f aca="false">IF(OR(AU191="",BH191="",AU191=0),"",(AU191-BH191)/AU191)</f>
        <v/>
      </c>
      <c r="BJ191" s="81"/>
      <c r="BK191" s="83"/>
      <c r="BL191" s="43" t="str">
        <f aca="false">IFERROR(INDEX(ЗАКАЗЫ!$N$3:$N$500,MATCH($A191,ЗАКАЗЫ!$F$3:$F$500,0)),"")</f>
        <v/>
      </c>
      <c r="BM191" s="8" t="str">
        <f aca="false">IF(BL191="","",IFERROR(VLOOKUP(BL191,'ТН ВЭД'!$A$4:$C$40,3,0),""))</f>
        <v/>
      </c>
      <c r="BN191" s="7" t="str">
        <f aca="false">IF(COUNTIF(ЗАКАЗЫ!$F$3:$F$500,$A191)=0,"",SUMIF(ЗАКАЗЫ!$F$3:$F$500,$A191,ЗАКАЗЫ!$J$3:$J$500))</f>
        <v/>
      </c>
      <c r="BO191" s="7" t="str">
        <f aca="false">IF(BN191="","",SUMIF(ЗАКАЗЫ!$F$3:$F$500,$A191,ЗАКАЗЫ!$AL$3:$AL$500))</f>
        <v/>
      </c>
      <c r="BP191" s="7" t="str">
        <f aca="false">IF(BN191="","",BN191-BO191)</f>
        <v/>
      </c>
      <c r="BQ191" s="55" t="str">
        <f aca="false">IF(BN191="","",IF(BO191&gt;=BN191,"На складе",IF(BO191&gt;0,"Частично","Ждём")))</f>
        <v/>
      </c>
      <c r="BR191" s="43"/>
      <c r="BS191" s="47" t="str">
        <f aca="false">IF(BN191="","",IF(_xlfn.MAXIFS(ЗАКАЗЫ!$AK$3:$AK$500,ЗАКАЗЫ!$F$3:$F$500,$A191)=0,"",_xlfn.MAXIFS(ЗАКАЗЫ!$AK$3:$AK$500,ЗАКАЗЫ!$F$3:$F$500,$A191)))</f>
        <v/>
      </c>
    </row>
    <row r="192" customFormat="false" ht="15.75" hidden="false" customHeight="true" outlineLevel="0" collapsed="false">
      <c r="A192" s="80" t="s">
        <v>2059</v>
      </c>
      <c r="B192" s="81"/>
      <c r="C192" s="81"/>
      <c r="D192" s="81"/>
      <c r="E192" s="83"/>
      <c r="F192" s="81"/>
      <c r="G192" s="83"/>
      <c r="H192" s="83"/>
      <c r="I192" s="84" t="str">
        <f aca="false">IF(E192="","",A192&amp;"_1.jpg")</f>
        <v/>
      </c>
      <c r="J192" s="84" t="str">
        <f aca="false">IF(E192="","",A192&amp;"_2.jpg; "&amp;A192&amp;"_3.jpg")</f>
        <v/>
      </c>
      <c r="K192" s="84" t="str">
        <f aca="false">IF(E192="","",A192&amp;"_schema.jpg")</f>
        <v/>
      </c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 t="s">
        <v>96</v>
      </c>
      <c r="W192" s="81"/>
      <c r="X192" s="81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6" t="str">
        <f aca="false">IF(SUM(Y192:AJ192)=0,"",SUM(Y192:AJ192))</f>
        <v/>
      </c>
      <c r="AL192" s="84" t="str">
        <f aca="false">MID(IF(N(Y192)&gt;0,", "&amp;Y$2,"")&amp;IF(N(Z192)&gt;0,", "&amp;Z$2,"")&amp;IF(N(AA192)&gt;0,", "&amp;AA$2,"")&amp;IF(N(AB192)&gt;0,", "&amp;AB$2,"")&amp;IF(N(AC192)&gt;0,", "&amp;AC$2,"")&amp;IF(N(AD192)&gt;0,", "&amp;AD$2,"")&amp;IF(N(AE192)&gt;0,", "&amp;AE$2,"")&amp;IF(N(AF192)&gt;0,", "&amp;AF$2,"")&amp;IF(N(AG192)&gt;0,", "&amp;AG$2,"")&amp;IF(N(AH192)&gt;0,", "&amp;AH$2,"")&amp;IF(N(AI192)&gt;0,", "&amp;AI$2,"")&amp;IF(N(AJ192)&gt;0,", "&amp;AJ$2,""),3,999)</f>
        <v/>
      </c>
      <c r="AM192" s="87" t="str">
        <f aca="false">IF(E192="","",MID(IF(N(Y192)&gt;0,", "&amp;A192&amp;"-"&amp;Y$2,"")&amp;IF(N(Z192)&gt;0,", "&amp;A192&amp;"-"&amp;Z$2,"")&amp;IF(N(AA192)&gt;0,", "&amp;A192&amp;"-"&amp;AA$2,"")&amp;IF(N(AB192)&gt;0,", "&amp;A192&amp;"-"&amp;AB$2,"")&amp;IF(N(AC192)&gt;0,", "&amp;A192&amp;"-"&amp;AC$2,"")&amp;IF(N(AD192)&gt;0,", "&amp;A192&amp;"-"&amp;AD$2,"")&amp;IF(N(AE192)&gt;0,", "&amp;A192&amp;"-"&amp;AE$2,"")&amp;IF(N(AF192)&gt;0,", "&amp;A192&amp;"-"&amp;AF$2,"")&amp;IF(N(AG192)&gt;0,", "&amp;A192&amp;"-"&amp;AG$2,"")&amp;IF(N(AH192)&gt;0,", "&amp;A192&amp;"-"&amp;AH$2,"")&amp;IF(N(AI192)&gt;0,", "&amp;A192&amp;"-"&amp;AI$2,"")&amp;IF(N(AJ192)&gt;0,", "&amp;A192&amp;"-"&amp;AJ$2,""),3,999))</f>
        <v/>
      </c>
      <c r="AN192" s="81"/>
      <c r="AO192" s="88"/>
      <c r="AP192" s="89" t="str">
        <f aca="false">IF(AO192="","",ROUND(AO192/(1+Справочники!$B$13),2))</f>
        <v/>
      </c>
      <c r="AQ192" s="90" t="str">
        <f aca="false" t="array" ref="AQ192:AQ192">IF(AP192="","",AP192*INDEX(Справочники!$B$4:$B$7,MATCH("RUB",Справочники!$A$4:$A$7,0)))</f>
        <v/>
      </c>
      <c r="AR192" s="90" t="str">
        <f aca="false">IF(AQ192="","",ROUND(AQ192*(1+Справочники!$B$12),0))</f>
        <v/>
      </c>
      <c r="AS192" s="90" t="str">
        <f aca="false">IF(AR192="","",ROUND(AR192*(1-Справочники!$B$11),0))</f>
        <v/>
      </c>
      <c r="AT192" s="88"/>
      <c r="AU192" s="90" t="str">
        <f aca="false">IF(AT192="","",ROUND(AT192/(1+Справочники!$B$12),0))</f>
        <v/>
      </c>
      <c r="AV192" s="90" t="str">
        <f aca="false">IF(AT192="","",ROUND(AT192*(1-Справочники!$B$15),0))</f>
        <v/>
      </c>
      <c r="AW192" s="90" t="str">
        <f aca="false">IF(AT192="","",ROUND(AT192*(1-Справочники!$B$16),0))</f>
        <v/>
      </c>
      <c r="AX192" s="90" t="str">
        <f aca="false">IF(AT192="","",ROUND(AT192*(1-Справочники!$B$17),0))</f>
        <v/>
      </c>
      <c r="AY192" s="90" t="str">
        <f aca="false">IF(AT192="","",ROUND(AT192*(1-Справочники!$B$18),0))</f>
        <v/>
      </c>
      <c r="AZ192" s="90" t="str">
        <f aca="false">IF(AT192="","",ROUND(AT192*(1-Справочники!$B$19),0))</f>
        <v/>
      </c>
      <c r="BA192" s="81"/>
      <c r="BB192" s="81"/>
      <c r="BC192" s="81"/>
      <c r="BD192" s="81"/>
      <c r="BE192" s="91"/>
      <c r="BF192" s="81" t="s">
        <v>103</v>
      </c>
      <c r="BG192" s="89" t="n">
        <f aca="false" t="array" ref="BG192:BG192">IF(BF192="","",IFERROR(INDEX(Справочники!$B$4:$B$7,MATCH(BF192,Справочники!$A$4:$A$7,0)),""))</f>
        <v>68.5</v>
      </c>
      <c r="BH192" s="90" t="str">
        <f aca="false">IF(N(BN192)&gt;0,ROUND(SUMIF(ЗАКАЗЫ!$F$3:$F$500,$A192,ЗАКАЗЫ!$Y$3:$Y$500)/BN192,0),IF(OR(BE192="",BG192=""),"",ROUND(BE192*BG192*(1+Справочники!$B$10),0)))</f>
        <v/>
      </c>
      <c r="BI192" s="92" t="str">
        <f aca="false">IF(OR(AU192="",BH192="",AU192=0),"",(AU192-BH192)/AU192)</f>
        <v/>
      </c>
      <c r="BJ192" s="81"/>
      <c r="BK192" s="83"/>
      <c r="BL192" s="43" t="str">
        <f aca="false">IFERROR(INDEX(ЗАКАЗЫ!$N$3:$N$500,MATCH($A192,ЗАКАЗЫ!$F$3:$F$500,0)),"")</f>
        <v/>
      </c>
      <c r="BM192" s="8" t="str">
        <f aca="false">IF(BL192="","",IFERROR(VLOOKUP(BL192,'ТН ВЭД'!$A$4:$C$40,3,0),""))</f>
        <v/>
      </c>
      <c r="BN192" s="7" t="str">
        <f aca="false">IF(COUNTIF(ЗАКАЗЫ!$F$3:$F$500,$A192)=0,"",SUMIF(ЗАКАЗЫ!$F$3:$F$500,$A192,ЗАКАЗЫ!$J$3:$J$500))</f>
        <v/>
      </c>
      <c r="BO192" s="7" t="str">
        <f aca="false">IF(BN192="","",SUMIF(ЗАКАЗЫ!$F$3:$F$500,$A192,ЗАКАЗЫ!$AL$3:$AL$500))</f>
        <v/>
      </c>
      <c r="BP192" s="7" t="str">
        <f aca="false">IF(BN192="","",BN192-BO192)</f>
        <v/>
      </c>
      <c r="BQ192" s="55" t="str">
        <f aca="false">IF(BN192="","",IF(BO192&gt;=BN192,"На складе",IF(BO192&gt;0,"Частично","Ждём")))</f>
        <v/>
      </c>
      <c r="BR192" s="43"/>
      <c r="BS192" s="47" t="str">
        <f aca="false">IF(BN192="","",IF(_xlfn.MAXIFS(ЗАКАЗЫ!$AK$3:$AK$500,ЗАКАЗЫ!$F$3:$F$500,$A192)=0,"",_xlfn.MAXIFS(ЗАКАЗЫ!$AK$3:$AK$500,ЗАКАЗЫ!$F$3:$F$500,$A192)))</f>
        <v/>
      </c>
    </row>
    <row r="193" customFormat="false" ht="15.75" hidden="false" customHeight="true" outlineLevel="0" collapsed="false">
      <c r="A193" s="80" t="s">
        <v>2060</v>
      </c>
      <c r="B193" s="81"/>
      <c r="C193" s="81"/>
      <c r="D193" s="81"/>
      <c r="E193" s="83"/>
      <c r="F193" s="81"/>
      <c r="G193" s="83"/>
      <c r="H193" s="83"/>
      <c r="I193" s="84" t="str">
        <f aca="false">IF(E193="","",A193&amp;"_1.jpg")</f>
        <v/>
      </c>
      <c r="J193" s="84" t="str">
        <f aca="false">IF(E193="","",A193&amp;"_2.jpg; "&amp;A193&amp;"_3.jpg")</f>
        <v/>
      </c>
      <c r="K193" s="84" t="str">
        <f aca="false">IF(E193="","",A193&amp;"_schema.jpg")</f>
        <v/>
      </c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 t="s">
        <v>96</v>
      </c>
      <c r="W193" s="81"/>
      <c r="X193" s="81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6" t="str">
        <f aca="false">IF(SUM(Y193:AJ193)=0,"",SUM(Y193:AJ193))</f>
        <v/>
      </c>
      <c r="AL193" s="84" t="str">
        <f aca="false">MID(IF(N(Y193)&gt;0,", "&amp;Y$2,"")&amp;IF(N(Z193)&gt;0,", "&amp;Z$2,"")&amp;IF(N(AA193)&gt;0,", "&amp;AA$2,"")&amp;IF(N(AB193)&gt;0,", "&amp;AB$2,"")&amp;IF(N(AC193)&gt;0,", "&amp;AC$2,"")&amp;IF(N(AD193)&gt;0,", "&amp;AD$2,"")&amp;IF(N(AE193)&gt;0,", "&amp;AE$2,"")&amp;IF(N(AF193)&gt;0,", "&amp;AF$2,"")&amp;IF(N(AG193)&gt;0,", "&amp;AG$2,"")&amp;IF(N(AH193)&gt;0,", "&amp;AH$2,"")&amp;IF(N(AI193)&gt;0,", "&amp;AI$2,"")&amp;IF(N(AJ193)&gt;0,", "&amp;AJ$2,""),3,999)</f>
        <v/>
      </c>
      <c r="AM193" s="87" t="str">
        <f aca="false">IF(E193="","",MID(IF(N(Y193)&gt;0,", "&amp;A193&amp;"-"&amp;Y$2,"")&amp;IF(N(Z193)&gt;0,", "&amp;A193&amp;"-"&amp;Z$2,"")&amp;IF(N(AA193)&gt;0,", "&amp;A193&amp;"-"&amp;AA$2,"")&amp;IF(N(AB193)&gt;0,", "&amp;A193&amp;"-"&amp;AB$2,"")&amp;IF(N(AC193)&gt;0,", "&amp;A193&amp;"-"&amp;AC$2,"")&amp;IF(N(AD193)&gt;0,", "&amp;A193&amp;"-"&amp;AD$2,"")&amp;IF(N(AE193)&gt;0,", "&amp;A193&amp;"-"&amp;AE$2,"")&amp;IF(N(AF193)&gt;0,", "&amp;A193&amp;"-"&amp;AF$2,"")&amp;IF(N(AG193)&gt;0,", "&amp;A193&amp;"-"&amp;AG$2,"")&amp;IF(N(AH193)&gt;0,", "&amp;A193&amp;"-"&amp;AH$2,"")&amp;IF(N(AI193)&gt;0,", "&amp;A193&amp;"-"&amp;AI$2,"")&amp;IF(N(AJ193)&gt;0,", "&amp;A193&amp;"-"&amp;AJ$2,""),3,999))</f>
        <v/>
      </c>
      <c r="AN193" s="81"/>
      <c r="AO193" s="88"/>
      <c r="AP193" s="89" t="str">
        <f aca="false">IF(AO193="","",ROUND(AO193/(1+Справочники!$B$13),2))</f>
        <v/>
      </c>
      <c r="AQ193" s="90" t="str">
        <f aca="false" t="array" ref="AQ193:AQ193">IF(AP193="","",AP193*INDEX(Справочники!$B$4:$B$7,MATCH("RUB",Справочники!$A$4:$A$7,0)))</f>
        <v/>
      </c>
      <c r="AR193" s="90" t="str">
        <f aca="false">IF(AQ193="","",ROUND(AQ193*(1+Справочники!$B$12),0))</f>
        <v/>
      </c>
      <c r="AS193" s="90" t="str">
        <f aca="false">IF(AR193="","",ROUND(AR193*(1-Справочники!$B$11),0))</f>
        <v/>
      </c>
      <c r="AT193" s="88"/>
      <c r="AU193" s="90" t="str">
        <f aca="false">IF(AT193="","",ROUND(AT193/(1+Справочники!$B$12),0))</f>
        <v/>
      </c>
      <c r="AV193" s="90" t="str">
        <f aca="false">IF(AT193="","",ROUND(AT193*(1-Справочники!$B$15),0))</f>
        <v/>
      </c>
      <c r="AW193" s="90" t="str">
        <f aca="false">IF(AT193="","",ROUND(AT193*(1-Справочники!$B$16),0))</f>
        <v/>
      </c>
      <c r="AX193" s="90" t="str">
        <f aca="false">IF(AT193="","",ROUND(AT193*(1-Справочники!$B$17),0))</f>
        <v/>
      </c>
      <c r="AY193" s="90" t="str">
        <f aca="false">IF(AT193="","",ROUND(AT193*(1-Справочники!$B$18),0))</f>
        <v/>
      </c>
      <c r="AZ193" s="90" t="str">
        <f aca="false">IF(AT193="","",ROUND(AT193*(1-Справочники!$B$19),0))</f>
        <v/>
      </c>
      <c r="BA193" s="81"/>
      <c r="BB193" s="81"/>
      <c r="BC193" s="81"/>
      <c r="BD193" s="81"/>
      <c r="BE193" s="91"/>
      <c r="BF193" s="81" t="s">
        <v>103</v>
      </c>
      <c r="BG193" s="89" t="n">
        <f aca="false" t="array" ref="BG193:BG193">IF(BF193="","",IFERROR(INDEX(Справочники!$B$4:$B$7,MATCH(BF193,Справочники!$A$4:$A$7,0)),""))</f>
        <v>68.5</v>
      </c>
      <c r="BH193" s="90" t="str">
        <f aca="false">IF(N(BN193)&gt;0,ROUND(SUMIF(ЗАКАЗЫ!$F$3:$F$500,$A193,ЗАКАЗЫ!$Y$3:$Y$500)/BN193,0),IF(OR(BE193="",BG193=""),"",ROUND(BE193*BG193*(1+Справочники!$B$10),0)))</f>
        <v/>
      </c>
      <c r="BI193" s="92" t="str">
        <f aca="false">IF(OR(AU193="",BH193="",AU193=0),"",(AU193-BH193)/AU193)</f>
        <v/>
      </c>
      <c r="BJ193" s="81"/>
      <c r="BK193" s="83"/>
      <c r="BL193" s="43" t="str">
        <f aca="false">IFERROR(INDEX(ЗАКАЗЫ!$N$3:$N$500,MATCH($A193,ЗАКАЗЫ!$F$3:$F$500,0)),"")</f>
        <v/>
      </c>
      <c r="BM193" s="8" t="str">
        <f aca="false">IF(BL193="","",IFERROR(VLOOKUP(BL193,'ТН ВЭД'!$A$4:$C$40,3,0),""))</f>
        <v/>
      </c>
      <c r="BN193" s="7" t="str">
        <f aca="false">IF(COUNTIF(ЗАКАЗЫ!$F$3:$F$500,$A193)=0,"",SUMIF(ЗАКАЗЫ!$F$3:$F$500,$A193,ЗАКАЗЫ!$J$3:$J$500))</f>
        <v/>
      </c>
      <c r="BO193" s="7" t="str">
        <f aca="false">IF(BN193="","",SUMIF(ЗАКАЗЫ!$F$3:$F$500,$A193,ЗАКАЗЫ!$AL$3:$AL$500))</f>
        <v/>
      </c>
      <c r="BP193" s="7" t="str">
        <f aca="false">IF(BN193="","",BN193-BO193)</f>
        <v/>
      </c>
      <c r="BQ193" s="55" t="str">
        <f aca="false">IF(BN193="","",IF(BO193&gt;=BN193,"На складе",IF(BO193&gt;0,"Частично","Ждём")))</f>
        <v/>
      </c>
      <c r="BR193" s="43"/>
      <c r="BS193" s="47" t="str">
        <f aca="false">IF(BN193="","",IF(_xlfn.MAXIFS(ЗАКАЗЫ!$AK$3:$AK$500,ЗАКАЗЫ!$F$3:$F$500,$A193)=0,"",_xlfn.MAXIFS(ЗАКАЗЫ!$AK$3:$AK$500,ЗАКАЗЫ!$F$3:$F$500,$A193)))</f>
        <v/>
      </c>
    </row>
    <row r="194" customFormat="false" ht="15.75" hidden="false" customHeight="true" outlineLevel="0" collapsed="false">
      <c r="A194" s="80" t="s">
        <v>2061</v>
      </c>
      <c r="B194" s="81"/>
      <c r="C194" s="81"/>
      <c r="D194" s="81"/>
      <c r="E194" s="83"/>
      <c r="F194" s="81"/>
      <c r="G194" s="83"/>
      <c r="H194" s="83"/>
      <c r="I194" s="84" t="str">
        <f aca="false">IF(E194="","",A194&amp;"_1.jpg")</f>
        <v/>
      </c>
      <c r="J194" s="84" t="str">
        <f aca="false">IF(E194="","",A194&amp;"_2.jpg; "&amp;A194&amp;"_3.jpg")</f>
        <v/>
      </c>
      <c r="K194" s="84" t="str">
        <f aca="false">IF(E194="","",A194&amp;"_schema.jpg")</f>
        <v/>
      </c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 t="s">
        <v>96</v>
      </c>
      <c r="W194" s="81"/>
      <c r="X194" s="81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6" t="str">
        <f aca="false">IF(SUM(Y194:AJ194)=0,"",SUM(Y194:AJ194))</f>
        <v/>
      </c>
      <c r="AL194" s="84" t="str">
        <f aca="false">MID(IF(N(Y194)&gt;0,", "&amp;Y$2,"")&amp;IF(N(Z194)&gt;0,", "&amp;Z$2,"")&amp;IF(N(AA194)&gt;0,", "&amp;AA$2,"")&amp;IF(N(AB194)&gt;0,", "&amp;AB$2,"")&amp;IF(N(AC194)&gt;0,", "&amp;AC$2,"")&amp;IF(N(AD194)&gt;0,", "&amp;AD$2,"")&amp;IF(N(AE194)&gt;0,", "&amp;AE$2,"")&amp;IF(N(AF194)&gt;0,", "&amp;AF$2,"")&amp;IF(N(AG194)&gt;0,", "&amp;AG$2,"")&amp;IF(N(AH194)&gt;0,", "&amp;AH$2,"")&amp;IF(N(AI194)&gt;0,", "&amp;AI$2,"")&amp;IF(N(AJ194)&gt;0,", "&amp;AJ$2,""),3,999)</f>
        <v/>
      </c>
      <c r="AM194" s="87" t="str">
        <f aca="false">IF(E194="","",MID(IF(N(Y194)&gt;0,", "&amp;A194&amp;"-"&amp;Y$2,"")&amp;IF(N(Z194)&gt;0,", "&amp;A194&amp;"-"&amp;Z$2,"")&amp;IF(N(AA194)&gt;0,", "&amp;A194&amp;"-"&amp;AA$2,"")&amp;IF(N(AB194)&gt;0,", "&amp;A194&amp;"-"&amp;AB$2,"")&amp;IF(N(AC194)&gt;0,", "&amp;A194&amp;"-"&amp;AC$2,"")&amp;IF(N(AD194)&gt;0,", "&amp;A194&amp;"-"&amp;AD$2,"")&amp;IF(N(AE194)&gt;0,", "&amp;A194&amp;"-"&amp;AE$2,"")&amp;IF(N(AF194)&gt;0,", "&amp;A194&amp;"-"&amp;AF$2,"")&amp;IF(N(AG194)&gt;0,", "&amp;A194&amp;"-"&amp;AG$2,"")&amp;IF(N(AH194)&gt;0,", "&amp;A194&amp;"-"&amp;AH$2,"")&amp;IF(N(AI194)&gt;0,", "&amp;A194&amp;"-"&amp;AI$2,"")&amp;IF(N(AJ194)&gt;0,", "&amp;A194&amp;"-"&amp;AJ$2,""),3,999))</f>
        <v/>
      </c>
      <c r="AN194" s="81"/>
      <c r="AO194" s="88"/>
      <c r="AP194" s="89" t="str">
        <f aca="false">IF(AO194="","",ROUND(AO194/(1+Справочники!$B$13),2))</f>
        <v/>
      </c>
      <c r="AQ194" s="90" t="str">
        <f aca="false" t="array" ref="AQ194:AQ194">IF(AP194="","",AP194*INDEX(Справочники!$B$4:$B$7,MATCH("RUB",Справочники!$A$4:$A$7,0)))</f>
        <v/>
      </c>
      <c r="AR194" s="90" t="str">
        <f aca="false">IF(AQ194="","",ROUND(AQ194*(1+Справочники!$B$12),0))</f>
        <v/>
      </c>
      <c r="AS194" s="90" t="str">
        <f aca="false">IF(AR194="","",ROUND(AR194*(1-Справочники!$B$11),0))</f>
        <v/>
      </c>
      <c r="AT194" s="88"/>
      <c r="AU194" s="90" t="str">
        <f aca="false">IF(AT194="","",ROUND(AT194/(1+Справочники!$B$12),0))</f>
        <v/>
      </c>
      <c r="AV194" s="90" t="str">
        <f aca="false">IF(AT194="","",ROUND(AT194*(1-Справочники!$B$15),0))</f>
        <v/>
      </c>
      <c r="AW194" s="90" t="str">
        <f aca="false">IF(AT194="","",ROUND(AT194*(1-Справочники!$B$16),0))</f>
        <v/>
      </c>
      <c r="AX194" s="90" t="str">
        <f aca="false">IF(AT194="","",ROUND(AT194*(1-Справочники!$B$17),0))</f>
        <v/>
      </c>
      <c r="AY194" s="90" t="str">
        <f aca="false">IF(AT194="","",ROUND(AT194*(1-Справочники!$B$18),0))</f>
        <v/>
      </c>
      <c r="AZ194" s="90" t="str">
        <f aca="false">IF(AT194="","",ROUND(AT194*(1-Справочники!$B$19),0))</f>
        <v/>
      </c>
      <c r="BA194" s="81"/>
      <c r="BB194" s="81"/>
      <c r="BC194" s="81"/>
      <c r="BD194" s="81"/>
      <c r="BE194" s="91"/>
      <c r="BF194" s="81" t="s">
        <v>103</v>
      </c>
      <c r="BG194" s="89" t="n">
        <f aca="false" t="array" ref="BG194:BG194">IF(BF194="","",IFERROR(INDEX(Справочники!$B$4:$B$7,MATCH(BF194,Справочники!$A$4:$A$7,0)),""))</f>
        <v>68.5</v>
      </c>
      <c r="BH194" s="90" t="str">
        <f aca="false">IF(N(BN194)&gt;0,ROUND(SUMIF(ЗАКАЗЫ!$F$3:$F$500,$A194,ЗАКАЗЫ!$Y$3:$Y$500)/BN194,0),IF(OR(BE194="",BG194=""),"",ROUND(BE194*BG194*(1+Справочники!$B$10),0)))</f>
        <v/>
      </c>
      <c r="BI194" s="92" t="str">
        <f aca="false">IF(OR(AU194="",BH194="",AU194=0),"",(AU194-BH194)/AU194)</f>
        <v/>
      </c>
      <c r="BJ194" s="81"/>
      <c r="BK194" s="83"/>
      <c r="BL194" s="43" t="str">
        <f aca="false">IFERROR(INDEX(ЗАКАЗЫ!$N$3:$N$500,MATCH($A194,ЗАКАЗЫ!$F$3:$F$500,0)),"")</f>
        <v/>
      </c>
      <c r="BM194" s="8" t="str">
        <f aca="false">IF(BL194="","",IFERROR(VLOOKUP(BL194,'ТН ВЭД'!$A$4:$C$40,3,0),""))</f>
        <v/>
      </c>
      <c r="BN194" s="7" t="str">
        <f aca="false">IF(COUNTIF(ЗАКАЗЫ!$F$3:$F$500,$A194)=0,"",SUMIF(ЗАКАЗЫ!$F$3:$F$500,$A194,ЗАКАЗЫ!$J$3:$J$500))</f>
        <v/>
      </c>
      <c r="BO194" s="7" t="str">
        <f aca="false">IF(BN194="","",SUMIF(ЗАКАЗЫ!$F$3:$F$500,$A194,ЗАКАЗЫ!$AL$3:$AL$500))</f>
        <v/>
      </c>
      <c r="BP194" s="7" t="str">
        <f aca="false">IF(BN194="","",BN194-BO194)</f>
        <v/>
      </c>
      <c r="BQ194" s="55" t="str">
        <f aca="false">IF(BN194="","",IF(BO194&gt;=BN194,"На складе",IF(BO194&gt;0,"Частично","Ждём")))</f>
        <v/>
      </c>
      <c r="BR194" s="43"/>
      <c r="BS194" s="47" t="str">
        <f aca="false">IF(BN194="","",IF(_xlfn.MAXIFS(ЗАКАЗЫ!$AK$3:$AK$500,ЗАКАЗЫ!$F$3:$F$500,$A194)=0,"",_xlfn.MAXIFS(ЗАКАЗЫ!$AK$3:$AK$500,ЗАКАЗЫ!$F$3:$F$500,$A194)))</f>
        <v/>
      </c>
    </row>
    <row r="195" customFormat="false" ht="15.75" hidden="false" customHeight="true" outlineLevel="0" collapsed="false">
      <c r="A195" s="80" t="s">
        <v>2062</v>
      </c>
      <c r="B195" s="81"/>
      <c r="C195" s="81"/>
      <c r="D195" s="81"/>
      <c r="E195" s="83"/>
      <c r="F195" s="81"/>
      <c r="G195" s="83"/>
      <c r="H195" s="83"/>
      <c r="I195" s="84" t="str">
        <f aca="false">IF(E195="","",A195&amp;"_1.jpg")</f>
        <v/>
      </c>
      <c r="J195" s="84" t="str">
        <f aca="false">IF(E195="","",A195&amp;"_2.jpg; "&amp;A195&amp;"_3.jpg")</f>
        <v/>
      </c>
      <c r="K195" s="84" t="str">
        <f aca="false">IF(E195="","",A195&amp;"_schema.jpg")</f>
        <v/>
      </c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 t="s">
        <v>96</v>
      </c>
      <c r="W195" s="81"/>
      <c r="X195" s="81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6" t="str">
        <f aca="false">IF(SUM(Y195:AJ195)=0,"",SUM(Y195:AJ195))</f>
        <v/>
      </c>
      <c r="AL195" s="84" t="str">
        <f aca="false">MID(IF(N(Y195)&gt;0,", "&amp;Y$2,"")&amp;IF(N(Z195)&gt;0,", "&amp;Z$2,"")&amp;IF(N(AA195)&gt;0,", "&amp;AA$2,"")&amp;IF(N(AB195)&gt;0,", "&amp;AB$2,"")&amp;IF(N(AC195)&gt;0,", "&amp;AC$2,"")&amp;IF(N(AD195)&gt;0,", "&amp;AD$2,"")&amp;IF(N(AE195)&gt;0,", "&amp;AE$2,"")&amp;IF(N(AF195)&gt;0,", "&amp;AF$2,"")&amp;IF(N(AG195)&gt;0,", "&amp;AG$2,"")&amp;IF(N(AH195)&gt;0,", "&amp;AH$2,"")&amp;IF(N(AI195)&gt;0,", "&amp;AI$2,"")&amp;IF(N(AJ195)&gt;0,", "&amp;AJ$2,""),3,999)</f>
        <v/>
      </c>
      <c r="AM195" s="87" t="str">
        <f aca="false">IF(E195="","",MID(IF(N(Y195)&gt;0,", "&amp;A195&amp;"-"&amp;Y$2,"")&amp;IF(N(Z195)&gt;0,", "&amp;A195&amp;"-"&amp;Z$2,"")&amp;IF(N(AA195)&gt;0,", "&amp;A195&amp;"-"&amp;AA$2,"")&amp;IF(N(AB195)&gt;0,", "&amp;A195&amp;"-"&amp;AB$2,"")&amp;IF(N(AC195)&gt;0,", "&amp;A195&amp;"-"&amp;AC$2,"")&amp;IF(N(AD195)&gt;0,", "&amp;A195&amp;"-"&amp;AD$2,"")&amp;IF(N(AE195)&gt;0,", "&amp;A195&amp;"-"&amp;AE$2,"")&amp;IF(N(AF195)&gt;0,", "&amp;A195&amp;"-"&amp;AF$2,"")&amp;IF(N(AG195)&gt;0,", "&amp;A195&amp;"-"&amp;AG$2,"")&amp;IF(N(AH195)&gt;0,", "&amp;A195&amp;"-"&amp;AH$2,"")&amp;IF(N(AI195)&gt;0,", "&amp;A195&amp;"-"&amp;AI$2,"")&amp;IF(N(AJ195)&gt;0,", "&amp;A195&amp;"-"&amp;AJ$2,""),3,999))</f>
        <v/>
      </c>
      <c r="AN195" s="81"/>
      <c r="AO195" s="88"/>
      <c r="AP195" s="89" t="str">
        <f aca="false">IF(AO195="","",ROUND(AO195/(1+Справочники!$B$13),2))</f>
        <v/>
      </c>
      <c r="AQ195" s="90" t="str">
        <f aca="false" t="array" ref="AQ195:AQ195">IF(AP195="","",AP195*INDEX(Справочники!$B$4:$B$7,MATCH("RUB",Справочники!$A$4:$A$7,0)))</f>
        <v/>
      </c>
      <c r="AR195" s="90" t="str">
        <f aca="false">IF(AQ195="","",ROUND(AQ195*(1+Справочники!$B$12),0))</f>
        <v/>
      </c>
      <c r="AS195" s="90" t="str">
        <f aca="false">IF(AR195="","",ROUND(AR195*(1-Справочники!$B$11),0))</f>
        <v/>
      </c>
      <c r="AT195" s="88"/>
      <c r="AU195" s="90" t="str">
        <f aca="false">IF(AT195="","",ROUND(AT195/(1+Справочники!$B$12),0))</f>
        <v/>
      </c>
      <c r="AV195" s="90" t="str">
        <f aca="false">IF(AT195="","",ROUND(AT195*(1-Справочники!$B$15),0))</f>
        <v/>
      </c>
      <c r="AW195" s="90" t="str">
        <f aca="false">IF(AT195="","",ROUND(AT195*(1-Справочники!$B$16),0))</f>
        <v/>
      </c>
      <c r="AX195" s="90" t="str">
        <f aca="false">IF(AT195="","",ROUND(AT195*(1-Справочники!$B$17),0))</f>
        <v/>
      </c>
      <c r="AY195" s="90" t="str">
        <f aca="false">IF(AT195="","",ROUND(AT195*(1-Справочники!$B$18),0))</f>
        <v/>
      </c>
      <c r="AZ195" s="90" t="str">
        <f aca="false">IF(AT195="","",ROUND(AT195*(1-Справочники!$B$19),0))</f>
        <v/>
      </c>
      <c r="BA195" s="81"/>
      <c r="BB195" s="81"/>
      <c r="BC195" s="81"/>
      <c r="BD195" s="81"/>
      <c r="BE195" s="91"/>
      <c r="BF195" s="81" t="s">
        <v>103</v>
      </c>
      <c r="BG195" s="89" t="n">
        <f aca="false" t="array" ref="BG195:BG195">IF(BF195="","",IFERROR(INDEX(Справочники!$B$4:$B$7,MATCH(BF195,Справочники!$A$4:$A$7,0)),""))</f>
        <v>68.5</v>
      </c>
      <c r="BH195" s="90" t="str">
        <f aca="false">IF(N(BN195)&gt;0,ROUND(SUMIF(ЗАКАЗЫ!$F$3:$F$500,$A195,ЗАКАЗЫ!$Y$3:$Y$500)/BN195,0),IF(OR(BE195="",BG195=""),"",ROUND(BE195*BG195*(1+Справочники!$B$10),0)))</f>
        <v/>
      </c>
      <c r="BI195" s="92" t="str">
        <f aca="false">IF(OR(AU195="",BH195="",AU195=0),"",(AU195-BH195)/AU195)</f>
        <v/>
      </c>
      <c r="BJ195" s="81"/>
      <c r="BK195" s="83"/>
      <c r="BL195" s="43" t="str">
        <f aca="false">IFERROR(INDEX(ЗАКАЗЫ!$N$3:$N$500,MATCH($A195,ЗАКАЗЫ!$F$3:$F$500,0)),"")</f>
        <v/>
      </c>
      <c r="BM195" s="8" t="str">
        <f aca="false">IF(BL195="","",IFERROR(VLOOKUP(BL195,'ТН ВЭД'!$A$4:$C$40,3,0),""))</f>
        <v/>
      </c>
      <c r="BN195" s="7" t="str">
        <f aca="false">IF(COUNTIF(ЗАКАЗЫ!$F$3:$F$500,$A195)=0,"",SUMIF(ЗАКАЗЫ!$F$3:$F$500,$A195,ЗАКАЗЫ!$J$3:$J$500))</f>
        <v/>
      </c>
      <c r="BO195" s="7" t="str">
        <f aca="false">IF(BN195="","",SUMIF(ЗАКАЗЫ!$F$3:$F$500,$A195,ЗАКАЗЫ!$AL$3:$AL$500))</f>
        <v/>
      </c>
      <c r="BP195" s="7" t="str">
        <f aca="false">IF(BN195="","",BN195-BO195)</f>
        <v/>
      </c>
      <c r="BQ195" s="55" t="str">
        <f aca="false">IF(BN195="","",IF(BO195&gt;=BN195,"На складе",IF(BO195&gt;0,"Частично","Ждём")))</f>
        <v/>
      </c>
      <c r="BR195" s="43"/>
      <c r="BS195" s="47" t="str">
        <f aca="false">IF(BN195="","",IF(_xlfn.MAXIFS(ЗАКАЗЫ!$AK$3:$AK$500,ЗАКАЗЫ!$F$3:$F$500,$A195)=0,"",_xlfn.MAXIFS(ЗАКАЗЫ!$AK$3:$AK$500,ЗАКАЗЫ!$F$3:$F$500,$A195)))</f>
        <v/>
      </c>
    </row>
    <row r="196" customFormat="false" ht="15.75" hidden="false" customHeight="true" outlineLevel="0" collapsed="false">
      <c r="A196" s="80" t="s">
        <v>2063</v>
      </c>
      <c r="B196" s="81"/>
      <c r="C196" s="81"/>
      <c r="D196" s="81"/>
      <c r="E196" s="83"/>
      <c r="F196" s="81"/>
      <c r="G196" s="83"/>
      <c r="H196" s="83"/>
      <c r="I196" s="84" t="str">
        <f aca="false">IF(E196="","",A196&amp;"_1.jpg")</f>
        <v/>
      </c>
      <c r="J196" s="84" t="str">
        <f aca="false">IF(E196="","",A196&amp;"_2.jpg; "&amp;A196&amp;"_3.jpg")</f>
        <v/>
      </c>
      <c r="K196" s="84" t="str">
        <f aca="false">IF(E196="","",A196&amp;"_schema.jpg")</f>
        <v/>
      </c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 t="s">
        <v>96</v>
      </c>
      <c r="W196" s="81"/>
      <c r="X196" s="81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6" t="str">
        <f aca="false">IF(SUM(Y196:AJ196)=0,"",SUM(Y196:AJ196))</f>
        <v/>
      </c>
      <c r="AL196" s="84" t="str">
        <f aca="false">MID(IF(N(Y196)&gt;0,", "&amp;Y$2,"")&amp;IF(N(Z196)&gt;0,", "&amp;Z$2,"")&amp;IF(N(AA196)&gt;0,", "&amp;AA$2,"")&amp;IF(N(AB196)&gt;0,", "&amp;AB$2,"")&amp;IF(N(AC196)&gt;0,", "&amp;AC$2,"")&amp;IF(N(AD196)&gt;0,", "&amp;AD$2,"")&amp;IF(N(AE196)&gt;0,", "&amp;AE$2,"")&amp;IF(N(AF196)&gt;0,", "&amp;AF$2,"")&amp;IF(N(AG196)&gt;0,", "&amp;AG$2,"")&amp;IF(N(AH196)&gt;0,", "&amp;AH$2,"")&amp;IF(N(AI196)&gt;0,", "&amp;AI$2,"")&amp;IF(N(AJ196)&gt;0,", "&amp;AJ$2,""),3,999)</f>
        <v/>
      </c>
      <c r="AM196" s="87" t="str">
        <f aca="false">IF(E196="","",MID(IF(N(Y196)&gt;0,", "&amp;A196&amp;"-"&amp;Y$2,"")&amp;IF(N(Z196)&gt;0,", "&amp;A196&amp;"-"&amp;Z$2,"")&amp;IF(N(AA196)&gt;0,", "&amp;A196&amp;"-"&amp;AA$2,"")&amp;IF(N(AB196)&gt;0,", "&amp;A196&amp;"-"&amp;AB$2,"")&amp;IF(N(AC196)&gt;0,", "&amp;A196&amp;"-"&amp;AC$2,"")&amp;IF(N(AD196)&gt;0,", "&amp;A196&amp;"-"&amp;AD$2,"")&amp;IF(N(AE196)&gt;0,", "&amp;A196&amp;"-"&amp;AE$2,"")&amp;IF(N(AF196)&gt;0,", "&amp;A196&amp;"-"&amp;AF$2,"")&amp;IF(N(AG196)&gt;0,", "&amp;A196&amp;"-"&amp;AG$2,"")&amp;IF(N(AH196)&gt;0,", "&amp;A196&amp;"-"&amp;AH$2,"")&amp;IF(N(AI196)&gt;0,", "&amp;A196&amp;"-"&amp;AI$2,"")&amp;IF(N(AJ196)&gt;0,", "&amp;A196&amp;"-"&amp;AJ$2,""),3,999))</f>
        <v/>
      </c>
      <c r="AN196" s="81"/>
      <c r="AO196" s="88"/>
      <c r="AP196" s="89" t="str">
        <f aca="false">IF(AO196="","",ROUND(AO196/(1+Справочники!$B$13),2))</f>
        <v/>
      </c>
      <c r="AQ196" s="90" t="str">
        <f aca="false" t="array" ref="AQ196:AQ196">IF(AP196="","",AP196*INDEX(Справочники!$B$4:$B$7,MATCH("RUB",Справочники!$A$4:$A$7,0)))</f>
        <v/>
      </c>
      <c r="AR196" s="90" t="str">
        <f aca="false">IF(AQ196="","",ROUND(AQ196*(1+Справочники!$B$12),0))</f>
        <v/>
      </c>
      <c r="AS196" s="90" t="str">
        <f aca="false">IF(AR196="","",ROUND(AR196*(1-Справочники!$B$11),0))</f>
        <v/>
      </c>
      <c r="AT196" s="88"/>
      <c r="AU196" s="90" t="str">
        <f aca="false">IF(AT196="","",ROUND(AT196/(1+Справочники!$B$12),0))</f>
        <v/>
      </c>
      <c r="AV196" s="90" t="str">
        <f aca="false">IF(AT196="","",ROUND(AT196*(1-Справочники!$B$15),0))</f>
        <v/>
      </c>
      <c r="AW196" s="90" t="str">
        <f aca="false">IF(AT196="","",ROUND(AT196*(1-Справочники!$B$16),0))</f>
        <v/>
      </c>
      <c r="AX196" s="90" t="str">
        <f aca="false">IF(AT196="","",ROUND(AT196*(1-Справочники!$B$17),0))</f>
        <v/>
      </c>
      <c r="AY196" s="90" t="str">
        <f aca="false">IF(AT196="","",ROUND(AT196*(1-Справочники!$B$18),0))</f>
        <v/>
      </c>
      <c r="AZ196" s="90" t="str">
        <f aca="false">IF(AT196="","",ROUND(AT196*(1-Справочники!$B$19),0))</f>
        <v/>
      </c>
      <c r="BA196" s="81"/>
      <c r="BB196" s="81"/>
      <c r="BC196" s="81"/>
      <c r="BD196" s="81"/>
      <c r="BE196" s="91"/>
      <c r="BF196" s="81" t="s">
        <v>103</v>
      </c>
      <c r="BG196" s="89" t="n">
        <f aca="false" t="array" ref="BG196:BG196">IF(BF196="","",IFERROR(INDEX(Справочники!$B$4:$B$7,MATCH(BF196,Справочники!$A$4:$A$7,0)),""))</f>
        <v>68.5</v>
      </c>
      <c r="BH196" s="90" t="str">
        <f aca="false">IF(N(BN196)&gt;0,ROUND(SUMIF(ЗАКАЗЫ!$F$3:$F$500,$A196,ЗАКАЗЫ!$Y$3:$Y$500)/BN196,0),IF(OR(BE196="",BG196=""),"",ROUND(BE196*BG196*(1+Справочники!$B$10),0)))</f>
        <v/>
      </c>
      <c r="BI196" s="92" t="str">
        <f aca="false">IF(OR(AU196="",BH196="",AU196=0),"",(AU196-BH196)/AU196)</f>
        <v/>
      </c>
      <c r="BJ196" s="81"/>
      <c r="BK196" s="83"/>
      <c r="BL196" s="43" t="str">
        <f aca="false">IFERROR(INDEX(ЗАКАЗЫ!$N$3:$N$500,MATCH($A196,ЗАКАЗЫ!$F$3:$F$500,0)),"")</f>
        <v/>
      </c>
      <c r="BM196" s="8" t="str">
        <f aca="false">IF(BL196="","",IFERROR(VLOOKUP(BL196,'ТН ВЭД'!$A$4:$C$40,3,0),""))</f>
        <v/>
      </c>
      <c r="BN196" s="7" t="str">
        <f aca="false">IF(COUNTIF(ЗАКАЗЫ!$F$3:$F$500,$A196)=0,"",SUMIF(ЗАКАЗЫ!$F$3:$F$500,$A196,ЗАКАЗЫ!$J$3:$J$500))</f>
        <v/>
      </c>
      <c r="BO196" s="7" t="str">
        <f aca="false">IF(BN196="","",SUMIF(ЗАКАЗЫ!$F$3:$F$500,$A196,ЗАКАЗЫ!$AL$3:$AL$500))</f>
        <v/>
      </c>
      <c r="BP196" s="7" t="str">
        <f aca="false">IF(BN196="","",BN196-BO196)</f>
        <v/>
      </c>
      <c r="BQ196" s="55" t="str">
        <f aca="false">IF(BN196="","",IF(BO196&gt;=BN196,"На складе",IF(BO196&gt;0,"Частично","Ждём")))</f>
        <v/>
      </c>
      <c r="BR196" s="43"/>
      <c r="BS196" s="47" t="str">
        <f aca="false">IF(BN196="","",IF(_xlfn.MAXIFS(ЗАКАЗЫ!$AK$3:$AK$500,ЗАКАЗЫ!$F$3:$F$500,$A196)=0,"",_xlfn.MAXIFS(ЗАКАЗЫ!$AK$3:$AK$500,ЗАКАЗЫ!$F$3:$F$500,$A196)))</f>
        <v/>
      </c>
    </row>
    <row r="197" customFormat="false" ht="15.75" hidden="false" customHeight="true" outlineLevel="0" collapsed="false">
      <c r="A197" s="80" t="s">
        <v>2064</v>
      </c>
      <c r="B197" s="81"/>
      <c r="C197" s="81"/>
      <c r="D197" s="81"/>
      <c r="E197" s="83"/>
      <c r="F197" s="81"/>
      <c r="G197" s="83"/>
      <c r="H197" s="83"/>
      <c r="I197" s="84" t="str">
        <f aca="false">IF(E197="","",A197&amp;"_1.jpg")</f>
        <v/>
      </c>
      <c r="J197" s="84" t="str">
        <f aca="false">IF(E197="","",A197&amp;"_2.jpg; "&amp;A197&amp;"_3.jpg")</f>
        <v/>
      </c>
      <c r="K197" s="84" t="str">
        <f aca="false">IF(E197="","",A197&amp;"_schema.jpg")</f>
        <v/>
      </c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 t="s">
        <v>96</v>
      </c>
      <c r="W197" s="81"/>
      <c r="X197" s="81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6" t="str">
        <f aca="false">IF(SUM(Y197:AJ197)=0,"",SUM(Y197:AJ197))</f>
        <v/>
      </c>
      <c r="AL197" s="84" t="str">
        <f aca="false">MID(IF(N(Y197)&gt;0,", "&amp;Y$2,"")&amp;IF(N(Z197)&gt;0,", "&amp;Z$2,"")&amp;IF(N(AA197)&gt;0,", "&amp;AA$2,"")&amp;IF(N(AB197)&gt;0,", "&amp;AB$2,"")&amp;IF(N(AC197)&gt;0,", "&amp;AC$2,"")&amp;IF(N(AD197)&gt;0,", "&amp;AD$2,"")&amp;IF(N(AE197)&gt;0,", "&amp;AE$2,"")&amp;IF(N(AF197)&gt;0,", "&amp;AF$2,"")&amp;IF(N(AG197)&gt;0,", "&amp;AG$2,"")&amp;IF(N(AH197)&gt;0,", "&amp;AH$2,"")&amp;IF(N(AI197)&gt;0,", "&amp;AI$2,"")&amp;IF(N(AJ197)&gt;0,", "&amp;AJ$2,""),3,999)</f>
        <v/>
      </c>
      <c r="AM197" s="87" t="str">
        <f aca="false">IF(E197="","",MID(IF(N(Y197)&gt;0,", "&amp;A197&amp;"-"&amp;Y$2,"")&amp;IF(N(Z197)&gt;0,", "&amp;A197&amp;"-"&amp;Z$2,"")&amp;IF(N(AA197)&gt;0,", "&amp;A197&amp;"-"&amp;AA$2,"")&amp;IF(N(AB197)&gt;0,", "&amp;A197&amp;"-"&amp;AB$2,"")&amp;IF(N(AC197)&gt;0,", "&amp;A197&amp;"-"&amp;AC$2,"")&amp;IF(N(AD197)&gt;0,", "&amp;A197&amp;"-"&amp;AD$2,"")&amp;IF(N(AE197)&gt;0,", "&amp;A197&amp;"-"&amp;AE$2,"")&amp;IF(N(AF197)&gt;0,", "&amp;A197&amp;"-"&amp;AF$2,"")&amp;IF(N(AG197)&gt;0,", "&amp;A197&amp;"-"&amp;AG$2,"")&amp;IF(N(AH197)&gt;0,", "&amp;A197&amp;"-"&amp;AH$2,"")&amp;IF(N(AI197)&gt;0,", "&amp;A197&amp;"-"&amp;AI$2,"")&amp;IF(N(AJ197)&gt;0,", "&amp;A197&amp;"-"&amp;AJ$2,""),3,999))</f>
        <v/>
      </c>
      <c r="AN197" s="81"/>
      <c r="AO197" s="88"/>
      <c r="AP197" s="89" t="str">
        <f aca="false">IF(AO197="","",ROUND(AO197/(1+Справочники!$B$13),2))</f>
        <v/>
      </c>
      <c r="AQ197" s="90" t="str">
        <f aca="false" t="array" ref="AQ197:AQ197">IF(AP197="","",AP197*INDEX(Справочники!$B$4:$B$7,MATCH("RUB",Справочники!$A$4:$A$7,0)))</f>
        <v/>
      </c>
      <c r="AR197" s="90" t="str">
        <f aca="false">IF(AQ197="","",ROUND(AQ197*(1+Справочники!$B$12),0))</f>
        <v/>
      </c>
      <c r="AS197" s="90" t="str">
        <f aca="false">IF(AR197="","",ROUND(AR197*(1-Справочники!$B$11),0))</f>
        <v/>
      </c>
      <c r="AT197" s="88"/>
      <c r="AU197" s="90" t="str">
        <f aca="false">IF(AT197="","",ROUND(AT197/(1+Справочники!$B$12),0))</f>
        <v/>
      </c>
      <c r="AV197" s="90" t="str">
        <f aca="false">IF(AT197="","",ROUND(AT197*(1-Справочники!$B$15),0))</f>
        <v/>
      </c>
      <c r="AW197" s="90" t="str">
        <f aca="false">IF(AT197="","",ROUND(AT197*(1-Справочники!$B$16),0))</f>
        <v/>
      </c>
      <c r="AX197" s="90" t="str">
        <f aca="false">IF(AT197="","",ROUND(AT197*(1-Справочники!$B$17),0))</f>
        <v/>
      </c>
      <c r="AY197" s="90" t="str">
        <f aca="false">IF(AT197="","",ROUND(AT197*(1-Справочники!$B$18),0))</f>
        <v/>
      </c>
      <c r="AZ197" s="90" t="str">
        <f aca="false">IF(AT197="","",ROUND(AT197*(1-Справочники!$B$19),0))</f>
        <v/>
      </c>
      <c r="BA197" s="81"/>
      <c r="BB197" s="81"/>
      <c r="BC197" s="81"/>
      <c r="BD197" s="81"/>
      <c r="BE197" s="91"/>
      <c r="BF197" s="81" t="s">
        <v>103</v>
      </c>
      <c r="BG197" s="89" t="n">
        <f aca="false" t="array" ref="BG197:BG197">IF(BF197="","",IFERROR(INDEX(Справочники!$B$4:$B$7,MATCH(BF197,Справочники!$A$4:$A$7,0)),""))</f>
        <v>68.5</v>
      </c>
      <c r="BH197" s="90" t="str">
        <f aca="false">IF(N(BN197)&gt;0,ROUND(SUMIF(ЗАКАЗЫ!$F$3:$F$500,$A197,ЗАКАЗЫ!$Y$3:$Y$500)/BN197,0),IF(OR(BE197="",BG197=""),"",ROUND(BE197*BG197*(1+Справочники!$B$10),0)))</f>
        <v/>
      </c>
      <c r="BI197" s="92" t="str">
        <f aca="false">IF(OR(AU197="",BH197="",AU197=0),"",(AU197-BH197)/AU197)</f>
        <v/>
      </c>
      <c r="BJ197" s="81"/>
      <c r="BK197" s="83"/>
      <c r="BL197" s="43" t="str">
        <f aca="false">IFERROR(INDEX(ЗАКАЗЫ!$N$3:$N$500,MATCH($A197,ЗАКАЗЫ!$F$3:$F$500,0)),"")</f>
        <v/>
      </c>
      <c r="BM197" s="8" t="str">
        <f aca="false">IF(BL197="","",IFERROR(VLOOKUP(BL197,'ТН ВЭД'!$A$4:$C$40,3,0),""))</f>
        <v/>
      </c>
      <c r="BN197" s="7" t="str">
        <f aca="false">IF(COUNTIF(ЗАКАЗЫ!$F$3:$F$500,$A197)=0,"",SUMIF(ЗАКАЗЫ!$F$3:$F$500,$A197,ЗАКАЗЫ!$J$3:$J$500))</f>
        <v/>
      </c>
      <c r="BO197" s="7" t="str">
        <f aca="false">IF(BN197="","",SUMIF(ЗАКАЗЫ!$F$3:$F$500,$A197,ЗАКАЗЫ!$AL$3:$AL$500))</f>
        <v/>
      </c>
      <c r="BP197" s="7" t="str">
        <f aca="false">IF(BN197="","",BN197-BO197)</f>
        <v/>
      </c>
      <c r="BQ197" s="55" t="str">
        <f aca="false">IF(BN197="","",IF(BO197&gt;=BN197,"На складе",IF(BO197&gt;0,"Частично","Ждём")))</f>
        <v/>
      </c>
      <c r="BR197" s="43"/>
      <c r="BS197" s="47" t="str">
        <f aca="false">IF(BN197="","",IF(_xlfn.MAXIFS(ЗАКАЗЫ!$AK$3:$AK$500,ЗАКАЗЫ!$F$3:$F$500,$A197)=0,"",_xlfn.MAXIFS(ЗАКАЗЫ!$AK$3:$AK$500,ЗАКАЗЫ!$F$3:$F$500,$A197)))</f>
        <v/>
      </c>
    </row>
    <row r="198" customFormat="false" ht="15.75" hidden="false" customHeight="true" outlineLevel="0" collapsed="false">
      <c r="A198" s="80" t="s">
        <v>2065</v>
      </c>
      <c r="B198" s="81"/>
      <c r="C198" s="81"/>
      <c r="D198" s="81"/>
      <c r="E198" s="83"/>
      <c r="F198" s="81"/>
      <c r="G198" s="83"/>
      <c r="H198" s="83"/>
      <c r="I198" s="84" t="str">
        <f aca="false">IF(E198="","",A198&amp;"_1.jpg")</f>
        <v/>
      </c>
      <c r="J198" s="84" t="str">
        <f aca="false">IF(E198="","",A198&amp;"_2.jpg; "&amp;A198&amp;"_3.jpg")</f>
        <v/>
      </c>
      <c r="K198" s="84" t="str">
        <f aca="false">IF(E198="","",A198&amp;"_schema.jpg")</f>
        <v/>
      </c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 t="s">
        <v>96</v>
      </c>
      <c r="W198" s="81"/>
      <c r="X198" s="81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6" t="str">
        <f aca="false">IF(SUM(Y198:AJ198)=0,"",SUM(Y198:AJ198))</f>
        <v/>
      </c>
      <c r="AL198" s="84" t="str">
        <f aca="false">MID(IF(N(Y198)&gt;0,", "&amp;Y$2,"")&amp;IF(N(Z198)&gt;0,", "&amp;Z$2,"")&amp;IF(N(AA198)&gt;0,", "&amp;AA$2,"")&amp;IF(N(AB198)&gt;0,", "&amp;AB$2,"")&amp;IF(N(AC198)&gt;0,", "&amp;AC$2,"")&amp;IF(N(AD198)&gt;0,", "&amp;AD$2,"")&amp;IF(N(AE198)&gt;0,", "&amp;AE$2,"")&amp;IF(N(AF198)&gt;0,", "&amp;AF$2,"")&amp;IF(N(AG198)&gt;0,", "&amp;AG$2,"")&amp;IF(N(AH198)&gt;0,", "&amp;AH$2,"")&amp;IF(N(AI198)&gt;0,", "&amp;AI$2,"")&amp;IF(N(AJ198)&gt;0,", "&amp;AJ$2,""),3,999)</f>
        <v/>
      </c>
      <c r="AM198" s="87" t="str">
        <f aca="false">IF(E198="","",MID(IF(N(Y198)&gt;0,", "&amp;A198&amp;"-"&amp;Y$2,"")&amp;IF(N(Z198)&gt;0,", "&amp;A198&amp;"-"&amp;Z$2,"")&amp;IF(N(AA198)&gt;0,", "&amp;A198&amp;"-"&amp;AA$2,"")&amp;IF(N(AB198)&gt;0,", "&amp;A198&amp;"-"&amp;AB$2,"")&amp;IF(N(AC198)&gt;0,", "&amp;A198&amp;"-"&amp;AC$2,"")&amp;IF(N(AD198)&gt;0,", "&amp;A198&amp;"-"&amp;AD$2,"")&amp;IF(N(AE198)&gt;0,", "&amp;A198&amp;"-"&amp;AE$2,"")&amp;IF(N(AF198)&gt;0,", "&amp;A198&amp;"-"&amp;AF$2,"")&amp;IF(N(AG198)&gt;0,", "&amp;A198&amp;"-"&amp;AG$2,"")&amp;IF(N(AH198)&gt;0,", "&amp;A198&amp;"-"&amp;AH$2,"")&amp;IF(N(AI198)&gt;0,", "&amp;A198&amp;"-"&amp;AI$2,"")&amp;IF(N(AJ198)&gt;0,", "&amp;A198&amp;"-"&amp;AJ$2,""),3,999))</f>
        <v/>
      </c>
      <c r="AN198" s="81"/>
      <c r="AO198" s="88"/>
      <c r="AP198" s="89" t="str">
        <f aca="false">IF(AO198="","",ROUND(AO198/(1+Справочники!$B$13),2))</f>
        <v/>
      </c>
      <c r="AQ198" s="90" t="str">
        <f aca="false" t="array" ref="AQ198:AQ198">IF(AP198="","",AP198*INDEX(Справочники!$B$4:$B$7,MATCH("RUB",Справочники!$A$4:$A$7,0)))</f>
        <v/>
      </c>
      <c r="AR198" s="90" t="str">
        <f aca="false">IF(AQ198="","",ROUND(AQ198*(1+Справочники!$B$12),0))</f>
        <v/>
      </c>
      <c r="AS198" s="90" t="str">
        <f aca="false">IF(AR198="","",ROUND(AR198*(1-Справочники!$B$11),0))</f>
        <v/>
      </c>
      <c r="AT198" s="88"/>
      <c r="AU198" s="90" t="str">
        <f aca="false">IF(AT198="","",ROUND(AT198/(1+Справочники!$B$12),0))</f>
        <v/>
      </c>
      <c r="AV198" s="90" t="str">
        <f aca="false">IF(AT198="","",ROUND(AT198*(1-Справочники!$B$15),0))</f>
        <v/>
      </c>
      <c r="AW198" s="90" t="str">
        <f aca="false">IF(AT198="","",ROUND(AT198*(1-Справочники!$B$16),0))</f>
        <v/>
      </c>
      <c r="AX198" s="90" t="str">
        <f aca="false">IF(AT198="","",ROUND(AT198*(1-Справочники!$B$17),0))</f>
        <v/>
      </c>
      <c r="AY198" s="90" t="str">
        <f aca="false">IF(AT198="","",ROUND(AT198*(1-Справочники!$B$18),0))</f>
        <v/>
      </c>
      <c r="AZ198" s="90" t="str">
        <f aca="false">IF(AT198="","",ROUND(AT198*(1-Справочники!$B$19),0))</f>
        <v/>
      </c>
      <c r="BA198" s="81"/>
      <c r="BB198" s="81"/>
      <c r="BC198" s="81"/>
      <c r="BD198" s="81"/>
      <c r="BE198" s="91"/>
      <c r="BF198" s="81" t="s">
        <v>103</v>
      </c>
      <c r="BG198" s="89" t="n">
        <f aca="false" t="array" ref="BG198:BG198">IF(BF198="","",IFERROR(INDEX(Справочники!$B$4:$B$7,MATCH(BF198,Справочники!$A$4:$A$7,0)),""))</f>
        <v>68.5</v>
      </c>
      <c r="BH198" s="90" t="str">
        <f aca="false">IF(N(BN198)&gt;0,ROUND(SUMIF(ЗАКАЗЫ!$F$3:$F$500,$A198,ЗАКАЗЫ!$Y$3:$Y$500)/BN198,0),IF(OR(BE198="",BG198=""),"",ROUND(BE198*BG198*(1+Справочники!$B$10),0)))</f>
        <v/>
      </c>
      <c r="BI198" s="92" t="str">
        <f aca="false">IF(OR(AU198="",BH198="",AU198=0),"",(AU198-BH198)/AU198)</f>
        <v/>
      </c>
      <c r="BJ198" s="81"/>
      <c r="BK198" s="83"/>
      <c r="BL198" s="43" t="str">
        <f aca="false">IFERROR(INDEX(ЗАКАЗЫ!$N$3:$N$500,MATCH($A198,ЗАКАЗЫ!$F$3:$F$500,0)),"")</f>
        <v/>
      </c>
      <c r="BM198" s="8" t="str">
        <f aca="false">IF(BL198="","",IFERROR(VLOOKUP(BL198,'ТН ВЭД'!$A$4:$C$40,3,0),""))</f>
        <v/>
      </c>
      <c r="BN198" s="7" t="str">
        <f aca="false">IF(COUNTIF(ЗАКАЗЫ!$F$3:$F$500,$A198)=0,"",SUMIF(ЗАКАЗЫ!$F$3:$F$500,$A198,ЗАКАЗЫ!$J$3:$J$500))</f>
        <v/>
      </c>
      <c r="BO198" s="7" t="str">
        <f aca="false">IF(BN198="","",SUMIF(ЗАКАЗЫ!$F$3:$F$500,$A198,ЗАКАЗЫ!$AL$3:$AL$500))</f>
        <v/>
      </c>
      <c r="BP198" s="7" t="str">
        <f aca="false">IF(BN198="","",BN198-BO198)</f>
        <v/>
      </c>
      <c r="BQ198" s="55" t="str">
        <f aca="false">IF(BN198="","",IF(BO198&gt;=BN198,"На складе",IF(BO198&gt;0,"Частично","Ждём")))</f>
        <v/>
      </c>
      <c r="BR198" s="43"/>
      <c r="BS198" s="47" t="str">
        <f aca="false">IF(BN198="","",IF(_xlfn.MAXIFS(ЗАКАЗЫ!$AK$3:$AK$500,ЗАКАЗЫ!$F$3:$F$500,$A198)=0,"",_xlfn.MAXIFS(ЗАКАЗЫ!$AK$3:$AK$500,ЗАКАЗЫ!$F$3:$F$500,$A198)))</f>
        <v/>
      </c>
    </row>
    <row r="199" customFormat="false" ht="15.75" hidden="false" customHeight="true" outlineLevel="0" collapsed="false">
      <c r="A199" s="80" t="s">
        <v>2066</v>
      </c>
      <c r="B199" s="81"/>
      <c r="C199" s="81"/>
      <c r="D199" s="81"/>
      <c r="E199" s="83"/>
      <c r="F199" s="81"/>
      <c r="G199" s="83"/>
      <c r="H199" s="83"/>
      <c r="I199" s="84" t="str">
        <f aca="false">IF(E199="","",A199&amp;"_1.jpg")</f>
        <v/>
      </c>
      <c r="J199" s="84" t="str">
        <f aca="false">IF(E199="","",A199&amp;"_2.jpg; "&amp;A199&amp;"_3.jpg")</f>
        <v/>
      </c>
      <c r="K199" s="84" t="str">
        <f aca="false">IF(E199="","",A199&amp;"_schema.jpg")</f>
        <v/>
      </c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 t="s">
        <v>96</v>
      </c>
      <c r="W199" s="81"/>
      <c r="X199" s="81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6" t="str">
        <f aca="false">IF(SUM(Y199:AJ199)=0,"",SUM(Y199:AJ199))</f>
        <v/>
      </c>
      <c r="AL199" s="84" t="str">
        <f aca="false">MID(IF(N(Y199)&gt;0,", "&amp;Y$2,"")&amp;IF(N(Z199)&gt;0,", "&amp;Z$2,"")&amp;IF(N(AA199)&gt;0,", "&amp;AA$2,"")&amp;IF(N(AB199)&gt;0,", "&amp;AB$2,"")&amp;IF(N(AC199)&gt;0,", "&amp;AC$2,"")&amp;IF(N(AD199)&gt;0,", "&amp;AD$2,"")&amp;IF(N(AE199)&gt;0,", "&amp;AE$2,"")&amp;IF(N(AF199)&gt;0,", "&amp;AF$2,"")&amp;IF(N(AG199)&gt;0,", "&amp;AG$2,"")&amp;IF(N(AH199)&gt;0,", "&amp;AH$2,"")&amp;IF(N(AI199)&gt;0,", "&amp;AI$2,"")&amp;IF(N(AJ199)&gt;0,", "&amp;AJ$2,""),3,999)</f>
        <v/>
      </c>
      <c r="AM199" s="87" t="str">
        <f aca="false">IF(E199="","",MID(IF(N(Y199)&gt;0,", "&amp;A199&amp;"-"&amp;Y$2,"")&amp;IF(N(Z199)&gt;0,", "&amp;A199&amp;"-"&amp;Z$2,"")&amp;IF(N(AA199)&gt;0,", "&amp;A199&amp;"-"&amp;AA$2,"")&amp;IF(N(AB199)&gt;0,", "&amp;A199&amp;"-"&amp;AB$2,"")&amp;IF(N(AC199)&gt;0,", "&amp;A199&amp;"-"&amp;AC$2,"")&amp;IF(N(AD199)&gt;0,", "&amp;A199&amp;"-"&amp;AD$2,"")&amp;IF(N(AE199)&gt;0,", "&amp;A199&amp;"-"&amp;AE$2,"")&amp;IF(N(AF199)&gt;0,", "&amp;A199&amp;"-"&amp;AF$2,"")&amp;IF(N(AG199)&gt;0,", "&amp;A199&amp;"-"&amp;AG$2,"")&amp;IF(N(AH199)&gt;0,", "&amp;A199&amp;"-"&amp;AH$2,"")&amp;IF(N(AI199)&gt;0,", "&amp;A199&amp;"-"&amp;AI$2,"")&amp;IF(N(AJ199)&gt;0,", "&amp;A199&amp;"-"&amp;AJ$2,""),3,999))</f>
        <v/>
      </c>
      <c r="AN199" s="81"/>
      <c r="AO199" s="88"/>
      <c r="AP199" s="89" t="str">
        <f aca="false">IF(AO199="","",ROUND(AO199/(1+Справочники!$B$13),2))</f>
        <v/>
      </c>
      <c r="AQ199" s="90" t="str">
        <f aca="false" t="array" ref="AQ199:AQ199">IF(AP199="","",AP199*INDEX(Справочники!$B$4:$B$7,MATCH("RUB",Справочники!$A$4:$A$7,0)))</f>
        <v/>
      </c>
      <c r="AR199" s="90" t="str">
        <f aca="false">IF(AQ199="","",ROUND(AQ199*(1+Справочники!$B$12),0))</f>
        <v/>
      </c>
      <c r="AS199" s="90" t="str">
        <f aca="false">IF(AR199="","",ROUND(AR199*(1-Справочники!$B$11),0))</f>
        <v/>
      </c>
      <c r="AT199" s="88"/>
      <c r="AU199" s="90" t="str">
        <f aca="false">IF(AT199="","",ROUND(AT199/(1+Справочники!$B$12),0))</f>
        <v/>
      </c>
      <c r="AV199" s="90" t="str">
        <f aca="false">IF(AT199="","",ROUND(AT199*(1-Справочники!$B$15),0))</f>
        <v/>
      </c>
      <c r="AW199" s="90" t="str">
        <f aca="false">IF(AT199="","",ROUND(AT199*(1-Справочники!$B$16),0))</f>
        <v/>
      </c>
      <c r="AX199" s="90" t="str">
        <f aca="false">IF(AT199="","",ROUND(AT199*(1-Справочники!$B$17),0))</f>
        <v/>
      </c>
      <c r="AY199" s="90" t="str">
        <f aca="false">IF(AT199="","",ROUND(AT199*(1-Справочники!$B$18),0))</f>
        <v/>
      </c>
      <c r="AZ199" s="90" t="str">
        <f aca="false">IF(AT199="","",ROUND(AT199*(1-Справочники!$B$19),0))</f>
        <v/>
      </c>
      <c r="BA199" s="81"/>
      <c r="BB199" s="81"/>
      <c r="BC199" s="81"/>
      <c r="BD199" s="81"/>
      <c r="BE199" s="91"/>
      <c r="BF199" s="81" t="s">
        <v>103</v>
      </c>
      <c r="BG199" s="89" t="n">
        <f aca="false" t="array" ref="BG199:BG199">IF(BF199="","",IFERROR(INDEX(Справочники!$B$4:$B$7,MATCH(BF199,Справочники!$A$4:$A$7,0)),""))</f>
        <v>68.5</v>
      </c>
      <c r="BH199" s="90" t="str">
        <f aca="false">IF(N(BN199)&gt;0,ROUND(SUMIF(ЗАКАЗЫ!$F$3:$F$500,$A199,ЗАКАЗЫ!$Y$3:$Y$500)/BN199,0),IF(OR(BE199="",BG199=""),"",ROUND(BE199*BG199*(1+Справочники!$B$10),0)))</f>
        <v/>
      </c>
      <c r="BI199" s="92" t="str">
        <f aca="false">IF(OR(AU199="",BH199="",AU199=0),"",(AU199-BH199)/AU199)</f>
        <v/>
      </c>
      <c r="BJ199" s="81"/>
      <c r="BK199" s="83"/>
      <c r="BL199" s="43" t="str">
        <f aca="false">IFERROR(INDEX(ЗАКАЗЫ!$N$3:$N$500,MATCH($A199,ЗАКАЗЫ!$F$3:$F$500,0)),"")</f>
        <v/>
      </c>
      <c r="BM199" s="8" t="str">
        <f aca="false">IF(BL199="","",IFERROR(VLOOKUP(BL199,'ТН ВЭД'!$A$4:$C$40,3,0),""))</f>
        <v/>
      </c>
      <c r="BN199" s="7" t="str">
        <f aca="false">IF(COUNTIF(ЗАКАЗЫ!$F$3:$F$500,$A199)=0,"",SUMIF(ЗАКАЗЫ!$F$3:$F$500,$A199,ЗАКАЗЫ!$J$3:$J$500))</f>
        <v/>
      </c>
      <c r="BO199" s="7" t="str">
        <f aca="false">IF(BN199="","",SUMIF(ЗАКАЗЫ!$F$3:$F$500,$A199,ЗАКАЗЫ!$AL$3:$AL$500))</f>
        <v/>
      </c>
      <c r="BP199" s="7" t="str">
        <f aca="false">IF(BN199="","",BN199-BO199)</f>
        <v/>
      </c>
      <c r="BQ199" s="55" t="str">
        <f aca="false">IF(BN199="","",IF(BO199&gt;=BN199,"На складе",IF(BO199&gt;0,"Частично","Ждём")))</f>
        <v/>
      </c>
      <c r="BR199" s="43"/>
      <c r="BS199" s="47" t="str">
        <f aca="false">IF(BN199="","",IF(_xlfn.MAXIFS(ЗАКАЗЫ!$AK$3:$AK$500,ЗАКАЗЫ!$F$3:$F$500,$A199)=0,"",_xlfn.MAXIFS(ЗАКАЗЫ!$AK$3:$AK$500,ЗАКАЗЫ!$F$3:$F$500,$A199)))</f>
        <v/>
      </c>
    </row>
    <row r="200" customFormat="false" ht="15.75" hidden="false" customHeight="true" outlineLevel="0" collapsed="false">
      <c r="A200" s="80" t="s">
        <v>2067</v>
      </c>
      <c r="B200" s="81"/>
      <c r="C200" s="81"/>
      <c r="D200" s="81"/>
      <c r="E200" s="83"/>
      <c r="F200" s="81"/>
      <c r="G200" s="83"/>
      <c r="H200" s="83"/>
      <c r="I200" s="84" t="str">
        <f aca="false">IF(E200="","",A200&amp;"_1.jpg")</f>
        <v/>
      </c>
      <c r="J200" s="84" t="str">
        <f aca="false">IF(E200="","",A200&amp;"_2.jpg; "&amp;A200&amp;"_3.jpg")</f>
        <v/>
      </c>
      <c r="K200" s="84" t="str">
        <f aca="false">IF(E200="","",A200&amp;"_schema.jpg")</f>
        <v/>
      </c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 t="s">
        <v>96</v>
      </c>
      <c r="W200" s="81"/>
      <c r="X200" s="81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6" t="str">
        <f aca="false">IF(SUM(Y200:AJ200)=0,"",SUM(Y200:AJ200))</f>
        <v/>
      </c>
      <c r="AL200" s="84" t="str">
        <f aca="false">MID(IF(N(Y200)&gt;0,", "&amp;Y$2,"")&amp;IF(N(Z200)&gt;0,", "&amp;Z$2,"")&amp;IF(N(AA200)&gt;0,", "&amp;AA$2,"")&amp;IF(N(AB200)&gt;0,", "&amp;AB$2,"")&amp;IF(N(AC200)&gt;0,", "&amp;AC$2,"")&amp;IF(N(AD200)&gt;0,", "&amp;AD$2,"")&amp;IF(N(AE200)&gt;0,", "&amp;AE$2,"")&amp;IF(N(AF200)&gt;0,", "&amp;AF$2,"")&amp;IF(N(AG200)&gt;0,", "&amp;AG$2,"")&amp;IF(N(AH200)&gt;0,", "&amp;AH$2,"")&amp;IF(N(AI200)&gt;0,", "&amp;AI$2,"")&amp;IF(N(AJ200)&gt;0,", "&amp;AJ$2,""),3,999)</f>
        <v/>
      </c>
      <c r="AM200" s="87" t="str">
        <f aca="false">IF(E200="","",MID(IF(N(Y200)&gt;0,", "&amp;A200&amp;"-"&amp;Y$2,"")&amp;IF(N(Z200)&gt;0,", "&amp;A200&amp;"-"&amp;Z$2,"")&amp;IF(N(AA200)&gt;0,", "&amp;A200&amp;"-"&amp;AA$2,"")&amp;IF(N(AB200)&gt;0,", "&amp;A200&amp;"-"&amp;AB$2,"")&amp;IF(N(AC200)&gt;0,", "&amp;A200&amp;"-"&amp;AC$2,"")&amp;IF(N(AD200)&gt;0,", "&amp;A200&amp;"-"&amp;AD$2,"")&amp;IF(N(AE200)&gt;0,", "&amp;A200&amp;"-"&amp;AE$2,"")&amp;IF(N(AF200)&gt;0,", "&amp;A200&amp;"-"&amp;AF$2,"")&amp;IF(N(AG200)&gt;0,", "&amp;A200&amp;"-"&amp;AG$2,"")&amp;IF(N(AH200)&gt;0,", "&amp;A200&amp;"-"&amp;AH$2,"")&amp;IF(N(AI200)&gt;0,", "&amp;A200&amp;"-"&amp;AI$2,"")&amp;IF(N(AJ200)&gt;0,", "&amp;A200&amp;"-"&amp;AJ$2,""),3,999))</f>
        <v/>
      </c>
      <c r="AN200" s="81"/>
      <c r="AO200" s="88"/>
      <c r="AP200" s="89" t="str">
        <f aca="false">IF(AO200="","",ROUND(AO200/(1+Справочники!$B$13),2))</f>
        <v/>
      </c>
      <c r="AQ200" s="90" t="str">
        <f aca="false" t="array" ref="AQ200:AQ200">IF(AP200="","",AP200*INDEX(Справочники!$B$4:$B$7,MATCH("RUB",Справочники!$A$4:$A$7,0)))</f>
        <v/>
      </c>
      <c r="AR200" s="90" t="str">
        <f aca="false">IF(AQ200="","",ROUND(AQ200*(1+Справочники!$B$12),0))</f>
        <v/>
      </c>
      <c r="AS200" s="90" t="str">
        <f aca="false">IF(AR200="","",ROUND(AR200*(1-Справочники!$B$11),0))</f>
        <v/>
      </c>
      <c r="AT200" s="88"/>
      <c r="AU200" s="90" t="str">
        <f aca="false">IF(AT200="","",ROUND(AT200/(1+Справочники!$B$12),0))</f>
        <v/>
      </c>
      <c r="AV200" s="90" t="str">
        <f aca="false">IF(AT200="","",ROUND(AT200*(1-Справочники!$B$15),0))</f>
        <v/>
      </c>
      <c r="AW200" s="90" t="str">
        <f aca="false">IF(AT200="","",ROUND(AT200*(1-Справочники!$B$16),0))</f>
        <v/>
      </c>
      <c r="AX200" s="90" t="str">
        <f aca="false">IF(AT200="","",ROUND(AT200*(1-Справочники!$B$17),0))</f>
        <v/>
      </c>
      <c r="AY200" s="90" t="str">
        <f aca="false">IF(AT200="","",ROUND(AT200*(1-Справочники!$B$18),0))</f>
        <v/>
      </c>
      <c r="AZ200" s="90" t="str">
        <f aca="false">IF(AT200="","",ROUND(AT200*(1-Справочники!$B$19),0))</f>
        <v/>
      </c>
      <c r="BA200" s="81"/>
      <c r="BB200" s="81"/>
      <c r="BC200" s="81"/>
      <c r="BD200" s="81"/>
      <c r="BE200" s="91"/>
      <c r="BF200" s="81" t="s">
        <v>103</v>
      </c>
      <c r="BG200" s="89" t="n">
        <f aca="false" t="array" ref="BG200:BG200">IF(BF200="","",IFERROR(INDEX(Справочники!$B$4:$B$7,MATCH(BF200,Справочники!$A$4:$A$7,0)),""))</f>
        <v>68.5</v>
      </c>
      <c r="BH200" s="90" t="str">
        <f aca="false">IF(N(BN200)&gt;0,ROUND(SUMIF(ЗАКАЗЫ!$F$3:$F$500,$A200,ЗАКАЗЫ!$Y$3:$Y$500)/BN200,0),IF(OR(BE200="",BG200=""),"",ROUND(BE200*BG200*(1+Справочники!$B$10),0)))</f>
        <v/>
      </c>
      <c r="BI200" s="92" t="str">
        <f aca="false">IF(OR(AU200="",BH200="",AU200=0),"",(AU200-BH200)/AU200)</f>
        <v/>
      </c>
      <c r="BJ200" s="81"/>
      <c r="BK200" s="83"/>
      <c r="BL200" s="43" t="str">
        <f aca="false">IFERROR(INDEX(ЗАКАЗЫ!$N$3:$N$500,MATCH($A200,ЗАКАЗЫ!$F$3:$F$500,0)),"")</f>
        <v/>
      </c>
      <c r="BM200" s="8" t="str">
        <f aca="false">IF(BL200="","",IFERROR(VLOOKUP(BL200,'ТН ВЭД'!$A$4:$C$40,3,0),""))</f>
        <v/>
      </c>
      <c r="BN200" s="7" t="str">
        <f aca="false">IF(COUNTIF(ЗАКАЗЫ!$F$3:$F$500,$A200)=0,"",SUMIF(ЗАКАЗЫ!$F$3:$F$500,$A200,ЗАКАЗЫ!$J$3:$J$500))</f>
        <v/>
      </c>
      <c r="BO200" s="7" t="str">
        <f aca="false">IF(BN200="","",SUMIF(ЗАКАЗЫ!$F$3:$F$500,$A200,ЗАКАЗЫ!$AL$3:$AL$500))</f>
        <v/>
      </c>
      <c r="BP200" s="7" t="str">
        <f aca="false">IF(BN200="","",BN200-BO200)</f>
        <v/>
      </c>
      <c r="BQ200" s="55" t="str">
        <f aca="false">IF(BN200="","",IF(BO200&gt;=BN200,"На складе",IF(BO200&gt;0,"Частично","Ждём")))</f>
        <v/>
      </c>
      <c r="BR200" s="43"/>
      <c r="BS200" s="47" t="str">
        <f aca="false">IF(BN200="","",IF(_xlfn.MAXIFS(ЗАКАЗЫ!$AK$3:$AK$500,ЗАКАЗЫ!$F$3:$F$500,$A200)=0,"",_xlfn.MAXIFS(ЗАКАЗЫ!$AK$3:$AK$500,ЗАКАЗЫ!$F$3:$F$500,$A200)))</f>
        <v/>
      </c>
    </row>
    <row r="201" customFormat="false" ht="15.75" hidden="false" customHeight="true" outlineLevel="0" collapsed="false">
      <c r="A201" s="80" t="s">
        <v>2068</v>
      </c>
      <c r="B201" s="81"/>
      <c r="C201" s="81"/>
      <c r="D201" s="81"/>
      <c r="E201" s="83"/>
      <c r="F201" s="81"/>
      <c r="G201" s="83"/>
      <c r="H201" s="83"/>
      <c r="I201" s="84" t="str">
        <f aca="false">IF(E201="","",A201&amp;"_1.jpg")</f>
        <v/>
      </c>
      <c r="J201" s="84" t="str">
        <f aca="false">IF(E201="","",A201&amp;"_2.jpg; "&amp;A201&amp;"_3.jpg")</f>
        <v/>
      </c>
      <c r="K201" s="84" t="str">
        <f aca="false">IF(E201="","",A201&amp;"_schema.jpg")</f>
        <v/>
      </c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 t="s">
        <v>96</v>
      </c>
      <c r="W201" s="81"/>
      <c r="X201" s="81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6" t="str">
        <f aca="false">IF(SUM(Y201:AJ201)=0,"",SUM(Y201:AJ201))</f>
        <v/>
      </c>
      <c r="AL201" s="84" t="str">
        <f aca="false">MID(IF(N(Y201)&gt;0,", "&amp;Y$2,"")&amp;IF(N(Z201)&gt;0,", "&amp;Z$2,"")&amp;IF(N(AA201)&gt;0,", "&amp;AA$2,"")&amp;IF(N(AB201)&gt;0,", "&amp;AB$2,"")&amp;IF(N(AC201)&gt;0,", "&amp;AC$2,"")&amp;IF(N(AD201)&gt;0,", "&amp;AD$2,"")&amp;IF(N(AE201)&gt;0,", "&amp;AE$2,"")&amp;IF(N(AF201)&gt;0,", "&amp;AF$2,"")&amp;IF(N(AG201)&gt;0,", "&amp;AG$2,"")&amp;IF(N(AH201)&gt;0,", "&amp;AH$2,"")&amp;IF(N(AI201)&gt;0,", "&amp;AI$2,"")&amp;IF(N(AJ201)&gt;0,", "&amp;AJ$2,""),3,999)</f>
        <v/>
      </c>
      <c r="AM201" s="87" t="str">
        <f aca="false">IF(E201="","",MID(IF(N(Y201)&gt;0,", "&amp;A201&amp;"-"&amp;Y$2,"")&amp;IF(N(Z201)&gt;0,", "&amp;A201&amp;"-"&amp;Z$2,"")&amp;IF(N(AA201)&gt;0,", "&amp;A201&amp;"-"&amp;AA$2,"")&amp;IF(N(AB201)&gt;0,", "&amp;A201&amp;"-"&amp;AB$2,"")&amp;IF(N(AC201)&gt;0,", "&amp;A201&amp;"-"&amp;AC$2,"")&amp;IF(N(AD201)&gt;0,", "&amp;A201&amp;"-"&amp;AD$2,"")&amp;IF(N(AE201)&gt;0,", "&amp;A201&amp;"-"&amp;AE$2,"")&amp;IF(N(AF201)&gt;0,", "&amp;A201&amp;"-"&amp;AF$2,"")&amp;IF(N(AG201)&gt;0,", "&amp;A201&amp;"-"&amp;AG$2,"")&amp;IF(N(AH201)&gt;0,", "&amp;A201&amp;"-"&amp;AH$2,"")&amp;IF(N(AI201)&gt;0,", "&amp;A201&amp;"-"&amp;AI$2,"")&amp;IF(N(AJ201)&gt;0,", "&amp;A201&amp;"-"&amp;AJ$2,""),3,999))</f>
        <v/>
      </c>
      <c r="AN201" s="81"/>
      <c r="AO201" s="88"/>
      <c r="AP201" s="89" t="str">
        <f aca="false">IF(AO201="","",ROUND(AO201/(1+Справочники!$B$13),2))</f>
        <v/>
      </c>
      <c r="AQ201" s="90" t="str">
        <f aca="false" t="array" ref="AQ201:AQ201">IF(AP201="","",AP201*INDEX(Справочники!$B$4:$B$7,MATCH("RUB",Справочники!$A$4:$A$7,0)))</f>
        <v/>
      </c>
      <c r="AR201" s="90" t="str">
        <f aca="false">IF(AQ201="","",ROUND(AQ201*(1+Справочники!$B$12),0))</f>
        <v/>
      </c>
      <c r="AS201" s="90" t="str">
        <f aca="false">IF(AR201="","",ROUND(AR201*(1-Справочники!$B$11),0))</f>
        <v/>
      </c>
      <c r="AT201" s="88"/>
      <c r="AU201" s="90" t="str">
        <f aca="false">IF(AT201="","",ROUND(AT201/(1+Справочники!$B$12),0))</f>
        <v/>
      </c>
      <c r="AV201" s="90" t="str">
        <f aca="false">IF(AT201="","",ROUND(AT201*(1-Справочники!$B$15),0))</f>
        <v/>
      </c>
      <c r="AW201" s="90" t="str">
        <f aca="false">IF(AT201="","",ROUND(AT201*(1-Справочники!$B$16),0))</f>
        <v/>
      </c>
      <c r="AX201" s="90" t="str">
        <f aca="false">IF(AT201="","",ROUND(AT201*(1-Справочники!$B$17),0))</f>
        <v/>
      </c>
      <c r="AY201" s="90" t="str">
        <f aca="false">IF(AT201="","",ROUND(AT201*(1-Справочники!$B$18),0))</f>
        <v/>
      </c>
      <c r="AZ201" s="90" t="str">
        <f aca="false">IF(AT201="","",ROUND(AT201*(1-Справочники!$B$19),0))</f>
        <v/>
      </c>
      <c r="BA201" s="81"/>
      <c r="BB201" s="81"/>
      <c r="BC201" s="81"/>
      <c r="BD201" s="81"/>
      <c r="BE201" s="91"/>
      <c r="BF201" s="81" t="s">
        <v>103</v>
      </c>
      <c r="BG201" s="89" t="n">
        <f aca="false" t="array" ref="BG201:BG201">IF(BF201="","",IFERROR(INDEX(Справочники!$B$4:$B$7,MATCH(BF201,Справочники!$A$4:$A$7,0)),""))</f>
        <v>68.5</v>
      </c>
      <c r="BH201" s="90" t="str">
        <f aca="false">IF(N(BN201)&gt;0,ROUND(SUMIF(ЗАКАЗЫ!$F$3:$F$500,$A201,ЗАКАЗЫ!$Y$3:$Y$500)/BN201,0),IF(OR(BE201="",BG201=""),"",ROUND(BE201*BG201*(1+Справочники!$B$10),0)))</f>
        <v/>
      </c>
      <c r="BI201" s="92" t="str">
        <f aca="false">IF(OR(AU201="",BH201="",AU201=0),"",(AU201-BH201)/AU201)</f>
        <v/>
      </c>
      <c r="BJ201" s="81"/>
      <c r="BK201" s="83"/>
      <c r="BL201" s="43" t="str">
        <f aca="false">IFERROR(INDEX(ЗАКАЗЫ!$N$3:$N$500,MATCH($A201,ЗАКАЗЫ!$F$3:$F$500,0)),"")</f>
        <v/>
      </c>
      <c r="BM201" s="8" t="str">
        <f aca="false">IF(BL201="","",IFERROR(VLOOKUP(BL201,'ТН ВЭД'!$A$4:$C$40,3,0),""))</f>
        <v/>
      </c>
      <c r="BN201" s="7" t="str">
        <f aca="false">IF(COUNTIF(ЗАКАЗЫ!$F$3:$F$500,$A201)=0,"",SUMIF(ЗАКАЗЫ!$F$3:$F$500,$A201,ЗАКАЗЫ!$J$3:$J$500))</f>
        <v/>
      </c>
      <c r="BO201" s="7" t="str">
        <f aca="false">IF(BN201="","",SUMIF(ЗАКАЗЫ!$F$3:$F$500,$A201,ЗАКАЗЫ!$AL$3:$AL$500))</f>
        <v/>
      </c>
      <c r="BP201" s="7" t="str">
        <f aca="false">IF(BN201="","",BN201-BO201)</f>
        <v/>
      </c>
      <c r="BQ201" s="55" t="str">
        <f aca="false">IF(BN201="","",IF(BO201&gt;=BN201,"На складе",IF(BO201&gt;0,"Частично","Ждём")))</f>
        <v/>
      </c>
      <c r="BR201" s="43"/>
      <c r="BS201" s="47" t="str">
        <f aca="false">IF(BN201="","",IF(_xlfn.MAXIFS(ЗАКАЗЫ!$AK$3:$AK$500,ЗАКАЗЫ!$F$3:$F$500,$A201)=0,"",_xlfn.MAXIFS(ЗАКАЗЫ!$AK$3:$AK$500,ЗАКАЗЫ!$F$3:$F$500,$A201)))</f>
        <v/>
      </c>
    </row>
    <row r="202" customFormat="false" ht="15.75" hidden="false" customHeight="true" outlineLevel="0" collapsed="false">
      <c r="A202" s="80" t="s">
        <v>2069</v>
      </c>
      <c r="B202" s="81"/>
      <c r="C202" s="81"/>
      <c r="D202" s="81"/>
      <c r="E202" s="83"/>
      <c r="F202" s="81"/>
      <c r="G202" s="83"/>
      <c r="H202" s="83"/>
      <c r="I202" s="84" t="str">
        <f aca="false">IF(E202="","",A202&amp;"_1.jpg")</f>
        <v/>
      </c>
      <c r="J202" s="84" t="str">
        <f aca="false">IF(E202="","",A202&amp;"_2.jpg; "&amp;A202&amp;"_3.jpg")</f>
        <v/>
      </c>
      <c r="K202" s="84" t="str">
        <f aca="false">IF(E202="","",A202&amp;"_schema.jpg")</f>
        <v/>
      </c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 t="s">
        <v>96</v>
      </c>
      <c r="W202" s="81"/>
      <c r="X202" s="81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6" t="str">
        <f aca="false">IF(SUM(Y202:AJ202)=0,"",SUM(Y202:AJ202))</f>
        <v/>
      </c>
      <c r="AL202" s="84" t="str">
        <f aca="false">MID(IF(N(Y202)&gt;0,", "&amp;Y$2,"")&amp;IF(N(Z202)&gt;0,", "&amp;Z$2,"")&amp;IF(N(AA202)&gt;0,", "&amp;AA$2,"")&amp;IF(N(AB202)&gt;0,", "&amp;AB$2,"")&amp;IF(N(AC202)&gt;0,", "&amp;AC$2,"")&amp;IF(N(AD202)&gt;0,", "&amp;AD$2,"")&amp;IF(N(AE202)&gt;0,", "&amp;AE$2,"")&amp;IF(N(AF202)&gt;0,", "&amp;AF$2,"")&amp;IF(N(AG202)&gt;0,", "&amp;AG$2,"")&amp;IF(N(AH202)&gt;0,", "&amp;AH$2,"")&amp;IF(N(AI202)&gt;0,", "&amp;AI$2,"")&amp;IF(N(AJ202)&gt;0,", "&amp;AJ$2,""),3,999)</f>
        <v/>
      </c>
      <c r="AM202" s="87" t="str">
        <f aca="false">IF(E202="","",MID(IF(N(Y202)&gt;0,", "&amp;A202&amp;"-"&amp;Y$2,"")&amp;IF(N(Z202)&gt;0,", "&amp;A202&amp;"-"&amp;Z$2,"")&amp;IF(N(AA202)&gt;0,", "&amp;A202&amp;"-"&amp;AA$2,"")&amp;IF(N(AB202)&gt;0,", "&amp;A202&amp;"-"&amp;AB$2,"")&amp;IF(N(AC202)&gt;0,", "&amp;A202&amp;"-"&amp;AC$2,"")&amp;IF(N(AD202)&gt;0,", "&amp;A202&amp;"-"&amp;AD$2,"")&amp;IF(N(AE202)&gt;0,", "&amp;A202&amp;"-"&amp;AE$2,"")&amp;IF(N(AF202)&gt;0,", "&amp;A202&amp;"-"&amp;AF$2,"")&amp;IF(N(AG202)&gt;0,", "&amp;A202&amp;"-"&amp;AG$2,"")&amp;IF(N(AH202)&gt;0,", "&amp;A202&amp;"-"&amp;AH$2,"")&amp;IF(N(AI202)&gt;0,", "&amp;A202&amp;"-"&amp;AI$2,"")&amp;IF(N(AJ202)&gt;0,", "&amp;A202&amp;"-"&amp;AJ$2,""),3,999))</f>
        <v/>
      </c>
      <c r="AN202" s="81"/>
      <c r="AO202" s="88"/>
      <c r="AP202" s="89" t="str">
        <f aca="false">IF(AO202="","",ROUND(AO202/(1+Справочники!$B$13),2))</f>
        <v/>
      </c>
      <c r="AQ202" s="90" t="str">
        <f aca="false" t="array" ref="AQ202:AQ202">IF(AP202="","",AP202*INDEX(Справочники!$B$4:$B$7,MATCH("RUB",Справочники!$A$4:$A$7,0)))</f>
        <v/>
      </c>
      <c r="AR202" s="90" t="str">
        <f aca="false">IF(AQ202="","",ROUND(AQ202*(1+Справочники!$B$12),0))</f>
        <v/>
      </c>
      <c r="AS202" s="90" t="str">
        <f aca="false">IF(AR202="","",ROUND(AR202*(1-Справочники!$B$11),0))</f>
        <v/>
      </c>
      <c r="AT202" s="88"/>
      <c r="AU202" s="90" t="str">
        <f aca="false">IF(AT202="","",ROUND(AT202/(1+Справочники!$B$12),0))</f>
        <v/>
      </c>
      <c r="AV202" s="90" t="str">
        <f aca="false">IF(AT202="","",ROUND(AT202*(1-Справочники!$B$15),0))</f>
        <v/>
      </c>
      <c r="AW202" s="90" t="str">
        <f aca="false">IF(AT202="","",ROUND(AT202*(1-Справочники!$B$16),0))</f>
        <v/>
      </c>
      <c r="AX202" s="90" t="str">
        <f aca="false">IF(AT202="","",ROUND(AT202*(1-Справочники!$B$17),0))</f>
        <v/>
      </c>
      <c r="AY202" s="90" t="str">
        <f aca="false">IF(AT202="","",ROUND(AT202*(1-Справочники!$B$18),0))</f>
        <v/>
      </c>
      <c r="AZ202" s="90" t="str">
        <f aca="false">IF(AT202="","",ROUND(AT202*(1-Справочники!$B$19),0))</f>
        <v/>
      </c>
      <c r="BA202" s="81"/>
      <c r="BB202" s="81"/>
      <c r="BC202" s="81"/>
      <c r="BD202" s="81"/>
      <c r="BE202" s="91"/>
      <c r="BF202" s="81" t="s">
        <v>103</v>
      </c>
      <c r="BG202" s="89" t="n">
        <f aca="false" t="array" ref="BG202:BG202">IF(BF202="","",IFERROR(INDEX(Справочники!$B$4:$B$7,MATCH(BF202,Справочники!$A$4:$A$7,0)),""))</f>
        <v>68.5</v>
      </c>
      <c r="BH202" s="90" t="str">
        <f aca="false">IF(N(BN202)&gt;0,ROUND(SUMIF(ЗАКАЗЫ!$F$3:$F$500,$A202,ЗАКАЗЫ!$Y$3:$Y$500)/BN202,0),IF(OR(BE202="",BG202=""),"",ROUND(BE202*BG202*(1+Справочники!$B$10),0)))</f>
        <v/>
      </c>
      <c r="BI202" s="92" t="str">
        <f aca="false">IF(OR(AU202="",BH202="",AU202=0),"",(AU202-BH202)/AU202)</f>
        <v/>
      </c>
      <c r="BJ202" s="81"/>
      <c r="BK202" s="83"/>
      <c r="BL202" s="43" t="str">
        <f aca="false">IFERROR(INDEX(ЗАКАЗЫ!$N$3:$N$500,MATCH($A202,ЗАКАЗЫ!$F$3:$F$500,0)),"")</f>
        <v/>
      </c>
      <c r="BM202" s="8" t="str">
        <f aca="false">IF(BL202="","",IFERROR(VLOOKUP(BL202,'ТН ВЭД'!$A$4:$C$40,3,0),""))</f>
        <v/>
      </c>
      <c r="BN202" s="7" t="str">
        <f aca="false">IF(COUNTIF(ЗАКАЗЫ!$F$3:$F$500,$A202)=0,"",SUMIF(ЗАКАЗЫ!$F$3:$F$500,$A202,ЗАКАЗЫ!$J$3:$J$500))</f>
        <v/>
      </c>
      <c r="BO202" s="7" t="str">
        <f aca="false">IF(BN202="","",SUMIF(ЗАКАЗЫ!$F$3:$F$500,$A202,ЗАКАЗЫ!$AL$3:$AL$500))</f>
        <v/>
      </c>
      <c r="BP202" s="7" t="str">
        <f aca="false">IF(BN202="","",BN202-BO202)</f>
        <v/>
      </c>
      <c r="BQ202" s="55" t="str">
        <f aca="false">IF(BN202="","",IF(BO202&gt;=BN202,"На складе",IF(BO202&gt;0,"Частично","Ждём")))</f>
        <v/>
      </c>
      <c r="BR202" s="43"/>
      <c r="BS202" s="47" t="str">
        <f aca="false">IF(BN202="","",IF(_xlfn.MAXIFS(ЗАКАЗЫ!$AK$3:$AK$500,ЗАКАЗЫ!$F$3:$F$500,$A202)=0,"",_xlfn.MAXIFS(ЗАКАЗЫ!$AK$3:$AK$500,ЗАКАЗЫ!$F$3:$F$500,$A202)))</f>
        <v/>
      </c>
    </row>
    <row r="203" customFormat="false" ht="15.75" hidden="false" customHeight="true" outlineLevel="0" collapsed="false">
      <c r="A203" s="80" t="s">
        <v>2070</v>
      </c>
      <c r="B203" s="81"/>
      <c r="C203" s="81"/>
      <c r="D203" s="81"/>
      <c r="E203" s="83"/>
      <c r="F203" s="81"/>
      <c r="G203" s="83"/>
      <c r="H203" s="83"/>
      <c r="I203" s="84" t="str">
        <f aca="false">IF(E203="","",A203&amp;"_1.jpg")</f>
        <v/>
      </c>
      <c r="J203" s="84" t="str">
        <f aca="false">IF(E203="","",A203&amp;"_2.jpg; "&amp;A203&amp;"_3.jpg")</f>
        <v/>
      </c>
      <c r="K203" s="84" t="str">
        <f aca="false">IF(E203="","",A203&amp;"_schema.jpg")</f>
        <v/>
      </c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 t="s">
        <v>96</v>
      </c>
      <c r="W203" s="81"/>
      <c r="X203" s="81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6" t="str">
        <f aca="false">IF(SUM(Y203:AJ203)=0,"",SUM(Y203:AJ203))</f>
        <v/>
      </c>
      <c r="AL203" s="84" t="str">
        <f aca="false">MID(IF(N(Y203)&gt;0,", "&amp;Y$2,"")&amp;IF(N(Z203)&gt;0,", "&amp;Z$2,"")&amp;IF(N(AA203)&gt;0,", "&amp;AA$2,"")&amp;IF(N(AB203)&gt;0,", "&amp;AB$2,"")&amp;IF(N(AC203)&gt;0,", "&amp;AC$2,"")&amp;IF(N(AD203)&gt;0,", "&amp;AD$2,"")&amp;IF(N(AE203)&gt;0,", "&amp;AE$2,"")&amp;IF(N(AF203)&gt;0,", "&amp;AF$2,"")&amp;IF(N(AG203)&gt;0,", "&amp;AG$2,"")&amp;IF(N(AH203)&gt;0,", "&amp;AH$2,"")&amp;IF(N(AI203)&gt;0,", "&amp;AI$2,"")&amp;IF(N(AJ203)&gt;0,", "&amp;AJ$2,""),3,999)</f>
        <v/>
      </c>
      <c r="AM203" s="87" t="str">
        <f aca="false">IF(E203="","",MID(IF(N(Y203)&gt;0,", "&amp;A203&amp;"-"&amp;Y$2,"")&amp;IF(N(Z203)&gt;0,", "&amp;A203&amp;"-"&amp;Z$2,"")&amp;IF(N(AA203)&gt;0,", "&amp;A203&amp;"-"&amp;AA$2,"")&amp;IF(N(AB203)&gt;0,", "&amp;A203&amp;"-"&amp;AB$2,"")&amp;IF(N(AC203)&gt;0,", "&amp;A203&amp;"-"&amp;AC$2,"")&amp;IF(N(AD203)&gt;0,", "&amp;A203&amp;"-"&amp;AD$2,"")&amp;IF(N(AE203)&gt;0,", "&amp;A203&amp;"-"&amp;AE$2,"")&amp;IF(N(AF203)&gt;0,", "&amp;A203&amp;"-"&amp;AF$2,"")&amp;IF(N(AG203)&gt;0,", "&amp;A203&amp;"-"&amp;AG$2,"")&amp;IF(N(AH203)&gt;0,", "&amp;A203&amp;"-"&amp;AH$2,"")&amp;IF(N(AI203)&gt;0,", "&amp;A203&amp;"-"&amp;AI$2,"")&amp;IF(N(AJ203)&gt;0,", "&amp;A203&amp;"-"&amp;AJ$2,""),3,999))</f>
        <v/>
      </c>
      <c r="AN203" s="81"/>
      <c r="AO203" s="88"/>
      <c r="AP203" s="89" t="str">
        <f aca="false">IF(AO203="","",ROUND(AO203/(1+Справочники!$B$13),2))</f>
        <v/>
      </c>
      <c r="AQ203" s="90" t="str">
        <f aca="false" t="array" ref="AQ203:AQ203">IF(AP203="","",AP203*INDEX(Справочники!$B$4:$B$7,MATCH("RUB",Справочники!$A$4:$A$7,0)))</f>
        <v/>
      </c>
      <c r="AR203" s="90" t="str">
        <f aca="false">IF(AQ203="","",ROUND(AQ203*(1+Справочники!$B$12),0))</f>
        <v/>
      </c>
      <c r="AS203" s="90" t="str">
        <f aca="false">IF(AR203="","",ROUND(AR203*(1-Справочники!$B$11),0))</f>
        <v/>
      </c>
      <c r="AT203" s="88"/>
      <c r="AU203" s="90" t="str">
        <f aca="false">IF(AT203="","",ROUND(AT203/(1+Справочники!$B$12),0))</f>
        <v/>
      </c>
      <c r="AV203" s="90" t="str">
        <f aca="false">IF(AT203="","",ROUND(AT203*(1-Справочники!$B$15),0))</f>
        <v/>
      </c>
      <c r="AW203" s="90" t="str">
        <f aca="false">IF(AT203="","",ROUND(AT203*(1-Справочники!$B$16),0))</f>
        <v/>
      </c>
      <c r="AX203" s="90" t="str">
        <f aca="false">IF(AT203="","",ROUND(AT203*(1-Справочники!$B$17),0))</f>
        <v/>
      </c>
      <c r="AY203" s="90" t="str">
        <f aca="false">IF(AT203="","",ROUND(AT203*(1-Справочники!$B$18),0))</f>
        <v/>
      </c>
      <c r="AZ203" s="90" t="str">
        <f aca="false">IF(AT203="","",ROUND(AT203*(1-Справочники!$B$19),0))</f>
        <v/>
      </c>
      <c r="BA203" s="81"/>
      <c r="BB203" s="81"/>
      <c r="BC203" s="81"/>
      <c r="BD203" s="81"/>
      <c r="BE203" s="91"/>
      <c r="BF203" s="81" t="s">
        <v>103</v>
      </c>
      <c r="BG203" s="89" t="n">
        <f aca="false" t="array" ref="BG203:BG203">IF(BF203="","",IFERROR(INDEX(Справочники!$B$4:$B$7,MATCH(BF203,Справочники!$A$4:$A$7,0)),""))</f>
        <v>68.5</v>
      </c>
      <c r="BH203" s="90" t="str">
        <f aca="false">IF(N(BN203)&gt;0,ROUND(SUMIF(ЗАКАЗЫ!$F$3:$F$500,$A203,ЗАКАЗЫ!$Y$3:$Y$500)/BN203,0),IF(OR(BE203="",BG203=""),"",ROUND(BE203*BG203*(1+Справочники!$B$10),0)))</f>
        <v/>
      </c>
      <c r="BI203" s="92" t="str">
        <f aca="false">IF(OR(AU203="",BH203="",AU203=0),"",(AU203-BH203)/AU203)</f>
        <v/>
      </c>
      <c r="BJ203" s="81"/>
      <c r="BK203" s="83"/>
      <c r="BL203" s="43" t="str">
        <f aca="false">IFERROR(INDEX(ЗАКАЗЫ!$N$3:$N$500,MATCH($A203,ЗАКАЗЫ!$F$3:$F$500,0)),"")</f>
        <v/>
      </c>
      <c r="BM203" s="8" t="str">
        <f aca="false">IF(BL203="","",IFERROR(VLOOKUP(BL203,'ТН ВЭД'!$A$4:$C$40,3,0),""))</f>
        <v/>
      </c>
      <c r="BN203" s="7" t="str">
        <f aca="false">IF(COUNTIF(ЗАКАЗЫ!$F$3:$F$500,$A203)=0,"",SUMIF(ЗАКАЗЫ!$F$3:$F$500,$A203,ЗАКАЗЫ!$J$3:$J$500))</f>
        <v/>
      </c>
      <c r="BO203" s="7" t="str">
        <f aca="false">IF(BN203="","",SUMIF(ЗАКАЗЫ!$F$3:$F$500,$A203,ЗАКАЗЫ!$AL$3:$AL$500))</f>
        <v/>
      </c>
      <c r="BP203" s="7" t="str">
        <f aca="false">IF(BN203="","",BN203-BO203)</f>
        <v/>
      </c>
      <c r="BQ203" s="55" t="str">
        <f aca="false">IF(BN203="","",IF(BO203&gt;=BN203,"На складе",IF(BO203&gt;0,"Частично","Ждём")))</f>
        <v/>
      </c>
      <c r="BR203" s="43"/>
      <c r="BS203" s="47" t="str">
        <f aca="false">IF(BN203="","",IF(_xlfn.MAXIFS(ЗАКАЗЫ!$AK$3:$AK$500,ЗАКАЗЫ!$F$3:$F$500,$A203)=0,"",_xlfn.MAXIFS(ЗАКАЗЫ!$AK$3:$AK$500,ЗАКАЗЫ!$F$3:$F$500,$A203)))</f>
        <v/>
      </c>
    </row>
    <row r="204" customFormat="false" ht="15.75" hidden="false" customHeight="true" outlineLevel="0" collapsed="false">
      <c r="A204" s="80" t="s">
        <v>2071</v>
      </c>
      <c r="B204" s="81"/>
      <c r="C204" s="81"/>
      <c r="D204" s="81"/>
      <c r="E204" s="83"/>
      <c r="F204" s="81"/>
      <c r="G204" s="83"/>
      <c r="H204" s="83"/>
      <c r="I204" s="84" t="str">
        <f aca="false">IF(E204="","",A204&amp;"_1.jpg")</f>
        <v/>
      </c>
      <c r="J204" s="84" t="str">
        <f aca="false">IF(E204="","",A204&amp;"_2.jpg; "&amp;A204&amp;"_3.jpg")</f>
        <v/>
      </c>
      <c r="K204" s="84" t="str">
        <f aca="false">IF(E204="","",A204&amp;"_schema.jpg")</f>
        <v/>
      </c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 t="s">
        <v>96</v>
      </c>
      <c r="W204" s="81"/>
      <c r="X204" s="81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6" t="str">
        <f aca="false">IF(SUM(Y204:AJ204)=0,"",SUM(Y204:AJ204))</f>
        <v/>
      </c>
      <c r="AL204" s="84" t="str">
        <f aca="false">MID(IF(N(Y204)&gt;0,", "&amp;Y$2,"")&amp;IF(N(Z204)&gt;0,", "&amp;Z$2,"")&amp;IF(N(AA204)&gt;0,", "&amp;AA$2,"")&amp;IF(N(AB204)&gt;0,", "&amp;AB$2,"")&amp;IF(N(AC204)&gt;0,", "&amp;AC$2,"")&amp;IF(N(AD204)&gt;0,", "&amp;AD$2,"")&amp;IF(N(AE204)&gt;0,", "&amp;AE$2,"")&amp;IF(N(AF204)&gt;0,", "&amp;AF$2,"")&amp;IF(N(AG204)&gt;0,", "&amp;AG$2,"")&amp;IF(N(AH204)&gt;0,", "&amp;AH$2,"")&amp;IF(N(AI204)&gt;0,", "&amp;AI$2,"")&amp;IF(N(AJ204)&gt;0,", "&amp;AJ$2,""),3,999)</f>
        <v/>
      </c>
      <c r="AM204" s="87" t="str">
        <f aca="false">IF(E204="","",MID(IF(N(Y204)&gt;0,", "&amp;A204&amp;"-"&amp;Y$2,"")&amp;IF(N(Z204)&gt;0,", "&amp;A204&amp;"-"&amp;Z$2,"")&amp;IF(N(AA204)&gt;0,", "&amp;A204&amp;"-"&amp;AA$2,"")&amp;IF(N(AB204)&gt;0,", "&amp;A204&amp;"-"&amp;AB$2,"")&amp;IF(N(AC204)&gt;0,", "&amp;A204&amp;"-"&amp;AC$2,"")&amp;IF(N(AD204)&gt;0,", "&amp;A204&amp;"-"&amp;AD$2,"")&amp;IF(N(AE204)&gt;0,", "&amp;A204&amp;"-"&amp;AE$2,"")&amp;IF(N(AF204)&gt;0,", "&amp;A204&amp;"-"&amp;AF$2,"")&amp;IF(N(AG204)&gt;0,", "&amp;A204&amp;"-"&amp;AG$2,"")&amp;IF(N(AH204)&gt;0,", "&amp;A204&amp;"-"&amp;AH$2,"")&amp;IF(N(AI204)&gt;0,", "&amp;A204&amp;"-"&amp;AI$2,"")&amp;IF(N(AJ204)&gt;0,", "&amp;A204&amp;"-"&amp;AJ$2,""),3,999))</f>
        <v/>
      </c>
      <c r="AN204" s="81"/>
      <c r="AO204" s="88"/>
      <c r="AP204" s="89" t="str">
        <f aca="false">IF(AO204="","",ROUND(AO204/(1+Справочники!$B$13),2))</f>
        <v/>
      </c>
      <c r="AQ204" s="90" t="str">
        <f aca="false" t="array" ref="AQ204:AQ204">IF(AP204="","",AP204*INDEX(Справочники!$B$4:$B$7,MATCH("RUB",Справочники!$A$4:$A$7,0)))</f>
        <v/>
      </c>
      <c r="AR204" s="90" t="str">
        <f aca="false">IF(AQ204="","",ROUND(AQ204*(1+Справочники!$B$12),0))</f>
        <v/>
      </c>
      <c r="AS204" s="90" t="str">
        <f aca="false">IF(AR204="","",ROUND(AR204*(1-Справочники!$B$11),0))</f>
        <v/>
      </c>
      <c r="AT204" s="88"/>
      <c r="AU204" s="90" t="str">
        <f aca="false">IF(AT204="","",ROUND(AT204/(1+Справочники!$B$12),0))</f>
        <v/>
      </c>
      <c r="AV204" s="90" t="str">
        <f aca="false">IF(AT204="","",ROUND(AT204*(1-Справочники!$B$15),0))</f>
        <v/>
      </c>
      <c r="AW204" s="90" t="str">
        <f aca="false">IF(AT204="","",ROUND(AT204*(1-Справочники!$B$16),0))</f>
        <v/>
      </c>
      <c r="AX204" s="90" t="str">
        <f aca="false">IF(AT204="","",ROUND(AT204*(1-Справочники!$B$17),0))</f>
        <v/>
      </c>
      <c r="AY204" s="90" t="str">
        <f aca="false">IF(AT204="","",ROUND(AT204*(1-Справочники!$B$18),0))</f>
        <v/>
      </c>
      <c r="AZ204" s="90" t="str">
        <f aca="false">IF(AT204="","",ROUND(AT204*(1-Справочники!$B$19),0))</f>
        <v/>
      </c>
      <c r="BA204" s="81"/>
      <c r="BB204" s="81"/>
      <c r="BC204" s="81"/>
      <c r="BD204" s="81"/>
      <c r="BE204" s="91"/>
      <c r="BF204" s="81" t="s">
        <v>103</v>
      </c>
      <c r="BG204" s="89" t="n">
        <f aca="false" t="array" ref="BG204:BG204">IF(BF204="","",IFERROR(INDEX(Справочники!$B$4:$B$7,MATCH(BF204,Справочники!$A$4:$A$7,0)),""))</f>
        <v>68.5</v>
      </c>
      <c r="BH204" s="90" t="str">
        <f aca="false">IF(N(BN204)&gt;0,ROUND(SUMIF(ЗАКАЗЫ!$F$3:$F$500,$A204,ЗАКАЗЫ!$Y$3:$Y$500)/BN204,0),IF(OR(BE204="",BG204=""),"",ROUND(BE204*BG204*(1+Справочники!$B$10),0)))</f>
        <v/>
      </c>
      <c r="BI204" s="92" t="str">
        <f aca="false">IF(OR(AU204="",BH204="",AU204=0),"",(AU204-BH204)/AU204)</f>
        <v/>
      </c>
      <c r="BJ204" s="81"/>
      <c r="BK204" s="83"/>
      <c r="BL204" s="43" t="str">
        <f aca="false">IFERROR(INDEX(ЗАКАЗЫ!$N$3:$N$500,MATCH($A204,ЗАКАЗЫ!$F$3:$F$500,0)),"")</f>
        <v/>
      </c>
      <c r="BM204" s="8" t="str">
        <f aca="false">IF(BL204="","",IFERROR(VLOOKUP(BL204,'ТН ВЭД'!$A$4:$C$40,3,0),""))</f>
        <v/>
      </c>
      <c r="BN204" s="7" t="str">
        <f aca="false">IF(COUNTIF(ЗАКАЗЫ!$F$3:$F$500,$A204)=0,"",SUMIF(ЗАКАЗЫ!$F$3:$F$500,$A204,ЗАКАЗЫ!$J$3:$J$500))</f>
        <v/>
      </c>
      <c r="BO204" s="7" t="str">
        <f aca="false">IF(BN204="","",SUMIF(ЗАКАЗЫ!$F$3:$F$500,$A204,ЗАКАЗЫ!$AL$3:$AL$500))</f>
        <v/>
      </c>
      <c r="BP204" s="7" t="str">
        <f aca="false">IF(BN204="","",BN204-BO204)</f>
        <v/>
      </c>
      <c r="BQ204" s="55" t="str">
        <f aca="false">IF(BN204="","",IF(BO204&gt;=BN204,"На складе",IF(BO204&gt;0,"Частично","Ждём")))</f>
        <v/>
      </c>
      <c r="BR204" s="43"/>
      <c r="BS204" s="47" t="str">
        <f aca="false">IF(BN204="","",IF(_xlfn.MAXIFS(ЗАКАЗЫ!$AK$3:$AK$500,ЗАКАЗЫ!$F$3:$F$500,$A204)=0,"",_xlfn.MAXIFS(ЗАКАЗЫ!$AK$3:$AK$500,ЗАКАЗЫ!$F$3:$F$500,$A204)))</f>
        <v/>
      </c>
    </row>
    <row r="205" customFormat="false" ht="15.75" hidden="false" customHeight="true" outlineLevel="0" collapsed="false">
      <c r="A205" s="80" t="s">
        <v>2072</v>
      </c>
      <c r="B205" s="81"/>
      <c r="C205" s="81"/>
      <c r="D205" s="81"/>
      <c r="E205" s="83"/>
      <c r="F205" s="81"/>
      <c r="G205" s="83"/>
      <c r="H205" s="83"/>
      <c r="I205" s="84" t="str">
        <f aca="false">IF(E205="","",A205&amp;"_1.jpg")</f>
        <v/>
      </c>
      <c r="J205" s="84" t="str">
        <f aca="false">IF(E205="","",A205&amp;"_2.jpg; "&amp;A205&amp;"_3.jpg")</f>
        <v/>
      </c>
      <c r="K205" s="84" t="str">
        <f aca="false">IF(E205="","",A205&amp;"_schema.jpg")</f>
        <v/>
      </c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 t="s">
        <v>96</v>
      </c>
      <c r="W205" s="81"/>
      <c r="X205" s="81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6" t="str">
        <f aca="false">IF(SUM(Y205:AJ205)=0,"",SUM(Y205:AJ205))</f>
        <v/>
      </c>
      <c r="AL205" s="84" t="str">
        <f aca="false">MID(IF(N(Y205)&gt;0,", "&amp;Y$2,"")&amp;IF(N(Z205)&gt;0,", "&amp;Z$2,"")&amp;IF(N(AA205)&gt;0,", "&amp;AA$2,"")&amp;IF(N(AB205)&gt;0,", "&amp;AB$2,"")&amp;IF(N(AC205)&gt;0,", "&amp;AC$2,"")&amp;IF(N(AD205)&gt;0,", "&amp;AD$2,"")&amp;IF(N(AE205)&gt;0,", "&amp;AE$2,"")&amp;IF(N(AF205)&gt;0,", "&amp;AF$2,"")&amp;IF(N(AG205)&gt;0,", "&amp;AG$2,"")&amp;IF(N(AH205)&gt;0,", "&amp;AH$2,"")&amp;IF(N(AI205)&gt;0,", "&amp;AI$2,"")&amp;IF(N(AJ205)&gt;0,", "&amp;AJ$2,""),3,999)</f>
        <v/>
      </c>
      <c r="AM205" s="87" t="str">
        <f aca="false">IF(E205="","",MID(IF(N(Y205)&gt;0,", "&amp;A205&amp;"-"&amp;Y$2,"")&amp;IF(N(Z205)&gt;0,", "&amp;A205&amp;"-"&amp;Z$2,"")&amp;IF(N(AA205)&gt;0,", "&amp;A205&amp;"-"&amp;AA$2,"")&amp;IF(N(AB205)&gt;0,", "&amp;A205&amp;"-"&amp;AB$2,"")&amp;IF(N(AC205)&gt;0,", "&amp;A205&amp;"-"&amp;AC$2,"")&amp;IF(N(AD205)&gt;0,", "&amp;A205&amp;"-"&amp;AD$2,"")&amp;IF(N(AE205)&gt;0,", "&amp;A205&amp;"-"&amp;AE$2,"")&amp;IF(N(AF205)&gt;0,", "&amp;A205&amp;"-"&amp;AF$2,"")&amp;IF(N(AG205)&gt;0,", "&amp;A205&amp;"-"&amp;AG$2,"")&amp;IF(N(AH205)&gt;0,", "&amp;A205&amp;"-"&amp;AH$2,"")&amp;IF(N(AI205)&gt;0,", "&amp;A205&amp;"-"&amp;AI$2,"")&amp;IF(N(AJ205)&gt;0,", "&amp;A205&amp;"-"&amp;AJ$2,""),3,999))</f>
        <v/>
      </c>
      <c r="AN205" s="81"/>
      <c r="AO205" s="88"/>
      <c r="AP205" s="89" t="str">
        <f aca="false">IF(AO205="","",ROUND(AO205/(1+Справочники!$B$13),2))</f>
        <v/>
      </c>
      <c r="AQ205" s="90" t="str">
        <f aca="false" t="array" ref="AQ205:AQ205">IF(AP205="","",AP205*INDEX(Справочники!$B$4:$B$7,MATCH("RUB",Справочники!$A$4:$A$7,0)))</f>
        <v/>
      </c>
      <c r="AR205" s="90" t="str">
        <f aca="false">IF(AQ205="","",ROUND(AQ205*(1+Справочники!$B$12),0))</f>
        <v/>
      </c>
      <c r="AS205" s="90" t="str">
        <f aca="false">IF(AR205="","",ROUND(AR205*(1-Справочники!$B$11),0))</f>
        <v/>
      </c>
      <c r="AT205" s="88"/>
      <c r="AU205" s="90" t="str">
        <f aca="false">IF(AT205="","",ROUND(AT205/(1+Справочники!$B$12),0))</f>
        <v/>
      </c>
      <c r="AV205" s="90" t="str">
        <f aca="false">IF(AT205="","",ROUND(AT205*(1-Справочники!$B$15),0))</f>
        <v/>
      </c>
      <c r="AW205" s="90" t="str">
        <f aca="false">IF(AT205="","",ROUND(AT205*(1-Справочники!$B$16),0))</f>
        <v/>
      </c>
      <c r="AX205" s="90" t="str">
        <f aca="false">IF(AT205="","",ROUND(AT205*(1-Справочники!$B$17),0))</f>
        <v/>
      </c>
      <c r="AY205" s="90" t="str">
        <f aca="false">IF(AT205="","",ROUND(AT205*(1-Справочники!$B$18),0))</f>
        <v/>
      </c>
      <c r="AZ205" s="90" t="str">
        <f aca="false">IF(AT205="","",ROUND(AT205*(1-Справочники!$B$19),0))</f>
        <v/>
      </c>
      <c r="BA205" s="81"/>
      <c r="BB205" s="81"/>
      <c r="BC205" s="81"/>
      <c r="BD205" s="81"/>
      <c r="BE205" s="91"/>
      <c r="BF205" s="81" t="s">
        <v>103</v>
      </c>
      <c r="BG205" s="89" t="n">
        <f aca="false" t="array" ref="BG205:BG205">IF(BF205="","",IFERROR(INDEX(Справочники!$B$4:$B$7,MATCH(BF205,Справочники!$A$4:$A$7,0)),""))</f>
        <v>68.5</v>
      </c>
      <c r="BH205" s="90" t="str">
        <f aca="false">IF(N(BN205)&gt;0,ROUND(SUMIF(ЗАКАЗЫ!$F$3:$F$500,$A205,ЗАКАЗЫ!$Y$3:$Y$500)/BN205,0),IF(OR(BE205="",BG205=""),"",ROUND(BE205*BG205*(1+Справочники!$B$10),0)))</f>
        <v/>
      </c>
      <c r="BI205" s="92" t="str">
        <f aca="false">IF(OR(AU205="",BH205="",AU205=0),"",(AU205-BH205)/AU205)</f>
        <v/>
      </c>
      <c r="BJ205" s="81"/>
      <c r="BK205" s="83"/>
      <c r="BL205" s="43" t="str">
        <f aca="false">IFERROR(INDEX(ЗАКАЗЫ!$N$3:$N$500,MATCH($A205,ЗАКАЗЫ!$F$3:$F$500,0)),"")</f>
        <v/>
      </c>
      <c r="BM205" s="8" t="str">
        <f aca="false">IF(BL205="","",IFERROR(VLOOKUP(BL205,'ТН ВЭД'!$A$4:$C$40,3,0),""))</f>
        <v/>
      </c>
      <c r="BN205" s="7" t="str">
        <f aca="false">IF(COUNTIF(ЗАКАЗЫ!$F$3:$F$500,$A205)=0,"",SUMIF(ЗАКАЗЫ!$F$3:$F$500,$A205,ЗАКАЗЫ!$J$3:$J$500))</f>
        <v/>
      </c>
      <c r="BO205" s="7" t="str">
        <f aca="false">IF(BN205="","",SUMIF(ЗАКАЗЫ!$F$3:$F$500,$A205,ЗАКАЗЫ!$AL$3:$AL$500))</f>
        <v/>
      </c>
      <c r="BP205" s="7" t="str">
        <f aca="false">IF(BN205="","",BN205-BO205)</f>
        <v/>
      </c>
      <c r="BQ205" s="55" t="str">
        <f aca="false">IF(BN205="","",IF(BO205&gt;=BN205,"На складе",IF(BO205&gt;0,"Частично","Ждём")))</f>
        <v/>
      </c>
      <c r="BR205" s="43"/>
      <c r="BS205" s="47" t="str">
        <f aca="false">IF(BN205="","",IF(_xlfn.MAXIFS(ЗАКАЗЫ!$AK$3:$AK$500,ЗАКАЗЫ!$F$3:$F$500,$A205)=0,"",_xlfn.MAXIFS(ЗАКАЗЫ!$AK$3:$AK$500,ЗАКАЗЫ!$F$3:$F$500,$A205)))</f>
        <v/>
      </c>
    </row>
    <row r="206" customFormat="false" ht="15.75" hidden="false" customHeight="true" outlineLevel="0" collapsed="false">
      <c r="A206" s="80" t="s">
        <v>2073</v>
      </c>
      <c r="B206" s="81"/>
      <c r="C206" s="81"/>
      <c r="D206" s="81"/>
      <c r="E206" s="83"/>
      <c r="F206" s="81"/>
      <c r="G206" s="83"/>
      <c r="H206" s="83"/>
      <c r="I206" s="84" t="str">
        <f aca="false">IF(E206="","",A206&amp;"_1.jpg")</f>
        <v/>
      </c>
      <c r="J206" s="84" t="str">
        <f aca="false">IF(E206="","",A206&amp;"_2.jpg; "&amp;A206&amp;"_3.jpg")</f>
        <v/>
      </c>
      <c r="K206" s="84" t="str">
        <f aca="false">IF(E206="","",A206&amp;"_schema.jpg")</f>
        <v/>
      </c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 t="s">
        <v>96</v>
      </c>
      <c r="W206" s="81"/>
      <c r="X206" s="81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6" t="str">
        <f aca="false">IF(SUM(Y206:AJ206)=0,"",SUM(Y206:AJ206))</f>
        <v/>
      </c>
      <c r="AL206" s="84" t="str">
        <f aca="false">MID(IF(N(Y206)&gt;0,", "&amp;Y$2,"")&amp;IF(N(Z206)&gt;0,", "&amp;Z$2,"")&amp;IF(N(AA206)&gt;0,", "&amp;AA$2,"")&amp;IF(N(AB206)&gt;0,", "&amp;AB$2,"")&amp;IF(N(AC206)&gt;0,", "&amp;AC$2,"")&amp;IF(N(AD206)&gt;0,", "&amp;AD$2,"")&amp;IF(N(AE206)&gt;0,", "&amp;AE$2,"")&amp;IF(N(AF206)&gt;0,", "&amp;AF$2,"")&amp;IF(N(AG206)&gt;0,", "&amp;AG$2,"")&amp;IF(N(AH206)&gt;0,", "&amp;AH$2,"")&amp;IF(N(AI206)&gt;0,", "&amp;AI$2,"")&amp;IF(N(AJ206)&gt;0,", "&amp;AJ$2,""),3,999)</f>
        <v/>
      </c>
      <c r="AM206" s="87" t="str">
        <f aca="false">IF(E206="","",MID(IF(N(Y206)&gt;0,", "&amp;A206&amp;"-"&amp;Y$2,"")&amp;IF(N(Z206)&gt;0,", "&amp;A206&amp;"-"&amp;Z$2,"")&amp;IF(N(AA206)&gt;0,", "&amp;A206&amp;"-"&amp;AA$2,"")&amp;IF(N(AB206)&gt;0,", "&amp;A206&amp;"-"&amp;AB$2,"")&amp;IF(N(AC206)&gt;0,", "&amp;A206&amp;"-"&amp;AC$2,"")&amp;IF(N(AD206)&gt;0,", "&amp;A206&amp;"-"&amp;AD$2,"")&amp;IF(N(AE206)&gt;0,", "&amp;A206&amp;"-"&amp;AE$2,"")&amp;IF(N(AF206)&gt;0,", "&amp;A206&amp;"-"&amp;AF$2,"")&amp;IF(N(AG206)&gt;0,", "&amp;A206&amp;"-"&amp;AG$2,"")&amp;IF(N(AH206)&gt;0,", "&amp;A206&amp;"-"&amp;AH$2,"")&amp;IF(N(AI206)&gt;0,", "&amp;A206&amp;"-"&amp;AI$2,"")&amp;IF(N(AJ206)&gt;0,", "&amp;A206&amp;"-"&amp;AJ$2,""),3,999))</f>
        <v/>
      </c>
      <c r="AN206" s="81"/>
      <c r="AO206" s="88"/>
      <c r="AP206" s="89" t="str">
        <f aca="false">IF(AO206="","",ROUND(AO206/(1+Справочники!$B$13),2))</f>
        <v/>
      </c>
      <c r="AQ206" s="90" t="str">
        <f aca="false" t="array" ref="AQ206:AQ206">IF(AP206="","",AP206*INDEX(Справочники!$B$4:$B$7,MATCH("RUB",Справочники!$A$4:$A$7,0)))</f>
        <v/>
      </c>
      <c r="AR206" s="90" t="str">
        <f aca="false">IF(AQ206="","",ROUND(AQ206*(1+Справочники!$B$12),0))</f>
        <v/>
      </c>
      <c r="AS206" s="90" t="str">
        <f aca="false">IF(AR206="","",ROUND(AR206*(1-Справочники!$B$11),0))</f>
        <v/>
      </c>
      <c r="AT206" s="88"/>
      <c r="AU206" s="90" t="str">
        <f aca="false">IF(AT206="","",ROUND(AT206/(1+Справочники!$B$12),0))</f>
        <v/>
      </c>
      <c r="AV206" s="90" t="str">
        <f aca="false">IF(AT206="","",ROUND(AT206*(1-Справочники!$B$15),0))</f>
        <v/>
      </c>
      <c r="AW206" s="90" t="str">
        <f aca="false">IF(AT206="","",ROUND(AT206*(1-Справочники!$B$16),0))</f>
        <v/>
      </c>
      <c r="AX206" s="90" t="str">
        <f aca="false">IF(AT206="","",ROUND(AT206*(1-Справочники!$B$17),0))</f>
        <v/>
      </c>
      <c r="AY206" s="90" t="str">
        <f aca="false">IF(AT206="","",ROUND(AT206*(1-Справочники!$B$18),0))</f>
        <v/>
      </c>
      <c r="AZ206" s="90" t="str">
        <f aca="false">IF(AT206="","",ROUND(AT206*(1-Справочники!$B$19),0))</f>
        <v/>
      </c>
      <c r="BA206" s="81"/>
      <c r="BB206" s="81"/>
      <c r="BC206" s="81"/>
      <c r="BD206" s="81"/>
      <c r="BE206" s="91"/>
      <c r="BF206" s="81" t="s">
        <v>103</v>
      </c>
      <c r="BG206" s="89" t="n">
        <f aca="false" t="array" ref="BG206:BG206">IF(BF206="","",IFERROR(INDEX(Справочники!$B$4:$B$7,MATCH(BF206,Справочники!$A$4:$A$7,0)),""))</f>
        <v>68.5</v>
      </c>
      <c r="BH206" s="90" t="str">
        <f aca="false">IF(N(BN206)&gt;0,ROUND(SUMIF(ЗАКАЗЫ!$F$3:$F$500,$A206,ЗАКАЗЫ!$Y$3:$Y$500)/BN206,0),IF(OR(BE206="",BG206=""),"",ROUND(BE206*BG206*(1+Справочники!$B$10),0)))</f>
        <v/>
      </c>
      <c r="BI206" s="92" t="str">
        <f aca="false">IF(OR(AU206="",BH206="",AU206=0),"",(AU206-BH206)/AU206)</f>
        <v/>
      </c>
      <c r="BJ206" s="81"/>
      <c r="BK206" s="83"/>
      <c r="BL206" s="43" t="str">
        <f aca="false">IFERROR(INDEX(ЗАКАЗЫ!$N$3:$N$500,MATCH($A206,ЗАКАЗЫ!$F$3:$F$500,0)),"")</f>
        <v/>
      </c>
      <c r="BM206" s="8" t="str">
        <f aca="false">IF(BL206="","",IFERROR(VLOOKUP(BL206,'ТН ВЭД'!$A$4:$C$40,3,0),""))</f>
        <v/>
      </c>
      <c r="BN206" s="7" t="str">
        <f aca="false">IF(COUNTIF(ЗАКАЗЫ!$F$3:$F$500,$A206)=0,"",SUMIF(ЗАКАЗЫ!$F$3:$F$500,$A206,ЗАКАЗЫ!$J$3:$J$500))</f>
        <v/>
      </c>
      <c r="BO206" s="7" t="str">
        <f aca="false">IF(BN206="","",SUMIF(ЗАКАЗЫ!$F$3:$F$500,$A206,ЗАКАЗЫ!$AL$3:$AL$500))</f>
        <v/>
      </c>
      <c r="BP206" s="7" t="str">
        <f aca="false">IF(BN206="","",BN206-BO206)</f>
        <v/>
      </c>
      <c r="BQ206" s="55" t="str">
        <f aca="false">IF(BN206="","",IF(BO206&gt;=BN206,"На складе",IF(BO206&gt;0,"Частично","Ждём")))</f>
        <v/>
      </c>
      <c r="BR206" s="43"/>
      <c r="BS206" s="47" t="str">
        <f aca="false">IF(BN206="","",IF(_xlfn.MAXIFS(ЗАКАЗЫ!$AK$3:$AK$500,ЗАКАЗЫ!$F$3:$F$500,$A206)=0,"",_xlfn.MAXIFS(ЗАКАЗЫ!$AK$3:$AK$500,ЗАКАЗЫ!$F$3:$F$500,$A206)))</f>
        <v/>
      </c>
    </row>
    <row r="207" customFormat="false" ht="15.75" hidden="false" customHeight="true" outlineLevel="0" collapsed="false">
      <c r="A207" s="80" t="s">
        <v>2074</v>
      </c>
      <c r="B207" s="81"/>
      <c r="C207" s="81"/>
      <c r="D207" s="81"/>
      <c r="E207" s="83"/>
      <c r="F207" s="81"/>
      <c r="G207" s="83"/>
      <c r="H207" s="83"/>
      <c r="I207" s="84" t="str">
        <f aca="false">IF(E207="","",A207&amp;"_1.jpg")</f>
        <v/>
      </c>
      <c r="J207" s="84" t="str">
        <f aca="false">IF(E207="","",A207&amp;"_2.jpg; "&amp;A207&amp;"_3.jpg")</f>
        <v/>
      </c>
      <c r="K207" s="84" t="str">
        <f aca="false">IF(E207="","",A207&amp;"_schema.jpg")</f>
        <v/>
      </c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 t="s">
        <v>96</v>
      </c>
      <c r="W207" s="81"/>
      <c r="X207" s="81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6" t="str">
        <f aca="false">IF(SUM(Y207:AJ207)=0,"",SUM(Y207:AJ207))</f>
        <v/>
      </c>
      <c r="AL207" s="84" t="str">
        <f aca="false">MID(IF(N(Y207)&gt;0,", "&amp;Y$2,"")&amp;IF(N(Z207)&gt;0,", "&amp;Z$2,"")&amp;IF(N(AA207)&gt;0,", "&amp;AA$2,"")&amp;IF(N(AB207)&gt;0,", "&amp;AB$2,"")&amp;IF(N(AC207)&gt;0,", "&amp;AC$2,"")&amp;IF(N(AD207)&gt;0,", "&amp;AD$2,"")&amp;IF(N(AE207)&gt;0,", "&amp;AE$2,"")&amp;IF(N(AF207)&gt;0,", "&amp;AF$2,"")&amp;IF(N(AG207)&gt;0,", "&amp;AG$2,"")&amp;IF(N(AH207)&gt;0,", "&amp;AH$2,"")&amp;IF(N(AI207)&gt;0,", "&amp;AI$2,"")&amp;IF(N(AJ207)&gt;0,", "&amp;AJ$2,""),3,999)</f>
        <v/>
      </c>
      <c r="AM207" s="87" t="str">
        <f aca="false">IF(E207="","",MID(IF(N(Y207)&gt;0,", "&amp;A207&amp;"-"&amp;Y$2,"")&amp;IF(N(Z207)&gt;0,", "&amp;A207&amp;"-"&amp;Z$2,"")&amp;IF(N(AA207)&gt;0,", "&amp;A207&amp;"-"&amp;AA$2,"")&amp;IF(N(AB207)&gt;0,", "&amp;A207&amp;"-"&amp;AB$2,"")&amp;IF(N(AC207)&gt;0,", "&amp;A207&amp;"-"&amp;AC$2,"")&amp;IF(N(AD207)&gt;0,", "&amp;A207&amp;"-"&amp;AD$2,"")&amp;IF(N(AE207)&gt;0,", "&amp;A207&amp;"-"&amp;AE$2,"")&amp;IF(N(AF207)&gt;0,", "&amp;A207&amp;"-"&amp;AF$2,"")&amp;IF(N(AG207)&gt;0,", "&amp;A207&amp;"-"&amp;AG$2,"")&amp;IF(N(AH207)&gt;0,", "&amp;A207&amp;"-"&amp;AH$2,"")&amp;IF(N(AI207)&gt;0,", "&amp;A207&amp;"-"&amp;AI$2,"")&amp;IF(N(AJ207)&gt;0,", "&amp;A207&amp;"-"&amp;AJ$2,""),3,999))</f>
        <v/>
      </c>
      <c r="AN207" s="81"/>
      <c r="AO207" s="88"/>
      <c r="AP207" s="89" t="str">
        <f aca="false">IF(AO207="","",ROUND(AO207/(1+Справочники!$B$13),2))</f>
        <v/>
      </c>
      <c r="AQ207" s="90" t="str">
        <f aca="false" t="array" ref="AQ207:AQ207">IF(AP207="","",AP207*INDEX(Справочники!$B$4:$B$7,MATCH("RUB",Справочники!$A$4:$A$7,0)))</f>
        <v/>
      </c>
      <c r="AR207" s="90" t="str">
        <f aca="false">IF(AQ207="","",ROUND(AQ207*(1+Справочники!$B$12),0))</f>
        <v/>
      </c>
      <c r="AS207" s="90" t="str">
        <f aca="false">IF(AR207="","",ROUND(AR207*(1-Справочники!$B$11),0))</f>
        <v/>
      </c>
      <c r="AT207" s="88"/>
      <c r="AU207" s="90" t="str">
        <f aca="false">IF(AT207="","",ROUND(AT207/(1+Справочники!$B$12),0))</f>
        <v/>
      </c>
      <c r="AV207" s="90" t="str">
        <f aca="false">IF(AT207="","",ROUND(AT207*(1-Справочники!$B$15),0))</f>
        <v/>
      </c>
      <c r="AW207" s="90" t="str">
        <f aca="false">IF(AT207="","",ROUND(AT207*(1-Справочники!$B$16),0))</f>
        <v/>
      </c>
      <c r="AX207" s="90" t="str">
        <f aca="false">IF(AT207="","",ROUND(AT207*(1-Справочники!$B$17),0))</f>
        <v/>
      </c>
      <c r="AY207" s="90" t="str">
        <f aca="false">IF(AT207="","",ROUND(AT207*(1-Справочники!$B$18),0))</f>
        <v/>
      </c>
      <c r="AZ207" s="90" t="str">
        <f aca="false">IF(AT207="","",ROUND(AT207*(1-Справочники!$B$19),0))</f>
        <v/>
      </c>
      <c r="BA207" s="81"/>
      <c r="BB207" s="81"/>
      <c r="BC207" s="81"/>
      <c r="BD207" s="81"/>
      <c r="BE207" s="91"/>
      <c r="BF207" s="81" t="s">
        <v>103</v>
      </c>
      <c r="BG207" s="89" t="n">
        <f aca="false" t="array" ref="BG207:BG207">IF(BF207="","",IFERROR(INDEX(Справочники!$B$4:$B$7,MATCH(BF207,Справочники!$A$4:$A$7,0)),""))</f>
        <v>68.5</v>
      </c>
      <c r="BH207" s="90" t="str">
        <f aca="false">IF(N(BN207)&gt;0,ROUND(SUMIF(ЗАКАЗЫ!$F$3:$F$500,$A207,ЗАКАЗЫ!$Y$3:$Y$500)/BN207,0),IF(OR(BE207="",BG207=""),"",ROUND(BE207*BG207*(1+Справочники!$B$10),0)))</f>
        <v/>
      </c>
      <c r="BI207" s="92" t="str">
        <f aca="false">IF(OR(AU207="",BH207="",AU207=0),"",(AU207-BH207)/AU207)</f>
        <v/>
      </c>
      <c r="BJ207" s="81"/>
      <c r="BK207" s="83"/>
      <c r="BL207" s="43" t="str">
        <f aca="false">IFERROR(INDEX(ЗАКАЗЫ!$N$3:$N$500,MATCH($A207,ЗАКАЗЫ!$F$3:$F$500,0)),"")</f>
        <v/>
      </c>
      <c r="BM207" s="8" t="str">
        <f aca="false">IF(BL207="","",IFERROR(VLOOKUP(BL207,'ТН ВЭД'!$A$4:$C$40,3,0),""))</f>
        <v/>
      </c>
      <c r="BN207" s="7" t="str">
        <f aca="false">IF(COUNTIF(ЗАКАЗЫ!$F$3:$F$500,$A207)=0,"",SUMIF(ЗАКАЗЫ!$F$3:$F$500,$A207,ЗАКАЗЫ!$J$3:$J$500))</f>
        <v/>
      </c>
      <c r="BO207" s="7" t="str">
        <f aca="false">IF(BN207="","",SUMIF(ЗАКАЗЫ!$F$3:$F$500,$A207,ЗАКАЗЫ!$AL$3:$AL$500))</f>
        <v/>
      </c>
      <c r="BP207" s="7" t="str">
        <f aca="false">IF(BN207="","",BN207-BO207)</f>
        <v/>
      </c>
      <c r="BQ207" s="55" t="str">
        <f aca="false">IF(BN207="","",IF(BO207&gt;=BN207,"На складе",IF(BO207&gt;0,"Частично","Ждём")))</f>
        <v/>
      </c>
      <c r="BR207" s="43"/>
      <c r="BS207" s="47" t="str">
        <f aca="false">IF(BN207="","",IF(_xlfn.MAXIFS(ЗАКАЗЫ!$AK$3:$AK$500,ЗАКАЗЫ!$F$3:$F$500,$A207)=0,"",_xlfn.MAXIFS(ЗАКАЗЫ!$AK$3:$AK$500,ЗАКАЗЫ!$F$3:$F$500,$A207)))</f>
        <v/>
      </c>
    </row>
    <row r="208" customFormat="false" ht="15.75" hidden="false" customHeight="true" outlineLevel="0" collapsed="false">
      <c r="A208" s="80" t="s">
        <v>2075</v>
      </c>
      <c r="B208" s="81"/>
      <c r="C208" s="81"/>
      <c r="D208" s="81"/>
      <c r="E208" s="83"/>
      <c r="F208" s="81"/>
      <c r="G208" s="83"/>
      <c r="H208" s="83"/>
      <c r="I208" s="84" t="str">
        <f aca="false">IF(E208="","",A208&amp;"_1.jpg")</f>
        <v/>
      </c>
      <c r="J208" s="84" t="str">
        <f aca="false">IF(E208="","",A208&amp;"_2.jpg; "&amp;A208&amp;"_3.jpg")</f>
        <v/>
      </c>
      <c r="K208" s="84" t="str">
        <f aca="false">IF(E208="","",A208&amp;"_schema.jpg")</f>
        <v/>
      </c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 t="s">
        <v>96</v>
      </c>
      <c r="W208" s="81"/>
      <c r="X208" s="81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6" t="str">
        <f aca="false">IF(SUM(Y208:AJ208)=0,"",SUM(Y208:AJ208))</f>
        <v/>
      </c>
      <c r="AL208" s="84" t="str">
        <f aca="false">MID(IF(N(Y208)&gt;0,", "&amp;Y$2,"")&amp;IF(N(Z208)&gt;0,", "&amp;Z$2,"")&amp;IF(N(AA208)&gt;0,", "&amp;AA$2,"")&amp;IF(N(AB208)&gt;0,", "&amp;AB$2,"")&amp;IF(N(AC208)&gt;0,", "&amp;AC$2,"")&amp;IF(N(AD208)&gt;0,", "&amp;AD$2,"")&amp;IF(N(AE208)&gt;0,", "&amp;AE$2,"")&amp;IF(N(AF208)&gt;0,", "&amp;AF$2,"")&amp;IF(N(AG208)&gt;0,", "&amp;AG$2,"")&amp;IF(N(AH208)&gt;0,", "&amp;AH$2,"")&amp;IF(N(AI208)&gt;0,", "&amp;AI$2,"")&amp;IF(N(AJ208)&gt;0,", "&amp;AJ$2,""),3,999)</f>
        <v/>
      </c>
      <c r="AM208" s="87" t="str">
        <f aca="false">IF(E208="","",MID(IF(N(Y208)&gt;0,", "&amp;A208&amp;"-"&amp;Y$2,"")&amp;IF(N(Z208)&gt;0,", "&amp;A208&amp;"-"&amp;Z$2,"")&amp;IF(N(AA208)&gt;0,", "&amp;A208&amp;"-"&amp;AA$2,"")&amp;IF(N(AB208)&gt;0,", "&amp;A208&amp;"-"&amp;AB$2,"")&amp;IF(N(AC208)&gt;0,", "&amp;A208&amp;"-"&amp;AC$2,"")&amp;IF(N(AD208)&gt;0,", "&amp;A208&amp;"-"&amp;AD$2,"")&amp;IF(N(AE208)&gt;0,", "&amp;A208&amp;"-"&amp;AE$2,"")&amp;IF(N(AF208)&gt;0,", "&amp;A208&amp;"-"&amp;AF$2,"")&amp;IF(N(AG208)&gt;0,", "&amp;A208&amp;"-"&amp;AG$2,"")&amp;IF(N(AH208)&gt;0,", "&amp;A208&amp;"-"&amp;AH$2,"")&amp;IF(N(AI208)&gt;0,", "&amp;A208&amp;"-"&amp;AI$2,"")&amp;IF(N(AJ208)&gt;0,", "&amp;A208&amp;"-"&amp;AJ$2,""),3,999))</f>
        <v/>
      </c>
      <c r="AN208" s="81"/>
      <c r="AO208" s="88"/>
      <c r="AP208" s="89" t="str">
        <f aca="false">IF(AO208="","",ROUND(AO208/(1+Справочники!$B$13),2))</f>
        <v/>
      </c>
      <c r="AQ208" s="90" t="str">
        <f aca="false" t="array" ref="AQ208:AQ208">IF(AP208="","",AP208*INDEX(Справочники!$B$4:$B$7,MATCH("RUB",Справочники!$A$4:$A$7,0)))</f>
        <v/>
      </c>
      <c r="AR208" s="90" t="str">
        <f aca="false">IF(AQ208="","",ROUND(AQ208*(1+Справочники!$B$12),0))</f>
        <v/>
      </c>
      <c r="AS208" s="90" t="str">
        <f aca="false">IF(AR208="","",ROUND(AR208*(1-Справочники!$B$11),0))</f>
        <v/>
      </c>
      <c r="AT208" s="88"/>
      <c r="AU208" s="90" t="str">
        <f aca="false">IF(AT208="","",ROUND(AT208/(1+Справочники!$B$12),0))</f>
        <v/>
      </c>
      <c r="AV208" s="90" t="str">
        <f aca="false">IF(AT208="","",ROUND(AT208*(1-Справочники!$B$15),0))</f>
        <v/>
      </c>
      <c r="AW208" s="90" t="str">
        <f aca="false">IF(AT208="","",ROUND(AT208*(1-Справочники!$B$16),0))</f>
        <v/>
      </c>
      <c r="AX208" s="90" t="str">
        <f aca="false">IF(AT208="","",ROUND(AT208*(1-Справочники!$B$17),0))</f>
        <v/>
      </c>
      <c r="AY208" s="90" t="str">
        <f aca="false">IF(AT208="","",ROUND(AT208*(1-Справочники!$B$18),0))</f>
        <v/>
      </c>
      <c r="AZ208" s="90" t="str">
        <f aca="false">IF(AT208="","",ROUND(AT208*(1-Справочники!$B$19),0))</f>
        <v/>
      </c>
      <c r="BA208" s="81"/>
      <c r="BB208" s="81"/>
      <c r="BC208" s="81"/>
      <c r="BD208" s="81"/>
      <c r="BE208" s="91"/>
      <c r="BF208" s="81" t="s">
        <v>103</v>
      </c>
      <c r="BG208" s="89" t="n">
        <f aca="false" t="array" ref="BG208:BG208">IF(BF208="","",IFERROR(INDEX(Справочники!$B$4:$B$7,MATCH(BF208,Справочники!$A$4:$A$7,0)),""))</f>
        <v>68.5</v>
      </c>
      <c r="BH208" s="90" t="str">
        <f aca="false">IF(N(BN208)&gt;0,ROUND(SUMIF(ЗАКАЗЫ!$F$3:$F$500,$A208,ЗАКАЗЫ!$Y$3:$Y$500)/BN208,0),IF(OR(BE208="",BG208=""),"",ROUND(BE208*BG208*(1+Справочники!$B$10),0)))</f>
        <v/>
      </c>
      <c r="BI208" s="92" t="str">
        <f aca="false">IF(OR(AU208="",BH208="",AU208=0),"",(AU208-BH208)/AU208)</f>
        <v/>
      </c>
      <c r="BJ208" s="81"/>
      <c r="BK208" s="83"/>
      <c r="BL208" s="43" t="str">
        <f aca="false">IFERROR(INDEX(ЗАКАЗЫ!$N$3:$N$500,MATCH($A208,ЗАКАЗЫ!$F$3:$F$500,0)),"")</f>
        <v/>
      </c>
      <c r="BM208" s="8" t="str">
        <f aca="false">IF(BL208="","",IFERROR(VLOOKUP(BL208,'ТН ВЭД'!$A$4:$C$40,3,0),""))</f>
        <v/>
      </c>
      <c r="BN208" s="7" t="str">
        <f aca="false">IF(COUNTIF(ЗАКАЗЫ!$F$3:$F$500,$A208)=0,"",SUMIF(ЗАКАЗЫ!$F$3:$F$500,$A208,ЗАКАЗЫ!$J$3:$J$500))</f>
        <v/>
      </c>
      <c r="BO208" s="7" t="str">
        <f aca="false">IF(BN208="","",SUMIF(ЗАКАЗЫ!$F$3:$F$500,$A208,ЗАКАЗЫ!$AL$3:$AL$500))</f>
        <v/>
      </c>
      <c r="BP208" s="7" t="str">
        <f aca="false">IF(BN208="","",BN208-BO208)</f>
        <v/>
      </c>
      <c r="BQ208" s="55" t="str">
        <f aca="false">IF(BN208="","",IF(BO208&gt;=BN208,"На складе",IF(BO208&gt;0,"Частично","Ждём")))</f>
        <v/>
      </c>
      <c r="BR208" s="43"/>
      <c r="BS208" s="47" t="str">
        <f aca="false">IF(BN208="","",IF(_xlfn.MAXIFS(ЗАКАЗЫ!$AK$3:$AK$500,ЗАКАЗЫ!$F$3:$F$500,$A208)=0,"",_xlfn.MAXIFS(ЗАКАЗЫ!$AK$3:$AK$500,ЗАКАЗЫ!$F$3:$F$500,$A208)))</f>
        <v/>
      </c>
    </row>
    <row r="209" customFormat="false" ht="15.75" hidden="false" customHeight="true" outlineLevel="0" collapsed="false">
      <c r="A209" s="80" t="s">
        <v>2076</v>
      </c>
      <c r="B209" s="81"/>
      <c r="C209" s="81"/>
      <c r="D209" s="81"/>
      <c r="E209" s="83"/>
      <c r="F209" s="81"/>
      <c r="G209" s="83"/>
      <c r="H209" s="83"/>
      <c r="I209" s="84" t="str">
        <f aca="false">IF(E209="","",A209&amp;"_1.jpg")</f>
        <v/>
      </c>
      <c r="J209" s="84" t="str">
        <f aca="false">IF(E209="","",A209&amp;"_2.jpg; "&amp;A209&amp;"_3.jpg")</f>
        <v/>
      </c>
      <c r="K209" s="84" t="str">
        <f aca="false">IF(E209="","",A209&amp;"_schema.jpg")</f>
        <v/>
      </c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 t="s">
        <v>96</v>
      </c>
      <c r="W209" s="81"/>
      <c r="X209" s="81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6" t="str">
        <f aca="false">IF(SUM(Y209:AJ209)=0,"",SUM(Y209:AJ209))</f>
        <v/>
      </c>
      <c r="AL209" s="84" t="str">
        <f aca="false">MID(IF(N(Y209)&gt;0,", "&amp;Y$2,"")&amp;IF(N(Z209)&gt;0,", "&amp;Z$2,"")&amp;IF(N(AA209)&gt;0,", "&amp;AA$2,"")&amp;IF(N(AB209)&gt;0,", "&amp;AB$2,"")&amp;IF(N(AC209)&gt;0,", "&amp;AC$2,"")&amp;IF(N(AD209)&gt;0,", "&amp;AD$2,"")&amp;IF(N(AE209)&gt;0,", "&amp;AE$2,"")&amp;IF(N(AF209)&gt;0,", "&amp;AF$2,"")&amp;IF(N(AG209)&gt;0,", "&amp;AG$2,"")&amp;IF(N(AH209)&gt;0,", "&amp;AH$2,"")&amp;IF(N(AI209)&gt;0,", "&amp;AI$2,"")&amp;IF(N(AJ209)&gt;0,", "&amp;AJ$2,""),3,999)</f>
        <v/>
      </c>
      <c r="AM209" s="87" t="str">
        <f aca="false">IF(E209="","",MID(IF(N(Y209)&gt;0,", "&amp;A209&amp;"-"&amp;Y$2,"")&amp;IF(N(Z209)&gt;0,", "&amp;A209&amp;"-"&amp;Z$2,"")&amp;IF(N(AA209)&gt;0,", "&amp;A209&amp;"-"&amp;AA$2,"")&amp;IF(N(AB209)&gt;0,", "&amp;A209&amp;"-"&amp;AB$2,"")&amp;IF(N(AC209)&gt;0,", "&amp;A209&amp;"-"&amp;AC$2,"")&amp;IF(N(AD209)&gt;0,", "&amp;A209&amp;"-"&amp;AD$2,"")&amp;IF(N(AE209)&gt;0,", "&amp;A209&amp;"-"&amp;AE$2,"")&amp;IF(N(AF209)&gt;0,", "&amp;A209&amp;"-"&amp;AF$2,"")&amp;IF(N(AG209)&gt;0,", "&amp;A209&amp;"-"&amp;AG$2,"")&amp;IF(N(AH209)&gt;0,", "&amp;A209&amp;"-"&amp;AH$2,"")&amp;IF(N(AI209)&gt;0,", "&amp;A209&amp;"-"&amp;AI$2,"")&amp;IF(N(AJ209)&gt;0,", "&amp;A209&amp;"-"&amp;AJ$2,""),3,999))</f>
        <v/>
      </c>
      <c r="AN209" s="81"/>
      <c r="AO209" s="88"/>
      <c r="AP209" s="89" t="str">
        <f aca="false">IF(AO209="","",ROUND(AO209/(1+Справочники!$B$13),2))</f>
        <v/>
      </c>
      <c r="AQ209" s="90" t="str">
        <f aca="false" t="array" ref="AQ209:AQ209">IF(AP209="","",AP209*INDEX(Справочники!$B$4:$B$7,MATCH("RUB",Справочники!$A$4:$A$7,0)))</f>
        <v/>
      </c>
      <c r="AR209" s="90" t="str">
        <f aca="false">IF(AQ209="","",ROUND(AQ209*(1+Справочники!$B$12),0))</f>
        <v/>
      </c>
      <c r="AS209" s="90" t="str">
        <f aca="false">IF(AR209="","",ROUND(AR209*(1-Справочники!$B$11),0))</f>
        <v/>
      </c>
      <c r="AT209" s="88"/>
      <c r="AU209" s="90" t="str">
        <f aca="false">IF(AT209="","",ROUND(AT209/(1+Справочники!$B$12),0))</f>
        <v/>
      </c>
      <c r="AV209" s="90" t="str">
        <f aca="false">IF(AT209="","",ROUND(AT209*(1-Справочники!$B$15),0))</f>
        <v/>
      </c>
      <c r="AW209" s="90" t="str">
        <f aca="false">IF(AT209="","",ROUND(AT209*(1-Справочники!$B$16),0))</f>
        <v/>
      </c>
      <c r="AX209" s="90" t="str">
        <f aca="false">IF(AT209="","",ROUND(AT209*(1-Справочники!$B$17),0))</f>
        <v/>
      </c>
      <c r="AY209" s="90" t="str">
        <f aca="false">IF(AT209="","",ROUND(AT209*(1-Справочники!$B$18),0))</f>
        <v/>
      </c>
      <c r="AZ209" s="90" t="str">
        <f aca="false">IF(AT209="","",ROUND(AT209*(1-Справочники!$B$19),0))</f>
        <v/>
      </c>
      <c r="BA209" s="81"/>
      <c r="BB209" s="81"/>
      <c r="BC209" s="81"/>
      <c r="BD209" s="81"/>
      <c r="BE209" s="91"/>
      <c r="BF209" s="81" t="s">
        <v>103</v>
      </c>
      <c r="BG209" s="89" t="n">
        <f aca="false" t="array" ref="BG209:BG209">IF(BF209="","",IFERROR(INDEX(Справочники!$B$4:$B$7,MATCH(BF209,Справочники!$A$4:$A$7,0)),""))</f>
        <v>68.5</v>
      </c>
      <c r="BH209" s="90" t="str">
        <f aca="false">IF(N(BN209)&gt;0,ROUND(SUMIF(ЗАКАЗЫ!$F$3:$F$500,$A209,ЗАКАЗЫ!$Y$3:$Y$500)/BN209,0),IF(OR(BE209="",BG209=""),"",ROUND(BE209*BG209*(1+Справочники!$B$10),0)))</f>
        <v/>
      </c>
      <c r="BI209" s="92" t="str">
        <f aca="false">IF(OR(AU209="",BH209="",AU209=0),"",(AU209-BH209)/AU209)</f>
        <v/>
      </c>
      <c r="BJ209" s="81"/>
      <c r="BK209" s="83"/>
      <c r="BL209" s="43" t="str">
        <f aca="false">IFERROR(INDEX(ЗАКАЗЫ!$N$3:$N$500,MATCH($A209,ЗАКАЗЫ!$F$3:$F$500,0)),"")</f>
        <v/>
      </c>
      <c r="BM209" s="8" t="str">
        <f aca="false">IF(BL209="","",IFERROR(VLOOKUP(BL209,'ТН ВЭД'!$A$4:$C$40,3,0),""))</f>
        <v/>
      </c>
      <c r="BN209" s="7" t="str">
        <f aca="false">IF(COUNTIF(ЗАКАЗЫ!$F$3:$F$500,$A209)=0,"",SUMIF(ЗАКАЗЫ!$F$3:$F$500,$A209,ЗАКАЗЫ!$J$3:$J$500))</f>
        <v/>
      </c>
      <c r="BO209" s="7" t="str">
        <f aca="false">IF(BN209="","",SUMIF(ЗАКАЗЫ!$F$3:$F$500,$A209,ЗАКАЗЫ!$AL$3:$AL$500))</f>
        <v/>
      </c>
      <c r="BP209" s="7" t="str">
        <f aca="false">IF(BN209="","",BN209-BO209)</f>
        <v/>
      </c>
      <c r="BQ209" s="55" t="str">
        <f aca="false">IF(BN209="","",IF(BO209&gt;=BN209,"На складе",IF(BO209&gt;0,"Частично","Ждём")))</f>
        <v/>
      </c>
      <c r="BR209" s="43"/>
      <c r="BS209" s="47" t="str">
        <f aca="false">IF(BN209="","",IF(_xlfn.MAXIFS(ЗАКАЗЫ!$AK$3:$AK$500,ЗАКАЗЫ!$F$3:$F$500,$A209)=0,"",_xlfn.MAXIFS(ЗАКАЗЫ!$AK$3:$AK$500,ЗАКАЗЫ!$F$3:$F$500,$A209)))</f>
        <v/>
      </c>
    </row>
    <row r="210" customFormat="false" ht="15.75" hidden="false" customHeight="true" outlineLevel="0" collapsed="false">
      <c r="A210" s="80" t="s">
        <v>2077</v>
      </c>
      <c r="B210" s="81"/>
      <c r="C210" s="81"/>
      <c r="D210" s="81"/>
      <c r="E210" s="83"/>
      <c r="F210" s="81"/>
      <c r="G210" s="83"/>
      <c r="H210" s="83"/>
      <c r="I210" s="84" t="str">
        <f aca="false">IF(E210="","",A210&amp;"_1.jpg")</f>
        <v/>
      </c>
      <c r="J210" s="84" t="str">
        <f aca="false">IF(E210="","",A210&amp;"_2.jpg; "&amp;A210&amp;"_3.jpg")</f>
        <v/>
      </c>
      <c r="K210" s="84" t="str">
        <f aca="false">IF(E210="","",A210&amp;"_schema.jpg")</f>
        <v/>
      </c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 t="s">
        <v>96</v>
      </c>
      <c r="W210" s="81"/>
      <c r="X210" s="81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6" t="str">
        <f aca="false">IF(SUM(Y210:AJ210)=0,"",SUM(Y210:AJ210))</f>
        <v/>
      </c>
      <c r="AL210" s="84" t="str">
        <f aca="false">MID(IF(N(Y210)&gt;0,", "&amp;Y$2,"")&amp;IF(N(Z210)&gt;0,", "&amp;Z$2,"")&amp;IF(N(AA210)&gt;0,", "&amp;AA$2,"")&amp;IF(N(AB210)&gt;0,", "&amp;AB$2,"")&amp;IF(N(AC210)&gt;0,", "&amp;AC$2,"")&amp;IF(N(AD210)&gt;0,", "&amp;AD$2,"")&amp;IF(N(AE210)&gt;0,", "&amp;AE$2,"")&amp;IF(N(AF210)&gt;0,", "&amp;AF$2,"")&amp;IF(N(AG210)&gt;0,", "&amp;AG$2,"")&amp;IF(N(AH210)&gt;0,", "&amp;AH$2,"")&amp;IF(N(AI210)&gt;0,", "&amp;AI$2,"")&amp;IF(N(AJ210)&gt;0,", "&amp;AJ$2,""),3,999)</f>
        <v/>
      </c>
      <c r="AM210" s="87" t="str">
        <f aca="false">IF(E210="","",MID(IF(N(Y210)&gt;0,", "&amp;A210&amp;"-"&amp;Y$2,"")&amp;IF(N(Z210)&gt;0,", "&amp;A210&amp;"-"&amp;Z$2,"")&amp;IF(N(AA210)&gt;0,", "&amp;A210&amp;"-"&amp;AA$2,"")&amp;IF(N(AB210)&gt;0,", "&amp;A210&amp;"-"&amp;AB$2,"")&amp;IF(N(AC210)&gt;0,", "&amp;A210&amp;"-"&amp;AC$2,"")&amp;IF(N(AD210)&gt;0,", "&amp;A210&amp;"-"&amp;AD$2,"")&amp;IF(N(AE210)&gt;0,", "&amp;A210&amp;"-"&amp;AE$2,"")&amp;IF(N(AF210)&gt;0,", "&amp;A210&amp;"-"&amp;AF$2,"")&amp;IF(N(AG210)&gt;0,", "&amp;A210&amp;"-"&amp;AG$2,"")&amp;IF(N(AH210)&gt;0,", "&amp;A210&amp;"-"&amp;AH$2,"")&amp;IF(N(AI210)&gt;0,", "&amp;A210&amp;"-"&amp;AI$2,"")&amp;IF(N(AJ210)&gt;0,", "&amp;A210&amp;"-"&amp;AJ$2,""),3,999))</f>
        <v/>
      </c>
      <c r="AN210" s="81"/>
      <c r="AO210" s="88"/>
      <c r="AP210" s="89" t="str">
        <f aca="false">IF(AO210="","",ROUND(AO210/(1+Справочники!$B$13),2))</f>
        <v/>
      </c>
      <c r="AQ210" s="90" t="str">
        <f aca="false" t="array" ref="AQ210:AQ210">IF(AP210="","",AP210*INDEX(Справочники!$B$4:$B$7,MATCH("RUB",Справочники!$A$4:$A$7,0)))</f>
        <v/>
      </c>
      <c r="AR210" s="90" t="str">
        <f aca="false">IF(AQ210="","",ROUND(AQ210*(1+Справочники!$B$12),0))</f>
        <v/>
      </c>
      <c r="AS210" s="90" t="str">
        <f aca="false">IF(AR210="","",ROUND(AR210*(1-Справочники!$B$11),0))</f>
        <v/>
      </c>
      <c r="AT210" s="88"/>
      <c r="AU210" s="90" t="str">
        <f aca="false">IF(AT210="","",ROUND(AT210/(1+Справочники!$B$12),0))</f>
        <v/>
      </c>
      <c r="AV210" s="90" t="str">
        <f aca="false">IF(AT210="","",ROUND(AT210*(1-Справочники!$B$15),0))</f>
        <v/>
      </c>
      <c r="AW210" s="90" t="str">
        <f aca="false">IF(AT210="","",ROUND(AT210*(1-Справочники!$B$16),0))</f>
        <v/>
      </c>
      <c r="AX210" s="90" t="str">
        <f aca="false">IF(AT210="","",ROUND(AT210*(1-Справочники!$B$17),0))</f>
        <v/>
      </c>
      <c r="AY210" s="90" t="str">
        <f aca="false">IF(AT210="","",ROUND(AT210*(1-Справочники!$B$18),0))</f>
        <v/>
      </c>
      <c r="AZ210" s="90" t="str">
        <f aca="false">IF(AT210="","",ROUND(AT210*(1-Справочники!$B$19),0))</f>
        <v/>
      </c>
      <c r="BA210" s="81"/>
      <c r="BB210" s="81"/>
      <c r="BC210" s="81"/>
      <c r="BD210" s="81"/>
      <c r="BE210" s="91"/>
      <c r="BF210" s="81" t="s">
        <v>103</v>
      </c>
      <c r="BG210" s="89" t="n">
        <f aca="false" t="array" ref="BG210:BG210">IF(BF210="","",IFERROR(INDEX(Справочники!$B$4:$B$7,MATCH(BF210,Справочники!$A$4:$A$7,0)),""))</f>
        <v>68.5</v>
      </c>
      <c r="BH210" s="90" t="str">
        <f aca="false">IF(N(BN210)&gt;0,ROUND(SUMIF(ЗАКАЗЫ!$F$3:$F$500,$A210,ЗАКАЗЫ!$Y$3:$Y$500)/BN210,0),IF(OR(BE210="",BG210=""),"",ROUND(BE210*BG210*(1+Справочники!$B$10),0)))</f>
        <v/>
      </c>
      <c r="BI210" s="92" t="str">
        <f aca="false">IF(OR(AU210="",BH210="",AU210=0),"",(AU210-BH210)/AU210)</f>
        <v/>
      </c>
      <c r="BJ210" s="81"/>
      <c r="BK210" s="83"/>
      <c r="BL210" s="43" t="str">
        <f aca="false">IFERROR(INDEX(ЗАКАЗЫ!$N$3:$N$500,MATCH($A210,ЗАКАЗЫ!$F$3:$F$500,0)),"")</f>
        <v/>
      </c>
      <c r="BM210" s="8" t="str">
        <f aca="false">IF(BL210="","",IFERROR(VLOOKUP(BL210,'ТН ВЭД'!$A$4:$C$40,3,0),""))</f>
        <v/>
      </c>
      <c r="BN210" s="7" t="str">
        <f aca="false">IF(COUNTIF(ЗАКАЗЫ!$F$3:$F$500,$A210)=0,"",SUMIF(ЗАКАЗЫ!$F$3:$F$500,$A210,ЗАКАЗЫ!$J$3:$J$500))</f>
        <v/>
      </c>
      <c r="BO210" s="7" t="str">
        <f aca="false">IF(BN210="","",SUMIF(ЗАКАЗЫ!$F$3:$F$500,$A210,ЗАКАЗЫ!$AL$3:$AL$500))</f>
        <v/>
      </c>
      <c r="BP210" s="7" t="str">
        <f aca="false">IF(BN210="","",BN210-BO210)</f>
        <v/>
      </c>
      <c r="BQ210" s="55" t="str">
        <f aca="false">IF(BN210="","",IF(BO210&gt;=BN210,"На складе",IF(BO210&gt;0,"Частично","Ждём")))</f>
        <v/>
      </c>
      <c r="BR210" s="43"/>
      <c r="BS210" s="47" t="str">
        <f aca="false">IF(BN210="","",IF(_xlfn.MAXIFS(ЗАКАЗЫ!$AK$3:$AK$500,ЗАКАЗЫ!$F$3:$F$500,$A210)=0,"",_xlfn.MAXIFS(ЗАКАЗЫ!$AK$3:$AK$500,ЗАКАЗЫ!$F$3:$F$500,$A210)))</f>
        <v/>
      </c>
    </row>
    <row r="211" customFormat="false" ht="15.75" hidden="false" customHeight="true" outlineLevel="0" collapsed="false">
      <c r="A211" s="80" t="s">
        <v>2078</v>
      </c>
      <c r="B211" s="81"/>
      <c r="C211" s="81"/>
      <c r="D211" s="81"/>
      <c r="E211" s="83"/>
      <c r="F211" s="81"/>
      <c r="G211" s="83"/>
      <c r="H211" s="83"/>
      <c r="I211" s="84" t="str">
        <f aca="false">IF(E211="","",A211&amp;"_1.jpg")</f>
        <v/>
      </c>
      <c r="J211" s="84" t="str">
        <f aca="false">IF(E211="","",A211&amp;"_2.jpg; "&amp;A211&amp;"_3.jpg")</f>
        <v/>
      </c>
      <c r="K211" s="84" t="str">
        <f aca="false">IF(E211="","",A211&amp;"_schema.jpg")</f>
        <v/>
      </c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 t="s">
        <v>96</v>
      </c>
      <c r="W211" s="81"/>
      <c r="X211" s="81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6" t="str">
        <f aca="false">IF(SUM(Y211:AJ211)=0,"",SUM(Y211:AJ211))</f>
        <v/>
      </c>
      <c r="AL211" s="84" t="str">
        <f aca="false">MID(IF(N(Y211)&gt;0,", "&amp;Y$2,"")&amp;IF(N(Z211)&gt;0,", "&amp;Z$2,"")&amp;IF(N(AA211)&gt;0,", "&amp;AA$2,"")&amp;IF(N(AB211)&gt;0,", "&amp;AB$2,"")&amp;IF(N(AC211)&gt;0,", "&amp;AC$2,"")&amp;IF(N(AD211)&gt;0,", "&amp;AD$2,"")&amp;IF(N(AE211)&gt;0,", "&amp;AE$2,"")&amp;IF(N(AF211)&gt;0,", "&amp;AF$2,"")&amp;IF(N(AG211)&gt;0,", "&amp;AG$2,"")&amp;IF(N(AH211)&gt;0,", "&amp;AH$2,"")&amp;IF(N(AI211)&gt;0,", "&amp;AI$2,"")&amp;IF(N(AJ211)&gt;0,", "&amp;AJ$2,""),3,999)</f>
        <v/>
      </c>
      <c r="AM211" s="87" t="str">
        <f aca="false">IF(E211="","",MID(IF(N(Y211)&gt;0,", "&amp;A211&amp;"-"&amp;Y$2,"")&amp;IF(N(Z211)&gt;0,", "&amp;A211&amp;"-"&amp;Z$2,"")&amp;IF(N(AA211)&gt;0,", "&amp;A211&amp;"-"&amp;AA$2,"")&amp;IF(N(AB211)&gt;0,", "&amp;A211&amp;"-"&amp;AB$2,"")&amp;IF(N(AC211)&gt;0,", "&amp;A211&amp;"-"&amp;AC$2,"")&amp;IF(N(AD211)&gt;0,", "&amp;A211&amp;"-"&amp;AD$2,"")&amp;IF(N(AE211)&gt;0,", "&amp;A211&amp;"-"&amp;AE$2,"")&amp;IF(N(AF211)&gt;0,", "&amp;A211&amp;"-"&amp;AF$2,"")&amp;IF(N(AG211)&gt;0,", "&amp;A211&amp;"-"&amp;AG$2,"")&amp;IF(N(AH211)&gt;0,", "&amp;A211&amp;"-"&amp;AH$2,"")&amp;IF(N(AI211)&gt;0,", "&amp;A211&amp;"-"&amp;AI$2,"")&amp;IF(N(AJ211)&gt;0,", "&amp;A211&amp;"-"&amp;AJ$2,""),3,999))</f>
        <v/>
      </c>
      <c r="AN211" s="81"/>
      <c r="AO211" s="88"/>
      <c r="AP211" s="89" t="str">
        <f aca="false">IF(AO211="","",ROUND(AO211/(1+Справочники!$B$13),2))</f>
        <v/>
      </c>
      <c r="AQ211" s="90" t="str">
        <f aca="false" t="array" ref="AQ211:AQ211">IF(AP211="","",AP211*INDEX(Справочники!$B$4:$B$7,MATCH("RUB",Справочники!$A$4:$A$7,0)))</f>
        <v/>
      </c>
      <c r="AR211" s="90" t="str">
        <f aca="false">IF(AQ211="","",ROUND(AQ211*(1+Справочники!$B$12),0))</f>
        <v/>
      </c>
      <c r="AS211" s="90" t="str">
        <f aca="false">IF(AR211="","",ROUND(AR211*(1-Справочники!$B$11),0))</f>
        <v/>
      </c>
      <c r="AT211" s="88"/>
      <c r="AU211" s="90" t="str">
        <f aca="false">IF(AT211="","",ROUND(AT211/(1+Справочники!$B$12),0))</f>
        <v/>
      </c>
      <c r="AV211" s="90" t="str">
        <f aca="false">IF(AT211="","",ROUND(AT211*(1-Справочники!$B$15),0))</f>
        <v/>
      </c>
      <c r="AW211" s="90" t="str">
        <f aca="false">IF(AT211="","",ROUND(AT211*(1-Справочники!$B$16),0))</f>
        <v/>
      </c>
      <c r="AX211" s="90" t="str">
        <f aca="false">IF(AT211="","",ROUND(AT211*(1-Справочники!$B$17),0))</f>
        <v/>
      </c>
      <c r="AY211" s="90" t="str">
        <f aca="false">IF(AT211="","",ROUND(AT211*(1-Справочники!$B$18),0))</f>
        <v/>
      </c>
      <c r="AZ211" s="90" t="str">
        <f aca="false">IF(AT211="","",ROUND(AT211*(1-Справочники!$B$19),0))</f>
        <v/>
      </c>
      <c r="BA211" s="81"/>
      <c r="BB211" s="81"/>
      <c r="BC211" s="81"/>
      <c r="BD211" s="81"/>
      <c r="BE211" s="91"/>
      <c r="BF211" s="81" t="s">
        <v>103</v>
      </c>
      <c r="BG211" s="89" t="n">
        <f aca="false" t="array" ref="BG211:BG211">IF(BF211="","",IFERROR(INDEX(Справочники!$B$4:$B$7,MATCH(BF211,Справочники!$A$4:$A$7,0)),""))</f>
        <v>68.5</v>
      </c>
      <c r="BH211" s="90" t="str">
        <f aca="false">IF(N(BN211)&gt;0,ROUND(SUMIF(ЗАКАЗЫ!$F$3:$F$500,$A211,ЗАКАЗЫ!$Y$3:$Y$500)/BN211,0),IF(OR(BE211="",BG211=""),"",ROUND(BE211*BG211*(1+Справочники!$B$10),0)))</f>
        <v/>
      </c>
      <c r="BI211" s="92" t="str">
        <f aca="false">IF(OR(AU211="",BH211="",AU211=0),"",(AU211-BH211)/AU211)</f>
        <v/>
      </c>
      <c r="BJ211" s="81"/>
      <c r="BK211" s="83"/>
      <c r="BL211" s="43" t="str">
        <f aca="false">IFERROR(INDEX(ЗАКАЗЫ!$N$3:$N$500,MATCH($A211,ЗАКАЗЫ!$F$3:$F$500,0)),"")</f>
        <v/>
      </c>
      <c r="BM211" s="8" t="str">
        <f aca="false">IF(BL211="","",IFERROR(VLOOKUP(BL211,'ТН ВЭД'!$A$4:$C$40,3,0),""))</f>
        <v/>
      </c>
      <c r="BN211" s="7" t="str">
        <f aca="false">IF(COUNTIF(ЗАКАЗЫ!$F$3:$F$500,$A211)=0,"",SUMIF(ЗАКАЗЫ!$F$3:$F$500,$A211,ЗАКАЗЫ!$J$3:$J$500))</f>
        <v/>
      </c>
      <c r="BO211" s="7" t="str">
        <f aca="false">IF(BN211="","",SUMIF(ЗАКАЗЫ!$F$3:$F$500,$A211,ЗАКАЗЫ!$AL$3:$AL$500))</f>
        <v/>
      </c>
      <c r="BP211" s="7" t="str">
        <f aca="false">IF(BN211="","",BN211-BO211)</f>
        <v/>
      </c>
      <c r="BQ211" s="55" t="str">
        <f aca="false">IF(BN211="","",IF(BO211&gt;=BN211,"На складе",IF(BO211&gt;0,"Частично","Ждём")))</f>
        <v/>
      </c>
      <c r="BR211" s="43"/>
      <c r="BS211" s="47" t="str">
        <f aca="false">IF(BN211="","",IF(_xlfn.MAXIFS(ЗАКАЗЫ!$AK$3:$AK$500,ЗАКАЗЫ!$F$3:$F$500,$A211)=0,"",_xlfn.MAXIFS(ЗАКАЗЫ!$AK$3:$AK$500,ЗАКАЗЫ!$F$3:$F$500,$A211)))</f>
        <v/>
      </c>
    </row>
    <row r="212" customFormat="false" ht="15.75" hidden="false" customHeight="true" outlineLevel="0" collapsed="false">
      <c r="A212" s="80" t="s">
        <v>2079</v>
      </c>
      <c r="B212" s="81"/>
      <c r="C212" s="81"/>
      <c r="D212" s="81"/>
      <c r="E212" s="83"/>
      <c r="F212" s="81"/>
      <c r="G212" s="83"/>
      <c r="H212" s="83"/>
      <c r="I212" s="84" t="str">
        <f aca="false">IF(E212="","",A212&amp;"_1.jpg")</f>
        <v/>
      </c>
      <c r="J212" s="84" t="str">
        <f aca="false">IF(E212="","",A212&amp;"_2.jpg; "&amp;A212&amp;"_3.jpg")</f>
        <v/>
      </c>
      <c r="K212" s="84" t="str">
        <f aca="false">IF(E212="","",A212&amp;"_schema.jpg")</f>
        <v/>
      </c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 t="s">
        <v>96</v>
      </c>
      <c r="W212" s="81"/>
      <c r="X212" s="81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6" t="str">
        <f aca="false">IF(SUM(Y212:AJ212)=0,"",SUM(Y212:AJ212))</f>
        <v/>
      </c>
      <c r="AL212" s="84" t="str">
        <f aca="false">MID(IF(N(Y212)&gt;0,", "&amp;Y$2,"")&amp;IF(N(Z212)&gt;0,", "&amp;Z$2,"")&amp;IF(N(AA212)&gt;0,", "&amp;AA$2,"")&amp;IF(N(AB212)&gt;0,", "&amp;AB$2,"")&amp;IF(N(AC212)&gt;0,", "&amp;AC$2,"")&amp;IF(N(AD212)&gt;0,", "&amp;AD$2,"")&amp;IF(N(AE212)&gt;0,", "&amp;AE$2,"")&amp;IF(N(AF212)&gt;0,", "&amp;AF$2,"")&amp;IF(N(AG212)&gt;0,", "&amp;AG$2,"")&amp;IF(N(AH212)&gt;0,", "&amp;AH$2,"")&amp;IF(N(AI212)&gt;0,", "&amp;AI$2,"")&amp;IF(N(AJ212)&gt;0,", "&amp;AJ$2,""),3,999)</f>
        <v/>
      </c>
      <c r="AM212" s="87" t="str">
        <f aca="false">IF(E212="","",MID(IF(N(Y212)&gt;0,", "&amp;A212&amp;"-"&amp;Y$2,"")&amp;IF(N(Z212)&gt;0,", "&amp;A212&amp;"-"&amp;Z$2,"")&amp;IF(N(AA212)&gt;0,", "&amp;A212&amp;"-"&amp;AA$2,"")&amp;IF(N(AB212)&gt;0,", "&amp;A212&amp;"-"&amp;AB$2,"")&amp;IF(N(AC212)&gt;0,", "&amp;A212&amp;"-"&amp;AC$2,"")&amp;IF(N(AD212)&gt;0,", "&amp;A212&amp;"-"&amp;AD$2,"")&amp;IF(N(AE212)&gt;0,", "&amp;A212&amp;"-"&amp;AE$2,"")&amp;IF(N(AF212)&gt;0,", "&amp;A212&amp;"-"&amp;AF$2,"")&amp;IF(N(AG212)&gt;0,", "&amp;A212&amp;"-"&amp;AG$2,"")&amp;IF(N(AH212)&gt;0,", "&amp;A212&amp;"-"&amp;AH$2,"")&amp;IF(N(AI212)&gt;0,", "&amp;A212&amp;"-"&amp;AI$2,"")&amp;IF(N(AJ212)&gt;0,", "&amp;A212&amp;"-"&amp;AJ$2,""),3,999))</f>
        <v/>
      </c>
      <c r="AN212" s="81"/>
      <c r="AO212" s="88"/>
      <c r="AP212" s="89" t="str">
        <f aca="false">IF(AO212="","",ROUND(AO212/(1+Справочники!$B$13),2))</f>
        <v/>
      </c>
      <c r="AQ212" s="90" t="str">
        <f aca="false" t="array" ref="AQ212:AQ212">IF(AP212="","",AP212*INDEX(Справочники!$B$4:$B$7,MATCH("RUB",Справочники!$A$4:$A$7,0)))</f>
        <v/>
      </c>
      <c r="AR212" s="90" t="str">
        <f aca="false">IF(AQ212="","",ROUND(AQ212*(1+Справочники!$B$12),0))</f>
        <v/>
      </c>
      <c r="AS212" s="90" t="str">
        <f aca="false">IF(AR212="","",ROUND(AR212*(1-Справочники!$B$11),0))</f>
        <v/>
      </c>
      <c r="AT212" s="88"/>
      <c r="AU212" s="90" t="str">
        <f aca="false">IF(AT212="","",ROUND(AT212/(1+Справочники!$B$12),0))</f>
        <v/>
      </c>
      <c r="AV212" s="90" t="str">
        <f aca="false">IF(AT212="","",ROUND(AT212*(1-Справочники!$B$15),0))</f>
        <v/>
      </c>
      <c r="AW212" s="90" t="str">
        <f aca="false">IF(AT212="","",ROUND(AT212*(1-Справочники!$B$16),0))</f>
        <v/>
      </c>
      <c r="AX212" s="90" t="str">
        <f aca="false">IF(AT212="","",ROUND(AT212*(1-Справочники!$B$17),0))</f>
        <v/>
      </c>
      <c r="AY212" s="90" t="str">
        <f aca="false">IF(AT212="","",ROUND(AT212*(1-Справочники!$B$18),0))</f>
        <v/>
      </c>
      <c r="AZ212" s="90" t="str">
        <f aca="false">IF(AT212="","",ROUND(AT212*(1-Справочники!$B$19),0))</f>
        <v/>
      </c>
      <c r="BA212" s="81"/>
      <c r="BB212" s="81"/>
      <c r="BC212" s="81"/>
      <c r="BD212" s="81"/>
      <c r="BE212" s="91"/>
      <c r="BF212" s="81" t="s">
        <v>103</v>
      </c>
      <c r="BG212" s="89" t="n">
        <f aca="false" t="array" ref="BG212:BG212">IF(BF212="","",IFERROR(INDEX(Справочники!$B$4:$B$7,MATCH(BF212,Справочники!$A$4:$A$7,0)),""))</f>
        <v>68.5</v>
      </c>
      <c r="BH212" s="90" t="str">
        <f aca="false">IF(N(BN212)&gt;0,ROUND(SUMIF(ЗАКАЗЫ!$F$3:$F$500,$A212,ЗАКАЗЫ!$Y$3:$Y$500)/BN212,0),IF(OR(BE212="",BG212=""),"",ROUND(BE212*BG212*(1+Справочники!$B$10),0)))</f>
        <v/>
      </c>
      <c r="BI212" s="92" t="str">
        <f aca="false">IF(OR(AU212="",BH212="",AU212=0),"",(AU212-BH212)/AU212)</f>
        <v/>
      </c>
      <c r="BJ212" s="81"/>
      <c r="BK212" s="83"/>
      <c r="BL212" s="43" t="str">
        <f aca="false">IFERROR(INDEX(ЗАКАЗЫ!$N$3:$N$500,MATCH($A212,ЗАКАЗЫ!$F$3:$F$500,0)),"")</f>
        <v/>
      </c>
      <c r="BM212" s="8" t="str">
        <f aca="false">IF(BL212="","",IFERROR(VLOOKUP(BL212,'ТН ВЭД'!$A$4:$C$40,3,0),""))</f>
        <v/>
      </c>
      <c r="BN212" s="7" t="str">
        <f aca="false">IF(COUNTIF(ЗАКАЗЫ!$F$3:$F$500,$A212)=0,"",SUMIF(ЗАКАЗЫ!$F$3:$F$500,$A212,ЗАКАЗЫ!$J$3:$J$500))</f>
        <v/>
      </c>
      <c r="BO212" s="7" t="str">
        <f aca="false">IF(BN212="","",SUMIF(ЗАКАЗЫ!$F$3:$F$500,$A212,ЗАКАЗЫ!$AL$3:$AL$500))</f>
        <v/>
      </c>
      <c r="BP212" s="7" t="str">
        <f aca="false">IF(BN212="","",BN212-BO212)</f>
        <v/>
      </c>
      <c r="BQ212" s="55" t="str">
        <f aca="false">IF(BN212="","",IF(BO212&gt;=BN212,"На складе",IF(BO212&gt;0,"Частично","Ждём")))</f>
        <v/>
      </c>
      <c r="BR212" s="43"/>
      <c r="BS212" s="47" t="str">
        <f aca="false">IF(BN212="","",IF(_xlfn.MAXIFS(ЗАКАЗЫ!$AK$3:$AK$500,ЗАКАЗЫ!$F$3:$F$500,$A212)=0,"",_xlfn.MAXIFS(ЗАКАЗЫ!$AK$3:$AK$500,ЗАКАЗЫ!$F$3:$F$500,$A212)))</f>
        <v/>
      </c>
    </row>
    <row r="213" customFormat="false" ht="15.75" hidden="false" customHeight="true" outlineLevel="0" collapsed="false">
      <c r="A213" s="80" t="s">
        <v>2080</v>
      </c>
      <c r="B213" s="81"/>
      <c r="C213" s="81"/>
      <c r="D213" s="81"/>
      <c r="E213" s="83"/>
      <c r="F213" s="81"/>
      <c r="G213" s="83"/>
      <c r="H213" s="83"/>
      <c r="I213" s="84" t="str">
        <f aca="false">IF(E213="","",A213&amp;"_1.jpg")</f>
        <v/>
      </c>
      <c r="J213" s="84" t="str">
        <f aca="false">IF(E213="","",A213&amp;"_2.jpg; "&amp;A213&amp;"_3.jpg")</f>
        <v/>
      </c>
      <c r="K213" s="84" t="str">
        <f aca="false">IF(E213="","",A213&amp;"_schema.jpg")</f>
        <v/>
      </c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 t="s">
        <v>96</v>
      </c>
      <c r="W213" s="81"/>
      <c r="X213" s="81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6" t="str">
        <f aca="false">IF(SUM(Y213:AJ213)=0,"",SUM(Y213:AJ213))</f>
        <v/>
      </c>
      <c r="AL213" s="84" t="str">
        <f aca="false">MID(IF(N(Y213)&gt;0,", "&amp;Y$2,"")&amp;IF(N(Z213)&gt;0,", "&amp;Z$2,"")&amp;IF(N(AA213)&gt;0,", "&amp;AA$2,"")&amp;IF(N(AB213)&gt;0,", "&amp;AB$2,"")&amp;IF(N(AC213)&gt;0,", "&amp;AC$2,"")&amp;IF(N(AD213)&gt;0,", "&amp;AD$2,"")&amp;IF(N(AE213)&gt;0,", "&amp;AE$2,"")&amp;IF(N(AF213)&gt;0,", "&amp;AF$2,"")&amp;IF(N(AG213)&gt;0,", "&amp;AG$2,"")&amp;IF(N(AH213)&gt;0,", "&amp;AH$2,"")&amp;IF(N(AI213)&gt;0,", "&amp;AI$2,"")&amp;IF(N(AJ213)&gt;0,", "&amp;AJ$2,""),3,999)</f>
        <v/>
      </c>
      <c r="AM213" s="87" t="str">
        <f aca="false">IF(E213="","",MID(IF(N(Y213)&gt;0,", "&amp;A213&amp;"-"&amp;Y$2,"")&amp;IF(N(Z213)&gt;0,", "&amp;A213&amp;"-"&amp;Z$2,"")&amp;IF(N(AA213)&gt;0,", "&amp;A213&amp;"-"&amp;AA$2,"")&amp;IF(N(AB213)&gt;0,", "&amp;A213&amp;"-"&amp;AB$2,"")&amp;IF(N(AC213)&gt;0,", "&amp;A213&amp;"-"&amp;AC$2,"")&amp;IF(N(AD213)&gt;0,", "&amp;A213&amp;"-"&amp;AD$2,"")&amp;IF(N(AE213)&gt;0,", "&amp;A213&amp;"-"&amp;AE$2,"")&amp;IF(N(AF213)&gt;0,", "&amp;A213&amp;"-"&amp;AF$2,"")&amp;IF(N(AG213)&gt;0,", "&amp;A213&amp;"-"&amp;AG$2,"")&amp;IF(N(AH213)&gt;0,", "&amp;A213&amp;"-"&amp;AH$2,"")&amp;IF(N(AI213)&gt;0,", "&amp;A213&amp;"-"&amp;AI$2,"")&amp;IF(N(AJ213)&gt;0,", "&amp;A213&amp;"-"&amp;AJ$2,""),3,999))</f>
        <v/>
      </c>
      <c r="AN213" s="81"/>
      <c r="AO213" s="88"/>
      <c r="AP213" s="89" t="str">
        <f aca="false">IF(AO213="","",ROUND(AO213/(1+Справочники!$B$13),2))</f>
        <v/>
      </c>
      <c r="AQ213" s="90" t="str">
        <f aca="false" t="array" ref="AQ213:AQ213">IF(AP213="","",AP213*INDEX(Справочники!$B$4:$B$7,MATCH("RUB",Справочники!$A$4:$A$7,0)))</f>
        <v/>
      </c>
      <c r="AR213" s="90" t="str">
        <f aca="false">IF(AQ213="","",ROUND(AQ213*(1+Справочники!$B$12),0))</f>
        <v/>
      </c>
      <c r="AS213" s="90" t="str">
        <f aca="false">IF(AR213="","",ROUND(AR213*(1-Справочники!$B$11),0))</f>
        <v/>
      </c>
      <c r="AT213" s="88"/>
      <c r="AU213" s="90" t="str">
        <f aca="false">IF(AT213="","",ROUND(AT213/(1+Справочники!$B$12),0))</f>
        <v/>
      </c>
      <c r="AV213" s="90" t="str">
        <f aca="false">IF(AT213="","",ROUND(AT213*(1-Справочники!$B$15),0))</f>
        <v/>
      </c>
      <c r="AW213" s="90" t="str">
        <f aca="false">IF(AT213="","",ROUND(AT213*(1-Справочники!$B$16),0))</f>
        <v/>
      </c>
      <c r="AX213" s="90" t="str">
        <f aca="false">IF(AT213="","",ROUND(AT213*(1-Справочники!$B$17),0))</f>
        <v/>
      </c>
      <c r="AY213" s="90" t="str">
        <f aca="false">IF(AT213="","",ROUND(AT213*(1-Справочники!$B$18),0))</f>
        <v/>
      </c>
      <c r="AZ213" s="90" t="str">
        <f aca="false">IF(AT213="","",ROUND(AT213*(1-Справочники!$B$19),0))</f>
        <v/>
      </c>
      <c r="BA213" s="81"/>
      <c r="BB213" s="81"/>
      <c r="BC213" s="81"/>
      <c r="BD213" s="81"/>
      <c r="BE213" s="91"/>
      <c r="BF213" s="81" t="s">
        <v>103</v>
      </c>
      <c r="BG213" s="89" t="n">
        <f aca="false" t="array" ref="BG213:BG213">IF(BF213="","",IFERROR(INDEX(Справочники!$B$4:$B$7,MATCH(BF213,Справочники!$A$4:$A$7,0)),""))</f>
        <v>68.5</v>
      </c>
      <c r="BH213" s="90" t="str">
        <f aca="false">IF(N(BN213)&gt;0,ROUND(SUMIF(ЗАКАЗЫ!$F$3:$F$500,$A213,ЗАКАЗЫ!$Y$3:$Y$500)/BN213,0),IF(OR(BE213="",BG213=""),"",ROUND(BE213*BG213*(1+Справочники!$B$10),0)))</f>
        <v/>
      </c>
      <c r="BI213" s="92" t="str">
        <f aca="false">IF(OR(AU213="",BH213="",AU213=0),"",(AU213-BH213)/AU213)</f>
        <v/>
      </c>
      <c r="BJ213" s="81"/>
      <c r="BK213" s="83"/>
      <c r="BL213" s="43" t="str">
        <f aca="false">IFERROR(INDEX(ЗАКАЗЫ!$N$3:$N$500,MATCH($A213,ЗАКАЗЫ!$F$3:$F$500,0)),"")</f>
        <v/>
      </c>
      <c r="BM213" s="8" t="str">
        <f aca="false">IF(BL213="","",IFERROR(VLOOKUP(BL213,'ТН ВЭД'!$A$4:$C$40,3,0),""))</f>
        <v/>
      </c>
      <c r="BN213" s="7" t="str">
        <f aca="false">IF(COUNTIF(ЗАКАЗЫ!$F$3:$F$500,$A213)=0,"",SUMIF(ЗАКАЗЫ!$F$3:$F$500,$A213,ЗАКАЗЫ!$J$3:$J$500))</f>
        <v/>
      </c>
      <c r="BO213" s="7" t="str">
        <f aca="false">IF(BN213="","",SUMIF(ЗАКАЗЫ!$F$3:$F$500,$A213,ЗАКАЗЫ!$AL$3:$AL$500))</f>
        <v/>
      </c>
      <c r="BP213" s="7" t="str">
        <f aca="false">IF(BN213="","",BN213-BO213)</f>
        <v/>
      </c>
      <c r="BQ213" s="55" t="str">
        <f aca="false">IF(BN213="","",IF(BO213&gt;=BN213,"На складе",IF(BO213&gt;0,"Частично","Ждём")))</f>
        <v/>
      </c>
      <c r="BR213" s="43"/>
      <c r="BS213" s="47" t="str">
        <f aca="false">IF(BN213="","",IF(_xlfn.MAXIFS(ЗАКАЗЫ!$AK$3:$AK$500,ЗАКАЗЫ!$F$3:$F$500,$A213)=0,"",_xlfn.MAXIFS(ЗАКАЗЫ!$AK$3:$AK$500,ЗАКАЗЫ!$F$3:$F$500,$A213)))</f>
        <v/>
      </c>
    </row>
    <row r="214" customFormat="false" ht="15.75" hidden="false" customHeight="true" outlineLevel="0" collapsed="false">
      <c r="A214" s="80" t="s">
        <v>2081</v>
      </c>
      <c r="B214" s="81"/>
      <c r="C214" s="81"/>
      <c r="D214" s="81"/>
      <c r="E214" s="83"/>
      <c r="F214" s="81"/>
      <c r="G214" s="83"/>
      <c r="H214" s="83"/>
      <c r="I214" s="84" t="str">
        <f aca="false">IF(E214="","",A214&amp;"_1.jpg")</f>
        <v/>
      </c>
      <c r="J214" s="84" t="str">
        <f aca="false">IF(E214="","",A214&amp;"_2.jpg; "&amp;A214&amp;"_3.jpg")</f>
        <v/>
      </c>
      <c r="K214" s="84" t="str">
        <f aca="false">IF(E214="","",A214&amp;"_schema.jpg")</f>
        <v/>
      </c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 t="s">
        <v>96</v>
      </c>
      <c r="W214" s="81"/>
      <c r="X214" s="81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6" t="str">
        <f aca="false">IF(SUM(Y214:AJ214)=0,"",SUM(Y214:AJ214))</f>
        <v/>
      </c>
      <c r="AL214" s="84" t="str">
        <f aca="false">MID(IF(N(Y214)&gt;0,", "&amp;Y$2,"")&amp;IF(N(Z214)&gt;0,", "&amp;Z$2,"")&amp;IF(N(AA214)&gt;0,", "&amp;AA$2,"")&amp;IF(N(AB214)&gt;0,", "&amp;AB$2,"")&amp;IF(N(AC214)&gt;0,", "&amp;AC$2,"")&amp;IF(N(AD214)&gt;0,", "&amp;AD$2,"")&amp;IF(N(AE214)&gt;0,", "&amp;AE$2,"")&amp;IF(N(AF214)&gt;0,", "&amp;AF$2,"")&amp;IF(N(AG214)&gt;0,", "&amp;AG$2,"")&amp;IF(N(AH214)&gt;0,", "&amp;AH$2,"")&amp;IF(N(AI214)&gt;0,", "&amp;AI$2,"")&amp;IF(N(AJ214)&gt;0,", "&amp;AJ$2,""),3,999)</f>
        <v/>
      </c>
      <c r="AM214" s="87" t="str">
        <f aca="false">IF(E214="","",MID(IF(N(Y214)&gt;0,", "&amp;A214&amp;"-"&amp;Y$2,"")&amp;IF(N(Z214)&gt;0,", "&amp;A214&amp;"-"&amp;Z$2,"")&amp;IF(N(AA214)&gt;0,", "&amp;A214&amp;"-"&amp;AA$2,"")&amp;IF(N(AB214)&gt;0,", "&amp;A214&amp;"-"&amp;AB$2,"")&amp;IF(N(AC214)&gt;0,", "&amp;A214&amp;"-"&amp;AC$2,"")&amp;IF(N(AD214)&gt;0,", "&amp;A214&amp;"-"&amp;AD$2,"")&amp;IF(N(AE214)&gt;0,", "&amp;A214&amp;"-"&amp;AE$2,"")&amp;IF(N(AF214)&gt;0,", "&amp;A214&amp;"-"&amp;AF$2,"")&amp;IF(N(AG214)&gt;0,", "&amp;A214&amp;"-"&amp;AG$2,"")&amp;IF(N(AH214)&gt;0,", "&amp;A214&amp;"-"&amp;AH$2,"")&amp;IF(N(AI214)&gt;0,", "&amp;A214&amp;"-"&amp;AI$2,"")&amp;IF(N(AJ214)&gt;0,", "&amp;A214&amp;"-"&amp;AJ$2,""),3,999))</f>
        <v/>
      </c>
      <c r="AN214" s="81"/>
      <c r="AO214" s="88"/>
      <c r="AP214" s="89" t="str">
        <f aca="false">IF(AO214="","",ROUND(AO214/(1+Справочники!$B$13),2))</f>
        <v/>
      </c>
      <c r="AQ214" s="90" t="str">
        <f aca="false" t="array" ref="AQ214:AQ214">IF(AP214="","",AP214*INDEX(Справочники!$B$4:$B$7,MATCH("RUB",Справочники!$A$4:$A$7,0)))</f>
        <v/>
      </c>
      <c r="AR214" s="90" t="str">
        <f aca="false">IF(AQ214="","",ROUND(AQ214*(1+Справочники!$B$12),0))</f>
        <v/>
      </c>
      <c r="AS214" s="90" t="str">
        <f aca="false">IF(AR214="","",ROUND(AR214*(1-Справочники!$B$11),0))</f>
        <v/>
      </c>
      <c r="AT214" s="88"/>
      <c r="AU214" s="90" t="str">
        <f aca="false">IF(AT214="","",ROUND(AT214/(1+Справочники!$B$12),0))</f>
        <v/>
      </c>
      <c r="AV214" s="90" t="str">
        <f aca="false">IF(AT214="","",ROUND(AT214*(1-Справочники!$B$15),0))</f>
        <v/>
      </c>
      <c r="AW214" s="90" t="str">
        <f aca="false">IF(AT214="","",ROUND(AT214*(1-Справочники!$B$16),0))</f>
        <v/>
      </c>
      <c r="AX214" s="90" t="str">
        <f aca="false">IF(AT214="","",ROUND(AT214*(1-Справочники!$B$17),0))</f>
        <v/>
      </c>
      <c r="AY214" s="90" t="str">
        <f aca="false">IF(AT214="","",ROUND(AT214*(1-Справочники!$B$18),0))</f>
        <v/>
      </c>
      <c r="AZ214" s="90" t="str">
        <f aca="false">IF(AT214="","",ROUND(AT214*(1-Справочники!$B$19),0))</f>
        <v/>
      </c>
      <c r="BA214" s="81"/>
      <c r="BB214" s="81"/>
      <c r="BC214" s="81"/>
      <c r="BD214" s="81"/>
      <c r="BE214" s="91"/>
      <c r="BF214" s="81" t="s">
        <v>103</v>
      </c>
      <c r="BG214" s="89" t="n">
        <f aca="false" t="array" ref="BG214:BG214">IF(BF214="","",IFERROR(INDEX(Справочники!$B$4:$B$7,MATCH(BF214,Справочники!$A$4:$A$7,0)),""))</f>
        <v>68.5</v>
      </c>
      <c r="BH214" s="90" t="str">
        <f aca="false">IF(N(BN214)&gt;0,ROUND(SUMIF(ЗАКАЗЫ!$F$3:$F$500,$A214,ЗАКАЗЫ!$Y$3:$Y$500)/BN214,0),IF(OR(BE214="",BG214=""),"",ROUND(BE214*BG214*(1+Справочники!$B$10),0)))</f>
        <v/>
      </c>
      <c r="BI214" s="92" t="str">
        <f aca="false">IF(OR(AU214="",BH214="",AU214=0),"",(AU214-BH214)/AU214)</f>
        <v/>
      </c>
      <c r="BJ214" s="81"/>
      <c r="BK214" s="83"/>
      <c r="BL214" s="43" t="str">
        <f aca="false">IFERROR(INDEX(ЗАКАЗЫ!$N$3:$N$500,MATCH($A214,ЗАКАЗЫ!$F$3:$F$500,0)),"")</f>
        <v/>
      </c>
      <c r="BM214" s="8" t="str">
        <f aca="false">IF(BL214="","",IFERROR(VLOOKUP(BL214,'ТН ВЭД'!$A$4:$C$40,3,0),""))</f>
        <v/>
      </c>
      <c r="BN214" s="7" t="str">
        <f aca="false">IF(COUNTIF(ЗАКАЗЫ!$F$3:$F$500,$A214)=0,"",SUMIF(ЗАКАЗЫ!$F$3:$F$500,$A214,ЗАКАЗЫ!$J$3:$J$500))</f>
        <v/>
      </c>
      <c r="BO214" s="7" t="str">
        <f aca="false">IF(BN214="","",SUMIF(ЗАКАЗЫ!$F$3:$F$500,$A214,ЗАКАЗЫ!$AL$3:$AL$500))</f>
        <v/>
      </c>
      <c r="BP214" s="7" t="str">
        <f aca="false">IF(BN214="","",BN214-BO214)</f>
        <v/>
      </c>
      <c r="BQ214" s="55" t="str">
        <f aca="false">IF(BN214="","",IF(BO214&gt;=BN214,"На складе",IF(BO214&gt;0,"Частично","Ждём")))</f>
        <v/>
      </c>
      <c r="BR214" s="43"/>
      <c r="BS214" s="47" t="str">
        <f aca="false">IF(BN214="","",IF(_xlfn.MAXIFS(ЗАКАЗЫ!$AK$3:$AK$500,ЗАКАЗЫ!$F$3:$F$500,$A214)=0,"",_xlfn.MAXIFS(ЗАКАЗЫ!$AK$3:$AK$500,ЗАКАЗЫ!$F$3:$F$500,$A214)))</f>
        <v/>
      </c>
    </row>
    <row r="215" customFormat="false" ht="15.75" hidden="false" customHeight="true" outlineLevel="0" collapsed="false">
      <c r="A215" s="80" t="s">
        <v>2082</v>
      </c>
      <c r="B215" s="81"/>
      <c r="C215" s="81"/>
      <c r="D215" s="81"/>
      <c r="E215" s="83"/>
      <c r="F215" s="81"/>
      <c r="G215" s="83"/>
      <c r="H215" s="83"/>
      <c r="I215" s="84" t="str">
        <f aca="false">IF(E215="","",A215&amp;"_1.jpg")</f>
        <v/>
      </c>
      <c r="J215" s="84" t="str">
        <f aca="false">IF(E215="","",A215&amp;"_2.jpg; "&amp;A215&amp;"_3.jpg")</f>
        <v/>
      </c>
      <c r="K215" s="84" t="str">
        <f aca="false">IF(E215="","",A215&amp;"_schema.jpg")</f>
        <v/>
      </c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 t="s">
        <v>96</v>
      </c>
      <c r="W215" s="81"/>
      <c r="X215" s="81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6" t="str">
        <f aca="false">IF(SUM(Y215:AJ215)=0,"",SUM(Y215:AJ215))</f>
        <v/>
      </c>
      <c r="AL215" s="84" t="str">
        <f aca="false">MID(IF(N(Y215)&gt;0,", "&amp;Y$2,"")&amp;IF(N(Z215)&gt;0,", "&amp;Z$2,"")&amp;IF(N(AA215)&gt;0,", "&amp;AA$2,"")&amp;IF(N(AB215)&gt;0,", "&amp;AB$2,"")&amp;IF(N(AC215)&gt;0,", "&amp;AC$2,"")&amp;IF(N(AD215)&gt;0,", "&amp;AD$2,"")&amp;IF(N(AE215)&gt;0,", "&amp;AE$2,"")&amp;IF(N(AF215)&gt;0,", "&amp;AF$2,"")&amp;IF(N(AG215)&gt;0,", "&amp;AG$2,"")&amp;IF(N(AH215)&gt;0,", "&amp;AH$2,"")&amp;IF(N(AI215)&gt;0,", "&amp;AI$2,"")&amp;IF(N(AJ215)&gt;0,", "&amp;AJ$2,""),3,999)</f>
        <v/>
      </c>
      <c r="AM215" s="87" t="str">
        <f aca="false">IF(E215="","",MID(IF(N(Y215)&gt;0,", "&amp;A215&amp;"-"&amp;Y$2,"")&amp;IF(N(Z215)&gt;0,", "&amp;A215&amp;"-"&amp;Z$2,"")&amp;IF(N(AA215)&gt;0,", "&amp;A215&amp;"-"&amp;AA$2,"")&amp;IF(N(AB215)&gt;0,", "&amp;A215&amp;"-"&amp;AB$2,"")&amp;IF(N(AC215)&gt;0,", "&amp;A215&amp;"-"&amp;AC$2,"")&amp;IF(N(AD215)&gt;0,", "&amp;A215&amp;"-"&amp;AD$2,"")&amp;IF(N(AE215)&gt;0,", "&amp;A215&amp;"-"&amp;AE$2,"")&amp;IF(N(AF215)&gt;0,", "&amp;A215&amp;"-"&amp;AF$2,"")&amp;IF(N(AG215)&gt;0,", "&amp;A215&amp;"-"&amp;AG$2,"")&amp;IF(N(AH215)&gt;0,", "&amp;A215&amp;"-"&amp;AH$2,"")&amp;IF(N(AI215)&gt;0,", "&amp;A215&amp;"-"&amp;AI$2,"")&amp;IF(N(AJ215)&gt;0,", "&amp;A215&amp;"-"&amp;AJ$2,""),3,999))</f>
        <v/>
      </c>
      <c r="AN215" s="81"/>
      <c r="AO215" s="88"/>
      <c r="AP215" s="89" t="str">
        <f aca="false">IF(AO215="","",ROUND(AO215/(1+Справочники!$B$13),2))</f>
        <v/>
      </c>
      <c r="AQ215" s="90" t="str">
        <f aca="false" t="array" ref="AQ215:AQ215">IF(AP215="","",AP215*INDEX(Справочники!$B$4:$B$7,MATCH("RUB",Справочники!$A$4:$A$7,0)))</f>
        <v/>
      </c>
      <c r="AR215" s="90" t="str">
        <f aca="false">IF(AQ215="","",ROUND(AQ215*(1+Справочники!$B$12),0))</f>
        <v/>
      </c>
      <c r="AS215" s="90" t="str">
        <f aca="false">IF(AR215="","",ROUND(AR215*(1-Справочники!$B$11),0))</f>
        <v/>
      </c>
      <c r="AT215" s="88"/>
      <c r="AU215" s="90" t="str">
        <f aca="false">IF(AT215="","",ROUND(AT215/(1+Справочники!$B$12),0))</f>
        <v/>
      </c>
      <c r="AV215" s="90" t="str">
        <f aca="false">IF(AT215="","",ROUND(AT215*(1-Справочники!$B$15),0))</f>
        <v/>
      </c>
      <c r="AW215" s="90" t="str">
        <f aca="false">IF(AT215="","",ROUND(AT215*(1-Справочники!$B$16),0))</f>
        <v/>
      </c>
      <c r="AX215" s="90" t="str">
        <f aca="false">IF(AT215="","",ROUND(AT215*(1-Справочники!$B$17),0))</f>
        <v/>
      </c>
      <c r="AY215" s="90" t="str">
        <f aca="false">IF(AT215="","",ROUND(AT215*(1-Справочники!$B$18),0))</f>
        <v/>
      </c>
      <c r="AZ215" s="90" t="str">
        <f aca="false">IF(AT215="","",ROUND(AT215*(1-Справочники!$B$19),0))</f>
        <v/>
      </c>
      <c r="BA215" s="81"/>
      <c r="BB215" s="81"/>
      <c r="BC215" s="81"/>
      <c r="BD215" s="81"/>
      <c r="BE215" s="91"/>
      <c r="BF215" s="81" t="s">
        <v>103</v>
      </c>
      <c r="BG215" s="89" t="n">
        <f aca="false" t="array" ref="BG215:BG215">IF(BF215="","",IFERROR(INDEX(Справочники!$B$4:$B$7,MATCH(BF215,Справочники!$A$4:$A$7,0)),""))</f>
        <v>68.5</v>
      </c>
      <c r="BH215" s="90" t="str">
        <f aca="false">IF(N(BN215)&gt;0,ROUND(SUMIF(ЗАКАЗЫ!$F$3:$F$500,$A215,ЗАКАЗЫ!$Y$3:$Y$500)/BN215,0),IF(OR(BE215="",BG215=""),"",ROUND(BE215*BG215*(1+Справочники!$B$10),0)))</f>
        <v/>
      </c>
      <c r="BI215" s="92" t="str">
        <f aca="false">IF(OR(AU215="",BH215="",AU215=0),"",(AU215-BH215)/AU215)</f>
        <v/>
      </c>
      <c r="BJ215" s="81"/>
      <c r="BK215" s="83"/>
      <c r="BL215" s="43" t="str">
        <f aca="false">IFERROR(INDEX(ЗАКАЗЫ!$N$3:$N$500,MATCH($A215,ЗАКАЗЫ!$F$3:$F$500,0)),"")</f>
        <v/>
      </c>
      <c r="BM215" s="8" t="str">
        <f aca="false">IF(BL215="","",IFERROR(VLOOKUP(BL215,'ТН ВЭД'!$A$4:$C$40,3,0),""))</f>
        <v/>
      </c>
      <c r="BN215" s="7" t="str">
        <f aca="false">IF(COUNTIF(ЗАКАЗЫ!$F$3:$F$500,$A215)=0,"",SUMIF(ЗАКАЗЫ!$F$3:$F$500,$A215,ЗАКАЗЫ!$J$3:$J$500))</f>
        <v/>
      </c>
      <c r="BO215" s="7" t="str">
        <f aca="false">IF(BN215="","",SUMIF(ЗАКАЗЫ!$F$3:$F$500,$A215,ЗАКАЗЫ!$AL$3:$AL$500))</f>
        <v/>
      </c>
      <c r="BP215" s="7" t="str">
        <f aca="false">IF(BN215="","",BN215-BO215)</f>
        <v/>
      </c>
      <c r="BQ215" s="55" t="str">
        <f aca="false">IF(BN215="","",IF(BO215&gt;=BN215,"На складе",IF(BO215&gt;0,"Частично","Ждём")))</f>
        <v/>
      </c>
      <c r="BR215" s="43"/>
      <c r="BS215" s="47" t="str">
        <f aca="false">IF(BN215="","",IF(_xlfn.MAXIFS(ЗАКАЗЫ!$AK$3:$AK$500,ЗАКАЗЫ!$F$3:$F$500,$A215)=0,"",_xlfn.MAXIFS(ЗАКАЗЫ!$AK$3:$AK$500,ЗАКАЗЫ!$F$3:$F$500,$A215)))</f>
        <v/>
      </c>
    </row>
    <row r="216" customFormat="false" ht="15.75" hidden="false" customHeight="true" outlineLevel="0" collapsed="false">
      <c r="A216" s="80" t="s">
        <v>2083</v>
      </c>
      <c r="B216" s="81"/>
      <c r="C216" s="81"/>
      <c r="D216" s="81"/>
      <c r="E216" s="83"/>
      <c r="F216" s="81"/>
      <c r="G216" s="83"/>
      <c r="H216" s="83"/>
      <c r="I216" s="84" t="str">
        <f aca="false">IF(E216="","",A216&amp;"_1.jpg")</f>
        <v/>
      </c>
      <c r="J216" s="84" t="str">
        <f aca="false">IF(E216="","",A216&amp;"_2.jpg; "&amp;A216&amp;"_3.jpg")</f>
        <v/>
      </c>
      <c r="K216" s="84" t="str">
        <f aca="false">IF(E216="","",A216&amp;"_schema.jpg")</f>
        <v/>
      </c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 t="s">
        <v>96</v>
      </c>
      <c r="W216" s="81"/>
      <c r="X216" s="81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6" t="str">
        <f aca="false">IF(SUM(Y216:AJ216)=0,"",SUM(Y216:AJ216))</f>
        <v/>
      </c>
      <c r="AL216" s="84" t="str">
        <f aca="false">MID(IF(N(Y216)&gt;0,", "&amp;Y$2,"")&amp;IF(N(Z216)&gt;0,", "&amp;Z$2,"")&amp;IF(N(AA216)&gt;0,", "&amp;AA$2,"")&amp;IF(N(AB216)&gt;0,", "&amp;AB$2,"")&amp;IF(N(AC216)&gt;0,", "&amp;AC$2,"")&amp;IF(N(AD216)&gt;0,", "&amp;AD$2,"")&amp;IF(N(AE216)&gt;0,", "&amp;AE$2,"")&amp;IF(N(AF216)&gt;0,", "&amp;AF$2,"")&amp;IF(N(AG216)&gt;0,", "&amp;AG$2,"")&amp;IF(N(AH216)&gt;0,", "&amp;AH$2,"")&amp;IF(N(AI216)&gt;0,", "&amp;AI$2,"")&amp;IF(N(AJ216)&gt;0,", "&amp;AJ$2,""),3,999)</f>
        <v/>
      </c>
      <c r="AM216" s="87" t="str">
        <f aca="false">IF(E216="","",MID(IF(N(Y216)&gt;0,", "&amp;A216&amp;"-"&amp;Y$2,"")&amp;IF(N(Z216)&gt;0,", "&amp;A216&amp;"-"&amp;Z$2,"")&amp;IF(N(AA216)&gt;0,", "&amp;A216&amp;"-"&amp;AA$2,"")&amp;IF(N(AB216)&gt;0,", "&amp;A216&amp;"-"&amp;AB$2,"")&amp;IF(N(AC216)&gt;0,", "&amp;A216&amp;"-"&amp;AC$2,"")&amp;IF(N(AD216)&gt;0,", "&amp;A216&amp;"-"&amp;AD$2,"")&amp;IF(N(AE216)&gt;0,", "&amp;A216&amp;"-"&amp;AE$2,"")&amp;IF(N(AF216)&gt;0,", "&amp;A216&amp;"-"&amp;AF$2,"")&amp;IF(N(AG216)&gt;0,", "&amp;A216&amp;"-"&amp;AG$2,"")&amp;IF(N(AH216)&gt;0,", "&amp;A216&amp;"-"&amp;AH$2,"")&amp;IF(N(AI216)&gt;0,", "&amp;A216&amp;"-"&amp;AI$2,"")&amp;IF(N(AJ216)&gt;0,", "&amp;A216&amp;"-"&amp;AJ$2,""),3,999))</f>
        <v/>
      </c>
      <c r="AN216" s="81"/>
      <c r="AO216" s="88"/>
      <c r="AP216" s="89" t="str">
        <f aca="false">IF(AO216="","",ROUND(AO216/(1+Справочники!$B$13),2))</f>
        <v/>
      </c>
      <c r="AQ216" s="90" t="str">
        <f aca="false" t="array" ref="AQ216:AQ216">IF(AP216="","",AP216*INDEX(Справочники!$B$4:$B$7,MATCH("RUB",Справочники!$A$4:$A$7,0)))</f>
        <v/>
      </c>
      <c r="AR216" s="90" t="str">
        <f aca="false">IF(AQ216="","",ROUND(AQ216*(1+Справочники!$B$12),0))</f>
        <v/>
      </c>
      <c r="AS216" s="90" t="str">
        <f aca="false">IF(AR216="","",ROUND(AR216*(1-Справочники!$B$11),0))</f>
        <v/>
      </c>
      <c r="AT216" s="88"/>
      <c r="AU216" s="90" t="str">
        <f aca="false">IF(AT216="","",ROUND(AT216/(1+Справочники!$B$12),0))</f>
        <v/>
      </c>
      <c r="AV216" s="90" t="str">
        <f aca="false">IF(AT216="","",ROUND(AT216*(1-Справочники!$B$15),0))</f>
        <v/>
      </c>
      <c r="AW216" s="90" t="str">
        <f aca="false">IF(AT216="","",ROUND(AT216*(1-Справочники!$B$16),0))</f>
        <v/>
      </c>
      <c r="AX216" s="90" t="str">
        <f aca="false">IF(AT216="","",ROUND(AT216*(1-Справочники!$B$17),0))</f>
        <v/>
      </c>
      <c r="AY216" s="90" t="str">
        <f aca="false">IF(AT216="","",ROUND(AT216*(1-Справочники!$B$18),0))</f>
        <v/>
      </c>
      <c r="AZ216" s="90" t="str">
        <f aca="false">IF(AT216="","",ROUND(AT216*(1-Справочники!$B$19),0))</f>
        <v/>
      </c>
      <c r="BA216" s="81"/>
      <c r="BB216" s="81"/>
      <c r="BC216" s="81"/>
      <c r="BD216" s="81"/>
      <c r="BE216" s="91"/>
      <c r="BF216" s="81" t="s">
        <v>103</v>
      </c>
      <c r="BG216" s="89" t="n">
        <f aca="false" t="array" ref="BG216:BG216">IF(BF216="","",IFERROR(INDEX(Справочники!$B$4:$B$7,MATCH(BF216,Справочники!$A$4:$A$7,0)),""))</f>
        <v>68.5</v>
      </c>
      <c r="BH216" s="90" t="str">
        <f aca="false">IF(N(BN216)&gt;0,ROUND(SUMIF(ЗАКАЗЫ!$F$3:$F$500,$A216,ЗАКАЗЫ!$Y$3:$Y$500)/BN216,0),IF(OR(BE216="",BG216=""),"",ROUND(BE216*BG216*(1+Справочники!$B$10),0)))</f>
        <v/>
      </c>
      <c r="BI216" s="92" t="str">
        <f aca="false">IF(OR(AU216="",BH216="",AU216=0),"",(AU216-BH216)/AU216)</f>
        <v/>
      </c>
      <c r="BJ216" s="81"/>
      <c r="BK216" s="83"/>
      <c r="BL216" s="43" t="str">
        <f aca="false">IFERROR(INDEX(ЗАКАЗЫ!$N$3:$N$500,MATCH($A216,ЗАКАЗЫ!$F$3:$F$500,0)),"")</f>
        <v/>
      </c>
      <c r="BM216" s="8" t="str">
        <f aca="false">IF(BL216="","",IFERROR(VLOOKUP(BL216,'ТН ВЭД'!$A$4:$C$40,3,0),""))</f>
        <v/>
      </c>
      <c r="BN216" s="7" t="str">
        <f aca="false">IF(COUNTIF(ЗАКАЗЫ!$F$3:$F$500,$A216)=0,"",SUMIF(ЗАКАЗЫ!$F$3:$F$500,$A216,ЗАКАЗЫ!$J$3:$J$500))</f>
        <v/>
      </c>
      <c r="BO216" s="7" t="str">
        <f aca="false">IF(BN216="","",SUMIF(ЗАКАЗЫ!$F$3:$F$500,$A216,ЗАКАЗЫ!$AL$3:$AL$500))</f>
        <v/>
      </c>
      <c r="BP216" s="7" t="str">
        <f aca="false">IF(BN216="","",BN216-BO216)</f>
        <v/>
      </c>
      <c r="BQ216" s="55" t="str">
        <f aca="false">IF(BN216="","",IF(BO216&gt;=BN216,"На складе",IF(BO216&gt;0,"Частично","Ждём")))</f>
        <v/>
      </c>
      <c r="BR216" s="43"/>
      <c r="BS216" s="47" t="str">
        <f aca="false">IF(BN216="","",IF(_xlfn.MAXIFS(ЗАКАЗЫ!$AK$3:$AK$500,ЗАКАЗЫ!$F$3:$F$500,$A216)=0,"",_xlfn.MAXIFS(ЗАКАЗЫ!$AK$3:$AK$500,ЗАКАЗЫ!$F$3:$F$500,$A216)))</f>
        <v/>
      </c>
    </row>
    <row r="217" customFormat="false" ht="15.75" hidden="false" customHeight="true" outlineLevel="0" collapsed="false">
      <c r="A217" s="80" t="s">
        <v>2084</v>
      </c>
      <c r="B217" s="81"/>
      <c r="C217" s="81"/>
      <c r="D217" s="81"/>
      <c r="E217" s="83"/>
      <c r="F217" s="81"/>
      <c r="G217" s="83"/>
      <c r="H217" s="83"/>
      <c r="I217" s="84" t="str">
        <f aca="false">IF(E217="","",A217&amp;"_1.jpg")</f>
        <v/>
      </c>
      <c r="J217" s="84" t="str">
        <f aca="false">IF(E217="","",A217&amp;"_2.jpg; "&amp;A217&amp;"_3.jpg")</f>
        <v/>
      </c>
      <c r="K217" s="84" t="str">
        <f aca="false">IF(E217="","",A217&amp;"_schema.jpg")</f>
        <v/>
      </c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 t="s">
        <v>96</v>
      </c>
      <c r="W217" s="81"/>
      <c r="X217" s="81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6" t="str">
        <f aca="false">IF(SUM(Y217:AJ217)=0,"",SUM(Y217:AJ217))</f>
        <v/>
      </c>
      <c r="AL217" s="84" t="str">
        <f aca="false">MID(IF(N(Y217)&gt;0,", "&amp;Y$2,"")&amp;IF(N(Z217)&gt;0,", "&amp;Z$2,"")&amp;IF(N(AA217)&gt;0,", "&amp;AA$2,"")&amp;IF(N(AB217)&gt;0,", "&amp;AB$2,"")&amp;IF(N(AC217)&gt;0,", "&amp;AC$2,"")&amp;IF(N(AD217)&gt;0,", "&amp;AD$2,"")&amp;IF(N(AE217)&gt;0,", "&amp;AE$2,"")&amp;IF(N(AF217)&gt;0,", "&amp;AF$2,"")&amp;IF(N(AG217)&gt;0,", "&amp;AG$2,"")&amp;IF(N(AH217)&gt;0,", "&amp;AH$2,"")&amp;IF(N(AI217)&gt;0,", "&amp;AI$2,"")&amp;IF(N(AJ217)&gt;0,", "&amp;AJ$2,""),3,999)</f>
        <v/>
      </c>
      <c r="AM217" s="87" t="str">
        <f aca="false">IF(E217="","",MID(IF(N(Y217)&gt;0,", "&amp;A217&amp;"-"&amp;Y$2,"")&amp;IF(N(Z217)&gt;0,", "&amp;A217&amp;"-"&amp;Z$2,"")&amp;IF(N(AA217)&gt;0,", "&amp;A217&amp;"-"&amp;AA$2,"")&amp;IF(N(AB217)&gt;0,", "&amp;A217&amp;"-"&amp;AB$2,"")&amp;IF(N(AC217)&gt;0,", "&amp;A217&amp;"-"&amp;AC$2,"")&amp;IF(N(AD217)&gt;0,", "&amp;A217&amp;"-"&amp;AD$2,"")&amp;IF(N(AE217)&gt;0,", "&amp;A217&amp;"-"&amp;AE$2,"")&amp;IF(N(AF217)&gt;0,", "&amp;A217&amp;"-"&amp;AF$2,"")&amp;IF(N(AG217)&gt;0,", "&amp;A217&amp;"-"&amp;AG$2,"")&amp;IF(N(AH217)&gt;0,", "&amp;A217&amp;"-"&amp;AH$2,"")&amp;IF(N(AI217)&gt;0,", "&amp;A217&amp;"-"&amp;AI$2,"")&amp;IF(N(AJ217)&gt;0,", "&amp;A217&amp;"-"&amp;AJ$2,""),3,999))</f>
        <v/>
      </c>
      <c r="AN217" s="81"/>
      <c r="AO217" s="88"/>
      <c r="AP217" s="89" t="str">
        <f aca="false">IF(AO217="","",ROUND(AO217/(1+Справочники!$B$13),2))</f>
        <v/>
      </c>
      <c r="AQ217" s="90" t="str">
        <f aca="false" t="array" ref="AQ217:AQ217">IF(AP217="","",AP217*INDEX(Справочники!$B$4:$B$7,MATCH("RUB",Справочники!$A$4:$A$7,0)))</f>
        <v/>
      </c>
      <c r="AR217" s="90" t="str">
        <f aca="false">IF(AQ217="","",ROUND(AQ217*(1+Справочники!$B$12),0))</f>
        <v/>
      </c>
      <c r="AS217" s="90" t="str">
        <f aca="false">IF(AR217="","",ROUND(AR217*(1-Справочники!$B$11),0))</f>
        <v/>
      </c>
      <c r="AT217" s="88"/>
      <c r="AU217" s="90" t="str">
        <f aca="false">IF(AT217="","",ROUND(AT217/(1+Справочники!$B$12),0))</f>
        <v/>
      </c>
      <c r="AV217" s="90" t="str">
        <f aca="false">IF(AT217="","",ROUND(AT217*(1-Справочники!$B$15),0))</f>
        <v/>
      </c>
      <c r="AW217" s="90" t="str">
        <f aca="false">IF(AT217="","",ROUND(AT217*(1-Справочники!$B$16),0))</f>
        <v/>
      </c>
      <c r="AX217" s="90" t="str">
        <f aca="false">IF(AT217="","",ROUND(AT217*(1-Справочники!$B$17),0))</f>
        <v/>
      </c>
      <c r="AY217" s="90" t="str">
        <f aca="false">IF(AT217="","",ROUND(AT217*(1-Справочники!$B$18),0))</f>
        <v/>
      </c>
      <c r="AZ217" s="90" t="str">
        <f aca="false">IF(AT217="","",ROUND(AT217*(1-Справочники!$B$19),0))</f>
        <v/>
      </c>
      <c r="BA217" s="81"/>
      <c r="BB217" s="81"/>
      <c r="BC217" s="81"/>
      <c r="BD217" s="81"/>
      <c r="BE217" s="91"/>
      <c r="BF217" s="81" t="s">
        <v>103</v>
      </c>
      <c r="BG217" s="89" t="n">
        <f aca="false" t="array" ref="BG217:BG217">IF(BF217="","",IFERROR(INDEX(Справочники!$B$4:$B$7,MATCH(BF217,Справочники!$A$4:$A$7,0)),""))</f>
        <v>68.5</v>
      </c>
      <c r="BH217" s="90" t="str">
        <f aca="false">IF(N(BN217)&gt;0,ROUND(SUMIF(ЗАКАЗЫ!$F$3:$F$500,$A217,ЗАКАЗЫ!$Y$3:$Y$500)/BN217,0),IF(OR(BE217="",BG217=""),"",ROUND(BE217*BG217*(1+Справочники!$B$10),0)))</f>
        <v/>
      </c>
      <c r="BI217" s="92" t="str">
        <f aca="false">IF(OR(AU217="",BH217="",AU217=0),"",(AU217-BH217)/AU217)</f>
        <v/>
      </c>
      <c r="BJ217" s="81"/>
      <c r="BK217" s="83"/>
      <c r="BL217" s="43" t="str">
        <f aca="false">IFERROR(INDEX(ЗАКАЗЫ!$N$3:$N$500,MATCH($A217,ЗАКАЗЫ!$F$3:$F$500,0)),"")</f>
        <v/>
      </c>
      <c r="BM217" s="8" t="str">
        <f aca="false">IF(BL217="","",IFERROR(VLOOKUP(BL217,'ТН ВЭД'!$A$4:$C$40,3,0),""))</f>
        <v/>
      </c>
      <c r="BN217" s="7" t="str">
        <f aca="false">IF(COUNTIF(ЗАКАЗЫ!$F$3:$F$500,$A217)=0,"",SUMIF(ЗАКАЗЫ!$F$3:$F$500,$A217,ЗАКАЗЫ!$J$3:$J$500))</f>
        <v/>
      </c>
      <c r="BO217" s="7" t="str">
        <f aca="false">IF(BN217="","",SUMIF(ЗАКАЗЫ!$F$3:$F$500,$A217,ЗАКАЗЫ!$AL$3:$AL$500))</f>
        <v/>
      </c>
      <c r="BP217" s="7" t="str">
        <f aca="false">IF(BN217="","",BN217-BO217)</f>
        <v/>
      </c>
      <c r="BQ217" s="55" t="str">
        <f aca="false">IF(BN217="","",IF(BO217&gt;=BN217,"На складе",IF(BO217&gt;0,"Частично","Ждём")))</f>
        <v/>
      </c>
      <c r="BR217" s="43"/>
      <c r="BS217" s="47" t="str">
        <f aca="false">IF(BN217="","",IF(_xlfn.MAXIFS(ЗАКАЗЫ!$AK$3:$AK$500,ЗАКАЗЫ!$F$3:$F$500,$A217)=0,"",_xlfn.MAXIFS(ЗАКАЗЫ!$AK$3:$AK$500,ЗАКАЗЫ!$F$3:$F$500,$A217)))</f>
        <v/>
      </c>
    </row>
    <row r="218" customFormat="false" ht="15.75" hidden="false" customHeight="true" outlineLevel="0" collapsed="false">
      <c r="A218" s="80" t="s">
        <v>2085</v>
      </c>
      <c r="B218" s="81"/>
      <c r="C218" s="81"/>
      <c r="D218" s="81"/>
      <c r="E218" s="83"/>
      <c r="F218" s="81"/>
      <c r="G218" s="83"/>
      <c r="H218" s="83"/>
      <c r="I218" s="84" t="str">
        <f aca="false">IF(E218="","",A218&amp;"_1.jpg")</f>
        <v/>
      </c>
      <c r="J218" s="84" t="str">
        <f aca="false">IF(E218="","",A218&amp;"_2.jpg; "&amp;A218&amp;"_3.jpg")</f>
        <v/>
      </c>
      <c r="K218" s="84" t="str">
        <f aca="false">IF(E218="","",A218&amp;"_schema.jpg")</f>
        <v/>
      </c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 t="s">
        <v>96</v>
      </c>
      <c r="W218" s="81"/>
      <c r="X218" s="81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6" t="str">
        <f aca="false">IF(SUM(Y218:AJ218)=0,"",SUM(Y218:AJ218))</f>
        <v/>
      </c>
      <c r="AL218" s="84" t="str">
        <f aca="false">MID(IF(N(Y218)&gt;0,", "&amp;Y$2,"")&amp;IF(N(Z218)&gt;0,", "&amp;Z$2,"")&amp;IF(N(AA218)&gt;0,", "&amp;AA$2,"")&amp;IF(N(AB218)&gt;0,", "&amp;AB$2,"")&amp;IF(N(AC218)&gt;0,", "&amp;AC$2,"")&amp;IF(N(AD218)&gt;0,", "&amp;AD$2,"")&amp;IF(N(AE218)&gt;0,", "&amp;AE$2,"")&amp;IF(N(AF218)&gt;0,", "&amp;AF$2,"")&amp;IF(N(AG218)&gt;0,", "&amp;AG$2,"")&amp;IF(N(AH218)&gt;0,", "&amp;AH$2,"")&amp;IF(N(AI218)&gt;0,", "&amp;AI$2,"")&amp;IF(N(AJ218)&gt;0,", "&amp;AJ$2,""),3,999)</f>
        <v/>
      </c>
      <c r="AM218" s="87" t="str">
        <f aca="false">IF(E218="","",MID(IF(N(Y218)&gt;0,", "&amp;A218&amp;"-"&amp;Y$2,"")&amp;IF(N(Z218)&gt;0,", "&amp;A218&amp;"-"&amp;Z$2,"")&amp;IF(N(AA218)&gt;0,", "&amp;A218&amp;"-"&amp;AA$2,"")&amp;IF(N(AB218)&gt;0,", "&amp;A218&amp;"-"&amp;AB$2,"")&amp;IF(N(AC218)&gt;0,", "&amp;A218&amp;"-"&amp;AC$2,"")&amp;IF(N(AD218)&gt;0,", "&amp;A218&amp;"-"&amp;AD$2,"")&amp;IF(N(AE218)&gt;0,", "&amp;A218&amp;"-"&amp;AE$2,"")&amp;IF(N(AF218)&gt;0,", "&amp;A218&amp;"-"&amp;AF$2,"")&amp;IF(N(AG218)&gt;0,", "&amp;A218&amp;"-"&amp;AG$2,"")&amp;IF(N(AH218)&gt;0,", "&amp;A218&amp;"-"&amp;AH$2,"")&amp;IF(N(AI218)&gt;0,", "&amp;A218&amp;"-"&amp;AI$2,"")&amp;IF(N(AJ218)&gt;0,", "&amp;A218&amp;"-"&amp;AJ$2,""),3,999))</f>
        <v/>
      </c>
      <c r="AN218" s="81"/>
      <c r="AO218" s="88"/>
      <c r="AP218" s="89" t="str">
        <f aca="false">IF(AO218="","",ROUND(AO218/(1+Справочники!$B$13),2))</f>
        <v/>
      </c>
      <c r="AQ218" s="90" t="str">
        <f aca="false" t="array" ref="AQ218:AQ218">IF(AP218="","",AP218*INDEX(Справочники!$B$4:$B$7,MATCH("RUB",Справочники!$A$4:$A$7,0)))</f>
        <v/>
      </c>
      <c r="AR218" s="90" t="str">
        <f aca="false">IF(AQ218="","",ROUND(AQ218*(1+Справочники!$B$12),0))</f>
        <v/>
      </c>
      <c r="AS218" s="90" t="str">
        <f aca="false">IF(AR218="","",ROUND(AR218*(1-Справочники!$B$11),0))</f>
        <v/>
      </c>
      <c r="AT218" s="88"/>
      <c r="AU218" s="90" t="str">
        <f aca="false">IF(AT218="","",ROUND(AT218/(1+Справочники!$B$12),0))</f>
        <v/>
      </c>
      <c r="AV218" s="90" t="str">
        <f aca="false">IF(AT218="","",ROUND(AT218*(1-Справочники!$B$15),0))</f>
        <v/>
      </c>
      <c r="AW218" s="90" t="str">
        <f aca="false">IF(AT218="","",ROUND(AT218*(1-Справочники!$B$16),0))</f>
        <v/>
      </c>
      <c r="AX218" s="90" t="str">
        <f aca="false">IF(AT218="","",ROUND(AT218*(1-Справочники!$B$17),0))</f>
        <v/>
      </c>
      <c r="AY218" s="90" t="str">
        <f aca="false">IF(AT218="","",ROUND(AT218*(1-Справочники!$B$18),0))</f>
        <v/>
      </c>
      <c r="AZ218" s="90" t="str">
        <f aca="false">IF(AT218="","",ROUND(AT218*(1-Справочники!$B$19),0))</f>
        <v/>
      </c>
      <c r="BA218" s="81"/>
      <c r="BB218" s="81"/>
      <c r="BC218" s="81"/>
      <c r="BD218" s="81"/>
      <c r="BE218" s="91"/>
      <c r="BF218" s="81" t="s">
        <v>103</v>
      </c>
      <c r="BG218" s="89" t="n">
        <f aca="false" t="array" ref="BG218:BG218">IF(BF218="","",IFERROR(INDEX(Справочники!$B$4:$B$7,MATCH(BF218,Справочники!$A$4:$A$7,0)),""))</f>
        <v>68.5</v>
      </c>
      <c r="BH218" s="90" t="str">
        <f aca="false">IF(N(BN218)&gt;0,ROUND(SUMIF(ЗАКАЗЫ!$F$3:$F$500,$A218,ЗАКАЗЫ!$Y$3:$Y$500)/BN218,0),IF(OR(BE218="",BG218=""),"",ROUND(BE218*BG218*(1+Справочники!$B$10),0)))</f>
        <v/>
      </c>
      <c r="BI218" s="92" t="str">
        <f aca="false">IF(OR(AU218="",BH218="",AU218=0),"",(AU218-BH218)/AU218)</f>
        <v/>
      </c>
      <c r="BJ218" s="81"/>
      <c r="BK218" s="83"/>
      <c r="BL218" s="43" t="str">
        <f aca="false">IFERROR(INDEX(ЗАКАЗЫ!$N$3:$N$500,MATCH($A218,ЗАКАЗЫ!$F$3:$F$500,0)),"")</f>
        <v/>
      </c>
      <c r="BM218" s="8" t="str">
        <f aca="false">IF(BL218="","",IFERROR(VLOOKUP(BL218,'ТН ВЭД'!$A$4:$C$40,3,0),""))</f>
        <v/>
      </c>
      <c r="BN218" s="7" t="str">
        <f aca="false">IF(COUNTIF(ЗАКАЗЫ!$F$3:$F$500,$A218)=0,"",SUMIF(ЗАКАЗЫ!$F$3:$F$500,$A218,ЗАКАЗЫ!$J$3:$J$500))</f>
        <v/>
      </c>
      <c r="BO218" s="7" t="str">
        <f aca="false">IF(BN218="","",SUMIF(ЗАКАЗЫ!$F$3:$F$500,$A218,ЗАКАЗЫ!$AL$3:$AL$500))</f>
        <v/>
      </c>
      <c r="BP218" s="7" t="str">
        <f aca="false">IF(BN218="","",BN218-BO218)</f>
        <v/>
      </c>
      <c r="BQ218" s="55" t="str">
        <f aca="false">IF(BN218="","",IF(BO218&gt;=BN218,"На складе",IF(BO218&gt;0,"Частично","Ждём")))</f>
        <v/>
      </c>
      <c r="BR218" s="43"/>
      <c r="BS218" s="47" t="str">
        <f aca="false">IF(BN218="","",IF(_xlfn.MAXIFS(ЗАКАЗЫ!$AK$3:$AK$500,ЗАКАЗЫ!$F$3:$F$500,$A218)=0,"",_xlfn.MAXIFS(ЗАКАЗЫ!$AK$3:$AK$500,ЗАКАЗЫ!$F$3:$F$500,$A218)))</f>
        <v/>
      </c>
    </row>
    <row r="219" customFormat="false" ht="15.75" hidden="false" customHeight="true" outlineLevel="0" collapsed="false">
      <c r="A219" s="80" t="s">
        <v>2086</v>
      </c>
      <c r="B219" s="81"/>
      <c r="C219" s="81"/>
      <c r="D219" s="81"/>
      <c r="E219" s="83"/>
      <c r="F219" s="81"/>
      <c r="G219" s="83"/>
      <c r="H219" s="83"/>
      <c r="I219" s="84" t="str">
        <f aca="false">IF(E219="","",A219&amp;"_1.jpg")</f>
        <v/>
      </c>
      <c r="J219" s="84" t="str">
        <f aca="false">IF(E219="","",A219&amp;"_2.jpg; "&amp;A219&amp;"_3.jpg")</f>
        <v/>
      </c>
      <c r="K219" s="84" t="str">
        <f aca="false">IF(E219="","",A219&amp;"_schema.jpg")</f>
        <v/>
      </c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 t="s">
        <v>96</v>
      </c>
      <c r="W219" s="81"/>
      <c r="X219" s="81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6" t="str">
        <f aca="false">IF(SUM(Y219:AJ219)=0,"",SUM(Y219:AJ219))</f>
        <v/>
      </c>
      <c r="AL219" s="84" t="str">
        <f aca="false">MID(IF(N(Y219)&gt;0,", "&amp;Y$2,"")&amp;IF(N(Z219)&gt;0,", "&amp;Z$2,"")&amp;IF(N(AA219)&gt;0,", "&amp;AA$2,"")&amp;IF(N(AB219)&gt;0,", "&amp;AB$2,"")&amp;IF(N(AC219)&gt;0,", "&amp;AC$2,"")&amp;IF(N(AD219)&gt;0,", "&amp;AD$2,"")&amp;IF(N(AE219)&gt;0,", "&amp;AE$2,"")&amp;IF(N(AF219)&gt;0,", "&amp;AF$2,"")&amp;IF(N(AG219)&gt;0,", "&amp;AG$2,"")&amp;IF(N(AH219)&gt;0,", "&amp;AH$2,"")&amp;IF(N(AI219)&gt;0,", "&amp;AI$2,"")&amp;IF(N(AJ219)&gt;0,", "&amp;AJ$2,""),3,999)</f>
        <v/>
      </c>
      <c r="AM219" s="87" t="str">
        <f aca="false">IF(E219="","",MID(IF(N(Y219)&gt;0,", "&amp;A219&amp;"-"&amp;Y$2,"")&amp;IF(N(Z219)&gt;0,", "&amp;A219&amp;"-"&amp;Z$2,"")&amp;IF(N(AA219)&gt;0,", "&amp;A219&amp;"-"&amp;AA$2,"")&amp;IF(N(AB219)&gt;0,", "&amp;A219&amp;"-"&amp;AB$2,"")&amp;IF(N(AC219)&gt;0,", "&amp;A219&amp;"-"&amp;AC$2,"")&amp;IF(N(AD219)&gt;0,", "&amp;A219&amp;"-"&amp;AD$2,"")&amp;IF(N(AE219)&gt;0,", "&amp;A219&amp;"-"&amp;AE$2,"")&amp;IF(N(AF219)&gt;0,", "&amp;A219&amp;"-"&amp;AF$2,"")&amp;IF(N(AG219)&gt;0,", "&amp;A219&amp;"-"&amp;AG$2,"")&amp;IF(N(AH219)&gt;0,", "&amp;A219&amp;"-"&amp;AH$2,"")&amp;IF(N(AI219)&gt;0,", "&amp;A219&amp;"-"&amp;AI$2,"")&amp;IF(N(AJ219)&gt;0,", "&amp;A219&amp;"-"&amp;AJ$2,""),3,999))</f>
        <v/>
      </c>
      <c r="AN219" s="81"/>
      <c r="AO219" s="88"/>
      <c r="AP219" s="89" t="str">
        <f aca="false">IF(AO219="","",ROUND(AO219/(1+Справочники!$B$13),2))</f>
        <v/>
      </c>
      <c r="AQ219" s="90" t="str">
        <f aca="false" t="array" ref="AQ219:AQ219">IF(AP219="","",AP219*INDEX(Справочники!$B$4:$B$7,MATCH("RUB",Справочники!$A$4:$A$7,0)))</f>
        <v/>
      </c>
      <c r="AR219" s="90" t="str">
        <f aca="false">IF(AQ219="","",ROUND(AQ219*(1+Справочники!$B$12),0))</f>
        <v/>
      </c>
      <c r="AS219" s="90" t="str">
        <f aca="false">IF(AR219="","",ROUND(AR219*(1-Справочники!$B$11),0))</f>
        <v/>
      </c>
      <c r="AT219" s="88"/>
      <c r="AU219" s="90" t="str">
        <f aca="false">IF(AT219="","",ROUND(AT219/(1+Справочники!$B$12),0))</f>
        <v/>
      </c>
      <c r="AV219" s="90" t="str">
        <f aca="false">IF(AT219="","",ROUND(AT219*(1-Справочники!$B$15),0))</f>
        <v/>
      </c>
      <c r="AW219" s="90" t="str">
        <f aca="false">IF(AT219="","",ROUND(AT219*(1-Справочники!$B$16),0))</f>
        <v/>
      </c>
      <c r="AX219" s="90" t="str">
        <f aca="false">IF(AT219="","",ROUND(AT219*(1-Справочники!$B$17),0))</f>
        <v/>
      </c>
      <c r="AY219" s="90" t="str">
        <f aca="false">IF(AT219="","",ROUND(AT219*(1-Справочники!$B$18),0))</f>
        <v/>
      </c>
      <c r="AZ219" s="90" t="str">
        <f aca="false">IF(AT219="","",ROUND(AT219*(1-Справочники!$B$19),0))</f>
        <v/>
      </c>
      <c r="BA219" s="81"/>
      <c r="BB219" s="81"/>
      <c r="BC219" s="81"/>
      <c r="BD219" s="81"/>
      <c r="BE219" s="91"/>
      <c r="BF219" s="81" t="s">
        <v>103</v>
      </c>
      <c r="BG219" s="89" t="n">
        <f aca="false" t="array" ref="BG219:BG219">IF(BF219="","",IFERROR(INDEX(Справочники!$B$4:$B$7,MATCH(BF219,Справочники!$A$4:$A$7,0)),""))</f>
        <v>68.5</v>
      </c>
      <c r="BH219" s="90" t="str">
        <f aca="false">IF(N(BN219)&gt;0,ROUND(SUMIF(ЗАКАЗЫ!$F$3:$F$500,$A219,ЗАКАЗЫ!$Y$3:$Y$500)/BN219,0),IF(OR(BE219="",BG219=""),"",ROUND(BE219*BG219*(1+Справочники!$B$10),0)))</f>
        <v/>
      </c>
      <c r="BI219" s="92" t="str">
        <f aca="false">IF(OR(AU219="",BH219="",AU219=0),"",(AU219-BH219)/AU219)</f>
        <v/>
      </c>
      <c r="BJ219" s="81"/>
      <c r="BK219" s="83"/>
      <c r="BL219" s="43" t="str">
        <f aca="false">IFERROR(INDEX(ЗАКАЗЫ!$N$3:$N$500,MATCH($A219,ЗАКАЗЫ!$F$3:$F$500,0)),"")</f>
        <v/>
      </c>
      <c r="BM219" s="8" t="str">
        <f aca="false">IF(BL219="","",IFERROR(VLOOKUP(BL219,'ТН ВЭД'!$A$4:$C$40,3,0),""))</f>
        <v/>
      </c>
      <c r="BN219" s="7" t="str">
        <f aca="false">IF(COUNTIF(ЗАКАЗЫ!$F$3:$F$500,$A219)=0,"",SUMIF(ЗАКАЗЫ!$F$3:$F$500,$A219,ЗАКАЗЫ!$J$3:$J$500))</f>
        <v/>
      </c>
      <c r="BO219" s="7" t="str">
        <f aca="false">IF(BN219="","",SUMIF(ЗАКАЗЫ!$F$3:$F$500,$A219,ЗАКАЗЫ!$AL$3:$AL$500))</f>
        <v/>
      </c>
      <c r="BP219" s="7" t="str">
        <f aca="false">IF(BN219="","",BN219-BO219)</f>
        <v/>
      </c>
      <c r="BQ219" s="55" t="str">
        <f aca="false">IF(BN219="","",IF(BO219&gt;=BN219,"На складе",IF(BO219&gt;0,"Частично","Ждём")))</f>
        <v/>
      </c>
      <c r="BR219" s="43"/>
      <c r="BS219" s="47" t="str">
        <f aca="false">IF(BN219="","",IF(_xlfn.MAXIFS(ЗАКАЗЫ!$AK$3:$AK$500,ЗАКАЗЫ!$F$3:$F$500,$A219)=0,"",_xlfn.MAXIFS(ЗАКАЗЫ!$AK$3:$AK$500,ЗАКАЗЫ!$F$3:$F$500,$A219)))</f>
        <v/>
      </c>
    </row>
    <row r="220" customFormat="false" ht="15.75" hidden="false" customHeight="true" outlineLevel="0" collapsed="false">
      <c r="A220" s="80" t="s">
        <v>2087</v>
      </c>
      <c r="B220" s="81"/>
      <c r="C220" s="81"/>
      <c r="D220" s="81"/>
      <c r="E220" s="83"/>
      <c r="F220" s="81"/>
      <c r="G220" s="83"/>
      <c r="H220" s="83"/>
      <c r="I220" s="84" t="str">
        <f aca="false">IF(E220="","",A220&amp;"_1.jpg")</f>
        <v/>
      </c>
      <c r="J220" s="84" t="str">
        <f aca="false">IF(E220="","",A220&amp;"_2.jpg; "&amp;A220&amp;"_3.jpg")</f>
        <v/>
      </c>
      <c r="K220" s="84" t="str">
        <f aca="false">IF(E220="","",A220&amp;"_schema.jpg")</f>
        <v/>
      </c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 t="s">
        <v>96</v>
      </c>
      <c r="W220" s="81"/>
      <c r="X220" s="81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6" t="str">
        <f aca="false">IF(SUM(Y220:AJ220)=0,"",SUM(Y220:AJ220))</f>
        <v/>
      </c>
      <c r="AL220" s="84" t="str">
        <f aca="false">MID(IF(N(Y220)&gt;0,", "&amp;Y$2,"")&amp;IF(N(Z220)&gt;0,", "&amp;Z$2,"")&amp;IF(N(AA220)&gt;0,", "&amp;AA$2,"")&amp;IF(N(AB220)&gt;0,", "&amp;AB$2,"")&amp;IF(N(AC220)&gt;0,", "&amp;AC$2,"")&amp;IF(N(AD220)&gt;0,", "&amp;AD$2,"")&amp;IF(N(AE220)&gt;0,", "&amp;AE$2,"")&amp;IF(N(AF220)&gt;0,", "&amp;AF$2,"")&amp;IF(N(AG220)&gt;0,", "&amp;AG$2,"")&amp;IF(N(AH220)&gt;0,", "&amp;AH$2,"")&amp;IF(N(AI220)&gt;0,", "&amp;AI$2,"")&amp;IF(N(AJ220)&gt;0,", "&amp;AJ$2,""),3,999)</f>
        <v/>
      </c>
      <c r="AM220" s="87" t="str">
        <f aca="false">IF(E220="","",MID(IF(N(Y220)&gt;0,", "&amp;A220&amp;"-"&amp;Y$2,"")&amp;IF(N(Z220)&gt;0,", "&amp;A220&amp;"-"&amp;Z$2,"")&amp;IF(N(AA220)&gt;0,", "&amp;A220&amp;"-"&amp;AA$2,"")&amp;IF(N(AB220)&gt;0,", "&amp;A220&amp;"-"&amp;AB$2,"")&amp;IF(N(AC220)&gt;0,", "&amp;A220&amp;"-"&amp;AC$2,"")&amp;IF(N(AD220)&gt;0,", "&amp;A220&amp;"-"&amp;AD$2,"")&amp;IF(N(AE220)&gt;0,", "&amp;A220&amp;"-"&amp;AE$2,"")&amp;IF(N(AF220)&gt;0,", "&amp;A220&amp;"-"&amp;AF$2,"")&amp;IF(N(AG220)&gt;0,", "&amp;A220&amp;"-"&amp;AG$2,"")&amp;IF(N(AH220)&gt;0,", "&amp;A220&amp;"-"&amp;AH$2,"")&amp;IF(N(AI220)&gt;0,", "&amp;A220&amp;"-"&amp;AI$2,"")&amp;IF(N(AJ220)&gt;0,", "&amp;A220&amp;"-"&amp;AJ$2,""),3,999))</f>
        <v/>
      </c>
      <c r="AN220" s="81"/>
      <c r="AO220" s="88"/>
      <c r="AP220" s="89" t="str">
        <f aca="false">IF(AO220="","",ROUND(AO220/(1+Справочники!$B$13),2))</f>
        <v/>
      </c>
      <c r="AQ220" s="90" t="str">
        <f aca="false" t="array" ref="AQ220:AQ220">IF(AP220="","",AP220*INDEX(Справочники!$B$4:$B$7,MATCH("RUB",Справочники!$A$4:$A$7,0)))</f>
        <v/>
      </c>
      <c r="AR220" s="90" t="str">
        <f aca="false">IF(AQ220="","",ROUND(AQ220*(1+Справочники!$B$12),0))</f>
        <v/>
      </c>
      <c r="AS220" s="90" t="str">
        <f aca="false">IF(AR220="","",ROUND(AR220*(1-Справочники!$B$11),0))</f>
        <v/>
      </c>
      <c r="AT220" s="88"/>
      <c r="AU220" s="90" t="str">
        <f aca="false">IF(AT220="","",ROUND(AT220/(1+Справочники!$B$12),0))</f>
        <v/>
      </c>
      <c r="AV220" s="90" t="str">
        <f aca="false">IF(AT220="","",ROUND(AT220*(1-Справочники!$B$15),0))</f>
        <v/>
      </c>
      <c r="AW220" s="90" t="str">
        <f aca="false">IF(AT220="","",ROUND(AT220*(1-Справочники!$B$16),0))</f>
        <v/>
      </c>
      <c r="AX220" s="90" t="str">
        <f aca="false">IF(AT220="","",ROUND(AT220*(1-Справочники!$B$17),0))</f>
        <v/>
      </c>
      <c r="AY220" s="90" t="str">
        <f aca="false">IF(AT220="","",ROUND(AT220*(1-Справочники!$B$18),0))</f>
        <v/>
      </c>
      <c r="AZ220" s="90" t="str">
        <f aca="false">IF(AT220="","",ROUND(AT220*(1-Справочники!$B$19),0))</f>
        <v/>
      </c>
      <c r="BA220" s="81"/>
      <c r="BB220" s="81"/>
      <c r="BC220" s="81"/>
      <c r="BD220" s="81"/>
      <c r="BE220" s="91"/>
      <c r="BF220" s="81" t="s">
        <v>103</v>
      </c>
      <c r="BG220" s="89" t="n">
        <f aca="false" t="array" ref="BG220:BG220">IF(BF220="","",IFERROR(INDEX(Справочники!$B$4:$B$7,MATCH(BF220,Справочники!$A$4:$A$7,0)),""))</f>
        <v>68.5</v>
      </c>
      <c r="BH220" s="90" t="str">
        <f aca="false">IF(N(BN220)&gt;0,ROUND(SUMIF(ЗАКАЗЫ!$F$3:$F$500,$A220,ЗАКАЗЫ!$Y$3:$Y$500)/BN220,0),IF(OR(BE220="",BG220=""),"",ROUND(BE220*BG220*(1+Справочники!$B$10),0)))</f>
        <v/>
      </c>
      <c r="BI220" s="92" t="str">
        <f aca="false">IF(OR(AU220="",BH220="",AU220=0),"",(AU220-BH220)/AU220)</f>
        <v/>
      </c>
      <c r="BJ220" s="81"/>
      <c r="BK220" s="83"/>
      <c r="BL220" s="43" t="str">
        <f aca="false">IFERROR(INDEX(ЗАКАЗЫ!$N$3:$N$500,MATCH($A220,ЗАКАЗЫ!$F$3:$F$500,0)),"")</f>
        <v/>
      </c>
      <c r="BM220" s="8" t="str">
        <f aca="false">IF(BL220="","",IFERROR(VLOOKUP(BL220,'ТН ВЭД'!$A$4:$C$40,3,0),""))</f>
        <v/>
      </c>
      <c r="BN220" s="7" t="str">
        <f aca="false">IF(COUNTIF(ЗАКАЗЫ!$F$3:$F$500,$A220)=0,"",SUMIF(ЗАКАЗЫ!$F$3:$F$500,$A220,ЗАКАЗЫ!$J$3:$J$500))</f>
        <v/>
      </c>
      <c r="BO220" s="7" t="str">
        <f aca="false">IF(BN220="","",SUMIF(ЗАКАЗЫ!$F$3:$F$500,$A220,ЗАКАЗЫ!$AL$3:$AL$500))</f>
        <v/>
      </c>
      <c r="BP220" s="7" t="str">
        <f aca="false">IF(BN220="","",BN220-BO220)</f>
        <v/>
      </c>
      <c r="BQ220" s="55" t="str">
        <f aca="false">IF(BN220="","",IF(BO220&gt;=BN220,"На складе",IF(BO220&gt;0,"Частично","Ждём")))</f>
        <v/>
      </c>
      <c r="BR220" s="43"/>
      <c r="BS220" s="47" t="str">
        <f aca="false">IF(BN220="","",IF(_xlfn.MAXIFS(ЗАКАЗЫ!$AK$3:$AK$500,ЗАКАЗЫ!$F$3:$F$500,$A220)=0,"",_xlfn.MAXIFS(ЗАКАЗЫ!$AK$3:$AK$500,ЗАКАЗЫ!$F$3:$F$500,$A220)))</f>
        <v/>
      </c>
    </row>
    <row r="221" customFormat="false" ht="15.75" hidden="false" customHeight="true" outlineLevel="0" collapsed="false">
      <c r="A221" s="80" t="s">
        <v>2088</v>
      </c>
      <c r="B221" s="81"/>
      <c r="C221" s="81"/>
      <c r="D221" s="81"/>
      <c r="E221" s="83"/>
      <c r="F221" s="81"/>
      <c r="G221" s="83"/>
      <c r="H221" s="83"/>
      <c r="I221" s="84" t="str">
        <f aca="false">IF(E221="","",A221&amp;"_1.jpg")</f>
        <v/>
      </c>
      <c r="J221" s="84" t="str">
        <f aca="false">IF(E221="","",A221&amp;"_2.jpg; "&amp;A221&amp;"_3.jpg")</f>
        <v/>
      </c>
      <c r="K221" s="84" t="str">
        <f aca="false">IF(E221="","",A221&amp;"_schema.jpg")</f>
        <v/>
      </c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 t="s">
        <v>96</v>
      </c>
      <c r="W221" s="81"/>
      <c r="X221" s="81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6" t="str">
        <f aca="false">IF(SUM(Y221:AJ221)=0,"",SUM(Y221:AJ221))</f>
        <v/>
      </c>
      <c r="AL221" s="84" t="str">
        <f aca="false">MID(IF(N(Y221)&gt;0,", "&amp;Y$2,"")&amp;IF(N(Z221)&gt;0,", "&amp;Z$2,"")&amp;IF(N(AA221)&gt;0,", "&amp;AA$2,"")&amp;IF(N(AB221)&gt;0,", "&amp;AB$2,"")&amp;IF(N(AC221)&gt;0,", "&amp;AC$2,"")&amp;IF(N(AD221)&gt;0,", "&amp;AD$2,"")&amp;IF(N(AE221)&gt;0,", "&amp;AE$2,"")&amp;IF(N(AF221)&gt;0,", "&amp;AF$2,"")&amp;IF(N(AG221)&gt;0,", "&amp;AG$2,"")&amp;IF(N(AH221)&gt;0,", "&amp;AH$2,"")&amp;IF(N(AI221)&gt;0,", "&amp;AI$2,"")&amp;IF(N(AJ221)&gt;0,", "&amp;AJ$2,""),3,999)</f>
        <v/>
      </c>
      <c r="AM221" s="87" t="str">
        <f aca="false">IF(E221="","",MID(IF(N(Y221)&gt;0,", "&amp;A221&amp;"-"&amp;Y$2,"")&amp;IF(N(Z221)&gt;0,", "&amp;A221&amp;"-"&amp;Z$2,"")&amp;IF(N(AA221)&gt;0,", "&amp;A221&amp;"-"&amp;AA$2,"")&amp;IF(N(AB221)&gt;0,", "&amp;A221&amp;"-"&amp;AB$2,"")&amp;IF(N(AC221)&gt;0,", "&amp;A221&amp;"-"&amp;AC$2,"")&amp;IF(N(AD221)&gt;0,", "&amp;A221&amp;"-"&amp;AD$2,"")&amp;IF(N(AE221)&gt;0,", "&amp;A221&amp;"-"&amp;AE$2,"")&amp;IF(N(AF221)&gt;0,", "&amp;A221&amp;"-"&amp;AF$2,"")&amp;IF(N(AG221)&gt;0,", "&amp;A221&amp;"-"&amp;AG$2,"")&amp;IF(N(AH221)&gt;0,", "&amp;A221&amp;"-"&amp;AH$2,"")&amp;IF(N(AI221)&gt;0,", "&amp;A221&amp;"-"&amp;AI$2,"")&amp;IF(N(AJ221)&gt;0,", "&amp;A221&amp;"-"&amp;AJ$2,""),3,999))</f>
        <v/>
      </c>
      <c r="AN221" s="81"/>
      <c r="AO221" s="88"/>
      <c r="AP221" s="89" t="str">
        <f aca="false">IF(AO221="","",ROUND(AO221/(1+Справочники!$B$13),2))</f>
        <v/>
      </c>
      <c r="AQ221" s="90" t="str">
        <f aca="false" t="array" ref="AQ221:AQ221">IF(AP221="","",AP221*INDEX(Справочники!$B$4:$B$7,MATCH("RUB",Справочники!$A$4:$A$7,0)))</f>
        <v/>
      </c>
      <c r="AR221" s="90" t="str">
        <f aca="false">IF(AQ221="","",ROUND(AQ221*(1+Справочники!$B$12),0))</f>
        <v/>
      </c>
      <c r="AS221" s="90" t="str">
        <f aca="false">IF(AR221="","",ROUND(AR221*(1-Справочники!$B$11),0))</f>
        <v/>
      </c>
      <c r="AT221" s="88"/>
      <c r="AU221" s="90" t="str">
        <f aca="false">IF(AT221="","",ROUND(AT221/(1+Справочники!$B$12),0))</f>
        <v/>
      </c>
      <c r="AV221" s="90" t="str">
        <f aca="false">IF(AT221="","",ROUND(AT221*(1-Справочники!$B$15),0))</f>
        <v/>
      </c>
      <c r="AW221" s="90" t="str">
        <f aca="false">IF(AT221="","",ROUND(AT221*(1-Справочники!$B$16),0))</f>
        <v/>
      </c>
      <c r="AX221" s="90" t="str">
        <f aca="false">IF(AT221="","",ROUND(AT221*(1-Справочники!$B$17),0))</f>
        <v/>
      </c>
      <c r="AY221" s="90" t="str">
        <f aca="false">IF(AT221="","",ROUND(AT221*(1-Справочники!$B$18),0))</f>
        <v/>
      </c>
      <c r="AZ221" s="90" t="str">
        <f aca="false">IF(AT221="","",ROUND(AT221*(1-Справочники!$B$19),0))</f>
        <v/>
      </c>
      <c r="BA221" s="81"/>
      <c r="BB221" s="81"/>
      <c r="BC221" s="81"/>
      <c r="BD221" s="81"/>
      <c r="BE221" s="91"/>
      <c r="BF221" s="81" t="s">
        <v>103</v>
      </c>
      <c r="BG221" s="89" t="n">
        <f aca="false" t="array" ref="BG221:BG221">IF(BF221="","",IFERROR(INDEX(Справочники!$B$4:$B$7,MATCH(BF221,Справочники!$A$4:$A$7,0)),""))</f>
        <v>68.5</v>
      </c>
      <c r="BH221" s="90" t="str">
        <f aca="false">IF(N(BN221)&gt;0,ROUND(SUMIF(ЗАКАЗЫ!$F$3:$F$500,$A221,ЗАКАЗЫ!$Y$3:$Y$500)/BN221,0),IF(OR(BE221="",BG221=""),"",ROUND(BE221*BG221*(1+Справочники!$B$10),0)))</f>
        <v/>
      </c>
      <c r="BI221" s="92" t="str">
        <f aca="false">IF(OR(AU221="",BH221="",AU221=0),"",(AU221-BH221)/AU221)</f>
        <v/>
      </c>
      <c r="BJ221" s="81"/>
      <c r="BK221" s="83"/>
      <c r="BL221" s="43" t="str">
        <f aca="false">IFERROR(INDEX(ЗАКАЗЫ!$N$3:$N$500,MATCH($A221,ЗАКАЗЫ!$F$3:$F$500,0)),"")</f>
        <v/>
      </c>
      <c r="BM221" s="8" t="str">
        <f aca="false">IF(BL221="","",IFERROR(VLOOKUP(BL221,'ТН ВЭД'!$A$4:$C$40,3,0),""))</f>
        <v/>
      </c>
      <c r="BN221" s="7" t="str">
        <f aca="false">IF(COUNTIF(ЗАКАЗЫ!$F$3:$F$500,$A221)=0,"",SUMIF(ЗАКАЗЫ!$F$3:$F$500,$A221,ЗАКАЗЫ!$J$3:$J$500))</f>
        <v/>
      </c>
      <c r="BO221" s="7" t="str">
        <f aca="false">IF(BN221="","",SUMIF(ЗАКАЗЫ!$F$3:$F$500,$A221,ЗАКАЗЫ!$AL$3:$AL$500))</f>
        <v/>
      </c>
      <c r="BP221" s="7" t="str">
        <f aca="false">IF(BN221="","",BN221-BO221)</f>
        <v/>
      </c>
      <c r="BQ221" s="55" t="str">
        <f aca="false">IF(BN221="","",IF(BO221&gt;=BN221,"На складе",IF(BO221&gt;0,"Частично","Ждём")))</f>
        <v/>
      </c>
      <c r="BR221" s="43"/>
      <c r="BS221" s="47" t="str">
        <f aca="false">IF(BN221="","",IF(_xlfn.MAXIFS(ЗАКАЗЫ!$AK$3:$AK$500,ЗАКАЗЫ!$F$3:$F$500,$A221)=0,"",_xlfn.MAXIFS(ЗАКАЗЫ!$AK$3:$AK$500,ЗАКАЗЫ!$F$3:$F$500,$A221)))</f>
        <v/>
      </c>
    </row>
    <row r="222" customFormat="false" ht="15.75" hidden="false" customHeight="true" outlineLevel="0" collapsed="false">
      <c r="A222" s="80" t="s">
        <v>2089</v>
      </c>
      <c r="B222" s="81"/>
      <c r="C222" s="81"/>
      <c r="D222" s="81"/>
      <c r="E222" s="83"/>
      <c r="F222" s="81"/>
      <c r="G222" s="83"/>
      <c r="H222" s="83"/>
      <c r="I222" s="84" t="str">
        <f aca="false">IF(E222="","",A222&amp;"_1.jpg")</f>
        <v/>
      </c>
      <c r="J222" s="84" t="str">
        <f aca="false">IF(E222="","",A222&amp;"_2.jpg; "&amp;A222&amp;"_3.jpg")</f>
        <v/>
      </c>
      <c r="K222" s="84" t="str">
        <f aca="false">IF(E222="","",A222&amp;"_schema.jpg")</f>
        <v/>
      </c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 t="s">
        <v>96</v>
      </c>
      <c r="W222" s="81"/>
      <c r="X222" s="81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6" t="str">
        <f aca="false">IF(SUM(Y222:AJ222)=0,"",SUM(Y222:AJ222))</f>
        <v/>
      </c>
      <c r="AL222" s="84" t="str">
        <f aca="false">MID(IF(N(Y222)&gt;0,", "&amp;Y$2,"")&amp;IF(N(Z222)&gt;0,", "&amp;Z$2,"")&amp;IF(N(AA222)&gt;0,", "&amp;AA$2,"")&amp;IF(N(AB222)&gt;0,", "&amp;AB$2,"")&amp;IF(N(AC222)&gt;0,", "&amp;AC$2,"")&amp;IF(N(AD222)&gt;0,", "&amp;AD$2,"")&amp;IF(N(AE222)&gt;0,", "&amp;AE$2,"")&amp;IF(N(AF222)&gt;0,", "&amp;AF$2,"")&amp;IF(N(AG222)&gt;0,", "&amp;AG$2,"")&amp;IF(N(AH222)&gt;0,", "&amp;AH$2,"")&amp;IF(N(AI222)&gt;0,", "&amp;AI$2,"")&amp;IF(N(AJ222)&gt;0,", "&amp;AJ$2,""),3,999)</f>
        <v/>
      </c>
      <c r="AM222" s="87" t="str">
        <f aca="false">IF(E222="","",MID(IF(N(Y222)&gt;0,", "&amp;A222&amp;"-"&amp;Y$2,"")&amp;IF(N(Z222)&gt;0,", "&amp;A222&amp;"-"&amp;Z$2,"")&amp;IF(N(AA222)&gt;0,", "&amp;A222&amp;"-"&amp;AA$2,"")&amp;IF(N(AB222)&gt;0,", "&amp;A222&amp;"-"&amp;AB$2,"")&amp;IF(N(AC222)&gt;0,", "&amp;A222&amp;"-"&amp;AC$2,"")&amp;IF(N(AD222)&gt;0,", "&amp;A222&amp;"-"&amp;AD$2,"")&amp;IF(N(AE222)&gt;0,", "&amp;A222&amp;"-"&amp;AE$2,"")&amp;IF(N(AF222)&gt;0,", "&amp;A222&amp;"-"&amp;AF$2,"")&amp;IF(N(AG222)&gt;0,", "&amp;A222&amp;"-"&amp;AG$2,"")&amp;IF(N(AH222)&gt;0,", "&amp;A222&amp;"-"&amp;AH$2,"")&amp;IF(N(AI222)&gt;0,", "&amp;A222&amp;"-"&amp;AI$2,"")&amp;IF(N(AJ222)&gt;0,", "&amp;A222&amp;"-"&amp;AJ$2,""),3,999))</f>
        <v/>
      </c>
      <c r="AN222" s="81"/>
      <c r="AO222" s="88"/>
      <c r="AP222" s="89" t="str">
        <f aca="false">IF(AO222="","",ROUND(AO222/(1+Справочники!$B$13),2))</f>
        <v/>
      </c>
      <c r="AQ222" s="90" t="str">
        <f aca="false" t="array" ref="AQ222:AQ222">IF(AP222="","",AP222*INDEX(Справочники!$B$4:$B$7,MATCH("RUB",Справочники!$A$4:$A$7,0)))</f>
        <v/>
      </c>
      <c r="AR222" s="90" t="str">
        <f aca="false">IF(AQ222="","",ROUND(AQ222*(1+Справочники!$B$12),0))</f>
        <v/>
      </c>
      <c r="AS222" s="90" t="str">
        <f aca="false">IF(AR222="","",ROUND(AR222*(1-Справочники!$B$11),0))</f>
        <v/>
      </c>
      <c r="AT222" s="88"/>
      <c r="AU222" s="90" t="str">
        <f aca="false">IF(AT222="","",ROUND(AT222/(1+Справочники!$B$12),0))</f>
        <v/>
      </c>
      <c r="AV222" s="90" t="str">
        <f aca="false">IF(AT222="","",ROUND(AT222*(1-Справочники!$B$15),0))</f>
        <v/>
      </c>
      <c r="AW222" s="90" t="str">
        <f aca="false">IF(AT222="","",ROUND(AT222*(1-Справочники!$B$16),0))</f>
        <v/>
      </c>
      <c r="AX222" s="90" t="str">
        <f aca="false">IF(AT222="","",ROUND(AT222*(1-Справочники!$B$17),0))</f>
        <v/>
      </c>
      <c r="AY222" s="90" t="str">
        <f aca="false">IF(AT222="","",ROUND(AT222*(1-Справочники!$B$18),0))</f>
        <v/>
      </c>
      <c r="AZ222" s="90" t="str">
        <f aca="false">IF(AT222="","",ROUND(AT222*(1-Справочники!$B$19),0))</f>
        <v/>
      </c>
      <c r="BA222" s="81"/>
      <c r="BB222" s="81"/>
      <c r="BC222" s="81"/>
      <c r="BD222" s="81"/>
      <c r="BE222" s="91"/>
      <c r="BF222" s="81" t="s">
        <v>103</v>
      </c>
      <c r="BG222" s="89" t="n">
        <f aca="false" t="array" ref="BG222:BG222">IF(BF222="","",IFERROR(INDEX(Справочники!$B$4:$B$7,MATCH(BF222,Справочники!$A$4:$A$7,0)),""))</f>
        <v>68.5</v>
      </c>
      <c r="BH222" s="90" t="str">
        <f aca="false">IF(N(BN222)&gt;0,ROUND(SUMIF(ЗАКАЗЫ!$F$3:$F$500,$A222,ЗАКАЗЫ!$Y$3:$Y$500)/BN222,0),IF(OR(BE222="",BG222=""),"",ROUND(BE222*BG222*(1+Справочники!$B$10),0)))</f>
        <v/>
      </c>
      <c r="BI222" s="92" t="str">
        <f aca="false">IF(OR(AU222="",BH222="",AU222=0),"",(AU222-BH222)/AU222)</f>
        <v/>
      </c>
      <c r="BJ222" s="81"/>
      <c r="BK222" s="83"/>
      <c r="BL222" s="43" t="str">
        <f aca="false">IFERROR(INDEX(ЗАКАЗЫ!$N$3:$N$500,MATCH($A222,ЗАКАЗЫ!$F$3:$F$500,0)),"")</f>
        <v/>
      </c>
      <c r="BM222" s="8" t="str">
        <f aca="false">IF(BL222="","",IFERROR(VLOOKUP(BL222,'ТН ВЭД'!$A$4:$C$40,3,0),""))</f>
        <v/>
      </c>
      <c r="BN222" s="7" t="str">
        <f aca="false">IF(COUNTIF(ЗАКАЗЫ!$F$3:$F$500,$A222)=0,"",SUMIF(ЗАКАЗЫ!$F$3:$F$500,$A222,ЗАКАЗЫ!$J$3:$J$500))</f>
        <v/>
      </c>
      <c r="BO222" s="7" t="str">
        <f aca="false">IF(BN222="","",SUMIF(ЗАКАЗЫ!$F$3:$F$500,$A222,ЗАКАЗЫ!$AL$3:$AL$500))</f>
        <v/>
      </c>
      <c r="BP222" s="7" t="str">
        <f aca="false">IF(BN222="","",BN222-BO222)</f>
        <v/>
      </c>
      <c r="BQ222" s="55" t="str">
        <f aca="false">IF(BN222="","",IF(BO222&gt;=BN222,"На складе",IF(BO222&gt;0,"Частично","Ждём")))</f>
        <v/>
      </c>
      <c r="BR222" s="43"/>
      <c r="BS222" s="47" t="str">
        <f aca="false">IF(BN222="","",IF(_xlfn.MAXIFS(ЗАКАЗЫ!$AK$3:$AK$500,ЗАКАЗЫ!$F$3:$F$500,$A222)=0,"",_xlfn.MAXIFS(ЗАКАЗЫ!$AK$3:$AK$500,ЗАКАЗЫ!$F$3:$F$500,$A222)))</f>
        <v/>
      </c>
    </row>
    <row r="223" customFormat="false" ht="15.75" hidden="false" customHeight="true" outlineLevel="0" collapsed="false">
      <c r="A223" s="80" t="s">
        <v>2090</v>
      </c>
      <c r="B223" s="81"/>
      <c r="C223" s="81"/>
      <c r="D223" s="81"/>
      <c r="E223" s="83"/>
      <c r="F223" s="81"/>
      <c r="G223" s="83"/>
      <c r="H223" s="83"/>
      <c r="I223" s="84" t="str">
        <f aca="false">IF(E223="","",A223&amp;"_1.jpg")</f>
        <v/>
      </c>
      <c r="J223" s="84" t="str">
        <f aca="false">IF(E223="","",A223&amp;"_2.jpg; "&amp;A223&amp;"_3.jpg")</f>
        <v/>
      </c>
      <c r="K223" s="84" t="str">
        <f aca="false">IF(E223="","",A223&amp;"_schema.jpg")</f>
        <v/>
      </c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 t="s">
        <v>96</v>
      </c>
      <c r="W223" s="81"/>
      <c r="X223" s="81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6" t="str">
        <f aca="false">IF(SUM(Y223:AJ223)=0,"",SUM(Y223:AJ223))</f>
        <v/>
      </c>
      <c r="AL223" s="84" t="str">
        <f aca="false">MID(IF(N(Y223)&gt;0,", "&amp;Y$2,"")&amp;IF(N(Z223)&gt;0,", "&amp;Z$2,"")&amp;IF(N(AA223)&gt;0,", "&amp;AA$2,"")&amp;IF(N(AB223)&gt;0,", "&amp;AB$2,"")&amp;IF(N(AC223)&gt;0,", "&amp;AC$2,"")&amp;IF(N(AD223)&gt;0,", "&amp;AD$2,"")&amp;IF(N(AE223)&gt;0,", "&amp;AE$2,"")&amp;IF(N(AF223)&gt;0,", "&amp;AF$2,"")&amp;IF(N(AG223)&gt;0,", "&amp;AG$2,"")&amp;IF(N(AH223)&gt;0,", "&amp;AH$2,"")&amp;IF(N(AI223)&gt;0,", "&amp;AI$2,"")&amp;IF(N(AJ223)&gt;0,", "&amp;AJ$2,""),3,999)</f>
        <v/>
      </c>
      <c r="AM223" s="87" t="str">
        <f aca="false">IF(E223="","",MID(IF(N(Y223)&gt;0,", "&amp;A223&amp;"-"&amp;Y$2,"")&amp;IF(N(Z223)&gt;0,", "&amp;A223&amp;"-"&amp;Z$2,"")&amp;IF(N(AA223)&gt;0,", "&amp;A223&amp;"-"&amp;AA$2,"")&amp;IF(N(AB223)&gt;0,", "&amp;A223&amp;"-"&amp;AB$2,"")&amp;IF(N(AC223)&gt;0,", "&amp;A223&amp;"-"&amp;AC$2,"")&amp;IF(N(AD223)&gt;0,", "&amp;A223&amp;"-"&amp;AD$2,"")&amp;IF(N(AE223)&gt;0,", "&amp;A223&amp;"-"&amp;AE$2,"")&amp;IF(N(AF223)&gt;0,", "&amp;A223&amp;"-"&amp;AF$2,"")&amp;IF(N(AG223)&gt;0,", "&amp;A223&amp;"-"&amp;AG$2,"")&amp;IF(N(AH223)&gt;0,", "&amp;A223&amp;"-"&amp;AH$2,"")&amp;IF(N(AI223)&gt;0,", "&amp;A223&amp;"-"&amp;AI$2,"")&amp;IF(N(AJ223)&gt;0,", "&amp;A223&amp;"-"&amp;AJ$2,""),3,999))</f>
        <v/>
      </c>
      <c r="AN223" s="81"/>
      <c r="AO223" s="88"/>
      <c r="AP223" s="89" t="str">
        <f aca="false">IF(AO223="","",ROUND(AO223/(1+Справочники!$B$13),2))</f>
        <v/>
      </c>
      <c r="AQ223" s="90" t="str">
        <f aca="false" t="array" ref="AQ223:AQ223">IF(AP223="","",AP223*INDEX(Справочники!$B$4:$B$7,MATCH("RUB",Справочники!$A$4:$A$7,0)))</f>
        <v/>
      </c>
      <c r="AR223" s="90" t="str">
        <f aca="false">IF(AQ223="","",ROUND(AQ223*(1+Справочники!$B$12),0))</f>
        <v/>
      </c>
      <c r="AS223" s="90" t="str">
        <f aca="false">IF(AR223="","",ROUND(AR223*(1-Справочники!$B$11),0))</f>
        <v/>
      </c>
      <c r="AT223" s="88"/>
      <c r="AU223" s="90" t="str">
        <f aca="false">IF(AT223="","",ROUND(AT223/(1+Справочники!$B$12),0))</f>
        <v/>
      </c>
      <c r="AV223" s="90" t="str">
        <f aca="false">IF(AT223="","",ROUND(AT223*(1-Справочники!$B$15),0))</f>
        <v/>
      </c>
      <c r="AW223" s="90" t="str">
        <f aca="false">IF(AT223="","",ROUND(AT223*(1-Справочники!$B$16),0))</f>
        <v/>
      </c>
      <c r="AX223" s="90" t="str">
        <f aca="false">IF(AT223="","",ROUND(AT223*(1-Справочники!$B$17),0))</f>
        <v/>
      </c>
      <c r="AY223" s="90" t="str">
        <f aca="false">IF(AT223="","",ROUND(AT223*(1-Справочники!$B$18),0))</f>
        <v/>
      </c>
      <c r="AZ223" s="90" t="str">
        <f aca="false">IF(AT223="","",ROUND(AT223*(1-Справочники!$B$19),0))</f>
        <v/>
      </c>
      <c r="BA223" s="81"/>
      <c r="BB223" s="81"/>
      <c r="BC223" s="81"/>
      <c r="BD223" s="81"/>
      <c r="BE223" s="91"/>
      <c r="BF223" s="81" t="s">
        <v>103</v>
      </c>
      <c r="BG223" s="89" t="n">
        <f aca="false" t="array" ref="BG223:BG223">IF(BF223="","",IFERROR(INDEX(Справочники!$B$4:$B$7,MATCH(BF223,Справочники!$A$4:$A$7,0)),""))</f>
        <v>68.5</v>
      </c>
      <c r="BH223" s="90" t="str">
        <f aca="false">IF(N(BN223)&gt;0,ROUND(SUMIF(ЗАКАЗЫ!$F$3:$F$500,$A223,ЗАКАЗЫ!$Y$3:$Y$500)/BN223,0),IF(OR(BE223="",BG223=""),"",ROUND(BE223*BG223*(1+Справочники!$B$10),0)))</f>
        <v/>
      </c>
      <c r="BI223" s="92" t="str">
        <f aca="false">IF(OR(AU223="",BH223="",AU223=0),"",(AU223-BH223)/AU223)</f>
        <v/>
      </c>
      <c r="BJ223" s="81"/>
      <c r="BK223" s="83"/>
      <c r="BL223" s="43" t="str">
        <f aca="false">IFERROR(INDEX(ЗАКАЗЫ!$N$3:$N$500,MATCH($A223,ЗАКАЗЫ!$F$3:$F$500,0)),"")</f>
        <v/>
      </c>
      <c r="BM223" s="8" t="str">
        <f aca="false">IF(BL223="","",IFERROR(VLOOKUP(BL223,'ТН ВЭД'!$A$4:$C$40,3,0),""))</f>
        <v/>
      </c>
      <c r="BN223" s="7" t="str">
        <f aca="false">IF(COUNTIF(ЗАКАЗЫ!$F$3:$F$500,$A223)=0,"",SUMIF(ЗАКАЗЫ!$F$3:$F$500,$A223,ЗАКАЗЫ!$J$3:$J$500))</f>
        <v/>
      </c>
      <c r="BO223" s="7" t="str">
        <f aca="false">IF(BN223="","",SUMIF(ЗАКАЗЫ!$F$3:$F$500,$A223,ЗАКАЗЫ!$AL$3:$AL$500))</f>
        <v/>
      </c>
      <c r="BP223" s="7" t="str">
        <f aca="false">IF(BN223="","",BN223-BO223)</f>
        <v/>
      </c>
      <c r="BQ223" s="55" t="str">
        <f aca="false">IF(BN223="","",IF(BO223&gt;=BN223,"На складе",IF(BO223&gt;0,"Частично","Ждём")))</f>
        <v/>
      </c>
      <c r="BR223" s="43"/>
      <c r="BS223" s="47" t="str">
        <f aca="false">IF(BN223="","",IF(_xlfn.MAXIFS(ЗАКАЗЫ!$AK$3:$AK$500,ЗАКАЗЫ!$F$3:$F$500,$A223)=0,"",_xlfn.MAXIFS(ЗАКАЗЫ!$AK$3:$AK$500,ЗАКАЗЫ!$F$3:$F$500,$A223)))</f>
        <v/>
      </c>
    </row>
    <row r="224" customFormat="false" ht="15.75" hidden="false" customHeight="true" outlineLevel="0" collapsed="false">
      <c r="A224" s="80" t="s">
        <v>2091</v>
      </c>
      <c r="B224" s="81"/>
      <c r="C224" s="81"/>
      <c r="D224" s="81"/>
      <c r="E224" s="83"/>
      <c r="F224" s="81"/>
      <c r="G224" s="83"/>
      <c r="H224" s="83"/>
      <c r="I224" s="84" t="str">
        <f aca="false">IF(E224="","",A224&amp;"_1.jpg")</f>
        <v/>
      </c>
      <c r="J224" s="84" t="str">
        <f aca="false">IF(E224="","",A224&amp;"_2.jpg; "&amp;A224&amp;"_3.jpg")</f>
        <v/>
      </c>
      <c r="K224" s="84" t="str">
        <f aca="false">IF(E224="","",A224&amp;"_schema.jpg")</f>
        <v/>
      </c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 t="s">
        <v>96</v>
      </c>
      <c r="W224" s="81"/>
      <c r="X224" s="81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6" t="str">
        <f aca="false">IF(SUM(Y224:AJ224)=0,"",SUM(Y224:AJ224))</f>
        <v/>
      </c>
      <c r="AL224" s="84" t="str">
        <f aca="false">MID(IF(N(Y224)&gt;0,", "&amp;Y$2,"")&amp;IF(N(Z224)&gt;0,", "&amp;Z$2,"")&amp;IF(N(AA224)&gt;0,", "&amp;AA$2,"")&amp;IF(N(AB224)&gt;0,", "&amp;AB$2,"")&amp;IF(N(AC224)&gt;0,", "&amp;AC$2,"")&amp;IF(N(AD224)&gt;0,", "&amp;AD$2,"")&amp;IF(N(AE224)&gt;0,", "&amp;AE$2,"")&amp;IF(N(AF224)&gt;0,", "&amp;AF$2,"")&amp;IF(N(AG224)&gt;0,", "&amp;AG$2,"")&amp;IF(N(AH224)&gt;0,", "&amp;AH$2,"")&amp;IF(N(AI224)&gt;0,", "&amp;AI$2,"")&amp;IF(N(AJ224)&gt;0,", "&amp;AJ$2,""),3,999)</f>
        <v/>
      </c>
      <c r="AM224" s="87" t="str">
        <f aca="false">IF(E224="","",MID(IF(N(Y224)&gt;0,", "&amp;A224&amp;"-"&amp;Y$2,"")&amp;IF(N(Z224)&gt;0,", "&amp;A224&amp;"-"&amp;Z$2,"")&amp;IF(N(AA224)&gt;0,", "&amp;A224&amp;"-"&amp;AA$2,"")&amp;IF(N(AB224)&gt;0,", "&amp;A224&amp;"-"&amp;AB$2,"")&amp;IF(N(AC224)&gt;0,", "&amp;A224&amp;"-"&amp;AC$2,"")&amp;IF(N(AD224)&gt;0,", "&amp;A224&amp;"-"&amp;AD$2,"")&amp;IF(N(AE224)&gt;0,", "&amp;A224&amp;"-"&amp;AE$2,"")&amp;IF(N(AF224)&gt;0,", "&amp;A224&amp;"-"&amp;AF$2,"")&amp;IF(N(AG224)&gt;0,", "&amp;A224&amp;"-"&amp;AG$2,"")&amp;IF(N(AH224)&gt;0,", "&amp;A224&amp;"-"&amp;AH$2,"")&amp;IF(N(AI224)&gt;0,", "&amp;A224&amp;"-"&amp;AI$2,"")&amp;IF(N(AJ224)&gt;0,", "&amp;A224&amp;"-"&amp;AJ$2,""),3,999))</f>
        <v/>
      </c>
      <c r="AN224" s="81"/>
      <c r="AO224" s="88"/>
      <c r="AP224" s="89" t="str">
        <f aca="false">IF(AO224="","",ROUND(AO224/(1+Справочники!$B$13),2))</f>
        <v/>
      </c>
      <c r="AQ224" s="90" t="str">
        <f aca="false" t="array" ref="AQ224:AQ224">IF(AP224="","",AP224*INDEX(Справочники!$B$4:$B$7,MATCH("RUB",Справочники!$A$4:$A$7,0)))</f>
        <v/>
      </c>
      <c r="AR224" s="90" t="str">
        <f aca="false">IF(AQ224="","",ROUND(AQ224*(1+Справочники!$B$12),0))</f>
        <v/>
      </c>
      <c r="AS224" s="90" t="str">
        <f aca="false">IF(AR224="","",ROUND(AR224*(1-Справочники!$B$11),0))</f>
        <v/>
      </c>
      <c r="AT224" s="88"/>
      <c r="AU224" s="90" t="str">
        <f aca="false">IF(AT224="","",ROUND(AT224/(1+Справочники!$B$12),0))</f>
        <v/>
      </c>
      <c r="AV224" s="90" t="str">
        <f aca="false">IF(AT224="","",ROUND(AT224*(1-Справочники!$B$15),0))</f>
        <v/>
      </c>
      <c r="AW224" s="90" t="str">
        <f aca="false">IF(AT224="","",ROUND(AT224*(1-Справочники!$B$16),0))</f>
        <v/>
      </c>
      <c r="AX224" s="90" t="str">
        <f aca="false">IF(AT224="","",ROUND(AT224*(1-Справочники!$B$17),0))</f>
        <v/>
      </c>
      <c r="AY224" s="90" t="str">
        <f aca="false">IF(AT224="","",ROUND(AT224*(1-Справочники!$B$18),0))</f>
        <v/>
      </c>
      <c r="AZ224" s="90" t="str">
        <f aca="false">IF(AT224="","",ROUND(AT224*(1-Справочники!$B$19),0))</f>
        <v/>
      </c>
      <c r="BA224" s="81"/>
      <c r="BB224" s="81"/>
      <c r="BC224" s="81"/>
      <c r="BD224" s="81"/>
      <c r="BE224" s="91"/>
      <c r="BF224" s="81" t="s">
        <v>103</v>
      </c>
      <c r="BG224" s="89" t="n">
        <f aca="false" t="array" ref="BG224:BG224">IF(BF224="","",IFERROR(INDEX(Справочники!$B$4:$B$7,MATCH(BF224,Справочники!$A$4:$A$7,0)),""))</f>
        <v>68.5</v>
      </c>
      <c r="BH224" s="90" t="str">
        <f aca="false">IF(N(BN224)&gt;0,ROUND(SUMIF(ЗАКАЗЫ!$F$3:$F$500,$A224,ЗАКАЗЫ!$Y$3:$Y$500)/BN224,0),IF(OR(BE224="",BG224=""),"",ROUND(BE224*BG224*(1+Справочники!$B$10),0)))</f>
        <v/>
      </c>
      <c r="BI224" s="92" t="str">
        <f aca="false">IF(OR(AU224="",BH224="",AU224=0),"",(AU224-BH224)/AU224)</f>
        <v/>
      </c>
      <c r="BJ224" s="81"/>
      <c r="BK224" s="83"/>
      <c r="BL224" s="43" t="str">
        <f aca="false">IFERROR(INDEX(ЗАКАЗЫ!$N$3:$N$500,MATCH($A224,ЗАКАЗЫ!$F$3:$F$500,0)),"")</f>
        <v/>
      </c>
      <c r="BM224" s="8" t="str">
        <f aca="false">IF(BL224="","",IFERROR(VLOOKUP(BL224,'ТН ВЭД'!$A$4:$C$40,3,0),""))</f>
        <v/>
      </c>
      <c r="BN224" s="7" t="str">
        <f aca="false">IF(COUNTIF(ЗАКАЗЫ!$F$3:$F$500,$A224)=0,"",SUMIF(ЗАКАЗЫ!$F$3:$F$500,$A224,ЗАКАЗЫ!$J$3:$J$500))</f>
        <v/>
      </c>
      <c r="BO224" s="7" t="str">
        <f aca="false">IF(BN224="","",SUMIF(ЗАКАЗЫ!$F$3:$F$500,$A224,ЗАКАЗЫ!$AL$3:$AL$500))</f>
        <v/>
      </c>
      <c r="BP224" s="7" t="str">
        <f aca="false">IF(BN224="","",BN224-BO224)</f>
        <v/>
      </c>
      <c r="BQ224" s="55" t="str">
        <f aca="false">IF(BN224="","",IF(BO224&gt;=BN224,"На складе",IF(BO224&gt;0,"Частично","Ждём")))</f>
        <v/>
      </c>
      <c r="BR224" s="43"/>
      <c r="BS224" s="47" t="str">
        <f aca="false">IF(BN224="","",IF(_xlfn.MAXIFS(ЗАКАЗЫ!$AK$3:$AK$500,ЗАКАЗЫ!$F$3:$F$500,$A224)=0,"",_xlfn.MAXIFS(ЗАКАЗЫ!$AK$3:$AK$500,ЗАКАЗЫ!$F$3:$F$500,$A224)))</f>
        <v/>
      </c>
    </row>
    <row r="225" customFormat="false" ht="15.75" hidden="false" customHeight="true" outlineLevel="0" collapsed="false">
      <c r="A225" s="80" t="s">
        <v>2092</v>
      </c>
      <c r="B225" s="81"/>
      <c r="C225" s="81"/>
      <c r="D225" s="81"/>
      <c r="E225" s="83"/>
      <c r="F225" s="81"/>
      <c r="G225" s="83"/>
      <c r="H225" s="83"/>
      <c r="I225" s="84" t="str">
        <f aca="false">IF(E225="","",A225&amp;"_1.jpg")</f>
        <v/>
      </c>
      <c r="J225" s="84" t="str">
        <f aca="false">IF(E225="","",A225&amp;"_2.jpg; "&amp;A225&amp;"_3.jpg")</f>
        <v/>
      </c>
      <c r="K225" s="84" t="str">
        <f aca="false">IF(E225="","",A225&amp;"_schema.jpg")</f>
        <v/>
      </c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 t="s">
        <v>96</v>
      </c>
      <c r="W225" s="81"/>
      <c r="X225" s="81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6" t="str">
        <f aca="false">IF(SUM(Y225:AJ225)=0,"",SUM(Y225:AJ225))</f>
        <v/>
      </c>
      <c r="AL225" s="84" t="str">
        <f aca="false">MID(IF(N(Y225)&gt;0,", "&amp;Y$2,"")&amp;IF(N(Z225)&gt;0,", "&amp;Z$2,"")&amp;IF(N(AA225)&gt;0,", "&amp;AA$2,"")&amp;IF(N(AB225)&gt;0,", "&amp;AB$2,"")&amp;IF(N(AC225)&gt;0,", "&amp;AC$2,"")&amp;IF(N(AD225)&gt;0,", "&amp;AD$2,"")&amp;IF(N(AE225)&gt;0,", "&amp;AE$2,"")&amp;IF(N(AF225)&gt;0,", "&amp;AF$2,"")&amp;IF(N(AG225)&gt;0,", "&amp;AG$2,"")&amp;IF(N(AH225)&gt;0,", "&amp;AH$2,"")&amp;IF(N(AI225)&gt;0,", "&amp;AI$2,"")&amp;IF(N(AJ225)&gt;0,", "&amp;AJ$2,""),3,999)</f>
        <v/>
      </c>
      <c r="AM225" s="87" t="str">
        <f aca="false">IF(E225="","",MID(IF(N(Y225)&gt;0,", "&amp;A225&amp;"-"&amp;Y$2,"")&amp;IF(N(Z225)&gt;0,", "&amp;A225&amp;"-"&amp;Z$2,"")&amp;IF(N(AA225)&gt;0,", "&amp;A225&amp;"-"&amp;AA$2,"")&amp;IF(N(AB225)&gt;0,", "&amp;A225&amp;"-"&amp;AB$2,"")&amp;IF(N(AC225)&gt;0,", "&amp;A225&amp;"-"&amp;AC$2,"")&amp;IF(N(AD225)&gt;0,", "&amp;A225&amp;"-"&amp;AD$2,"")&amp;IF(N(AE225)&gt;0,", "&amp;A225&amp;"-"&amp;AE$2,"")&amp;IF(N(AF225)&gt;0,", "&amp;A225&amp;"-"&amp;AF$2,"")&amp;IF(N(AG225)&gt;0,", "&amp;A225&amp;"-"&amp;AG$2,"")&amp;IF(N(AH225)&gt;0,", "&amp;A225&amp;"-"&amp;AH$2,"")&amp;IF(N(AI225)&gt;0,", "&amp;A225&amp;"-"&amp;AI$2,"")&amp;IF(N(AJ225)&gt;0,", "&amp;A225&amp;"-"&amp;AJ$2,""),3,999))</f>
        <v/>
      </c>
      <c r="AN225" s="81"/>
      <c r="AO225" s="88"/>
      <c r="AP225" s="89" t="str">
        <f aca="false">IF(AO225="","",ROUND(AO225/(1+Справочники!$B$13),2))</f>
        <v/>
      </c>
      <c r="AQ225" s="90" t="str">
        <f aca="false" t="array" ref="AQ225:AQ225">IF(AP225="","",AP225*INDEX(Справочники!$B$4:$B$7,MATCH("RUB",Справочники!$A$4:$A$7,0)))</f>
        <v/>
      </c>
      <c r="AR225" s="90" t="str">
        <f aca="false">IF(AQ225="","",ROUND(AQ225*(1+Справочники!$B$12),0))</f>
        <v/>
      </c>
      <c r="AS225" s="90" t="str">
        <f aca="false">IF(AR225="","",ROUND(AR225*(1-Справочники!$B$11),0))</f>
        <v/>
      </c>
      <c r="AT225" s="88"/>
      <c r="AU225" s="90" t="str">
        <f aca="false">IF(AT225="","",ROUND(AT225/(1+Справочники!$B$12),0))</f>
        <v/>
      </c>
      <c r="AV225" s="90" t="str">
        <f aca="false">IF(AT225="","",ROUND(AT225*(1-Справочники!$B$15),0))</f>
        <v/>
      </c>
      <c r="AW225" s="90" t="str">
        <f aca="false">IF(AT225="","",ROUND(AT225*(1-Справочники!$B$16),0))</f>
        <v/>
      </c>
      <c r="AX225" s="90" t="str">
        <f aca="false">IF(AT225="","",ROUND(AT225*(1-Справочники!$B$17),0))</f>
        <v/>
      </c>
      <c r="AY225" s="90" t="str">
        <f aca="false">IF(AT225="","",ROUND(AT225*(1-Справочники!$B$18),0))</f>
        <v/>
      </c>
      <c r="AZ225" s="90" t="str">
        <f aca="false">IF(AT225="","",ROUND(AT225*(1-Справочники!$B$19),0))</f>
        <v/>
      </c>
      <c r="BA225" s="81"/>
      <c r="BB225" s="81"/>
      <c r="BC225" s="81"/>
      <c r="BD225" s="81"/>
      <c r="BE225" s="91"/>
      <c r="BF225" s="81" t="s">
        <v>103</v>
      </c>
      <c r="BG225" s="89" t="n">
        <f aca="false" t="array" ref="BG225:BG225">IF(BF225="","",IFERROR(INDEX(Справочники!$B$4:$B$7,MATCH(BF225,Справочники!$A$4:$A$7,0)),""))</f>
        <v>68.5</v>
      </c>
      <c r="BH225" s="90" t="str">
        <f aca="false">IF(N(BN225)&gt;0,ROUND(SUMIF(ЗАКАЗЫ!$F$3:$F$500,$A225,ЗАКАЗЫ!$Y$3:$Y$500)/BN225,0),IF(OR(BE225="",BG225=""),"",ROUND(BE225*BG225*(1+Справочники!$B$10),0)))</f>
        <v/>
      </c>
      <c r="BI225" s="92" t="str">
        <f aca="false">IF(OR(AU225="",BH225="",AU225=0),"",(AU225-BH225)/AU225)</f>
        <v/>
      </c>
      <c r="BJ225" s="81"/>
      <c r="BK225" s="83"/>
      <c r="BL225" s="43" t="str">
        <f aca="false">IFERROR(INDEX(ЗАКАЗЫ!$N$3:$N$500,MATCH($A225,ЗАКАЗЫ!$F$3:$F$500,0)),"")</f>
        <v/>
      </c>
      <c r="BM225" s="8" t="str">
        <f aca="false">IF(BL225="","",IFERROR(VLOOKUP(BL225,'ТН ВЭД'!$A$4:$C$40,3,0),""))</f>
        <v/>
      </c>
      <c r="BN225" s="7" t="str">
        <f aca="false">IF(COUNTIF(ЗАКАЗЫ!$F$3:$F$500,$A225)=0,"",SUMIF(ЗАКАЗЫ!$F$3:$F$500,$A225,ЗАКАЗЫ!$J$3:$J$500))</f>
        <v/>
      </c>
      <c r="BO225" s="7" t="str">
        <f aca="false">IF(BN225="","",SUMIF(ЗАКАЗЫ!$F$3:$F$500,$A225,ЗАКАЗЫ!$AL$3:$AL$500))</f>
        <v/>
      </c>
      <c r="BP225" s="7" t="str">
        <f aca="false">IF(BN225="","",BN225-BO225)</f>
        <v/>
      </c>
      <c r="BQ225" s="55" t="str">
        <f aca="false">IF(BN225="","",IF(BO225&gt;=BN225,"На складе",IF(BO225&gt;0,"Частично","Ждём")))</f>
        <v/>
      </c>
      <c r="BR225" s="43"/>
      <c r="BS225" s="47" t="str">
        <f aca="false">IF(BN225="","",IF(_xlfn.MAXIFS(ЗАКАЗЫ!$AK$3:$AK$500,ЗАКАЗЫ!$F$3:$F$500,$A225)=0,"",_xlfn.MAXIFS(ЗАКАЗЫ!$AK$3:$AK$500,ЗАКАЗЫ!$F$3:$F$500,$A225)))</f>
        <v/>
      </c>
    </row>
    <row r="226" customFormat="false" ht="15.75" hidden="false" customHeight="true" outlineLevel="0" collapsed="false">
      <c r="A226" s="80" t="s">
        <v>2093</v>
      </c>
      <c r="B226" s="81"/>
      <c r="C226" s="81"/>
      <c r="D226" s="81"/>
      <c r="E226" s="83"/>
      <c r="F226" s="81"/>
      <c r="G226" s="83"/>
      <c r="H226" s="83"/>
      <c r="I226" s="84" t="str">
        <f aca="false">IF(E226="","",A226&amp;"_1.jpg")</f>
        <v/>
      </c>
      <c r="J226" s="84" t="str">
        <f aca="false">IF(E226="","",A226&amp;"_2.jpg; "&amp;A226&amp;"_3.jpg")</f>
        <v/>
      </c>
      <c r="K226" s="84" t="str">
        <f aca="false">IF(E226="","",A226&amp;"_schema.jpg")</f>
        <v/>
      </c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 t="s">
        <v>96</v>
      </c>
      <c r="W226" s="81"/>
      <c r="X226" s="81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6" t="str">
        <f aca="false">IF(SUM(Y226:AJ226)=0,"",SUM(Y226:AJ226))</f>
        <v/>
      </c>
      <c r="AL226" s="84" t="str">
        <f aca="false">MID(IF(N(Y226)&gt;0,", "&amp;Y$2,"")&amp;IF(N(Z226)&gt;0,", "&amp;Z$2,"")&amp;IF(N(AA226)&gt;0,", "&amp;AA$2,"")&amp;IF(N(AB226)&gt;0,", "&amp;AB$2,"")&amp;IF(N(AC226)&gt;0,", "&amp;AC$2,"")&amp;IF(N(AD226)&gt;0,", "&amp;AD$2,"")&amp;IF(N(AE226)&gt;0,", "&amp;AE$2,"")&amp;IF(N(AF226)&gt;0,", "&amp;AF$2,"")&amp;IF(N(AG226)&gt;0,", "&amp;AG$2,"")&amp;IF(N(AH226)&gt;0,", "&amp;AH$2,"")&amp;IF(N(AI226)&gt;0,", "&amp;AI$2,"")&amp;IF(N(AJ226)&gt;0,", "&amp;AJ$2,""),3,999)</f>
        <v/>
      </c>
      <c r="AM226" s="87" t="str">
        <f aca="false">IF(E226="","",MID(IF(N(Y226)&gt;0,", "&amp;A226&amp;"-"&amp;Y$2,"")&amp;IF(N(Z226)&gt;0,", "&amp;A226&amp;"-"&amp;Z$2,"")&amp;IF(N(AA226)&gt;0,", "&amp;A226&amp;"-"&amp;AA$2,"")&amp;IF(N(AB226)&gt;0,", "&amp;A226&amp;"-"&amp;AB$2,"")&amp;IF(N(AC226)&gt;0,", "&amp;A226&amp;"-"&amp;AC$2,"")&amp;IF(N(AD226)&gt;0,", "&amp;A226&amp;"-"&amp;AD$2,"")&amp;IF(N(AE226)&gt;0,", "&amp;A226&amp;"-"&amp;AE$2,"")&amp;IF(N(AF226)&gt;0,", "&amp;A226&amp;"-"&amp;AF$2,"")&amp;IF(N(AG226)&gt;0,", "&amp;A226&amp;"-"&amp;AG$2,"")&amp;IF(N(AH226)&gt;0,", "&amp;A226&amp;"-"&amp;AH$2,"")&amp;IF(N(AI226)&gt;0,", "&amp;A226&amp;"-"&amp;AI$2,"")&amp;IF(N(AJ226)&gt;0,", "&amp;A226&amp;"-"&amp;AJ$2,""),3,999))</f>
        <v/>
      </c>
      <c r="AN226" s="81"/>
      <c r="AO226" s="88"/>
      <c r="AP226" s="89" t="str">
        <f aca="false">IF(AO226="","",ROUND(AO226/(1+Справочники!$B$13),2))</f>
        <v/>
      </c>
      <c r="AQ226" s="90" t="str">
        <f aca="false" t="array" ref="AQ226:AQ226">IF(AP226="","",AP226*INDEX(Справочники!$B$4:$B$7,MATCH("RUB",Справочники!$A$4:$A$7,0)))</f>
        <v/>
      </c>
      <c r="AR226" s="90" t="str">
        <f aca="false">IF(AQ226="","",ROUND(AQ226*(1+Справочники!$B$12),0))</f>
        <v/>
      </c>
      <c r="AS226" s="90" t="str">
        <f aca="false">IF(AR226="","",ROUND(AR226*(1-Справочники!$B$11),0))</f>
        <v/>
      </c>
      <c r="AT226" s="88"/>
      <c r="AU226" s="90" t="str">
        <f aca="false">IF(AT226="","",ROUND(AT226/(1+Справочники!$B$12),0))</f>
        <v/>
      </c>
      <c r="AV226" s="90" t="str">
        <f aca="false">IF(AT226="","",ROUND(AT226*(1-Справочники!$B$15),0))</f>
        <v/>
      </c>
      <c r="AW226" s="90" t="str">
        <f aca="false">IF(AT226="","",ROUND(AT226*(1-Справочники!$B$16),0))</f>
        <v/>
      </c>
      <c r="AX226" s="90" t="str">
        <f aca="false">IF(AT226="","",ROUND(AT226*(1-Справочники!$B$17),0))</f>
        <v/>
      </c>
      <c r="AY226" s="90" t="str">
        <f aca="false">IF(AT226="","",ROUND(AT226*(1-Справочники!$B$18),0))</f>
        <v/>
      </c>
      <c r="AZ226" s="90" t="str">
        <f aca="false">IF(AT226="","",ROUND(AT226*(1-Справочники!$B$19),0))</f>
        <v/>
      </c>
      <c r="BA226" s="81"/>
      <c r="BB226" s="81"/>
      <c r="BC226" s="81"/>
      <c r="BD226" s="81"/>
      <c r="BE226" s="91"/>
      <c r="BF226" s="81" t="s">
        <v>103</v>
      </c>
      <c r="BG226" s="89" t="n">
        <f aca="false" t="array" ref="BG226:BG226">IF(BF226="","",IFERROR(INDEX(Справочники!$B$4:$B$7,MATCH(BF226,Справочники!$A$4:$A$7,0)),""))</f>
        <v>68.5</v>
      </c>
      <c r="BH226" s="90" t="str">
        <f aca="false">IF(N(BN226)&gt;0,ROUND(SUMIF(ЗАКАЗЫ!$F$3:$F$500,$A226,ЗАКАЗЫ!$Y$3:$Y$500)/BN226,0),IF(OR(BE226="",BG226=""),"",ROUND(BE226*BG226*(1+Справочники!$B$10),0)))</f>
        <v/>
      </c>
      <c r="BI226" s="92" t="str">
        <f aca="false">IF(OR(AU226="",BH226="",AU226=0),"",(AU226-BH226)/AU226)</f>
        <v/>
      </c>
      <c r="BJ226" s="81"/>
      <c r="BK226" s="83"/>
      <c r="BL226" s="43" t="str">
        <f aca="false">IFERROR(INDEX(ЗАКАЗЫ!$N$3:$N$500,MATCH($A226,ЗАКАЗЫ!$F$3:$F$500,0)),"")</f>
        <v/>
      </c>
      <c r="BM226" s="8" t="str">
        <f aca="false">IF(BL226="","",IFERROR(VLOOKUP(BL226,'ТН ВЭД'!$A$4:$C$40,3,0),""))</f>
        <v/>
      </c>
      <c r="BN226" s="7" t="str">
        <f aca="false">IF(COUNTIF(ЗАКАЗЫ!$F$3:$F$500,$A226)=0,"",SUMIF(ЗАКАЗЫ!$F$3:$F$500,$A226,ЗАКАЗЫ!$J$3:$J$500))</f>
        <v/>
      </c>
      <c r="BO226" s="7" t="str">
        <f aca="false">IF(BN226="","",SUMIF(ЗАКАЗЫ!$F$3:$F$500,$A226,ЗАКАЗЫ!$AL$3:$AL$500))</f>
        <v/>
      </c>
      <c r="BP226" s="7" t="str">
        <f aca="false">IF(BN226="","",BN226-BO226)</f>
        <v/>
      </c>
      <c r="BQ226" s="55" t="str">
        <f aca="false">IF(BN226="","",IF(BO226&gt;=BN226,"На складе",IF(BO226&gt;0,"Частично","Ждём")))</f>
        <v/>
      </c>
      <c r="BR226" s="43"/>
      <c r="BS226" s="47" t="str">
        <f aca="false">IF(BN226="","",IF(_xlfn.MAXIFS(ЗАКАЗЫ!$AK$3:$AK$500,ЗАКАЗЫ!$F$3:$F$500,$A226)=0,"",_xlfn.MAXIFS(ЗАКАЗЫ!$AK$3:$AK$500,ЗАКАЗЫ!$F$3:$F$500,$A226)))</f>
        <v/>
      </c>
    </row>
    <row r="227" customFormat="false" ht="15.75" hidden="false" customHeight="true" outlineLevel="0" collapsed="false">
      <c r="A227" s="80" t="s">
        <v>2094</v>
      </c>
      <c r="B227" s="81"/>
      <c r="C227" s="81"/>
      <c r="D227" s="81"/>
      <c r="E227" s="83"/>
      <c r="F227" s="81"/>
      <c r="G227" s="83"/>
      <c r="H227" s="83"/>
      <c r="I227" s="84" t="str">
        <f aca="false">IF(E227="","",A227&amp;"_1.jpg")</f>
        <v/>
      </c>
      <c r="J227" s="84" t="str">
        <f aca="false">IF(E227="","",A227&amp;"_2.jpg; "&amp;A227&amp;"_3.jpg")</f>
        <v/>
      </c>
      <c r="K227" s="84" t="str">
        <f aca="false">IF(E227="","",A227&amp;"_schema.jpg")</f>
        <v/>
      </c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 t="s">
        <v>96</v>
      </c>
      <c r="W227" s="81"/>
      <c r="X227" s="81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6" t="str">
        <f aca="false">IF(SUM(Y227:AJ227)=0,"",SUM(Y227:AJ227))</f>
        <v/>
      </c>
      <c r="AL227" s="84" t="str">
        <f aca="false">MID(IF(N(Y227)&gt;0,", "&amp;Y$2,"")&amp;IF(N(Z227)&gt;0,", "&amp;Z$2,"")&amp;IF(N(AA227)&gt;0,", "&amp;AA$2,"")&amp;IF(N(AB227)&gt;0,", "&amp;AB$2,"")&amp;IF(N(AC227)&gt;0,", "&amp;AC$2,"")&amp;IF(N(AD227)&gt;0,", "&amp;AD$2,"")&amp;IF(N(AE227)&gt;0,", "&amp;AE$2,"")&amp;IF(N(AF227)&gt;0,", "&amp;AF$2,"")&amp;IF(N(AG227)&gt;0,", "&amp;AG$2,"")&amp;IF(N(AH227)&gt;0,", "&amp;AH$2,"")&amp;IF(N(AI227)&gt;0,", "&amp;AI$2,"")&amp;IF(N(AJ227)&gt;0,", "&amp;AJ$2,""),3,999)</f>
        <v/>
      </c>
      <c r="AM227" s="87" t="str">
        <f aca="false">IF(E227="","",MID(IF(N(Y227)&gt;0,", "&amp;A227&amp;"-"&amp;Y$2,"")&amp;IF(N(Z227)&gt;0,", "&amp;A227&amp;"-"&amp;Z$2,"")&amp;IF(N(AA227)&gt;0,", "&amp;A227&amp;"-"&amp;AA$2,"")&amp;IF(N(AB227)&gt;0,", "&amp;A227&amp;"-"&amp;AB$2,"")&amp;IF(N(AC227)&gt;0,", "&amp;A227&amp;"-"&amp;AC$2,"")&amp;IF(N(AD227)&gt;0,", "&amp;A227&amp;"-"&amp;AD$2,"")&amp;IF(N(AE227)&gt;0,", "&amp;A227&amp;"-"&amp;AE$2,"")&amp;IF(N(AF227)&gt;0,", "&amp;A227&amp;"-"&amp;AF$2,"")&amp;IF(N(AG227)&gt;0,", "&amp;A227&amp;"-"&amp;AG$2,"")&amp;IF(N(AH227)&gt;0,", "&amp;A227&amp;"-"&amp;AH$2,"")&amp;IF(N(AI227)&gt;0,", "&amp;A227&amp;"-"&amp;AI$2,"")&amp;IF(N(AJ227)&gt;0,", "&amp;A227&amp;"-"&amp;AJ$2,""),3,999))</f>
        <v/>
      </c>
      <c r="AN227" s="81"/>
      <c r="AO227" s="88"/>
      <c r="AP227" s="89" t="str">
        <f aca="false">IF(AO227="","",ROUND(AO227/(1+Справочники!$B$13),2))</f>
        <v/>
      </c>
      <c r="AQ227" s="90" t="str">
        <f aca="false" t="array" ref="AQ227:AQ227">IF(AP227="","",AP227*INDEX(Справочники!$B$4:$B$7,MATCH("RUB",Справочники!$A$4:$A$7,0)))</f>
        <v/>
      </c>
      <c r="AR227" s="90" t="str">
        <f aca="false">IF(AQ227="","",ROUND(AQ227*(1+Справочники!$B$12),0))</f>
        <v/>
      </c>
      <c r="AS227" s="90" t="str">
        <f aca="false">IF(AR227="","",ROUND(AR227*(1-Справочники!$B$11),0))</f>
        <v/>
      </c>
      <c r="AT227" s="88"/>
      <c r="AU227" s="90" t="str">
        <f aca="false">IF(AT227="","",ROUND(AT227/(1+Справочники!$B$12),0))</f>
        <v/>
      </c>
      <c r="AV227" s="90" t="str">
        <f aca="false">IF(AT227="","",ROUND(AT227*(1-Справочники!$B$15),0))</f>
        <v/>
      </c>
      <c r="AW227" s="90" t="str">
        <f aca="false">IF(AT227="","",ROUND(AT227*(1-Справочники!$B$16),0))</f>
        <v/>
      </c>
      <c r="AX227" s="90" t="str">
        <f aca="false">IF(AT227="","",ROUND(AT227*(1-Справочники!$B$17),0))</f>
        <v/>
      </c>
      <c r="AY227" s="90" t="str">
        <f aca="false">IF(AT227="","",ROUND(AT227*(1-Справочники!$B$18),0))</f>
        <v/>
      </c>
      <c r="AZ227" s="90" t="str">
        <f aca="false">IF(AT227="","",ROUND(AT227*(1-Справочники!$B$19),0))</f>
        <v/>
      </c>
      <c r="BA227" s="81"/>
      <c r="BB227" s="81"/>
      <c r="BC227" s="81"/>
      <c r="BD227" s="81"/>
      <c r="BE227" s="91"/>
      <c r="BF227" s="81" t="s">
        <v>103</v>
      </c>
      <c r="BG227" s="89" t="n">
        <f aca="false" t="array" ref="BG227:BG227">IF(BF227="","",IFERROR(INDEX(Справочники!$B$4:$B$7,MATCH(BF227,Справочники!$A$4:$A$7,0)),""))</f>
        <v>68.5</v>
      </c>
      <c r="BH227" s="90" t="str">
        <f aca="false">IF(N(BN227)&gt;0,ROUND(SUMIF(ЗАКАЗЫ!$F$3:$F$500,$A227,ЗАКАЗЫ!$Y$3:$Y$500)/BN227,0),IF(OR(BE227="",BG227=""),"",ROUND(BE227*BG227*(1+Справочники!$B$10),0)))</f>
        <v/>
      </c>
      <c r="BI227" s="92" t="str">
        <f aca="false">IF(OR(AU227="",BH227="",AU227=0),"",(AU227-BH227)/AU227)</f>
        <v/>
      </c>
      <c r="BJ227" s="81"/>
      <c r="BK227" s="83"/>
      <c r="BL227" s="43" t="str">
        <f aca="false">IFERROR(INDEX(ЗАКАЗЫ!$N$3:$N$500,MATCH($A227,ЗАКАЗЫ!$F$3:$F$500,0)),"")</f>
        <v/>
      </c>
      <c r="BM227" s="8" t="str">
        <f aca="false">IF(BL227="","",IFERROR(VLOOKUP(BL227,'ТН ВЭД'!$A$4:$C$40,3,0),""))</f>
        <v/>
      </c>
      <c r="BN227" s="7" t="str">
        <f aca="false">IF(COUNTIF(ЗАКАЗЫ!$F$3:$F$500,$A227)=0,"",SUMIF(ЗАКАЗЫ!$F$3:$F$500,$A227,ЗАКАЗЫ!$J$3:$J$500))</f>
        <v/>
      </c>
      <c r="BO227" s="7" t="str">
        <f aca="false">IF(BN227="","",SUMIF(ЗАКАЗЫ!$F$3:$F$500,$A227,ЗАКАЗЫ!$AL$3:$AL$500))</f>
        <v/>
      </c>
      <c r="BP227" s="7" t="str">
        <f aca="false">IF(BN227="","",BN227-BO227)</f>
        <v/>
      </c>
      <c r="BQ227" s="55" t="str">
        <f aca="false">IF(BN227="","",IF(BO227&gt;=BN227,"На складе",IF(BO227&gt;0,"Частично","Ждём")))</f>
        <v/>
      </c>
      <c r="BR227" s="43"/>
      <c r="BS227" s="47" t="str">
        <f aca="false">IF(BN227="","",IF(_xlfn.MAXIFS(ЗАКАЗЫ!$AK$3:$AK$500,ЗАКАЗЫ!$F$3:$F$500,$A227)=0,"",_xlfn.MAXIFS(ЗАКАЗЫ!$AK$3:$AK$500,ЗАКАЗЫ!$F$3:$F$500,$A227)))</f>
        <v/>
      </c>
    </row>
    <row r="228" customFormat="false" ht="15.75" hidden="false" customHeight="true" outlineLevel="0" collapsed="false">
      <c r="A228" s="80" t="s">
        <v>2095</v>
      </c>
      <c r="B228" s="81"/>
      <c r="C228" s="81"/>
      <c r="D228" s="81"/>
      <c r="E228" s="83"/>
      <c r="F228" s="81"/>
      <c r="G228" s="83"/>
      <c r="H228" s="83"/>
      <c r="I228" s="84" t="str">
        <f aca="false">IF(E228="","",A228&amp;"_1.jpg")</f>
        <v/>
      </c>
      <c r="J228" s="84" t="str">
        <f aca="false">IF(E228="","",A228&amp;"_2.jpg; "&amp;A228&amp;"_3.jpg")</f>
        <v/>
      </c>
      <c r="K228" s="84" t="str">
        <f aca="false">IF(E228="","",A228&amp;"_schema.jpg")</f>
        <v/>
      </c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 t="s">
        <v>96</v>
      </c>
      <c r="W228" s="81"/>
      <c r="X228" s="81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6" t="str">
        <f aca="false">IF(SUM(Y228:AJ228)=0,"",SUM(Y228:AJ228))</f>
        <v/>
      </c>
      <c r="AL228" s="84" t="str">
        <f aca="false">MID(IF(N(Y228)&gt;0,", "&amp;Y$2,"")&amp;IF(N(Z228)&gt;0,", "&amp;Z$2,"")&amp;IF(N(AA228)&gt;0,", "&amp;AA$2,"")&amp;IF(N(AB228)&gt;0,", "&amp;AB$2,"")&amp;IF(N(AC228)&gt;0,", "&amp;AC$2,"")&amp;IF(N(AD228)&gt;0,", "&amp;AD$2,"")&amp;IF(N(AE228)&gt;0,", "&amp;AE$2,"")&amp;IF(N(AF228)&gt;0,", "&amp;AF$2,"")&amp;IF(N(AG228)&gt;0,", "&amp;AG$2,"")&amp;IF(N(AH228)&gt;0,", "&amp;AH$2,"")&amp;IF(N(AI228)&gt;0,", "&amp;AI$2,"")&amp;IF(N(AJ228)&gt;0,", "&amp;AJ$2,""),3,999)</f>
        <v/>
      </c>
      <c r="AM228" s="87" t="str">
        <f aca="false">IF(E228="","",MID(IF(N(Y228)&gt;0,", "&amp;A228&amp;"-"&amp;Y$2,"")&amp;IF(N(Z228)&gt;0,", "&amp;A228&amp;"-"&amp;Z$2,"")&amp;IF(N(AA228)&gt;0,", "&amp;A228&amp;"-"&amp;AA$2,"")&amp;IF(N(AB228)&gt;0,", "&amp;A228&amp;"-"&amp;AB$2,"")&amp;IF(N(AC228)&gt;0,", "&amp;A228&amp;"-"&amp;AC$2,"")&amp;IF(N(AD228)&gt;0,", "&amp;A228&amp;"-"&amp;AD$2,"")&amp;IF(N(AE228)&gt;0,", "&amp;A228&amp;"-"&amp;AE$2,"")&amp;IF(N(AF228)&gt;0,", "&amp;A228&amp;"-"&amp;AF$2,"")&amp;IF(N(AG228)&gt;0,", "&amp;A228&amp;"-"&amp;AG$2,"")&amp;IF(N(AH228)&gt;0,", "&amp;A228&amp;"-"&amp;AH$2,"")&amp;IF(N(AI228)&gt;0,", "&amp;A228&amp;"-"&amp;AI$2,"")&amp;IF(N(AJ228)&gt;0,", "&amp;A228&amp;"-"&amp;AJ$2,""),3,999))</f>
        <v/>
      </c>
      <c r="AN228" s="81"/>
      <c r="AO228" s="88"/>
      <c r="AP228" s="89" t="str">
        <f aca="false">IF(AO228="","",ROUND(AO228/(1+Справочники!$B$13),2))</f>
        <v/>
      </c>
      <c r="AQ228" s="90" t="str">
        <f aca="false" t="array" ref="AQ228:AQ228">IF(AP228="","",AP228*INDEX(Справочники!$B$4:$B$7,MATCH("RUB",Справочники!$A$4:$A$7,0)))</f>
        <v/>
      </c>
      <c r="AR228" s="90" t="str">
        <f aca="false">IF(AQ228="","",ROUND(AQ228*(1+Справочники!$B$12),0))</f>
        <v/>
      </c>
      <c r="AS228" s="90" t="str">
        <f aca="false">IF(AR228="","",ROUND(AR228*(1-Справочники!$B$11),0))</f>
        <v/>
      </c>
      <c r="AT228" s="88"/>
      <c r="AU228" s="90" t="str">
        <f aca="false">IF(AT228="","",ROUND(AT228/(1+Справочники!$B$12),0))</f>
        <v/>
      </c>
      <c r="AV228" s="90" t="str">
        <f aca="false">IF(AT228="","",ROUND(AT228*(1-Справочники!$B$15),0))</f>
        <v/>
      </c>
      <c r="AW228" s="90" t="str">
        <f aca="false">IF(AT228="","",ROUND(AT228*(1-Справочники!$B$16),0))</f>
        <v/>
      </c>
      <c r="AX228" s="90" t="str">
        <f aca="false">IF(AT228="","",ROUND(AT228*(1-Справочники!$B$17),0))</f>
        <v/>
      </c>
      <c r="AY228" s="90" t="str">
        <f aca="false">IF(AT228="","",ROUND(AT228*(1-Справочники!$B$18),0))</f>
        <v/>
      </c>
      <c r="AZ228" s="90" t="str">
        <f aca="false">IF(AT228="","",ROUND(AT228*(1-Справочники!$B$19),0))</f>
        <v/>
      </c>
      <c r="BA228" s="81"/>
      <c r="BB228" s="81"/>
      <c r="BC228" s="81"/>
      <c r="BD228" s="81"/>
      <c r="BE228" s="91"/>
      <c r="BF228" s="81" t="s">
        <v>103</v>
      </c>
      <c r="BG228" s="89" t="n">
        <f aca="false" t="array" ref="BG228:BG228">IF(BF228="","",IFERROR(INDEX(Справочники!$B$4:$B$7,MATCH(BF228,Справочники!$A$4:$A$7,0)),""))</f>
        <v>68.5</v>
      </c>
      <c r="BH228" s="90" t="str">
        <f aca="false">IF(N(BN228)&gt;0,ROUND(SUMIF(ЗАКАЗЫ!$F$3:$F$500,$A228,ЗАКАЗЫ!$Y$3:$Y$500)/BN228,0),IF(OR(BE228="",BG228=""),"",ROUND(BE228*BG228*(1+Справочники!$B$10),0)))</f>
        <v/>
      </c>
      <c r="BI228" s="92" t="str">
        <f aca="false">IF(OR(AU228="",BH228="",AU228=0),"",(AU228-BH228)/AU228)</f>
        <v/>
      </c>
      <c r="BJ228" s="81"/>
      <c r="BK228" s="83"/>
      <c r="BL228" s="43" t="str">
        <f aca="false">IFERROR(INDEX(ЗАКАЗЫ!$N$3:$N$500,MATCH($A228,ЗАКАЗЫ!$F$3:$F$500,0)),"")</f>
        <v/>
      </c>
      <c r="BM228" s="8" t="str">
        <f aca="false">IF(BL228="","",IFERROR(VLOOKUP(BL228,'ТН ВЭД'!$A$4:$C$40,3,0),""))</f>
        <v/>
      </c>
      <c r="BN228" s="7" t="str">
        <f aca="false">IF(COUNTIF(ЗАКАЗЫ!$F$3:$F$500,$A228)=0,"",SUMIF(ЗАКАЗЫ!$F$3:$F$500,$A228,ЗАКАЗЫ!$J$3:$J$500))</f>
        <v/>
      </c>
      <c r="BO228" s="7" t="str">
        <f aca="false">IF(BN228="","",SUMIF(ЗАКАЗЫ!$F$3:$F$500,$A228,ЗАКАЗЫ!$AL$3:$AL$500))</f>
        <v/>
      </c>
      <c r="BP228" s="7" t="str">
        <f aca="false">IF(BN228="","",BN228-BO228)</f>
        <v/>
      </c>
      <c r="BQ228" s="55" t="str">
        <f aca="false">IF(BN228="","",IF(BO228&gt;=BN228,"На складе",IF(BO228&gt;0,"Частично","Ждём")))</f>
        <v/>
      </c>
      <c r="BR228" s="43"/>
      <c r="BS228" s="47" t="str">
        <f aca="false">IF(BN228="","",IF(_xlfn.MAXIFS(ЗАКАЗЫ!$AK$3:$AK$500,ЗАКАЗЫ!$F$3:$F$500,$A228)=0,"",_xlfn.MAXIFS(ЗАКАЗЫ!$AK$3:$AK$500,ЗАКАЗЫ!$F$3:$F$500,$A228)))</f>
        <v/>
      </c>
    </row>
    <row r="229" customFormat="false" ht="15.75" hidden="false" customHeight="true" outlineLevel="0" collapsed="false">
      <c r="A229" s="80" t="s">
        <v>2096</v>
      </c>
      <c r="B229" s="81"/>
      <c r="C229" s="81"/>
      <c r="D229" s="81"/>
      <c r="E229" s="83"/>
      <c r="F229" s="81"/>
      <c r="G229" s="83"/>
      <c r="H229" s="83"/>
      <c r="I229" s="84" t="str">
        <f aca="false">IF(E229="","",A229&amp;"_1.jpg")</f>
        <v/>
      </c>
      <c r="J229" s="84" t="str">
        <f aca="false">IF(E229="","",A229&amp;"_2.jpg; "&amp;A229&amp;"_3.jpg")</f>
        <v/>
      </c>
      <c r="K229" s="84" t="str">
        <f aca="false">IF(E229="","",A229&amp;"_schema.jpg")</f>
        <v/>
      </c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 t="s">
        <v>96</v>
      </c>
      <c r="W229" s="81"/>
      <c r="X229" s="81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6" t="str">
        <f aca="false">IF(SUM(Y229:AJ229)=0,"",SUM(Y229:AJ229))</f>
        <v/>
      </c>
      <c r="AL229" s="84" t="str">
        <f aca="false">MID(IF(N(Y229)&gt;0,", "&amp;Y$2,"")&amp;IF(N(Z229)&gt;0,", "&amp;Z$2,"")&amp;IF(N(AA229)&gt;0,", "&amp;AA$2,"")&amp;IF(N(AB229)&gt;0,", "&amp;AB$2,"")&amp;IF(N(AC229)&gt;0,", "&amp;AC$2,"")&amp;IF(N(AD229)&gt;0,", "&amp;AD$2,"")&amp;IF(N(AE229)&gt;0,", "&amp;AE$2,"")&amp;IF(N(AF229)&gt;0,", "&amp;AF$2,"")&amp;IF(N(AG229)&gt;0,", "&amp;AG$2,"")&amp;IF(N(AH229)&gt;0,", "&amp;AH$2,"")&amp;IF(N(AI229)&gt;0,", "&amp;AI$2,"")&amp;IF(N(AJ229)&gt;0,", "&amp;AJ$2,""),3,999)</f>
        <v/>
      </c>
      <c r="AM229" s="87" t="str">
        <f aca="false">IF(E229="","",MID(IF(N(Y229)&gt;0,", "&amp;A229&amp;"-"&amp;Y$2,"")&amp;IF(N(Z229)&gt;0,", "&amp;A229&amp;"-"&amp;Z$2,"")&amp;IF(N(AA229)&gt;0,", "&amp;A229&amp;"-"&amp;AA$2,"")&amp;IF(N(AB229)&gt;0,", "&amp;A229&amp;"-"&amp;AB$2,"")&amp;IF(N(AC229)&gt;0,", "&amp;A229&amp;"-"&amp;AC$2,"")&amp;IF(N(AD229)&gt;0,", "&amp;A229&amp;"-"&amp;AD$2,"")&amp;IF(N(AE229)&gt;0,", "&amp;A229&amp;"-"&amp;AE$2,"")&amp;IF(N(AF229)&gt;0,", "&amp;A229&amp;"-"&amp;AF$2,"")&amp;IF(N(AG229)&gt;0,", "&amp;A229&amp;"-"&amp;AG$2,"")&amp;IF(N(AH229)&gt;0,", "&amp;A229&amp;"-"&amp;AH$2,"")&amp;IF(N(AI229)&gt;0,", "&amp;A229&amp;"-"&amp;AI$2,"")&amp;IF(N(AJ229)&gt;0,", "&amp;A229&amp;"-"&amp;AJ$2,""),3,999))</f>
        <v/>
      </c>
      <c r="AN229" s="81"/>
      <c r="AO229" s="88"/>
      <c r="AP229" s="89" t="str">
        <f aca="false">IF(AO229="","",ROUND(AO229/(1+Справочники!$B$13),2))</f>
        <v/>
      </c>
      <c r="AQ229" s="90" t="str">
        <f aca="false" t="array" ref="AQ229:AQ229">IF(AP229="","",AP229*INDEX(Справочники!$B$4:$B$7,MATCH("RUB",Справочники!$A$4:$A$7,0)))</f>
        <v/>
      </c>
      <c r="AR229" s="90" t="str">
        <f aca="false">IF(AQ229="","",ROUND(AQ229*(1+Справочники!$B$12),0))</f>
        <v/>
      </c>
      <c r="AS229" s="90" t="str">
        <f aca="false">IF(AR229="","",ROUND(AR229*(1-Справочники!$B$11),0))</f>
        <v/>
      </c>
      <c r="AT229" s="88"/>
      <c r="AU229" s="90" t="str">
        <f aca="false">IF(AT229="","",ROUND(AT229/(1+Справочники!$B$12),0))</f>
        <v/>
      </c>
      <c r="AV229" s="90" t="str">
        <f aca="false">IF(AT229="","",ROUND(AT229*(1-Справочники!$B$15),0))</f>
        <v/>
      </c>
      <c r="AW229" s="90" t="str">
        <f aca="false">IF(AT229="","",ROUND(AT229*(1-Справочники!$B$16),0))</f>
        <v/>
      </c>
      <c r="AX229" s="90" t="str">
        <f aca="false">IF(AT229="","",ROUND(AT229*(1-Справочники!$B$17),0))</f>
        <v/>
      </c>
      <c r="AY229" s="90" t="str">
        <f aca="false">IF(AT229="","",ROUND(AT229*(1-Справочники!$B$18),0))</f>
        <v/>
      </c>
      <c r="AZ229" s="90" t="str">
        <f aca="false">IF(AT229="","",ROUND(AT229*(1-Справочники!$B$19),0))</f>
        <v/>
      </c>
      <c r="BA229" s="81"/>
      <c r="BB229" s="81"/>
      <c r="BC229" s="81"/>
      <c r="BD229" s="81"/>
      <c r="BE229" s="91"/>
      <c r="BF229" s="81" t="s">
        <v>103</v>
      </c>
      <c r="BG229" s="89" t="n">
        <f aca="false" t="array" ref="BG229:BG229">IF(BF229="","",IFERROR(INDEX(Справочники!$B$4:$B$7,MATCH(BF229,Справочники!$A$4:$A$7,0)),""))</f>
        <v>68.5</v>
      </c>
      <c r="BH229" s="90" t="str">
        <f aca="false">IF(N(BN229)&gt;0,ROUND(SUMIF(ЗАКАЗЫ!$F$3:$F$500,$A229,ЗАКАЗЫ!$Y$3:$Y$500)/BN229,0),IF(OR(BE229="",BG229=""),"",ROUND(BE229*BG229*(1+Справочники!$B$10),0)))</f>
        <v/>
      </c>
      <c r="BI229" s="92" t="str">
        <f aca="false">IF(OR(AU229="",BH229="",AU229=0),"",(AU229-BH229)/AU229)</f>
        <v/>
      </c>
      <c r="BJ229" s="81"/>
      <c r="BK229" s="83"/>
      <c r="BL229" s="43" t="str">
        <f aca="false">IFERROR(INDEX(ЗАКАЗЫ!$N$3:$N$500,MATCH($A229,ЗАКАЗЫ!$F$3:$F$500,0)),"")</f>
        <v/>
      </c>
      <c r="BM229" s="8" t="str">
        <f aca="false">IF(BL229="","",IFERROR(VLOOKUP(BL229,'ТН ВЭД'!$A$4:$C$40,3,0),""))</f>
        <v/>
      </c>
      <c r="BN229" s="7" t="str">
        <f aca="false">IF(COUNTIF(ЗАКАЗЫ!$F$3:$F$500,$A229)=0,"",SUMIF(ЗАКАЗЫ!$F$3:$F$500,$A229,ЗАКАЗЫ!$J$3:$J$500))</f>
        <v/>
      </c>
      <c r="BO229" s="7" t="str">
        <f aca="false">IF(BN229="","",SUMIF(ЗАКАЗЫ!$F$3:$F$500,$A229,ЗАКАЗЫ!$AL$3:$AL$500))</f>
        <v/>
      </c>
      <c r="BP229" s="7" t="str">
        <f aca="false">IF(BN229="","",BN229-BO229)</f>
        <v/>
      </c>
      <c r="BQ229" s="55" t="str">
        <f aca="false">IF(BN229="","",IF(BO229&gt;=BN229,"На складе",IF(BO229&gt;0,"Частично","Ждём")))</f>
        <v/>
      </c>
      <c r="BR229" s="43"/>
      <c r="BS229" s="47" t="str">
        <f aca="false">IF(BN229="","",IF(_xlfn.MAXIFS(ЗАКАЗЫ!$AK$3:$AK$500,ЗАКАЗЫ!$F$3:$F$500,$A229)=0,"",_xlfn.MAXIFS(ЗАКАЗЫ!$AK$3:$AK$500,ЗАКАЗЫ!$F$3:$F$500,$A229)))</f>
        <v/>
      </c>
    </row>
    <row r="230" customFormat="false" ht="15.75" hidden="false" customHeight="true" outlineLevel="0" collapsed="false">
      <c r="A230" s="80" t="s">
        <v>2097</v>
      </c>
      <c r="B230" s="81"/>
      <c r="C230" s="81"/>
      <c r="D230" s="81"/>
      <c r="E230" s="83"/>
      <c r="F230" s="81"/>
      <c r="G230" s="83"/>
      <c r="H230" s="83"/>
      <c r="I230" s="84" t="str">
        <f aca="false">IF(E230="","",A230&amp;"_1.jpg")</f>
        <v/>
      </c>
      <c r="J230" s="84" t="str">
        <f aca="false">IF(E230="","",A230&amp;"_2.jpg; "&amp;A230&amp;"_3.jpg")</f>
        <v/>
      </c>
      <c r="K230" s="84" t="str">
        <f aca="false">IF(E230="","",A230&amp;"_schema.jpg")</f>
        <v/>
      </c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 t="s">
        <v>96</v>
      </c>
      <c r="W230" s="81"/>
      <c r="X230" s="81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6" t="str">
        <f aca="false">IF(SUM(Y230:AJ230)=0,"",SUM(Y230:AJ230))</f>
        <v/>
      </c>
      <c r="AL230" s="84" t="str">
        <f aca="false">MID(IF(N(Y230)&gt;0,", "&amp;Y$2,"")&amp;IF(N(Z230)&gt;0,", "&amp;Z$2,"")&amp;IF(N(AA230)&gt;0,", "&amp;AA$2,"")&amp;IF(N(AB230)&gt;0,", "&amp;AB$2,"")&amp;IF(N(AC230)&gt;0,", "&amp;AC$2,"")&amp;IF(N(AD230)&gt;0,", "&amp;AD$2,"")&amp;IF(N(AE230)&gt;0,", "&amp;AE$2,"")&amp;IF(N(AF230)&gt;0,", "&amp;AF$2,"")&amp;IF(N(AG230)&gt;0,", "&amp;AG$2,"")&amp;IF(N(AH230)&gt;0,", "&amp;AH$2,"")&amp;IF(N(AI230)&gt;0,", "&amp;AI$2,"")&amp;IF(N(AJ230)&gt;0,", "&amp;AJ$2,""),3,999)</f>
        <v/>
      </c>
      <c r="AM230" s="87" t="str">
        <f aca="false">IF(E230="","",MID(IF(N(Y230)&gt;0,", "&amp;A230&amp;"-"&amp;Y$2,"")&amp;IF(N(Z230)&gt;0,", "&amp;A230&amp;"-"&amp;Z$2,"")&amp;IF(N(AA230)&gt;0,", "&amp;A230&amp;"-"&amp;AA$2,"")&amp;IF(N(AB230)&gt;0,", "&amp;A230&amp;"-"&amp;AB$2,"")&amp;IF(N(AC230)&gt;0,", "&amp;A230&amp;"-"&amp;AC$2,"")&amp;IF(N(AD230)&gt;0,", "&amp;A230&amp;"-"&amp;AD$2,"")&amp;IF(N(AE230)&gt;0,", "&amp;A230&amp;"-"&amp;AE$2,"")&amp;IF(N(AF230)&gt;0,", "&amp;A230&amp;"-"&amp;AF$2,"")&amp;IF(N(AG230)&gt;0,", "&amp;A230&amp;"-"&amp;AG$2,"")&amp;IF(N(AH230)&gt;0,", "&amp;A230&amp;"-"&amp;AH$2,"")&amp;IF(N(AI230)&gt;0,", "&amp;A230&amp;"-"&amp;AI$2,"")&amp;IF(N(AJ230)&gt;0,", "&amp;A230&amp;"-"&amp;AJ$2,""),3,999))</f>
        <v/>
      </c>
      <c r="AN230" s="81"/>
      <c r="AO230" s="88"/>
      <c r="AP230" s="89" t="str">
        <f aca="false">IF(AO230="","",ROUND(AO230/(1+Справочники!$B$13),2))</f>
        <v/>
      </c>
      <c r="AQ230" s="90" t="str">
        <f aca="false" t="array" ref="AQ230:AQ230">IF(AP230="","",AP230*INDEX(Справочники!$B$4:$B$7,MATCH("RUB",Справочники!$A$4:$A$7,0)))</f>
        <v/>
      </c>
      <c r="AR230" s="90" t="str">
        <f aca="false">IF(AQ230="","",ROUND(AQ230*(1+Справочники!$B$12),0))</f>
        <v/>
      </c>
      <c r="AS230" s="90" t="str">
        <f aca="false">IF(AR230="","",ROUND(AR230*(1-Справочники!$B$11),0))</f>
        <v/>
      </c>
      <c r="AT230" s="88"/>
      <c r="AU230" s="90" t="str">
        <f aca="false">IF(AT230="","",ROUND(AT230/(1+Справочники!$B$12),0))</f>
        <v/>
      </c>
      <c r="AV230" s="90" t="str">
        <f aca="false">IF(AT230="","",ROUND(AT230*(1-Справочники!$B$15),0))</f>
        <v/>
      </c>
      <c r="AW230" s="90" t="str">
        <f aca="false">IF(AT230="","",ROUND(AT230*(1-Справочники!$B$16),0))</f>
        <v/>
      </c>
      <c r="AX230" s="90" t="str">
        <f aca="false">IF(AT230="","",ROUND(AT230*(1-Справочники!$B$17),0))</f>
        <v/>
      </c>
      <c r="AY230" s="90" t="str">
        <f aca="false">IF(AT230="","",ROUND(AT230*(1-Справочники!$B$18),0))</f>
        <v/>
      </c>
      <c r="AZ230" s="90" t="str">
        <f aca="false">IF(AT230="","",ROUND(AT230*(1-Справочники!$B$19),0))</f>
        <v/>
      </c>
      <c r="BA230" s="81"/>
      <c r="BB230" s="81"/>
      <c r="BC230" s="81"/>
      <c r="BD230" s="81"/>
      <c r="BE230" s="91"/>
      <c r="BF230" s="81" t="s">
        <v>103</v>
      </c>
      <c r="BG230" s="89" t="n">
        <f aca="false" t="array" ref="BG230:BG230">IF(BF230="","",IFERROR(INDEX(Справочники!$B$4:$B$7,MATCH(BF230,Справочники!$A$4:$A$7,0)),""))</f>
        <v>68.5</v>
      </c>
      <c r="BH230" s="90" t="str">
        <f aca="false">IF(N(BN230)&gt;0,ROUND(SUMIF(ЗАКАЗЫ!$F$3:$F$500,$A230,ЗАКАЗЫ!$Y$3:$Y$500)/BN230,0),IF(OR(BE230="",BG230=""),"",ROUND(BE230*BG230*(1+Справочники!$B$10),0)))</f>
        <v/>
      </c>
      <c r="BI230" s="92" t="str">
        <f aca="false">IF(OR(AU230="",BH230="",AU230=0),"",(AU230-BH230)/AU230)</f>
        <v/>
      </c>
      <c r="BJ230" s="81"/>
      <c r="BK230" s="83"/>
      <c r="BL230" s="43" t="str">
        <f aca="false">IFERROR(INDEX(ЗАКАЗЫ!$N$3:$N$500,MATCH($A230,ЗАКАЗЫ!$F$3:$F$500,0)),"")</f>
        <v/>
      </c>
      <c r="BM230" s="8" t="str">
        <f aca="false">IF(BL230="","",IFERROR(VLOOKUP(BL230,'ТН ВЭД'!$A$4:$C$40,3,0),""))</f>
        <v/>
      </c>
      <c r="BN230" s="7" t="str">
        <f aca="false">IF(COUNTIF(ЗАКАЗЫ!$F$3:$F$500,$A230)=0,"",SUMIF(ЗАКАЗЫ!$F$3:$F$500,$A230,ЗАКАЗЫ!$J$3:$J$500))</f>
        <v/>
      </c>
      <c r="BO230" s="7" t="str">
        <f aca="false">IF(BN230="","",SUMIF(ЗАКАЗЫ!$F$3:$F$500,$A230,ЗАКАЗЫ!$AL$3:$AL$500))</f>
        <v/>
      </c>
      <c r="BP230" s="7" t="str">
        <f aca="false">IF(BN230="","",BN230-BO230)</f>
        <v/>
      </c>
      <c r="BQ230" s="55" t="str">
        <f aca="false">IF(BN230="","",IF(BO230&gt;=BN230,"На складе",IF(BO230&gt;0,"Частично","Ждём")))</f>
        <v/>
      </c>
      <c r="BR230" s="43"/>
      <c r="BS230" s="47" t="str">
        <f aca="false">IF(BN230="","",IF(_xlfn.MAXIFS(ЗАКАЗЫ!$AK$3:$AK$500,ЗАКАЗЫ!$F$3:$F$500,$A230)=0,"",_xlfn.MAXIFS(ЗАКАЗЫ!$AK$3:$AK$500,ЗАКАЗЫ!$F$3:$F$500,$A230)))</f>
        <v/>
      </c>
    </row>
    <row r="231" customFormat="false" ht="15.75" hidden="false" customHeight="true" outlineLevel="0" collapsed="false">
      <c r="A231" s="80" t="s">
        <v>2098</v>
      </c>
      <c r="B231" s="81"/>
      <c r="C231" s="81"/>
      <c r="D231" s="81"/>
      <c r="E231" s="83"/>
      <c r="F231" s="81"/>
      <c r="G231" s="83"/>
      <c r="H231" s="83"/>
      <c r="I231" s="84" t="str">
        <f aca="false">IF(E231="","",A231&amp;"_1.jpg")</f>
        <v/>
      </c>
      <c r="J231" s="84" t="str">
        <f aca="false">IF(E231="","",A231&amp;"_2.jpg; "&amp;A231&amp;"_3.jpg")</f>
        <v/>
      </c>
      <c r="K231" s="84" t="str">
        <f aca="false">IF(E231="","",A231&amp;"_schema.jpg")</f>
        <v/>
      </c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 t="s">
        <v>96</v>
      </c>
      <c r="W231" s="81"/>
      <c r="X231" s="81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6" t="str">
        <f aca="false">IF(SUM(Y231:AJ231)=0,"",SUM(Y231:AJ231))</f>
        <v/>
      </c>
      <c r="AL231" s="84" t="str">
        <f aca="false">MID(IF(N(Y231)&gt;0,", "&amp;Y$2,"")&amp;IF(N(Z231)&gt;0,", "&amp;Z$2,"")&amp;IF(N(AA231)&gt;0,", "&amp;AA$2,"")&amp;IF(N(AB231)&gt;0,", "&amp;AB$2,"")&amp;IF(N(AC231)&gt;0,", "&amp;AC$2,"")&amp;IF(N(AD231)&gt;0,", "&amp;AD$2,"")&amp;IF(N(AE231)&gt;0,", "&amp;AE$2,"")&amp;IF(N(AF231)&gt;0,", "&amp;AF$2,"")&amp;IF(N(AG231)&gt;0,", "&amp;AG$2,"")&amp;IF(N(AH231)&gt;0,", "&amp;AH$2,"")&amp;IF(N(AI231)&gt;0,", "&amp;AI$2,"")&amp;IF(N(AJ231)&gt;0,", "&amp;AJ$2,""),3,999)</f>
        <v/>
      </c>
      <c r="AM231" s="87" t="str">
        <f aca="false">IF(E231="","",MID(IF(N(Y231)&gt;0,", "&amp;A231&amp;"-"&amp;Y$2,"")&amp;IF(N(Z231)&gt;0,", "&amp;A231&amp;"-"&amp;Z$2,"")&amp;IF(N(AA231)&gt;0,", "&amp;A231&amp;"-"&amp;AA$2,"")&amp;IF(N(AB231)&gt;0,", "&amp;A231&amp;"-"&amp;AB$2,"")&amp;IF(N(AC231)&gt;0,", "&amp;A231&amp;"-"&amp;AC$2,"")&amp;IF(N(AD231)&gt;0,", "&amp;A231&amp;"-"&amp;AD$2,"")&amp;IF(N(AE231)&gt;0,", "&amp;A231&amp;"-"&amp;AE$2,"")&amp;IF(N(AF231)&gt;0,", "&amp;A231&amp;"-"&amp;AF$2,"")&amp;IF(N(AG231)&gt;0,", "&amp;A231&amp;"-"&amp;AG$2,"")&amp;IF(N(AH231)&gt;0,", "&amp;A231&amp;"-"&amp;AH$2,"")&amp;IF(N(AI231)&gt;0,", "&amp;A231&amp;"-"&amp;AI$2,"")&amp;IF(N(AJ231)&gt;0,", "&amp;A231&amp;"-"&amp;AJ$2,""),3,999))</f>
        <v/>
      </c>
      <c r="AN231" s="81"/>
      <c r="AO231" s="88"/>
      <c r="AP231" s="89" t="str">
        <f aca="false">IF(AO231="","",ROUND(AO231/(1+Справочники!$B$13),2))</f>
        <v/>
      </c>
      <c r="AQ231" s="90" t="str">
        <f aca="false" t="array" ref="AQ231:AQ231">IF(AP231="","",AP231*INDEX(Справочники!$B$4:$B$7,MATCH("RUB",Справочники!$A$4:$A$7,0)))</f>
        <v/>
      </c>
      <c r="AR231" s="90" t="str">
        <f aca="false">IF(AQ231="","",ROUND(AQ231*(1+Справочники!$B$12),0))</f>
        <v/>
      </c>
      <c r="AS231" s="90" t="str">
        <f aca="false">IF(AR231="","",ROUND(AR231*(1-Справочники!$B$11),0))</f>
        <v/>
      </c>
      <c r="AT231" s="88"/>
      <c r="AU231" s="90" t="str">
        <f aca="false">IF(AT231="","",ROUND(AT231/(1+Справочники!$B$12),0))</f>
        <v/>
      </c>
      <c r="AV231" s="90" t="str">
        <f aca="false">IF(AT231="","",ROUND(AT231*(1-Справочники!$B$15),0))</f>
        <v/>
      </c>
      <c r="AW231" s="90" t="str">
        <f aca="false">IF(AT231="","",ROUND(AT231*(1-Справочники!$B$16),0))</f>
        <v/>
      </c>
      <c r="AX231" s="90" t="str">
        <f aca="false">IF(AT231="","",ROUND(AT231*(1-Справочники!$B$17),0))</f>
        <v/>
      </c>
      <c r="AY231" s="90" t="str">
        <f aca="false">IF(AT231="","",ROUND(AT231*(1-Справочники!$B$18),0))</f>
        <v/>
      </c>
      <c r="AZ231" s="90" t="str">
        <f aca="false">IF(AT231="","",ROUND(AT231*(1-Справочники!$B$19),0))</f>
        <v/>
      </c>
      <c r="BA231" s="81"/>
      <c r="BB231" s="81"/>
      <c r="BC231" s="81"/>
      <c r="BD231" s="81"/>
      <c r="BE231" s="91"/>
      <c r="BF231" s="81" t="s">
        <v>103</v>
      </c>
      <c r="BG231" s="89" t="n">
        <f aca="false" t="array" ref="BG231:BG231">IF(BF231="","",IFERROR(INDEX(Справочники!$B$4:$B$7,MATCH(BF231,Справочники!$A$4:$A$7,0)),""))</f>
        <v>68.5</v>
      </c>
      <c r="BH231" s="90" t="str">
        <f aca="false">IF(N(BN231)&gt;0,ROUND(SUMIF(ЗАКАЗЫ!$F$3:$F$500,$A231,ЗАКАЗЫ!$Y$3:$Y$500)/BN231,0),IF(OR(BE231="",BG231=""),"",ROUND(BE231*BG231*(1+Справочники!$B$10),0)))</f>
        <v/>
      </c>
      <c r="BI231" s="92" t="str">
        <f aca="false">IF(OR(AU231="",BH231="",AU231=0),"",(AU231-BH231)/AU231)</f>
        <v/>
      </c>
      <c r="BJ231" s="81"/>
      <c r="BK231" s="83"/>
      <c r="BL231" s="43" t="str">
        <f aca="false">IFERROR(INDEX(ЗАКАЗЫ!$N$3:$N$500,MATCH($A231,ЗАКАЗЫ!$F$3:$F$500,0)),"")</f>
        <v/>
      </c>
      <c r="BM231" s="8" t="str">
        <f aca="false">IF(BL231="","",IFERROR(VLOOKUP(BL231,'ТН ВЭД'!$A$4:$C$40,3,0),""))</f>
        <v/>
      </c>
      <c r="BN231" s="7" t="str">
        <f aca="false">IF(COUNTIF(ЗАКАЗЫ!$F$3:$F$500,$A231)=0,"",SUMIF(ЗАКАЗЫ!$F$3:$F$500,$A231,ЗАКАЗЫ!$J$3:$J$500))</f>
        <v/>
      </c>
      <c r="BO231" s="7" t="str">
        <f aca="false">IF(BN231="","",SUMIF(ЗАКАЗЫ!$F$3:$F$500,$A231,ЗАКАЗЫ!$AL$3:$AL$500))</f>
        <v/>
      </c>
      <c r="BP231" s="7" t="str">
        <f aca="false">IF(BN231="","",BN231-BO231)</f>
        <v/>
      </c>
      <c r="BQ231" s="55" t="str">
        <f aca="false">IF(BN231="","",IF(BO231&gt;=BN231,"На складе",IF(BO231&gt;0,"Частично","Ждём")))</f>
        <v/>
      </c>
      <c r="BR231" s="43"/>
      <c r="BS231" s="47" t="str">
        <f aca="false">IF(BN231="","",IF(_xlfn.MAXIFS(ЗАКАЗЫ!$AK$3:$AK$500,ЗАКАЗЫ!$F$3:$F$500,$A231)=0,"",_xlfn.MAXIFS(ЗАКАЗЫ!$AK$3:$AK$500,ЗАКАЗЫ!$F$3:$F$500,$A231)))</f>
        <v/>
      </c>
    </row>
    <row r="232" customFormat="false" ht="15.75" hidden="false" customHeight="true" outlineLevel="0" collapsed="false">
      <c r="A232" s="80" t="s">
        <v>2099</v>
      </c>
      <c r="B232" s="81"/>
      <c r="C232" s="81"/>
      <c r="D232" s="81"/>
      <c r="E232" s="83"/>
      <c r="F232" s="81"/>
      <c r="G232" s="83"/>
      <c r="H232" s="83"/>
      <c r="I232" s="84" t="str">
        <f aca="false">IF(E232="","",A232&amp;"_1.jpg")</f>
        <v/>
      </c>
      <c r="J232" s="84" t="str">
        <f aca="false">IF(E232="","",A232&amp;"_2.jpg; "&amp;A232&amp;"_3.jpg")</f>
        <v/>
      </c>
      <c r="K232" s="84" t="str">
        <f aca="false">IF(E232="","",A232&amp;"_schema.jpg")</f>
        <v/>
      </c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 t="s">
        <v>96</v>
      </c>
      <c r="W232" s="81"/>
      <c r="X232" s="81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6" t="str">
        <f aca="false">IF(SUM(Y232:AJ232)=0,"",SUM(Y232:AJ232))</f>
        <v/>
      </c>
      <c r="AL232" s="84" t="str">
        <f aca="false">MID(IF(N(Y232)&gt;0,", "&amp;Y$2,"")&amp;IF(N(Z232)&gt;0,", "&amp;Z$2,"")&amp;IF(N(AA232)&gt;0,", "&amp;AA$2,"")&amp;IF(N(AB232)&gt;0,", "&amp;AB$2,"")&amp;IF(N(AC232)&gt;0,", "&amp;AC$2,"")&amp;IF(N(AD232)&gt;0,", "&amp;AD$2,"")&amp;IF(N(AE232)&gt;0,", "&amp;AE$2,"")&amp;IF(N(AF232)&gt;0,", "&amp;AF$2,"")&amp;IF(N(AG232)&gt;0,", "&amp;AG$2,"")&amp;IF(N(AH232)&gt;0,", "&amp;AH$2,"")&amp;IF(N(AI232)&gt;0,", "&amp;AI$2,"")&amp;IF(N(AJ232)&gt;0,", "&amp;AJ$2,""),3,999)</f>
        <v/>
      </c>
      <c r="AM232" s="87" t="str">
        <f aca="false">IF(E232="","",MID(IF(N(Y232)&gt;0,", "&amp;A232&amp;"-"&amp;Y$2,"")&amp;IF(N(Z232)&gt;0,", "&amp;A232&amp;"-"&amp;Z$2,"")&amp;IF(N(AA232)&gt;0,", "&amp;A232&amp;"-"&amp;AA$2,"")&amp;IF(N(AB232)&gt;0,", "&amp;A232&amp;"-"&amp;AB$2,"")&amp;IF(N(AC232)&gt;0,", "&amp;A232&amp;"-"&amp;AC$2,"")&amp;IF(N(AD232)&gt;0,", "&amp;A232&amp;"-"&amp;AD$2,"")&amp;IF(N(AE232)&gt;0,", "&amp;A232&amp;"-"&amp;AE$2,"")&amp;IF(N(AF232)&gt;0,", "&amp;A232&amp;"-"&amp;AF$2,"")&amp;IF(N(AG232)&gt;0,", "&amp;A232&amp;"-"&amp;AG$2,"")&amp;IF(N(AH232)&gt;0,", "&amp;A232&amp;"-"&amp;AH$2,"")&amp;IF(N(AI232)&gt;0,", "&amp;A232&amp;"-"&amp;AI$2,"")&amp;IF(N(AJ232)&gt;0,", "&amp;A232&amp;"-"&amp;AJ$2,""),3,999))</f>
        <v/>
      </c>
      <c r="AN232" s="81"/>
      <c r="AO232" s="88"/>
      <c r="AP232" s="89" t="str">
        <f aca="false">IF(AO232="","",ROUND(AO232/(1+Справочники!$B$13),2))</f>
        <v/>
      </c>
      <c r="AQ232" s="90" t="str">
        <f aca="false" t="array" ref="AQ232:AQ232">IF(AP232="","",AP232*INDEX(Справочники!$B$4:$B$7,MATCH("RUB",Справочники!$A$4:$A$7,0)))</f>
        <v/>
      </c>
      <c r="AR232" s="90" t="str">
        <f aca="false">IF(AQ232="","",ROUND(AQ232*(1+Справочники!$B$12),0))</f>
        <v/>
      </c>
      <c r="AS232" s="90" t="str">
        <f aca="false">IF(AR232="","",ROUND(AR232*(1-Справочники!$B$11),0))</f>
        <v/>
      </c>
      <c r="AT232" s="88"/>
      <c r="AU232" s="90" t="str">
        <f aca="false">IF(AT232="","",ROUND(AT232/(1+Справочники!$B$12),0))</f>
        <v/>
      </c>
      <c r="AV232" s="90" t="str">
        <f aca="false">IF(AT232="","",ROUND(AT232*(1-Справочники!$B$15),0))</f>
        <v/>
      </c>
      <c r="AW232" s="90" t="str">
        <f aca="false">IF(AT232="","",ROUND(AT232*(1-Справочники!$B$16),0))</f>
        <v/>
      </c>
      <c r="AX232" s="90" t="str">
        <f aca="false">IF(AT232="","",ROUND(AT232*(1-Справочники!$B$17),0))</f>
        <v/>
      </c>
      <c r="AY232" s="90" t="str">
        <f aca="false">IF(AT232="","",ROUND(AT232*(1-Справочники!$B$18),0))</f>
        <v/>
      </c>
      <c r="AZ232" s="90" t="str">
        <f aca="false">IF(AT232="","",ROUND(AT232*(1-Справочники!$B$19),0))</f>
        <v/>
      </c>
      <c r="BA232" s="81"/>
      <c r="BB232" s="81"/>
      <c r="BC232" s="81"/>
      <c r="BD232" s="81"/>
      <c r="BE232" s="91"/>
      <c r="BF232" s="81" t="s">
        <v>103</v>
      </c>
      <c r="BG232" s="89" t="n">
        <f aca="false" t="array" ref="BG232:BG232">IF(BF232="","",IFERROR(INDEX(Справочники!$B$4:$B$7,MATCH(BF232,Справочники!$A$4:$A$7,0)),""))</f>
        <v>68.5</v>
      </c>
      <c r="BH232" s="90" t="str">
        <f aca="false">IF(N(BN232)&gt;0,ROUND(SUMIF(ЗАКАЗЫ!$F$3:$F$500,$A232,ЗАКАЗЫ!$Y$3:$Y$500)/BN232,0),IF(OR(BE232="",BG232=""),"",ROUND(BE232*BG232*(1+Справочники!$B$10),0)))</f>
        <v/>
      </c>
      <c r="BI232" s="92" t="str">
        <f aca="false">IF(OR(AU232="",BH232="",AU232=0),"",(AU232-BH232)/AU232)</f>
        <v/>
      </c>
      <c r="BJ232" s="81"/>
      <c r="BK232" s="83"/>
      <c r="BL232" s="43" t="str">
        <f aca="false">IFERROR(INDEX(ЗАКАЗЫ!$N$3:$N$500,MATCH($A232,ЗАКАЗЫ!$F$3:$F$500,0)),"")</f>
        <v/>
      </c>
      <c r="BM232" s="8" t="str">
        <f aca="false">IF(BL232="","",IFERROR(VLOOKUP(BL232,'ТН ВЭД'!$A$4:$C$40,3,0),""))</f>
        <v/>
      </c>
      <c r="BN232" s="7" t="str">
        <f aca="false">IF(COUNTIF(ЗАКАЗЫ!$F$3:$F$500,$A232)=0,"",SUMIF(ЗАКАЗЫ!$F$3:$F$500,$A232,ЗАКАЗЫ!$J$3:$J$500))</f>
        <v/>
      </c>
      <c r="BO232" s="7" t="str">
        <f aca="false">IF(BN232="","",SUMIF(ЗАКАЗЫ!$F$3:$F$500,$A232,ЗАКАЗЫ!$AL$3:$AL$500))</f>
        <v/>
      </c>
      <c r="BP232" s="7" t="str">
        <f aca="false">IF(BN232="","",BN232-BO232)</f>
        <v/>
      </c>
      <c r="BQ232" s="55" t="str">
        <f aca="false">IF(BN232="","",IF(BO232&gt;=BN232,"На складе",IF(BO232&gt;0,"Частично","Ждём")))</f>
        <v/>
      </c>
      <c r="BR232" s="43"/>
      <c r="BS232" s="47" t="str">
        <f aca="false">IF(BN232="","",IF(_xlfn.MAXIFS(ЗАКАЗЫ!$AK$3:$AK$500,ЗАКАЗЫ!$F$3:$F$500,$A232)=0,"",_xlfn.MAXIFS(ЗАКАЗЫ!$AK$3:$AK$500,ЗАКАЗЫ!$F$3:$F$500,$A232)))</f>
        <v/>
      </c>
    </row>
    <row r="233" customFormat="false" ht="15.75" hidden="false" customHeight="true" outlineLevel="0" collapsed="false">
      <c r="A233" s="80" t="s">
        <v>2100</v>
      </c>
      <c r="B233" s="81"/>
      <c r="C233" s="81"/>
      <c r="D233" s="81"/>
      <c r="E233" s="83"/>
      <c r="F233" s="81"/>
      <c r="G233" s="83"/>
      <c r="H233" s="83"/>
      <c r="I233" s="84" t="str">
        <f aca="false">IF(E233="","",A233&amp;"_1.jpg")</f>
        <v/>
      </c>
      <c r="J233" s="84" t="str">
        <f aca="false">IF(E233="","",A233&amp;"_2.jpg; "&amp;A233&amp;"_3.jpg")</f>
        <v/>
      </c>
      <c r="K233" s="84" t="str">
        <f aca="false">IF(E233="","",A233&amp;"_schema.jpg")</f>
        <v/>
      </c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 t="s">
        <v>96</v>
      </c>
      <c r="W233" s="81"/>
      <c r="X233" s="81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6" t="str">
        <f aca="false">IF(SUM(Y233:AJ233)=0,"",SUM(Y233:AJ233))</f>
        <v/>
      </c>
      <c r="AL233" s="84" t="str">
        <f aca="false">MID(IF(N(Y233)&gt;0,", "&amp;Y$2,"")&amp;IF(N(Z233)&gt;0,", "&amp;Z$2,"")&amp;IF(N(AA233)&gt;0,", "&amp;AA$2,"")&amp;IF(N(AB233)&gt;0,", "&amp;AB$2,"")&amp;IF(N(AC233)&gt;0,", "&amp;AC$2,"")&amp;IF(N(AD233)&gt;0,", "&amp;AD$2,"")&amp;IF(N(AE233)&gt;0,", "&amp;AE$2,"")&amp;IF(N(AF233)&gt;0,", "&amp;AF$2,"")&amp;IF(N(AG233)&gt;0,", "&amp;AG$2,"")&amp;IF(N(AH233)&gt;0,", "&amp;AH$2,"")&amp;IF(N(AI233)&gt;0,", "&amp;AI$2,"")&amp;IF(N(AJ233)&gt;0,", "&amp;AJ$2,""),3,999)</f>
        <v/>
      </c>
      <c r="AM233" s="87" t="str">
        <f aca="false">IF(E233="","",MID(IF(N(Y233)&gt;0,", "&amp;A233&amp;"-"&amp;Y$2,"")&amp;IF(N(Z233)&gt;0,", "&amp;A233&amp;"-"&amp;Z$2,"")&amp;IF(N(AA233)&gt;0,", "&amp;A233&amp;"-"&amp;AA$2,"")&amp;IF(N(AB233)&gt;0,", "&amp;A233&amp;"-"&amp;AB$2,"")&amp;IF(N(AC233)&gt;0,", "&amp;A233&amp;"-"&amp;AC$2,"")&amp;IF(N(AD233)&gt;0,", "&amp;A233&amp;"-"&amp;AD$2,"")&amp;IF(N(AE233)&gt;0,", "&amp;A233&amp;"-"&amp;AE$2,"")&amp;IF(N(AF233)&gt;0,", "&amp;A233&amp;"-"&amp;AF$2,"")&amp;IF(N(AG233)&gt;0,", "&amp;A233&amp;"-"&amp;AG$2,"")&amp;IF(N(AH233)&gt;0,", "&amp;A233&amp;"-"&amp;AH$2,"")&amp;IF(N(AI233)&gt;0,", "&amp;A233&amp;"-"&amp;AI$2,"")&amp;IF(N(AJ233)&gt;0,", "&amp;A233&amp;"-"&amp;AJ$2,""),3,999))</f>
        <v/>
      </c>
      <c r="AN233" s="81"/>
      <c r="AO233" s="88"/>
      <c r="AP233" s="89" t="str">
        <f aca="false">IF(AO233="","",ROUND(AO233/(1+Справочники!$B$13),2))</f>
        <v/>
      </c>
      <c r="AQ233" s="90" t="str">
        <f aca="false" t="array" ref="AQ233:AQ233">IF(AP233="","",AP233*INDEX(Справочники!$B$4:$B$7,MATCH("RUB",Справочники!$A$4:$A$7,0)))</f>
        <v/>
      </c>
      <c r="AR233" s="90" t="str">
        <f aca="false">IF(AQ233="","",ROUND(AQ233*(1+Справочники!$B$12),0))</f>
        <v/>
      </c>
      <c r="AS233" s="90" t="str">
        <f aca="false">IF(AR233="","",ROUND(AR233*(1-Справочники!$B$11),0))</f>
        <v/>
      </c>
      <c r="AT233" s="88"/>
      <c r="AU233" s="90" t="str">
        <f aca="false">IF(AT233="","",ROUND(AT233/(1+Справочники!$B$12),0))</f>
        <v/>
      </c>
      <c r="AV233" s="90" t="str">
        <f aca="false">IF(AT233="","",ROUND(AT233*(1-Справочники!$B$15),0))</f>
        <v/>
      </c>
      <c r="AW233" s="90" t="str">
        <f aca="false">IF(AT233="","",ROUND(AT233*(1-Справочники!$B$16),0))</f>
        <v/>
      </c>
      <c r="AX233" s="90" t="str">
        <f aca="false">IF(AT233="","",ROUND(AT233*(1-Справочники!$B$17),0))</f>
        <v/>
      </c>
      <c r="AY233" s="90" t="str">
        <f aca="false">IF(AT233="","",ROUND(AT233*(1-Справочники!$B$18),0))</f>
        <v/>
      </c>
      <c r="AZ233" s="90" t="str">
        <f aca="false">IF(AT233="","",ROUND(AT233*(1-Справочники!$B$19),0))</f>
        <v/>
      </c>
      <c r="BA233" s="81"/>
      <c r="BB233" s="81"/>
      <c r="BC233" s="81"/>
      <c r="BD233" s="81"/>
      <c r="BE233" s="91"/>
      <c r="BF233" s="81" t="s">
        <v>103</v>
      </c>
      <c r="BG233" s="89" t="n">
        <f aca="false" t="array" ref="BG233:BG233">IF(BF233="","",IFERROR(INDEX(Справочники!$B$4:$B$7,MATCH(BF233,Справочники!$A$4:$A$7,0)),""))</f>
        <v>68.5</v>
      </c>
      <c r="BH233" s="90" t="str">
        <f aca="false">IF(N(BN233)&gt;0,ROUND(SUMIF(ЗАКАЗЫ!$F$3:$F$500,$A233,ЗАКАЗЫ!$Y$3:$Y$500)/BN233,0),IF(OR(BE233="",BG233=""),"",ROUND(BE233*BG233*(1+Справочники!$B$10),0)))</f>
        <v/>
      </c>
      <c r="BI233" s="92" t="str">
        <f aca="false">IF(OR(AU233="",BH233="",AU233=0),"",(AU233-BH233)/AU233)</f>
        <v/>
      </c>
      <c r="BJ233" s="81"/>
      <c r="BK233" s="83"/>
      <c r="BL233" s="43" t="str">
        <f aca="false">IFERROR(INDEX(ЗАКАЗЫ!$N$3:$N$500,MATCH($A233,ЗАКАЗЫ!$F$3:$F$500,0)),"")</f>
        <v/>
      </c>
      <c r="BM233" s="8" t="str">
        <f aca="false">IF(BL233="","",IFERROR(VLOOKUP(BL233,'ТН ВЭД'!$A$4:$C$40,3,0),""))</f>
        <v/>
      </c>
      <c r="BN233" s="7" t="str">
        <f aca="false">IF(COUNTIF(ЗАКАЗЫ!$F$3:$F$500,$A233)=0,"",SUMIF(ЗАКАЗЫ!$F$3:$F$500,$A233,ЗАКАЗЫ!$J$3:$J$500))</f>
        <v/>
      </c>
      <c r="BO233" s="7" t="str">
        <f aca="false">IF(BN233="","",SUMIF(ЗАКАЗЫ!$F$3:$F$500,$A233,ЗАКАЗЫ!$AL$3:$AL$500))</f>
        <v/>
      </c>
      <c r="BP233" s="7" t="str">
        <f aca="false">IF(BN233="","",BN233-BO233)</f>
        <v/>
      </c>
      <c r="BQ233" s="55" t="str">
        <f aca="false">IF(BN233="","",IF(BO233&gt;=BN233,"На складе",IF(BO233&gt;0,"Частично","Ждём")))</f>
        <v/>
      </c>
      <c r="BR233" s="43"/>
      <c r="BS233" s="47" t="str">
        <f aca="false">IF(BN233="","",IF(_xlfn.MAXIFS(ЗАКАЗЫ!$AK$3:$AK$500,ЗАКАЗЫ!$F$3:$F$500,$A233)=0,"",_xlfn.MAXIFS(ЗАКАЗЫ!$AK$3:$AK$500,ЗАКАЗЫ!$F$3:$F$500,$A233)))</f>
        <v/>
      </c>
    </row>
    <row r="234" customFormat="false" ht="15.75" hidden="false" customHeight="true" outlineLevel="0" collapsed="false">
      <c r="A234" s="80" t="s">
        <v>2101</v>
      </c>
      <c r="B234" s="81"/>
      <c r="C234" s="81"/>
      <c r="D234" s="81"/>
      <c r="E234" s="83"/>
      <c r="F234" s="81"/>
      <c r="G234" s="83"/>
      <c r="H234" s="83"/>
      <c r="I234" s="84" t="str">
        <f aca="false">IF(E234="","",A234&amp;"_1.jpg")</f>
        <v/>
      </c>
      <c r="J234" s="84" t="str">
        <f aca="false">IF(E234="","",A234&amp;"_2.jpg; "&amp;A234&amp;"_3.jpg")</f>
        <v/>
      </c>
      <c r="K234" s="84" t="str">
        <f aca="false">IF(E234="","",A234&amp;"_schema.jpg")</f>
        <v/>
      </c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 t="s">
        <v>96</v>
      </c>
      <c r="W234" s="81"/>
      <c r="X234" s="81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6" t="str">
        <f aca="false">IF(SUM(Y234:AJ234)=0,"",SUM(Y234:AJ234))</f>
        <v/>
      </c>
      <c r="AL234" s="84" t="str">
        <f aca="false">MID(IF(N(Y234)&gt;0,", "&amp;Y$2,"")&amp;IF(N(Z234)&gt;0,", "&amp;Z$2,"")&amp;IF(N(AA234)&gt;0,", "&amp;AA$2,"")&amp;IF(N(AB234)&gt;0,", "&amp;AB$2,"")&amp;IF(N(AC234)&gt;0,", "&amp;AC$2,"")&amp;IF(N(AD234)&gt;0,", "&amp;AD$2,"")&amp;IF(N(AE234)&gt;0,", "&amp;AE$2,"")&amp;IF(N(AF234)&gt;0,", "&amp;AF$2,"")&amp;IF(N(AG234)&gt;0,", "&amp;AG$2,"")&amp;IF(N(AH234)&gt;0,", "&amp;AH$2,"")&amp;IF(N(AI234)&gt;0,", "&amp;AI$2,"")&amp;IF(N(AJ234)&gt;0,", "&amp;AJ$2,""),3,999)</f>
        <v/>
      </c>
      <c r="AM234" s="87" t="str">
        <f aca="false">IF(E234="","",MID(IF(N(Y234)&gt;0,", "&amp;A234&amp;"-"&amp;Y$2,"")&amp;IF(N(Z234)&gt;0,", "&amp;A234&amp;"-"&amp;Z$2,"")&amp;IF(N(AA234)&gt;0,", "&amp;A234&amp;"-"&amp;AA$2,"")&amp;IF(N(AB234)&gt;0,", "&amp;A234&amp;"-"&amp;AB$2,"")&amp;IF(N(AC234)&gt;0,", "&amp;A234&amp;"-"&amp;AC$2,"")&amp;IF(N(AD234)&gt;0,", "&amp;A234&amp;"-"&amp;AD$2,"")&amp;IF(N(AE234)&gt;0,", "&amp;A234&amp;"-"&amp;AE$2,"")&amp;IF(N(AF234)&gt;0,", "&amp;A234&amp;"-"&amp;AF$2,"")&amp;IF(N(AG234)&gt;0,", "&amp;A234&amp;"-"&amp;AG$2,"")&amp;IF(N(AH234)&gt;0,", "&amp;A234&amp;"-"&amp;AH$2,"")&amp;IF(N(AI234)&gt;0,", "&amp;A234&amp;"-"&amp;AI$2,"")&amp;IF(N(AJ234)&gt;0,", "&amp;A234&amp;"-"&amp;AJ$2,""),3,999))</f>
        <v/>
      </c>
      <c r="AN234" s="81"/>
      <c r="AO234" s="88"/>
      <c r="AP234" s="89" t="str">
        <f aca="false">IF(AO234="","",ROUND(AO234/(1+Справочники!$B$13),2))</f>
        <v/>
      </c>
      <c r="AQ234" s="90" t="str">
        <f aca="false" t="array" ref="AQ234:AQ234">IF(AP234="","",AP234*INDEX(Справочники!$B$4:$B$7,MATCH("RUB",Справочники!$A$4:$A$7,0)))</f>
        <v/>
      </c>
      <c r="AR234" s="90" t="str">
        <f aca="false">IF(AQ234="","",ROUND(AQ234*(1+Справочники!$B$12),0))</f>
        <v/>
      </c>
      <c r="AS234" s="90" t="str">
        <f aca="false">IF(AR234="","",ROUND(AR234*(1-Справочники!$B$11),0))</f>
        <v/>
      </c>
      <c r="AT234" s="88"/>
      <c r="AU234" s="90" t="str">
        <f aca="false">IF(AT234="","",ROUND(AT234/(1+Справочники!$B$12),0))</f>
        <v/>
      </c>
      <c r="AV234" s="90" t="str">
        <f aca="false">IF(AT234="","",ROUND(AT234*(1-Справочники!$B$15),0))</f>
        <v/>
      </c>
      <c r="AW234" s="90" t="str">
        <f aca="false">IF(AT234="","",ROUND(AT234*(1-Справочники!$B$16),0))</f>
        <v/>
      </c>
      <c r="AX234" s="90" t="str">
        <f aca="false">IF(AT234="","",ROUND(AT234*(1-Справочники!$B$17),0))</f>
        <v/>
      </c>
      <c r="AY234" s="90" t="str">
        <f aca="false">IF(AT234="","",ROUND(AT234*(1-Справочники!$B$18),0))</f>
        <v/>
      </c>
      <c r="AZ234" s="90" t="str">
        <f aca="false">IF(AT234="","",ROUND(AT234*(1-Справочники!$B$19),0))</f>
        <v/>
      </c>
      <c r="BA234" s="81"/>
      <c r="BB234" s="81"/>
      <c r="BC234" s="81"/>
      <c r="BD234" s="81"/>
      <c r="BE234" s="91"/>
      <c r="BF234" s="81" t="s">
        <v>103</v>
      </c>
      <c r="BG234" s="89" t="n">
        <f aca="false" t="array" ref="BG234:BG234">IF(BF234="","",IFERROR(INDEX(Справочники!$B$4:$B$7,MATCH(BF234,Справочники!$A$4:$A$7,0)),""))</f>
        <v>68.5</v>
      </c>
      <c r="BH234" s="90" t="str">
        <f aca="false">IF(N(BN234)&gt;0,ROUND(SUMIF(ЗАКАЗЫ!$F$3:$F$500,$A234,ЗАКАЗЫ!$Y$3:$Y$500)/BN234,0),IF(OR(BE234="",BG234=""),"",ROUND(BE234*BG234*(1+Справочники!$B$10),0)))</f>
        <v/>
      </c>
      <c r="BI234" s="92" t="str">
        <f aca="false">IF(OR(AU234="",BH234="",AU234=0),"",(AU234-BH234)/AU234)</f>
        <v/>
      </c>
      <c r="BJ234" s="81"/>
      <c r="BK234" s="83"/>
      <c r="BL234" s="43" t="str">
        <f aca="false">IFERROR(INDEX(ЗАКАЗЫ!$N$3:$N$500,MATCH($A234,ЗАКАЗЫ!$F$3:$F$500,0)),"")</f>
        <v/>
      </c>
      <c r="BM234" s="8" t="str">
        <f aca="false">IF(BL234="","",IFERROR(VLOOKUP(BL234,'ТН ВЭД'!$A$4:$C$40,3,0),""))</f>
        <v/>
      </c>
      <c r="BN234" s="7" t="str">
        <f aca="false">IF(COUNTIF(ЗАКАЗЫ!$F$3:$F$500,$A234)=0,"",SUMIF(ЗАКАЗЫ!$F$3:$F$500,$A234,ЗАКАЗЫ!$J$3:$J$500))</f>
        <v/>
      </c>
      <c r="BO234" s="7" t="str">
        <f aca="false">IF(BN234="","",SUMIF(ЗАКАЗЫ!$F$3:$F$500,$A234,ЗАКАЗЫ!$AL$3:$AL$500))</f>
        <v/>
      </c>
      <c r="BP234" s="7" t="str">
        <f aca="false">IF(BN234="","",BN234-BO234)</f>
        <v/>
      </c>
      <c r="BQ234" s="55" t="str">
        <f aca="false">IF(BN234="","",IF(BO234&gt;=BN234,"На складе",IF(BO234&gt;0,"Частично","Ждём")))</f>
        <v/>
      </c>
      <c r="BR234" s="43"/>
      <c r="BS234" s="47" t="str">
        <f aca="false">IF(BN234="","",IF(_xlfn.MAXIFS(ЗАКАЗЫ!$AK$3:$AK$500,ЗАКАЗЫ!$F$3:$F$500,$A234)=0,"",_xlfn.MAXIFS(ЗАКАЗЫ!$AK$3:$AK$500,ЗАКАЗЫ!$F$3:$F$500,$A234)))</f>
        <v/>
      </c>
    </row>
    <row r="235" customFormat="false" ht="15.75" hidden="false" customHeight="true" outlineLevel="0" collapsed="false">
      <c r="A235" s="80" t="s">
        <v>2102</v>
      </c>
      <c r="B235" s="81"/>
      <c r="C235" s="81"/>
      <c r="D235" s="81"/>
      <c r="E235" s="83"/>
      <c r="F235" s="81"/>
      <c r="G235" s="83"/>
      <c r="H235" s="83"/>
      <c r="I235" s="84" t="str">
        <f aca="false">IF(E235="","",A235&amp;"_1.jpg")</f>
        <v/>
      </c>
      <c r="J235" s="84" t="str">
        <f aca="false">IF(E235="","",A235&amp;"_2.jpg; "&amp;A235&amp;"_3.jpg")</f>
        <v/>
      </c>
      <c r="K235" s="84" t="str">
        <f aca="false">IF(E235="","",A235&amp;"_schema.jpg")</f>
        <v/>
      </c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 t="s">
        <v>96</v>
      </c>
      <c r="W235" s="81"/>
      <c r="X235" s="81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6" t="str">
        <f aca="false">IF(SUM(Y235:AJ235)=0,"",SUM(Y235:AJ235))</f>
        <v/>
      </c>
      <c r="AL235" s="84" t="str">
        <f aca="false">MID(IF(N(Y235)&gt;0,", "&amp;Y$2,"")&amp;IF(N(Z235)&gt;0,", "&amp;Z$2,"")&amp;IF(N(AA235)&gt;0,", "&amp;AA$2,"")&amp;IF(N(AB235)&gt;0,", "&amp;AB$2,"")&amp;IF(N(AC235)&gt;0,", "&amp;AC$2,"")&amp;IF(N(AD235)&gt;0,", "&amp;AD$2,"")&amp;IF(N(AE235)&gt;0,", "&amp;AE$2,"")&amp;IF(N(AF235)&gt;0,", "&amp;AF$2,"")&amp;IF(N(AG235)&gt;0,", "&amp;AG$2,"")&amp;IF(N(AH235)&gt;0,", "&amp;AH$2,"")&amp;IF(N(AI235)&gt;0,", "&amp;AI$2,"")&amp;IF(N(AJ235)&gt;0,", "&amp;AJ$2,""),3,999)</f>
        <v/>
      </c>
      <c r="AM235" s="87" t="str">
        <f aca="false">IF(E235="","",MID(IF(N(Y235)&gt;0,", "&amp;A235&amp;"-"&amp;Y$2,"")&amp;IF(N(Z235)&gt;0,", "&amp;A235&amp;"-"&amp;Z$2,"")&amp;IF(N(AA235)&gt;0,", "&amp;A235&amp;"-"&amp;AA$2,"")&amp;IF(N(AB235)&gt;0,", "&amp;A235&amp;"-"&amp;AB$2,"")&amp;IF(N(AC235)&gt;0,", "&amp;A235&amp;"-"&amp;AC$2,"")&amp;IF(N(AD235)&gt;0,", "&amp;A235&amp;"-"&amp;AD$2,"")&amp;IF(N(AE235)&gt;0,", "&amp;A235&amp;"-"&amp;AE$2,"")&amp;IF(N(AF235)&gt;0,", "&amp;A235&amp;"-"&amp;AF$2,"")&amp;IF(N(AG235)&gt;0,", "&amp;A235&amp;"-"&amp;AG$2,"")&amp;IF(N(AH235)&gt;0,", "&amp;A235&amp;"-"&amp;AH$2,"")&amp;IF(N(AI235)&gt;0,", "&amp;A235&amp;"-"&amp;AI$2,"")&amp;IF(N(AJ235)&gt;0,", "&amp;A235&amp;"-"&amp;AJ$2,""),3,999))</f>
        <v/>
      </c>
      <c r="AN235" s="81"/>
      <c r="AO235" s="88"/>
      <c r="AP235" s="89" t="str">
        <f aca="false">IF(AO235="","",ROUND(AO235/(1+Справочники!$B$13),2))</f>
        <v/>
      </c>
      <c r="AQ235" s="90" t="str">
        <f aca="false" t="array" ref="AQ235:AQ235">IF(AP235="","",AP235*INDEX(Справочники!$B$4:$B$7,MATCH("RUB",Справочники!$A$4:$A$7,0)))</f>
        <v/>
      </c>
      <c r="AR235" s="90" t="str">
        <f aca="false">IF(AQ235="","",ROUND(AQ235*(1+Справочники!$B$12),0))</f>
        <v/>
      </c>
      <c r="AS235" s="90" t="str">
        <f aca="false">IF(AR235="","",ROUND(AR235*(1-Справочники!$B$11),0))</f>
        <v/>
      </c>
      <c r="AT235" s="88"/>
      <c r="AU235" s="90" t="str">
        <f aca="false">IF(AT235="","",ROUND(AT235/(1+Справочники!$B$12),0))</f>
        <v/>
      </c>
      <c r="AV235" s="90" t="str">
        <f aca="false">IF(AT235="","",ROUND(AT235*(1-Справочники!$B$15),0))</f>
        <v/>
      </c>
      <c r="AW235" s="90" t="str">
        <f aca="false">IF(AT235="","",ROUND(AT235*(1-Справочники!$B$16),0))</f>
        <v/>
      </c>
      <c r="AX235" s="90" t="str">
        <f aca="false">IF(AT235="","",ROUND(AT235*(1-Справочники!$B$17),0))</f>
        <v/>
      </c>
      <c r="AY235" s="90" t="str">
        <f aca="false">IF(AT235="","",ROUND(AT235*(1-Справочники!$B$18),0))</f>
        <v/>
      </c>
      <c r="AZ235" s="90" t="str">
        <f aca="false">IF(AT235="","",ROUND(AT235*(1-Справочники!$B$19),0))</f>
        <v/>
      </c>
      <c r="BA235" s="81"/>
      <c r="BB235" s="81"/>
      <c r="BC235" s="81"/>
      <c r="BD235" s="81"/>
      <c r="BE235" s="91"/>
      <c r="BF235" s="81" t="s">
        <v>103</v>
      </c>
      <c r="BG235" s="89" t="n">
        <f aca="false" t="array" ref="BG235:BG235">IF(BF235="","",IFERROR(INDEX(Справочники!$B$4:$B$7,MATCH(BF235,Справочники!$A$4:$A$7,0)),""))</f>
        <v>68.5</v>
      </c>
      <c r="BH235" s="90" t="str">
        <f aca="false">IF(N(BN235)&gt;0,ROUND(SUMIF(ЗАКАЗЫ!$F$3:$F$500,$A235,ЗАКАЗЫ!$Y$3:$Y$500)/BN235,0),IF(OR(BE235="",BG235=""),"",ROUND(BE235*BG235*(1+Справочники!$B$10),0)))</f>
        <v/>
      </c>
      <c r="BI235" s="92" t="str">
        <f aca="false">IF(OR(AU235="",BH235="",AU235=0),"",(AU235-BH235)/AU235)</f>
        <v/>
      </c>
      <c r="BJ235" s="81"/>
      <c r="BK235" s="83"/>
      <c r="BL235" s="43" t="str">
        <f aca="false">IFERROR(INDEX(ЗАКАЗЫ!$N$3:$N$500,MATCH($A235,ЗАКАЗЫ!$F$3:$F$500,0)),"")</f>
        <v/>
      </c>
      <c r="BM235" s="8" t="str">
        <f aca="false">IF(BL235="","",IFERROR(VLOOKUP(BL235,'ТН ВЭД'!$A$4:$C$40,3,0),""))</f>
        <v/>
      </c>
      <c r="BN235" s="7" t="str">
        <f aca="false">IF(COUNTIF(ЗАКАЗЫ!$F$3:$F$500,$A235)=0,"",SUMIF(ЗАКАЗЫ!$F$3:$F$500,$A235,ЗАКАЗЫ!$J$3:$J$500))</f>
        <v/>
      </c>
      <c r="BO235" s="7" t="str">
        <f aca="false">IF(BN235="","",SUMIF(ЗАКАЗЫ!$F$3:$F$500,$A235,ЗАКАЗЫ!$AL$3:$AL$500))</f>
        <v/>
      </c>
      <c r="BP235" s="7" t="str">
        <f aca="false">IF(BN235="","",BN235-BO235)</f>
        <v/>
      </c>
      <c r="BQ235" s="55" t="str">
        <f aca="false">IF(BN235="","",IF(BO235&gt;=BN235,"На складе",IF(BO235&gt;0,"Частично","Ждём")))</f>
        <v/>
      </c>
      <c r="BR235" s="43"/>
      <c r="BS235" s="47" t="str">
        <f aca="false">IF(BN235="","",IF(_xlfn.MAXIFS(ЗАКАЗЫ!$AK$3:$AK$500,ЗАКАЗЫ!$F$3:$F$500,$A235)=0,"",_xlfn.MAXIFS(ЗАКАЗЫ!$AK$3:$AK$500,ЗАКАЗЫ!$F$3:$F$500,$A235)))</f>
        <v/>
      </c>
    </row>
    <row r="236" customFormat="false" ht="15.75" hidden="false" customHeight="true" outlineLevel="0" collapsed="false">
      <c r="A236" s="80" t="s">
        <v>2103</v>
      </c>
      <c r="B236" s="81"/>
      <c r="C236" s="81"/>
      <c r="D236" s="81"/>
      <c r="E236" s="83"/>
      <c r="F236" s="81"/>
      <c r="G236" s="83"/>
      <c r="H236" s="83"/>
      <c r="I236" s="84" t="str">
        <f aca="false">IF(E236="","",A236&amp;"_1.jpg")</f>
        <v/>
      </c>
      <c r="J236" s="84" t="str">
        <f aca="false">IF(E236="","",A236&amp;"_2.jpg; "&amp;A236&amp;"_3.jpg")</f>
        <v/>
      </c>
      <c r="K236" s="84" t="str">
        <f aca="false">IF(E236="","",A236&amp;"_schema.jpg")</f>
        <v/>
      </c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 t="s">
        <v>96</v>
      </c>
      <c r="W236" s="81"/>
      <c r="X236" s="81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6" t="str">
        <f aca="false">IF(SUM(Y236:AJ236)=0,"",SUM(Y236:AJ236))</f>
        <v/>
      </c>
      <c r="AL236" s="84" t="str">
        <f aca="false">MID(IF(N(Y236)&gt;0,", "&amp;Y$2,"")&amp;IF(N(Z236)&gt;0,", "&amp;Z$2,"")&amp;IF(N(AA236)&gt;0,", "&amp;AA$2,"")&amp;IF(N(AB236)&gt;0,", "&amp;AB$2,"")&amp;IF(N(AC236)&gt;0,", "&amp;AC$2,"")&amp;IF(N(AD236)&gt;0,", "&amp;AD$2,"")&amp;IF(N(AE236)&gt;0,", "&amp;AE$2,"")&amp;IF(N(AF236)&gt;0,", "&amp;AF$2,"")&amp;IF(N(AG236)&gt;0,", "&amp;AG$2,"")&amp;IF(N(AH236)&gt;0,", "&amp;AH$2,"")&amp;IF(N(AI236)&gt;0,", "&amp;AI$2,"")&amp;IF(N(AJ236)&gt;0,", "&amp;AJ$2,""),3,999)</f>
        <v/>
      </c>
      <c r="AM236" s="87" t="str">
        <f aca="false">IF(E236="","",MID(IF(N(Y236)&gt;0,", "&amp;A236&amp;"-"&amp;Y$2,"")&amp;IF(N(Z236)&gt;0,", "&amp;A236&amp;"-"&amp;Z$2,"")&amp;IF(N(AA236)&gt;0,", "&amp;A236&amp;"-"&amp;AA$2,"")&amp;IF(N(AB236)&gt;0,", "&amp;A236&amp;"-"&amp;AB$2,"")&amp;IF(N(AC236)&gt;0,", "&amp;A236&amp;"-"&amp;AC$2,"")&amp;IF(N(AD236)&gt;0,", "&amp;A236&amp;"-"&amp;AD$2,"")&amp;IF(N(AE236)&gt;0,", "&amp;A236&amp;"-"&amp;AE$2,"")&amp;IF(N(AF236)&gt;0,", "&amp;A236&amp;"-"&amp;AF$2,"")&amp;IF(N(AG236)&gt;0,", "&amp;A236&amp;"-"&amp;AG$2,"")&amp;IF(N(AH236)&gt;0,", "&amp;A236&amp;"-"&amp;AH$2,"")&amp;IF(N(AI236)&gt;0,", "&amp;A236&amp;"-"&amp;AI$2,"")&amp;IF(N(AJ236)&gt;0,", "&amp;A236&amp;"-"&amp;AJ$2,""),3,999))</f>
        <v/>
      </c>
      <c r="AN236" s="81"/>
      <c r="AO236" s="88"/>
      <c r="AP236" s="89" t="str">
        <f aca="false">IF(AO236="","",ROUND(AO236/(1+Справочники!$B$13),2))</f>
        <v/>
      </c>
      <c r="AQ236" s="90" t="str">
        <f aca="false" t="array" ref="AQ236:AQ236">IF(AP236="","",AP236*INDEX(Справочники!$B$4:$B$7,MATCH("RUB",Справочники!$A$4:$A$7,0)))</f>
        <v/>
      </c>
      <c r="AR236" s="90" t="str">
        <f aca="false">IF(AQ236="","",ROUND(AQ236*(1+Справочники!$B$12),0))</f>
        <v/>
      </c>
      <c r="AS236" s="90" t="str">
        <f aca="false">IF(AR236="","",ROUND(AR236*(1-Справочники!$B$11),0))</f>
        <v/>
      </c>
      <c r="AT236" s="88"/>
      <c r="AU236" s="90" t="str">
        <f aca="false">IF(AT236="","",ROUND(AT236/(1+Справочники!$B$12),0))</f>
        <v/>
      </c>
      <c r="AV236" s="90" t="str">
        <f aca="false">IF(AT236="","",ROUND(AT236*(1-Справочники!$B$15),0))</f>
        <v/>
      </c>
      <c r="AW236" s="90" t="str">
        <f aca="false">IF(AT236="","",ROUND(AT236*(1-Справочники!$B$16),0))</f>
        <v/>
      </c>
      <c r="AX236" s="90" t="str">
        <f aca="false">IF(AT236="","",ROUND(AT236*(1-Справочники!$B$17),0))</f>
        <v/>
      </c>
      <c r="AY236" s="90" t="str">
        <f aca="false">IF(AT236="","",ROUND(AT236*(1-Справочники!$B$18),0))</f>
        <v/>
      </c>
      <c r="AZ236" s="90" t="str">
        <f aca="false">IF(AT236="","",ROUND(AT236*(1-Справочники!$B$19),0))</f>
        <v/>
      </c>
      <c r="BA236" s="81"/>
      <c r="BB236" s="81"/>
      <c r="BC236" s="81"/>
      <c r="BD236" s="81"/>
      <c r="BE236" s="91"/>
      <c r="BF236" s="81" t="s">
        <v>103</v>
      </c>
      <c r="BG236" s="89" t="n">
        <f aca="false" t="array" ref="BG236:BG236">IF(BF236="","",IFERROR(INDEX(Справочники!$B$4:$B$7,MATCH(BF236,Справочники!$A$4:$A$7,0)),""))</f>
        <v>68.5</v>
      </c>
      <c r="BH236" s="90" t="str">
        <f aca="false">IF(N(BN236)&gt;0,ROUND(SUMIF(ЗАКАЗЫ!$F$3:$F$500,$A236,ЗАКАЗЫ!$Y$3:$Y$500)/BN236,0),IF(OR(BE236="",BG236=""),"",ROUND(BE236*BG236*(1+Справочники!$B$10),0)))</f>
        <v/>
      </c>
      <c r="BI236" s="92" t="str">
        <f aca="false">IF(OR(AU236="",BH236="",AU236=0),"",(AU236-BH236)/AU236)</f>
        <v/>
      </c>
      <c r="BJ236" s="81"/>
      <c r="BK236" s="83"/>
      <c r="BL236" s="43" t="str">
        <f aca="false">IFERROR(INDEX(ЗАКАЗЫ!$N$3:$N$500,MATCH($A236,ЗАКАЗЫ!$F$3:$F$500,0)),"")</f>
        <v/>
      </c>
      <c r="BM236" s="8" t="str">
        <f aca="false">IF(BL236="","",IFERROR(VLOOKUP(BL236,'ТН ВЭД'!$A$4:$C$40,3,0),""))</f>
        <v/>
      </c>
      <c r="BN236" s="7" t="str">
        <f aca="false">IF(COUNTIF(ЗАКАЗЫ!$F$3:$F$500,$A236)=0,"",SUMIF(ЗАКАЗЫ!$F$3:$F$500,$A236,ЗАКАЗЫ!$J$3:$J$500))</f>
        <v/>
      </c>
      <c r="BO236" s="7" t="str">
        <f aca="false">IF(BN236="","",SUMIF(ЗАКАЗЫ!$F$3:$F$500,$A236,ЗАКАЗЫ!$AL$3:$AL$500))</f>
        <v/>
      </c>
      <c r="BP236" s="7" t="str">
        <f aca="false">IF(BN236="","",BN236-BO236)</f>
        <v/>
      </c>
      <c r="BQ236" s="55" t="str">
        <f aca="false">IF(BN236="","",IF(BO236&gt;=BN236,"На складе",IF(BO236&gt;0,"Частично","Ждём")))</f>
        <v/>
      </c>
      <c r="BR236" s="43"/>
      <c r="BS236" s="47" t="str">
        <f aca="false">IF(BN236="","",IF(_xlfn.MAXIFS(ЗАКАЗЫ!$AK$3:$AK$500,ЗАКАЗЫ!$F$3:$F$500,$A236)=0,"",_xlfn.MAXIFS(ЗАКАЗЫ!$AK$3:$AK$500,ЗАКАЗЫ!$F$3:$F$500,$A236)))</f>
        <v/>
      </c>
    </row>
    <row r="237" customFormat="false" ht="15.75" hidden="false" customHeight="true" outlineLevel="0" collapsed="false">
      <c r="A237" s="80" t="s">
        <v>2104</v>
      </c>
      <c r="B237" s="81"/>
      <c r="C237" s="81"/>
      <c r="D237" s="81"/>
      <c r="E237" s="83"/>
      <c r="F237" s="81"/>
      <c r="G237" s="83"/>
      <c r="H237" s="83"/>
      <c r="I237" s="84" t="str">
        <f aca="false">IF(E237="","",A237&amp;"_1.jpg")</f>
        <v/>
      </c>
      <c r="J237" s="84" t="str">
        <f aca="false">IF(E237="","",A237&amp;"_2.jpg; "&amp;A237&amp;"_3.jpg")</f>
        <v/>
      </c>
      <c r="K237" s="84" t="str">
        <f aca="false">IF(E237="","",A237&amp;"_schema.jpg")</f>
        <v/>
      </c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 t="s">
        <v>96</v>
      </c>
      <c r="W237" s="81"/>
      <c r="X237" s="81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6" t="str">
        <f aca="false">IF(SUM(Y237:AJ237)=0,"",SUM(Y237:AJ237))</f>
        <v/>
      </c>
      <c r="AL237" s="84" t="str">
        <f aca="false">MID(IF(N(Y237)&gt;0,", "&amp;Y$2,"")&amp;IF(N(Z237)&gt;0,", "&amp;Z$2,"")&amp;IF(N(AA237)&gt;0,", "&amp;AA$2,"")&amp;IF(N(AB237)&gt;0,", "&amp;AB$2,"")&amp;IF(N(AC237)&gt;0,", "&amp;AC$2,"")&amp;IF(N(AD237)&gt;0,", "&amp;AD$2,"")&amp;IF(N(AE237)&gt;0,", "&amp;AE$2,"")&amp;IF(N(AF237)&gt;0,", "&amp;AF$2,"")&amp;IF(N(AG237)&gt;0,", "&amp;AG$2,"")&amp;IF(N(AH237)&gt;0,", "&amp;AH$2,"")&amp;IF(N(AI237)&gt;0,", "&amp;AI$2,"")&amp;IF(N(AJ237)&gt;0,", "&amp;AJ$2,""),3,999)</f>
        <v/>
      </c>
      <c r="AM237" s="87" t="str">
        <f aca="false">IF(E237="","",MID(IF(N(Y237)&gt;0,", "&amp;A237&amp;"-"&amp;Y$2,"")&amp;IF(N(Z237)&gt;0,", "&amp;A237&amp;"-"&amp;Z$2,"")&amp;IF(N(AA237)&gt;0,", "&amp;A237&amp;"-"&amp;AA$2,"")&amp;IF(N(AB237)&gt;0,", "&amp;A237&amp;"-"&amp;AB$2,"")&amp;IF(N(AC237)&gt;0,", "&amp;A237&amp;"-"&amp;AC$2,"")&amp;IF(N(AD237)&gt;0,", "&amp;A237&amp;"-"&amp;AD$2,"")&amp;IF(N(AE237)&gt;0,", "&amp;A237&amp;"-"&amp;AE$2,"")&amp;IF(N(AF237)&gt;0,", "&amp;A237&amp;"-"&amp;AF$2,"")&amp;IF(N(AG237)&gt;0,", "&amp;A237&amp;"-"&amp;AG$2,"")&amp;IF(N(AH237)&gt;0,", "&amp;A237&amp;"-"&amp;AH$2,"")&amp;IF(N(AI237)&gt;0,", "&amp;A237&amp;"-"&amp;AI$2,"")&amp;IF(N(AJ237)&gt;0,", "&amp;A237&amp;"-"&amp;AJ$2,""),3,999))</f>
        <v/>
      </c>
      <c r="AN237" s="81"/>
      <c r="AO237" s="88"/>
      <c r="AP237" s="89" t="str">
        <f aca="false">IF(AO237="","",ROUND(AO237/(1+Справочники!$B$13),2))</f>
        <v/>
      </c>
      <c r="AQ237" s="90" t="str">
        <f aca="false" t="array" ref="AQ237:AQ237">IF(AP237="","",AP237*INDEX(Справочники!$B$4:$B$7,MATCH("RUB",Справочники!$A$4:$A$7,0)))</f>
        <v/>
      </c>
      <c r="AR237" s="90" t="str">
        <f aca="false">IF(AQ237="","",ROUND(AQ237*(1+Справочники!$B$12),0))</f>
        <v/>
      </c>
      <c r="AS237" s="90" t="str">
        <f aca="false">IF(AR237="","",ROUND(AR237*(1-Справочники!$B$11),0))</f>
        <v/>
      </c>
      <c r="AT237" s="88"/>
      <c r="AU237" s="90" t="str">
        <f aca="false">IF(AT237="","",ROUND(AT237/(1+Справочники!$B$12),0))</f>
        <v/>
      </c>
      <c r="AV237" s="90" t="str">
        <f aca="false">IF(AT237="","",ROUND(AT237*(1-Справочники!$B$15),0))</f>
        <v/>
      </c>
      <c r="AW237" s="90" t="str">
        <f aca="false">IF(AT237="","",ROUND(AT237*(1-Справочники!$B$16),0))</f>
        <v/>
      </c>
      <c r="AX237" s="90" t="str">
        <f aca="false">IF(AT237="","",ROUND(AT237*(1-Справочники!$B$17),0))</f>
        <v/>
      </c>
      <c r="AY237" s="90" t="str">
        <f aca="false">IF(AT237="","",ROUND(AT237*(1-Справочники!$B$18),0))</f>
        <v/>
      </c>
      <c r="AZ237" s="90" t="str">
        <f aca="false">IF(AT237="","",ROUND(AT237*(1-Справочники!$B$19),0))</f>
        <v/>
      </c>
      <c r="BA237" s="81"/>
      <c r="BB237" s="81"/>
      <c r="BC237" s="81"/>
      <c r="BD237" s="81"/>
      <c r="BE237" s="91"/>
      <c r="BF237" s="81" t="s">
        <v>103</v>
      </c>
      <c r="BG237" s="89" t="n">
        <f aca="false" t="array" ref="BG237:BG237">IF(BF237="","",IFERROR(INDEX(Справочники!$B$4:$B$7,MATCH(BF237,Справочники!$A$4:$A$7,0)),""))</f>
        <v>68.5</v>
      </c>
      <c r="BH237" s="90" t="str">
        <f aca="false">IF(N(BN237)&gt;0,ROUND(SUMIF(ЗАКАЗЫ!$F$3:$F$500,$A237,ЗАКАЗЫ!$Y$3:$Y$500)/BN237,0),IF(OR(BE237="",BG237=""),"",ROUND(BE237*BG237*(1+Справочники!$B$10),0)))</f>
        <v/>
      </c>
      <c r="BI237" s="92" t="str">
        <f aca="false">IF(OR(AU237="",BH237="",AU237=0),"",(AU237-BH237)/AU237)</f>
        <v/>
      </c>
      <c r="BJ237" s="81"/>
      <c r="BK237" s="83"/>
      <c r="BL237" s="43" t="str">
        <f aca="false">IFERROR(INDEX(ЗАКАЗЫ!$N$3:$N$500,MATCH($A237,ЗАКАЗЫ!$F$3:$F$500,0)),"")</f>
        <v/>
      </c>
      <c r="BM237" s="8" t="str">
        <f aca="false">IF(BL237="","",IFERROR(VLOOKUP(BL237,'ТН ВЭД'!$A$4:$C$40,3,0),""))</f>
        <v/>
      </c>
      <c r="BN237" s="7" t="str">
        <f aca="false">IF(COUNTIF(ЗАКАЗЫ!$F$3:$F$500,$A237)=0,"",SUMIF(ЗАКАЗЫ!$F$3:$F$500,$A237,ЗАКАЗЫ!$J$3:$J$500))</f>
        <v/>
      </c>
      <c r="BO237" s="7" t="str">
        <f aca="false">IF(BN237="","",SUMIF(ЗАКАЗЫ!$F$3:$F$500,$A237,ЗАКАЗЫ!$AL$3:$AL$500))</f>
        <v/>
      </c>
      <c r="BP237" s="7" t="str">
        <f aca="false">IF(BN237="","",BN237-BO237)</f>
        <v/>
      </c>
      <c r="BQ237" s="55" t="str">
        <f aca="false">IF(BN237="","",IF(BO237&gt;=BN237,"На складе",IF(BO237&gt;0,"Частично","Ждём")))</f>
        <v/>
      </c>
      <c r="BR237" s="43"/>
      <c r="BS237" s="47" t="str">
        <f aca="false">IF(BN237="","",IF(_xlfn.MAXIFS(ЗАКАЗЫ!$AK$3:$AK$500,ЗАКАЗЫ!$F$3:$F$500,$A237)=0,"",_xlfn.MAXIFS(ЗАКАЗЫ!$AK$3:$AK$500,ЗАКАЗЫ!$F$3:$F$500,$A237)))</f>
        <v/>
      </c>
    </row>
    <row r="238" customFormat="false" ht="15.75" hidden="false" customHeight="true" outlineLevel="0" collapsed="false">
      <c r="A238" s="80" t="s">
        <v>2105</v>
      </c>
      <c r="B238" s="81"/>
      <c r="C238" s="81"/>
      <c r="D238" s="81"/>
      <c r="E238" s="83"/>
      <c r="F238" s="81"/>
      <c r="G238" s="83"/>
      <c r="H238" s="83"/>
      <c r="I238" s="84" t="str">
        <f aca="false">IF(E238="","",A238&amp;"_1.jpg")</f>
        <v/>
      </c>
      <c r="J238" s="84" t="str">
        <f aca="false">IF(E238="","",A238&amp;"_2.jpg; "&amp;A238&amp;"_3.jpg")</f>
        <v/>
      </c>
      <c r="K238" s="84" t="str">
        <f aca="false">IF(E238="","",A238&amp;"_schema.jpg")</f>
        <v/>
      </c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 t="s">
        <v>96</v>
      </c>
      <c r="W238" s="81"/>
      <c r="X238" s="81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6" t="str">
        <f aca="false">IF(SUM(Y238:AJ238)=0,"",SUM(Y238:AJ238))</f>
        <v/>
      </c>
      <c r="AL238" s="84" t="str">
        <f aca="false">MID(IF(N(Y238)&gt;0,", "&amp;Y$2,"")&amp;IF(N(Z238)&gt;0,", "&amp;Z$2,"")&amp;IF(N(AA238)&gt;0,", "&amp;AA$2,"")&amp;IF(N(AB238)&gt;0,", "&amp;AB$2,"")&amp;IF(N(AC238)&gt;0,", "&amp;AC$2,"")&amp;IF(N(AD238)&gt;0,", "&amp;AD$2,"")&amp;IF(N(AE238)&gt;0,", "&amp;AE$2,"")&amp;IF(N(AF238)&gt;0,", "&amp;AF$2,"")&amp;IF(N(AG238)&gt;0,", "&amp;AG$2,"")&amp;IF(N(AH238)&gt;0,", "&amp;AH$2,"")&amp;IF(N(AI238)&gt;0,", "&amp;AI$2,"")&amp;IF(N(AJ238)&gt;0,", "&amp;AJ$2,""),3,999)</f>
        <v/>
      </c>
      <c r="AM238" s="87" t="str">
        <f aca="false">IF(E238="","",MID(IF(N(Y238)&gt;0,", "&amp;A238&amp;"-"&amp;Y$2,"")&amp;IF(N(Z238)&gt;0,", "&amp;A238&amp;"-"&amp;Z$2,"")&amp;IF(N(AA238)&gt;0,", "&amp;A238&amp;"-"&amp;AA$2,"")&amp;IF(N(AB238)&gt;0,", "&amp;A238&amp;"-"&amp;AB$2,"")&amp;IF(N(AC238)&gt;0,", "&amp;A238&amp;"-"&amp;AC$2,"")&amp;IF(N(AD238)&gt;0,", "&amp;A238&amp;"-"&amp;AD$2,"")&amp;IF(N(AE238)&gt;0,", "&amp;A238&amp;"-"&amp;AE$2,"")&amp;IF(N(AF238)&gt;0,", "&amp;A238&amp;"-"&amp;AF$2,"")&amp;IF(N(AG238)&gt;0,", "&amp;A238&amp;"-"&amp;AG$2,"")&amp;IF(N(AH238)&gt;0,", "&amp;A238&amp;"-"&amp;AH$2,"")&amp;IF(N(AI238)&gt;0,", "&amp;A238&amp;"-"&amp;AI$2,"")&amp;IF(N(AJ238)&gt;0,", "&amp;A238&amp;"-"&amp;AJ$2,""),3,999))</f>
        <v/>
      </c>
      <c r="AN238" s="81"/>
      <c r="AO238" s="88"/>
      <c r="AP238" s="89" t="str">
        <f aca="false">IF(AO238="","",ROUND(AO238/(1+Справочники!$B$13),2))</f>
        <v/>
      </c>
      <c r="AQ238" s="90" t="str">
        <f aca="false" t="array" ref="AQ238:AQ238">IF(AP238="","",AP238*INDEX(Справочники!$B$4:$B$7,MATCH("RUB",Справочники!$A$4:$A$7,0)))</f>
        <v/>
      </c>
      <c r="AR238" s="90" t="str">
        <f aca="false">IF(AQ238="","",ROUND(AQ238*(1+Справочники!$B$12),0))</f>
        <v/>
      </c>
      <c r="AS238" s="90" t="str">
        <f aca="false">IF(AR238="","",ROUND(AR238*(1-Справочники!$B$11),0))</f>
        <v/>
      </c>
      <c r="AT238" s="88"/>
      <c r="AU238" s="90" t="str">
        <f aca="false">IF(AT238="","",ROUND(AT238/(1+Справочники!$B$12),0))</f>
        <v/>
      </c>
      <c r="AV238" s="90" t="str">
        <f aca="false">IF(AT238="","",ROUND(AT238*(1-Справочники!$B$15),0))</f>
        <v/>
      </c>
      <c r="AW238" s="90" t="str">
        <f aca="false">IF(AT238="","",ROUND(AT238*(1-Справочники!$B$16),0))</f>
        <v/>
      </c>
      <c r="AX238" s="90" t="str">
        <f aca="false">IF(AT238="","",ROUND(AT238*(1-Справочники!$B$17),0))</f>
        <v/>
      </c>
      <c r="AY238" s="90" t="str">
        <f aca="false">IF(AT238="","",ROUND(AT238*(1-Справочники!$B$18),0))</f>
        <v/>
      </c>
      <c r="AZ238" s="90" t="str">
        <f aca="false">IF(AT238="","",ROUND(AT238*(1-Справочники!$B$19),0))</f>
        <v/>
      </c>
      <c r="BA238" s="81"/>
      <c r="BB238" s="81"/>
      <c r="BC238" s="81"/>
      <c r="BD238" s="81"/>
      <c r="BE238" s="91"/>
      <c r="BF238" s="81" t="s">
        <v>103</v>
      </c>
      <c r="BG238" s="89" t="n">
        <f aca="false" t="array" ref="BG238:BG238">IF(BF238="","",IFERROR(INDEX(Справочники!$B$4:$B$7,MATCH(BF238,Справочники!$A$4:$A$7,0)),""))</f>
        <v>68.5</v>
      </c>
      <c r="BH238" s="90" t="str">
        <f aca="false">IF(N(BN238)&gt;0,ROUND(SUMIF(ЗАКАЗЫ!$F$3:$F$500,$A238,ЗАКАЗЫ!$Y$3:$Y$500)/BN238,0),IF(OR(BE238="",BG238=""),"",ROUND(BE238*BG238*(1+Справочники!$B$10),0)))</f>
        <v/>
      </c>
      <c r="BI238" s="92" t="str">
        <f aca="false">IF(OR(AU238="",BH238="",AU238=0),"",(AU238-BH238)/AU238)</f>
        <v/>
      </c>
      <c r="BJ238" s="81"/>
      <c r="BK238" s="83"/>
      <c r="BL238" s="43" t="str">
        <f aca="false">IFERROR(INDEX(ЗАКАЗЫ!$N$3:$N$500,MATCH($A238,ЗАКАЗЫ!$F$3:$F$500,0)),"")</f>
        <v/>
      </c>
      <c r="BM238" s="8" t="str">
        <f aca="false">IF(BL238="","",IFERROR(VLOOKUP(BL238,'ТН ВЭД'!$A$4:$C$40,3,0),""))</f>
        <v/>
      </c>
      <c r="BN238" s="7" t="str">
        <f aca="false">IF(COUNTIF(ЗАКАЗЫ!$F$3:$F$500,$A238)=0,"",SUMIF(ЗАКАЗЫ!$F$3:$F$500,$A238,ЗАКАЗЫ!$J$3:$J$500))</f>
        <v/>
      </c>
      <c r="BO238" s="7" t="str">
        <f aca="false">IF(BN238="","",SUMIF(ЗАКАЗЫ!$F$3:$F$500,$A238,ЗАКАЗЫ!$AL$3:$AL$500))</f>
        <v/>
      </c>
      <c r="BP238" s="7" t="str">
        <f aca="false">IF(BN238="","",BN238-BO238)</f>
        <v/>
      </c>
      <c r="BQ238" s="55" t="str">
        <f aca="false">IF(BN238="","",IF(BO238&gt;=BN238,"На складе",IF(BO238&gt;0,"Частично","Ждём")))</f>
        <v/>
      </c>
      <c r="BR238" s="43"/>
      <c r="BS238" s="47" t="str">
        <f aca="false">IF(BN238="","",IF(_xlfn.MAXIFS(ЗАКАЗЫ!$AK$3:$AK$500,ЗАКАЗЫ!$F$3:$F$500,$A238)=0,"",_xlfn.MAXIFS(ЗАКАЗЫ!$AK$3:$AK$500,ЗАКАЗЫ!$F$3:$F$500,$A238)))</f>
        <v/>
      </c>
    </row>
    <row r="239" customFormat="false" ht="15.75" hidden="false" customHeight="true" outlineLevel="0" collapsed="false">
      <c r="A239" s="80" t="s">
        <v>2106</v>
      </c>
      <c r="B239" s="81"/>
      <c r="C239" s="81"/>
      <c r="D239" s="81"/>
      <c r="E239" s="83"/>
      <c r="F239" s="81"/>
      <c r="G239" s="83"/>
      <c r="H239" s="83"/>
      <c r="I239" s="84" t="str">
        <f aca="false">IF(E239="","",A239&amp;"_1.jpg")</f>
        <v/>
      </c>
      <c r="J239" s="84" t="str">
        <f aca="false">IF(E239="","",A239&amp;"_2.jpg; "&amp;A239&amp;"_3.jpg")</f>
        <v/>
      </c>
      <c r="K239" s="84" t="str">
        <f aca="false">IF(E239="","",A239&amp;"_schema.jpg")</f>
        <v/>
      </c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 t="s">
        <v>96</v>
      </c>
      <c r="W239" s="81"/>
      <c r="X239" s="81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6" t="str">
        <f aca="false">IF(SUM(Y239:AJ239)=0,"",SUM(Y239:AJ239))</f>
        <v/>
      </c>
      <c r="AL239" s="84" t="str">
        <f aca="false">MID(IF(N(Y239)&gt;0,", "&amp;Y$2,"")&amp;IF(N(Z239)&gt;0,", "&amp;Z$2,"")&amp;IF(N(AA239)&gt;0,", "&amp;AA$2,"")&amp;IF(N(AB239)&gt;0,", "&amp;AB$2,"")&amp;IF(N(AC239)&gt;0,", "&amp;AC$2,"")&amp;IF(N(AD239)&gt;0,", "&amp;AD$2,"")&amp;IF(N(AE239)&gt;0,", "&amp;AE$2,"")&amp;IF(N(AF239)&gt;0,", "&amp;AF$2,"")&amp;IF(N(AG239)&gt;0,", "&amp;AG$2,"")&amp;IF(N(AH239)&gt;0,", "&amp;AH$2,"")&amp;IF(N(AI239)&gt;0,", "&amp;AI$2,"")&amp;IF(N(AJ239)&gt;0,", "&amp;AJ$2,""),3,999)</f>
        <v/>
      </c>
      <c r="AM239" s="87" t="str">
        <f aca="false">IF(E239="","",MID(IF(N(Y239)&gt;0,", "&amp;A239&amp;"-"&amp;Y$2,"")&amp;IF(N(Z239)&gt;0,", "&amp;A239&amp;"-"&amp;Z$2,"")&amp;IF(N(AA239)&gt;0,", "&amp;A239&amp;"-"&amp;AA$2,"")&amp;IF(N(AB239)&gt;0,", "&amp;A239&amp;"-"&amp;AB$2,"")&amp;IF(N(AC239)&gt;0,", "&amp;A239&amp;"-"&amp;AC$2,"")&amp;IF(N(AD239)&gt;0,", "&amp;A239&amp;"-"&amp;AD$2,"")&amp;IF(N(AE239)&gt;0,", "&amp;A239&amp;"-"&amp;AE$2,"")&amp;IF(N(AF239)&gt;0,", "&amp;A239&amp;"-"&amp;AF$2,"")&amp;IF(N(AG239)&gt;0,", "&amp;A239&amp;"-"&amp;AG$2,"")&amp;IF(N(AH239)&gt;0,", "&amp;A239&amp;"-"&amp;AH$2,"")&amp;IF(N(AI239)&gt;0,", "&amp;A239&amp;"-"&amp;AI$2,"")&amp;IF(N(AJ239)&gt;0,", "&amp;A239&amp;"-"&amp;AJ$2,""),3,999))</f>
        <v/>
      </c>
      <c r="AN239" s="81"/>
      <c r="AO239" s="88"/>
      <c r="AP239" s="89" t="str">
        <f aca="false">IF(AO239="","",ROUND(AO239/(1+Справочники!$B$13),2))</f>
        <v/>
      </c>
      <c r="AQ239" s="90" t="str">
        <f aca="false" t="array" ref="AQ239:AQ239">IF(AP239="","",AP239*INDEX(Справочники!$B$4:$B$7,MATCH("RUB",Справочники!$A$4:$A$7,0)))</f>
        <v/>
      </c>
      <c r="AR239" s="90" t="str">
        <f aca="false">IF(AQ239="","",ROUND(AQ239*(1+Справочники!$B$12),0))</f>
        <v/>
      </c>
      <c r="AS239" s="90" t="str">
        <f aca="false">IF(AR239="","",ROUND(AR239*(1-Справочники!$B$11),0))</f>
        <v/>
      </c>
      <c r="AT239" s="88"/>
      <c r="AU239" s="90" t="str">
        <f aca="false">IF(AT239="","",ROUND(AT239/(1+Справочники!$B$12),0))</f>
        <v/>
      </c>
      <c r="AV239" s="90" t="str">
        <f aca="false">IF(AT239="","",ROUND(AT239*(1-Справочники!$B$15),0))</f>
        <v/>
      </c>
      <c r="AW239" s="90" t="str">
        <f aca="false">IF(AT239="","",ROUND(AT239*(1-Справочники!$B$16),0))</f>
        <v/>
      </c>
      <c r="AX239" s="90" t="str">
        <f aca="false">IF(AT239="","",ROUND(AT239*(1-Справочники!$B$17),0))</f>
        <v/>
      </c>
      <c r="AY239" s="90" t="str">
        <f aca="false">IF(AT239="","",ROUND(AT239*(1-Справочники!$B$18),0))</f>
        <v/>
      </c>
      <c r="AZ239" s="90" t="str">
        <f aca="false">IF(AT239="","",ROUND(AT239*(1-Справочники!$B$19),0))</f>
        <v/>
      </c>
      <c r="BA239" s="81"/>
      <c r="BB239" s="81"/>
      <c r="BC239" s="81"/>
      <c r="BD239" s="81"/>
      <c r="BE239" s="91"/>
      <c r="BF239" s="81" t="s">
        <v>103</v>
      </c>
      <c r="BG239" s="89" t="n">
        <f aca="false" t="array" ref="BG239:BG239">IF(BF239="","",IFERROR(INDEX(Справочники!$B$4:$B$7,MATCH(BF239,Справочники!$A$4:$A$7,0)),""))</f>
        <v>68.5</v>
      </c>
      <c r="BH239" s="90" t="str">
        <f aca="false">IF(N(BN239)&gt;0,ROUND(SUMIF(ЗАКАЗЫ!$F$3:$F$500,$A239,ЗАКАЗЫ!$Y$3:$Y$500)/BN239,0),IF(OR(BE239="",BG239=""),"",ROUND(BE239*BG239*(1+Справочники!$B$10),0)))</f>
        <v/>
      </c>
      <c r="BI239" s="92" t="str">
        <f aca="false">IF(OR(AU239="",BH239="",AU239=0),"",(AU239-BH239)/AU239)</f>
        <v/>
      </c>
      <c r="BJ239" s="81"/>
      <c r="BK239" s="83"/>
      <c r="BL239" s="43" t="str">
        <f aca="false">IFERROR(INDEX(ЗАКАЗЫ!$N$3:$N$500,MATCH($A239,ЗАКАЗЫ!$F$3:$F$500,0)),"")</f>
        <v/>
      </c>
      <c r="BM239" s="8" t="str">
        <f aca="false">IF(BL239="","",IFERROR(VLOOKUP(BL239,'ТН ВЭД'!$A$4:$C$40,3,0),""))</f>
        <v/>
      </c>
      <c r="BN239" s="7" t="str">
        <f aca="false">IF(COUNTIF(ЗАКАЗЫ!$F$3:$F$500,$A239)=0,"",SUMIF(ЗАКАЗЫ!$F$3:$F$500,$A239,ЗАКАЗЫ!$J$3:$J$500))</f>
        <v/>
      </c>
      <c r="BO239" s="7" t="str">
        <f aca="false">IF(BN239="","",SUMIF(ЗАКАЗЫ!$F$3:$F$500,$A239,ЗАКАЗЫ!$AL$3:$AL$500))</f>
        <v/>
      </c>
      <c r="BP239" s="7" t="str">
        <f aca="false">IF(BN239="","",BN239-BO239)</f>
        <v/>
      </c>
      <c r="BQ239" s="55" t="str">
        <f aca="false">IF(BN239="","",IF(BO239&gt;=BN239,"На складе",IF(BO239&gt;0,"Частично","Ждём")))</f>
        <v/>
      </c>
      <c r="BR239" s="43"/>
      <c r="BS239" s="47" t="str">
        <f aca="false">IF(BN239="","",IF(_xlfn.MAXIFS(ЗАКАЗЫ!$AK$3:$AK$500,ЗАКАЗЫ!$F$3:$F$500,$A239)=0,"",_xlfn.MAXIFS(ЗАКАЗЫ!$AK$3:$AK$500,ЗАКАЗЫ!$F$3:$F$500,$A239)))</f>
        <v/>
      </c>
    </row>
    <row r="240" customFormat="false" ht="15.75" hidden="false" customHeight="true" outlineLevel="0" collapsed="false">
      <c r="A240" s="80" t="s">
        <v>2107</v>
      </c>
      <c r="B240" s="81"/>
      <c r="C240" s="81"/>
      <c r="D240" s="81"/>
      <c r="E240" s="83"/>
      <c r="F240" s="81"/>
      <c r="G240" s="83"/>
      <c r="H240" s="83"/>
      <c r="I240" s="84" t="str">
        <f aca="false">IF(E240="","",A240&amp;"_1.jpg")</f>
        <v/>
      </c>
      <c r="J240" s="84" t="str">
        <f aca="false">IF(E240="","",A240&amp;"_2.jpg; "&amp;A240&amp;"_3.jpg")</f>
        <v/>
      </c>
      <c r="K240" s="84" t="str">
        <f aca="false">IF(E240="","",A240&amp;"_schema.jpg")</f>
        <v/>
      </c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 t="s">
        <v>96</v>
      </c>
      <c r="W240" s="81"/>
      <c r="X240" s="81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6" t="str">
        <f aca="false">IF(SUM(Y240:AJ240)=0,"",SUM(Y240:AJ240))</f>
        <v/>
      </c>
      <c r="AL240" s="84" t="str">
        <f aca="false">MID(IF(N(Y240)&gt;0,", "&amp;Y$2,"")&amp;IF(N(Z240)&gt;0,", "&amp;Z$2,"")&amp;IF(N(AA240)&gt;0,", "&amp;AA$2,"")&amp;IF(N(AB240)&gt;0,", "&amp;AB$2,"")&amp;IF(N(AC240)&gt;0,", "&amp;AC$2,"")&amp;IF(N(AD240)&gt;0,", "&amp;AD$2,"")&amp;IF(N(AE240)&gt;0,", "&amp;AE$2,"")&amp;IF(N(AF240)&gt;0,", "&amp;AF$2,"")&amp;IF(N(AG240)&gt;0,", "&amp;AG$2,"")&amp;IF(N(AH240)&gt;0,", "&amp;AH$2,"")&amp;IF(N(AI240)&gt;0,", "&amp;AI$2,"")&amp;IF(N(AJ240)&gt;0,", "&amp;AJ$2,""),3,999)</f>
        <v/>
      </c>
      <c r="AM240" s="87" t="str">
        <f aca="false">IF(E240="","",MID(IF(N(Y240)&gt;0,", "&amp;A240&amp;"-"&amp;Y$2,"")&amp;IF(N(Z240)&gt;0,", "&amp;A240&amp;"-"&amp;Z$2,"")&amp;IF(N(AA240)&gt;0,", "&amp;A240&amp;"-"&amp;AA$2,"")&amp;IF(N(AB240)&gt;0,", "&amp;A240&amp;"-"&amp;AB$2,"")&amp;IF(N(AC240)&gt;0,", "&amp;A240&amp;"-"&amp;AC$2,"")&amp;IF(N(AD240)&gt;0,", "&amp;A240&amp;"-"&amp;AD$2,"")&amp;IF(N(AE240)&gt;0,", "&amp;A240&amp;"-"&amp;AE$2,"")&amp;IF(N(AF240)&gt;0,", "&amp;A240&amp;"-"&amp;AF$2,"")&amp;IF(N(AG240)&gt;0,", "&amp;A240&amp;"-"&amp;AG$2,"")&amp;IF(N(AH240)&gt;0,", "&amp;A240&amp;"-"&amp;AH$2,"")&amp;IF(N(AI240)&gt;0,", "&amp;A240&amp;"-"&amp;AI$2,"")&amp;IF(N(AJ240)&gt;0,", "&amp;A240&amp;"-"&amp;AJ$2,""),3,999))</f>
        <v/>
      </c>
      <c r="AN240" s="81"/>
      <c r="AO240" s="88"/>
      <c r="AP240" s="89" t="str">
        <f aca="false">IF(AO240="","",ROUND(AO240/(1+Справочники!$B$13),2))</f>
        <v/>
      </c>
      <c r="AQ240" s="90" t="str">
        <f aca="false" t="array" ref="AQ240:AQ240">IF(AP240="","",AP240*INDEX(Справочники!$B$4:$B$7,MATCH("RUB",Справочники!$A$4:$A$7,0)))</f>
        <v/>
      </c>
      <c r="AR240" s="90" t="str">
        <f aca="false">IF(AQ240="","",ROUND(AQ240*(1+Справочники!$B$12),0))</f>
        <v/>
      </c>
      <c r="AS240" s="90" t="str">
        <f aca="false">IF(AR240="","",ROUND(AR240*(1-Справочники!$B$11),0))</f>
        <v/>
      </c>
      <c r="AT240" s="88"/>
      <c r="AU240" s="90" t="str">
        <f aca="false">IF(AT240="","",ROUND(AT240/(1+Справочники!$B$12),0))</f>
        <v/>
      </c>
      <c r="AV240" s="90" t="str">
        <f aca="false">IF(AT240="","",ROUND(AT240*(1-Справочники!$B$15),0))</f>
        <v/>
      </c>
      <c r="AW240" s="90" t="str">
        <f aca="false">IF(AT240="","",ROUND(AT240*(1-Справочники!$B$16),0))</f>
        <v/>
      </c>
      <c r="AX240" s="90" t="str">
        <f aca="false">IF(AT240="","",ROUND(AT240*(1-Справочники!$B$17),0))</f>
        <v/>
      </c>
      <c r="AY240" s="90" t="str">
        <f aca="false">IF(AT240="","",ROUND(AT240*(1-Справочники!$B$18),0))</f>
        <v/>
      </c>
      <c r="AZ240" s="90" t="str">
        <f aca="false">IF(AT240="","",ROUND(AT240*(1-Справочники!$B$19),0))</f>
        <v/>
      </c>
      <c r="BA240" s="81"/>
      <c r="BB240" s="81"/>
      <c r="BC240" s="81"/>
      <c r="BD240" s="81"/>
      <c r="BE240" s="91"/>
      <c r="BF240" s="81" t="s">
        <v>103</v>
      </c>
      <c r="BG240" s="89" t="n">
        <f aca="false" t="array" ref="BG240:BG240">IF(BF240="","",IFERROR(INDEX(Справочники!$B$4:$B$7,MATCH(BF240,Справочники!$A$4:$A$7,0)),""))</f>
        <v>68.5</v>
      </c>
      <c r="BH240" s="90" t="str">
        <f aca="false">IF(N(BN240)&gt;0,ROUND(SUMIF(ЗАКАЗЫ!$F$3:$F$500,$A240,ЗАКАЗЫ!$Y$3:$Y$500)/BN240,0),IF(OR(BE240="",BG240=""),"",ROUND(BE240*BG240*(1+Справочники!$B$10),0)))</f>
        <v/>
      </c>
      <c r="BI240" s="92" t="str">
        <f aca="false">IF(OR(AU240="",BH240="",AU240=0),"",(AU240-BH240)/AU240)</f>
        <v/>
      </c>
      <c r="BJ240" s="81"/>
      <c r="BK240" s="83"/>
      <c r="BL240" s="43" t="str">
        <f aca="false">IFERROR(INDEX(ЗАКАЗЫ!$N$3:$N$500,MATCH($A240,ЗАКАЗЫ!$F$3:$F$500,0)),"")</f>
        <v/>
      </c>
      <c r="BM240" s="8" t="str">
        <f aca="false">IF(BL240="","",IFERROR(VLOOKUP(BL240,'ТН ВЭД'!$A$4:$C$40,3,0),""))</f>
        <v/>
      </c>
      <c r="BN240" s="7" t="str">
        <f aca="false">IF(COUNTIF(ЗАКАЗЫ!$F$3:$F$500,$A240)=0,"",SUMIF(ЗАКАЗЫ!$F$3:$F$500,$A240,ЗАКАЗЫ!$J$3:$J$500))</f>
        <v/>
      </c>
      <c r="BO240" s="7" t="str">
        <f aca="false">IF(BN240="","",SUMIF(ЗАКАЗЫ!$F$3:$F$500,$A240,ЗАКАЗЫ!$AL$3:$AL$500))</f>
        <v/>
      </c>
      <c r="BP240" s="7" t="str">
        <f aca="false">IF(BN240="","",BN240-BO240)</f>
        <v/>
      </c>
      <c r="BQ240" s="55" t="str">
        <f aca="false">IF(BN240="","",IF(BO240&gt;=BN240,"На складе",IF(BO240&gt;0,"Частично","Ждём")))</f>
        <v/>
      </c>
      <c r="BR240" s="43"/>
      <c r="BS240" s="47" t="str">
        <f aca="false">IF(BN240="","",IF(_xlfn.MAXIFS(ЗАКАЗЫ!$AK$3:$AK$500,ЗАКАЗЫ!$F$3:$F$500,$A240)=0,"",_xlfn.MAXIFS(ЗАКАЗЫ!$AK$3:$AK$500,ЗАКАЗЫ!$F$3:$F$500,$A240)))</f>
        <v/>
      </c>
    </row>
    <row r="241" customFormat="false" ht="15.75" hidden="false" customHeight="true" outlineLevel="0" collapsed="false">
      <c r="A241" s="80" t="s">
        <v>2108</v>
      </c>
      <c r="B241" s="81"/>
      <c r="C241" s="81"/>
      <c r="D241" s="81"/>
      <c r="E241" s="83"/>
      <c r="F241" s="81"/>
      <c r="G241" s="83"/>
      <c r="H241" s="83"/>
      <c r="I241" s="84" t="str">
        <f aca="false">IF(E241="","",A241&amp;"_1.jpg")</f>
        <v/>
      </c>
      <c r="J241" s="84" t="str">
        <f aca="false">IF(E241="","",A241&amp;"_2.jpg; "&amp;A241&amp;"_3.jpg")</f>
        <v/>
      </c>
      <c r="K241" s="84" t="str">
        <f aca="false">IF(E241="","",A241&amp;"_schema.jpg")</f>
        <v/>
      </c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 t="s">
        <v>96</v>
      </c>
      <c r="W241" s="81"/>
      <c r="X241" s="81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6" t="str">
        <f aca="false">IF(SUM(Y241:AJ241)=0,"",SUM(Y241:AJ241))</f>
        <v/>
      </c>
      <c r="AL241" s="84" t="str">
        <f aca="false">MID(IF(N(Y241)&gt;0,", "&amp;Y$2,"")&amp;IF(N(Z241)&gt;0,", "&amp;Z$2,"")&amp;IF(N(AA241)&gt;0,", "&amp;AA$2,"")&amp;IF(N(AB241)&gt;0,", "&amp;AB$2,"")&amp;IF(N(AC241)&gt;0,", "&amp;AC$2,"")&amp;IF(N(AD241)&gt;0,", "&amp;AD$2,"")&amp;IF(N(AE241)&gt;0,", "&amp;AE$2,"")&amp;IF(N(AF241)&gt;0,", "&amp;AF$2,"")&amp;IF(N(AG241)&gt;0,", "&amp;AG$2,"")&amp;IF(N(AH241)&gt;0,", "&amp;AH$2,"")&amp;IF(N(AI241)&gt;0,", "&amp;AI$2,"")&amp;IF(N(AJ241)&gt;0,", "&amp;AJ$2,""),3,999)</f>
        <v/>
      </c>
      <c r="AM241" s="87" t="str">
        <f aca="false">IF(E241="","",MID(IF(N(Y241)&gt;0,", "&amp;A241&amp;"-"&amp;Y$2,"")&amp;IF(N(Z241)&gt;0,", "&amp;A241&amp;"-"&amp;Z$2,"")&amp;IF(N(AA241)&gt;0,", "&amp;A241&amp;"-"&amp;AA$2,"")&amp;IF(N(AB241)&gt;0,", "&amp;A241&amp;"-"&amp;AB$2,"")&amp;IF(N(AC241)&gt;0,", "&amp;A241&amp;"-"&amp;AC$2,"")&amp;IF(N(AD241)&gt;0,", "&amp;A241&amp;"-"&amp;AD$2,"")&amp;IF(N(AE241)&gt;0,", "&amp;A241&amp;"-"&amp;AE$2,"")&amp;IF(N(AF241)&gt;0,", "&amp;A241&amp;"-"&amp;AF$2,"")&amp;IF(N(AG241)&gt;0,", "&amp;A241&amp;"-"&amp;AG$2,"")&amp;IF(N(AH241)&gt;0,", "&amp;A241&amp;"-"&amp;AH$2,"")&amp;IF(N(AI241)&gt;0,", "&amp;A241&amp;"-"&amp;AI$2,"")&amp;IF(N(AJ241)&gt;0,", "&amp;A241&amp;"-"&amp;AJ$2,""),3,999))</f>
        <v/>
      </c>
      <c r="AN241" s="81"/>
      <c r="AO241" s="88"/>
      <c r="AP241" s="89" t="str">
        <f aca="false">IF(AO241="","",ROUND(AO241/(1+Справочники!$B$13),2))</f>
        <v/>
      </c>
      <c r="AQ241" s="90" t="str">
        <f aca="false" t="array" ref="AQ241:AQ241">IF(AP241="","",AP241*INDEX(Справочники!$B$4:$B$7,MATCH("RUB",Справочники!$A$4:$A$7,0)))</f>
        <v/>
      </c>
      <c r="AR241" s="90" t="str">
        <f aca="false">IF(AQ241="","",ROUND(AQ241*(1+Справочники!$B$12),0))</f>
        <v/>
      </c>
      <c r="AS241" s="90" t="str">
        <f aca="false">IF(AR241="","",ROUND(AR241*(1-Справочники!$B$11),0))</f>
        <v/>
      </c>
      <c r="AT241" s="88"/>
      <c r="AU241" s="90" t="str">
        <f aca="false">IF(AT241="","",ROUND(AT241/(1+Справочники!$B$12),0))</f>
        <v/>
      </c>
      <c r="AV241" s="90" t="str">
        <f aca="false">IF(AT241="","",ROUND(AT241*(1-Справочники!$B$15),0))</f>
        <v/>
      </c>
      <c r="AW241" s="90" t="str">
        <f aca="false">IF(AT241="","",ROUND(AT241*(1-Справочники!$B$16),0))</f>
        <v/>
      </c>
      <c r="AX241" s="90" t="str">
        <f aca="false">IF(AT241="","",ROUND(AT241*(1-Справочники!$B$17),0))</f>
        <v/>
      </c>
      <c r="AY241" s="90" t="str">
        <f aca="false">IF(AT241="","",ROUND(AT241*(1-Справочники!$B$18),0))</f>
        <v/>
      </c>
      <c r="AZ241" s="90" t="str">
        <f aca="false">IF(AT241="","",ROUND(AT241*(1-Справочники!$B$19),0))</f>
        <v/>
      </c>
      <c r="BA241" s="81"/>
      <c r="BB241" s="81"/>
      <c r="BC241" s="81"/>
      <c r="BD241" s="81"/>
      <c r="BE241" s="91"/>
      <c r="BF241" s="81" t="s">
        <v>103</v>
      </c>
      <c r="BG241" s="89" t="n">
        <f aca="false" t="array" ref="BG241:BG241">IF(BF241="","",IFERROR(INDEX(Справочники!$B$4:$B$7,MATCH(BF241,Справочники!$A$4:$A$7,0)),""))</f>
        <v>68.5</v>
      </c>
      <c r="BH241" s="90" t="str">
        <f aca="false">IF(N(BN241)&gt;0,ROUND(SUMIF(ЗАКАЗЫ!$F$3:$F$500,$A241,ЗАКАЗЫ!$Y$3:$Y$500)/BN241,0),IF(OR(BE241="",BG241=""),"",ROUND(BE241*BG241*(1+Справочники!$B$10),0)))</f>
        <v/>
      </c>
      <c r="BI241" s="92" t="str">
        <f aca="false">IF(OR(AU241="",BH241="",AU241=0),"",(AU241-BH241)/AU241)</f>
        <v/>
      </c>
      <c r="BJ241" s="81"/>
      <c r="BK241" s="83"/>
      <c r="BL241" s="43" t="str">
        <f aca="false">IFERROR(INDEX(ЗАКАЗЫ!$N$3:$N$500,MATCH($A241,ЗАКАЗЫ!$F$3:$F$500,0)),"")</f>
        <v/>
      </c>
      <c r="BM241" s="8" t="str">
        <f aca="false">IF(BL241="","",IFERROR(VLOOKUP(BL241,'ТН ВЭД'!$A$4:$C$40,3,0),""))</f>
        <v/>
      </c>
      <c r="BN241" s="7" t="str">
        <f aca="false">IF(COUNTIF(ЗАКАЗЫ!$F$3:$F$500,$A241)=0,"",SUMIF(ЗАКАЗЫ!$F$3:$F$500,$A241,ЗАКАЗЫ!$J$3:$J$500))</f>
        <v/>
      </c>
      <c r="BO241" s="7" t="str">
        <f aca="false">IF(BN241="","",SUMIF(ЗАКАЗЫ!$F$3:$F$500,$A241,ЗАКАЗЫ!$AL$3:$AL$500))</f>
        <v/>
      </c>
      <c r="BP241" s="7" t="str">
        <f aca="false">IF(BN241="","",BN241-BO241)</f>
        <v/>
      </c>
      <c r="BQ241" s="55" t="str">
        <f aca="false">IF(BN241="","",IF(BO241&gt;=BN241,"На складе",IF(BO241&gt;0,"Частично","Ждём")))</f>
        <v/>
      </c>
      <c r="BR241" s="43"/>
      <c r="BS241" s="47" t="str">
        <f aca="false">IF(BN241="","",IF(_xlfn.MAXIFS(ЗАКАЗЫ!$AK$3:$AK$500,ЗАКАЗЫ!$F$3:$F$500,$A241)=0,"",_xlfn.MAXIFS(ЗАКАЗЫ!$AK$3:$AK$500,ЗАКАЗЫ!$F$3:$F$500,$A241)))</f>
        <v/>
      </c>
    </row>
    <row r="242" customFormat="false" ht="15.75" hidden="false" customHeight="true" outlineLevel="0" collapsed="false">
      <c r="A242" s="80" t="s">
        <v>2109</v>
      </c>
      <c r="B242" s="81"/>
      <c r="C242" s="81"/>
      <c r="D242" s="81"/>
      <c r="E242" s="83"/>
      <c r="F242" s="81"/>
      <c r="G242" s="83"/>
      <c r="H242" s="83"/>
      <c r="I242" s="84" t="str">
        <f aca="false">IF(E242="","",A242&amp;"_1.jpg")</f>
        <v/>
      </c>
      <c r="J242" s="84" t="str">
        <f aca="false">IF(E242="","",A242&amp;"_2.jpg; "&amp;A242&amp;"_3.jpg")</f>
        <v/>
      </c>
      <c r="K242" s="84" t="str">
        <f aca="false">IF(E242="","",A242&amp;"_schema.jpg")</f>
        <v/>
      </c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 t="s">
        <v>96</v>
      </c>
      <c r="W242" s="81"/>
      <c r="X242" s="81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6" t="str">
        <f aca="false">IF(SUM(Y242:AJ242)=0,"",SUM(Y242:AJ242))</f>
        <v/>
      </c>
      <c r="AL242" s="84" t="str">
        <f aca="false">MID(IF(N(Y242)&gt;0,", "&amp;Y$2,"")&amp;IF(N(Z242)&gt;0,", "&amp;Z$2,"")&amp;IF(N(AA242)&gt;0,", "&amp;AA$2,"")&amp;IF(N(AB242)&gt;0,", "&amp;AB$2,"")&amp;IF(N(AC242)&gt;0,", "&amp;AC$2,"")&amp;IF(N(AD242)&gt;0,", "&amp;AD$2,"")&amp;IF(N(AE242)&gt;0,", "&amp;AE$2,"")&amp;IF(N(AF242)&gt;0,", "&amp;AF$2,"")&amp;IF(N(AG242)&gt;0,", "&amp;AG$2,"")&amp;IF(N(AH242)&gt;0,", "&amp;AH$2,"")&amp;IF(N(AI242)&gt;0,", "&amp;AI$2,"")&amp;IF(N(AJ242)&gt;0,", "&amp;AJ$2,""),3,999)</f>
        <v/>
      </c>
      <c r="AM242" s="87" t="str">
        <f aca="false">IF(E242="","",MID(IF(N(Y242)&gt;0,", "&amp;A242&amp;"-"&amp;Y$2,"")&amp;IF(N(Z242)&gt;0,", "&amp;A242&amp;"-"&amp;Z$2,"")&amp;IF(N(AA242)&gt;0,", "&amp;A242&amp;"-"&amp;AA$2,"")&amp;IF(N(AB242)&gt;0,", "&amp;A242&amp;"-"&amp;AB$2,"")&amp;IF(N(AC242)&gt;0,", "&amp;A242&amp;"-"&amp;AC$2,"")&amp;IF(N(AD242)&gt;0,", "&amp;A242&amp;"-"&amp;AD$2,"")&amp;IF(N(AE242)&gt;0,", "&amp;A242&amp;"-"&amp;AE$2,"")&amp;IF(N(AF242)&gt;0,", "&amp;A242&amp;"-"&amp;AF$2,"")&amp;IF(N(AG242)&gt;0,", "&amp;A242&amp;"-"&amp;AG$2,"")&amp;IF(N(AH242)&gt;0,", "&amp;A242&amp;"-"&amp;AH$2,"")&amp;IF(N(AI242)&gt;0,", "&amp;A242&amp;"-"&amp;AI$2,"")&amp;IF(N(AJ242)&gt;0,", "&amp;A242&amp;"-"&amp;AJ$2,""),3,999))</f>
        <v/>
      </c>
      <c r="AN242" s="81"/>
      <c r="AO242" s="88"/>
      <c r="AP242" s="89" t="str">
        <f aca="false">IF(AO242="","",ROUND(AO242/(1+Справочники!$B$13),2))</f>
        <v/>
      </c>
      <c r="AQ242" s="90" t="str">
        <f aca="false" t="array" ref="AQ242:AQ242">IF(AP242="","",AP242*INDEX(Справочники!$B$4:$B$7,MATCH("RUB",Справочники!$A$4:$A$7,0)))</f>
        <v/>
      </c>
      <c r="AR242" s="90" t="str">
        <f aca="false">IF(AQ242="","",ROUND(AQ242*(1+Справочники!$B$12),0))</f>
        <v/>
      </c>
      <c r="AS242" s="90" t="str">
        <f aca="false">IF(AR242="","",ROUND(AR242*(1-Справочники!$B$11),0))</f>
        <v/>
      </c>
      <c r="AT242" s="88"/>
      <c r="AU242" s="90" t="str">
        <f aca="false">IF(AT242="","",ROUND(AT242/(1+Справочники!$B$12),0))</f>
        <v/>
      </c>
      <c r="AV242" s="90" t="str">
        <f aca="false">IF(AT242="","",ROUND(AT242*(1-Справочники!$B$15),0))</f>
        <v/>
      </c>
      <c r="AW242" s="90" t="str">
        <f aca="false">IF(AT242="","",ROUND(AT242*(1-Справочники!$B$16),0))</f>
        <v/>
      </c>
      <c r="AX242" s="90" t="str">
        <f aca="false">IF(AT242="","",ROUND(AT242*(1-Справочники!$B$17),0))</f>
        <v/>
      </c>
      <c r="AY242" s="90" t="str">
        <f aca="false">IF(AT242="","",ROUND(AT242*(1-Справочники!$B$18),0))</f>
        <v/>
      </c>
      <c r="AZ242" s="90" t="str">
        <f aca="false">IF(AT242="","",ROUND(AT242*(1-Справочники!$B$19),0))</f>
        <v/>
      </c>
      <c r="BA242" s="81"/>
      <c r="BB242" s="81"/>
      <c r="BC242" s="81"/>
      <c r="BD242" s="81"/>
      <c r="BE242" s="91"/>
      <c r="BF242" s="81" t="s">
        <v>103</v>
      </c>
      <c r="BG242" s="89" t="n">
        <f aca="false" t="array" ref="BG242:BG242">IF(BF242="","",IFERROR(INDEX(Справочники!$B$4:$B$7,MATCH(BF242,Справочники!$A$4:$A$7,0)),""))</f>
        <v>68.5</v>
      </c>
      <c r="BH242" s="90" t="str">
        <f aca="false">IF(N(BN242)&gt;0,ROUND(SUMIF(ЗАКАЗЫ!$F$3:$F$500,$A242,ЗАКАЗЫ!$Y$3:$Y$500)/BN242,0),IF(OR(BE242="",BG242=""),"",ROUND(BE242*BG242*(1+Справочники!$B$10),0)))</f>
        <v/>
      </c>
      <c r="BI242" s="92" t="str">
        <f aca="false">IF(OR(AU242="",BH242="",AU242=0),"",(AU242-BH242)/AU242)</f>
        <v/>
      </c>
      <c r="BJ242" s="81"/>
      <c r="BK242" s="83"/>
      <c r="BL242" s="43" t="str">
        <f aca="false">IFERROR(INDEX(ЗАКАЗЫ!$N$3:$N$500,MATCH($A242,ЗАКАЗЫ!$F$3:$F$500,0)),"")</f>
        <v/>
      </c>
      <c r="BM242" s="8" t="str">
        <f aca="false">IF(BL242="","",IFERROR(VLOOKUP(BL242,'ТН ВЭД'!$A$4:$C$40,3,0),""))</f>
        <v/>
      </c>
      <c r="BN242" s="7" t="str">
        <f aca="false">IF(COUNTIF(ЗАКАЗЫ!$F$3:$F$500,$A242)=0,"",SUMIF(ЗАКАЗЫ!$F$3:$F$500,$A242,ЗАКАЗЫ!$J$3:$J$500))</f>
        <v/>
      </c>
      <c r="BO242" s="7" t="str">
        <f aca="false">IF(BN242="","",SUMIF(ЗАКАЗЫ!$F$3:$F$500,$A242,ЗАКАЗЫ!$AL$3:$AL$500))</f>
        <v/>
      </c>
      <c r="BP242" s="7" t="str">
        <f aca="false">IF(BN242="","",BN242-BO242)</f>
        <v/>
      </c>
      <c r="BQ242" s="55" t="str">
        <f aca="false">IF(BN242="","",IF(BO242&gt;=BN242,"На складе",IF(BO242&gt;0,"Частично","Ждём")))</f>
        <v/>
      </c>
      <c r="BR242" s="43"/>
      <c r="BS242" s="47" t="str">
        <f aca="false">IF(BN242="","",IF(_xlfn.MAXIFS(ЗАКАЗЫ!$AK$3:$AK$500,ЗАКАЗЫ!$F$3:$F$500,$A242)=0,"",_xlfn.MAXIFS(ЗАКАЗЫ!$AK$3:$AK$500,ЗАКАЗЫ!$F$3:$F$500,$A242)))</f>
        <v/>
      </c>
    </row>
    <row r="243" customFormat="false" ht="15.75" hidden="false" customHeight="true" outlineLevel="0" collapsed="false">
      <c r="A243" s="80" t="s">
        <v>2110</v>
      </c>
      <c r="B243" s="81"/>
      <c r="C243" s="81"/>
      <c r="D243" s="81"/>
      <c r="E243" s="83"/>
      <c r="F243" s="81"/>
      <c r="G243" s="83"/>
      <c r="H243" s="83"/>
      <c r="I243" s="84" t="str">
        <f aca="false">IF(E243="","",A243&amp;"_1.jpg")</f>
        <v/>
      </c>
      <c r="J243" s="84" t="str">
        <f aca="false">IF(E243="","",A243&amp;"_2.jpg; "&amp;A243&amp;"_3.jpg")</f>
        <v/>
      </c>
      <c r="K243" s="84" t="str">
        <f aca="false">IF(E243="","",A243&amp;"_schema.jpg")</f>
        <v/>
      </c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 t="s">
        <v>96</v>
      </c>
      <c r="W243" s="81"/>
      <c r="X243" s="81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6" t="str">
        <f aca="false">IF(SUM(Y243:AJ243)=0,"",SUM(Y243:AJ243))</f>
        <v/>
      </c>
      <c r="AL243" s="84" t="str">
        <f aca="false">MID(IF(N(Y243)&gt;0,", "&amp;Y$2,"")&amp;IF(N(Z243)&gt;0,", "&amp;Z$2,"")&amp;IF(N(AA243)&gt;0,", "&amp;AA$2,"")&amp;IF(N(AB243)&gt;0,", "&amp;AB$2,"")&amp;IF(N(AC243)&gt;0,", "&amp;AC$2,"")&amp;IF(N(AD243)&gt;0,", "&amp;AD$2,"")&amp;IF(N(AE243)&gt;0,", "&amp;AE$2,"")&amp;IF(N(AF243)&gt;0,", "&amp;AF$2,"")&amp;IF(N(AG243)&gt;0,", "&amp;AG$2,"")&amp;IF(N(AH243)&gt;0,", "&amp;AH$2,"")&amp;IF(N(AI243)&gt;0,", "&amp;AI$2,"")&amp;IF(N(AJ243)&gt;0,", "&amp;AJ$2,""),3,999)</f>
        <v/>
      </c>
      <c r="AM243" s="87" t="str">
        <f aca="false">IF(E243="","",MID(IF(N(Y243)&gt;0,", "&amp;A243&amp;"-"&amp;Y$2,"")&amp;IF(N(Z243)&gt;0,", "&amp;A243&amp;"-"&amp;Z$2,"")&amp;IF(N(AA243)&gt;0,", "&amp;A243&amp;"-"&amp;AA$2,"")&amp;IF(N(AB243)&gt;0,", "&amp;A243&amp;"-"&amp;AB$2,"")&amp;IF(N(AC243)&gt;0,", "&amp;A243&amp;"-"&amp;AC$2,"")&amp;IF(N(AD243)&gt;0,", "&amp;A243&amp;"-"&amp;AD$2,"")&amp;IF(N(AE243)&gt;0,", "&amp;A243&amp;"-"&amp;AE$2,"")&amp;IF(N(AF243)&gt;0,", "&amp;A243&amp;"-"&amp;AF$2,"")&amp;IF(N(AG243)&gt;0,", "&amp;A243&amp;"-"&amp;AG$2,"")&amp;IF(N(AH243)&gt;0,", "&amp;A243&amp;"-"&amp;AH$2,"")&amp;IF(N(AI243)&gt;0,", "&amp;A243&amp;"-"&amp;AI$2,"")&amp;IF(N(AJ243)&gt;0,", "&amp;A243&amp;"-"&amp;AJ$2,""),3,999))</f>
        <v/>
      </c>
      <c r="AN243" s="81"/>
      <c r="AO243" s="88"/>
      <c r="AP243" s="89" t="str">
        <f aca="false">IF(AO243="","",ROUND(AO243/(1+Справочники!$B$13),2))</f>
        <v/>
      </c>
      <c r="AQ243" s="90" t="str">
        <f aca="false" t="array" ref="AQ243:AQ243">IF(AP243="","",AP243*INDEX(Справочники!$B$4:$B$7,MATCH("RUB",Справочники!$A$4:$A$7,0)))</f>
        <v/>
      </c>
      <c r="AR243" s="90" t="str">
        <f aca="false">IF(AQ243="","",ROUND(AQ243*(1+Справочники!$B$12),0))</f>
        <v/>
      </c>
      <c r="AS243" s="90" t="str">
        <f aca="false">IF(AR243="","",ROUND(AR243*(1-Справочники!$B$11),0))</f>
        <v/>
      </c>
      <c r="AT243" s="88"/>
      <c r="AU243" s="90" t="str">
        <f aca="false">IF(AT243="","",ROUND(AT243/(1+Справочники!$B$12),0))</f>
        <v/>
      </c>
      <c r="AV243" s="90" t="str">
        <f aca="false">IF(AT243="","",ROUND(AT243*(1-Справочники!$B$15),0))</f>
        <v/>
      </c>
      <c r="AW243" s="90" t="str">
        <f aca="false">IF(AT243="","",ROUND(AT243*(1-Справочники!$B$16),0))</f>
        <v/>
      </c>
      <c r="AX243" s="90" t="str">
        <f aca="false">IF(AT243="","",ROUND(AT243*(1-Справочники!$B$17),0))</f>
        <v/>
      </c>
      <c r="AY243" s="90" t="str">
        <f aca="false">IF(AT243="","",ROUND(AT243*(1-Справочники!$B$18),0))</f>
        <v/>
      </c>
      <c r="AZ243" s="90" t="str">
        <f aca="false">IF(AT243="","",ROUND(AT243*(1-Справочники!$B$19),0))</f>
        <v/>
      </c>
      <c r="BA243" s="81"/>
      <c r="BB243" s="81"/>
      <c r="BC243" s="81"/>
      <c r="BD243" s="81"/>
      <c r="BE243" s="91"/>
      <c r="BF243" s="81" t="s">
        <v>103</v>
      </c>
      <c r="BG243" s="89" t="n">
        <f aca="false" t="array" ref="BG243:BG243">IF(BF243="","",IFERROR(INDEX(Справочники!$B$4:$B$7,MATCH(BF243,Справочники!$A$4:$A$7,0)),""))</f>
        <v>68.5</v>
      </c>
      <c r="BH243" s="90" t="str">
        <f aca="false">IF(N(BN243)&gt;0,ROUND(SUMIF(ЗАКАЗЫ!$F$3:$F$500,$A243,ЗАКАЗЫ!$Y$3:$Y$500)/BN243,0),IF(OR(BE243="",BG243=""),"",ROUND(BE243*BG243*(1+Справочники!$B$10),0)))</f>
        <v/>
      </c>
      <c r="BI243" s="92" t="str">
        <f aca="false">IF(OR(AU243="",BH243="",AU243=0),"",(AU243-BH243)/AU243)</f>
        <v/>
      </c>
      <c r="BJ243" s="81"/>
      <c r="BK243" s="83"/>
      <c r="BL243" s="43" t="str">
        <f aca="false">IFERROR(INDEX(ЗАКАЗЫ!$N$3:$N$500,MATCH($A243,ЗАКАЗЫ!$F$3:$F$500,0)),"")</f>
        <v/>
      </c>
      <c r="BM243" s="8" t="str">
        <f aca="false">IF(BL243="","",IFERROR(VLOOKUP(BL243,'ТН ВЭД'!$A$4:$C$40,3,0),""))</f>
        <v/>
      </c>
      <c r="BN243" s="7" t="str">
        <f aca="false">IF(COUNTIF(ЗАКАЗЫ!$F$3:$F$500,$A243)=0,"",SUMIF(ЗАКАЗЫ!$F$3:$F$500,$A243,ЗАКАЗЫ!$J$3:$J$500))</f>
        <v/>
      </c>
      <c r="BO243" s="7" t="str">
        <f aca="false">IF(BN243="","",SUMIF(ЗАКАЗЫ!$F$3:$F$500,$A243,ЗАКАЗЫ!$AL$3:$AL$500))</f>
        <v/>
      </c>
      <c r="BP243" s="7" t="str">
        <f aca="false">IF(BN243="","",BN243-BO243)</f>
        <v/>
      </c>
      <c r="BQ243" s="55" t="str">
        <f aca="false">IF(BN243="","",IF(BO243&gt;=BN243,"На складе",IF(BO243&gt;0,"Частично","Ждём")))</f>
        <v/>
      </c>
      <c r="BR243" s="43"/>
      <c r="BS243" s="47" t="str">
        <f aca="false">IF(BN243="","",IF(_xlfn.MAXIFS(ЗАКАЗЫ!$AK$3:$AK$500,ЗАКАЗЫ!$F$3:$F$500,$A243)=0,"",_xlfn.MAXIFS(ЗАКАЗЫ!$AK$3:$AK$500,ЗАКАЗЫ!$F$3:$F$500,$A243)))</f>
        <v/>
      </c>
    </row>
    <row r="244" customFormat="false" ht="15.75" hidden="false" customHeight="true" outlineLevel="0" collapsed="false">
      <c r="A244" s="80" t="s">
        <v>2111</v>
      </c>
      <c r="B244" s="81"/>
      <c r="C244" s="81"/>
      <c r="D244" s="81"/>
      <c r="E244" s="83"/>
      <c r="F244" s="81"/>
      <c r="G244" s="83"/>
      <c r="H244" s="83"/>
      <c r="I244" s="84" t="str">
        <f aca="false">IF(E244="","",A244&amp;"_1.jpg")</f>
        <v/>
      </c>
      <c r="J244" s="84" t="str">
        <f aca="false">IF(E244="","",A244&amp;"_2.jpg; "&amp;A244&amp;"_3.jpg")</f>
        <v/>
      </c>
      <c r="K244" s="84" t="str">
        <f aca="false">IF(E244="","",A244&amp;"_schema.jpg")</f>
        <v/>
      </c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 t="s">
        <v>96</v>
      </c>
      <c r="W244" s="81"/>
      <c r="X244" s="81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6" t="str">
        <f aca="false">IF(SUM(Y244:AJ244)=0,"",SUM(Y244:AJ244))</f>
        <v/>
      </c>
      <c r="AL244" s="84" t="str">
        <f aca="false">MID(IF(N(Y244)&gt;0,", "&amp;Y$2,"")&amp;IF(N(Z244)&gt;0,", "&amp;Z$2,"")&amp;IF(N(AA244)&gt;0,", "&amp;AA$2,"")&amp;IF(N(AB244)&gt;0,", "&amp;AB$2,"")&amp;IF(N(AC244)&gt;0,", "&amp;AC$2,"")&amp;IF(N(AD244)&gt;0,", "&amp;AD$2,"")&amp;IF(N(AE244)&gt;0,", "&amp;AE$2,"")&amp;IF(N(AF244)&gt;0,", "&amp;AF$2,"")&amp;IF(N(AG244)&gt;0,", "&amp;AG$2,"")&amp;IF(N(AH244)&gt;0,", "&amp;AH$2,"")&amp;IF(N(AI244)&gt;0,", "&amp;AI$2,"")&amp;IF(N(AJ244)&gt;0,", "&amp;AJ$2,""),3,999)</f>
        <v/>
      </c>
      <c r="AM244" s="87" t="str">
        <f aca="false">IF(E244="","",MID(IF(N(Y244)&gt;0,", "&amp;A244&amp;"-"&amp;Y$2,"")&amp;IF(N(Z244)&gt;0,", "&amp;A244&amp;"-"&amp;Z$2,"")&amp;IF(N(AA244)&gt;0,", "&amp;A244&amp;"-"&amp;AA$2,"")&amp;IF(N(AB244)&gt;0,", "&amp;A244&amp;"-"&amp;AB$2,"")&amp;IF(N(AC244)&gt;0,", "&amp;A244&amp;"-"&amp;AC$2,"")&amp;IF(N(AD244)&gt;0,", "&amp;A244&amp;"-"&amp;AD$2,"")&amp;IF(N(AE244)&gt;0,", "&amp;A244&amp;"-"&amp;AE$2,"")&amp;IF(N(AF244)&gt;0,", "&amp;A244&amp;"-"&amp;AF$2,"")&amp;IF(N(AG244)&gt;0,", "&amp;A244&amp;"-"&amp;AG$2,"")&amp;IF(N(AH244)&gt;0,", "&amp;A244&amp;"-"&amp;AH$2,"")&amp;IF(N(AI244)&gt;0,", "&amp;A244&amp;"-"&amp;AI$2,"")&amp;IF(N(AJ244)&gt;0,", "&amp;A244&amp;"-"&amp;AJ$2,""),3,999))</f>
        <v/>
      </c>
      <c r="AN244" s="81"/>
      <c r="AO244" s="88"/>
      <c r="AP244" s="89" t="str">
        <f aca="false">IF(AO244="","",ROUND(AO244/(1+Справочники!$B$13),2))</f>
        <v/>
      </c>
      <c r="AQ244" s="90" t="str">
        <f aca="false" t="array" ref="AQ244:AQ244">IF(AP244="","",AP244*INDEX(Справочники!$B$4:$B$7,MATCH("RUB",Справочники!$A$4:$A$7,0)))</f>
        <v/>
      </c>
      <c r="AR244" s="90" t="str">
        <f aca="false">IF(AQ244="","",ROUND(AQ244*(1+Справочники!$B$12),0))</f>
        <v/>
      </c>
      <c r="AS244" s="90" t="str">
        <f aca="false">IF(AR244="","",ROUND(AR244*(1-Справочники!$B$11),0))</f>
        <v/>
      </c>
      <c r="AT244" s="88"/>
      <c r="AU244" s="90" t="str">
        <f aca="false">IF(AT244="","",ROUND(AT244/(1+Справочники!$B$12),0))</f>
        <v/>
      </c>
      <c r="AV244" s="90" t="str">
        <f aca="false">IF(AT244="","",ROUND(AT244*(1-Справочники!$B$15),0))</f>
        <v/>
      </c>
      <c r="AW244" s="90" t="str">
        <f aca="false">IF(AT244="","",ROUND(AT244*(1-Справочники!$B$16),0))</f>
        <v/>
      </c>
      <c r="AX244" s="90" t="str">
        <f aca="false">IF(AT244="","",ROUND(AT244*(1-Справочники!$B$17),0))</f>
        <v/>
      </c>
      <c r="AY244" s="90" t="str">
        <f aca="false">IF(AT244="","",ROUND(AT244*(1-Справочники!$B$18),0))</f>
        <v/>
      </c>
      <c r="AZ244" s="90" t="str">
        <f aca="false">IF(AT244="","",ROUND(AT244*(1-Справочники!$B$19),0))</f>
        <v/>
      </c>
      <c r="BA244" s="81"/>
      <c r="BB244" s="81"/>
      <c r="BC244" s="81"/>
      <c r="BD244" s="81"/>
      <c r="BE244" s="91"/>
      <c r="BF244" s="81" t="s">
        <v>103</v>
      </c>
      <c r="BG244" s="89" t="n">
        <f aca="false" t="array" ref="BG244:BG244">IF(BF244="","",IFERROR(INDEX(Справочники!$B$4:$B$7,MATCH(BF244,Справочники!$A$4:$A$7,0)),""))</f>
        <v>68.5</v>
      </c>
      <c r="BH244" s="90" t="str">
        <f aca="false">IF(N(BN244)&gt;0,ROUND(SUMIF(ЗАКАЗЫ!$F$3:$F$500,$A244,ЗАКАЗЫ!$Y$3:$Y$500)/BN244,0),IF(OR(BE244="",BG244=""),"",ROUND(BE244*BG244*(1+Справочники!$B$10),0)))</f>
        <v/>
      </c>
      <c r="BI244" s="92" t="str">
        <f aca="false">IF(OR(AU244="",BH244="",AU244=0),"",(AU244-BH244)/AU244)</f>
        <v/>
      </c>
      <c r="BJ244" s="81"/>
      <c r="BK244" s="83"/>
      <c r="BL244" s="43" t="str">
        <f aca="false">IFERROR(INDEX(ЗАКАЗЫ!$N$3:$N$500,MATCH($A244,ЗАКАЗЫ!$F$3:$F$500,0)),"")</f>
        <v/>
      </c>
      <c r="BM244" s="8" t="str">
        <f aca="false">IF(BL244="","",IFERROR(VLOOKUP(BL244,'ТН ВЭД'!$A$4:$C$40,3,0),""))</f>
        <v/>
      </c>
      <c r="BN244" s="7" t="str">
        <f aca="false">IF(COUNTIF(ЗАКАЗЫ!$F$3:$F$500,$A244)=0,"",SUMIF(ЗАКАЗЫ!$F$3:$F$500,$A244,ЗАКАЗЫ!$J$3:$J$500))</f>
        <v/>
      </c>
      <c r="BO244" s="7" t="str">
        <f aca="false">IF(BN244="","",SUMIF(ЗАКАЗЫ!$F$3:$F$500,$A244,ЗАКАЗЫ!$AL$3:$AL$500))</f>
        <v/>
      </c>
      <c r="BP244" s="7" t="str">
        <f aca="false">IF(BN244="","",BN244-BO244)</f>
        <v/>
      </c>
      <c r="BQ244" s="55" t="str">
        <f aca="false">IF(BN244="","",IF(BO244&gt;=BN244,"На складе",IF(BO244&gt;0,"Частично","Ждём")))</f>
        <v/>
      </c>
      <c r="BR244" s="43"/>
      <c r="BS244" s="47" t="str">
        <f aca="false">IF(BN244="","",IF(_xlfn.MAXIFS(ЗАКАЗЫ!$AK$3:$AK$500,ЗАКАЗЫ!$F$3:$F$500,$A244)=0,"",_xlfn.MAXIFS(ЗАКАЗЫ!$AK$3:$AK$500,ЗАКАЗЫ!$F$3:$F$500,$A244)))</f>
        <v/>
      </c>
    </row>
    <row r="245" customFormat="false" ht="15.75" hidden="false" customHeight="true" outlineLevel="0" collapsed="false">
      <c r="A245" s="80" t="s">
        <v>2112</v>
      </c>
      <c r="B245" s="81"/>
      <c r="C245" s="81"/>
      <c r="D245" s="81"/>
      <c r="E245" s="83"/>
      <c r="F245" s="81"/>
      <c r="G245" s="83"/>
      <c r="H245" s="83"/>
      <c r="I245" s="84" t="str">
        <f aca="false">IF(E245="","",A245&amp;"_1.jpg")</f>
        <v/>
      </c>
      <c r="J245" s="84" t="str">
        <f aca="false">IF(E245="","",A245&amp;"_2.jpg; "&amp;A245&amp;"_3.jpg")</f>
        <v/>
      </c>
      <c r="K245" s="84" t="str">
        <f aca="false">IF(E245="","",A245&amp;"_schema.jpg")</f>
        <v/>
      </c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 t="s">
        <v>96</v>
      </c>
      <c r="W245" s="81"/>
      <c r="X245" s="81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6" t="str">
        <f aca="false">IF(SUM(Y245:AJ245)=0,"",SUM(Y245:AJ245))</f>
        <v/>
      </c>
      <c r="AL245" s="84" t="str">
        <f aca="false">MID(IF(N(Y245)&gt;0,", "&amp;Y$2,"")&amp;IF(N(Z245)&gt;0,", "&amp;Z$2,"")&amp;IF(N(AA245)&gt;0,", "&amp;AA$2,"")&amp;IF(N(AB245)&gt;0,", "&amp;AB$2,"")&amp;IF(N(AC245)&gt;0,", "&amp;AC$2,"")&amp;IF(N(AD245)&gt;0,", "&amp;AD$2,"")&amp;IF(N(AE245)&gt;0,", "&amp;AE$2,"")&amp;IF(N(AF245)&gt;0,", "&amp;AF$2,"")&amp;IF(N(AG245)&gt;0,", "&amp;AG$2,"")&amp;IF(N(AH245)&gt;0,", "&amp;AH$2,"")&amp;IF(N(AI245)&gt;0,", "&amp;AI$2,"")&amp;IF(N(AJ245)&gt;0,", "&amp;AJ$2,""),3,999)</f>
        <v/>
      </c>
      <c r="AM245" s="87" t="str">
        <f aca="false">IF(E245="","",MID(IF(N(Y245)&gt;0,", "&amp;A245&amp;"-"&amp;Y$2,"")&amp;IF(N(Z245)&gt;0,", "&amp;A245&amp;"-"&amp;Z$2,"")&amp;IF(N(AA245)&gt;0,", "&amp;A245&amp;"-"&amp;AA$2,"")&amp;IF(N(AB245)&gt;0,", "&amp;A245&amp;"-"&amp;AB$2,"")&amp;IF(N(AC245)&gt;0,", "&amp;A245&amp;"-"&amp;AC$2,"")&amp;IF(N(AD245)&gt;0,", "&amp;A245&amp;"-"&amp;AD$2,"")&amp;IF(N(AE245)&gt;0,", "&amp;A245&amp;"-"&amp;AE$2,"")&amp;IF(N(AF245)&gt;0,", "&amp;A245&amp;"-"&amp;AF$2,"")&amp;IF(N(AG245)&gt;0,", "&amp;A245&amp;"-"&amp;AG$2,"")&amp;IF(N(AH245)&gt;0,", "&amp;A245&amp;"-"&amp;AH$2,"")&amp;IF(N(AI245)&gt;0,", "&amp;A245&amp;"-"&amp;AI$2,"")&amp;IF(N(AJ245)&gt;0,", "&amp;A245&amp;"-"&amp;AJ$2,""),3,999))</f>
        <v/>
      </c>
      <c r="AN245" s="81"/>
      <c r="AO245" s="88"/>
      <c r="AP245" s="89" t="str">
        <f aca="false">IF(AO245="","",ROUND(AO245/(1+Справочники!$B$13),2))</f>
        <v/>
      </c>
      <c r="AQ245" s="90" t="str">
        <f aca="false" t="array" ref="AQ245:AQ245">IF(AP245="","",AP245*INDEX(Справочники!$B$4:$B$7,MATCH("RUB",Справочники!$A$4:$A$7,0)))</f>
        <v/>
      </c>
      <c r="AR245" s="90" t="str">
        <f aca="false">IF(AQ245="","",ROUND(AQ245*(1+Справочники!$B$12),0))</f>
        <v/>
      </c>
      <c r="AS245" s="90" t="str">
        <f aca="false">IF(AR245="","",ROUND(AR245*(1-Справочники!$B$11),0))</f>
        <v/>
      </c>
      <c r="AT245" s="88"/>
      <c r="AU245" s="90" t="str">
        <f aca="false">IF(AT245="","",ROUND(AT245/(1+Справочники!$B$12),0))</f>
        <v/>
      </c>
      <c r="AV245" s="90" t="str">
        <f aca="false">IF(AT245="","",ROUND(AT245*(1-Справочники!$B$15),0))</f>
        <v/>
      </c>
      <c r="AW245" s="90" t="str">
        <f aca="false">IF(AT245="","",ROUND(AT245*(1-Справочники!$B$16),0))</f>
        <v/>
      </c>
      <c r="AX245" s="90" t="str">
        <f aca="false">IF(AT245="","",ROUND(AT245*(1-Справочники!$B$17),0))</f>
        <v/>
      </c>
      <c r="AY245" s="90" t="str">
        <f aca="false">IF(AT245="","",ROUND(AT245*(1-Справочники!$B$18),0))</f>
        <v/>
      </c>
      <c r="AZ245" s="90" t="str">
        <f aca="false">IF(AT245="","",ROUND(AT245*(1-Справочники!$B$19),0))</f>
        <v/>
      </c>
      <c r="BA245" s="81"/>
      <c r="BB245" s="81"/>
      <c r="BC245" s="81"/>
      <c r="BD245" s="81"/>
      <c r="BE245" s="91"/>
      <c r="BF245" s="81" t="s">
        <v>103</v>
      </c>
      <c r="BG245" s="89" t="n">
        <f aca="false" t="array" ref="BG245:BG245">IF(BF245="","",IFERROR(INDEX(Справочники!$B$4:$B$7,MATCH(BF245,Справочники!$A$4:$A$7,0)),""))</f>
        <v>68.5</v>
      </c>
      <c r="BH245" s="90" t="str">
        <f aca="false">IF(N(BN245)&gt;0,ROUND(SUMIF(ЗАКАЗЫ!$F$3:$F$500,$A245,ЗАКАЗЫ!$Y$3:$Y$500)/BN245,0),IF(OR(BE245="",BG245=""),"",ROUND(BE245*BG245*(1+Справочники!$B$10),0)))</f>
        <v/>
      </c>
      <c r="BI245" s="92" t="str">
        <f aca="false">IF(OR(AU245="",BH245="",AU245=0),"",(AU245-BH245)/AU245)</f>
        <v/>
      </c>
      <c r="BJ245" s="81"/>
      <c r="BK245" s="83"/>
      <c r="BL245" s="43" t="str">
        <f aca="false">IFERROR(INDEX(ЗАКАЗЫ!$N$3:$N$500,MATCH($A245,ЗАКАЗЫ!$F$3:$F$500,0)),"")</f>
        <v/>
      </c>
      <c r="BM245" s="8" t="str">
        <f aca="false">IF(BL245="","",IFERROR(VLOOKUP(BL245,'ТН ВЭД'!$A$4:$C$40,3,0),""))</f>
        <v/>
      </c>
      <c r="BN245" s="7" t="str">
        <f aca="false">IF(COUNTIF(ЗАКАЗЫ!$F$3:$F$500,$A245)=0,"",SUMIF(ЗАКАЗЫ!$F$3:$F$500,$A245,ЗАКАЗЫ!$J$3:$J$500))</f>
        <v/>
      </c>
      <c r="BO245" s="7" t="str">
        <f aca="false">IF(BN245="","",SUMIF(ЗАКАЗЫ!$F$3:$F$500,$A245,ЗАКАЗЫ!$AL$3:$AL$500))</f>
        <v/>
      </c>
      <c r="BP245" s="7" t="str">
        <f aca="false">IF(BN245="","",BN245-BO245)</f>
        <v/>
      </c>
      <c r="BQ245" s="55" t="str">
        <f aca="false">IF(BN245="","",IF(BO245&gt;=BN245,"На складе",IF(BO245&gt;0,"Частично","Ждём")))</f>
        <v/>
      </c>
      <c r="BR245" s="43"/>
      <c r="BS245" s="47" t="str">
        <f aca="false">IF(BN245="","",IF(_xlfn.MAXIFS(ЗАКАЗЫ!$AK$3:$AK$500,ЗАКАЗЫ!$F$3:$F$500,$A245)=0,"",_xlfn.MAXIFS(ЗАКАЗЫ!$AK$3:$AK$500,ЗАКАЗЫ!$F$3:$F$500,$A245)))</f>
        <v/>
      </c>
    </row>
    <row r="246" customFormat="false" ht="15.75" hidden="false" customHeight="true" outlineLevel="0" collapsed="false">
      <c r="A246" s="80" t="s">
        <v>2113</v>
      </c>
      <c r="B246" s="81"/>
      <c r="C246" s="81"/>
      <c r="D246" s="81"/>
      <c r="E246" s="83"/>
      <c r="F246" s="81"/>
      <c r="G246" s="83"/>
      <c r="H246" s="83"/>
      <c r="I246" s="84" t="str">
        <f aca="false">IF(E246="","",A246&amp;"_1.jpg")</f>
        <v/>
      </c>
      <c r="J246" s="84" t="str">
        <f aca="false">IF(E246="","",A246&amp;"_2.jpg; "&amp;A246&amp;"_3.jpg")</f>
        <v/>
      </c>
      <c r="K246" s="84" t="str">
        <f aca="false">IF(E246="","",A246&amp;"_schema.jpg")</f>
        <v/>
      </c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 t="s">
        <v>96</v>
      </c>
      <c r="W246" s="81"/>
      <c r="X246" s="81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6" t="str">
        <f aca="false">IF(SUM(Y246:AJ246)=0,"",SUM(Y246:AJ246))</f>
        <v/>
      </c>
      <c r="AL246" s="84" t="str">
        <f aca="false">MID(IF(N(Y246)&gt;0,", "&amp;Y$2,"")&amp;IF(N(Z246)&gt;0,", "&amp;Z$2,"")&amp;IF(N(AA246)&gt;0,", "&amp;AA$2,"")&amp;IF(N(AB246)&gt;0,", "&amp;AB$2,"")&amp;IF(N(AC246)&gt;0,", "&amp;AC$2,"")&amp;IF(N(AD246)&gt;0,", "&amp;AD$2,"")&amp;IF(N(AE246)&gt;0,", "&amp;AE$2,"")&amp;IF(N(AF246)&gt;0,", "&amp;AF$2,"")&amp;IF(N(AG246)&gt;0,", "&amp;AG$2,"")&amp;IF(N(AH246)&gt;0,", "&amp;AH$2,"")&amp;IF(N(AI246)&gt;0,", "&amp;AI$2,"")&amp;IF(N(AJ246)&gt;0,", "&amp;AJ$2,""),3,999)</f>
        <v/>
      </c>
      <c r="AM246" s="87" t="str">
        <f aca="false">IF(E246="","",MID(IF(N(Y246)&gt;0,", "&amp;A246&amp;"-"&amp;Y$2,"")&amp;IF(N(Z246)&gt;0,", "&amp;A246&amp;"-"&amp;Z$2,"")&amp;IF(N(AA246)&gt;0,", "&amp;A246&amp;"-"&amp;AA$2,"")&amp;IF(N(AB246)&gt;0,", "&amp;A246&amp;"-"&amp;AB$2,"")&amp;IF(N(AC246)&gt;0,", "&amp;A246&amp;"-"&amp;AC$2,"")&amp;IF(N(AD246)&gt;0,", "&amp;A246&amp;"-"&amp;AD$2,"")&amp;IF(N(AE246)&gt;0,", "&amp;A246&amp;"-"&amp;AE$2,"")&amp;IF(N(AF246)&gt;0,", "&amp;A246&amp;"-"&amp;AF$2,"")&amp;IF(N(AG246)&gt;0,", "&amp;A246&amp;"-"&amp;AG$2,"")&amp;IF(N(AH246)&gt;0,", "&amp;A246&amp;"-"&amp;AH$2,"")&amp;IF(N(AI246)&gt;0,", "&amp;A246&amp;"-"&amp;AI$2,"")&amp;IF(N(AJ246)&gt;0,", "&amp;A246&amp;"-"&amp;AJ$2,""),3,999))</f>
        <v/>
      </c>
      <c r="AN246" s="81"/>
      <c r="AO246" s="88"/>
      <c r="AP246" s="89" t="str">
        <f aca="false">IF(AO246="","",ROUND(AO246/(1+Справочники!$B$13),2))</f>
        <v/>
      </c>
      <c r="AQ246" s="90" t="str">
        <f aca="false" t="array" ref="AQ246:AQ246">IF(AP246="","",AP246*INDEX(Справочники!$B$4:$B$7,MATCH("RUB",Справочники!$A$4:$A$7,0)))</f>
        <v/>
      </c>
      <c r="AR246" s="90" t="str">
        <f aca="false">IF(AQ246="","",ROUND(AQ246*(1+Справочники!$B$12),0))</f>
        <v/>
      </c>
      <c r="AS246" s="90" t="str">
        <f aca="false">IF(AR246="","",ROUND(AR246*(1-Справочники!$B$11),0))</f>
        <v/>
      </c>
      <c r="AT246" s="88"/>
      <c r="AU246" s="90" t="str">
        <f aca="false">IF(AT246="","",ROUND(AT246/(1+Справочники!$B$12),0))</f>
        <v/>
      </c>
      <c r="AV246" s="90" t="str">
        <f aca="false">IF(AT246="","",ROUND(AT246*(1-Справочники!$B$15),0))</f>
        <v/>
      </c>
      <c r="AW246" s="90" t="str">
        <f aca="false">IF(AT246="","",ROUND(AT246*(1-Справочники!$B$16),0))</f>
        <v/>
      </c>
      <c r="AX246" s="90" t="str">
        <f aca="false">IF(AT246="","",ROUND(AT246*(1-Справочники!$B$17),0))</f>
        <v/>
      </c>
      <c r="AY246" s="90" t="str">
        <f aca="false">IF(AT246="","",ROUND(AT246*(1-Справочники!$B$18),0))</f>
        <v/>
      </c>
      <c r="AZ246" s="90" t="str">
        <f aca="false">IF(AT246="","",ROUND(AT246*(1-Справочники!$B$19),0))</f>
        <v/>
      </c>
      <c r="BA246" s="81"/>
      <c r="BB246" s="81"/>
      <c r="BC246" s="81"/>
      <c r="BD246" s="81"/>
      <c r="BE246" s="91"/>
      <c r="BF246" s="81" t="s">
        <v>103</v>
      </c>
      <c r="BG246" s="89" t="n">
        <f aca="false" t="array" ref="BG246:BG246">IF(BF246="","",IFERROR(INDEX(Справочники!$B$4:$B$7,MATCH(BF246,Справочники!$A$4:$A$7,0)),""))</f>
        <v>68.5</v>
      </c>
      <c r="BH246" s="90" t="str">
        <f aca="false">IF(N(BN246)&gt;0,ROUND(SUMIF(ЗАКАЗЫ!$F$3:$F$500,$A246,ЗАКАЗЫ!$Y$3:$Y$500)/BN246,0),IF(OR(BE246="",BG246=""),"",ROUND(BE246*BG246*(1+Справочники!$B$10),0)))</f>
        <v/>
      </c>
      <c r="BI246" s="92" t="str">
        <f aca="false">IF(OR(AU246="",BH246="",AU246=0),"",(AU246-BH246)/AU246)</f>
        <v/>
      </c>
      <c r="BJ246" s="81"/>
      <c r="BK246" s="83"/>
      <c r="BL246" s="43" t="str">
        <f aca="false">IFERROR(INDEX(ЗАКАЗЫ!$N$3:$N$500,MATCH($A246,ЗАКАЗЫ!$F$3:$F$500,0)),"")</f>
        <v/>
      </c>
      <c r="BM246" s="8" t="str">
        <f aca="false">IF(BL246="","",IFERROR(VLOOKUP(BL246,'ТН ВЭД'!$A$4:$C$40,3,0),""))</f>
        <v/>
      </c>
      <c r="BN246" s="7" t="str">
        <f aca="false">IF(COUNTIF(ЗАКАЗЫ!$F$3:$F$500,$A246)=0,"",SUMIF(ЗАКАЗЫ!$F$3:$F$500,$A246,ЗАКАЗЫ!$J$3:$J$500))</f>
        <v/>
      </c>
      <c r="BO246" s="7" t="str">
        <f aca="false">IF(BN246="","",SUMIF(ЗАКАЗЫ!$F$3:$F$500,$A246,ЗАКАЗЫ!$AL$3:$AL$500))</f>
        <v/>
      </c>
      <c r="BP246" s="7" t="str">
        <f aca="false">IF(BN246="","",BN246-BO246)</f>
        <v/>
      </c>
      <c r="BQ246" s="55" t="str">
        <f aca="false">IF(BN246="","",IF(BO246&gt;=BN246,"На складе",IF(BO246&gt;0,"Частично","Ждём")))</f>
        <v/>
      </c>
      <c r="BR246" s="43"/>
      <c r="BS246" s="47" t="str">
        <f aca="false">IF(BN246="","",IF(_xlfn.MAXIFS(ЗАКАЗЫ!$AK$3:$AK$500,ЗАКАЗЫ!$F$3:$F$500,$A246)=0,"",_xlfn.MAXIFS(ЗАКАЗЫ!$AK$3:$AK$500,ЗАКАЗЫ!$F$3:$F$500,$A246)))</f>
        <v/>
      </c>
    </row>
    <row r="247" customFormat="false" ht="15.75" hidden="false" customHeight="true" outlineLevel="0" collapsed="false">
      <c r="A247" s="80" t="s">
        <v>2114</v>
      </c>
      <c r="B247" s="81"/>
      <c r="C247" s="81"/>
      <c r="D247" s="81"/>
      <c r="E247" s="83"/>
      <c r="F247" s="81"/>
      <c r="G247" s="83"/>
      <c r="H247" s="83"/>
      <c r="I247" s="84" t="str">
        <f aca="false">IF(E247="","",A247&amp;"_1.jpg")</f>
        <v/>
      </c>
      <c r="J247" s="84" t="str">
        <f aca="false">IF(E247="","",A247&amp;"_2.jpg; "&amp;A247&amp;"_3.jpg")</f>
        <v/>
      </c>
      <c r="K247" s="84" t="str">
        <f aca="false">IF(E247="","",A247&amp;"_schema.jpg")</f>
        <v/>
      </c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 t="s">
        <v>96</v>
      </c>
      <c r="W247" s="81"/>
      <c r="X247" s="81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6" t="str">
        <f aca="false">IF(SUM(Y247:AJ247)=0,"",SUM(Y247:AJ247))</f>
        <v/>
      </c>
      <c r="AL247" s="84" t="str">
        <f aca="false">MID(IF(N(Y247)&gt;0,", "&amp;Y$2,"")&amp;IF(N(Z247)&gt;0,", "&amp;Z$2,"")&amp;IF(N(AA247)&gt;0,", "&amp;AA$2,"")&amp;IF(N(AB247)&gt;0,", "&amp;AB$2,"")&amp;IF(N(AC247)&gt;0,", "&amp;AC$2,"")&amp;IF(N(AD247)&gt;0,", "&amp;AD$2,"")&amp;IF(N(AE247)&gt;0,", "&amp;AE$2,"")&amp;IF(N(AF247)&gt;0,", "&amp;AF$2,"")&amp;IF(N(AG247)&gt;0,", "&amp;AG$2,"")&amp;IF(N(AH247)&gt;0,", "&amp;AH$2,"")&amp;IF(N(AI247)&gt;0,", "&amp;AI$2,"")&amp;IF(N(AJ247)&gt;0,", "&amp;AJ$2,""),3,999)</f>
        <v/>
      </c>
      <c r="AM247" s="87" t="str">
        <f aca="false">IF(E247="","",MID(IF(N(Y247)&gt;0,", "&amp;A247&amp;"-"&amp;Y$2,"")&amp;IF(N(Z247)&gt;0,", "&amp;A247&amp;"-"&amp;Z$2,"")&amp;IF(N(AA247)&gt;0,", "&amp;A247&amp;"-"&amp;AA$2,"")&amp;IF(N(AB247)&gt;0,", "&amp;A247&amp;"-"&amp;AB$2,"")&amp;IF(N(AC247)&gt;0,", "&amp;A247&amp;"-"&amp;AC$2,"")&amp;IF(N(AD247)&gt;0,", "&amp;A247&amp;"-"&amp;AD$2,"")&amp;IF(N(AE247)&gt;0,", "&amp;A247&amp;"-"&amp;AE$2,"")&amp;IF(N(AF247)&gt;0,", "&amp;A247&amp;"-"&amp;AF$2,"")&amp;IF(N(AG247)&gt;0,", "&amp;A247&amp;"-"&amp;AG$2,"")&amp;IF(N(AH247)&gt;0,", "&amp;A247&amp;"-"&amp;AH$2,"")&amp;IF(N(AI247)&gt;0,", "&amp;A247&amp;"-"&amp;AI$2,"")&amp;IF(N(AJ247)&gt;0,", "&amp;A247&amp;"-"&amp;AJ$2,""),3,999))</f>
        <v/>
      </c>
      <c r="AN247" s="81"/>
      <c r="AO247" s="88"/>
      <c r="AP247" s="89" t="str">
        <f aca="false">IF(AO247="","",ROUND(AO247/(1+Справочники!$B$13),2))</f>
        <v/>
      </c>
      <c r="AQ247" s="90" t="str">
        <f aca="false" t="array" ref="AQ247:AQ247">IF(AP247="","",AP247*INDEX(Справочники!$B$4:$B$7,MATCH("RUB",Справочники!$A$4:$A$7,0)))</f>
        <v/>
      </c>
      <c r="AR247" s="90" t="str">
        <f aca="false">IF(AQ247="","",ROUND(AQ247*(1+Справочники!$B$12),0))</f>
        <v/>
      </c>
      <c r="AS247" s="90" t="str">
        <f aca="false">IF(AR247="","",ROUND(AR247*(1-Справочники!$B$11),0))</f>
        <v/>
      </c>
      <c r="AT247" s="88"/>
      <c r="AU247" s="90" t="str">
        <f aca="false">IF(AT247="","",ROUND(AT247/(1+Справочники!$B$12),0))</f>
        <v/>
      </c>
      <c r="AV247" s="90" t="str">
        <f aca="false">IF(AT247="","",ROUND(AT247*(1-Справочники!$B$15),0))</f>
        <v/>
      </c>
      <c r="AW247" s="90" t="str">
        <f aca="false">IF(AT247="","",ROUND(AT247*(1-Справочники!$B$16),0))</f>
        <v/>
      </c>
      <c r="AX247" s="90" t="str">
        <f aca="false">IF(AT247="","",ROUND(AT247*(1-Справочники!$B$17),0))</f>
        <v/>
      </c>
      <c r="AY247" s="90" t="str">
        <f aca="false">IF(AT247="","",ROUND(AT247*(1-Справочники!$B$18),0))</f>
        <v/>
      </c>
      <c r="AZ247" s="90" t="str">
        <f aca="false">IF(AT247="","",ROUND(AT247*(1-Справочники!$B$19),0))</f>
        <v/>
      </c>
      <c r="BA247" s="81"/>
      <c r="BB247" s="81"/>
      <c r="BC247" s="81"/>
      <c r="BD247" s="81"/>
      <c r="BE247" s="91"/>
      <c r="BF247" s="81" t="s">
        <v>103</v>
      </c>
      <c r="BG247" s="89" t="n">
        <f aca="false" t="array" ref="BG247:BG247">IF(BF247="","",IFERROR(INDEX(Справочники!$B$4:$B$7,MATCH(BF247,Справочники!$A$4:$A$7,0)),""))</f>
        <v>68.5</v>
      </c>
      <c r="BH247" s="90" t="str">
        <f aca="false">IF(N(BN247)&gt;0,ROUND(SUMIF(ЗАКАЗЫ!$F$3:$F$500,$A247,ЗАКАЗЫ!$Y$3:$Y$500)/BN247,0),IF(OR(BE247="",BG247=""),"",ROUND(BE247*BG247*(1+Справочники!$B$10),0)))</f>
        <v/>
      </c>
      <c r="BI247" s="92" t="str">
        <f aca="false">IF(OR(AU247="",BH247="",AU247=0),"",(AU247-BH247)/AU247)</f>
        <v/>
      </c>
      <c r="BJ247" s="81"/>
      <c r="BK247" s="83"/>
      <c r="BL247" s="43" t="str">
        <f aca="false">IFERROR(INDEX(ЗАКАЗЫ!$N$3:$N$500,MATCH($A247,ЗАКАЗЫ!$F$3:$F$500,0)),"")</f>
        <v/>
      </c>
      <c r="BM247" s="8" t="str">
        <f aca="false">IF(BL247="","",IFERROR(VLOOKUP(BL247,'ТН ВЭД'!$A$4:$C$40,3,0),""))</f>
        <v/>
      </c>
      <c r="BN247" s="7" t="str">
        <f aca="false">IF(COUNTIF(ЗАКАЗЫ!$F$3:$F$500,$A247)=0,"",SUMIF(ЗАКАЗЫ!$F$3:$F$500,$A247,ЗАКАЗЫ!$J$3:$J$500))</f>
        <v/>
      </c>
      <c r="BO247" s="7" t="str">
        <f aca="false">IF(BN247="","",SUMIF(ЗАКАЗЫ!$F$3:$F$500,$A247,ЗАКАЗЫ!$AL$3:$AL$500))</f>
        <v/>
      </c>
      <c r="BP247" s="7" t="str">
        <f aca="false">IF(BN247="","",BN247-BO247)</f>
        <v/>
      </c>
      <c r="BQ247" s="55" t="str">
        <f aca="false">IF(BN247="","",IF(BO247&gt;=BN247,"На складе",IF(BO247&gt;0,"Частично","Ждём")))</f>
        <v/>
      </c>
      <c r="BR247" s="43"/>
      <c r="BS247" s="47" t="str">
        <f aca="false">IF(BN247="","",IF(_xlfn.MAXIFS(ЗАКАЗЫ!$AK$3:$AK$500,ЗАКАЗЫ!$F$3:$F$500,$A247)=0,"",_xlfn.MAXIFS(ЗАКАЗЫ!$AK$3:$AK$500,ЗАКАЗЫ!$F$3:$F$500,$A247)))</f>
        <v/>
      </c>
    </row>
    <row r="248" customFormat="false" ht="15.75" hidden="false" customHeight="true" outlineLevel="0" collapsed="false">
      <c r="A248" s="80" t="s">
        <v>2115</v>
      </c>
      <c r="B248" s="81"/>
      <c r="C248" s="81"/>
      <c r="D248" s="81"/>
      <c r="E248" s="83"/>
      <c r="F248" s="81"/>
      <c r="G248" s="83"/>
      <c r="H248" s="83"/>
      <c r="I248" s="84" t="str">
        <f aca="false">IF(E248="","",A248&amp;"_1.jpg")</f>
        <v/>
      </c>
      <c r="J248" s="84" t="str">
        <f aca="false">IF(E248="","",A248&amp;"_2.jpg; "&amp;A248&amp;"_3.jpg")</f>
        <v/>
      </c>
      <c r="K248" s="84" t="str">
        <f aca="false">IF(E248="","",A248&amp;"_schema.jpg")</f>
        <v/>
      </c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 t="s">
        <v>96</v>
      </c>
      <c r="W248" s="81"/>
      <c r="X248" s="81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6" t="str">
        <f aca="false">IF(SUM(Y248:AJ248)=0,"",SUM(Y248:AJ248))</f>
        <v/>
      </c>
      <c r="AL248" s="84" t="str">
        <f aca="false">MID(IF(N(Y248)&gt;0,", "&amp;Y$2,"")&amp;IF(N(Z248)&gt;0,", "&amp;Z$2,"")&amp;IF(N(AA248)&gt;0,", "&amp;AA$2,"")&amp;IF(N(AB248)&gt;0,", "&amp;AB$2,"")&amp;IF(N(AC248)&gt;0,", "&amp;AC$2,"")&amp;IF(N(AD248)&gt;0,", "&amp;AD$2,"")&amp;IF(N(AE248)&gt;0,", "&amp;AE$2,"")&amp;IF(N(AF248)&gt;0,", "&amp;AF$2,"")&amp;IF(N(AG248)&gt;0,", "&amp;AG$2,"")&amp;IF(N(AH248)&gt;0,", "&amp;AH$2,"")&amp;IF(N(AI248)&gt;0,", "&amp;AI$2,"")&amp;IF(N(AJ248)&gt;0,", "&amp;AJ$2,""),3,999)</f>
        <v/>
      </c>
      <c r="AM248" s="87" t="str">
        <f aca="false">IF(E248="","",MID(IF(N(Y248)&gt;0,", "&amp;A248&amp;"-"&amp;Y$2,"")&amp;IF(N(Z248)&gt;0,", "&amp;A248&amp;"-"&amp;Z$2,"")&amp;IF(N(AA248)&gt;0,", "&amp;A248&amp;"-"&amp;AA$2,"")&amp;IF(N(AB248)&gt;0,", "&amp;A248&amp;"-"&amp;AB$2,"")&amp;IF(N(AC248)&gt;0,", "&amp;A248&amp;"-"&amp;AC$2,"")&amp;IF(N(AD248)&gt;0,", "&amp;A248&amp;"-"&amp;AD$2,"")&amp;IF(N(AE248)&gt;0,", "&amp;A248&amp;"-"&amp;AE$2,"")&amp;IF(N(AF248)&gt;0,", "&amp;A248&amp;"-"&amp;AF$2,"")&amp;IF(N(AG248)&gt;0,", "&amp;A248&amp;"-"&amp;AG$2,"")&amp;IF(N(AH248)&gt;0,", "&amp;A248&amp;"-"&amp;AH$2,"")&amp;IF(N(AI248)&gt;0,", "&amp;A248&amp;"-"&amp;AI$2,"")&amp;IF(N(AJ248)&gt;0,", "&amp;A248&amp;"-"&amp;AJ$2,""),3,999))</f>
        <v/>
      </c>
      <c r="AN248" s="81"/>
      <c r="AO248" s="88"/>
      <c r="AP248" s="89" t="str">
        <f aca="false">IF(AO248="","",ROUND(AO248/(1+Справочники!$B$13),2))</f>
        <v/>
      </c>
      <c r="AQ248" s="90" t="str">
        <f aca="false" t="array" ref="AQ248:AQ248">IF(AP248="","",AP248*INDEX(Справочники!$B$4:$B$7,MATCH("RUB",Справочники!$A$4:$A$7,0)))</f>
        <v/>
      </c>
      <c r="AR248" s="90" t="str">
        <f aca="false">IF(AQ248="","",ROUND(AQ248*(1+Справочники!$B$12),0))</f>
        <v/>
      </c>
      <c r="AS248" s="90" t="str">
        <f aca="false">IF(AR248="","",ROUND(AR248*(1-Справочники!$B$11),0))</f>
        <v/>
      </c>
      <c r="AT248" s="88"/>
      <c r="AU248" s="90" t="str">
        <f aca="false">IF(AT248="","",ROUND(AT248/(1+Справочники!$B$12),0))</f>
        <v/>
      </c>
      <c r="AV248" s="90" t="str">
        <f aca="false">IF(AT248="","",ROUND(AT248*(1-Справочники!$B$15),0))</f>
        <v/>
      </c>
      <c r="AW248" s="90" t="str">
        <f aca="false">IF(AT248="","",ROUND(AT248*(1-Справочники!$B$16),0))</f>
        <v/>
      </c>
      <c r="AX248" s="90" t="str">
        <f aca="false">IF(AT248="","",ROUND(AT248*(1-Справочники!$B$17),0))</f>
        <v/>
      </c>
      <c r="AY248" s="90" t="str">
        <f aca="false">IF(AT248="","",ROUND(AT248*(1-Справочники!$B$18),0))</f>
        <v/>
      </c>
      <c r="AZ248" s="90" t="str">
        <f aca="false">IF(AT248="","",ROUND(AT248*(1-Справочники!$B$19),0))</f>
        <v/>
      </c>
      <c r="BA248" s="81"/>
      <c r="BB248" s="81"/>
      <c r="BC248" s="81"/>
      <c r="BD248" s="81"/>
      <c r="BE248" s="91"/>
      <c r="BF248" s="81" t="s">
        <v>103</v>
      </c>
      <c r="BG248" s="89" t="n">
        <f aca="false" t="array" ref="BG248:BG248">IF(BF248="","",IFERROR(INDEX(Справочники!$B$4:$B$7,MATCH(BF248,Справочники!$A$4:$A$7,0)),""))</f>
        <v>68.5</v>
      </c>
      <c r="BH248" s="90" t="str">
        <f aca="false">IF(N(BN248)&gt;0,ROUND(SUMIF(ЗАКАЗЫ!$F$3:$F$500,$A248,ЗАКАЗЫ!$Y$3:$Y$500)/BN248,0),IF(OR(BE248="",BG248=""),"",ROUND(BE248*BG248*(1+Справочники!$B$10),0)))</f>
        <v/>
      </c>
      <c r="BI248" s="92" t="str">
        <f aca="false">IF(OR(AU248="",BH248="",AU248=0),"",(AU248-BH248)/AU248)</f>
        <v/>
      </c>
      <c r="BJ248" s="81"/>
      <c r="BK248" s="83"/>
      <c r="BL248" s="43" t="str">
        <f aca="false">IFERROR(INDEX(ЗАКАЗЫ!$N$3:$N$500,MATCH($A248,ЗАКАЗЫ!$F$3:$F$500,0)),"")</f>
        <v/>
      </c>
      <c r="BM248" s="8" t="str">
        <f aca="false">IF(BL248="","",IFERROR(VLOOKUP(BL248,'ТН ВЭД'!$A$4:$C$40,3,0),""))</f>
        <v/>
      </c>
      <c r="BN248" s="7" t="str">
        <f aca="false">IF(COUNTIF(ЗАКАЗЫ!$F$3:$F$500,$A248)=0,"",SUMIF(ЗАКАЗЫ!$F$3:$F$500,$A248,ЗАКАЗЫ!$J$3:$J$500))</f>
        <v/>
      </c>
      <c r="BO248" s="7" t="str">
        <f aca="false">IF(BN248="","",SUMIF(ЗАКАЗЫ!$F$3:$F$500,$A248,ЗАКАЗЫ!$AL$3:$AL$500))</f>
        <v/>
      </c>
      <c r="BP248" s="7" t="str">
        <f aca="false">IF(BN248="","",BN248-BO248)</f>
        <v/>
      </c>
      <c r="BQ248" s="55" t="str">
        <f aca="false">IF(BN248="","",IF(BO248&gt;=BN248,"На складе",IF(BO248&gt;0,"Частично","Ждём")))</f>
        <v/>
      </c>
      <c r="BR248" s="43"/>
      <c r="BS248" s="47" t="str">
        <f aca="false">IF(BN248="","",IF(_xlfn.MAXIFS(ЗАКАЗЫ!$AK$3:$AK$500,ЗАКАЗЫ!$F$3:$F$500,$A248)=0,"",_xlfn.MAXIFS(ЗАКАЗЫ!$AK$3:$AK$500,ЗАКАЗЫ!$F$3:$F$500,$A248)))</f>
        <v/>
      </c>
    </row>
    <row r="249" customFormat="false" ht="15.75" hidden="false" customHeight="true" outlineLevel="0" collapsed="false">
      <c r="A249" s="80" t="s">
        <v>2116</v>
      </c>
      <c r="B249" s="81"/>
      <c r="C249" s="81"/>
      <c r="D249" s="81"/>
      <c r="E249" s="83"/>
      <c r="F249" s="81"/>
      <c r="G249" s="83"/>
      <c r="H249" s="83"/>
      <c r="I249" s="84" t="str">
        <f aca="false">IF(E249="","",A249&amp;"_1.jpg")</f>
        <v/>
      </c>
      <c r="J249" s="84" t="str">
        <f aca="false">IF(E249="","",A249&amp;"_2.jpg; "&amp;A249&amp;"_3.jpg")</f>
        <v/>
      </c>
      <c r="K249" s="84" t="str">
        <f aca="false">IF(E249="","",A249&amp;"_schema.jpg")</f>
        <v/>
      </c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 t="s">
        <v>96</v>
      </c>
      <c r="W249" s="81"/>
      <c r="X249" s="81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6" t="str">
        <f aca="false">IF(SUM(Y249:AJ249)=0,"",SUM(Y249:AJ249))</f>
        <v/>
      </c>
      <c r="AL249" s="84" t="str">
        <f aca="false">MID(IF(N(Y249)&gt;0,", "&amp;Y$2,"")&amp;IF(N(Z249)&gt;0,", "&amp;Z$2,"")&amp;IF(N(AA249)&gt;0,", "&amp;AA$2,"")&amp;IF(N(AB249)&gt;0,", "&amp;AB$2,"")&amp;IF(N(AC249)&gt;0,", "&amp;AC$2,"")&amp;IF(N(AD249)&gt;0,", "&amp;AD$2,"")&amp;IF(N(AE249)&gt;0,", "&amp;AE$2,"")&amp;IF(N(AF249)&gt;0,", "&amp;AF$2,"")&amp;IF(N(AG249)&gt;0,", "&amp;AG$2,"")&amp;IF(N(AH249)&gt;0,", "&amp;AH$2,"")&amp;IF(N(AI249)&gt;0,", "&amp;AI$2,"")&amp;IF(N(AJ249)&gt;0,", "&amp;AJ$2,""),3,999)</f>
        <v/>
      </c>
      <c r="AM249" s="87" t="str">
        <f aca="false">IF(E249="","",MID(IF(N(Y249)&gt;0,", "&amp;A249&amp;"-"&amp;Y$2,"")&amp;IF(N(Z249)&gt;0,", "&amp;A249&amp;"-"&amp;Z$2,"")&amp;IF(N(AA249)&gt;0,", "&amp;A249&amp;"-"&amp;AA$2,"")&amp;IF(N(AB249)&gt;0,", "&amp;A249&amp;"-"&amp;AB$2,"")&amp;IF(N(AC249)&gt;0,", "&amp;A249&amp;"-"&amp;AC$2,"")&amp;IF(N(AD249)&gt;0,", "&amp;A249&amp;"-"&amp;AD$2,"")&amp;IF(N(AE249)&gt;0,", "&amp;A249&amp;"-"&amp;AE$2,"")&amp;IF(N(AF249)&gt;0,", "&amp;A249&amp;"-"&amp;AF$2,"")&amp;IF(N(AG249)&gt;0,", "&amp;A249&amp;"-"&amp;AG$2,"")&amp;IF(N(AH249)&gt;0,", "&amp;A249&amp;"-"&amp;AH$2,"")&amp;IF(N(AI249)&gt;0,", "&amp;A249&amp;"-"&amp;AI$2,"")&amp;IF(N(AJ249)&gt;0,", "&amp;A249&amp;"-"&amp;AJ$2,""),3,999))</f>
        <v/>
      </c>
      <c r="AN249" s="81"/>
      <c r="AO249" s="88"/>
      <c r="AP249" s="89" t="str">
        <f aca="false">IF(AO249="","",ROUND(AO249/(1+Справочники!$B$13),2))</f>
        <v/>
      </c>
      <c r="AQ249" s="90" t="str">
        <f aca="false" t="array" ref="AQ249:AQ249">IF(AP249="","",AP249*INDEX(Справочники!$B$4:$B$7,MATCH("RUB",Справочники!$A$4:$A$7,0)))</f>
        <v/>
      </c>
      <c r="AR249" s="90" t="str">
        <f aca="false">IF(AQ249="","",ROUND(AQ249*(1+Справочники!$B$12),0))</f>
        <v/>
      </c>
      <c r="AS249" s="90" t="str">
        <f aca="false">IF(AR249="","",ROUND(AR249*(1-Справочники!$B$11),0))</f>
        <v/>
      </c>
      <c r="AT249" s="88"/>
      <c r="AU249" s="90" t="str">
        <f aca="false">IF(AT249="","",ROUND(AT249/(1+Справочники!$B$12),0))</f>
        <v/>
      </c>
      <c r="AV249" s="90" t="str">
        <f aca="false">IF(AT249="","",ROUND(AT249*(1-Справочники!$B$15),0))</f>
        <v/>
      </c>
      <c r="AW249" s="90" t="str">
        <f aca="false">IF(AT249="","",ROUND(AT249*(1-Справочники!$B$16),0))</f>
        <v/>
      </c>
      <c r="AX249" s="90" t="str">
        <f aca="false">IF(AT249="","",ROUND(AT249*(1-Справочники!$B$17),0))</f>
        <v/>
      </c>
      <c r="AY249" s="90" t="str">
        <f aca="false">IF(AT249="","",ROUND(AT249*(1-Справочники!$B$18),0))</f>
        <v/>
      </c>
      <c r="AZ249" s="90" t="str">
        <f aca="false">IF(AT249="","",ROUND(AT249*(1-Справочники!$B$19),0))</f>
        <v/>
      </c>
      <c r="BA249" s="81"/>
      <c r="BB249" s="81"/>
      <c r="BC249" s="81"/>
      <c r="BD249" s="81"/>
      <c r="BE249" s="91"/>
      <c r="BF249" s="81" t="s">
        <v>103</v>
      </c>
      <c r="BG249" s="89" t="n">
        <f aca="false" t="array" ref="BG249:BG249">IF(BF249="","",IFERROR(INDEX(Справочники!$B$4:$B$7,MATCH(BF249,Справочники!$A$4:$A$7,0)),""))</f>
        <v>68.5</v>
      </c>
      <c r="BH249" s="90" t="str">
        <f aca="false">IF(N(BN249)&gt;0,ROUND(SUMIF(ЗАКАЗЫ!$F$3:$F$500,$A249,ЗАКАЗЫ!$Y$3:$Y$500)/BN249,0),IF(OR(BE249="",BG249=""),"",ROUND(BE249*BG249*(1+Справочники!$B$10),0)))</f>
        <v/>
      </c>
      <c r="BI249" s="92" t="str">
        <f aca="false">IF(OR(AU249="",BH249="",AU249=0),"",(AU249-BH249)/AU249)</f>
        <v/>
      </c>
      <c r="BJ249" s="81"/>
      <c r="BK249" s="83"/>
      <c r="BL249" s="43" t="str">
        <f aca="false">IFERROR(INDEX(ЗАКАЗЫ!$N$3:$N$500,MATCH($A249,ЗАКАЗЫ!$F$3:$F$500,0)),"")</f>
        <v/>
      </c>
      <c r="BM249" s="8" t="str">
        <f aca="false">IF(BL249="","",IFERROR(VLOOKUP(BL249,'ТН ВЭД'!$A$4:$C$40,3,0),""))</f>
        <v/>
      </c>
      <c r="BN249" s="7" t="str">
        <f aca="false">IF(COUNTIF(ЗАКАЗЫ!$F$3:$F$500,$A249)=0,"",SUMIF(ЗАКАЗЫ!$F$3:$F$500,$A249,ЗАКАЗЫ!$J$3:$J$500))</f>
        <v/>
      </c>
      <c r="BO249" s="7" t="str">
        <f aca="false">IF(BN249="","",SUMIF(ЗАКАЗЫ!$F$3:$F$500,$A249,ЗАКАЗЫ!$AL$3:$AL$500))</f>
        <v/>
      </c>
      <c r="BP249" s="7" t="str">
        <f aca="false">IF(BN249="","",BN249-BO249)</f>
        <v/>
      </c>
      <c r="BQ249" s="55" t="str">
        <f aca="false">IF(BN249="","",IF(BO249&gt;=BN249,"На складе",IF(BO249&gt;0,"Частично","Ждём")))</f>
        <v/>
      </c>
      <c r="BR249" s="43"/>
      <c r="BS249" s="47" t="str">
        <f aca="false">IF(BN249="","",IF(_xlfn.MAXIFS(ЗАКАЗЫ!$AK$3:$AK$500,ЗАКАЗЫ!$F$3:$F$500,$A249)=0,"",_xlfn.MAXIFS(ЗАКАЗЫ!$AK$3:$AK$500,ЗАКАЗЫ!$F$3:$F$500,$A249)))</f>
        <v/>
      </c>
    </row>
    <row r="250" customFormat="false" ht="15.75" hidden="false" customHeight="true" outlineLevel="0" collapsed="false">
      <c r="A250" s="80" t="s">
        <v>2117</v>
      </c>
      <c r="B250" s="81"/>
      <c r="C250" s="81"/>
      <c r="D250" s="81"/>
      <c r="E250" s="83"/>
      <c r="F250" s="81"/>
      <c r="G250" s="83"/>
      <c r="H250" s="83"/>
      <c r="I250" s="84" t="str">
        <f aca="false">IF(E250="","",A250&amp;"_1.jpg")</f>
        <v/>
      </c>
      <c r="J250" s="84" t="str">
        <f aca="false">IF(E250="","",A250&amp;"_2.jpg; "&amp;A250&amp;"_3.jpg")</f>
        <v/>
      </c>
      <c r="K250" s="84" t="str">
        <f aca="false">IF(E250="","",A250&amp;"_schema.jpg")</f>
        <v/>
      </c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 t="s">
        <v>96</v>
      </c>
      <c r="W250" s="81"/>
      <c r="X250" s="81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6" t="str">
        <f aca="false">IF(SUM(Y250:AJ250)=0,"",SUM(Y250:AJ250))</f>
        <v/>
      </c>
      <c r="AL250" s="84" t="str">
        <f aca="false">MID(IF(N(Y250)&gt;0,", "&amp;Y$2,"")&amp;IF(N(Z250)&gt;0,", "&amp;Z$2,"")&amp;IF(N(AA250)&gt;0,", "&amp;AA$2,"")&amp;IF(N(AB250)&gt;0,", "&amp;AB$2,"")&amp;IF(N(AC250)&gt;0,", "&amp;AC$2,"")&amp;IF(N(AD250)&gt;0,", "&amp;AD$2,"")&amp;IF(N(AE250)&gt;0,", "&amp;AE$2,"")&amp;IF(N(AF250)&gt;0,", "&amp;AF$2,"")&amp;IF(N(AG250)&gt;0,", "&amp;AG$2,"")&amp;IF(N(AH250)&gt;0,", "&amp;AH$2,"")&amp;IF(N(AI250)&gt;0,", "&amp;AI$2,"")&amp;IF(N(AJ250)&gt;0,", "&amp;AJ$2,""),3,999)</f>
        <v/>
      </c>
      <c r="AM250" s="87" t="str">
        <f aca="false">IF(E250="","",MID(IF(N(Y250)&gt;0,", "&amp;A250&amp;"-"&amp;Y$2,"")&amp;IF(N(Z250)&gt;0,", "&amp;A250&amp;"-"&amp;Z$2,"")&amp;IF(N(AA250)&gt;0,", "&amp;A250&amp;"-"&amp;AA$2,"")&amp;IF(N(AB250)&gt;0,", "&amp;A250&amp;"-"&amp;AB$2,"")&amp;IF(N(AC250)&gt;0,", "&amp;A250&amp;"-"&amp;AC$2,"")&amp;IF(N(AD250)&gt;0,", "&amp;A250&amp;"-"&amp;AD$2,"")&amp;IF(N(AE250)&gt;0,", "&amp;A250&amp;"-"&amp;AE$2,"")&amp;IF(N(AF250)&gt;0,", "&amp;A250&amp;"-"&amp;AF$2,"")&amp;IF(N(AG250)&gt;0,", "&amp;A250&amp;"-"&amp;AG$2,"")&amp;IF(N(AH250)&gt;0,", "&amp;A250&amp;"-"&amp;AH$2,"")&amp;IF(N(AI250)&gt;0,", "&amp;A250&amp;"-"&amp;AI$2,"")&amp;IF(N(AJ250)&gt;0,", "&amp;A250&amp;"-"&amp;AJ$2,""),3,999))</f>
        <v/>
      </c>
      <c r="AN250" s="81"/>
      <c r="AO250" s="88"/>
      <c r="AP250" s="89" t="str">
        <f aca="false">IF(AO250="","",ROUND(AO250/(1+Справочники!$B$13),2))</f>
        <v/>
      </c>
      <c r="AQ250" s="90" t="str">
        <f aca="false" t="array" ref="AQ250:AQ250">IF(AP250="","",AP250*INDEX(Справочники!$B$4:$B$7,MATCH("RUB",Справочники!$A$4:$A$7,0)))</f>
        <v/>
      </c>
      <c r="AR250" s="90" t="str">
        <f aca="false">IF(AQ250="","",ROUND(AQ250*(1+Справочники!$B$12),0))</f>
        <v/>
      </c>
      <c r="AS250" s="90" t="str">
        <f aca="false">IF(AR250="","",ROUND(AR250*(1-Справочники!$B$11),0))</f>
        <v/>
      </c>
      <c r="AT250" s="88"/>
      <c r="AU250" s="90" t="str">
        <f aca="false">IF(AT250="","",ROUND(AT250/(1+Справочники!$B$12),0))</f>
        <v/>
      </c>
      <c r="AV250" s="90" t="str">
        <f aca="false">IF(AT250="","",ROUND(AT250*(1-Справочники!$B$15),0))</f>
        <v/>
      </c>
      <c r="AW250" s="90" t="str">
        <f aca="false">IF(AT250="","",ROUND(AT250*(1-Справочники!$B$16),0))</f>
        <v/>
      </c>
      <c r="AX250" s="90" t="str">
        <f aca="false">IF(AT250="","",ROUND(AT250*(1-Справочники!$B$17),0))</f>
        <v/>
      </c>
      <c r="AY250" s="90" t="str">
        <f aca="false">IF(AT250="","",ROUND(AT250*(1-Справочники!$B$18),0))</f>
        <v/>
      </c>
      <c r="AZ250" s="90" t="str">
        <f aca="false">IF(AT250="","",ROUND(AT250*(1-Справочники!$B$19),0))</f>
        <v/>
      </c>
      <c r="BA250" s="81"/>
      <c r="BB250" s="81"/>
      <c r="BC250" s="81"/>
      <c r="BD250" s="81"/>
      <c r="BE250" s="91"/>
      <c r="BF250" s="81" t="s">
        <v>103</v>
      </c>
      <c r="BG250" s="89" t="n">
        <f aca="false" t="array" ref="BG250:BG250">IF(BF250="","",IFERROR(INDEX(Справочники!$B$4:$B$7,MATCH(BF250,Справочники!$A$4:$A$7,0)),""))</f>
        <v>68.5</v>
      </c>
      <c r="BH250" s="90" t="str">
        <f aca="false">IF(N(BN250)&gt;0,ROUND(SUMIF(ЗАКАЗЫ!$F$3:$F$500,$A250,ЗАКАЗЫ!$Y$3:$Y$500)/BN250,0),IF(OR(BE250="",BG250=""),"",ROUND(BE250*BG250*(1+Справочники!$B$10),0)))</f>
        <v/>
      </c>
      <c r="BI250" s="92" t="str">
        <f aca="false">IF(OR(AU250="",BH250="",AU250=0),"",(AU250-BH250)/AU250)</f>
        <v/>
      </c>
      <c r="BJ250" s="81"/>
      <c r="BK250" s="83"/>
      <c r="BL250" s="43" t="str">
        <f aca="false">IFERROR(INDEX(ЗАКАЗЫ!$N$3:$N$500,MATCH($A250,ЗАКАЗЫ!$F$3:$F$500,0)),"")</f>
        <v/>
      </c>
      <c r="BM250" s="8" t="str">
        <f aca="false">IF(BL250="","",IFERROR(VLOOKUP(BL250,'ТН ВЭД'!$A$4:$C$40,3,0),""))</f>
        <v/>
      </c>
      <c r="BN250" s="7" t="str">
        <f aca="false">IF(COUNTIF(ЗАКАЗЫ!$F$3:$F$500,$A250)=0,"",SUMIF(ЗАКАЗЫ!$F$3:$F$500,$A250,ЗАКАЗЫ!$J$3:$J$500))</f>
        <v/>
      </c>
      <c r="BO250" s="7" t="str">
        <f aca="false">IF(BN250="","",SUMIF(ЗАКАЗЫ!$F$3:$F$500,$A250,ЗАКАЗЫ!$AL$3:$AL$500))</f>
        <v/>
      </c>
      <c r="BP250" s="7" t="str">
        <f aca="false">IF(BN250="","",BN250-BO250)</f>
        <v/>
      </c>
      <c r="BQ250" s="55" t="str">
        <f aca="false">IF(BN250="","",IF(BO250&gt;=BN250,"На складе",IF(BO250&gt;0,"Частично","Ждём")))</f>
        <v/>
      </c>
      <c r="BR250" s="43"/>
      <c r="BS250" s="47" t="str">
        <f aca="false">IF(BN250="","",IF(_xlfn.MAXIFS(ЗАКАЗЫ!$AK$3:$AK$500,ЗАКАЗЫ!$F$3:$F$500,$A250)=0,"",_xlfn.MAXIFS(ЗАКАЗЫ!$AK$3:$AK$500,ЗАКАЗЫ!$F$3:$F$500,$A250)))</f>
        <v/>
      </c>
    </row>
    <row r="251" customFormat="false" ht="15.75" hidden="false" customHeight="true" outlineLevel="0" collapsed="false">
      <c r="A251" s="80" t="s">
        <v>2118</v>
      </c>
      <c r="B251" s="81"/>
      <c r="C251" s="81"/>
      <c r="D251" s="81"/>
      <c r="E251" s="83"/>
      <c r="F251" s="81"/>
      <c r="G251" s="83"/>
      <c r="H251" s="83"/>
      <c r="I251" s="84" t="str">
        <f aca="false">IF(E251="","",A251&amp;"_1.jpg")</f>
        <v/>
      </c>
      <c r="J251" s="84" t="str">
        <f aca="false">IF(E251="","",A251&amp;"_2.jpg; "&amp;A251&amp;"_3.jpg")</f>
        <v/>
      </c>
      <c r="K251" s="84" t="str">
        <f aca="false">IF(E251="","",A251&amp;"_schema.jpg")</f>
        <v/>
      </c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 t="s">
        <v>96</v>
      </c>
      <c r="W251" s="81"/>
      <c r="X251" s="81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6" t="str">
        <f aca="false">IF(SUM(Y251:AJ251)=0,"",SUM(Y251:AJ251))</f>
        <v/>
      </c>
      <c r="AL251" s="84" t="str">
        <f aca="false">MID(IF(N(Y251)&gt;0,", "&amp;Y$2,"")&amp;IF(N(Z251)&gt;0,", "&amp;Z$2,"")&amp;IF(N(AA251)&gt;0,", "&amp;AA$2,"")&amp;IF(N(AB251)&gt;0,", "&amp;AB$2,"")&amp;IF(N(AC251)&gt;0,", "&amp;AC$2,"")&amp;IF(N(AD251)&gt;0,", "&amp;AD$2,"")&amp;IF(N(AE251)&gt;0,", "&amp;AE$2,"")&amp;IF(N(AF251)&gt;0,", "&amp;AF$2,"")&amp;IF(N(AG251)&gt;0,", "&amp;AG$2,"")&amp;IF(N(AH251)&gt;0,", "&amp;AH$2,"")&amp;IF(N(AI251)&gt;0,", "&amp;AI$2,"")&amp;IF(N(AJ251)&gt;0,", "&amp;AJ$2,""),3,999)</f>
        <v/>
      </c>
      <c r="AM251" s="87" t="str">
        <f aca="false">IF(E251="","",MID(IF(N(Y251)&gt;0,", "&amp;A251&amp;"-"&amp;Y$2,"")&amp;IF(N(Z251)&gt;0,", "&amp;A251&amp;"-"&amp;Z$2,"")&amp;IF(N(AA251)&gt;0,", "&amp;A251&amp;"-"&amp;AA$2,"")&amp;IF(N(AB251)&gt;0,", "&amp;A251&amp;"-"&amp;AB$2,"")&amp;IF(N(AC251)&gt;0,", "&amp;A251&amp;"-"&amp;AC$2,"")&amp;IF(N(AD251)&gt;0,", "&amp;A251&amp;"-"&amp;AD$2,"")&amp;IF(N(AE251)&gt;0,", "&amp;A251&amp;"-"&amp;AE$2,"")&amp;IF(N(AF251)&gt;0,", "&amp;A251&amp;"-"&amp;AF$2,"")&amp;IF(N(AG251)&gt;0,", "&amp;A251&amp;"-"&amp;AG$2,"")&amp;IF(N(AH251)&gt;0,", "&amp;A251&amp;"-"&amp;AH$2,"")&amp;IF(N(AI251)&gt;0,", "&amp;A251&amp;"-"&amp;AI$2,"")&amp;IF(N(AJ251)&gt;0,", "&amp;A251&amp;"-"&amp;AJ$2,""),3,999))</f>
        <v/>
      </c>
      <c r="AN251" s="81"/>
      <c r="AO251" s="88"/>
      <c r="AP251" s="89" t="str">
        <f aca="false">IF(AO251="","",ROUND(AO251/(1+Справочники!$B$13),2))</f>
        <v/>
      </c>
      <c r="AQ251" s="90" t="str">
        <f aca="false" t="array" ref="AQ251:AQ251">IF(AP251="","",AP251*INDEX(Справочники!$B$4:$B$7,MATCH("RUB",Справочники!$A$4:$A$7,0)))</f>
        <v/>
      </c>
      <c r="AR251" s="90" t="str">
        <f aca="false">IF(AQ251="","",ROUND(AQ251*(1+Справочники!$B$12),0))</f>
        <v/>
      </c>
      <c r="AS251" s="90" t="str">
        <f aca="false">IF(AR251="","",ROUND(AR251*(1-Справочники!$B$11),0))</f>
        <v/>
      </c>
      <c r="AT251" s="88"/>
      <c r="AU251" s="90" t="str">
        <f aca="false">IF(AT251="","",ROUND(AT251/(1+Справочники!$B$12),0))</f>
        <v/>
      </c>
      <c r="AV251" s="90" t="str">
        <f aca="false">IF(AT251="","",ROUND(AT251*(1-Справочники!$B$15),0))</f>
        <v/>
      </c>
      <c r="AW251" s="90" t="str">
        <f aca="false">IF(AT251="","",ROUND(AT251*(1-Справочники!$B$16),0))</f>
        <v/>
      </c>
      <c r="AX251" s="90" t="str">
        <f aca="false">IF(AT251="","",ROUND(AT251*(1-Справочники!$B$17),0))</f>
        <v/>
      </c>
      <c r="AY251" s="90" t="str">
        <f aca="false">IF(AT251="","",ROUND(AT251*(1-Справочники!$B$18),0))</f>
        <v/>
      </c>
      <c r="AZ251" s="90" t="str">
        <f aca="false">IF(AT251="","",ROUND(AT251*(1-Справочники!$B$19),0))</f>
        <v/>
      </c>
      <c r="BA251" s="81"/>
      <c r="BB251" s="81"/>
      <c r="BC251" s="81"/>
      <c r="BD251" s="81"/>
      <c r="BE251" s="91"/>
      <c r="BF251" s="81" t="s">
        <v>103</v>
      </c>
      <c r="BG251" s="89" t="n">
        <f aca="false" t="array" ref="BG251:BG251">IF(BF251="","",IFERROR(INDEX(Справочники!$B$4:$B$7,MATCH(BF251,Справочники!$A$4:$A$7,0)),""))</f>
        <v>68.5</v>
      </c>
      <c r="BH251" s="90" t="str">
        <f aca="false">IF(N(BN251)&gt;0,ROUND(SUMIF(ЗАКАЗЫ!$F$3:$F$500,$A251,ЗАКАЗЫ!$Y$3:$Y$500)/BN251,0),IF(OR(BE251="",BG251=""),"",ROUND(BE251*BG251*(1+Справочники!$B$10),0)))</f>
        <v/>
      </c>
      <c r="BI251" s="92" t="str">
        <f aca="false">IF(OR(AU251="",BH251="",AU251=0),"",(AU251-BH251)/AU251)</f>
        <v/>
      </c>
      <c r="BJ251" s="81"/>
      <c r="BK251" s="83"/>
      <c r="BL251" s="43" t="str">
        <f aca="false">IFERROR(INDEX(ЗАКАЗЫ!$N$3:$N$500,MATCH($A251,ЗАКАЗЫ!$F$3:$F$500,0)),"")</f>
        <v/>
      </c>
      <c r="BM251" s="8" t="str">
        <f aca="false">IF(BL251="","",IFERROR(VLOOKUP(BL251,'ТН ВЭД'!$A$4:$C$40,3,0),""))</f>
        <v/>
      </c>
      <c r="BN251" s="7" t="str">
        <f aca="false">IF(COUNTIF(ЗАКАЗЫ!$F$3:$F$500,$A251)=0,"",SUMIF(ЗАКАЗЫ!$F$3:$F$500,$A251,ЗАКАЗЫ!$J$3:$J$500))</f>
        <v/>
      </c>
      <c r="BO251" s="7" t="str">
        <f aca="false">IF(BN251="","",SUMIF(ЗАКАЗЫ!$F$3:$F$500,$A251,ЗАКАЗЫ!$AL$3:$AL$500))</f>
        <v/>
      </c>
      <c r="BP251" s="7" t="str">
        <f aca="false">IF(BN251="","",BN251-BO251)</f>
        <v/>
      </c>
      <c r="BQ251" s="55" t="str">
        <f aca="false">IF(BN251="","",IF(BO251&gt;=BN251,"На складе",IF(BO251&gt;0,"Частично","Ждём")))</f>
        <v/>
      </c>
      <c r="BR251" s="43"/>
      <c r="BS251" s="47" t="str">
        <f aca="false">IF(BN251="","",IF(_xlfn.MAXIFS(ЗАКАЗЫ!$AK$3:$AK$500,ЗАКАЗЫ!$F$3:$F$500,$A251)=0,"",_xlfn.MAXIFS(ЗАКАЗЫ!$AK$3:$AK$500,ЗАКАЗЫ!$F$3:$F$500,$A251)))</f>
        <v/>
      </c>
    </row>
    <row r="252" customFormat="false" ht="15.75" hidden="false" customHeight="true" outlineLevel="0" collapsed="false">
      <c r="A252" s="80" t="s">
        <v>2119</v>
      </c>
      <c r="B252" s="81"/>
      <c r="C252" s="81"/>
      <c r="D252" s="81"/>
      <c r="E252" s="83"/>
      <c r="F252" s="81"/>
      <c r="G252" s="83"/>
      <c r="H252" s="83"/>
      <c r="I252" s="84" t="str">
        <f aca="false">IF(E252="","",A252&amp;"_1.jpg")</f>
        <v/>
      </c>
      <c r="J252" s="84" t="str">
        <f aca="false">IF(E252="","",A252&amp;"_2.jpg; "&amp;A252&amp;"_3.jpg")</f>
        <v/>
      </c>
      <c r="K252" s="84" t="str">
        <f aca="false">IF(E252="","",A252&amp;"_schema.jpg")</f>
        <v/>
      </c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 t="s">
        <v>96</v>
      </c>
      <c r="W252" s="81"/>
      <c r="X252" s="81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6" t="str">
        <f aca="false">IF(SUM(Y252:AJ252)=0,"",SUM(Y252:AJ252))</f>
        <v/>
      </c>
      <c r="AL252" s="84" t="str">
        <f aca="false">MID(IF(N(Y252)&gt;0,", "&amp;Y$2,"")&amp;IF(N(Z252)&gt;0,", "&amp;Z$2,"")&amp;IF(N(AA252)&gt;0,", "&amp;AA$2,"")&amp;IF(N(AB252)&gt;0,", "&amp;AB$2,"")&amp;IF(N(AC252)&gt;0,", "&amp;AC$2,"")&amp;IF(N(AD252)&gt;0,", "&amp;AD$2,"")&amp;IF(N(AE252)&gt;0,", "&amp;AE$2,"")&amp;IF(N(AF252)&gt;0,", "&amp;AF$2,"")&amp;IF(N(AG252)&gt;0,", "&amp;AG$2,"")&amp;IF(N(AH252)&gt;0,", "&amp;AH$2,"")&amp;IF(N(AI252)&gt;0,", "&amp;AI$2,"")&amp;IF(N(AJ252)&gt;0,", "&amp;AJ$2,""),3,999)</f>
        <v/>
      </c>
      <c r="AM252" s="87" t="str">
        <f aca="false">IF(E252="","",MID(IF(N(Y252)&gt;0,", "&amp;A252&amp;"-"&amp;Y$2,"")&amp;IF(N(Z252)&gt;0,", "&amp;A252&amp;"-"&amp;Z$2,"")&amp;IF(N(AA252)&gt;0,", "&amp;A252&amp;"-"&amp;AA$2,"")&amp;IF(N(AB252)&gt;0,", "&amp;A252&amp;"-"&amp;AB$2,"")&amp;IF(N(AC252)&gt;0,", "&amp;A252&amp;"-"&amp;AC$2,"")&amp;IF(N(AD252)&gt;0,", "&amp;A252&amp;"-"&amp;AD$2,"")&amp;IF(N(AE252)&gt;0,", "&amp;A252&amp;"-"&amp;AE$2,"")&amp;IF(N(AF252)&gt;0,", "&amp;A252&amp;"-"&amp;AF$2,"")&amp;IF(N(AG252)&gt;0,", "&amp;A252&amp;"-"&amp;AG$2,"")&amp;IF(N(AH252)&gt;0,", "&amp;A252&amp;"-"&amp;AH$2,"")&amp;IF(N(AI252)&gt;0,", "&amp;A252&amp;"-"&amp;AI$2,"")&amp;IF(N(AJ252)&gt;0,", "&amp;A252&amp;"-"&amp;AJ$2,""),3,999))</f>
        <v/>
      </c>
      <c r="AN252" s="81"/>
      <c r="AO252" s="88"/>
      <c r="AP252" s="89" t="str">
        <f aca="false">IF(AO252="","",ROUND(AO252/(1+Справочники!$B$13),2))</f>
        <v/>
      </c>
      <c r="AQ252" s="90" t="str">
        <f aca="false" t="array" ref="AQ252:AQ252">IF(AP252="","",AP252*INDEX(Справочники!$B$4:$B$7,MATCH("RUB",Справочники!$A$4:$A$7,0)))</f>
        <v/>
      </c>
      <c r="AR252" s="90" t="str">
        <f aca="false">IF(AQ252="","",ROUND(AQ252*(1+Справочники!$B$12),0))</f>
        <v/>
      </c>
      <c r="AS252" s="90" t="str">
        <f aca="false">IF(AR252="","",ROUND(AR252*(1-Справочники!$B$11),0))</f>
        <v/>
      </c>
      <c r="AT252" s="88"/>
      <c r="AU252" s="90" t="str">
        <f aca="false">IF(AT252="","",ROUND(AT252/(1+Справочники!$B$12),0))</f>
        <v/>
      </c>
      <c r="AV252" s="90" t="str">
        <f aca="false">IF(AT252="","",ROUND(AT252*(1-Справочники!$B$15),0))</f>
        <v/>
      </c>
      <c r="AW252" s="90" t="str">
        <f aca="false">IF(AT252="","",ROUND(AT252*(1-Справочники!$B$16),0))</f>
        <v/>
      </c>
      <c r="AX252" s="90" t="str">
        <f aca="false">IF(AT252="","",ROUND(AT252*(1-Справочники!$B$17),0))</f>
        <v/>
      </c>
      <c r="AY252" s="90" t="str">
        <f aca="false">IF(AT252="","",ROUND(AT252*(1-Справочники!$B$18),0))</f>
        <v/>
      </c>
      <c r="AZ252" s="90" t="str">
        <f aca="false">IF(AT252="","",ROUND(AT252*(1-Справочники!$B$19),0))</f>
        <v/>
      </c>
      <c r="BA252" s="81"/>
      <c r="BB252" s="81"/>
      <c r="BC252" s="81"/>
      <c r="BD252" s="81"/>
      <c r="BE252" s="91"/>
      <c r="BF252" s="81" t="s">
        <v>103</v>
      </c>
      <c r="BG252" s="89" t="n">
        <f aca="false" t="array" ref="BG252:BG252">IF(BF252="","",IFERROR(INDEX(Справочники!$B$4:$B$7,MATCH(BF252,Справочники!$A$4:$A$7,0)),""))</f>
        <v>68.5</v>
      </c>
      <c r="BH252" s="90" t="str">
        <f aca="false">IF(N(BN252)&gt;0,ROUND(SUMIF(ЗАКАЗЫ!$F$3:$F$500,$A252,ЗАКАЗЫ!$Y$3:$Y$500)/BN252,0),IF(OR(BE252="",BG252=""),"",ROUND(BE252*BG252*(1+Справочники!$B$10),0)))</f>
        <v/>
      </c>
      <c r="BI252" s="92" t="str">
        <f aca="false">IF(OR(AU252="",BH252="",AU252=0),"",(AU252-BH252)/AU252)</f>
        <v/>
      </c>
      <c r="BJ252" s="81"/>
      <c r="BK252" s="83"/>
      <c r="BL252" s="43" t="str">
        <f aca="false">IFERROR(INDEX(ЗАКАЗЫ!$N$3:$N$500,MATCH($A252,ЗАКАЗЫ!$F$3:$F$500,0)),"")</f>
        <v/>
      </c>
      <c r="BM252" s="8" t="str">
        <f aca="false">IF(BL252="","",IFERROR(VLOOKUP(BL252,'ТН ВЭД'!$A$4:$C$40,3,0),""))</f>
        <v/>
      </c>
      <c r="BN252" s="7" t="str">
        <f aca="false">IF(COUNTIF(ЗАКАЗЫ!$F$3:$F$500,$A252)=0,"",SUMIF(ЗАКАЗЫ!$F$3:$F$500,$A252,ЗАКАЗЫ!$J$3:$J$500))</f>
        <v/>
      </c>
      <c r="BO252" s="7" t="str">
        <f aca="false">IF(BN252="","",SUMIF(ЗАКАЗЫ!$F$3:$F$500,$A252,ЗАКАЗЫ!$AL$3:$AL$500))</f>
        <v/>
      </c>
      <c r="BP252" s="7" t="str">
        <f aca="false">IF(BN252="","",BN252-BO252)</f>
        <v/>
      </c>
      <c r="BQ252" s="55" t="str">
        <f aca="false">IF(BN252="","",IF(BO252&gt;=BN252,"На складе",IF(BO252&gt;0,"Частично","Ждём")))</f>
        <v/>
      </c>
      <c r="BR252" s="43"/>
      <c r="BS252" s="47" t="str">
        <f aca="false">IF(BN252="","",IF(_xlfn.MAXIFS(ЗАКАЗЫ!$AK$3:$AK$500,ЗАКАЗЫ!$F$3:$F$500,$A252)=0,"",_xlfn.MAXIFS(ЗАКАЗЫ!$AK$3:$AK$500,ЗАКАЗЫ!$F$3:$F$500,$A252)))</f>
        <v/>
      </c>
    </row>
    <row r="253" customFormat="false" ht="15.75" hidden="false" customHeight="true" outlineLevel="0" collapsed="false">
      <c r="A253" s="80" t="s">
        <v>2120</v>
      </c>
      <c r="B253" s="81"/>
      <c r="C253" s="81"/>
      <c r="D253" s="81"/>
      <c r="E253" s="83"/>
      <c r="F253" s="81"/>
      <c r="G253" s="83"/>
      <c r="H253" s="83"/>
      <c r="I253" s="84" t="str">
        <f aca="false">IF(E253="","",A253&amp;"_1.jpg")</f>
        <v/>
      </c>
      <c r="J253" s="84" t="str">
        <f aca="false">IF(E253="","",A253&amp;"_2.jpg; "&amp;A253&amp;"_3.jpg")</f>
        <v/>
      </c>
      <c r="K253" s="84" t="str">
        <f aca="false">IF(E253="","",A253&amp;"_schema.jpg")</f>
        <v/>
      </c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 t="s">
        <v>96</v>
      </c>
      <c r="W253" s="81"/>
      <c r="X253" s="81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6" t="str">
        <f aca="false">IF(SUM(Y253:AJ253)=0,"",SUM(Y253:AJ253))</f>
        <v/>
      </c>
      <c r="AL253" s="84" t="str">
        <f aca="false">MID(IF(N(Y253)&gt;0,", "&amp;Y$2,"")&amp;IF(N(Z253)&gt;0,", "&amp;Z$2,"")&amp;IF(N(AA253)&gt;0,", "&amp;AA$2,"")&amp;IF(N(AB253)&gt;0,", "&amp;AB$2,"")&amp;IF(N(AC253)&gt;0,", "&amp;AC$2,"")&amp;IF(N(AD253)&gt;0,", "&amp;AD$2,"")&amp;IF(N(AE253)&gt;0,", "&amp;AE$2,"")&amp;IF(N(AF253)&gt;0,", "&amp;AF$2,"")&amp;IF(N(AG253)&gt;0,", "&amp;AG$2,"")&amp;IF(N(AH253)&gt;0,", "&amp;AH$2,"")&amp;IF(N(AI253)&gt;0,", "&amp;AI$2,"")&amp;IF(N(AJ253)&gt;0,", "&amp;AJ$2,""),3,999)</f>
        <v/>
      </c>
      <c r="AM253" s="87" t="str">
        <f aca="false">IF(E253="","",MID(IF(N(Y253)&gt;0,", "&amp;A253&amp;"-"&amp;Y$2,"")&amp;IF(N(Z253)&gt;0,", "&amp;A253&amp;"-"&amp;Z$2,"")&amp;IF(N(AA253)&gt;0,", "&amp;A253&amp;"-"&amp;AA$2,"")&amp;IF(N(AB253)&gt;0,", "&amp;A253&amp;"-"&amp;AB$2,"")&amp;IF(N(AC253)&gt;0,", "&amp;A253&amp;"-"&amp;AC$2,"")&amp;IF(N(AD253)&gt;0,", "&amp;A253&amp;"-"&amp;AD$2,"")&amp;IF(N(AE253)&gt;0,", "&amp;A253&amp;"-"&amp;AE$2,"")&amp;IF(N(AF253)&gt;0,", "&amp;A253&amp;"-"&amp;AF$2,"")&amp;IF(N(AG253)&gt;0,", "&amp;A253&amp;"-"&amp;AG$2,"")&amp;IF(N(AH253)&gt;0,", "&amp;A253&amp;"-"&amp;AH$2,"")&amp;IF(N(AI253)&gt;0,", "&amp;A253&amp;"-"&amp;AI$2,"")&amp;IF(N(AJ253)&gt;0,", "&amp;A253&amp;"-"&amp;AJ$2,""),3,999))</f>
        <v/>
      </c>
      <c r="AN253" s="81"/>
      <c r="AO253" s="88"/>
      <c r="AP253" s="89" t="str">
        <f aca="false">IF(AO253="","",ROUND(AO253/(1+Справочники!$B$13),2))</f>
        <v/>
      </c>
      <c r="AQ253" s="90" t="str">
        <f aca="false" t="array" ref="AQ253:AQ253">IF(AP253="","",AP253*INDEX(Справочники!$B$4:$B$7,MATCH("RUB",Справочники!$A$4:$A$7,0)))</f>
        <v/>
      </c>
      <c r="AR253" s="90" t="str">
        <f aca="false">IF(AQ253="","",ROUND(AQ253*(1+Справочники!$B$12),0))</f>
        <v/>
      </c>
      <c r="AS253" s="90" t="str">
        <f aca="false">IF(AR253="","",ROUND(AR253*(1-Справочники!$B$11),0))</f>
        <v/>
      </c>
      <c r="AT253" s="88"/>
      <c r="AU253" s="90" t="str">
        <f aca="false">IF(AT253="","",ROUND(AT253/(1+Справочники!$B$12),0))</f>
        <v/>
      </c>
      <c r="AV253" s="90" t="str">
        <f aca="false">IF(AT253="","",ROUND(AT253*(1-Справочники!$B$15),0))</f>
        <v/>
      </c>
      <c r="AW253" s="90" t="str">
        <f aca="false">IF(AT253="","",ROUND(AT253*(1-Справочники!$B$16),0))</f>
        <v/>
      </c>
      <c r="AX253" s="90" t="str">
        <f aca="false">IF(AT253="","",ROUND(AT253*(1-Справочники!$B$17),0))</f>
        <v/>
      </c>
      <c r="AY253" s="90" t="str">
        <f aca="false">IF(AT253="","",ROUND(AT253*(1-Справочники!$B$18),0))</f>
        <v/>
      </c>
      <c r="AZ253" s="90" t="str">
        <f aca="false">IF(AT253="","",ROUND(AT253*(1-Справочники!$B$19),0))</f>
        <v/>
      </c>
      <c r="BA253" s="81"/>
      <c r="BB253" s="81"/>
      <c r="BC253" s="81"/>
      <c r="BD253" s="81"/>
      <c r="BE253" s="91"/>
      <c r="BF253" s="81" t="s">
        <v>103</v>
      </c>
      <c r="BG253" s="89" t="n">
        <f aca="false" t="array" ref="BG253:BG253">IF(BF253="","",IFERROR(INDEX(Справочники!$B$4:$B$7,MATCH(BF253,Справочники!$A$4:$A$7,0)),""))</f>
        <v>68.5</v>
      </c>
      <c r="BH253" s="90" t="str">
        <f aca="false">IF(N(BN253)&gt;0,ROUND(SUMIF(ЗАКАЗЫ!$F$3:$F$500,$A253,ЗАКАЗЫ!$Y$3:$Y$500)/BN253,0),IF(OR(BE253="",BG253=""),"",ROUND(BE253*BG253*(1+Справочники!$B$10),0)))</f>
        <v/>
      </c>
      <c r="BI253" s="92" t="str">
        <f aca="false">IF(OR(AU253="",BH253="",AU253=0),"",(AU253-BH253)/AU253)</f>
        <v/>
      </c>
      <c r="BJ253" s="81"/>
      <c r="BK253" s="83"/>
      <c r="BL253" s="43" t="str">
        <f aca="false">IFERROR(INDEX(ЗАКАЗЫ!$N$3:$N$500,MATCH($A253,ЗАКАЗЫ!$F$3:$F$500,0)),"")</f>
        <v/>
      </c>
      <c r="BM253" s="8" t="str">
        <f aca="false">IF(BL253="","",IFERROR(VLOOKUP(BL253,'ТН ВЭД'!$A$4:$C$40,3,0),""))</f>
        <v/>
      </c>
      <c r="BN253" s="7" t="str">
        <f aca="false">IF(COUNTIF(ЗАКАЗЫ!$F$3:$F$500,$A253)=0,"",SUMIF(ЗАКАЗЫ!$F$3:$F$500,$A253,ЗАКАЗЫ!$J$3:$J$500))</f>
        <v/>
      </c>
      <c r="BO253" s="7" t="str">
        <f aca="false">IF(BN253="","",SUMIF(ЗАКАЗЫ!$F$3:$F$500,$A253,ЗАКАЗЫ!$AL$3:$AL$500))</f>
        <v/>
      </c>
      <c r="BP253" s="7" t="str">
        <f aca="false">IF(BN253="","",BN253-BO253)</f>
        <v/>
      </c>
      <c r="BQ253" s="55" t="str">
        <f aca="false">IF(BN253="","",IF(BO253&gt;=BN253,"На складе",IF(BO253&gt;0,"Частично","Ждём")))</f>
        <v/>
      </c>
      <c r="BR253" s="43"/>
      <c r="BS253" s="47" t="str">
        <f aca="false">IF(BN253="","",IF(_xlfn.MAXIFS(ЗАКАЗЫ!$AK$3:$AK$500,ЗАКАЗЫ!$F$3:$F$500,$A253)=0,"",_xlfn.MAXIFS(ЗАКАЗЫ!$AK$3:$AK$500,ЗАКАЗЫ!$F$3:$F$500,$A253)))</f>
        <v/>
      </c>
    </row>
    <row r="254" customFormat="false" ht="15.75" hidden="false" customHeight="true" outlineLevel="0" collapsed="false">
      <c r="A254" s="80" t="s">
        <v>2121</v>
      </c>
      <c r="B254" s="81"/>
      <c r="C254" s="81"/>
      <c r="D254" s="81"/>
      <c r="E254" s="83"/>
      <c r="F254" s="81"/>
      <c r="G254" s="83"/>
      <c r="H254" s="83"/>
      <c r="I254" s="84" t="str">
        <f aca="false">IF(E254="","",A254&amp;"_1.jpg")</f>
        <v/>
      </c>
      <c r="J254" s="84" t="str">
        <f aca="false">IF(E254="","",A254&amp;"_2.jpg; "&amp;A254&amp;"_3.jpg")</f>
        <v/>
      </c>
      <c r="K254" s="84" t="str">
        <f aca="false">IF(E254="","",A254&amp;"_schema.jpg")</f>
        <v/>
      </c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 t="s">
        <v>96</v>
      </c>
      <c r="W254" s="81"/>
      <c r="X254" s="81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6" t="str">
        <f aca="false">IF(SUM(Y254:AJ254)=0,"",SUM(Y254:AJ254))</f>
        <v/>
      </c>
      <c r="AL254" s="84" t="str">
        <f aca="false">MID(IF(N(Y254)&gt;0,", "&amp;Y$2,"")&amp;IF(N(Z254)&gt;0,", "&amp;Z$2,"")&amp;IF(N(AA254)&gt;0,", "&amp;AA$2,"")&amp;IF(N(AB254)&gt;0,", "&amp;AB$2,"")&amp;IF(N(AC254)&gt;0,", "&amp;AC$2,"")&amp;IF(N(AD254)&gt;0,", "&amp;AD$2,"")&amp;IF(N(AE254)&gt;0,", "&amp;AE$2,"")&amp;IF(N(AF254)&gt;0,", "&amp;AF$2,"")&amp;IF(N(AG254)&gt;0,", "&amp;AG$2,"")&amp;IF(N(AH254)&gt;0,", "&amp;AH$2,"")&amp;IF(N(AI254)&gt;0,", "&amp;AI$2,"")&amp;IF(N(AJ254)&gt;0,", "&amp;AJ$2,""),3,999)</f>
        <v/>
      </c>
      <c r="AM254" s="87" t="str">
        <f aca="false">IF(E254="","",MID(IF(N(Y254)&gt;0,", "&amp;A254&amp;"-"&amp;Y$2,"")&amp;IF(N(Z254)&gt;0,", "&amp;A254&amp;"-"&amp;Z$2,"")&amp;IF(N(AA254)&gt;0,", "&amp;A254&amp;"-"&amp;AA$2,"")&amp;IF(N(AB254)&gt;0,", "&amp;A254&amp;"-"&amp;AB$2,"")&amp;IF(N(AC254)&gt;0,", "&amp;A254&amp;"-"&amp;AC$2,"")&amp;IF(N(AD254)&gt;0,", "&amp;A254&amp;"-"&amp;AD$2,"")&amp;IF(N(AE254)&gt;0,", "&amp;A254&amp;"-"&amp;AE$2,"")&amp;IF(N(AF254)&gt;0,", "&amp;A254&amp;"-"&amp;AF$2,"")&amp;IF(N(AG254)&gt;0,", "&amp;A254&amp;"-"&amp;AG$2,"")&amp;IF(N(AH254)&gt;0,", "&amp;A254&amp;"-"&amp;AH$2,"")&amp;IF(N(AI254)&gt;0,", "&amp;A254&amp;"-"&amp;AI$2,"")&amp;IF(N(AJ254)&gt;0,", "&amp;A254&amp;"-"&amp;AJ$2,""),3,999))</f>
        <v/>
      </c>
      <c r="AN254" s="81"/>
      <c r="AO254" s="88"/>
      <c r="AP254" s="89" t="str">
        <f aca="false">IF(AO254="","",ROUND(AO254/(1+Справочники!$B$13),2))</f>
        <v/>
      </c>
      <c r="AQ254" s="90" t="str">
        <f aca="false" t="array" ref="AQ254:AQ254">IF(AP254="","",AP254*INDEX(Справочники!$B$4:$B$7,MATCH("RUB",Справочники!$A$4:$A$7,0)))</f>
        <v/>
      </c>
      <c r="AR254" s="90" t="str">
        <f aca="false">IF(AQ254="","",ROUND(AQ254*(1+Справочники!$B$12),0))</f>
        <v/>
      </c>
      <c r="AS254" s="90" t="str">
        <f aca="false">IF(AR254="","",ROUND(AR254*(1-Справочники!$B$11),0))</f>
        <v/>
      </c>
      <c r="AT254" s="88"/>
      <c r="AU254" s="90" t="str">
        <f aca="false">IF(AT254="","",ROUND(AT254/(1+Справочники!$B$12),0))</f>
        <v/>
      </c>
      <c r="AV254" s="90" t="str">
        <f aca="false">IF(AT254="","",ROUND(AT254*(1-Справочники!$B$15),0))</f>
        <v/>
      </c>
      <c r="AW254" s="90" t="str">
        <f aca="false">IF(AT254="","",ROUND(AT254*(1-Справочники!$B$16),0))</f>
        <v/>
      </c>
      <c r="AX254" s="90" t="str">
        <f aca="false">IF(AT254="","",ROUND(AT254*(1-Справочники!$B$17),0))</f>
        <v/>
      </c>
      <c r="AY254" s="90" t="str">
        <f aca="false">IF(AT254="","",ROUND(AT254*(1-Справочники!$B$18),0))</f>
        <v/>
      </c>
      <c r="AZ254" s="90" t="str">
        <f aca="false">IF(AT254="","",ROUND(AT254*(1-Справочники!$B$19),0))</f>
        <v/>
      </c>
      <c r="BA254" s="81"/>
      <c r="BB254" s="81"/>
      <c r="BC254" s="81"/>
      <c r="BD254" s="81"/>
      <c r="BE254" s="91"/>
      <c r="BF254" s="81" t="s">
        <v>103</v>
      </c>
      <c r="BG254" s="89" t="n">
        <f aca="false" t="array" ref="BG254:BG254">IF(BF254="","",IFERROR(INDEX(Справочники!$B$4:$B$7,MATCH(BF254,Справочники!$A$4:$A$7,0)),""))</f>
        <v>68.5</v>
      </c>
      <c r="BH254" s="90" t="str">
        <f aca="false">IF(N(BN254)&gt;0,ROUND(SUMIF(ЗАКАЗЫ!$F$3:$F$500,$A254,ЗАКАЗЫ!$Y$3:$Y$500)/BN254,0),IF(OR(BE254="",BG254=""),"",ROUND(BE254*BG254*(1+Справочники!$B$10),0)))</f>
        <v/>
      </c>
      <c r="BI254" s="92" t="str">
        <f aca="false">IF(OR(AU254="",BH254="",AU254=0),"",(AU254-BH254)/AU254)</f>
        <v/>
      </c>
      <c r="BJ254" s="81"/>
      <c r="BK254" s="83"/>
      <c r="BL254" s="43" t="str">
        <f aca="false">IFERROR(INDEX(ЗАКАЗЫ!$N$3:$N$500,MATCH($A254,ЗАКАЗЫ!$F$3:$F$500,0)),"")</f>
        <v/>
      </c>
      <c r="BM254" s="8" t="str">
        <f aca="false">IF(BL254="","",IFERROR(VLOOKUP(BL254,'ТН ВЭД'!$A$4:$C$40,3,0),""))</f>
        <v/>
      </c>
      <c r="BN254" s="7" t="str">
        <f aca="false">IF(COUNTIF(ЗАКАЗЫ!$F$3:$F$500,$A254)=0,"",SUMIF(ЗАКАЗЫ!$F$3:$F$500,$A254,ЗАКАЗЫ!$J$3:$J$500))</f>
        <v/>
      </c>
      <c r="BO254" s="7" t="str">
        <f aca="false">IF(BN254="","",SUMIF(ЗАКАЗЫ!$F$3:$F$500,$A254,ЗАКАЗЫ!$AL$3:$AL$500))</f>
        <v/>
      </c>
      <c r="BP254" s="7" t="str">
        <f aca="false">IF(BN254="","",BN254-BO254)</f>
        <v/>
      </c>
      <c r="BQ254" s="55" t="str">
        <f aca="false">IF(BN254="","",IF(BO254&gt;=BN254,"На складе",IF(BO254&gt;0,"Частично","Ждём")))</f>
        <v/>
      </c>
      <c r="BR254" s="43"/>
      <c r="BS254" s="47" t="str">
        <f aca="false">IF(BN254="","",IF(_xlfn.MAXIFS(ЗАКАЗЫ!$AK$3:$AK$500,ЗАКАЗЫ!$F$3:$F$500,$A254)=0,"",_xlfn.MAXIFS(ЗАКАЗЫ!$AK$3:$AK$500,ЗАКАЗЫ!$F$3:$F$500,$A254)))</f>
        <v/>
      </c>
    </row>
    <row r="255" customFormat="false" ht="15.75" hidden="false" customHeight="true" outlineLevel="0" collapsed="false">
      <c r="A255" s="80" t="s">
        <v>2122</v>
      </c>
      <c r="B255" s="81"/>
      <c r="C255" s="81"/>
      <c r="D255" s="81"/>
      <c r="E255" s="83"/>
      <c r="F255" s="81"/>
      <c r="G255" s="83"/>
      <c r="H255" s="83"/>
      <c r="I255" s="84" t="str">
        <f aca="false">IF(E255="","",A255&amp;"_1.jpg")</f>
        <v/>
      </c>
      <c r="J255" s="84" t="str">
        <f aca="false">IF(E255="","",A255&amp;"_2.jpg; "&amp;A255&amp;"_3.jpg")</f>
        <v/>
      </c>
      <c r="K255" s="84" t="str">
        <f aca="false">IF(E255="","",A255&amp;"_schema.jpg")</f>
        <v/>
      </c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 t="s">
        <v>96</v>
      </c>
      <c r="W255" s="81"/>
      <c r="X255" s="81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6" t="str">
        <f aca="false">IF(SUM(Y255:AJ255)=0,"",SUM(Y255:AJ255))</f>
        <v/>
      </c>
      <c r="AL255" s="84" t="str">
        <f aca="false">MID(IF(N(Y255)&gt;0,", "&amp;Y$2,"")&amp;IF(N(Z255)&gt;0,", "&amp;Z$2,"")&amp;IF(N(AA255)&gt;0,", "&amp;AA$2,"")&amp;IF(N(AB255)&gt;0,", "&amp;AB$2,"")&amp;IF(N(AC255)&gt;0,", "&amp;AC$2,"")&amp;IF(N(AD255)&gt;0,", "&amp;AD$2,"")&amp;IF(N(AE255)&gt;0,", "&amp;AE$2,"")&amp;IF(N(AF255)&gt;0,", "&amp;AF$2,"")&amp;IF(N(AG255)&gt;0,", "&amp;AG$2,"")&amp;IF(N(AH255)&gt;0,", "&amp;AH$2,"")&amp;IF(N(AI255)&gt;0,", "&amp;AI$2,"")&amp;IF(N(AJ255)&gt;0,", "&amp;AJ$2,""),3,999)</f>
        <v/>
      </c>
      <c r="AM255" s="87" t="str">
        <f aca="false">IF(E255="","",MID(IF(N(Y255)&gt;0,", "&amp;A255&amp;"-"&amp;Y$2,"")&amp;IF(N(Z255)&gt;0,", "&amp;A255&amp;"-"&amp;Z$2,"")&amp;IF(N(AA255)&gt;0,", "&amp;A255&amp;"-"&amp;AA$2,"")&amp;IF(N(AB255)&gt;0,", "&amp;A255&amp;"-"&amp;AB$2,"")&amp;IF(N(AC255)&gt;0,", "&amp;A255&amp;"-"&amp;AC$2,"")&amp;IF(N(AD255)&gt;0,", "&amp;A255&amp;"-"&amp;AD$2,"")&amp;IF(N(AE255)&gt;0,", "&amp;A255&amp;"-"&amp;AE$2,"")&amp;IF(N(AF255)&gt;0,", "&amp;A255&amp;"-"&amp;AF$2,"")&amp;IF(N(AG255)&gt;0,", "&amp;A255&amp;"-"&amp;AG$2,"")&amp;IF(N(AH255)&gt;0,", "&amp;A255&amp;"-"&amp;AH$2,"")&amp;IF(N(AI255)&gt;0,", "&amp;A255&amp;"-"&amp;AI$2,"")&amp;IF(N(AJ255)&gt;0,", "&amp;A255&amp;"-"&amp;AJ$2,""),3,999))</f>
        <v/>
      </c>
      <c r="AN255" s="81"/>
      <c r="AO255" s="88"/>
      <c r="AP255" s="89" t="str">
        <f aca="false">IF(AO255="","",ROUND(AO255/(1+Справочники!$B$13),2))</f>
        <v/>
      </c>
      <c r="AQ255" s="90" t="str">
        <f aca="false" t="array" ref="AQ255:AQ255">IF(AP255="","",AP255*INDEX(Справочники!$B$4:$B$7,MATCH("RUB",Справочники!$A$4:$A$7,0)))</f>
        <v/>
      </c>
      <c r="AR255" s="90" t="str">
        <f aca="false">IF(AQ255="","",ROUND(AQ255*(1+Справочники!$B$12),0))</f>
        <v/>
      </c>
      <c r="AS255" s="90" t="str">
        <f aca="false">IF(AR255="","",ROUND(AR255*(1-Справочники!$B$11),0))</f>
        <v/>
      </c>
      <c r="AT255" s="88"/>
      <c r="AU255" s="90" t="str">
        <f aca="false">IF(AT255="","",ROUND(AT255/(1+Справочники!$B$12),0))</f>
        <v/>
      </c>
      <c r="AV255" s="90" t="str">
        <f aca="false">IF(AT255="","",ROUND(AT255*(1-Справочники!$B$15),0))</f>
        <v/>
      </c>
      <c r="AW255" s="90" t="str">
        <f aca="false">IF(AT255="","",ROUND(AT255*(1-Справочники!$B$16),0))</f>
        <v/>
      </c>
      <c r="AX255" s="90" t="str">
        <f aca="false">IF(AT255="","",ROUND(AT255*(1-Справочники!$B$17),0))</f>
        <v/>
      </c>
      <c r="AY255" s="90" t="str">
        <f aca="false">IF(AT255="","",ROUND(AT255*(1-Справочники!$B$18),0))</f>
        <v/>
      </c>
      <c r="AZ255" s="90" t="str">
        <f aca="false">IF(AT255="","",ROUND(AT255*(1-Справочники!$B$19),0))</f>
        <v/>
      </c>
      <c r="BA255" s="81"/>
      <c r="BB255" s="81"/>
      <c r="BC255" s="81"/>
      <c r="BD255" s="81"/>
      <c r="BE255" s="91"/>
      <c r="BF255" s="81" t="s">
        <v>103</v>
      </c>
      <c r="BG255" s="89" t="n">
        <f aca="false" t="array" ref="BG255:BG255">IF(BF255="","",IFERROR(INDEX(Справочники!$B$4:$B$7,MATCH(BF255,Справочники!$A$4:$A$7,0)),""))</f>
        <v>68.5</v>
      </c>
      <c r="BH255" s="90" t="str">
        <f aca="false">IF(N(BN255)&gt;0,ROUND(SUMIF(ЗАКАЗЫ!$F$3:$F$500,$A255,ЗАКАЗЫ!$Y$3:$Y$500)/BN255,0),IF(OR(BE255="",BG255=""),"",ROUND(BE255*BG255*(1+Справочники!$B$10),0)))</f>
        <v/>
      </c>
      <c r="BI255" s="92" t="str">
        <f aca="false">IF(OR(AU255="",BH255="",AU255=0),"",(AU255-BH255)/AU255)</f>
        <v/>
      </c>
      <c r="BJ255" s="81"/>
      <c r="BK255" s="83"/>
      <c r="BL255" s="43" t="str">
        <f aca="false">IFERROR(INDEX(ЗАКАЗЫ!$N$3:$N$500,MATCH($A255,ЗАКАЗЫ!$F$3:$F$500,0)),"")</f>
        <v/>
      </c>
      <c r="BM255" s="8" t="str">
        <f aca="false">IF(BL255="","",IFERROR(VLOOKUP(BL255,'ТН ВЭД'!$A$4:$C$40,3,0),""))</f>
        <v/>
      </c>
      <c r="BN255" s="7" t="str">
        <f aca="false">IF(COUNTIF(ЗАКАЗЫ!$F$3:$F$500,$A255)=0,"",SUMIF(ЗАКАЗЫ!$F$3:$F$500,$A255,ЗАКАЗЫ!$J$3:$J$500))</f>
        <v/>
      </c>
      <c r="BO255" s="7" t="str">
        <f aca="false">IF(BN255="","",SUMIF(ЗАКАЗЫ!$F$3:$F$500,$A255,ЗАКАЗЫ!$AL$3:$AL$500))</f>
        <v/>
      </c>
      <c r="BP255" s="7" t="str">
        <f aca="false">IF(BN255="","",BN255-BO255)</f>
        <v/>
      </c>
      <c r="BQ255" s="55" t="str">
        <f aca="false">IF(BN255="","",IF(BO255&gt;=BN255,"На складе",IF(BO255&gt;0,"Частично","Ждём")))</f>
        <v/>
      </c>
      <c r="BR255" s="43"/>
      <c r="BS255" s="47" t="str">
        <f aca="false">IF(BN255="","",IF(_xlfn.MAXIFS(ЗАКАЗЫ!$AK$3:$AK$500,ЗАКАЗЫ!$F$3:$F$500,$A255)=0,"",_xlfn.MAXIFS(ЗАКАЗЫ!$AK$3:$AK$500,ЗАКАЗЫ!$F$3:$F$500,$A255)))</f>
        <v/>
      </c>
    </row>
    <row r="256" customFormat="false" ht="15.75" hidden="false" customHeight="true" outlineLevel="0" collapsed="false">
      <c r="A256" s="80" t="s">
        <v>2123</v>
      </c>
      <c r="B256" s="81"/>
      <c r="C256" s="81"/>
      <c r="D256" s="81"/>
      <c r="E256" s="83"/>
      <c r="F256" s="81"/>
      <c r="G256" s="83"/>
      <c r="H256" s="83"/>
      <c r="I256" s="84" t="str">
        <f aca="false">IF(E256="","",A256&amp;"_1.jpg")</f>
        <v/>
      </c>
      <c r="J256" s="84" t="str">
        <f aca="false">IF(E256="","",A256&amp;"_2.jpg; "&amp;A256&amp;"_3.jpg")</f>
        <v/>
      </c>
      <c r="K256" s="84" t="str">
        <f aca="false">IF(E256="","",A256&amp;"_schema.jpg")</f>
        <v/>
      </c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 t="s">
        <v>96</v>
      </c>
      <c r="W256" s="81"/>
      <c r="X256" s="81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6" t="str">
        <f aca="false">IF(SUM(Y256:AJ256)=0,"",SUM(Y256:AJ256))</f>
        <v/>
      </c>
      <c r="AL256" s="84" t="str">
        <f aca="false">MID(IF(N(Y256)&gt;0,", "&amp;Y$2,"")&amp;IF(N(Z256)&gt;0,", "&amp;Z$2,"")&amp;IF(N(AA256)&gt;0,", "&amp;AA$2,"")&amp;IF(N(AB256)&gt;0,", "&amp;AB$2,"")&amp;IF(N(AC256)&gt;0,", "&amp;AC$2,"")&amp;IF(N(AD256)&gt;0,", "&amp;AD$2,"")&amp;IF(N(AE256)&gt;0,", "&amp;AE$2,"")&amp;IF(N(AF256)&gt;0,", "&amp;AF$2,"")&amp;IF(N(AG256)&gt;0,", "&amp;AG$2,"")&amp;IF(N(AH256)&gt;0,", "&amp;AH$2,"")&amp;IF(N(AI256)&gt;0,", "&amp;AI$2,"")&amp;IF(N(AJ256)&gt;0,", "&amp;AJ$2,""),3,999)</f>
        <v/>
      </c>
      <c r="AM256" s="87" t="str">
        <f aca="false">IF(E256="","",MID(IF(N(Y256)&gt;0,", "&amp;A256&amp;"-"&amp;Y$2,"")&amp;IF(N(Z256)&gt;0,", "&amp;A256&amp;"-"&amp;Z$2,"")&amp;IF(N(AA256)&gt;0,", "&amp;A256&amp;"-"&amp;AA$2,"")&amp;IF(N(AB256)&gt;0,", "&amp;A256&amp;"-"&amp;AB$2,"")&amp;IF(N(AC256)&gt;0,", "&amp;A256&amp;"-"&amp;AC$2,"")&amp;IF(N(AD256)&gt;0,", "&amp;A256&amp;"-"&amp;AD$2,"")&amp;IF(N(AE256)&gt;0,", "&amp;A256&amp;"-"&amp;AE$2,"")&amp;IF(N(AF256)&gt;0,", "&amp;A256&amp;"-"&amp;AF$2,"")&amp;IF(N(AG256)&gt;0,", "&amp;A256&amp;"-"&amp;AG$2,"")&amp;IF(N(AH256)&gt;0,", "&amp;A256&amp;"-"&amp;AH$2,"")&amp;IF(N(AI256)&gt;0,", "&amp;A256&amp;"-"&amp;AI$2,"")&amp;IF(N(AJ256)&gt;0,", "&amp;A256&amp;"-"&amp;AJ$2,""),3,999))</f>
        <v/>
      </c>
      <c r="AN256" s="81"/>
      <c r="AO256" s="88"/>
      <c r="AP256" s="89" t="str">
        <f aca="false">IF(AO256="","",ROUND(AO256/(1+Справочники!$B$13),2))</f>
        <v/>
      </c>
      <c r="AQ256" s="90" t="str">
        <f aca="false" t="array" ref="AQ256:AQ256">IF(AP256="","",AP256*INDEX(Справочники!$B$4:$B$7,MATCH("RUB",Справочники!$A$4:$A$7,0)))</f>
        <v/>
      </c>
      <c r="AR256" s="90" t="str">
        <f aca="false">IF(AQ256="","",ROUND(AQ256*(1+Справочники!$B$12),0))</f>
        <v/>
      </c>
      <c r="AS256" s="90" t="str">
        <f aca="false">IF(AR256="","",ROUND(AR256*(1-Справочники!$B$11),0))</f>
        <v/>
      </c>
      <c r="AT256" s="88"/>
      <c r="AU256" s="90" t="str">
        <f aca="false">IF(AT256="","",ROUND(AT256/(1+Справочники!$B$12),0))</f>
        <v/>
      </c>
      <c r="AV256" s="90" t="str">
        <f aca="false">IF(AT256="","",ROUND(AT256*(1-Справочники!$B$15),0))</f>
        <v/>
      </c>
      <c r="AW256" s="90" t="str">
        <f aca="false">IF(AT256="","",ROUND(AT256*(1-Справочники!$B$16),0))</f>
        <v/>
      </c>
      <c r="AX256" s="90" t="str">
        <f aca="false">IF(AT256="","",ROUND(AT256*(1-Справочники!$B$17),0))</f>
        <v/>
      </c>
      <c r="AY256" s="90" t="str">
        <f aca="false">IF(AT256="","",ROUND(AT256*(1-Справочники!$B$18),0))</f>
        <v/>
      </c>
      <c r="AZ256" s="90" t="str">
        <f aca="false">IF(AT256="","",ROUND(AT256*(1-Справочники!$B$19),0))</f>
        <v/>
      </c>
      <c r="BA256" s="81"/>
      <c r="BB256" s="81"/>
      <c r="BC256" s="81"/>
      <c r="BD256" s="81"/>
      <c r="BE256" s="91"/>
      <c r="BF256" s="81" t="s">
        <v>103</v>
      </c>
      <c r="BG256" s="89" t="n">
        <f aca="false" t="array" ref="BG256:BG256">IF(BF256="","",IFERROR(INDEX(Справочники!$B$4:$B$7,MATCH(BF256,Справочники!$A$4:$A$7,0)),""))</f>
        <v>68.5</v>
      </c>
      <c r="BH256" s="90" t="str">
        <f aca="false">IF(N(BN256)&gt;0,ROUND(SUMIF(ЗАКАЗЫ!$F$3:$F$500,$A256,ЗАКАЗЫ!$Y$3:$Y$500)/BN256,0),IF(OR(BE256="",BG256=""),"",ROUND(BE256*BG256*(1+Справочники!$B$10),0)))</f>
        <v/>
      </c>
      <c r="BI256" s="92" t="str">
        <f aca="false">IF(OR(AU256="",BH256="",AU256=0),"",(AU256-BH256)/AU256)</f>
        <v/>
      </c>
      <c r="BJ256" s="81"/>
      <c r="BK256" s="83"/>
      <c r="BL256" s="43" t="str">
        <f aca="false">IFERROR(INDEX(ЗАКАЗЫ!$N$3:$N$500,MATCH($A256,ЗАКАЗЫ!$F$3:$F$500,0)),"")</f>
        <v/>
      </c>
      <c r="BM256" s="8" t="str">
        <f aca="false">IF(BL256="","",IFERROR(VLOOKUP(BL256,'ТН ВЭД'!$A$4:$C$40,3,0),""))</f>
        <v/>
      </c>
      <c r="BN256" s="7" t="str">
        <f aca="false">IF(COUNTIF(ЗАКАЗЫ!$F$3:$F$500,$A256)=0,"",SUMIF(ЗАКАЗЫ!$F$3:$F$500,$A256,ЗАКАЗЫ!$J$3:$J$500))</f>
        <v/>
      </c>
      <c r="BO256" s="7" t="str">
        <f aca="false">IF(BN256="","",SUMIF(ЗАКАЗЫ!$F$3:$F$500,$A256,ЗАКАЗЫ!$AL$3:$AL$500))</f>
        <v/>
      </c>
      <c r="BP256" s="7" t="str">
        <f aca="false">IF(BN256="","",BN256-BO256)</f>
        <v/>
      </c>
      <c r="BQ256" s="55" t="str">
        <f aca="false">IF(BN256="","",IF(BO256&gt;=BN256,"На складе",IF(BO256&gt;0,"Частично","Ждём")))</f>
        <v/>
      </c>
      <c r="BR256" s="43"/>
      <c r="BS256" s="47" t="str">
        <f aca="false">IF(BN256="","",IF(_xlfn.MAXIFS(ЗАКАЗЫ!$AK$3:$AK$500,ЗАКАЗЫ!$F$3:$F$500,$A256)=0,"",_xlfn.MAXIFS(ЗАКАЗЫ!$AK$3:$AK$500,ЗАКАЗЫ!$F$3:$F$500,$A256)))</f>
        <v/>
      </c>
    </row>
    <row r="257" customFormat="false" ht="15.75" hidden="false" customHeight="true" outlineLevel="0" collapsed="false">
      <c r="A257" s="80" t="s">
        <v>2124</v>
      </c>
      <c r="B257" s="81"/>
      <c r="C257" s="81"/>
      <c r="D257" s="81"/>
      <c r="E257" s="83"/>
      <c r="F257" s="81"/>
      <c r="G257" s="83"/>
      <c r="H257" s="83"/>
      <c r="I257" s="84" t="str">
        <f aca="false">IF(E257="","",A257&amp;"_1.jpg")</f>
        <v/>
      </c>
      <c r="J257" s="84" t="str">
        <f aca="false">IF(E257="","",A257&amp;"_2.jpg; "&amp;A257&amp;"_3.jpg")</f>
        <v/>
      </c>
      <c r="K257" s="84" t="str">
        <f aca="false">IF(E257="","",A257&amp;"_schema.jpg")</f>
        <v/>
      </c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 t="s">
        <v>96</v>
      </c>
      <c r="W257" s="81"/>
      <c r="X257" s="81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6" t="str">
        <f aca="false">IF(SUM(Y257:AJ257)=0,"",SUM(Y257:AJ257))</f>
        <v/>
      </c>
      <c r="AL257" s="84" t="str">
        <f aca="false">MID(IF(N(Y257)&gt;0,", "&amp;Y$2,"")&amp;IF(N(Z257)&gt;0,", "&amp;Z$2,"")&amp;IF(N(AA257)&gt;0,", "&amp;AA$2,"")&amp;IF(N(AB257)&gt;0,", "&amp;AB$2,"")&amp;IF(N(AC257)&gt;0,", "&amp;AC$2,"")&amp;IF(N(AD257)&gt;0,", "&amp;AD$2,"")&amp;IF(N(AE257)&gt;0,", "&amp;AE$2,"")&amp;IF(N(AF257)&gt;0,", "&amp;AF$2,"")&amp;IF(N(AG257)&gt;0,", "&amp;AG$2,"")&amp;IF(N(AH257)&gt;0,", "&amp;AH$2,"")&amp;IF(N(AI257)&gt;0,", "&amp;AI$2,"")&amp;IF(N(AJ257)&gt;0,", "&amp;AJ$2,""),3,999)</f>
        <v/>
      </c>
      <c r="AM257" s="87" t="str">
        <f aca="false">IF(E257="","",MID(IF(N(Y257)&gt;0,", "&amp;A257&amp;"-"&amp;Y$2,"")&amp;IF(N(Z257)&gt;0,", "&amp;A257&amp;"-"&amp;Z$2,"")&amp;IF(N(AA257)&gt;0,", "&amp;A257&amp;"-"&amp;AA$2,"")&amp;IF(N(AB257)&gt;0,", "&amp;A257&amp;"-"&amp;AB$2,"")&amp;IF(N(AC257)&gt;0,", "&amp;A257&amp;"-"&amp;AC$2,"")&amp;IF(N(AD257)&gt;0,", "&amp;A257&amp;"-"&amp;AD$2,"")&amp;IF(N(AE257)&gt;0,", "&amp;A257&amp;"-"&amp;AE$2,"")&amp;IF(N(AF257)&gt;0,", "&amp;A257&amp;"-"&amp;AF$2,"")&amp;IF(N(AG257)&gt;0,", "&amp;A257&amp;"-"&amp;AG$2,"")&amp;IF(N(AH257)&gt;0,", "&amp;A257&amp;"-"&amp;AH$2,"")&amp;IF(N(AI257)&gt;0,", "&amp;A257&amp;"-"&amp;AI$2,"")&amp;IF(N(AJ257)&gt;0,", "&amp;A257&amp;"-"&amp;AJ$2,""),3,999))</f>
        <v/>
      </c>
      <c r="AN257" s="81"/>
      <c r="AO257" s="88"/>
      <c r="AP257" s="89" t="str">
        <f aca="false">IF(AO257="","",ROUND(AO257/(1+Справочники!$B$13),2))</f>
        <v/>
      </c>
      <c r="AQ257" s="90" t="str">
        <f aca="false" t="array" ref="AQ257:AQ257">IF(AP257="","",AP257*INDEX(Справочники!$B$4:$B$7,MATCH("RUB",Справочники!$A$4:$A$7,0)))</f>
        <v/>
      </c>
      <c r="AR257" s="90" t="str">
        <f aca="false">IF(AQ257="","",ROUND(AQ257*(1+Справочники!$B$12),0))</f>
        <v/>
      </c>
      <c r="AS257" s="90" t="str">
        <f aca="false">IF(AR257="","",ROUND(AR257*(1-Справочники!$B$11),0))</f>
        <v/>
      </c>
      <c r="AT257" s="88"/>
      <c r="AU257" s="90" t="str">
        <f aca="false">IF(AT257="","",ROUND(AT257/(1+Справочники!$B$12),0))</f>
        <v/>
      </c>
      <c r="AV257" s="90" t="str">
        <f aca="false">IF(AT257="","",ROUND(AT257*(1-Справочники!$B$15),0))</f>
        <v/>
      </c>
      <c r="AW257" s="90" t="str">
        <f aca="false">IF(AT257="","",ROUND(AT257*(1-Справочники!$B$16),0))</f>
        <v/>
      </c>
      <c r="AX257" s="90" t="str">
        <f aca="false">IF(AT257="","",ROUND(AT257*(1-Справочники!$B$17),0))</f>
        <v/>
      </c>
      <c r="AY257" s="90" t="str">
        <f aca="false">IF(AT257="","",ROUND(AT257*(1-Справочники!$B$18),0))</f>
        <v/>
      </c>
      <c r="AZ257" s="90" t="str">
        <f aca="false">IF(AT257="","",ROUND(AT257*(1-Справочники!$B$19),0))</f>
        <v/>
      </c>
      <c r="BA257" s="81"/>
      <c r="BB257" s="81"/>
      <c r="BC257" s="81"/>
      <c r="BD257" s="81"/>
      <c r="BE257" s="91"/>
      <c r="BF257" s="81" t="s">
        <v>103</v>
      </c>
      <c r="BG257" s="89" t="n">
        <f aca="false" t="array" ref="BG257:BG257">IF(BF257="","",IFERROR(INDEX(Справочники!$B$4:$B$7,MATCH(BF257,Справочники!$A$4:$A$7,0)),""))</f>
        <v>68.5</v>
      </c>
      <c r="BH257" s="90" t="str">
        <f aca="false">IF(N(BN257)&gt;0,ROUND(SUMIF(ЗАКАЗЫ!$F$3:$F$500,$A257,ЗАКАЗЫ!$Y$3:$Y$500)/BN257,0),IF(OR(BE257="",BG257=""),"",ROUND(BE257*BG257*(1+Справочники!$B$10),0)))</f>
        <v/>
      </c>
      <c r="BI257" s="92" t="str">
        <f aca="false">IF(OR(AU257="",BH257="",AU257=0),"",(AU257-BH257)/AU257)</f>
        <v/>
      </c>
      <c r="BJ257" s="81"/>
      <c r="BK257" s="83"/>
      <c r="BL257" s="43" t="str">
        <f aca="false">IFERROR(INDEX(ЗАКАЗЫ!$N$3:$N$500,MATCH($A257,ЗАКАЗЫ!$F$3:$F$500,0)),"")</f>
        <v/>
      </c>
      <c r="BM257" s="8" t="str">
        <f aca="false">IF(BL257="","",IFERROR(VLOOKUP(BL257,'ТН ВЭД'!$A$4:$C$40,3,0),""))</f>
        <v/>
      </c>
      <c r="BN257" s="7" t="str">
        <f aca="false">IF(COUNTIF(ЗАКАЗЫ!$F$3:$F$500,$A257)=0,"",SUMIF(ЗАКАЗЫ!$F$3:$F$500,$A257,ЗАКАЗЫ!$J$3:$J$500))</f>
        <v/>
      </c>
      <c r="BO257" s="7" t="str">
        <f aca="false">IF(BN257="","",SUMIF(ЗАКАЗЫ!$F$3:$F$500,$A257,ЗАКАЗЫ!$AL$3:$AL$500))</f>
        <v/>
      </c>
      <c r="BP257" s="7" t="str">
        <f aca="false">IF(BN257="","",BN257-BO257)</f>
        <v/>
      </c>
      <c r="BQ257" s="55" t="str">
        <f aca="false">IF(BN257="","",IF(BO257&gt;=BN257,"На складе",IF(BO257&gt;0,"Частично","Ждём")))</f>
        <v/>
      </c>
      <c r="BR257" s="43"/>
      <c r="BS257" s="47" t="str">
        <f aca="false">IF(BN257="","",IF(_xlfn.MAXIFS(ЗАКАЗЫ!$AK$3:$AK$500,ЗАКАЗЫ!$F$3:$F$500,$A257)=0,"",_xlfn.MAXIFS(ЗАКАЗЫ!$AK$3:$AK$500,ЗАКАЗЫ!$F$3:$F$500,$A257)))</f>
        <v/>
      </c>
    </row>
    <row r="258" customFormat="false" ht="15.75" hidden="false" customHeight="true" outlineLevel="0" collapsed="false">
      <c r="A258" s="80" t="s">
        <v>2125</v>
      </c>
      <c r="B258" s="81"/>
      <c r="C258" s="81"/>
      <c r="D258" s="81"/>
      <c r="E258" s="83"/>
      <c r="F258" s="81"/>
      <c r="G258" s="83"/>
      <c r="H258" s="83"/>
      <c r="I258" s="84" t="str">
        <f aca="false">IF(E258="","",A258&amp;"_1.jpg")</f>
        <v/>
      </c>
      <c r="J258" s="84" t="str">
        <f aca="false">IF(E258="","",A258&amp;"_2.jpg; "&amp;A258&amp;"_3.jpg")</f>
        <v/>
      </c>
      <c r="K258" s="84" t="str">
        <f aca="false">IF(E258="","",A258&amp;"_schema.jpg")</f>
        <v/>
      </c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 t="s">
        <v>96</v>
      </c>
      <c r="W258" s="81"/>
      <c r="X258" s="81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6" t="str">
        <f aca="false">IF(SUM(Y258:AJ258)=0,"",SUM(Y258:AJ258))</f>
        <v/>
      </c>
      <c r="AL258" s="84" t="str">
        <f aca="false">MID(IF(N(Y258)&gt;0,", "&amp;Y$2,"")&amp;IF(N(Z258)&gt;0,", "&amp;Z$2,"")&amp;IF(N(AA258)&gt;0,", "&amp;AA$2,"")&amp;IF(N(AB258)&gt;0,", "&amp;AB$2,"")&amp;IF(N(AC258)&gt;0,", "&amp;AC$2,"")&amp;IF(N(AD258)&gt;0,", "&amp;AD$2,"")&amp;IF(N(AE258)&gt;0,", "&amp;AE$2,"")&amp;IF(N(AF258)&gt;0,", "&amp;AF$2,"")&amp;IF(N(AG258)&gt;0,", "&amp;AG$2,"")&amp;IF(N(AH258)&gt;0,", "&amp;AH$2,"")&amp;IF(N(AI258)&gt;0,", "&amp;AI$2,"")&amp;IF(N(AJ258)&gt;0,", "&amp;AJ$2,""),3,999)</f>
        <v/>
      </c>
      <c r="AM258" s="87" t="str">
        <f aca="false">IF(E258="","",MID(IF(N(Y258)&gt;0,", "&amp;A258&amp;"-"&amp;Y$2,"")&amp;IF(N(Z258)&gt;0,", "&amp;A258&amp;"-"&amp;Z$2,"")&amp;IF(N(AA258)&gt;0,", "&amp;A258&amp;"-"&amp;AA$2,"")&amp;IF(N(AB258)&gt;0,", "&amp;A258&amp;"-"&amp;AB$2,"")&amp;IF(N(AC258)&gt;0,", "&amp;A258&amp;"-"&amp;AC$2,"")&amp;IF(N(AD258)&gt;0,", "&amp;A258&amp;"-"&amp;AD$2,"")&amp;IF(N(AE258)&gt;0,", "&amp;A258&amp;"-"&amp;AE$2,"")&amp;IF(N(AF258)&gt;0,", "&amp;A258&amp;"-"&amp;AF$2,"")&amp;IF(N(AG258)&gt;0,", "&amp;A258&amp;"-"&amp;AG$2,"")&amp;IF(N(AH258)&gt;0,", "&amp;A258&amp;"-"&amp;AH$2,"")&amp;IF(N(AI258)&gt;0,", "&amp;A258&amp;"-"&amp;AI$2,"")&amp;IF(N(AJ258)&gt;0,", "&amp;A258&amp;"-"&amp;AJ$2,""),3,999))</f>
        <v/>
      </c>
      <c r="AN258" s="81"/>
      <c r="AO258" s="88"/>
      <c r="AP258" s="89" t="str">
        <f aca="false">IF(AO258="","",ROUND(AO258/(1+Справочники!$B$13),2))</f>
        <v/>
      </c>
      <c r="AQ258" s="90" t="str">
        <f aca="false" t="array" ref="AQ258:AQ258">IF(AP258="","",AP258*INDEX(Справочники!$B$4:$B$7,MATCH("RUB",Справочники!$A$4:$A$7,0)))</f>
        <v/>
      </c>
      <c r="AR258" s="90" t="str">
        <f aca="false">IF(AQ258="","",ROUND(AQ258*(1+Справочники!$B$12),0))</f>
        <v/>
      </c>
      <c r="AS258" s="90" t="str">
        <f aca="false">IF(AR258="","",ROUND(AR258*(1-Справочники!$B$11),0))</f>
        <v/>
      </c>
      <c r="AT258" s="88"/>
      <c r="AU258" s="90" t="str">
        <f aca="false">IF(AT258="","",ROUND(AT258/(1+Справочники!$B$12),0))</f>
        <v/>
      </c>
      <c r="AV258" s="90" t="str">
        <f aca="false">IF(AT258="","",ROUND(AT258*(1-Справочники!$B$15),0))</f>
        <v/>
      </c>
      <c r="AW258" s="90" t="str">
        <f aca="false">IF(AT258="","",ROUND(AT258*(1-Справочники!$B$16),0))</f>
        <v/>
      </c>
      <c r="AX258" s="90" t="str">
        <f aca="false">IF(AT258="","",ROUND(AT258*(1-Справочники!$B$17),0))</f>
        <v/>
      </c>
      <c r="AY258" s="90" t="str">
        <f aca="false">IF(AT258="","",ROUND(AT258*(1-Справочники!$B$18),0))</f>
        <v/>
      </c>
      <c r="AZ258" s="90" t="str">
        <f aca="false">IF(AT258="","",ROUND(AT258*(1-Справочники!$B$19),0))</f>
        <v/>
      </c>
      <c r="BA258" s="81"/>
      <c r="BB258" s="81"/>
      <c r="BC258" s="81"/>
      <c r="BD258" s="81"/>
      <c r="BE258" s="91"/>
      <c r="BF258" s="81" t="s">
        <v>103</v>
      </c>
      <c r="BG258" s="89" t="n">
        <f aca="false" t="array" ref="BG258:BG258">IF(BF258="","",IFERROR(INDEX(Справочники!$B$4:$B$7,MATCH(BF258,Справочники!$A$4:$A$7,0)),""))</f>
        <v>68.5</v>
      </c>
      <c r="BH258" s="90" t="str">
        <f aca="false">IF(N(BN258)&gt;0,ROUND(SUMIF(ЗАКАЗЫ!$F$3:$F$500,$A258,ЗАКАЗЫ!$Y$3:$Y$500)/BN258,0),IF(OR(BE258="",BG258=""),"",ROUND(BE258*BG258*(1+Справочники!$B$10),0)))</f>
        <v/>
      </c>
      <c r="BI258" s="92" t="str">
        <f aca="false">IF(OR(AU258="",BH258="",AU258=0),"",(AU258-BH258)/AU258)</f>
        <v/>
      </c>
      <c r="BJ258" s="81"/>
      <c r="BK258" s="83"/>
      <c r="BL258" s="43" t="str">
        <f aca="false">IFERROR(INDEX(ЗАКАЗЫ!$N$3:$N$500,MATCH($A258,ЗАКАЗЫ!$F$3:$F$500,0)),"")</f>
        <v/>
      </c>
      <c r="BM258" s="8" t="str">
        <f aca="false">IF(BL258="","",IFERROR(VLOOKUP(BL258,'ТН ВЭД'!$A$4:$C$40,3,0),""))</f>
        <v/>
      </c>
      <c r="BN258" s="7" t="str">
        <f aca="false">IF(COUNTIF(ЗАКАЗЫ!$F$3:$F$500,$A258)=0,"",SUMIF(ЗАКАЗЫ!$F$3:$F$500,$A258,ЗАКАЗЫ!$J$3:$J$500))</f>
        <v/>
      </c>
      <c r="BO258" s="7" t="str">
        <f aca="false">IF(BN258="","",SUMIF(ЗАКАЗЫ!$F$3:$F$500,$A258,ЗАКАЗЫ!$AL$3:$AL$500))</f>
        <v/>
      </c>
      <c r="BP258" s="7" t="str">
        <f aca="false">IF(BN258="","",BN258-BO258)</f>
        <v/>
      </c>
      <c r="BQ258" s="55" t="str">
        <f aca="false">IF(BN258="","",IF(BO258&gt;=BN258,"На складе",IF(BO258&gt;0,"Частично","Ждём")))</f>
        <v/>
      </c>
      <c r="BR258" s="43"/>
      <c r="BS258" s="47" t="str">
        <f aca="false">IF(BN258="","",IF(_xlfn.MAXIFS(ЗАКАЗЫ!$AK$3:$AK$500,ЗАКАЗЫ!$F$3:$F$500,$A258)=0,"",_xlfn.MAXIFS(ЗАКАЗЫ!$AK$3:$AK$500,ЗАКАЗЫ!$F$3:$F$500,$A258)))</f>
        <v/>
      </c>
    </row>
    <row r="259" customFormat="false" ht="15.75" hidden="false" customHeight="true" outlineLevel="0" collapsed="false">
      <c r="A259" s="80" t="s">
        <v>2126</v>
      </c>
      <c r="B259" s="81"/>
      <c r="C259" s="81"/>
      <c r="D259" s="81"/>
      <c r="E259" s="83"/>
      <c r="F259" s="81"/>
      <c r="G259" s="83"/>
      <c r="H259" s="83"/>
      <c r="I259" s="84" t="str">
        <f aca="false">IF(E259="","",A259&amp;"_1.jpg")</f>
        <v/>
      </c>
      <c r="J259" s="84" t="str">
        <f aca="false">IF(E259="","",A259&amp;"_2.jpg; "&amp;A259&amp;"_3.jpg")</f>
        <v/>
      </c>
      <c r="K259" s="84" t="str">
        <f aca="false">IF(E259="","",A259&amp;"_schema.jpg")</f>
        <v/>
      </c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 t="s">
        <v>96</v>
      </c>
      <c r="W259" s="81"/>
      <c r="X259" s="81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6" t="str">
        <f aca="false">IF(SUM(Y259:AJ259)=0,"",SUM(Y259:AJ259))</f>
        <v/>
      </c>
      <c r="AL259" s="84" t="str">
        <f aca="false">MID(IF(N(Y259)&gt;0,", "&amp;Y$2,"")&amp;IF(N(Z259)&gt;0,", "&amp;Z$2,"")&amp;IF(N(AA259)&gt;0,", "&amp;AA$2,"")&amp;IF(N(AB259)&gt;0,", "&amp;AB$2,"")&amp;IF(N(AC259)&gt;0,", "&amp;AC$2,"")&amp;IF(N(AD259)&gt;0,", "&amp;AD$2,"")&amp;IF(N(AE259)&gt;0,", "&amp;AE$2,"")&amp;IF(N(AF259)&gt;0,", "&amp;AF$2,"")&amp;IF(N(AG259)&gt;0,", "&amp;AG$2,"")&amp;IF(N(AH259)&gt;0,", "&amp;AH$2,"")&amp;IF(N(AI259)&gt;0,", "&amp;AI$2,"")&amp;IF(N(AJ259)&gt;0,", "&amp;AJ$2,""),3,999)</f>
        <v/>
      </c>
      <c r="AM259" s="87" t="str">
        <f aca="false">IF(E259="","",MID(IF(N(Y259)&gt;0,", "&amp;A259&amp;"-"&amp;Y$2,"")&amp;IF(N(Z259)&gt;0,", "&amp;A259&amp;"-"&amp;Z$2,"")&amp;IF(N(AA259)&gt;0,", "&amp;A259&amp;"-"&amp;AA$2,"")&amp;IF(N(AB259)&gt;0,", "&amp;A259&amp;"-"&amp;AB$2,"")&amp;IF(N(AC259)&gt;0,", "&amp;A259&amp;"-"&amp;AC$2,"")&amp;IF(N(AD259)&gt;0,", "&amp;A259&amp;"-"&amp;AD$2,"")&amp;IF(N(AE259)&gt;0,", "&amp;A259&amp;"-"&amp;AE$2,"")&amp;IF(N(AF259)&gt;0,", "&amp;A259&amp;"-"&amp;AF$2,"")&amp;IF(N(AG259)&gt;0,", "&amp;A259&amp;"-"&amp;AG$2,"")&amp;IF(N(AH259)&gt;0,", "&amp;A259&amp;"-"&amp;AH$2,"")&amp;IF(N(AI259)&gt;0,", "&amp;A259&amp;"-"&amp;AI$2,"")&amp;IF(N(AJ259)&gt;0,", "&amp;A259&amp;"-"&amp;AJ$2,""),3,999))</f>
        <v/>
      </c>
      <c r="AN259" s="81"/>
      <c r="AO259" s="88"/>
      <c r="AP259" s="89" t="str">
        <f aca="false">IF(AO259="","",ROUND(AO259/(1+Справочники!$B$13),2))</f>
        <v/>
      </c>
      <c r="AQ259" s="90" t="str">
        <f aca="false" t="array" ref="AQ259:AQ259">IF(AP259="","",AP259*INDEX(Справочники!$B$4:$B$7,MATCH("RUB",Справочники!$A$4:$A$7,0)))</f>
        <v/>
      </c>
      <c r="AR259" s="90" t="str">
        <f aca="false">IF(AQ259="","",ROUND(AQ259*(1+Справочники!$B$12),0))</f>
        <v/>
      </c>
      <c r="AS259" s="90" t="str">
        <f aca="false">IF(AR259="","",ROUND(AR259*(1-Справочники!$B$11),0))</f>
        <v/>
      </c>
      <c r="AT259" s="88"/>
      <c r="AU259" s="90" t="str">
        <f aca="false">IF(AT259="","",ROUND(AT259/(1+Справочники!$B$12),0))</f>
        <v/>
      </c>
      <c r="AV259" s="90" t="str">
        <f aca="false">IF(AT259="","",ROUND(AT259*(1-Справочники!$B$15),0))</f>
        <v/>
      </c>
      <c r="AW259" s="90" t="str">
        <f aca="false">IF(AT259="","",ROUND(AT259*(1-Справочники!$B$16),0))</f>
        <v/>
      </c>
      <c r="AX259" s="90" t="str">
        <f aca="false">IF(AT259="","",ROUND(AT259*(1-Справочники!$B$17),0))</f>
        <v/>
      </c>
      <c r="AY259" s="90" t="str">
        <f aca="false">IF(AT259="","",ROUND(AT259*(1-Справочники!$B$18),0))</f>
        <v/>
      </c>
      <c r="AZ259" s="90" t="str">
        <f aca="false">IF(AT259="","",ROUND(AT259*(1-Справочники!$B$19),0))</f>
        <v/>
      </c>
      <c r="BA259" s="81"/>
      <c r="BB259" s="81"/>
      <c r="BC259" s="81"/>
      <c r="BD259" s="81"/>
      <c r="BE259" s="91"/>
      <c r="BF259" s="81" t="s">
        <v>103</v>
      </c>
      <c r="BG259" s="89" t="n">
        <f aca="false" t="array" ref="BG259:BG259">IF(BF259="","",IFERROR(INDEX(Справочники!$B$4:$B$7,MATCH(BF259,Справочники!$A$4:$A$7,0)),""))</f>
        <v>68.5</v>
      </c>
      <c r="BH259" s="90" t="str">
        <f aca="false">IF(N(BN259)&gt;0,ROUND(SUMIF(ЗАКАЗЫ!$F$3:$F$500,$A259,ЗАКАЗЫ!$Y$3:$Y$500)/BN259,0),IF(OR(BE259="",BG259=""),"",ROUND(BE259*BG259*(1+Справочники!$B$10),0)))</f>
        <v/>
      </c>
      <c r="BI259" s="92" t="str">
        <f aca="false">IF(OR(AU259="",BH259="",AU259=0),"",(AU259-BH259)/AU259)</f>
        <v/>
      </c>
      <c r="BJ259" s="81"/>
      <c r="BK259" s="83"/>
      <c r="BL259" s="43" t="str">
        <f aca="false">IFERROR(INDEX(ЗАКАЗЫ!$N$3:$N$500,MATCH($A259,ЗАКАЗЫ!$F$3:$F$500,0)),"")</f>
        <v/>
      </c>
      <c r="BM259" s="8" t="str">
        <f aca="false">IF(BL259="","",IFERROR(VLOOKUP(BL259,'ТН ВЭД'!$A$4:$C$40,3,0),""))</f>
        <v/>
      </c>
      <c r="BN259" s="7" t="str">
        <f aca="false">IF(COUNTIF(ЗАКАЗЫ!$F$3:$F$500,$A259)=0,"",SUMIF(ЗАКАЗЫ!$F$3:$F$500,$A259,ЗАКАЗЫ!$J$3:$J$500))</f>
        <v/>
      </c>
      <c r="BO259" s="7" t="str">
        <f aca="false">IF(BN259="","",SUMIF(ЗАКАЗЫ!$F$3:$F$500,$A259,ЗАКАЗЫ!$AL$3:$AL$500))</f>
        <v/>
      </c>
      <c r="BP259" s="7" t="str">
        <f aca="false">IF(BN259="","",BN259-BO259)</f>
        <v/>
      </c>
      <c r="BQ259" s="55" t="str">
        <f aca="false">IF(BN259="","",IF(BO259&gt;=BN259,"На складе",IF(BO259&gt;0,"Частично","Ждём")))</f>
        <v/>
      </c>
      <c r="BR259" s="43"/>
      <c r="BS259" s="47" t="str">
        <f aca="false">IF(BN259="","",IF(_xlfn.MAXIFS(ЗАКАЗЫ!$AK$3:$AK$500,ЗАКАЗЫ!$F$3:$F$500,$A259)=0,"",_xlfn.MAXIFS(ЗАКАЗЫ!$AK$3:$AK$500,ЗАКАЗЫ!$F$3:$F$500,$A259)))</f>
        <v/>
      </c>
    </row>
    <row r="260" customFormat="false" ht="15.75" hidden="false" customHeight="true" outlineLevel="0" collapsed="false">
      <c r="A260" s="80" t="s">
        <v>2127</v>
      </c>
      <c r="B260" s="81"/>
      <c r="C260" s="81"/>
      <c r="D260" s="81"/>
      <c r="E260" s="83"/>
      <c r="F260" s="81"/>
      <c r="G260" s="83"/>
      <c r="H260" s="83"/>
      <c r="I260" s="84" t="str">
        <f aca="false">IF(E260="","",A260&amp;"_1.jpg")</f>
        <v/>
      </c>
      <c r="J260" s="84" t="str">
        <f aca="false">IF(E260="","",A260&amp;"_2.jpg; "&amp;A260&amp;"_3.jpg")</f>
        <v/>
      </c>
      <c r="K260" s="84" t="str">
        <f aca="false">IF(E260="","",A260&amp;"_schema.jpg")</f>
        <v/>
      </c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 t="s">
        <v>96</v>
      </c>
      <c r="W260" s="81"/>
      <c r="X260" s="81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6" t="str">
        <f aca="false">IF(SUM(Y260:AJ260)=0,"",SUM(Y260:AJ260))</f>
        <v/>
      </c>
      <c r="AL260" s="84" t="str">
        <f aca="false">MID(IF(N(Y260)&gt;0,", "&amp;Y$2,"")&amp;IF(N(Z260)&gt;0,", "&amp;Z$2,"")&amp;IF(N(AA260)&gt;0,", "&amp;AA$2,"")&amp;IF(N(AB260)&gt;0,", "&amp;AB$2,"")&amp;IF(N(AC260)&gt;0,", "&amp;AC$2,"")&amp;IF(N(AD260)&gt;0,", "&amp;AD$2,"")&amp;IF(N(AE260)&gt;0,", "&amp;AE$2,"")&amp;IF(N(AF260)&gt;0,", "&amp;AF$2,"")&amp;IF(N(AG260)&gt;0,", "&amp;AG$2,"")&amp;IF(N(AH260)&gt;0,", "&amp;AH$2,"")&amp;IF(N(AI260)&gt;0,", "&amp;AI$2,"")&amp;IF(N(AJ260)&gt;0,", "&amp;AJ$2,""),3,999)</f>
        <v/>
      </c>
      <c r="AM260" s="87" t="str">
        <f aca="false">IF(E260="","",MID(IF(N(Y260)&gt;0,", "&amp;A260&amp;"-"&amp;Y$2,"")&amp;IF(N(Z260)&gt;0,", "&amp;A260&amp;"-"&amp;Z$2,"")&amp;IF(N(AA260)&gt;0,", "&amp;A260&amp;"-"&amp;AA$2,"")&amp;IF(N(AB260)&gt;0,", "&amp;A260&amp;"-"&amp;AB$2,"")&amp;IF(N(AC260)&gt;0,", "&amp;A260&amp;"-"&amp;AC$2,"")&amp;IF(N(AD260)&gt;0,", "&amp;A260&amp;"-"&amp;AD$2,"")&amp;IF(N(AE260)&gt;0,", "&amp;A260&amp;"-"&amp;AE$2,"")&amp;IF(N(AF260)&gt;0,", "&amp;A260&amp;"-"&amp;AF$2,"")&amp;IF(N(AG260)&gt;0,", "&amp;A260&amp;"-"&amp;AG$2,"")&amp;IF(N(AH260)&gt;0,", "&amp;A260&amp;"-"&amp;AH$2,"")&amp;IF(N(AI260)&gt;0,", "&amp;A260&amp;"-"&amp;AI$2,"")&amp;IF(N(AJ260)&gt;0,", "&amp;A260&amp;"-"&amp;AJ$2,""),3,999))</f>
        <v/>
      </c>
      <c r="AN260" s="81"/>
      <c r="AO260" s="88"/>
      <c r="AP260" s="89" t="str">
        <f aca="false">IF(AO260="","",ROUND(AO260/(1+Справочники!$B$13),2))</f>
        <v/>
      </c>
      <c r="AQ260" s="90" t="str">
        <f aca="false" t="array" ref="AQ260:AQ260">IF(AP260="","",AP260*INDEX(Справочники!$B$4:$B$7,MATCH("RUB",Справочники!$A$4:$A$7,0)))</f>
        <v/>
      </c>
      <c r="AR260" s="90" t="str">
        <f aca="false">IF(AQ260="","",ROUND(AQ260*(1+Справочники!$B$12),0))</f>
        <v/>
      </c>
      <c r="AS260" s="90" t="str">
        <f aca="false">IF(AR260="","",ROUND(AR260*(1-Справочники!$B$11),0))</f>
        <v/>
      </c>
      <c r="AT260" s="88"/>
      <c r="AU260" s="90" t="str">
        <f aca="false">IF(AT260="","",ROUND(AT260/(1+Справочники!$B$12),0))</f>
        <v/>
      </c>
      <c r="AV260" s="90" t="str">
        <f aca="false">IF(AT260="","",ROUND(AT260*(1-Справочники!$B$15),0))</f>
        <v/>
      </c>
      <c r="AW260" s="90" t="str">
        <f aca="false">IF(AT260="","",ROUND(AT260*(1-Справочники!$B$16),0))</f>
        <v/>
      </c>
      <c r="AX260" s="90" t="str">
        <f aca="false">IF(AT260="","",ROUND(AT260*(1-Справочники!$B$17),0))</f>
        <v/>
      </c>
      <c r="AY260" s="90" t="str">
        <f aca="false">IF(AT260="","",ROUND(AT260*(1-Справочники!$B$18),0))</f>
        <v/>
      </c>
      <c r="AZ260" s="90" t="str">
        <f aca="false">IF(AT260="","",ROUND(AT260*(1-Справочники!$B$19),0))</f>
        <v/>
      </c>
      <c r="BA260" s="81"/>
      <c r="BB260" s="81"/>
      <c r="BC260" s="81"/>
      <c r="BD260" s="81"/>
      <c r="BE260" s="91"/>
      <c r="BF260" s="81" t="s">
        <v>103</v>
      </c>
      <c r="BG260" s="89" t="n">
        <f aca="false" t="array" ref="BG260:BG260">IF(BF260="","",IFERROR(INDEX(Справочники!$B$4:$B$7,MATCH(BF260,Справочники!$A$4:$A$7,0)),""))</f>
        <v>68.5</v>
      </c>
      <c r="BH260" s="90" t="str">
        <f aca="false">IF(N(BN260)&gt;0,ROUND(SUMIF(ЗАКАЗЫ!$F$3:$F$500,$A260,ЗАКАЗЫ!$Y$3:$Y$500)/BN260,0),IF(OR(BE260="",BG260=""),"",ROUND(BE260*BG260*(1+Справочники!$B$10),0)))</f>
        <v/>
      </c>
      <c r="BI260" s="92" t="str">
        <f aca="false">IF(OR(AU260="",BH260="",AU260=0),"",(AU260-BH260)/AU260)</f>
        <v/>
      </c>
      <c r="BJ260" s="81"/>
      <c r="BK260" s="83"/>
      <c r="BL260" s="43" t="str">
        <f aca="false">IFERROR(INDEX(ЗАКАЗЫ!$N$3:$N$500,MATCH($A260,ЗАКАЗЫ!$F$3:$F$500,0)),"")</f>
        <v/>
      </c>
      <c r="BM260" s="8" t="str">
        <f aca="false">IF(BL260="","",IFERROR(VLOOKUP(BL260,'ТН ВЭД'!$A$4:$C$40,3,0),""))</f>
        <v/>
      </c>
      <c r="BN260" s="7" t="str">
        <f aca="false">IF(COUNTIF(ЗАКАЗЫ!$F$3:$F$500,$A260)=0,"",SUMIF(ЗАКАЗЫ!$F$3:$F$500,$A260,ЗАКАЗЫ!$J$3:$J$500))</f>
        <v/>
      </c>
      <c r="BO260" s="7" t="str">
        <f aca="false">IF(BN260="","",SUMIF(ЗАКАЗЫ!$F$3:$F$500,$A260,ЗАКАЗЫ!$AL$3:$AL$500))</f>
        <v/>
      </c>
      <c r="BP260" s="7" t="str">
        <f aca="false">IF(BN260="","",BN260-BO260)</f>
        <v/>
      </c>
      <c r="BQ260" s="55" t="str">
        <f aca="false">IF(BN260="","",IF(BO260&gt;=BN260,"На складе",IF(BO260&gt;0,"Частично","Ждём")))</f>
        <v/>
      </c>
      <c r="BR260" s="43"/>
      <c r="BS260" s="47" t="str">
        <f aca="false">IF(BN260="","",IF(_xlfn.MAXIFS(ЗАКАЗЫ!$AK$3:$AK$500,ЗАКАЗЫ!$F$3:$F$500,$A260)=0,"",_xlfn.MAXIFS(ЗАКАЗЫ!$AK$3:$AK$500,ЗАКАЗЫ!$F$3:$F$500,$A260)))</f>
        <v/>
      </c>
    </row>
    <row r="261" customFormat="false" ht="15.75" hidden="false" customHeight="true" outlineLevel="0" collapsed="false">
      <c r="A261" s="80" t="s">
        <v>2128</v>
      </c>
      <c r="B261" s="81"/>
      <c r="C261" s="81"/>
      <c r="D261" s="81"/>
      <c r="E261" s="83"/>
      <c r="F261" s="81"/>
      <c r="G261" s="83"/>
      <c r="H261" s="83"/>
      <c r="I261" s="84" t="str">
        <f aca="false">IF(E261="","",A261&amp;"_1.jpg")</f>
        <v/>
      </c>
      <c r="J261" s="84" t="str">
        <f aca="false">IF(E261="","",A261&amp;"_2.jpg; "&amp;A261&amp;"_3.jpg")</f>
        <v/>
      </c>
      <c r="K261" s="84" t="str">
        <f aca="false">IF(E261="","",A261&amp;"_schema.jpg")</f>
        <v/>
      </c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 t="s">
        <v>96</v>
      </c>
      <c r="W261" s="81"/>
      <c r="X261" s="81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6" t="str">
        <f aca="false">IF(SUM(Y261:AJ261)=0,"",SUM(Y261:AJ261))</f>
        <v/>
      </c>
      <c r="AL261" s="84" t="str">
        <f aca="false">MID(IF(N(Y261)&gt;0,", "&amp;Y$2,"")&amp;IF(N(Z261)&gt;0,", "&amp;Z$2,"")&amp;IF(N(AA261)&gt;0,", "&amp;AA$2,"")&amp;IF(N(AB261)&gt;0,", "&amp;AB$2,"")&amp;IF(N(AC261)&gt;0,", "&amp;AC$2,"")&amp;IF(N(AD261)&gt;0,", "&amp;AD$2,"")&amp;IF(N(AE261)&gt;0,", "&amp;AE$2,"")&amp;IF(N(AF261)&gt;0,", "&amp;AF$2,"")&amp;IF(N(AG261)&gt;0,", "&amp;AG$2,"")&amp;IF(N(AH261)&gt;0,", "&amp;AH$2,"")&amp;IF(N(AI261)&gt;0,", "&amp;AI$2,"")&amp;IF(N(AJ261)&gt;0,", "&amp;AJ$2,""),3,999)</f>
        <v/>
      </c>
      <c r="AM261" s="87" t="str">
        <f aca="false">IF(E261="","",MID(IF(N(Y261)&gt;0,", "&amp;A261&amp;"-"&amp;Y$2,"")&amp;IF(N(Z261)&gt;0,", "&amp;A261&amp;"-"&amp;Z$2,"")&amp;IF(N(AA261)&gt;0,", "&amp;A261&amp;"-"&amp;AA$2,"")&amp;IF(N(AB261)&gt;0,", "&amp;A261&amp;"-"&amp;AB$2,"")&amp;IF(N(AC261)&gt;0,", "&amp;A261&amp;"-"&amp;AC$2,"")&amp;IF(N(AD261)&gt;0,", "&amp;A261&amp;"-"&amp;AD$2,"")&amp;IF(N(AE261)&gt;0,", "&amp;A261&amp;"-"&amp;AE$2,"")&amp;IF(N(AF261)&gt;0,", "&amp;A261&amp;"-"&amp;AF$2,"")&amp;IF(N(AG261)&gt;0,", "&amp;A261&amp;"-"&amp;AG$2,"")&amp;IF(N(AH261)&gt;0,", "&amp;A261&amp;"-"&amp;AH$2,"")&amp;IF(N(AI261)&gt;0,", "&amp;A261&amp;"-"&amp;AI$2,"")&amp;IF(N(AJ261)&gt;0,", "&amp;A261&amp;"-"&amp;AJ$2,""),3,999))</f>
        <v/>
      </c>
      <c r="AN261" s="81"/>
      <c r="AO261" s="88"/>
      <c r="AP261" s="89" t="str">
        <f aca="false">IF(AO261="","",ROUND(AO261/(1+Справочники!$B$13),2))</f>
        <v/>
      </c>
      <c r="AQ261" s="90" t="str">
        <f aca="false" t="array" ref="AQ261:AQ261">IF(AP261="","",AP261*INDEX(Справочники!$B$4:$B$7,MATCH("RUB",Справочники!$A$4:$A$7,0)))</f>
        <v/>
      </c>
      <c r="AR261" s="90" t="str">
        <f aca="false">IF(AQ261="","",ROUND(AQ261*(1+Справочники!$B$12),0))</f>
        <v/>
      </c>
      <c r="AS261" s="90" t="str">
        <f aca="false">IF(AR261="","",ROUND(AR261*(1-Справочники!$B$11),0))</f>
        <v/>
      </c>
      <c r="AT261" s="88"/>
      <c r="AU261" s="90" t="str">
        <f aca="false">IF(AT261="","",ROUND(AT261/(1+Справочники!$B$12),0))</f>
        <v/>
      </c>
      <c r="AV261" s="90" t="str">
        <f aca="false">IF(AT261="","",ROUND(AT261*(1-Справочники!$B$15),0))</f>
        <v/>
      </c>
      <c r="AW261" s="90" t="str">
        <f aca="false">IF(AT261="","",ROUND(AT261*(1-Справочники!$B$16),0))</f>
        <v/>
      </c>
      <c r="AX261" s="90" t="str">
        <f aca="false">IF(AT261="","",ROUND(AT261*(1-Справочники!$B$17),0))</f>
        <v/>
      </c>
      <c r="AY261" s="90" t="str">
        <f aca="false">IF(AT261="","",ROUND(AT261*(1-Справочники!$B$18),0))</f>
        <v/>
      </c>
      <c r="AZ261" s="90" t="str">
        <f aca="false">IF(AT261="","",ROUND(AT261*(1-Справочники!$B$19),0))</f>
        <v/>
      </c>
      <c r="BA261" s="81"/>
      <c r="BB261" s="81"/>
      <c r="BC261" s="81"/>
      <c r="BD261" s="81"/>
      <c r="BE261" s="91"/>
      <c r="BF261" s="81" t="s">
        <v>103</v>
      </c>
      <c r="BG261" s="89" t="n">
        <f aca="false" t="array" ref="BG261:BG261">IF(BF261="","",IFERROR(INDEX(Справочники!$B$4:$B$7,MATCH(BF261,Справочники!$A$4:$A$7,0)),""))</f>
        <v>68.5</v>
      </c>
      <c r="BH261" s="90" t="str">
        <f aca="false">IF(N(BN261)&gt;0,ROUND(SUMIF(ЗАКАЗЫ!$F$3:$F$500,$A261,ЗАКАЗЫ!$Y$3:$Y$500)/BN261,0),IF(OR(BE261="",BG261=""),"",ROUND(BE261*BG261*(1+Справочники!$B$10),0)))</f>
        <v/>
      </c>
      <c r="BI261" s="92" t="str">
        <f aca="false">IF(OR(AU261="",BH261="",AU261=0),"",(AU261-BH261)/AU261)</f>
        <v/>
      </c>
      <c r="BJ261" s="81"/>
      <c r="BK261" s="83"/>
      <c r="BL261" s="43" t="str">
        <f aca="false">IFERROR(INDEX(ЗАКАЗЫ!$N$3:$N$500,MATCH($A261,ЗАКАЗЫ!$F$3:$F$500,0)),"")</f>
        <v/>
      </c>
      <c r="BM261" s="8" t="str">
        <f aca="false">IF(BL261="","",IFERROR(VLOOKUP(BL261,'ТН ВЭД'!$A$4:$C$40,3,0),""))</f>
        <v/>
      </c>
      <c r="BN261" s="7" t="str">
        <f aca="false">IF(COUNTIF(ЗАКАЗЫ!$F$3:$F$500,$A261)=0,"",SUMIF(ЗАКАЗЫ!$F$3:$F$500,$A261,ЗАКАЗЫ!$J$3:$J$500))</f>
        <v/>
      </c>
      <c r="BO261" s="7" t="str">
        <f aca="false">IF(BN261="","",SUMIF(ЗАКАЗЫ!$F$3:$F$500,$A261,ЗАКАЗЫ!$AL$3:$AL$500))</f>
        <v/>
      </c>
      <c r="BP261" s="7" t="str">
        <f aca="false">IF(BN261="","",BN261-BO261)</f>
        <v/>
      </c>
      <c r="BQ261" s="55" t="str">
        <f aca="false">IF(BN261="","",IF(BO261&gt;=BN261,"На складе",IF(BO261&gt;0,"Частично","Ждём")))</f>
        <v/>
      </c>
      <c r="BR261" s="43"/>
      <c r="BS261" s="47" t="str">
        <f aca="false">IF(BN261="","",IF(_xlfn.MAXIFS(ЗАКАЗЫ!$AK$3:$AK$500,ЗАКАЗЫ!$F$3:$F$500,$A261)=0,"",_xlfn.MAXIFS(ЗАКАЗЫ!$AK$3:$AK$500,ЗАКАЗЫ!$F$3:$F$500,$A261)))</f>
        <v/>
      </c>
    </row>
    <row r="262" customFormat="false" ht="15.75" hidden="false" customHeight="true" outlineLevel="0" collapsed="false">
      <c r="A262" s="80" t="s">
        <v>2129</v>
      </c>
      <c r="B262" s="81"/>
      <c r="C262" s="81"/>
      <c r="D262" s="81"/>
      <c r="E262" s="83"/>
      <c r="F262" s="81"/>
      <c r="G262" s="83"/>
      <c r="H262" s="83"/>
      <c r="I262" s="84" t="str">
        <f aca="false">IF(E262="","",A262&amp;"_1.jpg")</f>
        <v/>
      </c>
      <c r="J262" s="84" t="str">
        <f aca="false">IF(E262="","",A262&amp;"_2.jpg; "&amp;A262&amp;"_3.jpg")</f>
        <v/>
      </c>
      <c r="K262" s="84" t="str">
        <f aca="false">IF(E262="","",A262&amp;"_schema.jpg")</f>
        <v/>
      </c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 t="s">
        <v>96</v>
      </c>
      <c r="W262" s="81"/>
      <c r="X262" s="81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6" t="str">
        <f aca="false">IF(SUM(Y262:AJ262)=0,"",SUM(Y262:AJ262))</f>
        <v/>
      </c>
      <c r="AL262" s="84" t="str">
        <f aca="false">MID(IF(N(Y262)&gt;0,", "&amp;Y$2,"")&amp;IF(N(Z262)&gt;0,", "&amp;Z$2,"")&amp;IF(N(AA262)&gt;0,", "&amp;AA$2,"")&amp;IF(N(AB262)&gt;0,", "&amp;AB$2,"")&amp;IF(N(AC262)&gt;0,", "&amp;AC$2,"")&amp;IF(N(AD262)&gt;0,", "&amp;AD$2,"")&amp;IF(N(AE262)&gt;0,", "&amp;AE$2,"")&amp;IF(N(AF262)&gt;0,", "&amp;AF$2,"")&amp;IF(N(AG262)&gt;0,", "&amp;AG$2,"")&amp;IF(N(AH262)&gt;0,", "&amp;AH$2,"")&amp;IF(N(AI262)&gt;0,", "&amp;AI$2,"")&amp;IF(N(AJ262)&gt;0,", "&amp;AJ$2,""),3,999)</f>
        <v/>
      </c>
      <c r="AM262" s="87" t="str">
        <f aca="false">IF(E262="","",MID(IF(N(Y262)&gt;0,", "&amp;A262&amp;"-"&amp;Y$2,"")&amp;IF(N(Z262)&gt;0,", "&amp;A262&amp;"-"&amp;Z$2,"")&amp;IF(N(AA262)&gt;0,", "&amp;A262&amp;"-"&amp;AA$2,"")&amp;IF(N(AB262)&gt;0,", "&amp;A262&amp;"-"&amp;AB$2,"")&amp;IF(N(AC262)&gt;0,", "&amp;A262&amp;"-"&amp;AC$2,"")&amp;IF(N(AD262)&gt;0,", "&amp;A262&amp;"-"&amp;AD$2,"")&amp;IF(N(AE262)&gt;0,", "&amp;A262&amp;"-"&amp;AE$2,"")&amp;IF(N(AF262)&gt;0,", "&amp;A262&amp;"-"&amp;AF$2,"")&amp;IF(N(AG262)&gt;0,", "&amp;A262&amp;"-"&amp;AG$2,"")&amp;IF(N(AH262)&gt;0,", "&amp;A262&amp;"-"&amp;AH$2,"")&amp;IF(N(AI262)&gt;0,", "&amp;A262&amp;"-"&amp;AI$2,"")&amp;IF(N(AJ262)&gt;0,", "&amp;A262&amp;"-"&amp;AJ$2,""),3,999))</f>
        <v/>
      </c>
      <c r="AN262" s="81"/>
      <c r="AO262" s="88"/>
      <c r="AP262" s="89" t="str">
        <f aca="false">IF(AO262="","",ROUND(AO262/(1+Справочники!$B$13),2))</f>
        <v/>
      </c>
      <c r="AQ262" s="90" t="str">
        <f aca="false" t="array" ref="AQ262:AQ262">IF(AP262="","",AP262*INDEX(Справочники!$B$4:$B$7,MATCH("RUB",Справочники!$A$4:$A$7,0)))</f>
        <v/>
      </c>
      <c r="AR262" s="90" t="str">
        <f aca="false">IF(AQ262="","",ROUND(AQ262*(1+Справочники!$B$12),0))</f>
        <v/>
      </c>
      <c r="AS262" s="90" t="str">
        <f aca="false">IF(AR262="","",ROUND(AR262*(1-Справочники!$B$11),0))</f>
        <v/>
      </c>
      <c r="AT262" s="88"/>
      <c r="AU262" s="90" t="str">
        <f aca="false">IF(AT262="","",ROUND(AT262/(1+Справочники!$B$12),0))</f>
        <v/>
      </c>
      <c r="AV262" s="90" t="str">
        <f aca="false">IF(AT262="","",ROUND(AT262*(1-Справочники!$B$15),0))</f>
        <v/>
      </c>
      <c r="AW262" s="90" t="str">
        <f aca="false">IF(AT262="","",ROUND(AT262*(1-Справочники!$B$16),0))</f>
        <v/>
      </c>
      <c r="AX262" s="90" t="str">
        <f aca="false">IF(AT262="","",ROUND(AT262*(1-Справочники!$B$17),0))</f>
        <v/>
      </c>
      <c r="AY262" s="90" t="str">
        <f aca="false">IF(AT262="","",ROUND(AT262*(1-Справочники!$B$18),0))</f>
        <v/>
      </c>
      <c r="AZ262" s="90" t="str">
        <f aca="false">IF(AT262="","",ROUND(AT262*(1-Справочники!$B$19),0))</f>
        <v/>
      </c>
      <c r="BA262" s="81"/>
      <c r="BB262" s="81"/>
      <c r="BC262" s="81"/>
      <c r="BD262" s="81"/>
      <c r="BE262" s="91"/>
      <c r="BF262" s="81" t="s">
        <v>103</v>
      </c>
      <c r="BG262" s="89" t="n">
        <f aca="false" t="array" ref="BG262:BG262">IF(BF262="","",IFERROR(INDEX(Справочники!$B$4:$B$7,MATCH(BF262,Справочники!$A$4:$A$7,0)),""))</f>
        <v>68.5</v>
      </c>
      <c r="BH262" s="90" t="str">
        <f aca="false">IF(N(BN262)&gt;0,ROUND(SUMIF(ЗАКАЗЫ!$F$3:$F$500,$A262,ЗАКАЗЫ!$Y$3:$Y$500)/BN262,0),IF(OR(BE262="",BG262=""),"",ROUND(BE262*BG262*(1+Справочники!$B$10),0)))</f>
        <v/>
      </c>
      <c r="BI262" s="92" t="str">
        <f aca="false">IF(OR(AU262="",BH262="",AU262=0),"",(AU262-BH262)/AU262)</f>
        <v/>
      </c>
      <c r="BJ262" s="81"/>
      <c r="BK262" s="83"/>
      <c r="BL262" s="43" t="str">
        <f aca="false">IFERROR(INDEX(ЗАКАЗЫ!$N$3:$N$500,MATCH($A262,ЗАКАЗЫ!$F$3:$F$500,0)),"")</f>
        <v/>
      </c>
      <c r="BM262" s="8" t="str">
        <f aca="false">IF(BL262="","",IFERROR(VLOOKUP(BL262,'ТН ВЭД'!$A$4:$C$40,3,0),""))</f>
        <v/>
      </c>
      <c r="BN262" s="7" t="str">
        <f aca="false">IF(COUNTIF(ЗАКАЗЫ!$F$3:$F$500,$A262)=0,"",SUMIF(ЗАКАЗЫ!$F$3:$F$500,$A262,ЗАКАЗЫ!$J$3:$J$500))</f>
        <v/>
      </c>
      <c r="BO262" s="7" t="str">
        <f aca="false">IF(BN262="","",SUMIF(ЗАКАЗЫ!$F$3:$F$500,$A262,ЗАКАЗЫ!$AL$3:$AL$500))</f>
        <v/>
      </c>
      <c r="BP262" s="7" t="str">
        <f aca="false">IF(BN262="","",BN262-BO262)</f>
        <v/>
      </c>
      <c r="BQ262" s="55" t="str">
        <f aca="false">IF(BN262="","",IF(BO262&gt;=BN262,"На складе",IF(BO262&gt;0,"Частично","Ждём")))</f>
        <v/>
      </c>
      <c r="BR262" s="43"/>
      <c r="BS262" s="47" t="str">
        <f aca="false">IF(BN262="","",IF(_xlfn.MAXIFS(ЗАКАЗЫ!$AK$3:$AK$500,ЗАКАЗЫ!$F$3:$F$500,$A262)=0,"",_xlfn.MAXIFS(ЗАКАЗЫ!$AK$3:$AK$500,ЗАКАЗЫ!$F$3:$F$500,$A262)))</f>
        <v/>
      </c>
    </row>
    <row r="263" customFormat="false" ht="15.75" hidden="false" customHeight="true" outlineLevel="0" collapsed="false">
      <c r="A263" s="80" t="s">
        <v>2130</v>
      </c>
      <c r="B263" s="81"/>
      <c r="C263" s="81"/>
      <c r="D263" s="81"/>
      <c r="E263" s="83"/>
      <c r="F263" s="81"/>
      <c r="G263" s="83"/>
      <c r="H263" s="83"/>
      <c r="I263" s="84" t="str">
        <f aca="false">IF(E263="","",A263&amp;"_1.jpg")</f>
        <v/>
      </c>
      <c r="J263" s="84" t="str">
        <f aca="false">IF(E263="","",A263&amp;"_2.jpg; "&amp;A263&amp;"_3.jpg")</f>
        <v/>
      </c>
      <c r="K263" s="84" t="str">
        <f aca="false">IF(E263="","",A263&amp;"_schema.jpg")</f>
        <v/>
      </c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 t="s">
        <v>96</v>
      </c>
      <c r="W263" s="81"/>
      <c r="X263" s="81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6" t="str">
        <f aca="false">IF(SUM(Y263:AJ263)=0,"",SUM(Y263:AJ263))</f>
        <v/>
      </c>
      <c r="AL263" s="84" t="str">
        <f aca="false">MID(IF(N(Y263)&gt;0,", "&amp;Y$2,"")&amp;IF(N(Z263)&gt;0,", "&amp;Z$2,"")&amp;IF(N(AA263)&gt;0,", "&amp;AA$2,"")&amp;IF(N(AB263)&gt;0,", "&amp;AB$2,"")&amp;IF(N(AC263)&gt;0,", "&amp;AC$2,"")&amp;IF(N(AD263)&gt;0,", "&amp;AD$2,"")&amp;IF(N(AE263)&gt;0,", "&amp;AE$2,"")&amp;IF(N(AF263)&gt;0,", "&amp;AF$2,"")&amp;IF(N(AG263)&gt;0,", "&amp;AG$2,"")&amp;IF(N(AH263)&gt;0,", "&amp;AH$2,"")&amp;IF(N(AI263)&gt;0,", "&amp;AI$2,"")&amp;IF(N(AJ263)&gt;0,", "&amp;AJ$2,""),3,999)</f>
        <v/>
      </c>
      <c r="AM263" s="87" t="str">
        <f aca="false">IF(E263="","",MID(IF(N(Y263)&gt;0,", "&amp;A263&amp;"-"&amp;Y$2,"")&amp;IF(N(Z263)&gt;0,", "&amp;A263&amp;"-"&amp;Z$2,"")&amp;IF(N(AA263)&gt;0,", "&amp;A263&amp;"-"&amp;AA$2,"")&amp;IF(N(AB263)&gt;0,", "&amp;A263&amp;"-"&amp;AB$2,"")&amp;IF(N(AC263)&gt;0,", "&amp;A263&amp;"-"&amp;AC$2,"")&amp;IF(N(AD263)&gt;0,", "&amp;A263&amp;"-"&amp;AD$2,"")&amp;IF(N(AE263)&gt;0,", "&amp;A263&amp;"-"&amp;AE$2,"")&amp;IF(N(AF263)&gt;0,", "&amp;A263&amp;"-"&amp;AF$2,"")&amp;IF(N(AG263)&gt;0,", "&amp;A263&amp;"-"&amp;AG$2,"")&amp;IF(N(AH263)&gt;0,", "&amp;A263&amp;"-"&amp;AH$2,"")&amp;IF(N(AI263)&gt;0,", "&amp;A263&amp;"-"&amp;AI$2,"")&amp;IF(N(AJ263)&gt;0,", "&amp;A263&amp;"-"&amp;AJ$2,""),3,999))</f>
        <v/>
      </c>
      <c r="AN263" s="81"/>
      <c r="AO263" s="88"/>
      <c r="AP263" s="89" t="str">
        <f aca="false">IF(AO263="","",ROUND(AO263/(1+Справочники!$B$13),2))</f>
        <v/>
      </c>
      <c r="AQ263" s="90" t="str">
        <f aca="false" t="array" ref="AQ263:AQ263">IF(AP263="","",AP263*INDEX(Справочники!$B$4:$B$7,MATCH("RUB",Справочники!$A$4:$A$7,0)))</f>
        <v/>
      </c>
      <c r="AR263" s="90" t="str">
        <f aca="false">IF(AQ263="","",ROUND(AQ263*(1+Справочники!$B$12),0))</f>
        <v/>
      </c>
      <c r="AS263" s="90" t="str">
        <f aca="false">IF(AR263="","",ROUND(AR263*(1-Справочники!$B$11),0))</f>
        <v/>
      </c>
      <c r="AT263" s="88"/>
      <c r="AU263" s="90" t="str">
        <f aca="false">IF(AT263="","",ROUND(AT263/(1+Справочники!$B$12),0))</f>
        <v/>
      </c>
      <c r="AV263" s="90" t="str">
        <f aca="false">IF(AT263="","",ROUND(AT263*(1-Справочники!$B$15),0))</f>
        <v/>
      </c>
      <c r="AW263" s="90" t="str">
        <f aca="false">IF(AT263="","",ROUND(AT263*(1-Справочники!$B$16),0))</f>
        <v/>
      </c>
      <c r="AX263" s="90" t="str">
        <f aca="false">IF(AT263="","",ROUND(AT263*(1-Справочники!$B$17),0))</f>
        <v/>
      </c>
      <c r="AY263" s="90" t="str">
        <f aca="false">IF(AT263="","",ROUND(AT263*(1-Справочники!$B$18),0))</f>
        <v/>
      </c>
      <c r="AZ263" s="90" t="str">
        <f aca="false">IF(AT263="","",ROUND(AT263*(1-Справочники!$B$19),0))</f>
        <v/>
      </c>
      <c r="BA263" s="81"/>
      <c r="BB263" s="81"/>
      <c r="BC263" s="81"/>
      <c r="BD263" s="81"/>
      <c r="BE263" s="91"/>
      <c r="BF263" s="81" t="s">
        <v>103</v>
      </c>
      <c r="BG263" s="89" t="n">
        <f aca="false" t="array" ref="BG263:BG263">IF(BF263="","",IFERROR(INDEX(Справочники!$B$4:$B$7,MATCH(BF263,Справочники!$A$4:$A$7,0)),""))</f>
        <v>68.5</v>
      </c>
      <c r="BH263" s="90" t="str">
        <f aca="false">IF(N(BN263)&gt;0,ROUND(SUMIF(ЗАКАЗЫ!$F$3:$F$500,$A263,ЗАКАЗЫ!$Y$3:$Y$500)/BN263,0),IF(OR(BE263="",BG263=""),"",ROUND(BE263*BG263*(1+Справочники!$B$10),0)))</f>
        <v/>
      </c>
      <c r="BI263" s="92" t="str">
        <f aca="false">IF(OR(AU263="",BH263="",AU263=0),"",(AU263-BH263)/AU263)</f>
        <v/>
      </c>
      <c r="BJ263" s="81"/>
      <c r="BK263" s="83"/>
      <c r="BL263" s="43" t="str">
        <f aca="false">IFERROR(INDEX(ЗАКАЗЫ!$N$3:$N$500,MATCH($A263,ЗАКАЗЫ!$F$3:$F$500,0)),"")</f>
        <v/>
      </c>
      <c r="BM263" s="8" t="str">
        <f aca="false">IF(BL263="","",IFERROR(VLOOKUP(BL263,'ТН ВЭД'!$A$4:$C$40,3,0),""))</f>
        <v/>
      </c>
      <c r="BN263" s="7" t="str">
        <f aca="false">IF(COUNTIF(ЗАКАЗЫ!$F$3:$F$500,$A263)=0,"",SUMIF(ЗАКАЗЫ!$F$3:$F$500,$A263,ЗАКАЗЫ!$J$3:$J$500))</f>
        <v/>
      </c>
      <c r="BO263" s="7" t="str">
        <f aca="false">IF(BN263="","",SUMIF(ЗАКАЗЫ!$F$3:$F$500,$A263,ЗАКАЗЫ!$AL$3:$AL$500))</f>
        <v/>
      </c>
      <c r="BP263" s="7" t="str">
        <f aca="false">IF(BN263="","",BN263-BO263)</f>
        <v/>
      </c>
      <c r="BQ263" s="55" t="str">
        <f aca="false">IF(BN263="","",IF(BO263&gt;=BN263,"На складе",IF(BO263&gt;0,"Частично","Ждём")))</f>
        <v/>
      </c>
      <c r="BR263" s="43"/>
      <c r="BS263" s="47" t="str">
        <f aca="false">IF(BN263="","",IF(_xlfn.MAXIFS(ЗАКАЗЫ!$AK$3:$AK$500,ЗАКАЗЫ!$F$3:$F$500,$A263)=0,"",_xlfn.MAXIFS(ЗАКАЗЫ!$AK$3:$AK$500,ЗАКАЗЫ!$F$3:$F$500,$A263)))</f>
        <v/>
      </c>
    </row>
    <row r="264" customFormat="false" ht="15.75" hidden="false" customHeight="true" outlineLevel="0" collapsed="false">
      <c r="A264" s="80" t="s">
        <v>2131</v>
      </c>
      <c r="B264" s="81"/>
      <c r="C264" s="81"/>
      <c r="D264" s="81"/>
      <c r="E264" s="83"/>
      <c r="F264" s="81"/>
      <c r="G264" s="83"/>
      <c r="H264" s="83"/>
      <c r="I264" s="84" t="str">
        <f aca="false">IF(E264="","",A264&amp;"_1.jpg")</f>
        <v/>
      </c>
      <c r="J264" s="84" t="str">
        <f aca="false">IF(E264="","",A264&amp;"_2.jpg; "&amp;A264&amp;"_3.jpg")</f>
        <v/>
      </c>
      <c r="K264" s="84" t="str">
        <f aca="false">IF(E264="","",A264&amp;"_schema.jpg")</f>
        <v/>
      </c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 t="s">
        <v>96</v>
      </c>
      <c r="W264" s="81"/>
      <c r="X264" s="81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6" t="str">
        <f aca="false">IF(SUM(Y264:AJ264)=0,"",SUM(Y264:AJ264))</f>
        <v/>
      </c>
      <c r="AL264" s="84" t="str">
        <f aca="false">MID(IF(N(Y264)&gt;0,", "&amp;Y$2,"")&amp;IF(N(Z264)&gt;0,", "&amp;Z$2,"")&amp;IF(N(AA264)&gt;0,", "&amp;AA$2,"")&amp;IF(N(AB264)&gt;0,", "&amp;AB$2,"")&amp;IF(N(AC264)&gt;0,", "&amp;AC$2,"")&amp;IF(N(AD264)&gt;0,", "&amp;AD$2,"")&amp;IF(N(AE264)&gt;0,", "&amp;AE$2,"")&amp;IF(N(AF264)&gt;0,", "&amp;AF$2,"")&amp;IF(N(AG264)&gt;0,", "&amp;AG$2,"")&amp;IF(N(AH264)&gt;0,", "&amp;AH$2,"")&amp;IF(N(AI264)&gt;0,", "&amp;AI$2,"")&amp;IF(N(AJ264)&gt;0,", "&amp;AJ$2,""),3,999)</f>
        <v/>
      </c>
      <c r="AM264" s="87" t="str">
        <f aca="false">IF(E264="","",MID(IF(N(Y264)&gt;0,", "&amp;A264&amp;"-"&amp;Y$2,"")&amp;IF(N(Z264)&gt;0,", "&amp;A264&amp;"-"&amp;Z$2,"")&amp;IF(N(AA264)&gt;0,", "&amp;A264&amp;"-"&amp;AA$2,"")&amp;IF(N(AB264)&gt;0,", "&amp;A264&amp;"-"&amp;AB$2,"")&amp;IF(N(AC264)&gt;0,", "&amp;A264&amp;"-"&amp;AC$2,"")&amp;IF(N(AD264)&gt;0,", "&amp;A264&amp;"-"&amp;AD$2,"")&amp;IF(N(AE264)&gt;0,", "&amp;A264&amp;"-"&amp;AE$2,"")&amp;IF(N(AF264)&gt;0,", "&amp;A264&amp;"-"&amp;AF$2,"")&amp;IF(N(AG264)&gt;0,", "&amp;A264&amp;"-"&amp;AG$2,"")&amp;IF(N(AH264)&gt;0,", "&amp;A264&amp;"-"&amp;AH$2,"")&amp;IF(N(AI264)&gt;0,", "&amp;A264&amp;"-"&amp;AI$2,"")&amp;IF(N(AJ264)&gt;0,", "&amp;A264&amp;"-"&amp;AJ$2,""),3,999))</f>
        <v/>
      </c>
      <c r="AN264" s="81"/>
      <c r="AO264" s="88"/>
      <c r="AP264" s="89" t="str">
        <f aca="false">IF(AO264="","",ROUND(AO264/(1+Справочники!$B$13),2))</f>
        <v/>
      </c>
      <c r="AQ264" s="90" t="str">
        <f aca="false" t="array" ref="AQ264:AQ264">IF(AP264="","",AP264*INDEX(Справочники!$B$4:$B$7,MATCH("RUB",Справочники!$A$4:$A$7,0)))</f>
        <v/>
      </c>
      <c r="AR264" s="90" t="str">
        <f aca="false">IF(AQ264="","",ROUND(AQ264*(1+Справочники!$B$12),0))</f>
        <v/>
      </c>
      <c r="AS264" s="90" t="str">
        <f aca="false">IF(AR264="","",ROUND(AR264*(1-Справочники!$B$11),0))</f>
        <v/>
      </c>
      <c r="AT264" s="88"/>
      <c r="AU264" s="90" t="str">
        <f aca="false">IF(AT264="","",ROUND(AT264/(1+Справочники!$B$12),0))</f>
        <v/>
      </c>
      <c r="AV264" s="90" t="str">
        <f aca="false">IF(AT264="","",ROUND(AT264*(1-Справочники!$B$15),0))</f>
        <v/>
      </c>
      <c r="AW264" s="90" t="str">
        <f aca="false">IF(AT264="","",ROUND(AT264*(1-Справочники!$B$16),0))</f>
        <v/>
      </c>
      <c r="AX264" s="90" t="str">
        <f aca="false">IF(AT264="","",ROUND(AT264*(1-Справочники!$B$17),0))</f>
        <v/>
      </c>
      <c r="AY264" s="90" t="str">
        <f aca="false">IF(AT264="","",ROUND(AT264*(1-Справочники!$B$18),0))</f>
        <v/>
      </c>
      <c r="AZ264" s="90" t="str">
        <f aca="false">IF(AT264="","",ROUND(AT264*(1-Справочники!$B$19),0))</f>
        <v/>
      </c>
      <c r="BA264" s="81"/>
      <c r="BB264" s="81"/>
      <c r="BC264" s="81"/>
      <c r="BD264" s="81"/>
      <c r="BE264" s="91"/>
      <c r="BF264" s="81" t="s">
        <v>103</v>
      </c>
      <c r="BG264" s="89" t="n">
        <f aca="false" t="array" ref="BG264:BG264">IF(BF264="","",IFERROR(INDEX(Справочники!$B$4:$B$7,MATCH(BF264,Справочники!$A$4:$A$7,0)),""))</f>
        <v>68.5</v>
      </c>
      <c r="BH264" s="90" t="str">
        <f aca="false">IF(N(BN264)&gt;0,ROUND(SUMIF(ЗАКАЗЫ!$F$3:$F$500,$A264,ЗАКАЗЫ!$Y$3:$Y$500)/BN264,0),IF(OR(BE264="",BG264=""),"",ROUND(BE264*BG264*(1+Справочники!$B$10),0)))</f>
        <v/>
      </c>
      <c r="BI264" s="92" t="str">
        <f aca="false">IF(OR(AU264="",BH264="",AU264=0),"",(AU264-BH264)/AU264)</f>
        <v/>
      </c>
      <c r="BJ264" s="81"/>
      <c r="BK264" s="83"/>
      <c r="BL264" s="43" t="str">
        <f aca="false">IFERROR(INDEX(ЗАКАЗЫ!$N$3:$N$500,MATCH($A264,ЗАКАЗЫ!$F$3:$F$500,0)),"")</f>
        <v/>
      </c>
      <c r="BM264" s="8" t="str">
        <f aca="false">IF(BL264="","",IFERROR(VLOOKUP(BL264,'ТН ВЭД'!$A$4:$C$40,3,0),""))</f>
        <v/>
      </c>
      <c r="BN264" s="7" t="str">
        <f aca="false">IF(COUNTIF(ЗАКАЗЫ!$F$3:$F$500,$A264)=0,"",SUMIF(ЗАКАЗЫ!$F$3:$F$500,$A264,ЗАКАЗЫ!$J$3:$J$500))</f>
        <v/>
      </c>
      <c r="BO264" s="7" t="str">
        <f aca="false">IF(BN264="","",SUMIF(ЗАКАЗЫ!$F$3:$F$500,$A264,ЗАКАЗЫ!$AL$3:$AL$500))</f>
        <v/>
      </c>
      <c r="BP264" s="7" t="str">
        <f aca="false">IF(BN264="","",BN264-BO264)</f>
        <v/>
      </c>
      <c r="BQ264" s="55" t="str">
        <f aca="false">IF(BN264="","",IF(BO264&gt;=BN264,"На складе",IF(BO264&gt;0,"Частично","Ждём")))</f>
        <v/>
      </c>
      <c r="BR264" s="43"/>
      <c r="BS264" s="47" t="str">
        <f aca="false">IF(BN264="","",IF(_xlfn.MAXIFS(ЗАКАЗЫ!$AK$3:$AK$500,ЗАКАЗЫ!$F$3:$F$500,$A264)=0,"",_xlfn.MAXIFS(ЗАКАЗЫ!$AK$3:$AK$500,ЗАКАЗЫ!$F$3:$F$500,$A264)))</f>
        <v/>
      </c>
    </row>
    <row r="265" customFormat="false" ht="15.75" hidden="false" customHeight="true" outlineLevel="0" collapsed="false">
      <c r="A265" s="80" t="s">
        <v>2132</v>
      </c>
      <c r="B265" s="81"/>
      <c r="C265" s="81"/>
      <c r="D265" s="81"/>
      <c r="E265" s="83"/>
      <c r="F265" s="81"/>
      <c r="G265" s="83"/>
      <c r="H265" s="83"/>
      <c r="I265" s="84" t="str">
        <f aca="false">IF(E265="","",A265&amp;"_1.jpg")</f>
        <v/>
      </c>
      <c r="J265" s="84" t="str">
        <f aca="false">IF(E265="","",A265&amp;"_2.jpg; "&amp;A265&amp;"_3.jpg")</f>
        <v/>
      </c>
      <c r="K265" s="84" t="str">
        <f aca="false">IF(E265="","",A265&amp;"_schema.jpg")</f>
        <v/>
      </c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 t="s">
        <v>96</v>
      </c>
      <c r="W265" s="81"/>
      <c r="X265" s="81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6" t="str">
        <f aca="false">IF(SUM(Y265:AJ265)=0,"",SUM(Y265:AJ265))</f>
        <v/>
      </c>
      <c r="AL265" s="84" t="str">
        <f aca="false">MID(IF(N(Y265)&gt;0,", "&amp;Y$2,"")&amp;IF(N(Z265)&gt;0,", "&amp;Z$2,"")&amp;IF(N(AA265)&gt;0,", "&amp;AA$2,"")&amp;IF(N(AB265)&gt;0,", "&amp;AB$2,"")&amp;IF(N(AC265)&gt;0,", "&amp;AC$2,"")&amp;IF(N(AD265)&gt;0,", "&amp;AD$2,"")&amp;IF(N(AE265)&gt;0,", "&amp;AE$2,"")&amp;IF(N(AF265)&gt;0,", "&amp;AF$2,"")&amp;IF(N(AG265)&gt;0,", "&amp;AG$2,"")&amp;IF(N(AH265)&gt;0,", "&amp;AH$2,"")&amp;IF(N(AI265)&gt;0,", "&amp;AI$2,"")&amp;IF(N(AJ265)&gt;0,", "&amp;AJ$2,""),3,999)</f>
        <v/>
      </c>
      <c r="AM265" s="87" t="str">
        <f aca="false">IF(E265="","",MID(IF(N(Y265)&gt;0,", "&amp;A265&amp;"-"&amp;Y$2,"")&amp;IF(N(Z265)&gt;0,", "&amp;A265&amp;"-"&amp;Z$2,"")&amp;IF(N(AA265)&gt;0,", "&amp;A265&amp;"-"&amp;AA$2,"")&amp;IF(N(AB265)&gt;0,", "&amp;A265&amp;"-"&amp;AB$2,"")&amp;IF(N(AC265)&gt;0,", "&amp;A265&amp;"-"&amp;AC$2,"")&amp;IF(N(AD265)&gt;0,", "&amp;A265&amp;"-"&amp;AD$2,"")&amp;IF(N(AE265)&gt;0,", "&amp;A265&amp;"-"&amp;AE$2,"")&amp;IF(N(AF265)&gt;0,", "&amp;A265&amp;"-"&amp;AF$2,"")&amp;IF(N(AG265)&gt;0,", "&amp;A265&amp;"-"&amp;AG$2,"")&amp;IF(N(AH265)&gt;0,", "&amp;A265&amp;"-"&amp;AH$2,"")&amp;IF(N(AI265)&gt;0,", "&amp;A265&amp;"-"&amp;AI$2,"")&amp;IF(N(AJ265)&gt;0,", "&amp;A265&amp;"-"&amp;AJ$2,""),3,999))</f>
        <v/>
      </c>
      <c r="AN265" s="81"/>
      <c r="AO265" s="88"/>
      <c r="AP265" s="89" t="str">
        <f aca="false">IF(AO265="","",ROUND(AO265/(1+Справочники!$B$13),2))</f>
        <v/>
      </c>
      <c r="AQ265" s="90" t="str">
        <f aca="false" t="array" ref="AQ265:AQ265">IF(AP265="","",AP265*INDEX(Справочники!$B$4:$B$7,MATCH("RUB",Справочники!$A$4:$A$7,0)))</f>
        <v/>
      </c>
      <c r="AR265" s="90" t="str">
        <f aca="false">IF(AQ265="","",ROUND(AQ265*(1+Справочники!$B$12),0))</f>
        <v/>
      </c>
      <c r="AS265" s="90" t="str">
        <f aca="false">IF(AR265="","",ROUND(AR265*(1-Справочники!$B$11),0))</f>
        <v/>
      </c>
      <c r="AT265" s="88"/>
      <c r="AU265" s="90" t="str">
        <f aca="false">IF(AT265="","",ROUND(AT265/(1+Справочники!$B$12),0))</f>
        <v/>
      </c>
      <c r="AV265" s="90" t="str">
        <f aca="false">IF(AT265="","",ROUND(AT265*(1-Справочники!$B$15),0))</f>
        <v/>
      </c>
      <c r="AW265" s="90" t="str">
        <f aca="false">IF(AT265="","",ROUND(AT265*(1-Справочники!$B$16),0))</f>
        <v/>
      </c>
      <c r="AX265" s="90" t="str">
        <f aca="false">IF(AT265="","",ROUND(AT265*(1-Справочники!$B$17),0))</f>
        <v/>
      </c>
      <c r="AY265" s="90" t="str">
        <f aca="false">IF(AT265="","",ROUND(AT265*(1-Справочники!$B$18),0))</f>
        <v/>
      </c>
      <c r="AZ265" s="90" t="str">
        <f aca="false">IF(AT265="","",ROUND(AT265*(1-Справочники!$B$19),0))</f>
        <v/>
      </c>
      <c r="BA265" s="81"/>
      <c r="BB265" s="81"/>
      <c r="BC265" s="81"/>
      <c r="BD265" s="81"/>
      <c r="BE265" s="91"/>
      <c r="BF265" s="81" t="s">
        <v>103</v>
      </c>
      <c r="BG265" s="89" t="n">
        <f aca="false" t="array" ref="BG265:BG265">IF(BF265="","",IFERROR(INDEX(Справочники!$B$4:$B$7,MATCH(BF265,Справочники!$A$4:$A$7,0)),""))</f>
        <v>68.5</v>
      </c>
      <c r="BH265" s="90" t="str">
        <f aca="false">IF(N(BN265)&gt;0,ROUND(SUMIF(ЗАКАЗЫ!$F$3:$F$500,$A265,ЗАКАЗЫ!$Y$3:$Y$500)/BN265,0),IF(OR(BE265="",BG265=""),"",ROUND(BE265*BG265*(1+Справочники!$B$10),0)))</f>
        <v/>
      </c>
      <c r="BI265" s="92" t="str">
        <f aca="false">IF(OR(AU265="",BH265="",AU265=0),"",(AU265-BH265)/AU265)</f>
        <v/>
      </c>
      <c r="BJ265" s="81"/>
      <c r="BK265" s="83"/>
      <c r="BL265" s="43" t="str">
        <f aca="false">IFERROR(INDEX(ЗАКАЗЫ!$N$3:$N$500,MATCH($A265,ЗАКАЗЫ!$F$3:$F$500,0)),"")</f>
        <v/>
      </c>
      <c r="BM265" s="8" t="str">
        <f aca="false">IF(BL265="","",IFERROR(VLOOKUP(BL265,'ТН ВЭД'!$A$4:$C$40,3,0),""))</f>
        <v/>
      </c>
      <c r="BN265" s="7" t="str">
        <f aca="false">IF(COUNTIF(ЗАКАЗЫ!$F$3:$F$500,$A265)=0,"",SUMIF(ЗАКАЗЫ!$F$3:$F$500,$A265,ЗАКАЗЫ!$J$3:$J$500))</f>
        <v/>
      </c>
      <c r="BO265" s="7" t="str">
        <f aca="false">IF(BN265="","",SUMIF(ЗАКАЗЫ!$F$3:$F$500,$A265,ЗАКАЗЫ!$AL$3:$AL$500))</f>
        <v/>
      </c>
      <c r="BP265" s="7" t="str">
        <f aca="false">IF(BN265="","",BN265-BO265)</f>
        <v/>
      </c>
      <c r="BQ265" s="55" t="str">
        <f aca="false">IF(BN265="","",IF(BO265&gt;=BN265,"На складе",IF(BO265&gt;0,"Частично","Ждём")))</f>
        <v/>
      </c>
      <c r="BR265" s="43"/>
      <c r="BS265" s="47" t="str">
        <f aca="false">IF(BN265="","",IF(_xlfn.MAXIFS(ЗАКАЗЫ!$AK$3:$AK$500,ЗАКАЗЫ!$F$3:$F$500,$A265)=0,"",_xlfn.MAXIFS(ЗАКАЗЫ!$AK$3:$AK$500,ЗАКАЗЫ!$F$3:$F$500,$A265)))</f>
        <v/>
      </c>
    </row>
    <row r="266" customFormat="false" ht="15.75" hidden="false" customHeight="true" outlineLevel="0" collapsed="false">
      <c r="A266" s="80" t="s">
        <v>2133</v>
      </c>
      <c r="B266" s="81"/>
      <c r="C266" s="81"/>
      <c r="D266" s="81"/>
      <c r="E266" s="83"/>
      <c r="F266" s="81"/>
      <c r="G266" s="83"/>
      <c r="H266" s="83"/>
      <c r="I266" s="84" t="str">
        <f aca="false">IF(E266="","",A266&amp;"_1.jpg")</f>
        <v/>
      </c>
      <c r="J266" s="84" t="str">
        <f aca="false">IF(E266="","",A266&amp;"_2.jpg; "&amp;A266&amp;"_3.jpg")</f>
        <v/>
      </c>
      <c r="K266" s="84" t="str">
        <f aca="false">IF(E266="","",A266&amp;"_schema.jpg")</f>
        <v/>
      </c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 t="s">
        <v>96</v>
      </c>
      <c r="W266" s="81"/>
      <c r="X266" s="81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6" t="str">
        <f aca="false">IF(SUM(Y266:AJ266)=0,"",SUM(Y266:AJ266))</f>
        <v/>
      </c>
      <c r="AL266" s="84" t="str">
        <f aca="false">MID(IF(N(Y266)&gt;0,", "&amp;Y$2,"")&amp;IF(N(Z266)&gt;0,", "&amp;Z$2,"")&amp;IF(N(AA266)&gt;0,", "&amp;AA$2,"")&amp;IF(N(AB266)&gt;0,", "&amp;AB$2,"")&amp;IF(N(AC266)&gt;0,", "&amp;AC$2,"")&amp;IF(N(AD266)&gt;0,", "&amp;AD$2,"")&amp;IF(N(AE266)&gt;0,", "&amp;AE$2,"")&amp;IF(N(AF266)&gt;0,", "&amp;AF$2,"")&amp;IF(N(AG266)&gt;0,", "&amp;AG$2,"")&amp;IF(N(AH266)&gt;0,", "&amp;AH$2,"")&amp;IF(N(AI266)&gt;0,", "&amp;AI$2,"")&amp;IF(N(AJ266)&gt;0,", "&amp;AJ$2,""),3,999)</f>
        <v/>
      </c>
      <c r="AM266" s="87" t="str">
        <f aca="false">IF(E266="","",MID(IF(N(Y266)&gt;0,", "&amp;A266&amp;"-"&amp;Y$2,"")&amp;IF(N(Z266)&gt;0,", "&amp;A266&amp;"-"&amp;Z$2,"")&amp;IF(N(AA266)&gt;0,", "&amp;A266&amp;"-"&amp;AA$2,"")&amp;IF(N(AB266)&gt;0,", "&amp;A266&amp;"-"&amp;AB$2,"")&amp;IF(N(AC266)&gt;0,", "&amp;A266&amp;"-"&amp;AC$2,"")&amp;IF(N(AD266)&gt;0,", "&amp;A266&amp;"-"&amp;AD$2,"")&amp;IF(N(AE266)&gt;0,", "&amp;A266&amp;"-"&amp;AE$2,"")&amp;IF(N(AF266)&gt;0,", "&amp;A266&amp;"-"&amp;AF$2,"")&amp;IF(N(AG266)&gt;0,", "&amp;A266&amp;"-"&amp;AG$2,"")&amp;IF(N(AH266)&gt;0,", "&amp;A266&amp;"-"&amp;AH$2,"")&amp;IF(N(AI266)&gt;0,", "&amp;A266&amp;"-"&amp;AI$2,"")&amp;IF(N(AJ266)&gt;0,", "&amp;A266&amp;"-"&amp;AJ$2,""),3,999))</f>
        <v/>
      </c>
      <c r="AN266" s="81"/>
      <c r="AO266" s="88"/>
      <c r="AP266" s="89" t="str">
        <f aca="false">IF(AO266="","",ROUND(AO266/(1+Справочники!$B$13),2))</f>
        <v/>
      </c>
      <c r="AQ266" s="90" t="str">
        <f aca="false" t="array" ref="AQ266:AQ266">IF(AP266="","",AP266*INDEX(Справочники!$B$4:$B$7,MATCH("RUB",Справочники!$A$4:$A$7,0)))</f>
        <v/>
      </c>
      <c r="AR266" s="90" t="str">
        <f aca="false">IF(AQ266="","",ROUND(AQ266*(1+Справочники!$B$12),0))</f>
        <v/>
      </c>
      <c r="AS266" s="90" t="str">
        <f aca="false">IF(AR266="","",ROUND(AR266*(1-Справочники!$B$11),0))</f>
        <v/>
      </c>
      <c r="AT266" s="88"/>
      <c r="AU266" s="90" t="str">
        <f aca="false">IF(AT266="","",ROUND(AT266/(1+Справочники!$B$12),0))</f>
        <v/>
      </c>
      <c r="AV266" s="90" t="str">
        <f aca="false">IF(AT266="","",ROUND(AT266*(1-Справочники!$B$15),0))</f>
        <v/>
      </c>
      <c r="AW266" s="90" t="str">
        <f aca="false">IF(AT266="","",ROUND(AT266*(1-Справочники!$B$16),0))</f>
        <v/>
      </c>
      <c r="AX266" s="90" t="str">
        <f aca="false">IF(AT266="","",ROUND(AT266*(1-Справочники!$B$17),0))</f>
        <v/>
      </c>
      <c r="AY266" s="90" t="str">
        <f aca="false">IF(AT266="","",ROUND(AT266*(1-Справочники!$B$18),0))</f>
        <v/>
      </c>
      <c r="AZ266" s="90" t="str">
        <f aca="false">IF(AT266="","",ROUND(AT266*(1-Справочники!$B$19),0))</f>
        <v/>
      </c>
      <c r="BA266" s="81"/>
      <c r="BB266" s="81"/>
      <c r="BC266" s="81"/>
      <c r="BD266" s="81"/>
      <c r="BE266" s="91"/>
      <c r="BF266" s="81" t="s">
        <v>103</v>
      </c>
      <c r="BG266" s="89" t="n">
        <f aca="false" t="array" ref="BG266:BG266">IF(BF266="","",IFERROR(INDEX(Справочники!$B$4:$B$7,MATCH(BF266,Справочники!$A$4:$A$7,0)),""))</f>
        <v>68.5</v>
      </c>
      <c r="BH266" s="90" t="str">
        <f aca="false">IF(N(BN266)&gt;0,ROUND(SUMIF(ЗАКАЗЫ!$F$3:$F$500,$A266,ЗАКАЗЫ!$Y$3:$Y$500)/BN266,0),IF(OR(BE266="",BG266=""),"",ROUND(BE266*BG266*(1+Справочники!$B$10),0)))</f>
        <v/>
      </c>
      <c r="BI266" s="92" t="str">
        <f aca="false">IF(OR(AU266="",BH266="",AU266=0),"",(AU266-BH266)/AU266)</f>
        <v/>
      </c>
      <c r="BJ266" s="81"/>
      <c r="BK266" s="83"/>
      <c r="BL266" s="43" t="str">
        <f aca="false">IFERROR(INDEX(ЗАКАЗЫ!$N$3:$N$500,MATCH($A266,ЗАКАЗЫ!$F$3:$F$500,0)),"")</f>
        <v/>
      </c>
      <c r="BM266" s="8" t="str">
        <f aca="false">IF(BL266="","",IFERROR(VLOOKUP(BL266,'ТН ВЭД'!$A$4:$C$40,3,0),""))</f>
        <v/>
      </c>
      <c r="BN266" s="7" t="str">
        <f aca="false">IF(COUNTIF(ЗАКАЗЫ!$F$3:$F$500,$A266)=0,"",SUMIF(ЗАКАЗЫ!$F$3:$F$500,$A266,ЗАКАЗЫ!$J$3:$J$500))</f>
        <v/>
      </c>
      <c r="BO266" s="7" t="str">
        <f aca="false">IF(BN266="","",SUMIF(ЗАКАЗЫ!$F$3:$F$500,$A266,ЗАКАЗЫ!$AL$3:$AL$500))</f>
        <v/>
      </c>
      <c r="BP266" s="7" t="str">
        <f aca="false">IF(BN266="","",BN266-BO266)</f>
        <v/>
      </c>
      <c r="BQ266" s="55" t="str">
        <f aca="false">IF(BN266="","",IF(BO266&gt;=BN266,"На складе",IF(BO266&gt;0,"Частично","Ждём")))</f>
        <v/>
      </c>
      <c r="BR266" s="43"/>
      <c r="BS266" s="47" t="str">
        <f aca="false">IF(BN266="","",IF(_xlfn.MAXIFS(ЗАКАЗЫ!$AK$3:$AK$500,ЗАКАЗЫ!$F$3:$F$500,$A266)=0,"",_xlfn.MAXIFS(ЗАКАЗЫ!$AK$3:$AK$500,ЗАКАЗЫ!$F$3:$F$500,$A266)))</f>
        <v/>
      </c>
    </row>
    <row r="267" customFormat="false" ht="15.75" hidden="false" customHeight="true" outlineLevel="0" collapsed="false">
      <c r="A267" s="80" t="s">
        <v>2134</v>
      </c>
      <c r="B267" s="81"/>
      <c r="C267" s="81"/>
      <c r="D267" s="81"/>
      <c r="E267" s="83"/>
      <c r="F267" s="81"/>
      <c r="G267" s="83"/>
      <c r="H267" s="83"/>
      <c r="I267" s="84" t="str">
        <f aca="false">IF(E267="","",A267&amp;"_1.jpg")</f>
        <v/>
      </c>
      <c r="J267" s="84" t="str">
        <f aca="false">IF(E267="","",A267&amp;"_2.jpg; "&amp;A267&amp;"_3.jpg")</f>
        <v/>
      </c>
      <c r="K267" s="84" t="str">
        <f aca="false">IF(E267="","",A267&amp;"_schema.jpg")</f>
        <v/>
      </c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 t="s">
        <v>96</v>
      </c>
      <c r="W267" s="81"/>
      <c r="X267" s="81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6" t="str">
        <f aca="false">IF(SUM(Y267:AJ267)=0,"",SUM(Y267:AJ267))</f>
        <v/>
      </c>
      <c r="AL267" s="84" t="str">
        <f aca="false">MID(IF(N(Y267)&gt;0,", "&amp;Y$2,"")&amp;IF(N(Z267)&gt;0,", "&amp;Z$2,"")&amp;IF(N(AA267)&gt;0,", "&amp;AA$2,"")&amp;IF(N(AB267)&gt;0,", "&amp;AB$2,"")&amp;IF(N(AC267)&gt;0,", "&amp;AC$2,"")&amp;IF(N(AD267)&gt;0,", "&amp;AD$2,"")&amp;IF(N(AE267)&gt;0,", "&amp;AE$2,"")&amp;IF(N(AF267)&gt;0,", "&amp;AF$2,"")&amp;IF(N(AG267)&gt;0,", "&amp;AG$2,"")&amp;IF(N(AH267)&gt;0,", "&amp;AH$2,"")&amp;IF(N(AI267)&gt;0,", "&amp;AI$2,"")&amp;IF(N(AJ267)&gt;0,", "&amp;AJ$2,""),3,999)</f>
        <v/>
      </c>
      <c r="AM267" s="87" t="str">
        <f aca="false">IF(E267="","",MID(IF(N(Y267)&gt;0,", "&amp;A267&amp;"-"&amp;Y$2,"")&amp;IF(N(Z267)&gt;0,", "&amp;A267&amp;"-"&amp;Z$2,"")&amp;IF(N(AA267)&gt;0,", "&amp;A267&amp;"-"&amp;AA$2,"")&amp;IF(N(AB267)&gt;0,", "&amp;A267&amp;"-"&amp;AB$2,"")&amp;IF(N(AC267)&gt;0,", "&amp;A267&amp;"-"&amp;AC$2,"")&amp;IF(N(AD267)&gt;0,", "&amp;A267&amp;"-"&amp;AD$2,"")&amp;IF(N(AE267)&gt;0,", "&amp;A267&amp;"-"&amp;AE$2,"")&amp;IF(N(AF267)&gt;0,", "&amp;A267&amp;"-"&amp;AF$2,"")&amp;IF(N(AG267)&gt;0,", "&amp;A267&amp;"-"&amp;AG$2,"")&amp;IF(N(AH267)&gt;0,", "&amp;A267&amp;"-"&amp;AH$2,"")&amp;IF(N(AI267)&gt;0,", "&amp;A267&amp;"-"&amp;AI$2,"")&amp;IF(N(AJ267)&gt;0,", "&amp;A267&amp;"-"&amp;AJ$2,""),3,999))</f>
        <v/>
      </c>
      <c r="AN267" s="81"/>
      <c r="AO267" s="88"/>
      <c r="AP267" s="89" t="str">
        <f aca="false">IF(AO267="","",ROUND(AO267/(1+Справочники!$B$13),2))</f>
        <v/>
      </c>
      <c r="AQ267" s="90" t="str">
        <f aca="false" t="array" ref="AQ267:AQ267">IF(AP267="","",AP267*INDEX(Справочники!$B$4:$B$7,MATCH("RUB",Справочники!$A$4:$A$7,0)))</f>
        <v/>
      </c>
      <c r="AR267" s="90" t="str">
        <f aca="false">IF(AQ267="","",ROUND(AQ267*(1+Справочники!$B$12),0))</f>
        <v/>
      </c>
      <c r="AS267" s="90" t="str">
        <f aca="false">IF(AR267="","",ROUND(AR267*(1-Справочники!$B$11),0))</f>
        <v/>
      </c>
      <c r="AT267" s="88"/>
      <c r="AU267" s="90" t="str">
        <f aca="false">IF(AT267="","",ROUND(AT267/(1+Справочники!$B$12),0))</f>
        <v/>
      </c>
      <c r="AV267" s="90" t="str">
        <f aca="false">IF(AT267="","",ROUND(AT267*(1-Справочники!$B$15),0))</f>
        <v/>
      </c>
      <c r="AW267" s="90" t="str">
        <f aca="false">IF(AT267="","",ROUND(AT267*(1-Справочники!$B$16),0))</f>
        <v/>
      </c>
      <c r="AX267" s="90" t="str">
        <f aca="false">IF(AT267="","",ROUND(AT267*(1-Справочники!$B$17),0))</f>
        <v/>
      </c>
      <c r="AY267" s="90" t="str">
        <f aca="false">IF(AT267="","",ROUND(AT267*(1-Справочники!$B$18),0))</f>
        <v/>
      </c>
      <c r="AZ267" s="90" t="str">
        <f aca="false">IF(AT267="","",ROUND(AT267*(1-Справочники!$B$19),0))</f>
        <v/>
      </c>
      <c r="BA267" s="81"/>
      <c r="BB267" s="81"/>
      <c r="BC267" s="81"/>
      <c r="BD267" s="81"/>
      <c r="BE267" s="91"/>
      <c r="BF267" s="81" t="s">
        <v>103</v>
      </c>
      <c r="BG267" s="89" t="n">
        <f aca="false" t="array" ref="BG267:BG267">IF(BF267="","",IFERROR(INDEX(Справочники!$B$4:$B$7,MATCH(BF267,Справочники!$A$4:$A$7,0)),""))</f>
        <v>68.5</v>
      </c>
      <c r="BH267" s="90" t="str">
        <f aca="false">IF(N(BN267)&gt;0,ROUND(SUMIF(ЗАКАЗЫ!$F$3:$F$500,$A267,ЗАКАЗЫ!$Y$3:$Y$500)/BN267,0),IF(OR(BE267="",BG267=""),"",ROUND(BE267*BG267*(1+Справочники!$B$10),0)))</f>
        <v/>
      </c>
      <c r="BI267" s="92" t="str">
        <f aca="false">IF(OR(AU267="",BH267="",AU267=0),"",(AU267-BH267)/AU267)</f>
        <v/>
      </c>
      <c r="BJ267" s="81"/>
      <c r="BK267" s="83"/>
      <c r="BL267" s="43" t="str">
        <f aca="false">IFERROR(INDEX(ЗАКАЗЫ!$N$3:$N$500,MATCH($A267,ЗАКАЗЫ!$F$3:$F$500,0)),"")</f>
        <v/>
      </c>
      <c r="BM267" s="8" t="str">
        <f aca="false">IF(BL267="","",IFERROR(VLOOKUP(BL267,'ТН ВЭД'!$A$4:$C$40,3,0),""))</f>
        <v/>
      </c>
      <c r="BN267" s="7" t="str">
        <f aca="false">IF(COUNTIF(ЗАКАЗЫ!$F$3:$F$500,$A267)=0,"",SUMIF(ЗАКАЗЫ!$F$3:$F$500,$A267,ЗАКАЗЫ!$J$3:$J$500))</f>
        <v/>
      </c>
      <c r="BO267" s="7" t="str">
        <f aca="false">IF(BN267="","",SUMIF(ЗАКАЗЫ!$F$3:$F$500,$A267,ЗАКАЗЫ!$AL$3:$AL$500))</f>
        <v/>
      </c>
      <c r="BP267" s="7" t="str">
        <f aca="false">IF(BN267="","",BN267-BO267)</f>
        <v/>
      </c>
      <c r="BQ267" s="55" t="str">
        <f aca="false">IF(BN267="","",IF(BO267&gt;=BN267,"На складе",IF(BO267&gt;0,"Частично","Ждём")))</f>
        <v/>
      </c>
      <c r="BR267" s="43"/>
      <c r="BS267" s="47" t="str">
        <f aca="false">IF(BN267="","",IF(_xlfn.MAXIFS(ЗАКАЗЫ!$AK$3:$AK$500,ЗАКАЗЫ!$F$3:$F$500,$A267)=0,"",_xlfn.MAXIFS(ЗАКАЗЫ!$AK$3:$AK$500,ЗАКАЗЫ!$F$3:$F$500,$A267)))</f>
        <v/>
      </c>
    </row>
    <row r="268" customFormat="false" ht="15.75" hidden="false" customHeight="true" outlineLevel="0" collapsed="false">
      <c r="A268" s="80" t="s">
        <v>2135</v>
      </c>
      <c r="B268" s="81"/>
      <c r="C268" s="81"/>
      <c r="D268" s="81"/>
      <c r="E268" s="83"/>
      <c r="F268" s="81"/>
      <c r="G268" s="83"/>
      <c r="H268" s="83"/>
      <c r="I268" s="84" t="str">
        <f aca="false">IF(E268="","",A268&amp;"_1.jpg")</f>
        <v/>
      </c>
      <c r="J268" s="84" t="str">
        <f aca="false">IF(E268="","",A268&amp;"_2.jpg; "&amp;A268&amp;"_3.jpg")</f>
        <v/>
      </c>
      <c r="K268" s="84" t="str">
        <f aca="false">IF(E268="","",A268&amp;"_schema.jpg")</f>
        <v/>
      </c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 t="s">
        <v>96</v>
      </c>
      <c r="W268" s="81"/>
      <c r="X268" s="81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6" t="str">
        <f aca="false">IF(SUM(Y268:AJ268)=0,"",SUM(Y268:AJ268))</f>
        <v/>
      </c>
      <c r="AL268" s="84" t="str">
        <f aca="false">MID(IF(N(Y268)&gt;0,", "&amp;Y$2,"")&amp;IF(N(Z268)&gt;0,", "&amp;Z$2,"")&amp;IF(N(AA268)&gt;0,", "&amp;AA$2,"")&amp;IF(N(AB268)&gt;0,", "&amp;AB$2,"")&amp;IF(N(AC268)&gt;0,", "&amp;AC$2,"")&amp;IF(N(AD268)&gt;0,", "&amp;AD$2,"")&amp;IF(N(AE268)&gt;0,", "&amp;AE$2,"")&amp;IF(N(AF268)&gt;0,", "&amp;AF$2,"")&amp;IF(N(AG268)&gt;0,", "&amp;AG$2,"")&amp;IF(N(AH268)&gt;0,", "&amp;AH$2,"")&amp;IF(N(AI268)&gt;0,", "&amp;AI$2,"")&amp;IF(N(AJ268)&gt;0,", "&amp;AJ$2,""),3,999)</f>
        <v/>
      </c>
      <c r="AM268" s="87" t="str">
        <f aca="false">IF(E268="","",MID(IF(N(Y268)&gt;0,", "&amp;A268&amp;"-"&amp;Y$2,"")&amp;IF(N(Z268)&gt;0,", "&amp;A268&amp;"-"&amp;Z$2,"")&amp;IF(N(AA268)&gt;0,", "&amp;A268&amp;"-"&amp;AA$2,"")&amp;IF(N(AB268)&gt;0,", "&amp;A268&amp;"-"&amp;AB$2,"")&amp;IF(N(AC268)&gt;0,", "&amp;A268&amp;"-"&amp;AC$2,"")&amp;IF(N(AD268)&gt;0,", "&amp;A268&amp;"-"&amp;AD$2,"")&amp;IF(N(AE268)&gt;0,", "&amp;A268&amp;"-"&amp;AE$2,"")&amp;IF(N(AF268)&gt;0,", "&amp;A268&amp;"-"&amp;AF$2,"")&amp;IF(N(AG268)&gt;0,", "&amp;A268&amp;"-"&amp;AG$2,"")&amp;IF(N(AH268)&gt;0,", "&amp;A268&amp;"-"&amp;AH$2,"")&amp;IF(N(AI268)&gt;0,", "&amp;A268&amp;"-"&amp;AI$2,"")&amp;IF(N(AJ268)&gt;0,", "&amp;A268&amp;"-"&amp;AJ$2,""),3,999))</f>
        <v/>
      </c>
      <c r="AN268" s="81"/>
      <c r="AO268" s="88"/>
      <c r="AP268" s="89" t="str">
        <f aca="false">IF(AO268="","",ROUND(AO268/(1+Справочники!$B$13),2))</f>
        <v/>
      </c>
      <c r="AQ268" s="90" t="str">
        <f aca="false" t="array" ref="AQ268:AQ268">IF(AP268="","",AP268*INDEX(Справочники!$B$4:$B$7,MATCH("RUB",Справочники!$A$4:$A$7,0)))</f>
        <v/>
      </c>
      <c r="AR268" s="90" t="str">
        <f aca="false">IF(AQ268="","",ROUND(AQ268*(1+Справочники!$B$12),0))</f>
        <v/>
      </c>
      <c r="AS268" s="90" t="str">
        <f aca="false">IF(AR268="","",ROUND(AR268*(1-Справочники!$B$11),0))</f>
        <v/>
      </c>
      <c r="AT268" s="88"/>
      <c r="AU268" s="90" t="str">
        <f aca="false">IF(AT268="","",ROUND(AT268/(1+Справочники!$B$12),0))</f>
        <v/>
      </c>
      <c r="AV268" s="90" t="str">
        <f aca="false">IF(AT268="","",ROUND(AT268*(1-Справочники!$B$15),0))</f>
        <v/>
      </c>
      <c r="AW268" s="90" t="str">
        <f aca="false">IF(AT268="","",ROUND(AT268*(1-Справочники!$B$16),0))</f>
        <v/>
      </c>
      <c r="AX268" s="90" t="str">
        <f aca="false">IF(AT268="","",ROUND(AT268*(1-Справочники!$B$17),0))</f>
        <v/>
      </c>
      <c r="AY268" s="90" t="str">
        <f aca="false">IF(AT268="","",ROUND(AT268*(1-Справочники!$B$18),0))</f>
        <v/>
      </c>
      <c r="AZ268" s="90" t="str">
        <f aca="false">IF(AT268="","",ROUND(AT268*(1-Справочники!$B$19),0))</f>
        <v/>
      </c>
      <c r="BA268" s="81"/>
      <c r="BB268" s="81"/>
      <c r="BC268" s="81"/>
      <c r="BD268" s="81"/>
      <c r="BE268" s="91"/>
      <c r="BF268" s="81" t="s">
        <v>103</v>
      </c>
      <c r="BG268" s="89" t="n">
        <f aca="false" t="array" ref="BG268:BG268">IF(BF268="","",IFERROR(INDEX(Справочники!$B$4:$B$7,MATCH(BF268,Справочники!$A$4:$A$7,0)),""))</f>
        <v>68.5</v>
      </c>
      <c r="BH268" s="90" t="str">
        <f aca="false">IF(N(BN268)&gt;0,ROUND(SUMIF(ЗАКАЗЫ!$F$3:$F$500,$A268,ЗАКАЗЫ!$Y$3:$Y$500)/BN268,0),IF(OR(BE268="",BG268=""),"",ROUND(BE268*BG268*(1+Справочники!$B$10),0)))</f>
        <v/>
      </c>
      <c r="BI268" s="92" t="str">
        <f aca="false">IF(OR(AU268="",BH268="",AU268=0),"",(AU268-BH268)/AU268)</f>
        <v/>
      </c>
      <c r="BJ268" s="81"/>
      <c r="BK268" s="83"/>
      <c r="BL268" s="43" t="str">
        <f aca="false">IFERROR(INDEX(ЗАКАЗЫ!$N$3:$N$500,MATCH($A268,ЗАКАЗЫ!$F$3:$F$500,0)),"")</f>
        <v/>
      </c>
      <c r="BM268" s="8" t="str">
        <f aca="false">IF(BL268="","",IFERROR(VLOOKUP(BL268,'ТН ВЭД'!$A$4:$C$40,3,0),""))</f>
        <v/>
      </c>
      <c r="BN268" s="7" t="str">
        <f aca="false">IF(COUNTIF(ЗАКАЗЫ!$F$3:$F$500,$A268)=0,"",SUMIF(ЗАКАЗЫ!$F$3:$F$500,$A268,ЗАКАЗЫ!$J$3:$J$500))</f>
        <v/>
      </c>
      <c r="BO268" s="7" t="str">
        <f aca="false">IF(BN268="","",SUMIF(ЗАКАЗЫ!$F$3:$F$500,$A268,ЗАКАЗЫ!$AL$3:$AL$500))</f>
        <v/>
      </c>
      <c r="BP268" s="7" t="str">
        <f aca="false">IF(BN268="","",BN268-BO268)</f>
        <v/>
      </c>
      <c r="BQ268" s="55" t="str">
        <f aca="false">IF(BN268="","",IF(BO268&gt;=BN268,"На складе",IF(BO268&gt;0,"Частично","Ждём")))</f>
        <v/>
      </c>
      <c r="BR268" s="43"/>
      <c r="BS268" s="47" t="str">
        <f aca="false">IF(BN268="","",IF(_xlfn.MAXIFS(ЗАКАЗЫ!$AK$3:$AK$500,ЗАКАЗЫ!$F$3:$F$500,$A268)=0,"",_xlfn.MAXIFS(ЗАКАЗЫ!$AK$3:$AK$500,ЗАКАЗЫ!$F$3:$F$500,$A268)))</f>
        <v/>
      </c>
    </row>
    <row r="269" customFormat="false" ht="15.75" hidden="false" customHeight="true" outlineLevel="0" collapsed="false">
      <c r="A269" s="80" t="s">
        <v>2136</v>
      </c>
      <c r="B269" s="81"/>
      <c r="C269" s="81"/>
      <c r="D269" s="81"/>
      <c r="E269" s="83"/>
      <c r="F269" s="81"/>
      <c r="G269" s="83"/>
      <c r="H269" s="83"/>
      <c r="I269" s="84" t="str">
        <f aca="false">IF(E269="","",A269&amp;"_1.jpg")</f>
        <v/>
      </c>
      <c r="J269" s="84" t="str">
        <f aca="false">IF(E269="","",A269&amp;"_2.jpg; "&amp;A269&amp;"_3.jpg")</f>
        <v/>
      </c>
      <c r="K269" s="84" t="str">
        <f aca="false">IF(E269="","",A269&amp;"_schema.jpg")</f>
        <v/>
      </c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 t="s">
        <v>96</v>
      </c>
      <c r="W269" s="81"/>
      <c r="X269" s="81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6" t="str">
        <f aca="false">IF(SUM(Y269:AJ269)=0,"",SUM(Y269:AJ269))</f>
        <v/>
      </c>
      <c r="AL269" s="84" t="str">
        <f aca="false">MID(IF(N(Y269)&gt;0,", "&amp;Y$2,"")&amp;IF(N(Z269)&gt;0,", "&amp;Z$2,"")&amp;IF(N(AA269)&gt;0,", "&amp;AA$2,"")&amp;IF(N(AB269)&gt;0,", "&amp;AB$2,"")&amp;IF(N(AC269)&gt;0,", "&amp;AC$2,"")&amp;IF(N(AD269)&gt;0,", "&amp;AD$2,"")&amp;IF(N(AE269)&gt;0,", "&amp;AE$2,"")&amp;IF(N(AF269)&gt;0,", "&amp;AF$2,"")&amp;IF(N(AG269)&gt;0,", "&amp;AG$2,"")&amp;IF(N(AH269)&gt;0,", "&amp;AH$2,"")&amp;IF(N(AI269)&gt;0,", "&amp;AI$2,"")&amp;IF(N(AJ269)&gt;0,", "&amp;AJ$2,""),3,999)</f>
        <v/>
      </c>
      <c r="AM269" s="87" t="str">
        <f aca="false">IF(E269="","",MID(IF(N(Y269)&gt;0,", "&amp;A269&amp;"-"&amp;Y$2,"")&amp;IF(N(Z269)&gt;0,", "&amp;A269&amp;"-"&amp;Z$2,"")&amp;IF(N(AA269)&gt;0,", "&amp;A269&amp;"-"&amp;AA$2,"")&amp;IF(N(AB269)&gt;0,", "&amp;A269&amp;"-"&amp;AB$2,"")&amp;IF(N(AC269)&gt;0,", "&amp;A269&amp;"-"&amp;AC$2,"")&amp;IF(N(AD269)&gt;0,", "&amp;A269&amp;"-"&amp;AD$2,"")&amp;IF(N(AE269)&gt;0,", "&amp;A269&amp;"-"&amp;AE$2,"")&amp;IF(N(AF269)&gt;0,", "&amp;A269&amp;"-"&amp;AF$2,"")&amp;IF(N(AG269)&gt;0,", "&amp;A269&amp;"-"&amp;AG$2,"")&amp;IF(N(AH269)&gt;0,", "&amp;A269&amp;"-"&amp;AH$2,"")&amp;IF(N(AI269)&gt;0,", "&amp;A269&amp;"-"&amp;AI$2,"")&amp;IF(N(AJ269)&gt;0,", "&amp;A269&amp;"-"&amp;AJ$2,""),3,999))</f>
        <v/>
      </c>
      <c r="AN269" s="81"/>
      <c r="AO269" s="88"/>
      <c r="AP269" s="89" t="str">
        <f aca="false">IF(AO269="","",ROUND(AO269/(1+Справочники!$B$13),2))</f>
        <v/>
      </c>
      <c r="AQ269" s="90" t="str">
        <f aca="false" t="array" ref="AQ269:AQ269">IF(AP269="","",AP269*INDEX(Справочники!$B$4:$B$7,MATCH("RUB",Справочники!$A$4:$A$7,0)))</f>
        <v/>
      </c>
      <c r="AR269" s="90" t="str">
        <f aca="false">IF(AQ269="","",ROUND(AQ269*(1+Справочники!$B$12),0))</f>
        <v/>
      </c>
      <c r="AS269" s="90" t="str">
        <f aca="false">IF(AR269="","",ROUND(AR269*(1-Справочники!$B$11),0))</f>
        <v/>
      </c>
      <c r="AT269" s="88"/>
      <c r="AU269" s="90" t="str">
        <f aca="false">IF(AT269="","",ROUND(AT269/(1+Справочники!$B$12),0))</f>
        <v/>
      </c>
      <c r="AV269" s="90" t="str">
        <f aca="false">IF(AT269="","",ROUND(AT269*(1-Справочники!$B$15),0))</f>
        <v/>
      </c>
      <c r="AW269" s="90" t="str">
        <f aca="false">IF(AT269="","",ROUND(AT269*(1-Справочники!$B$16),0))</f>
        <v/>
      </c>
      <c r="AX269" s="90" t="str">
        <f aca="false">IF(AT269="","",ROUND(AT269*(1-Справочники!$B$17),0))</f>
        <v/>
      </c>
      <c r="AY269" s="90" t="str">
        <f aca="false">IF(AT269="","",ROUND(AT269*(1-Справочники!$B$18),0))</f>
        <v/>
      </c>
      <c r="AZ269" s="90" t="str">
        <f aca="false">IF(AT269="","",ROUND(AT269*(1-Справочники!$B$19),0))</f>
        <v/>
      </c>
      <c r="BA269" s="81"/>
      <c r="BB269" s="81"/>
      <c r="BC269" s="81"/>
      <c r="BD269" s="81"/>
      <c r="BE269" s="91"/>
      <c r="BF269" s="81" t="s">
        <v>103</v>
      </c>
      <c r="BG269" s="89" t="n">
        <f aca="false" t="array" ref="BG269:BG269">IF(BF269="","",IFERROR(INDEX(Справочники!$B$4:$B$7,MATCH(BF269,Справочники!$A$4:$A$7,0)),""))</f>
        <v>68.5</v>
      </c>
      <c r="BH269" s="90" t="str">
        <f aca="false">IF(N(BN269)&gt;0,ROUND(SUMIF(ЗАКАЗЫ!$F$3:$F$500,$A269,ЗАКАЗЫ!$Y$3:$Y$500)/BN269,0),IF(OR(BE269="",BG269=""),"",ROUND(BE269*BG269*(1+Справочники!$B$10),0)))</f>
        <v/>
      </c>
      <c r="BI269" s="92" t="str">
        <f aca="false">IF(OR(AU269="",BH269="",AU269=0),"",(AU269-BH269)/AU269)</f>
        <v/>
      </c>
      <c r="BJ269" s="81"/>
      <c r="BK269" s="83"/>
      <c r="BL269" s="43" t="str">
        <f aca="false">IFERROR(INDEX(ЗАКАЗЫ!$N$3:$N$500,MATCH($A269,ЗАКАЗЫ!$F$3:$F$500,0)),"")</f>
        <v/>
      </c>
      <c r="BM269" s="8" t="str">
        <f aca="false">IF(BL269="","",IFERROR(VLOOKUP(BL269,'ТН ВЭД'!$A$4:$C$40,3,0),""))</f>
        <v/>
      </c>
      <c r="BN269" s="7" t="str">
        <f aca="false">IF(COUNTIF(ЗАКАЗЫ!$F$3:$F$500,$A269)=0,"",SUMIF(ЗАКАЗЫ!$F$3:$F$500,$A269,ЗАКАЗЫ!$J$3:$J$500))</f>
        <v/>
      </c>
      <c r="BO269" s="7" t="str">
        <f aca="false">IF(BN269="","",SUMIF(ЗАКАЗЫ!$F$3:$F$500,$A269,ЗАКАЗЫ!$AL$3:$AL$500))</f>
        <v/>
      </c>
      <c r="BP269" s="7" t="str">
        <f aca="false">IF(BN269="","",BN269-BO269)</f>
        <v/>
      </c>
      <c r="BQ269" s="55" t="str">
        <f aca="false">IF(BN269="","",IF(BO269&gt;=BN269,"На складе",IF(BO269&gt;0,"Частично","Ждём")))</f>
        <v/>
      </c>
      <c r="BR269" s="43"/>
      <c r="BS269" s="47" t="str">
        <f aca="false">IF(BN269="","",IF(_xlfn.MAXIFS(ЗАКАЗЫ!$AK$3:$AK$500,ЗАКАЗЫ!$F$3:$F$500,$A269)=0,"",_xlfn.MAXIFS(ЗАКАЗЫ!$AK$3:$AK$500,ЗАКАЗЫ!$F$3:$F$500,$A269)))</f>
        <v/>
      </c>
    </row>
    <row r="270" customFormat="false" ht="15.75" hidden="false" customHeight="true" outlineLevel="0" collapsed="false">
      <c r="A270" s="80" t="s">
        <v>2137</v>
      </c>
      <c r="B270" s="81"/>
      <c r="C270" s="81"/>
      <c r="D270" s="81"/>
      <c r="E270" s="83"/>
      <c r="F270" s="81"/>
      <c r="G270" s="83"/>
      <c r="H270" s="83"/>
      <c r="I270" s="84" t="str">
        <f aca="false">IF(E270="","",A270&amp;"_1.jpg")</f>
        <v/>
      </c>
      <c r="J270" s="84" t="str">
        <f aca="false">IF(E270="","",A270&amp;"_2.jpg; "&amp;A270&amp;"_3.jpg")</f>
        <v/>
      </c>
      <c r="K270" s="84" t="str">
        <f aca="false">IF(E270="","",A270&amp;"_schema.jpg")</f>
        <v/>
      </c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 t="s">
        <v>96</v>
      </c>
      <c r="W270" s="81"/>
      <c r="X270" s="81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6" t="str">
        <f aca="false">IF(SUM(Y270:AJ270)=0,"",SUM(Y270:AJ270))</f>
        <v/>
      </c>
      <c r="AL270" s="84" t="str">
        <f aca="false">MID(IF(N(Y270)&gt;0,", "&amp;Y$2,"")&amp;IF(N(Z270)&gt;0,", "&amp;Z$2,"")&amp;IF(N(AA270)&gt;0,", "&amp;AA$2,"")&amp;IF(N(AB270)&gt;0,", "&amp;AB$2,"")&amp;IF(N(AC270)&gt;0,", "&amp;AC$2,"")&amp;IF(N(AD270)&gt;0,", "&amp;AD$2,"")&amp;IF(N(AE270)&gt;0,", "&amp;AE$2,"")&amp;IF(N(AF270)&gt;0,", "&amp;AF$2,"")&amp;IF(N(AG270)&gt;0,", "&amp;AG$2,"")&amp;IF(N(AH270)&gt;0,", "&amp;AH$2,"")&amp;IF(N(AI270)&gt;0,", "&amp;AI$2,"")&amp;IF(N(AJ270)&gt;0,", "&amp;AJ$2,""),3,999)</f>
        <v/>
      </c>
      <c r="AM270" s="87" t="str">
        <f aca="false">IF(E270="","",MID(IF(N(Y270)&gt;0,", "&amp;A270&amp;"-"&amp;Y$2,"")&amp;IF(N(Z270)&gt;0,", "&amp;A270&amp;"-"&amp;Z$2,"")&amp;IF(N(AA270)&gt;0,", "&amp;A270&amp;"-"&amp;AA$2,"")&amp;IF(N(AB270)&gt;0,", "&amp;A270&amp;"-"&amp;AB$2,"")&amp;IF(N(AC270)&gt;0,", "&amp;A270&amp;"-"&amp;AC$2,"")&amp;IF(N(AD270)&gt;0,", "&amp;A270&amp;"-"&amp;AD$2,"")&amp;IF(N(AE270)&gt;0,", "&amp;A270&amp;"-"&amp;AE$2,"")&amp;IF(N(AF270)&gt;0,", "&amp;A270&amp;"-"&amp;AF$2,"")&amp;IF(N(AG270)&gt;0,", "&amp;A270&amp;"-"&amp;AG$2,"")&amp;IF(N(AH270)&gt;0,", "&amp;A270&amp;"-"&amp;AH$2,"")&amp;IF(N(AI270)&gt;0,", "&amp;A270&amp;"-"&amp;AI$2,"")&amp;IF(N(AJ270)&gt;0,", "&amp;A270&amp;"-"&amp;AJ$2,""),3,999))</f>
        <v/>
      </c>
      <c r="AN270" s="81"/>
      <c r="AO270" s="88"/>
      <c r="AP270" s="89" t="str">
        <f aca="false">IF(AO270="","",ROUND(AO270/(1+Справочники!$B$13),2))</f>
        <v/>
      </c>
      <c r="AQ270" s="90" t="str">
        <f aca="false" t="array" ref="AQ270:AQ270">IF(AP270="","",AP270*INDEX(Справочники!$B$4:$B$7,MATCH("RUB",Справочники!$A$4:$A$7,0)))</f>
        <v/>
      </c>
      <c r="AR270" s="90" t="str">
        <f aca="false">IF(AQ270="","",ROUND(AQ270*(1+Справочники!$B$12),0))</f>
        <v/>
      </c>
      <c r="AS270" s="90" t="str">
        <f aca="false">IF(AR270="","",ROUND(AR270*(1-Справочники!$B$11),0))</f>
        <v/>
      </c>
      <c r="AT270" s="88"/>
      <c r="AU270" s="90" t="str">
        <f aca="false">IF(AT270="","",ROUND(AT270/(1+Справочники!$B$12),0))</f>
        <v/>
      </c>
      <c r="AV270" s="90" t="str">
        <f aca="false">IF(AT270="","",ROUND(AT270*(1-Справочники!$B$15),0))</f>
        <v/>
      </c>
      <c r="AW270" s="90" t="str">
        <f aca="false">IF(AT270="","",ROUND(AT270*(1-Справочники!$B$16),0))</f>
        <v/>
      </c>
      <c r="AX270" s="90" t="str">
        <f aca="false">IF(AT270="","",ROUND(AT270*(1-Справочники!$B$17),0))</f>
        <v/>
      </c>
      <c r="AY270" s="90" t="str">
        <f aca="false">IF(AT270="","",ROUND(AT270*(1-Справочники!$B$18),0))</f>
        <v/>
      </c>
      <c r="AZ270" s="90" t="str">
        <f aca="false">IF(AT270="","",ROUND(AT270*(1-Справочники!$B$19),0))</f>
        <v/>
      </c>
      <c r="BA270" s="81"/>
      <c r="BB270" s="81"/>
      <c r="BC270" s="81"/>
      <c r="BD270" s="81"/>
      <c r="BE270" s="91"/>
      <c r="BF270" s="81" t="s">
        <v>103</v>
      </c>
      <c r="BG270" s="89" t="n">
        <f aca="false" t="array" ref="BG270:BG270">IF(BF270="","",IFERROR(INDEX(Справочники!$B$4:$B$7,MATCH(BF270,Справочники!$A$4:$A$7,0)),""))</f>
        <v>68.5</v>
      </c>
      <c r="BH270" s="90" t="str">
        <f aca="false">IF(N(BN270)&gt;0,ROUND(SUMIF(ЗАКАЗЫ!$F$3:$F$500,$A270,ЗАКАЗЫ!$Y$3:$Y$500)/BN270,0),IF(OR(BE270="",BG270=""),"",ROUND(BE270*BG270*(1+Справочники!$B$10),0)))</f>
        <v/>
      </c>
      <c r="BI270" s="92" t="str">
        <f aca="false">IF(OR(AU270="",BH270="",AU270=0),"",(AU270-BH270)/AU270)</f>
        <v/>
      </c>
      <c r="BJ270" s="81"/>
      <c r="BK270" s="83"/>
      <c r="BL270" s="43" t="str">
        <f aca="false">IFERROR(INDEX(ЗАКАЗЫ!$N$3:$N$500,MATCH($A270,ЗАКАЗЫ!$F$3:$F$500,0)),"")</f>
        <v/>
      </c>
      <c r="BM270" s="8" t="str">
        <f aca="false">IF(BL270="","",IFERROR(VLOOKUP(BL270,'ТН ВЭД'!$A$4:$C$40,3,0),""))</f>
        <v/>
      </c>
      <c r="BN270" s="7" t="str">
        <f aca="false">IF(COUNTIF(ЗАКАЗЫ!$F$3:$F$500,$A270)=0,"",SUMIF(ЗАКАЗЫ!$F$3:$F$500,$A270,ЗАКАЗЫ!$J$3:$J$500))</f>
        <v/>
      </c>
      <c r="BO270" s="7" t="str">
        <f aca="false">IF(BN270="","",SUMIF(ЗАКАЗЫ!$F$3:$F$500,$A270,ЗАКАЗЫ!$AL$3:$AL$500))</f>
        <v/>
      </c>
      <c r="BP270" s="7" t="str">
        <f aca="false">IF(BN270="","",BN270-BO270)</f>
        <v/>
      </c>
      <c r="BQ270" s="55" t="str">
        <f aca="false">IF(BN270="","",IF(BO270&gt;=BN270,"На складе",IF(BO270&gt;0,"Частично","Ждём")))</f>
        <v/>
      </c>
      <c r="BR270" s="43"/>
      <c r="BS270" s="47" t="str">
        <f aca="false">IF(BN270="","",IF(_xlfn.MAXIFS(ЗАКАЗЫ!$AK$3:$AK$500,ЗАКАЗЫ!$F$3:$F$500,$A270)=0,"",_xlfn.MAXIFS(ЗАКАЗЫ!$AK$3:$AK$500,ЗАКАЗЫ!$F$3:$F$500,$A270)))</f>
        <v/>
      </c>
    </row>
    <row r="271" customFormat="false" ht="15.75" hidden="false" customHeight="true" outlineLevel="0" collapsed="false">
      <c r="A271" s="80" t="s">
        <v>2138</v>
      </c>
      <c r="B271" s="81"/>
      <c r="C271" s="81"/>
      <c r="D271" s="81"/>
      <c r="E271" s="83"/>
      <c r="F271" s="81"/>
      <c r="G271" s="83"/>
      <c r="H271" s="83"/>
      <c r="I271" s="84" t="str">
        <f aca="false">IF(E271="","",A271&amp;"_1.jpg")</f>
        <v/>
      </c>
      <c r="J271" s="84" t="str">
        <f aca="false">IF(E271="","",A271&amp;"_2.jpg; "&amp;A271&amp;"_3.jpg")</f>
        <v/>
      </c>
      <c r="K271" s="84" t="str">
        <f aca="false">IF(E271="","",A271&amp;"_schema.jpg")</f>
        <v/>
      </c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 t="s">
        <v>96</v>
      </c>
      <c r="W271" s="81"/>
      <c r="X271" s="81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6" t="str">
        <f aca="false">IF(SUM(Y271:AJ271)=0,"",SUM(Y271:AJ271))</f>
        <v/>
      </c>
      <c r="AL271" s="84" t="str">
        <f aca="false">MID(IF(N(Y271)&gt;0,", "&amp;Y$2,"")&amp;IF(N(Z271)&gt;0,", "&amp;Z$2,"")&amp;IF(N(AA271)&gt;0,", "&amp;AA$2,"")&amp;IF(N(AB271)&gt;0,", "&amp;AB$2,"")&amp;IF(N(AC271)&gt;0,", "&amp;AC$2,"")&amp;IF(N(AD271)&gt;0,", "&amp;AD$2,"")&amp;IF(N(AE271)&gt;0,", "&amp;AE$2,"")&amp;IF(N(AF271)&gt;0,", "&amp;AF$2,"")&amp;IF(N(AG271)&gt;0,", "&amp;AG$2,"")&amp;IF(N(AH271)&gt;0,", "&amp;AH$2,"")&amp;IF(N(AI271)&gt;0,", "&amp;AI$2,"")&amp;IF(N(AJ271)&gt;0,", "&amp;AJ$2,""),3,999)</f>
        <v/>
      </c>
      <c r="AM271" s="87" t="str">
        <f aca="false">IF(E271="","",MID(IF(N(Y271)&gt;0,", "&amp;A271&amp;"-"&amp;Y$2,"")&amp;IF(N(Z271)&gt;0,", "&amp;A271&amp;"-"&amp;Z$2,"")&amp;IF(N(AA271)&gt;0,", "&amp;A271&amp;"-"&amp;AA$2,"")&amp;IF(N(AB271)&gt;0,", "&amp;A271&amp;"-"&amp;AB$2,"")&amp;IF(N(AC271)&gt;0,", "&amp;A271&amp;"-"&amp;AC$2,"")&amp;IF(N(AD271)&gt;0,", "&amp;A271&amp;"-"&amp;AD$2,"")&amp;IF(N(AE271)&gt;0,", "&amp;A271&amp;"-"&amp;AE$2,"")&amp;IF(N(AF271)&gt;0,", "&amp;A271&amp;"-"&amp;AF$2,"")&amp;IF(N(AG271)&gt;0,", "&amp;A271&amp;"-"&amp;AG$2,"")&amp;IF(N(AH271)&gt;0,", "&amp;A271&amp;"-"&amp;AH$2,"")&amp;IF(N(AI271)&gt;0,", "&amp;A271&amp;"-"&amp;AI$2,"")&amp;IF(N(AJ271)&gt;0,", "&amp;A271&amp;"-"&amp;AJ$2,""),3,999))</f>
        <v/>
      </c>
      <c r="AN271" s="81"/>
      <c r="AO271" s="88"/>
      <c r="AP271" s="89" t="str">
        <f aca="false">IF(AO271="","",ROUND(AO271/(1+Справочники!$B$13),2))</f>
        <v/>
      </c>
      <c r="AQ271" s="90" t="str">
        <f aca="false" t="array" ref="AQ271:AQ271">IF(AP271="","",AP271*INDEX(Справочники!$B$4:$B$7,MATCH("RUB",Справочники!$A$4:$A$7,0)))</f>
        <v/>
      </c>
      <c r="AR271" s="90" t="str">
        <f aca="false">IF(AQ271="","",ROUND(AQ271*(1+Справочники!$B$12),0))</f>
        <v/>
      </c>
      <c r="AS271" s="90" t="str">
        <f aca="false">IF(AR271="","",ROUND(AR271*(1-Справочники!$B$11),0))</f>
        <v/>
      </c>
      <c r="AT271" s="88"/>
      <c r="AU271" s="90" t="str">
        <f aca="false">IF(AT271="","",ROUND(AT271/(1+Справочники!$B$12),0))</f>
        <v/>
      </c>
      <c r="AV271" s="90" t="str">
        <f aca="false">IF(AT271="","",ROUND(AT271*(1-Справочники!$B$15),0))</f>
        <v/>
      </c>
      <c r="AW271" s="90" t="str">
        <f aca="false">IF(AT271="","",ROUND(AT271*(1-Справочники!$B$16),0))</f>
        <v/>
      </c>
      <c r="AX271" s="90" t="str">
        <f aca="false">IF(AT271="","",ROUND(AT271*(1-Справочники!$B$17),0))</f>
        <v/>
      </c>
      <c r="AY271" s="90" t="str">
        <f aca="false">IF(AT271="","",ROUND(AT271*(1-Справочники!$B$18),0))</f>
        <v/>
      </c>
      <c r="AZ271" s="90" t="str">
        <f aca="false">IF(AT271="","",ROUND(AT271*(1-Справочники!$B$19),0))</f>
        <v/>
      </c>
      <c r="BA271" s="81"/>
      <c r="BB271" s="81"/>
      <c r="BC271" s="81"/>
      <c r="BD271" s="81"/>
      <c r="BE271" s="91"/>
      <c r="BF271" s="81" t="s">
        <v>103</v>
      </c>
      <c r="BG271" s="89" t="n">
        <f aca="false" t="array" ref="BG271:BG271">IF(BF271="","",IFERROR(INDEX(Справочники!$B$4:$B$7,MATCH(BF271,Справочники!$A$4:$A$7,0)),""))</f>
        <v>68.5</v>
      </c>
      <c r="BH271" s="90" t="str">
        <f aca="false">IF(N(BN271)&gt;0,ROUND(SUMIF(ЗАКАЗЫ!$F$3:$F$500,$A271,ЗАКАЗЫ!$Y$3:$Y$500)/BN271,0),IF(OR(BE271="",BG271=""),"",ROUND(BE271*BG271*(1+Справочники!$B$10),0)))</f>
        <v/>
      </c>
      <c r="BI271" s="92" t="str">
        <f aca="false">IF(OR(AU271="",BH271="",AU271=0),"",(AU271-BH271)/AU271)</f>
        <v/>
      </c>
      <c r="BJ271" s="81"/>
      <c r="BK271" s="83"/>
      <c r="BL271" s="43" t="str">
        <f aca="false">IFERROR(INDEX(ЗАКАЗЫ!$N$3:$N$500,MATCH($A271,ЗАКАЗЫ!$F$3:$F$500,0)),"")</f>
        <v/>
      </c>
      <c r="BM271" s="8" t="str">
        <f aca="false">IF(BL271="","",IFERROR(VLOOKUP(BL271,'ТН ВЭД'!$A$4:$C$40,3,0),""))</f>
        <v/>
      </c>
      <c r="BN271" s="7" t="str">
        <f aca="false">IF(COUNTIF(ЗАКАЗЫ!$F$3:$F$500,$A271)=0,"",SUMIF(ЗАКАЗЫ!$F$3:$F$500,$A271,ЗАКАЗЫ!$J$3:$J$500))</f>
        <v/>
      </c>
      <c r="BO271" s="7" t="str">
        <f aca="false">IF(BN271="","",SUMIF(ЗАКАЗЫ!$F$3:$F$500,$A271,ЗАКАЗЫ!$AL$3:$AL$500))</f>
        <v/>
      </c>
      <c r="BP271" s="7" t="str">
        <f aca="false">IF(BN271="","",BN271-BO271)</f>
        <v/>
      </c>
      <c r="BQ271" s="55" t="str">
        <f aca="false">IF(BN271="","",IF(BO271&gt;=BN271,"На складе",IF(BO271&gt;0,"Частично","Ждём")))</f>
        <v/>
      </c>
      <c r="BR271" s="43"/>
      <c r="BS271" s="47" t="str">
        <f aca="false">IF(BN271="","",IF(_xlfn.MAXIFS(ЗАКАЗЫ!$AK$3:$AK$500,ЗАКАЗЫ!$F$3:$F$500,$A271)=0,"",_xlfn.MAXIFS(ЗАКАЗЫ!$AK$3:$AK$500,ЗАКАЗЫ!$F$3:$F$500,$A271)))</f>
        <v/>
      </c>
    </row>
    <row r="272" customFormat="false" ht="15.75" hidden="false" customHeight="true" outlineLevel="0" collapsed="false">
      <c r="A272" s="80" t="s">
        <v>2139</v>
      </c>
      <c r="B272" s="81"/>
      <c r="C272" s="81"/>
      <c r="D272" s="81"/>
      <c r="E272" s="83"/>
      <c r="F272" s="81"/>
      <c r="G272" s="83"/>
      <c r="H272" s="83"/>
      <c r="I272" s="84" t="str">
        <f aca="false">IF(E272="","",A272&amp;"_1.jpg")</f>
        <v/>
      </c>
      <c r="J272" s="84" t="str">
        <f aca="false">IF(E272="","",A272&amp;"_2.jpg; "&amp;A272&amp;"_3.jpg")</f>
        <v/>
      </c>
      <c r="K272" s="84" t="str">
        <f aca="false">IF(E272="","",A272&amp;"_schema.jpg")</f>
        <v/>
      </c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 t="s">
        <v>96</v>
      </c>
      <c r="W272" s="81"/>
      <c r="X272" s="81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6" t="str">
        <f aca="false">IF(SUM(Y272:AJ272)=0,"",SUM(Y272:AJ272))</f>
        <v/>
      </c>
      <c r="AL272" s="84" t="str">
        <f aca="false">MID(IF(N(Y272)&gt;0,", "&amp;Y$2,"")&amp;IF(N(Z272)&gt;0,", "&amp;Z$2,"")&amp;IF(N(AA272)&gt;0,", "&amp;AA$2,"")&amp;IF(N(AB272)&gt;0,", "&amp;AB$2,"")&amp;IF(N(AC272)&gt;0,", "&amp;AC$2,"")&amp;IF(N(AD272)&gt;0,", "&amp;AD$2,"")&amp;IF(N(AE272)&gt;0,", "&amp;AE$2,"")&amp;IF(N(AF272)&gt;0,", "&amp;AF$2,"")&amp;IF(N(AG272)&gt;0,", "&amp;AG$2,"")&amp;IF(N(AH272)&gt;0,", "&amp;AH$2,"")&amp;IF(N(AI272)&gt;0,", "&amp;AI$2,"")&amp;IF(N(AJ272)&gt;0,", "&amp;AJ$2,""),3,999)</f>
        <v/>
      </c>
      <c r="AM272" s="87" t="str">
        <f aca="false">IF(E272="","",MID(IF(N(Y272)&gt;0,", "&amp;A272&amp;"-"&amp;Y$2,"")&amp;IF(N(Z272)&gt;0,", "&amp;A272&amp;"-"&amp;Z$2,"")&amp;IF(N(AA272)&gt;0,", "&amp;A272&amp;"-"&amp;AA$2,"")&amp;IF(N(AB272)&gt;0,", "&amp;A272&amp;"-"&amp;AB$2,"")&amp;IF(N(AC272)&gt;0,", "&amp;A272&amp;"-"&amp;AC$2,"")&amp;IF(N(AD272)&gt;0,", "&amp;A272&amp;"-"&amp;AD$2,"")&amp;IF(N(AE272)&gt;0,", "&amp;A272&amp;"-"&amp;AE$2,"")&amp;IF(N(AF272)&gt;0,", "&amp;A272&amp;"-"&amp;AF$2,"")&amp;IF(N(AG272)&gt;0,", "&amp;A272&amp;"-"&amp;AG$2,"")&amp;IF(N(AH272)&gt;0,", "&amp;A272&amp;"-"&amp;AH$2,"")&amp;IF(N(AI272)&gt;0,", "&amp;A272&amp;"-"&amp;AI$2,"")&amp;IF(N(AJ272)&gt;0,", "&amp;A272&amp;"-"&amp;AJ$2,""),3,999))</f>
        <v/>
      </c>
      <c r="AN272" s="81"/>
      <c r="AO272" s="88"/>
      <c r="AP272" s="89" t="str">
        <f aca="false">IF(AO272="","",ROUND(AO272/(1+Справочники!$B$13),2))</f>
        <v/>
      </c>
      <c r="AQ272" s="90" t="str">
        <f aca="false" t="array" ref="AQ272:AQ272">IF(AP272="","",AP272*INDEX(Справочники!$B$4:$B$7,MATCH("RUB",Справочники!$A$4:$A$7,0)))</f>
        <v/>
      </c>
      <c r="AR272" s="90" t="str">
        <f aca="false">IF(AQ272="","",ROUND(AQ272*(1+Справочники!$B$12),0))</f>
        <v/>
      </c>
      <c r="AS272" s="90" t="str">
        <f aca="false">IF(AR272="","",ROUND(AR272*(1-Справочники!$B$11),0))</f>
        <v/>
      </c>
      <c r="AT272" s="88"/>
      <c r="AU272" s="90" t="str">
        <f aca="false">IF(AT272="","",ROUND(AT272/(1+Справочники!$B$12),0))</f>
        <v/>
      </c>
      <c r="AV272" s="90" t="str">
        <f aca="false">IF(AT272="","",ROUND(AT272*(1-Справочники!$B$15),0))</f>
        <v/>
      </c>
      <c r="AW272" s="90" t="str">
        <f aca="false">IF(AT272="","",ROUND(AT272*(1-Справочники!$B$16),0))</f>
        <v/>
      </c>
      <c r="AX272" s="90" t="str">
        <f aca="false">IF(AT272="","",ROUND(AT272*(1-Справочники!$B$17),0))</f>
        <v/>
      </c>
      <c r="AY272" s="90" t="str">
        <f aca="false">IF(AT272="","",ROUND(AT272*(1-Справочники!$B$18),0))</f>
        <v/>
      </c>
      <c r="AZ272" s="90" t="str">
        <f aca="false">IF(AT272="","",ROUND(AT272*(1-Справочники!$B$19),0))</f>
        <v/>
      </c>
      <c r="BA272" s="81"/>
      <c r="BB272" s="81"/>
      <c r="BC272" s="81"/>
      <c r="BD272" s="81"/>
      <c r="BE272" s="91"/>
      <c r="BF272" s="81" t="s">
        <v>103</v>
      </c>
      <c r="BG272" s="89" t="n">
        <f aca="false" t="array" ref="BG272:BG272">IF(BF272="","",IFERROR(INDEX(Справочники!$B$4:$B$7,MATCH(BF272,Справочники!$A$4:$A$7,0)),""))</f>
        <v>68.5</v>
      </c>
      <c r="BH272" s="90" t="str">
        <f aca="false">IF(N(BN272)&gt;0,ROUND(SUMIF(ЗАКАЗЫ!$F$3:$F$500,$A272,ЗАКАЗЫ!$Y$3:$Y$500)/BN272,0),IF(OR(BE272="",BG272=""),"",ROUND(BE272*BG272*(1+Справочники!$B$10),0)))</f>
        <v/>
      </c>
      <c r="BI272" s="92" t="str">
        <f aca="false">IF(OR(AU272="",BH272="",AU272=0),"",(AU272-BH272)/AU272)</f>
        <v/>
      </c>
      <c r="BJ272" s="81"/>
      <c r="BK272" s="83"/>
      <c r="BL272" s="43" t="str">
        <f aca="false">IFERROR(INDEX(ЗАКАЗЫ!$N$3:$N$500,MATCH($A272,ЗАКАЗЫ!$F$3:$F$500,0)),"")</f>
        <v/>
      </c>
      <c r="BM272" s="8" t="str">
        <f aca="false">IF(BL272="","",IFERROR(VLOOKUP(BL272,'ТН ВЭД'!$A$4:$C$40,3,0),""))</f>
        <v/>
      </c>
      <c r="BN272" s="7" t="str">
        <f aca="false">IF(COUNTIF(ЗАКАЗЫ!$F$3:$F$500,$A272)=0,"",SUMIF(ЗАКАЗЫ!$F$3:$F$500,$A272,ЗАКАЗЫ!$J$3:$J$500))</f>
        <v/>
      </c>
      <c r="BO272" s="7" t="str">
        <f aca="false">IF(BN272="","",SUMIF(ЗАКАЗЫ!$F$3:$F$500,$A272,ЗАКАЗЫ!$AL$3:$AL$500))</f>
        <v/>
      </c>
      <c r="BP272" s="7" t="str">
        <f aca="false">IF(BN272="","",BN272-BO272)</f>
        <v/>
      </c>
      <c r="BQ272" s="55" t="str">
        <f aca="false">IF(BN272="","",IF(BO272&gt;=BN272,"На складе",IF(BO272&gt;0,"Частично","Ждём")))</f>
        <v/>
      </c>
      <c r="BR272" s="43"/>
      <c r="BS272" s="47" t="str">
        <f aca="false">IF(BN272="","",IF(_xlfn.MAXIFS(ЗАКАЗЫ!$AK$3:$AK$500,ЗАКАЗЫ!$F$3:$F$500,$A272)=0,"",_xlfn.MAXIFS(ЗАКАЗЫ!$AK$3:$AK$500,ЗАКАЗЫ!$F$3:$F$500,$A272)))</f>
        <v/>
      </c>
    </row>
    <row r="273" customFormat="false" ht="15.75" hidden="false" customHeight="true" outlineLevel="0" collapsed="false">
      <c r="A273" s="80" t="s">
        <v>2140</v>
      </c>
      <c r="B273" s="81"/>
      <c r="C273" s="81"/>
      <c r="D273" s="81"/>
      <c r="E273" s="83"/>
      <c r="F273" s="81"/>
      <c r="G273" s="83"/>
      <c r="H273" s="83"/>
      <c r="I273" s="84" t="str">
        <f aca="false">IF(E273="","",A273&amp;"_1.jpg")</f>
        <v/>
      </c>
      <c r="J273" s="84" t="str">
        <f aca="false">IF(E273="","",A273&amp;"_2.jpg; "&amp;A273&amp;"_3.jpg")</f>
        <v/>
      </c>
      <c r="K273" s="84" t="str">
        <f aca="false">IF(E273="","",A273&amp;"_schema.jpg")</f>
        <v/>
      </c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 t="s">
        <v>96</v>
      </c>
      <c r="W273" s="81"/>
      <c r="X273" s="81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6" t="str">
        <f aca="false">IF(SUM(Y273:AJ273)=0,"",SUM(Y273:AJ273))</f>
        <v/>
      </c>
      <c r="AL273" s="84" t="str">
        <f aca="false">MID(IF(N(Y273)&gt;0,", "&amp;Y$2,"")&amp;IF(N(Z273)&gt;0,", "&amp;Z$2,"")&amp;IF(N(AA273)&gt;0,", "&amp;AA$2,"")&amp;IF(N(AB273)&gt;0,", "&amp;AB$2,"")&amp;IF(N(AC273)&gt;0,", "&amp;AC$2,"")&amp;IF(N(AD273)&gt;0,", "&amp;AD$2,"")&amp;IF(N(AE273)&gt;0,", "&amp;AE$2,"")&amp;IF(N(AF273)&gt;0,", "&amp;AF$2,"")&amp;IF(N(AG273)&gt;0,", "&amp;AG$2,"")&amp;IF(N(AH273)&gt;0,", "&amp;AH$2,"")&amp;IF(N(AI273)&gt;0,", "&amp;AI$2,"")&amp;IF(N(AJ273)&gt;0,", "&amp;AJ$2,""),3,999)</f>
        <v/>
      </c>
      <c r="AM273" s="87" t="str">
        <f aca="false">IF(E273="","",MID(IF(N(Y273)&gt;0,", "&amp;A273&amp;"-"&amp;Y$2,"")&amp;IF(N(Z273)&gt;0,", "&amp;A273&amp;"-"&amp;Z$2,"")&amp;IF(N(AA273)&gt;0,", "&amp;A273&amp;"-"&amp;AA$2,"")&amp;IF(N(AB273)&gt;0,", "&amp;A273&amp;"-"&amp;AB$2,"")&amp;IF(N(AC273)&gt;0,", "&amp;A273&amp;"-"&amp;AC$2,"")&amp;IF(N(AD273)&gt;0,", "&amp;A273&amp;"-"&amp;AD$2,"")&amp;IF(N(AE273)&gt;0,", "&amp;A273&amp;"-"&amp;AE$2,"")&amp;IF(N(AF273)&gt;0,", "&amp;A273&amp;"-"&amp;AF$2,"")&amp;IF(N(AG273)&gt;0,", "&amp;A273&amp;"-"&amp;AG$2,"")&amp;IF(N(AH273)&gt;0,", "&amp;A273&amp;"-"&amp;AH$2,"")&amp;IF(N(AI273)&gt;0,", "&amp;A273&amp;"-"&amp;AI$2,"")&amp;IF(N(AJ273)&gt;0,", "&amp;A273&amp;"-"&amp;AJ$2,""),3,999))</f>
        <v/>
      </c>
      <c r="AN273" s="81"/>
      <c r="AO273" s="88"/>
      <c r="AP273" s="89" t="str">
        <f aca="false">IF(AO273="","",ROUND(AO273/(1+Справочники!$B$13),2))</f>
        <v/>
      </c>
      <c r="AQ273" s="90" t="str">
        <f aca="false" t="array" ref="AQ273:AQ273">IF(AP273="","",AP273*INDEX(Справочники!$B$4:$B$7,MATCH("RUB",Справочники!$A$4:$A$7,0)))</f>
        <v/>
      </c>
      <c r="AR273" s="90" t="str">
        <f aca="false">IF(AQ273="","",ROUND(AQ273*(1+Справочники!$B$12),0))</f>
        <v/>
      </c>
      <c r="AS273" s="90" t="str">
        <f aca="false">IF(AR273="","",ROUND(AR273*(1-Справочники!$B$11),0))</f>
        <v/>
      </c>
      <c r="AT273" s="88"/>
      <c r="AU273" s="90" t="str">
        <f aca="false">IF(AT273="","",ROUND(AT273/(1+Справочники!$B$12),0))</f>
        <v/>
      </c>
      <c r="AV273" s="90" t="str">
        <f aca="false">IF(AT273="","",ROUND(AT273*(1-Справочники!$B$15),0))</f>
        <v/>
      </c>
      <c r="AW273" s="90" t="str">
        <f aca="false">IF(AT273="","",ROUND(AT273*(1-Справочники!$B$16),0))</f>
        <v/>
      </c>
      <c r="AX273" s="90" t="str">
        <f aca="false">IF(AT273="","",ROUND(AT273*(1-Справочники!$B$17),0))</f>
        <v/>
      </c>
      <c r="AY273" s="90" t="str">
        <f aca="false">IF(AT273="","",ROUND(AT273*(1-Справочники!$B$18),0))</f>
        <v/>
      </c>
      <c r="AZ273" s="90" t="str">
        <f aca="false">IF(AT273="","",ROUND(AT273*(1-Справочники!$B$19),0))</f>
        <v/>
      </c>
      <c r="BA273" s="81"/>
      <c r="BB273" s="81"/>
      <c r="BC273" s="81"/>
      <c r="BD273" s="81"/>
      <c r="BE273" s="91"/>
      <c r="BF273" s="81" t="s">
        <v>103</v>
      </c>
      <c r="BG273" s="89" t="n">
        <f aca="false" t="array" ref="BG273:BG273">IF(BF273="","",IFERROR(INDEX(Справочники!$B$4:$B$7,MATCH(BF273,Справочники!$A$4:$A$7,0)),""))</f>
        <v>68.5</v>
      </c>
      <c r="BH273" s="90" t="str">
        <f aca="false">IF(N(BN273)&gt;0,ROUND(SUMIF(ЗАКАЗЫ!$F$3:$F$500,$A273,ЗАКАЗЫ!$Y$3:$Y$500)/BN273,0),IF(OR(BE273="",BG273=""),"",ROUND(BE273*BG273*(1+Справочники!$B$10),0)))</f>
        <v/>
      </c>
      <c r="BI273" s="92" t="str">
        <f aca="false">IF(OR(AU273="",BH273="",AU273=0),"",(AU273-BH273)/AU273)</f>
        <v/>
      </c>
      <c r="BJ273" s="81"/>
      <c r="BK273" s="83"/>
      <c r="BL273" s="43" t="str">
        <f aca="false">IFERROR(INDEX(ЗАКАЗЫ!$N$3:$N$500,MATCH($A273,ЗАКАЗЫ!$F$3:$F$500,0)),"")</f>
        <v/>
      </c>
      <c r="BM273" s="8" t="str">
        <f aca="false">IF(BL273="","",IFERROR(VLOOKUP(BL273,'ТН ВЭД'!$A$4:$C$40,3,0),""))</f>
        <v/>
      </c>
      <c r="BN273" s="7" t="str">
        <f aca="false">IF(COUNTIF(ЗАКАЗЫ!$F$3:$F$500,$A273)=0,"",SUMIF(ЗАКАЗЫ!$F$3:$F$500,$A273,ЗАКАЗЫ!$J$3:$J$500))</f>
        <v/>
      </c>
      <c r="BO273" s="7" t="str">
        <f aca="false">IF(BN273="","",SUMIF(ЗАКАЗЫ!$F$3:$F$500,$A273,ЗАКАЗЫ!$AL$3:$AL$500))</f>
        <v/>
      </c>
      <c r="BP273" s="7" t="str">
        <f aca="false">IF(BN273="","",BN273-BO273)</f>
        <v/>
      </c>
      <c r="BQ273" s="55" t="str">
        <f aca="false">IF(BN273="","",IF(BO273&gt;=BN273,"На складе",IF(BO273&gt;0,"Частично","Ждём")))</f>
        <v/>
      </c>
      <c r="BR273" s="43"/>
      <c r="BS273" s="47" t="str">
        <f aca="false">IF(BN273="","",IF(_xlfn.MAXIFS(ЗАКАЗЫ!$AK$3:$AK$500,ЗАКАЗЫ!$F$3:$F$500,$A273)=0,"",_xlfn.MAXIFS(ЗАКАЗЫ!$AK$3:$AK$500,ЗАКАЗЫ!$F$3:$F$500,$A273)))</f>
        <v/>
      </c>
    </row>
    <row r="274" customFormat="false" ht="15.75" hidden="false" customHeight="true" outlineLevel="0" collapsed="false">
      <c r="A274" s="80" t="s">
        <v>2141</v>
      </c>
      <c r="B274" s="81"/>
      <c r="C274" s="81"/>
      <c r="D274" s="81"/>
      <c r="E274" s="83"/>
      <c r="F274" s="81"/>
      <c r="G274" s="83"/>
      <c r="H274" s="83"/>
      <c r="I274" s="84" t="str">
        <f aca="false">IF(E274="","",A274&amp;"_1.jpg")</f>
        <v/>
      </c>
      <c r="J274" s="84" t="str">
        <f aca="false">IF(E274="","",A274&amp;"_2.jpg; "&amp;A274&amp;"_3.jpg")</f>
        <v/>
      </c>
      <c r="K274" s="84" t="str">
        <f aca="false">IF(E274="","",A274&amp;"_schema.jpg")</f>
        <v/>
      </c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 t="s">
        <v>96</v>
      </c>
      <c r="W274" s="81"/>
      <c r="X274" s="81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6" t="str">
        <f aca="false">IF(SUM(Y274:AJ274)=0,"",SUM(Y274:AJ274))</f>
        <v/>
      </c>
      <c r="AL274" s="84" t="str">
        <f aca="false">MID(IF(N(Y274)&gt;0,", "&amp;Y$2,"")&amp;IF(N(Z274)&gt;0,", "&amp;Z$2,"")&amp;IF(N(AA274)&gt;0,", "&amp;AA$2,"")&amp;IF(N(AB274)&gt;0,", "&amp;AB$2,"")&amp;IF(N(AC274)&gt;0,", "&amp;AC$2,"")&amp;IF(N(AD274)&gt;0,", "&amp;AD$2,"")&amp;IF(N(AE274)&gt;0,", "&amp;AE$2,"")&amp;IF(N(AF274)&gt;0,", "&amp;AF$2,"")&amp;IF(N(AG274)&gt;0,", "&amp;AG$2,"")&amp;IF(N(AH274)&gt;0,", "&amp;AH$2,"")&amp;IF(N(AI274)&gt;0,", "&amp;AI$2,"")&amp;IF(N(AJ274)&gt;0,", "&amp;AJ$2,""),3,999)</f>
        <v/>
      </c>
      <c r="AM274" s="87" t="str">
        <f aca="false">IF(E274="","",MID(IF(N(Y274)&gt;0,", "&amp;A274&amp;"-"&amp;Y$2,"")&amp;IF(N(Z274)&gt;0,", "&amp;A274&amp;"-"&amp;Z$2,"")&amp;IF(N(AA274)&gt;0,", "&amp;A274&amp;"-"&amp;AA$2,"")&amp;IF(N(AB274)&gt;0,", "&amp;A274&amp;"-"&amp;AB$2,"")&amp;IF(N(AC274)&gt;0,", "&amp;A274&amp;"-"&amp;AC$2,"")&amp;IF(N(AD274)&gt;0,", "&amp;A274&amp;"-"&amp;AD$2,"")&amp;IF(N(AE274)&gt;0,", "&amp;A274&amp;"-"&amp;AE$2,"")&amp;IF(N(AF274)&gt;0,", "&amp;A274&amp;"-"&amp;AF$2,"")&amp;IF(N(AG274)&gt;0,", "&amp;A274&amp;"-"&amp;AG$2,"")&amp;IF(N(AH274)&gt;0,", "&amp;A274&amp;"-"&amp;AH$2,"")&amp;IF(N(AI274)&gt;0,", "&amp;A274&amp;"-"&amp;AI$2,"")&amp;IF(N(AJ274)&gt;0,", "&amp;A274&amp;"-"&amp;AJ$2,""),3,999))</f>
        <v/>
      </c>
      <c r="AN274" s="81"/>
      <c r="AO274" s="88"/>
      <c r="AP274" s="89" t="str">
        <f aca="false">IF(AO274="","",ROUND(AO274/(1+Справочники!$B$13),2))</f>
        <v/>
      </c>
      <c r="AQ274" s="90" t="str">
        <f aca="false" t="array" ref="AQ274:AQ274">IF(AP274="","",AP274*INDEX(Справочники!$B$4:$B$7,MATCH("RUB",Справочники!$A$4:$A$7,0)))</f>
        <v/>
      </c>
      <c r="AR274" s="90" t="str">
        <f aca="false">IF(AQ274="","",ROUND(AQ274*(1+Справочники!$B$12),0))</f>
        <v/>
      </c>
      <c r="AS274" s="90" t="str">
        <f aca="false">IF(AR274="","",ROUND(AR274*(1-Справочники!$B$11),0))</f>
        <v/>
      </c>
      <c r="AT274" s="88"/>
      <c r="AU274" s="90" t="str">
        <f aca="false">IF(AT274="","",ROUND(AT274/(1+Справочники!$B$12),0))</f>
        <v/>
      </c>
      <c r="AV274" s="90" t="str">
        <f aca="false">IF(AT274="","",ROUND(AT274*(1-Справочники!$B$15),0))</f>
        <v/>
      </c>
      <c r="AW274" s="90" t="str">
        <f aca="false">IF(AT274="","",ROUND(AT274*(1-Справочники!$B$16),0))</f>
        <v/>
      </c>
      <c r="AX274" s="90" t="str">
        <f aca="false">IF(AT274="","",ROUND(AT274*(1-Справочники!$B$17),0))</f>
        <v/>
      </c>
      <c r="AY274" s="90" t="str">
        <f aca="false">IF(AT274="","",ROUND(AT274*(1-Справочники!$B$18),0))</f>
        <v/>
      </c>
      <c r="AZ274" s="90" t="str">
        <f aca="false">IF(AT274="","",ROUND(AT274*(1-Справочники!$B$19),0))</f>
        <v/>
      </c>
      <c r="BA274" s="81"/>
      <c r="BB274" s="81"/>
      <c r="BC274" s="81"/>
      <c r="BD274" s="81"/>
      <c r="BE274" s="91"/>
      <c r="BF274" s="81" t="s">
        <v>103</v>
      </c>
      <c r="BG274" s="89" t="n">
        <f aca="false" t="array" ref="BG274:BG274">IF(BF274="","",IFERROR(INDEX(Справочники!$B$4:$B$7,MATCH(BF274,Справочники!$A$4:$A$7,0)),""))</f>
        <v>68.5</v>
      </c>
      <c r="BH274" s="90" t="str">
        <f aca="false">IF(N(BN274)&gt;0,ROUND(SUMIF(ЗАКАЗЫ!$F$3:$F$500,$A274,ЗАКАЗЫ!$Y$3:$Y$500)/BN274,0),IF(OR(BE274="",BG274=""),"",ROUND(BE274*BG274*(1+Справочники!$B$10),0)))</f>
        <v/>
      </c>
      <c r="BI274" s="92" t="str">
        <f aca="false">IF(OR(AU274="",BH274="",AU274=0),"",(AU274-BH274)/AU274)</f>
        <v/>
      </c>
      <c r="BJ274" s="81"/>
      <c r="BK274" s="83"/>
      <c r="BL274" s="43" t="str">
        <f aca="false">IFERROR(INDEX(ЗАКАЗЫ!$N$3:$N$500,MATCH($A274,ЗАКАЗЫ!$F$3:$F$500,0)),"")</f>
        <v/>
      </c>
      <c r="BM274" s="8" t="str">
        <f aca="false">IF(BL274="","",IFERROR(VLOOKUP(BL274,'ТН ВЭД'!$A$4:$C$40,3,0),""))</f>
        <v/>
      </c>
      <c r="BN274" s="7" t="str">
        <f aca="false">IF(COUNTIF(ЗАКАЗЫ!$F$3:$F$500,$A274)=0,"",SUMIF(ЗАКАЗЫ!$F$3:$F$500,$A274,ЗАКАЗЫ!$J$3:$J$500))</f>
        <v/>
      </c>
      <c r="BO274" s="7" t="str">
        <f aca="false">IF(BN274="","",SUMIF(ЗАКАЗЫ!$F$3:$F$500,$A274,ЗАКАЗЫ!$AL$3:$AL$500))</f>
        <v/>
      </c>
      <c r="BP274" s="7" t="str">
        <f aca="false">IF(BN274="","",BN274-BO274)</f>
        <v/>
      </c>
      <c r="BQ274" s="55" t="str">
        <f aca="false">IF(BN274="","",IF(BO274&gt;=BN274,"На складе",IF(BO274&gt;0,"Частично","Ждём")))</f>
        <v/>
      </c>
      <c r="BR274" s="43"/>
      <c r="BS274" s="47" t="str">
        <f aca="false">IF(BN274="","",IF(_xlfn.MAXIFS(ЗАКАЗЫ!$AK$3:$AK$500,ЗАКАЗЫ!$F$3:$F$500,$A274)=0,"",_xlfn.MAXIFS(ЗАКАЗЫ!$AK$3:$AK$500,ЗАКАЗЫ!$F$3:$F$500,$A274)))</f>
        <v/>
      </c>
    </row>
    <row r="275" customFormat="false" ht="15.75" hidden="false" customHeight="true" outlineLevel="0" collapsed="false">
      <c r="A275" s="80" t="s">
        <v>2142</v>
      </c>
      <c r="B275" s="81"/>
      <c r="C275" s="81"/>
      <c r="D275" s="81"/>
      <c r="E275" s="83"/>
      <c r="F275" s="81"/>
      <c r="G275" s="83"/>
      <c r="H275" s="83"/>
      <c r="I275" s="84" t="str">
        <f aca="false">IF(E275="","",A275&amp;"_1.jpg")</f>
        <v/>
      </c>
      <c r="J275" s="84" t="str">
        <f aca="false">IF(E275="","",A275&amp;"_2.jpg; "&amp;A275&amp;"_3.jpg")</f>
        <v/>
      </c>
      <c r="K275" s="84" t="str">
        <f aca="false">IF(E275="","",A275&amp;"_schema.jpg")</f>
        <v/>
      </c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 t="s">
        <v>96</v>
      </c>
      <c r="W275" s="81"/>
      <c r="X275" s="81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6" t="str">
        <f aca="false">IF(SUM(Y275:AJ275)=0,"",SUM(Y275:AJ275))</f>
        <v/>
      </c>
      <c r="AL275" s="84" t="str">
        <f aca="false">MID(IF(N(Y275)&gt;0,", "&amp;Y$2,"")&amp;IF(N(Z275)&gt;0,", "&amp;Z$2,"")&amp;IF(N(AA275)&gt;0,", "&amp;AA$2,"")&amp;IF(N(AB275)&gt;0,", "&amp;AB$2,"")&amp;IF(N(AC275)&gt;0,", "&amp;AC$2,"")&amp;IF(N(AD275)&gt;0,", "&amp;AD$2,"")&amp;IF(N(AE275)&gt;0,", "&amp;AE$2,"")&amp;IF(N(AF275)&gt;0,", "&amp;AF$2,"")&amp;IF(N(AG275)&gt;0,", "&amp;AG$2,"")&amp;IF(N(AH275)&gt;0,", "&amp;AH$2,"")&amp;IF(N(AI275)&gt;0,", "&amp;AI$2,"")&amp;IF(N(AJ275)&gt;0,", "&amp;AJ$2,""),3,999)</f>
        <v/>
      </c>
      <c r="AM275" s="87" t="str">
        <f aca="false">IF(E275="","",MID(IF(N(Y275)&gt;0,", "&amp;A275&amp;"-"&amp;Y$2,"")&amp;IF(N(Z275)&gt;0,", "&amp;A275&amp;"-"&amp;Z$2,"")&amp;IF(N(AA275)&gt;0,", "&amp;A275&amp;"-"&amp;AA$2,"")&amp;IF(N(AB275)&gt;0,", "&amp;A275&amp;"-"&amp;AB$2,"")&amp;IF(N(AC275)&gt;0,", "&amp;A275&amp;"-"&amp;AC$2,"")&amp;IF(N(AD275)&gt;0,", "&amp;A275&amp;"-"&amp;AD$2,"")&amp;IF(N(AE275)&gt;0,", "&amp;A275&amp;"-"&amp;AE$2,"")&amp;IF(N(AF275)&gt;0,", "&amp;A275&amp;"-"&amp;AF$2,"")&amp;IF(N(AG275)&gt;0,", "&amp;A275&amp;"-"&amp;AG$2,"")&amp;IF(N(AH275)&gt;0,", "&amp;A275&amp;"-"&amp;AH$2,"")&amp;IF(N(AI275)&gt;0,", "&amp;A275&amp;"-"&amp;AI$2,"")&amp;IF(N(AJ275)&gt;0,", "&amp;A275&amp;"-"&amp;AJ$2,""),3,999))</f>
        <v/>
      </c>
      <c r="AN275" s="81"/>
      <c r="AO275" s="88"/>
      <c r="AP275" s="89" t="str">
        <f aca="false">IF(AO275="","",ROUND(AO275/(1+Справочники!$B$13),2))</f>
        <v/>
      </c>
      <c r="AQ275" s="90" t="str">
        <f aca="false" t="array" ref="AQ275:AQ275">IF(AP275="","",AP275*INDEX(Справочники!$B$4:$B$7,MATCH("RUB",Справочники!$A$4:$A$7,0)))</f>
        <v/>
      </c>
      <c r="AR275" s="90" t="str">
        <f aca="false">IF(AQ275="","",ROUND(AQ275*(1+Справочники!$B$12),0))</f>
        <v/>
      </c>
      <c r="AS275" s="90" t="str">
        <f aca="false">IF(AR275="","",ROUND(AR275*(1-Справочники!$B$11),0))</f>
        <v/>
      </c>
      <c r="AT275" s="88"/>
      <c r="AU275" s="90" t="str">
        <f aca="false">IF(AT275="","",ROUND(AT275/(1+Справочники!$B$12),0))</f>
        <v/>
      </c>
      <c r="AV275" s="90" t="str">
        <f aca="false">IF(AT275="","",ROUND(AT275*(1-Справочники!$B$15),0))</f>
        <v/>
      </c>
      <c r="AW275" s="90" t="str">
        <f aca="false">IF(AT275="","",ROUND(AT275*(1-Справочники!$B$16),0))</f>
        <v/>
      </c>
      <c r="AX275" s="90" t="str">
        <f aca="false">IF(AT275="","",ROUND(AT275*(1-Справочники!$B$17),0))</f>
        <v/>
      </c>
      <c r="AY275" s="90" t="str">
        <f aca="false">IF(AT275="","",ROUND(AT275*(1-Справочники!$B$18),0))</f>
        <v/>
      </c>
      <c r="AZ275" s="90" t="str">
        <f aca="false">IF(AT275="","",ROUND(AT275*(1-Справочники!$B$19),0))</f>
        <v/>
      </c>
      <c r="BA275" s="81"/>
      <c r="BB275" s="81"/>
      <c r="BC275" s="81"/>
      <c r="BD275" s="81"/>
      <c r="BE275" s="91"/>
      <c r="BF275" s="81" t="s">
        <v>103</v>
      </c>
      <c r="BG275" s="89" t="n">
        <f aca="false" t="array" ref="BG275:BG275">IF(BF275="","",IFERROR(INDEX(Справочники!$B$4:$B$7,MATCH(BF275,Справочники!$A$4:$A$7,0)),""))</f>
        <v>68.5</v>
      </c>
      <c r="BH275" s="90" t="str">
        <f aca="false">IF(N(BN275)&gt;0,ROUND(SUMIF(ЗАКАЗЫ!$F$3:$F$500,$A275,ЗАКАЗЫ!$Y$3:$Y$500)/BN275,0),IF(OR(BE275="",BG275=""),"",ROUND(BE275*BG275*(1+Справочники!$B$10),0)))</f>
        <v/>
      </c>
      <c r="BI275" s="92" t="str">
        <f aca="false">IF(OR(AU275="",BH275="",AU275=0),"",(AU275-BH275)/AU275)</f>
        <v/>
      </c>
      <c r="BJ275" s="81"/>
      <c r="BK275" s="83"/>
      <c r="BL275" s="43" t="str">
        <f aca="false">IFERROR(INDEX(ЗАКАЗЫ!$N$3:$N$500,MATCH($A275,ЗАКАЗЫ!$F$3:$F$500,0)),"")</f>
        <v/>
      </c>
      <c r="BM275" s="8" t="str">
        <f aca="false">IF(BL275="","",IFERROR(VLOOKUP(BL275,'ТН ВЭД'!$A$4:$C$40,3,0),""))</f>
        <v/>
      </c>
      <c r="BN275" s="7" t="str">
        <f aca="false">IF(COUNTIF(ЗАКАЗЫ!$F$3:$F$500,$A275)=0,"",SUMIF(ЗАКАЗЫ!$F$3:$F$500,$A275,ЗАКАЗЫ!$J$3:$J$500))</f>
        <v/>
      </c>
      <c r="BO275" s="7" t="str">
        <f aca="false">IF(BN275="","",SUMIF(ЗАКАЗЫ!$F$3:$F$500,$A275,ЗАКАЗЫ!$AL$3:$AL$500))</f>
        <v/>
      </c>
      <c r="BP275" s="7" t="str">
        <f aca="false">IF(BN275="","",BN275-BO275)</f>
        <v/>
      </c>
      <c r="BQ275" s="55" t="str">
        <f aca="false">IF(BN275="","",IF(BO275&gt;=BN275,"На складе",IF(BO275&gt;0,"Частично","Ждём")))</f>
        <v/>
      </c>
      <c r="BR275" s="43"/>
      <c r="BS275" s="47" t="str">
        <f aca="false">IF(BN275="","",IF(_xlfn.MAXIFS(ЗАКАЗЫ!$AK$3:$AK$500,ЗАКАЗЫ!$F$3:$F$500,$A275)=0,"",_xlfn.MAXIFS(ЗАКАЗЫ!$AK$3:$AK$500,ЗАКАЗЫ!$F$3:$F$500,$A275)))</f>
        <v/>
      </c>
    </row>
    <row r="276" customFormat="false" ht="15.75" hidden="false" customHeight="true" outlineLevel="0" collapsed="false">
      <c r="A276" s="80" t="s">
        <v>2143</v>
      </c>
      <c r="B276" s="81"/>
      <c r="C276" s="81"/>
      <c r="D276" s="81"/>
      <c r="E276" s="83"/>
      <c r="F276" s="81"/>
      <c r="G276" s="83"/>
      <c r="H276" s="83"/>
      <c r="I276" s="84" t="str">
        <f aca="false">IF(E276="","",A276&amp;"_1.jpg")</f>
        <v/>
      </c>
      <c r="J276" s="84" t="str">
        <f aca="false">IF(E276="","",A276&amp;"_2.jpg; "&amp;A276&amp;"_3.jpg")</f>
        <v/>
      </c>
      <c r="K276" s="84" t="str">
        <f aca="false">IF(E276="","",A276&amp;"_schema.jpg")</f>
        <v/>
      </c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 t="s">
        <v>96</v>
      </c>
      <c r="W276" s="81"/>
      <c r="X276" s="81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6" t="str">
        <f aca="false">IF(SUM(Y276:AJ276)=0,"",SUM(Y276:AJ276))</f>
        <v/>
      </c>
      <c r="AL276" s="84" t="str">
        <f aca="false">MID(IF(N(Y276)&gt;0,", "&amp;Y$2,"")&amp;IF(N(Z276)&gt;0,", "&amp;Z$2,"")&amp;IF(N(AA276)&gt;0,", "&amp;AA$2,"")&amp;IF(N(AB276)&gt;0,", "&amp;AB$2,"")&amp;IF(N(AC276)&gt;0,", "&amp;AC$2,"")&amp;IF(N(AD276)&gt;0,", "&amp;AD$2,"")&amp;IF(N(AE276)&gt;0,", "&amp;AE$2,"")&amp;IF(N(AF276)&gt;0,", "&amp;AF$2,"")&amp;IF(N(AG276)&gt;0,", "&amp;AG$2,"")&amp;IF(N(AH276)&gt;0,", "&amp;AH$2,"")&amp;IF(N(AI276)&gt;0,", "&amp;AI$2,"")&amp;IF(N(AJ276)&gt;0,", "&amp;AJ$2,""),3,999)</f>
        <v/>
      </c>
      <c r="AM276" s="87" t="str">
        <f aca="false">IF(E276="","",MID(IF(N(Y276)&gt;0,", "&amp;A276&amp;"-"&amp;Y$2,"")&amp;IF(N(Z276)&gt;0,", "&amp;A276&amp;"-"&amp;Z$2,"")&amp;IF(N(AA276)&gt;0,", "&amp;A276&amp;"-"&amp;AA$2,"")&amp;IF(N(AB276)&gt;0,", "&amp;A276&amp;"-"&amp;AB$2,"")&amp;IF(N(AC276)&gt;0,", "&amp;A276&amp;"-"&amp;AC$2,"")&amp;IF(N(AD276)&gt;0,", "&amp;A276&amp;"-"&amp;AD$2,"")&amp;IF(N(AE276)&gt;0,", "&amp;A276&amp;"-"&amp;AE$2,"")&amp;IF(N(AF276)&gt;0,", "&amp;A276&amp;"-"&amp;AF$2,"")&amp;IF(N(AG276)&gt;0,", "&amp;A276&amp;"-"&amp;AG$2,"")&amp;IF(N(AH276)&gt;0,", "&amp;A276&amp;"-"&amp;AH$2,"")&amp;IF(N(AI276)&gt;0,", "&amp;A276&amp;"-"&amp;AI$2,"")&amp;IF(N(AJ276)&gt;0,", "&amp;A276&amp;"-"&amp;AJ$2,""),3,999))</f>
        <v/>
      </c>
      <c r="AN276" s="81"/>
      <c r="AO276" s="88"/>
      <c r="AP276" s="89" t="str">
        <f aca="false">IF(AO276="","",ROUND(AO276/(1+Справочники!$B$13),2))</f>
        <v/>
      </c>
      <c r="AQ276" s="90" t="str">
        <f aca="false" t="array" ref="AQ276:AQ276">IF(AP276="","",AP276*INDEX(Справочники!$B$4:$B$7,MATCH("RUB",Справочники!$A$4:$A$7,0)))</f>
        <v/>
      </c>
      <c r="AR276" s="90" t="str">
        <f aca="false">IF(AQ276="","",ROUND(AQ276*(1+Справочники!$B$12),0))</f>
        <v/>
      </c>
      <c r="AS276" s="90" t="str">
        <f aca="false">IF(AR276="","",ROUND(AR276*(1-Справочники!$B$11),0))</f>
        <v/>
      </c>
      <c r="AT276" s="88"/>
      <c r="AU276" s="90" t="str">
        <f aca="false">IF(AT276="","",ROUND(AT276/(1+Справочники!$B$12),0))</f>
        <v/>
      </c>
      <c r="AV276" s="90" t="str">
        <f aca="false">IF(AT276="","",ROUND(AT276*(1-Справочники!$B$15),0))</f>
        <v/>
      </c>
      <c r="AW276" s="90" t="str">
        <f aca="false">IF(AT276="","",ROUND(AT276*(1-Справочники!$B$16),0))</f>
        <v/>
      </c>
      <c r="AX276" s="90" t="str">
        <f aca="false">IF(AT276="","",ROUND(AT276*(1-Справочники!$B$17),0))</f>
        <v/>
      </c>
      <c r="AY276" s="90" t="str">
        <f aca="false">IF(AT276="","",ROUND(AT276*(1-Справочники!$B$18),0))</f>
        <v/>
      </c>
      <c r="AZ276" s="90" t="str">
        <f aca="false">IF(AT276="","",ROUND(AT276*(1-Справочники!$B$19),0))</f>
        <v/>
      </c>
      <c r="BA276" s="81"/>
      <c r="BB276" s="81"/>
      <c r="BC276" s="81"/>
      <c r="BD276" s="81"/>
      <c r="BE276" s="91"/>
      <c r="BF276" s="81" t="s">
        <v>103</v>
      </c>
      <c r="BG276" s="89" t="n">
        <f aca="false" t="array" ref="BG276:BG276">IF(BF276="","",IFERROR(INDEX(Справочники!$B$4:$B$7,MATCH(BF276,Справочники!$A$4:$A$7,0)),""))</f>
        <v>68.5</v>
      </c>
      <c r="BH276" s="90" t="str">
        <f aca="false">IF(N(BN276)&gt;0,ROUND(SUMIF(ЗАКАЗЫ!$F$3:$F$500,$A276,ЗАКАЗЫ!$Y$3:$Y$500)/BN276,0),IF(OR(BE276="",BG276=""),"",ROUND(BE276*BG276*(1+Справочники!$B$10),0)))</f>
        <v/>
      </c>
      <c r="BI276" s="92" t="str">
        <f aca="false">IF(OR(AU276="",BH276="",AU276=0),"",(AU276-BH276)/AU276)</f>
        <v/>
      </c>
      <c r="BJ276" s="81"/>
      <c r="BK276" s="83"/>
      <c r="BL276" s="43" t="str">
        <f aca="false">IFERROR(INDEX(ЗАКАЗЫ!$N$3:$N$500,MATCH($A276,ЗАКАЗЫ!$F$3:$F$500,0)),"")</f>
        <v/>
      </c>
      <c r="BM276" s="8" t="str">
        <f aca="false">IF(BL276="","",IFERROR(VLOOKUP(BL276,'ТН ВЭД'!$A$4:$C$40,3,0),""))</f>
        <v/>
      </c>
      <c r="BN276" s="7" t="str">
        <f aca="false">IF(COUNTIF(ЗАКАЗЫ!$F$3:$F$500,$A276)=0,"",SUMIF(ЗАКАЗЫ!$F$3:$F$500,$A276,ЗАКАЗЫ!$J$3:$J$500))</f>
        <v/>
      </c>
      <c r="BO276" s="7" t="str">
        <f aca="false">IF(BN276="","",SUMIF(ЗАКАЗЫ!$F$3:$F$500,$A276,ЗАКАЗЫ!$AL$3:$AL$500))</f>
        <v/>
      </c>
      <c r="BP276" s="7" t="str">
        <f aca="false">IF(BN276="","",BN276-BO276)</f>
        <v/>
      </c>
      <c r="BQ276" s="55" t="str">
        <f aca="false">IF(BN276="","",IF(BO276&gt;=BN276,"На складе",IF(BO276&gt;0,"Частично","Ждём")))</f>
        <v/>
      </c>
      <c r="BR276" s="43"/>
      <c r="BS276" s="47" t="str">
        <f aca="false">IF(BN276="","",IF(_xlfn.MAXIFS(ЗАКАЗЫ!$AK$3:$AK$500,ЗАКАЗЫ!$F$3:$F$500,$A276)=0,"",_xlfn.MAXIFS(ЗАКАЗЫ!$AK$3:$AK$500,ЗАКАЗЫ!$F$3:$F$500,$A276)))</f>
        <v/>
      </c>
    </row>
    <row r="277" customFormat="false" ht="15.75" hidden="false" customHeight="true" outlineLevel="0" collapsed="false">
      <c r="A277" s="80" t="s">
        <v>2144</v>
      </c>
      <c r="B277" s="81"/>
      <c r="C277" s="81"/>
      <c r="D277" s="81"/>
      <c r="E277" s="83"/>
      <c r="F277" s="81"/>
      <c r="G277" s="83"/>
      <c r="H277" s="83"/>
      <c r="I277" s="84" t="str">
        <f aca="false">IF(E277="","",A277&amp;"_1.jpg")</f>
        <v/>
      </c>
      <c r="J277" s="84" t="str">
        <f aca="false">IF(E277="","",A277&amp;"_2.jpg; "&amp;A277&amp;"_3.jpg")</f>
        <v/>
      </c>
      <c r="K277" s="84" t="str">
        <f aca="false">IF(E277="","",A277&amp;"_schema.jpg")</f>
        <v/>
      </c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 t="s">
        <v>96</v>
      </c>
      <c r="W277" s="81"/>
      <c r="X277" s="81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6" t="str">
        <f aca="false">IF(SUM(Y277:AJ277)=0,"",SUM(Y277:AJ277))</f>
        <v/>
      </c>
      <c r="AL277" s="84" t="str">
        <f aca="false">MID(IF(N(Y277)&gt;0,", "&amp;Y$2,"")&amp;IF(N(Z277)&gt;0,", "&amp;Z$2,"")&amp;IF(N(AA277)&gt;0,", "&amp;AA$2,"")&amp;IF(N(AB277)&gt;0,", "&amp;AB$2,"")&amp;IF(N(AC277)&gt;0,", "&amp;AC$2,"")&amp;IF(N(AD277)&gt;0,", "&amp;AD$2,"")&amp;IF(N(AE277)&gt;0,", "&amp;AE$2,"")&amp;IF(N(AF277)&gt;0,", "&amp;AF$2,"")&amp;IF(N(AG277)&gt;0,", "&amp;AG$2,"")&amp;IF(N(AH277)&gt;0,", "&amp;AH$2,"")&amp;IF(N(AI277)&gt;0,", "&amp;AI$2,"")&amp;IF(N(AJ277)&gt;0,", "&amp;AJ$2,""),3,999)</f>
        <v/>
      </c>
      <c r="AM277" s="87" t="str">
        <f aca="false">IF(E277="","",MID(IF(N(Y277)&gt;0,", "&amp;A277&amp;"-"&amp;Y$2,"")&amp;IF(N(Z277)&gt;0,", "&amp;A277&amp;"-"&amp;Z$2,"")&amp;IF(N(AA277)&gt;0,", "&amp;A277&amp;"-"&amp;AA$2,"")&amp;IF(N(AB277)&gt;0,", "&amp;A277&amp;"-"&amp;AB$2,"")&amp;IF(N(AC277)&gt;0,", "&amp;A277&amp;"-"&amp;AC$2,"")&amp;IF(N(AD277)&gt;0,", "&amp;A277&amp;"-"&amp;AD$2,"")&amp;IF(N(AE277)&gt;0,", "&amp;A277&amp;"-"&amp;AE$2,"")&amp;IF(N(AF277)&gt;0,", "&amp;A277&amp;"-"&amp;AF$2,"")&amp;IF(N(AG277)&gt;0,", "&amp;A277&amp;"-"&amp;AG$2,"")&amp;IF(N(AH277)&gt;0,", "&amp;A277&amp;"-"&amp;AH$2,"")&amp;IF(N(AI277)&gt;0,", "&amp;A277&amp;"-"&amp;AI$2,"")&amp;IF(N(AJ277)&gt;0,", "&amp;A277&amp;"-"&amp;AJ$2,""),3,999))</f>
        <v/>
      </c>
      <c r="AN277" s="81"/>
      <c r="AO277" s="88"/>
      <c r="AP277" s="89" t="str">
        <f aca="false">IF(AO277="","",ROUND(AO277/(1+Справочники!$B$13),2))</f>
        <v/>
      </c>
      <c r="AQ277" s="90" t="str">
        <f aca="false" t="array" ref="AQ277:AQ277">IF(AP277="","",AP277*INDEX(Справочники!$B$4:$B$7,MATCH("RUB",Справочники!$A$4:$A$7,0)))</f>
        <v/>
      </c>
      <c r="AR277" s="90" t="str">
        <f aca="false">IF(AQ277="","",ROUND(AQ277*(1+Справочники!$B$12),0))</f>
        <v/>
      </c>
      <c r="AS277" s="90" t="str">
        <f aca="false">IF(AR277="","",ROUND(AR277*(1-Справочники!$B$11),0))</f>
        <v/>
      </c>
      <c r="AT277" s="88"/>
      <c r="AU277" s="90" t="str">
        <f aca="false">IF(AT277="","",ROUND(AT277/(1+Справочники!$B$12),0))</f>
        <v/>
      </c>
      <c r="AV277" s="90" t="str">
        <f aca="false">IF(AT277="","",ROUND(AT277*(1-Справочники!$B$15),0))</f>
        <v/>
      </c>
      <c r="AW277" s="90" t="str">
        <f aca="false">IF(AT277="","",ROUND(AT277*(1-Справочники!$B$16),0))</f>
        <v/>
      </c>
      <c r="AX277" s="90" t="str">
        <f aca="false">IF(AT277="","",ROUND(AT277*(1-Справочники!$B$17),0))</f>
        <v/>
      </c>
      <c r="AY277" s="90" t="str">
        <f aca="false">IF(AT277="","",ROUND(AT277*(1-Справочники!$B$18),0))</f>
        <v/>
      </c>
      <c r="AZ277" s="90" t="str">
        <f aca="false">IF(AT277="","",ROUND(AT277*(1-Справочники!$B$19),0))</f>
        <v/>
      </c>
      <c r="BA277" s="81"/>
      <c r="BB277" s="81"/>
      <c r="BC277" s="81"/>
      <c r="BD277" s="81"/>
      <c r="BE277" s="91"/>
      <c r="BF277" s="81" t="s">
        <v>103</v>
      </c>
      <c r="BG277" s="89" t="n">
        <f aca="false" t="array" ref="BG277:BG277">IF(BF277="","",IFERROR(INDEX(Справочники!$B$4:$B$7,MATCH(BF277,Справочники!$A$4:$A$7,0)),""))</f>
        <v>68.5</v>
      </c>
      <c r="BH277" s="90" t="str">
        <f aca="false">IF(N(BN277)&gt;0,ROUND(SUMIF(ЗАКАЗЫ!$F$3:$F$500,$A277,ЗАКАЗЫ!$Y$3:$Y$500)/BN277,0),IF(OR(BE277="",BG277=""),"",ROUND(BE277*BG277*(1+Справочники!$B$10),0)))</f>
        <v/>
      </c>
      <c r="BI277" s="92" t="str">
        <f aca="false">IF(OR(AU277="",BH277="",AU277=0),"",(AU277-BH277)/AU277)</f>
        <v/>
      </c>
      <c r="BJ277" s="81"/>
      <c r="BK277" s="83"/>
      <c r="BL277" s="43" t="str">
        <f aca="false">IFERROR(INDEX(ЗАКАЗЫ!$N$3:$N$500,MATCH($A277,ЗАКАЗЫ!$F$3:$F$500,0)),"")</f>
        <v/>
      </c>
      <c r="BM277" s="8" t="str">
        <f aca="false">IF(BL277="","",IFERROR(VLOOKUP(BL277,'ТН ВЭД'!$A$4:$C$40,3,0),""))</f>
        <v/>
      </c>
      <c r="BN277" s="7" t="str">
        <f aca="false">IF(COUNTIF(ЗАКАЗЫ!$F$3:$F$500,$A277)=0,"",SUMIF(ЗАКАЗЫ!$F$3:$F$500,$A277,ЗАКАЗЫ!$J$3:$J$500))</f>
        <v/>
      </c>
      <c r="BO277" s="7" t="str">
        <f aca="false">IF(BN277="","",SUMIF(ЗАКАЗЫ!$F$3:$F$500,$A277,ЗАКАЗЫ!$AL$3:$AL$500))</f>
        <v/>
      </c>
      <c r="BP277" s="7" t="str">
        <f aca="false">IF(BN277="","",BN277-BO277)</f>
        <v/>
      </c>
      <c r="BQ277" s="55" t="str">
        <f aca="false">IF(BN277="","",IF(BO277&gt;=BN277,"На складе",IF(BO277&gt;0,"Частично","Ждём")))</f>
        <v/>
      </c>
      <c r="BR277" s="43"/>
      <c r="BS277" s="47" t="str">
        <f aca="false">IF(BN277="","",IF(_xlfn.MAXIFS(ЗАКАЗЫ!$AK$3:$AK$500,ЗАКАЗЫ!$F$3:$F$500,$A277)=0,"",_xlfn.MAXIFS(ЗАКАЗЫ!$AK$3:$AK$500,ЗАКАЗЫ!$F$3:$F$500,$A277)))</f>
        <v/>
      </c>
    </row>
    <row r="278" customFormat="false" ht="15.75" hidden="false" customHeight="true" outlineLevel="0" collapsed="false">
      <c r="A278" s="80" t="s">
        <v>2145</v>
      </c>
      <c r="B278" s="81"/>
      <c r="C278" s="81"/>
      <c r="D278" s="81"/>
      <c r="E278" s="83"/>
      <c r="F278" s="81"/>
      <c r="G278" s="83"/>
      <c r="H278" s="83"/>
      <c r="I278" s="84" t="str">
        <f aca="false">IF(E278="","",A278&amp;"_1.jpg")</f>
        <v/>
      </c>
      <c r="J278" s="84" t="str">
        <f aca="false">IF(E278="","",A278&amp;"_2.jpg; "&amp;A278&amp;"_3.jpg")</f>
        <v/>
      </c>
      <c r="K278" s="84" t="str">
        <f aca="false">IF(E278="","",A278&amp;"_schema.jpg")</f>
        <v/>
      </c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 t="s">
        <v>96</v>
      </c>
      <c r="W278" s="81"/>
      <c r="X278" s="81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6" t="str">
        <f aca="false">IF(SUM(Y278:AJ278)=0,"",SUM(Y278:AJ278))</f>
        <v/>
      </c>
      <c r="AL278" s="84" t="str">
        <f aca="false">MID(IF(N(Y278)&gt;0,", "&amp;Y$2,"")&amp;IF(N(Z278)&gt;0,", "&amp;Z$2,"")&amp;IF(N(AA278)&gt;0,", "&amp;AA$2,"")&amp;IF(N(AB278)&gt;0,", "&amp;AB$2,"")&amp;IF(N(AC278)&gt;0,", "&amp;AC$2,"")&amp;IF(N(AD278)&gt;0,", "&amp;AD$2,"")&amp;IF(N(AE278)&gt;0,", "&amp;AE$2,"")&amp;IF(N(AF278)&gt;0,", "&amp;AF$2,"")&amp;IF(N(AG278)&gt;0,", "&amp;AG$2,"")&amp;IF(N(AH278)&gt;0,", "&amp;AH$2,"")&amp;IF(N(AI278)&gt;0,", "&amp;AI$2,"")&amp;IF(N(AJ278)&gt;0,", "&amp;AJ$2,""),3,999)</f>
        <v/>
      </c>
      <c r="AM278" s="87" t="str">
        <f aca="false">IF(E278="","",MID(IF(N(Y278)&gt;0,", "&amp;A278&amp;"-"&amp;Y$2,"")&amp;IF(N(Z278)&gt;0,", "&amp;A278&amp;"-"&amp;Z$2,"")&amp;IF(N(AA278)&gt;0,", "&amp;A278&amp;"-"&amp;AA$2,"")&amp;IF(N(AB278)&gt;0,", "&amp;A278&amp;"-"&amp;AB$2,"")&amp;IF(N(AC278)&gt;0,", "&amp;A278&amp;"-"&amp;AC$2,"")&amp;IF(N(AD278)&gt;0,", "&amp;A278&amp;"-"&amp;AD$2,"")&amp;IF(N(AE278)&gt;0,", "&amp;A278&amp;"-"&amp;AE$2,"")&amp;IF(N(AF278)&gt;0,", "&amp;A278&amp;"-"&amp;AF$2,"")&amp;IF(N(AG278)&gt;0,", "&amp;A278&amp;"-"&amp;AG$2,"")&amp;IF(N(AH278)&gt;0,", "&amp;A278&amp;"-"&amp;AH$2,"")&amp;IF(N(AI278)&gt;0,", "&amp;A278&amp;"-"&amp;AI$2,"")&amp;IF(N(AJ278)&gt;0,", "&amp;A278&amp;"-"&amp;AJ$2,""),3,999))</f>
        <v/>
      </c>
      <c r="AN278" s="81"/>
      <c r="AO278" s="88"/>
      <c r="AP278" s="89" t="str">
        <f aca="false">IF(AO278="","",ROUND(AO278/(1+Справочники!$B$13),2))</f>
        <v/>
      </c>
      <c r="AQ278" s="90" t="str">
        <f aca="false" t="array" ref="AQ278:AQ278">IF(AP278="","",AP278*INDEX(Справочники!$B$4:$B$7,MATCH("RUB",Справочники!$A$4:$A$7,0)))</f>
        <v/>
      </c>
      <c r="AR278" s="90" t="str">
        <f aca="false">IF(AQ278="","",ROUND(AQ278*(1+Справочники!$B$12),0))</f>
        <v/>
      </c>
      <c r="AS278" s="90" t="str">
        <f aca="false">IF(AR278="","",ROUND(AR278*(1-Справочники!$B$11),0))</f>
        <v/>
      </c>
      <c r="AT278" s="88"/>
      <c r="AU278" s="90" t="str">
        <f aca="false">IF(AT278="","",ROUND(AT278/(1+Справочники!$B$12),0))</f>
        <v/>
      </c>
      <c r="AV278" s="90" t="str">
        <f aca="false">IF(AT278="","",ROUND(AT278*(1-Справочники!$B$15),0))</f>
        <v/>
      </c>
      <c r="AW278" s="90" t="str">
        <f aca="false">IF(AT278="","",ROUND(AT278*(1-Справочники!$B$16),0))</f>
        <v/>
      </c>
      <c r="AX278" s="90" t="str">
        <f aca="false">IF(AT278="","",ROUND(AT278*(1-Справочники!$B$17),0))</f>
        <v/>
      </c>
      <c r="AY278" s="90" t="str">
        <f aca="false">IF(AT278="","",ROUND(AT278*(1-Справочники!$B$18),0))</f>
        <v/>
      </c>
      <c r="AZ278" s="90" t="str">
        <f aca="false">IF(AT278="","",ROUND(AT278*(1-Справочники!$B$19),0))</f>
        <v/>
      </c>
      <c r="BA278" s="81"/>
      <c r="BB278" s="81"/>
      <c r="BC278" s="81"/>
      <c r="BD278" s="81"/>
      <c r="BE278" s="91"/>
      <c r="BF278" s="81" t="s">
        <v>103</v>
      </c>
      <c r="BG278" s="89" t="n">
        <f aca="false" t="array" ref="BG278:BG278">IF(BF278="","",IFERROR(INDEX(Справочники!$B$4:$B$7,MATCH(BF278,Справочники!$A$4:$A$7,0)),""))</f>
        <v>68.5</v>
      </c>
      <c r="BH278" s="90" t="str">
        <f aca="false">IF(N(BN278)&gt;0,ROUND(SUMIF(ЗАКАЗЫ!$F$3:$F$500,$A278,ЗАКАЗЫ!$Y$3:$Y$500)/BN278,0),IF(OR(BE278="",BG278=""),"",ROUND(BE278*BG278*(1+Справочники!$B$10),0)))</f>
        <v/>
      </c>
      <c r="BI278" s="92" t="str">
        <f aca="false">IF(OR(AU278="",BH278="",AU278=0),"",(AU278-BH278)/AU278)</f>
        <v/>
      </c>
      <c r="BJ278" s="81"/>
      <c r="BK278" s="83"/>
      <c r="BL278" s="43" t="str">
        <f aca="false">IFERROR(INDEX(ЗАКАЗЫ!$N$3:$N$500,MATCH($A278,ЗАКАЗЫ!$F$3:$F$500,0)),"")</f>
        <v/>
      </c>
      <c r="BM278" s="8" t="str">
        <f aca="false">IF(BL278="","",IFERROR(VLOOKUP(BL278,'ТН ВЭД'!$A$4:$C$40,3,0),""))</f>
        <v/>
      </c>
      <c r="BN278" s="7" t="str">
        <f aca="false">IF(COUNTIF(ЗАКАЗЫ!$F$3:$F$500,$A278)=0,"",SUMIF(ЗАКАЗЫ!$F$3:$F$500,$A278,ЗАКАЗЫ!$J$3:$J$500))</f>
        <v/>
      </c>
      <c r="BO278" s="7" t="str">
        <f aca="false">IF(BN278="","",SUMIF(ЗАКАЗЫ!$F$3:$F$500,$A278,ЗАКАЗЫ!$AL$3:$AL$500))</f>
        <v/>
      </c>
      <c r="BP278" s="7" t="str">
        <f aca="false">IF(BN278="","",BN278-BO278)</f>
        <v/>
      </c>
      <c r="BQ278" s="55" t="str">
        <f aca="false">IF(BN278="","",IF(BO278&gt;=BN278,"На складе",IF(BO278&gt;0,"Частично","Ждём")))</f>
        <v/>
      </c>
      <c r="BR278" s="43"/>
      <c r="BS278" s="47" t="str">
        <f aca="false">IF(BN278="","",IF(_xlfn.MAXIFS(ЗАКАЗЫ!$AK$3:$AK$500,ЗАКАЗЫ!$F$3:$F$500,$A278)=0,"",_xlfn.MAXIFS(ЗАКАЗЫ!$AK$3:$AK$500,ЗАКАЗЫ!$F$3:$F$500,$A278)))</f>
        <v/>
      </c>
    </row>
    <row r="279" customFormat="false" ht="15.75" hidden="false" customHeight="true" outlineLevel="0" collapsed="false">
      <c r="A279" s="80" t="s">
        <v>2146</v>
      </c>
      <c r="B279" s="81"/>
      <c r="C279" s="81"/>
      <c r="D279" s="81"/>
      <c r="E279" s="83"/>
      <c r="F279" s="81"/>
      <c r="G279" s="83"/>
      <c r="H279" s="83"/>
      <c r="I279" s="84" t="str">
        <f aca="false">IF(E279="","",A279&amp;"_1.jpg")</f>
        <v/>
      </c>
      <c r="J279" s="84" t="str">
        <f aca="false">IF(E279="","",A279&amp;"_2.jpg; "&amp;A279&amp;"_3.jpg")</f>
        <v/>
      </c>
      <c r="K279" s="84" t="str">
        <f aca="false">IF(E279="","",A279&amp;"_schema.jpg")</f>
        <v/>
      </c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 t="s">
        <v>96</v>
      </c>
      <c r="W279" s="81"/>
      <c r="X279" s="81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6" t="str">
        <f aca="false">IF(SUM(Y279:AJ279)=0,"",SUM(Y279:AJ279))</f>
        <v/>
      </c>
      <c r="AL279" s="84" t="str">
        <f aca="false">MID(IF(N(Y279)&gt;0,", "&amp;Y$2,"")&amp;IF(N(Z279)&gt;0,", "&amp;Z$2,"")&amp;IF(N(AA279)&gt;0,", "&amp;AA$2,"")&amp;IF(N(AB279)&gt;0,", "&amp;AB$2,"")&amp;IF(N(AC279)&gt;0,", "&amp;AC$2,"")&amp;IF(N(AD279)&gt;0,", "&amp;AD$2,"")&amp;IF(N(AE279)&gt;0,", "&amp;AE$2,"")&amp;IF(N(AF279)&gt;0,", "&amp;AF$2,"")&amp;IF(N(AG279)&gt;0,", "&amp;AG$2,"")&amp;IF(N(AH279)&gt;0,", "&amp;AH$2,"")&amp;IF(N(AI279)&gt;0,", "&amp;AI$2,"")&amp;IF(N(AJ279)&gt;0,", "&amp;AJ$2,""),3,999)</f>
        <v/>
      </c>
      <c r="AM279" s="87" t="str">
        <f aca="false">IF(E279="","",MID(IF(N(Y279)&gt;0,", "&amp;A279&amp;"-"&amp;Y$2,"")&amp;IF(N(Z279)&gt;0,", "&amp;A279&amp;"-"&amp;Z$2,"")&amp;IF(N(AA279)&gt;0,", "&amp;A279&amp;"-"&amp;AA$2,"")&amp;IF(N(AB279)&gt;0,", "&amp;A279&amp;"-"&amp;AB$2,"")&amp;IF(N(AC279)&gt;0,", "&amp;A279&amp;"-"&amp;AC$2,"")&amp;IF(N(AD279)&gt;0,", "&amp;A279&amp;"-"&amp;AD$2,"")&amp;IF(N(AE279)&gt;0,", "&amp;A279&amp;"-"&amp;AE$2,"")&amp;IF(N(AF279)&gt;0,", "&amp;A279&amp;"-"&amp;AF$2,"")&amp;IF(N(AG279)&gt;0,", "&amp;A279&amp;"-"&amp;AG$2,"")&amp;IF(N(AH279)&gt;0,", "&amp;A279&amp;"-"&amp;AH$2,"")&amp;IF(N(AI279)&gt;0,", "&amp;A279&amp;"-"&amp;AI$2,"")&amp;IF(N(AJ279)&gt;0,", "&amp;A279&amp;"-"&amp;AJ$2,""),3,999))</f>
        <v/>
      </c>
      <c r="AN279" s="81"/>
      <c r="AO279" s="88"/>
      <c r="AP279" s="89" t="str">
        <f aca="false">IF(AO279="","",ROUND(AO279/(1+Справочники!$B$13),2))</f>
        <v/>
      </c>
      <c r="AQ279" s="90" t="str">
        <f aca="false" t="array" ref="AQ279:AQ279">IF(AP279="","",AP279*INDEX(Справочники!$B$4:$B$7,MATCH("RUB",Справочники!$A$4:$A$7,0)))</f>
        <v/>
      </c>
      <c r="AR279" s="90" t="str">
        <f aca="false">IF(AQ279="","",ROUND(AQ279*(1+Справочники!$B$12),0))</f>
        <v/>
      </c>
      <c r="AS279" s="90" t="str">
        <f aca="false">IF(AR279="","",ROUND(AR279*(1-Справочники!$B$11),0))</f>
        <v/>
      </c>
      <c r="AT279" s="88"/>
      <c r="AU279" s="90" t="str">
        <f aca="false">IF(AT279="","",ROUND(AT279/(1+Справочники!$B$12),0))</f>
        <v/>
      </c>
      <c r="AV279" s="90" t="str">
        <f aca="false">IF(AT279="","",ROUND(AT279*(1-Справочники!$B$15),0))</f>
        <v/>
      </c>
      <c r="AW279" s="90" t="str">
        <f aca="false">IF(AT279="","",ROUND(AT279*(1-Справочники!$B$16),0))</f>
        <v/>
      </c>
      <c r="AX279" s="90" t="str">
        <f aca="false">IF(AT279="","",ROUND(AT279*(1-Справочники!$B$17),0))</f>
        <v/>
      </c>
      <c r="AY279" s="90" t="str">
        <f aca="false">IF(AT279="","",ROUND(AT279*(1-Справочники!$B$18),0))</f>
        <v/>
      </c>
      <c r="AZ279" s="90" t="str">
        <f aca="false">IF(AT279="","",ROUND(AT279*(1-Справочники!$B$19),0))</f>
        <v/>
      </c>
      <c r="BA279" s="81"/>
      <c r="BB279" s="81"/>
      <c r="BC279" s="81"/>
      <c r="BD279" s="81"/>
      <c r="BE279" s="91"/>
      <c r="BF279" s="81" t="s">
        <v>103</v>
      </c>
      <c r="BG279" s="89" t="n">
        <f aca="false" t="array" ref="BG279:BG279">IF(BF279="","",IFERROR(INDEX(Справочники!$B$4:$B$7,MATCH(BF279,Справочники!$A$4:$A$7,0)),""))</f>
        <v>68.5</v>
      </c>
      <c r="BH279" s="90" t="str">
        <f aca="false">IF(N(BN279)&gt;0,ROUND(SUMIF(ЗАКАЗЫ!$F$3:$F$500,$A279,ЗАКАЗЫ!$Y$3:$Y$500)/BN279,0),IF(OR(BE279="",BG279=""),"",ROUND(BE279*BG279*(1+Справочники!$B$10),0)))</f>
        <v/>
      </c>
      <c r="BI279" s="92" t="str">
        <f aca="false">IF(OR(AU279="",BH279="",AU279=0),"",(AU279-BH279)/AU279)</f>
        <v/>
      </c>
      <c r="BJ279" s="81"/>
      <c r="BK279" s="83"/>
      <c r="BL279" s="43" t="str">
        <f aca="false">IFERROR(INDEX(ЗАКАЗЫ!$N$3:$N$500,MATCH($A279,ЗАКАЗЫ!$F$3:$F$500,0)),"")</f>
        <v/>
      </c>
      <c r="BM279" s="8" t="str">
        <f aca="false">IF(BL279="","",IFERROR(VLOOKUP(BL279,'ТН ВЭД'!$A$4:$C$40,3,0),""))</f>
        <v/>
      </c>
      <c r="BN279" s="7" t="str">
        <f aca="false">IF(COUNTIF(ЗАКАЗЫ!$F$3:$F$500,$A279)=0,"",SUMIF(ЗАКАЗЫ!$F$3:$F$500,$A279,ЗАКАЗЫ!$J$3:$J$500))</f>
        <v/>
      </c>
      <c r="BO279" s="7" t="str">
        <f aca="false">IF(BN279="","",SUMIF(ЗАКАЗЫ!$F$3:$F$500,$A279,ЗАКАЗЫ!$AL$3:$AL$500))</f>
        <v/>
      </c>
      <c r="BP279" s="7" t="str">
        <f aca="false">IF(BN279="","",BN279-BO279)</f>
        <v/>
      </c>
      <c r="BQ279" s="55" t="str">
        <f aca="false">IF(BN279="","",IF(BO279&gt;=BN279,"На складе",IF(BO279&gt;0,"Частично","Ждём")))</f>
        <v/>
      </c>
      <c r="BR279" s="43"/>
      <c r="BS279" s="47" t="str">
        <f aca="false">IF(BN279="","",IF(_xlfn.MAXIFS(ЗАКАЗЫ!$AK$3:$AK$500,ЗАКАЗЫ!$F$3:$F$500,$A279)=0,"",_xlfn.MAXIFS(ЗАКАЗЫ!$AK$3:$AK$500,ЗАКАЗЫ!$F$3:$F$500,$A279)))</f>
        <v/>
      </c>
    </row>
    <row r="280" customFormat="false" ht="15.75" hidden="false" customHeight="true" outlineLevel="0" collapsed="false">
      <c r="A280" s="80" t="s">
        <v>2147</v>
      </c>
      <c r="B280" s="81"/>
      <c r="C280" s="81"/>
      <c r="D280" s="81"/>
      <c r="E280" s="83"/>
      <c r="F280" s="81"/>
      <c r="G280" s="83"/>
      <c r="H280" s="83"/>
      <c r="I280" s="84" t="str">
        <f aca="false">IF(E280="","",A280&amp;"_1.jpg")</f>
        <v/>
      </c>
      <c r="J280" s="84" t="str">
        <f aca="false">IF(E280="","",A280&amp;"_2.jpg; "&amp;A280&amp;"_3.jpg")</f>
        <v/>
      </c>
      <c r="K280" s="84" t="str">
        <f aca="false">IF(E280="","",A280&amp;"_schema.jpg")</f>
        <v/>
      </c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 t="s">
        <v>96</v>
      </c>
      <c r="W280" s="81"/>
      <c r="X280" s="81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6" t="str">
        <f aca="false">IF(SUM(Y280:AJ280)=0,"",SUM(Y280:AJ280))</f>
        <v/>
      </c>
      <c r="AL280" s="84" t="str">
        <f aca="false">MID(IF(N(Y280)&gt;0,", "&amp;Y$2,"")&amp;IF(N(Z280)&gt;0,", "&amp;Z$2,"")&amp;IF(N(AA280)&gt;0,", "&amp;AA$2,"")&amp;IF(N(AB280)&gt;0,", "&amp;AB$2,"")&amp;IF(N(AC280)&gt;0,", "&amp;AC$2,"")&amp;IF(N(AD280)&gt;0,", "&amp;AD$2,"")&amp;IF(N(AE280)&gt;0,", "&amp;AE$2,"")&amp;IF(N(AF280)&gt;0,", "&amp;AF$2,"")&amp;IF(N(AG280)&gt;0,", "&amp;AG$2,"")&amp;IF(N(AH280)&gt;0,", "&amp;AH$2,"")&amp;IF(N(AI280)&gt;0,", "&amp;AI$2,"")&amp;IF(N(AJ280)&gt;0,", "&amp;AJ$2,""),3,999)</f>
        <v/>
      </c>
      <c r="AM280" s="87" t="str">
        <f aca="false">IF(E280="","",MID(IF(N(Y280)&gt;0,", "&amp;A280&amp;"-"&amp;Y$2,"")&amp;IF(N(Z280)&gt;0,", "&amp;A280&amp;"-"&amp;Z$2,"")&amp;IF(N(AA280)&gt;0,", "&amp;A280&amp;"-"&amp;AA$2,"")&amp;IF(N(AB280)&gt;0,", "&amp;A280&amp;"-"&amp;AB$2,"")&amp;IF(N(AC280)&gt;0,", "&amp;A280&amp;"-"&amp;AC$2,"")&amp;IF(N(AD280)&gt;0,", "&amp;A280&amp;"-"&amp;AD$2,"")&amp;IF(N(AE280)&gt;0,", "&amp;A280&amp;"-"&amp;AE$2,"")&amp;IF(N(AF280)&gt;0,", "&amp;A280&amp;"-"&amp;AF$2,"")&amp;IF(N(AG280)&gt;0,", "&amp;A280&amp;"-"&amp;AG$2,"")&amp;IF(N(AH280)&gt;0,", "&amp;A280&amp;"-"&amp;AH$2,"")&amp;IF(N(AI280)&gt;0,", "&amp;A280&amp;"-"&amp;AI$2,"")&amp;IF(N(AJ280)&gt;0,", "&amp;A280&amp;"-"&amp;AJ$2,""),3,999))</f>
        <v/>
      </c>
      <c r="AN280" s="81"/>
      <c r="AO280" s="88"/>
      <c r="AP280" s="89" t="str">
        <f aca="false">IF(AO280="","",ROUND(AO280/(1+Справочники!$B$13),2))</f>
        <v/>
      </c>
      <c r="AQ280" s="90" t="str">
        <f aca="false" t="array" ref="AQ280:AQ280">IF(AP280="","",AP280*INDEX(Справочники!$B$4:$B$7,MATCH("RUB",Справочники!$A$4:$A$7,0)))</f>
        <v/>
      </c>
      <c r="AR280" s="90" t="str">
        <f aca="false">IF(AQ280="","",ROUND(AQ280*(1+Справочники!$B$12),0))</f>
        <v/>
      </c>
      <c r="AS280" s="90" t="str">
        <f aca="false">IF(AR280="","",ROUND(AR280*(1-Справочники!$B$11),0))</f>
        <v/>
      </c>
      <c r="AT280" s="88"/>
      <c r="AU280" s="90" t="str">
        <f aca="false">IF(AT280="","",ROUND(AT280/(1+Справочники!$B$12),0))</f>
        <v/>
      </c>
      <c r="AV280" s="90" t="str">
        <f aca="false">IF(AT280="","",ROUND(AT280*(1-Справочники!$B$15),0))</f>
        <v/>
      </c>
      <c r="AW280" s="90" t="str">
        <f aca="false">IF(AT280="","",ROUND(AT280*(1-Справочники!$B$16),0))</f>
        <v/>
      </c>
      <c r="AX280" s="90" t="str">
        <f aca="false">IF(AT280="","",ROUND(AT280*(1-Справочники!$B$17),0))</f>
        <v/>
      </c>
      <c r="AY280" s="90" t="str">
        <f aca="false">IF(AT280="","",ROUND(AT280*(1-Справочники!$B$18),0))</f>
        <v/>
      </c>
      <c r="AZ280" s="90" t="str">
        <f aca="false">IF(AT280="","",ROUND(AT280*(1-Справочники!$B$19),0))</f>
        <v/>
      </c>
      <c r="BA280" s="81"/>
      <c r="BB280" s="81"/>
      <c r="BC280" s="81"/>
      <c r="BD280" s="81"/>
      <c r="BE280" s="91"/>
      <c r="BF280" s="81" t="s">
        <v>103</v>
      </c>
      <c r="BG280" s="89" t="n">
        <f aca="false" t="array" ref="BG280:BG280">IF(BF280="","",IFERROR(INDEX(Справочники!$B$4:$B$7,MATCH(BF280,Справочники!$A$4:$A$7,0)),""))</f>
        <v>68.5</v>
      </c>
      <c r="BH280" s="90" t="str">
        <f aca="false">IF(N(BN280)&gt;0,ROUND(SUMIF(ЗАКАЗЫ!$F$3:$F$500,$A280,ЗАКАЗЫ!$Y$3:$Y$500)/BN280,0),IF(OR(BE280="",BG280=""),"",ROUND(BE280*BG280*(1+Справочники!$B$10),0)))</f>
        <v/>
      </c>
      <c r="BI280" s="92" t="str">
        <f aca="false">IF(OR(AU280="",BH280="",AU280=0),"",(AU280-BH280)/AU280)</f>
        <v/>
      </c>
      <c r="BJ280" s="81"/>
      <c r="BK280" s="83"/>
      <c r="BL280" s="43" t="str">
        <f aca="false">IFERROR(INDEX(ЗАКАЗЫ!$N$3:$N$500,MATCH($A280,ЗАКАЗЫ!$F$3:$F$500,0)),"")</f>
        <v/>
      </c>
      <c r="BM280" s="8" t="str">
        <f aca="false">IF(BL280="","",IFERROR(VLOOKUP(BL280,'ТН ВЭД'!$A$4:$C$40,3,0),""))</f>
        <v/>
      </c>
      <c r="BN280" s="7" t="str">
        <f aca="false">IF(COUNTIF(ЗАКАЗЫ!$F$3:$F$500,$A280)=0,"",SUMIF(ЗАКАЗЫ!$F$3:$F$500,$A280,ЗАКАЗЫ!$J$3:$J$500))</f>
        <v/>
      </c>
      <c r="BO280" s="7" t="str">
        <f aca="false">IF(BN280="","",SUMIF(ЗАКАЗЫ!$F$3:$F$500,$A280,ЗАКАЗЫ!$AL$3:$AL$500))</f>
        <v/>
      </c>
      <c r="BP280" s="7" t="str">
        <f aca="false">IF(BN280="","",BN280-BO280)</f>
        <v/>
      </c>
      <c r="BQ280" s="55" t="str">
        <f aca="false">IF(BN280="","",IF(BO280&gt;=BN280,"На складе",IF(BO280&gt;0,"Частично","Ждём")))</f>
        <v/>
      </c>
      <c r="BR280" s="43"/>
      <c r="BS280" s="47" t="str">
        <f aca="false">IF(BN280="","",IF(_xlfn.MAXIFS(ЗАКАЗЫ!$AK$3:$AK$500,ЗАКАЗЫ!$F$3:$F$500,$A280)=0,"",_xlfn.MAXIFS(ЗАКАЗЫ!$AK$3:$AK$500,ЗАКАЗЫ!$F$3:$F$500,$A280)))</f>
        <v/>
      </c>
    </row>
    <row r="281" customFormat="false" ht="15.75" hidden="false" customHeight="true" outlineLevel="0" collapsed="false">
      <c r="A281" s="80" t="s">
        <v>2148</v>
      </c>
      <c r="B281" s="81"/>
      <c r="C281" s="81"/>
      <c r="D281" s="81"/>
      <c r="E281" s="83"/>
      <c r="F281" s="81"/>
      <c r="G281" s="83"/>
      <c r="H281" s="83"/>
      <c r="I281" s="84" t="str">
        <f aca="false">IF(E281="","",A281&amp;"_1.jpg")</f>
        <v/>
      </c>
      <c r="J281" s="84" t="str">
        <f aca="false">IF(E281="","",A281&amp;"_2.jpg; "&amp;A281&amp;"_3.jpg")</f>
        <v/>
      </c>
      <c r="K281" s="84" t="str">
        <f aca="false">IF(E281="","",A281&amp;"_schema.jpg")</f>
        <v/>
      </c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 t="s">
        <v>96</v>
      </c>
      <c r="W281" s="81"/>
      <c r="X281" s="81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6" t="str">
        <f aca="false">IF(SUM(Y281:AJ281)=0,"",SUM(Y281:AJ281))</f>
        <v/>
      </c>
      <c r="AL281" s="84" t="str">
        <f aca="false">MID(IF(N(Y281)&gt;0,", "&amp;Y$2,"")&amp;IF(N(Z281)&gt;0,", "&amp;Z$2,"")&amp;IF(N(AA281)&gt;0,", "&amp;AA$2,"")&amp;IF(N(AB281)&gt;0,", "&amp;AB$2,"")&amp;IF(N(AC281)&gt;0,", "&amp;AC$2,"")&amp;IF(N(AD281)&gt;0,", "&amp;AD$2,"")&amp;IF(N(AE281)&gt;0,", "&amp;AE$2,"")&amp;IF(N(AF281)&gt;0,", "&amp;AF$2,"")&amp;IF(N(AG281)&gt;0,", "&amp;AG$2,"")&amp;IF(N(AH281)&gt;0,", "&amp;AH$2,"")&amp;IF(N(AI281)&gt;0,", "&amp;AI$2,"")&amp;IF(N(AJ281)&gt;0,", "&amp;AJ$2,""),3,999)</f>
        <v/>
      </c>
      <c r="AM281" s="87" t="str">
        <f aca="false">IF(E281="","",MID(IF(N(Y281)&gt;0,", "&amp;A281&amp;"-"&amp;Y$2,"")&amp;IF(N(Z281)&gt;0,", "&amp;A281&amp;"-"&amp;Z$2,"")&amp;IF(N(AA281)&gt;0,", "&amp;A281&amp;"-"&amp;AA$2,"")&amp;IF(N(AB281)&gt;0,", "&amp;A281&amp;"-"&amp;AB$2,"")&amp;IF(N(AC281)&gt;0,", "&amp;A281&amp;"-"&amp;AC$2,"")&amp;IF(N(AD281)&gt;0,", "&amp;A281&amp;"-"&amp;AD$2,"")&amp;IF(N(AE281)&gt;0,", "&amp;A281&amp;"-"&amp;AE$2,"")&amp;IF(N(AF281)&gt;0,", "&amp;A281&amp;"-"&amp;AF$2,"")&amp;IF(N(AG281)&gt;0,", "&amp;A281&amp;"-"&amp;AG$2,"")&amp;IF(N(AH281)&gt;0,", "&amp;A281&amp;"-"&amp;AH$2,"")&amp;IF(N(AI281)&gt;0,", "&amp;A281&amp;"-"&amp;AI$2,"")&amp;IF(N(AJ281)&gt;0,", "&amp;A281&amp;"-"&amp;AJ$2,""),3,999))</f>
        <v/>
      </c>
      <c r="AN281" s="81"/>
      <c r="AO281" s="88"/>
      <c r="AP281" s="89" t="str">
        <f aca="false">IF(AO281="","",ROUND(AO281/(1+Справочники!$B$13),2))</f>
        <v/>
      </c>
      <c r="AQ281" s="90" t="str">
        <f aca="false" t="array" ref="AQ281:AQ281">IF(AP281="","",AP281*INDEX(Справочники!$B$4:$B$7,MATCH("RUB",Справочники!$A$4:$A$7,0)))</f>
        <v/>
      </c>
      <c r="AR281" s="90" t="str">
        <f aca="false">IF(AQ281="","",ROUND(AQ281*(1+Справочники!$B$12),0))</f>
        <v/>
      </c>
      <c r="AS281" s="90" t="str">
        <f aca="false">IF(AR281="","",ROUND(AR281*(1-Справочники!$B$11),0))</f>
        <v/>
      </c>
      <c r="AT281" s="88"/>
      <c r="AU281" s="90" t="str">
        <f aca="false">IF(AT281="","",ROUND(AT281/(1+Справочники!$B$12),0))</f>
        <v/>
      </c>
      <c r="AV281" s="90" t="str">
        <f aca="false">IF(AT281="","",ROUND(AT281*(1-Справочники!$B$15),0))</f>
        <v/>
      </c>
      <c r="AW281" s="90" t="str">
        <f aca="false">IF(AT281="","",ROUND(AT281*(1-Справочники!$B$16),0))</f>
        <v/>
      </c>
      <c r="AX281" s="90" t="str">
        <f aca="false">IF(AT281="","",ROUND(AT281*(1-Справочники!$B$17),0))</f>
        <v/>
      </c>
      <c r="AY281" s="90" t="str">
        <f aca="false">IF(AT281="","",ROUND(AT281*(1-Справочники!$B$18),0))</f>
        <v/>
      </c>
      <c r="AZ281" s="90" t="str">
        <f aca="false">IF(AT281="","",ROUND(AT281*(1-Справочники!$B$19),0))</f>
        <v/>
      </c>
      <c r="BA281" s="81"/>
      <c r="BB281" s="81"/>
      <c r="BC281" s="81"/>
      <c r="BD281" s="81"/>
      <c r="BE281" s="91"/>
      <c r="BF281" s="81" t="s">
        <v>103</v>
      </c>
      <c r="BG281" s="89" t="n">
        <f aca="false" t="array" ref="BG281:BG281">IF(BF281="","",IFERROR(INDEX(Справочники!$B$4:$B$7,MATCH(BF281,Справочники!$A$4:$A$7,0)),""))</f>
        <v>68.5</v>
      </c>
      <c r="BH281" s="90" t="str">
        <f aca="false">IF(N(BN281)&gt;0,ROUND(SUMIF(ЗАКАЗЫ!$F$3:$F$500,$A281,ЗАКАЗЫ!$Y$3:$Y$500)/BN281,0),IF(OR(BE281="",BG281=""),"",ROUND(BE281*BG281*(1+Справочники!$B$10),0)))</f>
        <v/>
      </c>
      <c r="BI281" s="92" t="str">
        <f aca="false">IF(OR(AU281="",BH281="",AU281=0),"",(AU281-BH281)/AU281)</f>
        <v/>
      </c>
      <c r="BJ281" s="81"/>
      <c r="BK281" s="83"/>
      <c r="BL281" s="43" t="str">
        <f aca="false">IFERROR(INDEX(ЗАКАЗЫ!$N$3:$N$500,MATCH($A281,ЗАКАЗЫ!$F$3:$F$500,0)),"")</f>
        <v/>
      </c>
      <c r="BM281" s="8" t="str">
        <f aca="false">IF(BL281="","",IFERROR(VLOOKUP(BL281,'ТН ВЭД'!$A$4:$C$40,3,0),""))</f>
        <v/>
      </c>
      <c r="BN281" s="7" t="str">
        <f aca="false">IF(COUNTIF(ЗАКАЗЫ!$F$3:$F$500,$A281)=0,"",SUMIF(ЗАКАЗЫ!$F$3:$F$500,$A281,ЗАКАЗЫ!$J$3:$J$500))</f>
        <v/>
      </c>
      <c r="BO281" s="7" t="str">
        <f aca="false">IF(BN281="","",SUMIF(ЗАКАЗЫ!$F$3:$F$500,$A281,ЗАКАЗЫ!$AL$3:$AL$500))</f>
        <v/>
      </c>
      <c r="BP281" s="7" t="str">
        <f aca="false">IF(BN281="","",BN281-BO281)</f>
        <v/>
      </c>
      <c r="BQ281" s="55" t="str">
        <f aca="false">IF(BN281="","",IF(BO281&gt;=BN281,"На складе",IF(BO281&gt;0,"Частично","Ждём")))</f>
        <v/>
      </c>
      <c r="BR281" s="43"/>
      <c r="BS281" s="47" t="str">
        <f aca="false">IF(BN281="","",IF(_xlfn.MAXIFS(ЗАКАЗЫ!$AK$3:$AK$500,ЗАКАЗЫ!$F$3:$F$500,$A281)=0,"",_xlfn.MAXIFS(ЗАКАЗЫ!$AK$3:$AK$500,ЗАКАЗЫ!$F$3:$F$500,$A281)))</f>
        <v/>
      </c>
    </row>
    <row r="282" customFormat="false" ht="15.75" hidden="false" customHeight="true" outlineLevel="0" collapsed="false">
      <c r="A282" s="80" t="s">
        <v>2149</v>
      </c>
      <c r="B282" s="81"/>
      <c r="C282" s="81"/>
      <c r="D282" s="81"/>
      <c r="E282" s="83"/>
      <c r="F282" s="81"/>
      <c r="G282" s="83"/>
      <c r="H282" s="83"/>
      <c r="I282" s="84" t="str">
        <f aca="false">IF(E282="","",A282&amp;"_1.jpg")</f>
        <v/>
      </c>
      <c r="J282" s="84" t="str">
        <f aca="false">IF(E282="","",A282&amp;"_2.jpg; "&amp;A282&amp;"_3.jpg")</f>
        <v/>
      </c>
      <c r="K282" s="84" t="str">
        <f aca="false">IF(E282="","",A282&amp;"_schema.jpg")</f>
        <v/>
      </c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 t="s">
        <v>96</v>
      </c>
      <c r="W282" s="81"/>
      <c r="X282" s="81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6" t="str">
        <f aca="false">IF(SUM(Y282:AJ282)=0,"",SUM(Y282:AJ282))</f>
        <v/>
      </c>
      <c r="AL282" s="84" t="str">
        <f aca="false">MID(IF(N(Y282)&gt;0,", "&amp;Y$2,"")&amp;IF(N(Z282)&gt;0,", "&amp;Z$2,"")&amp;IF(N(AA282)&gt;0,", "&amp;AA$2,"")&amp;IF(N(AB282)&gt;0,", "&amp;AB$2,"")&amp;IF(N(AC282)&gt;0,", "&amp;AC$2,"")&amp;IF(N(AD282)&gt;0,", "&amp;AD$2,"")&amp;IF(N(AE282)&gt;0,", "&amp;AE$2,"")&amp;IF(N(AF282)&gt;0,", "&amp;AF$2,"")&amp;IF(N(AG282)&gt;0,", "&amp;AG$2,"")&amp;IF(N(AH282)&gt;0,", "&amp;AH$2,"")&amp;IF(N(AI282)&gt;0,", "&amp;AI$2,"")&amp;IF(N(AJ282)&gt;0,", "&amp;AJ$2,""),3,999)</f>
        <v/>
      </c>
      <c r="AM282" s="87" t="str">
        <f aca="false">IF(E282="","",MID(IF(N(Y282)&gt;0,", "&amp;A282&amp;"-"&amp;Y$2,"")&amp;IF(N(Z282)&gt;0,", "&amp;A282&amp;"-"&amp;Z$2,"")&amp;IF(N(AA282)&gt;0,", "&amp;A282&amp;"-"&amp;AA$2,"")&amp;IF(N(AB282)&gt;0,", "&amp;A282&amp;"-"&amp;AB$2,"")&amp;IF(N(AC282)&gt;0,", "&amp;A282&amp;"-"&amp;AC$2,"")&amp;IF(N(AD282)&gt;0,", "&amp;A282&amp;"-"&amp;AD$2,"")&amp;IF(N(AE282)&gt;0,", "&amp;A282&amp;"-"&amp;AE$2,"")&amp;IF(N(AF282)&gt;0,", "&amp;A282&amp;"-"&amp;AF$2,"")&amp;IF(N(AG282)&gt;0,", "&amp;A282&amp;"-"&amp;AG$2,"")&amp;IF(N(AH282)&gt;0,", "&amp;A282&amp;"-"&amp;AH$2,"")&amp;IF(N(AI282)&gt;0,", "&amp;A282&amp;"-"&amp;AI$2,"")&amp;IF(N(AJ282)&gt;0,", "&amp;A282&amp;"-"&amp;AJ$2,""),3,999))</f>
        <v/>
      </c>
      <c r="AN282" s="81"/>
      <c r="AO282" s="88"/>
      <c r="AP282" s="89" t="str">
        <f aca="false">IF(AO282="","",ROUND(AO282/(1+Справочники!$B$13),2))</f>
        <v/>
      </c>
      <c r="AQ282" s="90" t="str">
        <f aca="false" t="array" ref="AQ282:AQ282">IF(AP282="","",AP282*INDEX(Справочники!$B$4:$B$7,MATCH("RUB",Справочники!$A$4:$A$7,0)))</f>
        <v/>
      </c>
      <c r="AR282" s="90" t="str">
        <f aca="false">IF(AQ282="","",ROUND(AQ282*(1+Справочники!$B$12),0))</f>
        <v/>
      </c>
      <c r="AS282" s="90" t="str">
        <f aca="false">IF(AR282="","",ROUND(AR282*(1-Справочники!$B$11),0))</f>
        <v/>
      </c>
      <c r="AT282" s="88"/>
      <c r="AU282" s="90" t="str">
        <f aca="false">IF(AT282="","",ROUND(AT282/(1+Справочники!$B$12),0))</f>
        <v/>
      </c>
      <c r="AV282" s="90" t="str">
        <f aca="false">IF(AT282="","",ROUND(AT282*(1-Справочники!$B$15),0))</f>
        <v/>
      </c>
      <c r="AW282" s="90" t="str">
        <f aca="false">IF(AT282="","",ROUND(AT282*(1-Справочники!$B$16),0))</f>
        <v/>
      </c>
      <c r="AX282" s="90" t="str">
        <f aca="false">IF(AT282="","",ROUND(AT282*(1-Справочники!$B$17),0))</f>
        <v/>
      </c>
      <c r="AY282" s="90" t="str">
        <f aca="false">IF(AT282="","",ROUND(AT282*(1-Справочники!$B$18),0))</f>
        <v/>
      </c>
      <c r="AZ282" s="90" t="str">
        <f aca="false">IF(AT282="","",ROUND(AT282*(1-Справочники!$B$19),0))</f>
        <v/>
      </c>
      <c r="BA282" s="81"/>
      <c r="BB282" s="81"/>
      <c r="BC282" s="81"/>
      <c r="BD282" s="81"/>
      <c r="BE282" s="91"/>
      <c r="BF282" s="81" t="s">
        <v>103</v>
      </c>
      <c r="BG282" s="89" t="n">
        <f aca="false" t="array" ref="BG282:BG282">IF(BF282="","",IFERROR(INDEX(Справочники!$B$4:$B$7,MATCH(BF282,Справочники!$A$4:$A$7,0)),""))</f>
        <v>68.5</v>
      </c>
      <c r="BH282" s="90" t="str">
        <f aca="false">IF(N(BN282)&gt;0,ROUND(SUMIF(ЗАКАЗЫ!$F$3:$F$500,$A282,ЗАКАЗЫ!$Y$3:$Y$500)/BN282,0),IF(OR(BE282="",BG282=""),"",ROUND(BE282*BG282*(1+Справочники!$B$10),0)))</f>
        <v/>
      </c>
      <c r="BI282" s="92" t="str">
        <f aca="false">IF(OR(AU282="",BH282="",AU282=0),"",(AU282-BH282)/AU282)</f>
        <v/>
      </c>
      <c r="BJ282" s="81"/>
      <c r="BK282" s="83"/>
      <c r="BL282" s="43" t="str">
        <f aca="false">IFERROR(INDEX(ЗАКАЗЫ!$N$3:$N$500,MATCH($A282,ЗАКАЗЫ!$F$3:$F$500,0)),"")</f>
        <v/>
      </c>
      <c r="BM282" s="8" t="str">
        <f aca="false">IF(BL282="","",IFERROR(VLOOKUP(BL282,'ТН ВЭД'!$A$4:$C$40,3,0),""))</f>
        <v/>
      </c>
      <c r="BN282" s="7" t="str">
        <f aca="false">IF(COUNTIF(ЗАКАЗЫ!$F$3:$F$500,$A282)=0,"",SUMIF(ЗАКАЗЫ!$F$3:$F$500,$A282,ЗАКАЗЫ!$J$3:$J$500))</f>
        <v/>
      </c>
      <c r="BO282" s="7" t="str">
        <f aca="false">IF(BN282="","",SUMIF(ЗАКАЗЫ!$F$3:$F$500,$A282,ЗАКАЗЫ!$AL$3:$AL$500))</f>
        <v/>
      </c>
      <c r="BP282" s="7" t="str">
        <f aca="false">IF(BN282="","",BN282-BO282)</f>
        <v/>
      </c>
      <c r="BQ282" s="55" t="str">
        <f aca="false">IF(BN282="","",IF(BO282&gt;=BN282,"На складе",IF(BO282&gt;0,"Частично","Ждём")))</f>
        <v/>
      </c>
      <c r="BR282" s="43"/>
      <c r="BS282" s="47" t="str">
        <f aca="false">IF(BN282="","",IF(_xlfn.MAXIFS(ЗАКАЗЫ!$AK$3:$AK$500,ЗАКАЗЫ!$F$3:$F$500,$A282)=0,"",_xlfn.MAXIFS(ЗАКАЗЫ!$AK$3:$AK$500,ЗАКАЗЫ!$F$3:$F$500,$A282)))</f>
        <v/>
      </c>
    </row>
    <row r="283" customFormat="false" ht="15.75" hidden="false" customHeight="true" outlineLevel="0" collapsed="false">
      <c r="A283" s="80" t="s">
        <v>2150</v>
      </c>
      <c r="B283" s="81"/>
      <c r="C283" s="81"/>
      <c r="D283" s="81"/>
      <c r="E283" s="83"/>
      <c r="F283" s="81"/>
      <c r="G283" s="83"/>
      <c r="H283" s="83"/>
      <c r="I283" s="84" t="str">
        <f aca="false">IF(E283="","",A283&amp;"_1.jpg")</f>
        <v/>
      </c>
      <c r="J283" s="84" t="str">
        <f aca="false">IF(E283="","",A283&amp;"_2.jpg; "&amp;A283&amp;"_3.jpg")</f>
        <v/>
      </c>
      <c r="K283" s="84" t="str">
        <f aca="false">IF(E283="","",A283&amp;"_schema.jpg")</f>
        <v/>
      </c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 t="s">
        <v>96</v>
      </c>
      <c r="W283" s="81"/>
      <c r="X283" s="81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6" t="str">
        <f aca="false">IF(SUM(Y283:AJ283)=0,"",SUM(Y283:AJ283))</f>
        <v/>
      </c>
      <c r="AL283" s="84" t="str">
        <f aca="false">MID(IF(N(Y283)&gt;0,", "&amp;Y$2,"")&amp;IF(N(Z283)&gt;0,", "&amp;Z$2,"")&amp;IF(N(AA283)&gt;0,", "&amp;AA$2,"")&amp;IF(N(AB283)&gt;0,", "&amp;AB$2,"")&amp;IF(N(AC283)&gt;0,", "&amp;AC$2,"")&amp;IF(N(AD283)&gt;0,", "&amp;AD$2,"")&amp;IF(N(AE283)&gt;0,", "&amp;AE$2,"")&amp;IF(N(AF283)&gt;0,", "&amp;AF$2,"")&amp;IF(N(AG283)&gt;0,", "&amp;AG$2,"")&amp;IF(N(AH283)&gt;0,", "&amp;AH$2,"")&amp;IF(N(AI283)&gt;0,", "&amp;AI$2,"")&amp;IF(N(AJ283)&gt;0,", "&amp;AJ$2,""),3,999)</f>
        <v/>
      </c>
      <c r="AM283" s="87" t="str">
        <f aca="false">IF(E283="","",MID(IF(N(Y283)&gt;0,", "&amp;A283&amp;"-"&amp;Y$2,"")&amp;IF(N(Z283)&gt;0,", "&amp;A283&amp;"-"&amp;Z$2,"")&amp;IF(N(AA283)&gt;0,", "&amp;A283&amp;"-"&amp;AA$2,"")&amp;IF(N(AB283)&gt;0,", "&amp;A283&amp;"-"&amp;AB$2,"")&amp;IF(N(AC283)&gt;0,", "&amp;A283&amp;"-"&amp;AC$2,"")&amp;IF(N(AD283)&gt;0,", "&amp;A283&amp;"-"&amp;AD$2,"")&amp;IF(N(AE283)&gt;0,", "&amp;A283&amp;"-"&amp;AE$2,"")&amp;IF(N(AF283)&gt;0,", "&amp;A283&amp;"-"&amp;AF$2,"")&amp;IF(N(AG283)&gt;0,", "&amp;A283&amp;"-"&amp;AG$2,"")&amp;IF(N(AH283)&gt;0,", "&amp;A283&amp;"-"&amp;AH$2,"")&amp;IF(N(AI283)&gt;0,", "&amp;A283&amp;"-"&amp;AI$2,"")&amp;IF(N(AJ283)&gt;0,", "&amp;A283&amp;"-"&amp;AJ$2,""),3,999))</f>
        <v/>
      </c>
      <c r="AN283" s="81"/>
      <c r="AO283" s="88"/>
      <c r="AP283" s="89" t="str">
        <f aca="false">IF(AO283="","",ROUND(AO283/(1+Справочники!$B$13),2))</f>
        <v/>
      </c>
      <c r="AQ283" s="90" t="str">
        <f aca="false" t="array" ref="AQ283:AQ283">IF(AP283="","",AP283*INDEX(Справочники!$B$4:$B$7,MATCH("RUB",Справочники!$A$4:$A$7,0)))</f>
        <v/>
      </c>
      <c r="AR283" s="90" t="str">
        <f aca="false">IF(AQ283="","",ROUND(AQ283*(1+Справочники!$B$12),0))</f>
        <v/>
      </c>
      <c r="AS283" s="90" t="str">
        <f aca="false">IF(AR283="","",ROUND(AR283*(1-Справочники!$B$11),0))</f>
        <v/>
      </c>
      <c r="AT283" s="88"/>
      <c r="AU283" s="90" t="str">
        <f aca="false">IF(AT283="","",ROUND(AT283/(1+Справочники!$B$12),0))</f>
        <v/>
      </c>
      <c r="AV283" s="90" t="str">
        <f aca="false">IF(AT283="","",ROUND(AT283*(1-Справочники!$B$15),0))</f>
        <v/>
      </c>
      <c r="AW283" s="90" t="str">
        <f aca="false">IF(AT283="","",ROUND(AT283*(1-Справочники!$B$16),0))</f>
        <v/>
      </c>
      <c r="AX283" s="90" t="str">
        <f aca="false">IF(AT283="","",ROUND(AT283*(1-Справочники!$B$17),0))</f>
        <v/>
      </c>
      <c r="AY283" s="90" t="str">
        <f aca="false">IF(AT283="","",ROUND(AT283*(1-Справочники!$B$18),0))</f>
        <v/>
      </c>
      <c r="AZ283" s="90" t="str">
        <f aca="false">IF(AT283="","",ROUND(AT283*(1-Справочники!$B$19),0))</f>
        <v/>
      </c>
      <c r="BA283" s="81"/>
      <c r="BB283" s="81"/>
      <c r="BC283" s="81"/>
      <c r="BD283" s="81"/>
      <c r="BE283" s="91"/>
      <c r="BF283" s="81" t="s">
        <v>103</v>
      </c>
      <c r="BG283" s="89" t="n">
        <f aca="false" t="array" ref="BG283:BG283">IF(BF283="","",IFERROR(INDEX(Справочники!$B$4:$B$7,MATCH(BF283,Справочники!$A$4:$A$7,0)),""))</f>
        <v>68.5</v>
      </c>
      <c r="BH283" s="90" t="str">
        <f aca="false">IF(N(BN283)&gt;0,ROUND(SUMIF(ЗАКАЗЫ!$F$3:$F$500,$A283,ЗАКАЗЫ!$Y$3:$Y$500)/BN283,0),IF(OR(BE283="",BG283=""),"",ROUND(BE283*BG283*(1+Справочники!$B$10),0)))</f>
        <v/>
      </c>
      <c r="BI283" s="92" t="str">
        <f aca="false">IF(OR(AU283="",BH283="",AU283=0),"",(AU283-BH283)/AU283)</f>
        <v/>
      </c>
      <c r="BJ283" s="81"/>
      <c r="BK283" s="83"/>
      <c r="BL283" s="43" t="str">
        <f aca="false">IFERROR(INDEX(ЗАКАЗЫ!$N$3:$N$500,MATCH($A283,ЗАКАЗЫ!$F$3:$F$500,0)),"")</f>
        <v/>
      </c>
      <c r="BM283" s="8" t="str">
        <f aca="false">IF(BL283="","",IFERROR(VLOOKUP(BL283,'ТН ВЭД'!$A$4:$C$40,3,0),""))</f>
        <v/>
      </c>
      <c r="BN283" s="7" t="str">
        <f aca="false">IF(COUNTIF(ЗАКАЗЫ!$F$3:$F$500,$A283)=0,"",SUMIF(ЗАКАЗЫ!$F$3:$F$500,$A283,ЗАКАЗЫ!$J$3:$J$500))</f>
        <v/>
      </c>
      <c r="BO283" s="7" t="str">
        <f aca="false">IF(BN283="","",SUMIF(ЗАКАЗЫ!$F$3:$F$500,$A283,ЗАКАЗЫ!$AL$3:$AL$500))</f>
        <v/>
      </c>
      <c r="BP283" s="7" t="str">
        <f aca="false">IF(BN283="","",BN283-BO283)</f>
        <v/>
      </c>
      <c r="BQ283" s="55" t="str">
        <f aca="false">IF(BN283="","",IF(BO283&gt;=BN283,"На складе",IF(BO283&gt;0,"Частично","Ждём")))</f>
        <v/>
      </c>
      <c r="BR283" s="43"/>
      <c r="BS283" s="47" t="str">
        <f aca="false">IF(BN283="","",IF(_xlfn.MAXIFS(ЗАКАЗЫ!$AK$3:$AK$500,ЗАКАЗЫ!$F$3:$F$500,$A283)=0,"",_xlfn.MAXIFS(ЗАКАЗЫ!$AK$3:$AK$500,ЗАКАЗЫ!$F$3:$F$500,$A283)))</f>
        <v/>
      </c>
    </row>
    <row r="284" customFormat="false" ht="15.75" hidden="false" customHeight="true" outlineLevel="0" collapsed="false">
      <c r="A284" s="80" t="s">
        <v>2151</v>
      </c>
      <c r="B284" s="81"/>
      <c r="C284" s="81"/>
      <c r="D284" s="81"/>
      <c r="E284" s="83"/>
      <c r="F284" s="81"/>
      <c r="G284" s="83"/>
      <c r="H284" s="83"/>
      <c r="I284" s="84" t="str">
        <f aca="false">IF(E284="","",A284&amp;"_1.jpg")</f>
        <v/>
      </c>
      <c r="J284" s="84" t="str">
        <f aca="false">IF(E284="","",A284&amp;"_2.jpg; "&amp;A284&amp;"_3.jpg")</f>
        <v/>
      </c>
      <c r="K284" s="84" t="str">
        <f aca="false">IF(E284="","",A284&amp;"_schema.jpg")</f>
        <v/>
      </c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 t="s">
        <v>96</v>
      </c>
      <c r="W284" s="81"/>
      <c r="X284" s="81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6" t="str">
        <f aca="false">IF(SUM(Y284:AJ284)=0,"",SUM(Y284:AJ284))</f>
        <v/>
      </c>
      <c r="AL284" s="84" t="str">
        <f aca="false">MID(IF(N(Y284)&gt;0,", "&amp;Y$2,"")&amp;IF(N(Z284)&gt;0,", "&amp;Z$2,"")&amp;IF(N(AA284)&gt;0,", "&amp;AA$2,"")&amp;IF(N(AB284)&gt;0,", "&amp;AB$2,"")&amp;IF(N(AC284)&gt;0,", "&amp;AC$2,"")&amp;IF(N(AD284)&gt;0,", "&amp;AD$2,"")&amp;IF(N(AE284)&gt;0,", "&amp;AE$2,"")&amp;IF(N(AF284)&gt;0,", "&amp;AF$2,"")&amp;IF(N(AG284)&gt;0,", "&amp;AG$2,"")&amp;IF(N(AH284)&gt;0,", "&amp;AH$2,"")&amp;IF(N(AI284)&gt;0,", "&amp;AI$2,"")&amp;IF(N(AJ284)&gt;0,", "&amp;AJ$2,""),3,999)</f>
        <v/>
      </c>
      <c r="AM284" s="87" t="str">
        <f aca="false">IF(E284="","",MID(IF(N(Y284)&gt;0,", "&amp;A284&amp;"-"&amp;Y$2,"")&amp;IF(N(Z284)&gt;0,", "&amp;A284&amp;"-"&amp;Z$2,"")&amp;IF(N(AA284)&gt;0,", "&amp;A284&amp;"-"&amp;AA$2,"")&amp;IF(N(AB284)&gt;0,", "&amp;A284&amp;"-"&amp;AB$2,"")&amp;IF(N(AC284)&gt;0,", "&amp;A284&amp;"-"&amp;AC$2,"")&amp;IF(N(AD284)&gt;0,", "&amp;A284&amp;"-"&amp;AD$2,"")&amp;IF(N(AE284)&gt;0,", "&amp;A284&amp;"-"&amp;AE$2,"")&amp;IF(N(AF284)&gt;0,", "&amp;A284&amp;"-"&amp;AF$2,"")&amp;IF(N(AG284)&gt;0,", "&amp;A284&amp;"-"&amp;AG$2,"")&amp;IF(N(AH284)&gt;0,", "&amp;A284&amp;"-"&amp;AH$2,"")&amp;IF(N(AI284)&gt;0,", "&amp;A284&amp;"-"&amp;AI$2,"")&amp;IF(N(AJ284)&gt;0,", "&amp;A284&amp;"-"&amp;AJ$2,""),3,999))</f>
        <v/>
      </c>
      <c r="AN284" s="81"/>
      <c r="AO284" s="88"/>
      <c r="AP284" s="89" t="str">
        <f aca="false">IF(AO284="","",ROUND(AO284/(1+Справочники!$B$13),2))</f>
        <v/>
      </c>
      <c r="AQ284" s="90" t="str">
        <f aca="false" t="array" ref="AQ284:AQ284">IF(AP284="","",AP284*INDEX(Справочники!$B$4:$B$7,MATCH("RUB",Справочники!$A$4:$A$7,0)))</f>
        <v/>
      </c>
      <c r="AR284" s="90" t="str">
        <f aca="false">IF(AQ284="","",ROUND(AQ284*(1+Справочники!$B$12),0))</f>
        <v/>
      </c>
      <c r="AS284" s="90" t="str">
        <f aca="false">IF(AR284="","",ROUND(AR284*(1-Справочники!$B$11),0))</f>
        <v/>
      </c>
      <c r="AT284" s="88"/>
      <c r="AU284" s="90" t="str">
        <f aca="false">IF(AT284="","",ROUND(AT284/(1+Справочники!$B$12),0))</f>
        <v/>
      </c>
      <c r="AV284" s="90" t="str">
        <f aca="false">IF(AT284="","",ROUND(AT284*(1-Справочники!$B$15),0))</f>
        <v/>
      </c>
      <c r="AW284" s="90" t="str">
        <f aca="false">IF(AT284="","",ROUND(AT284*(1-Справочники!$B$16),0))</f>
        <v/>
      </c>
      <c r="AX284" s="90" t="str">
        <f aca="false">IF(AT284="","",ROUND(AT284*(1-Справочники!$B$17),0))</f>
        <v/>
      </c>
      <c r="AY284" s="90" t="str">
        <f aca="false">IF(AT284="","",ROUND(AT284*(1-Справочники!$B$18),0))</f>
        <v/>
      </c>
      <c r="AZ284" s="90" t="str">
        <f aca="false">IF(AT284="","",ROUND(AT284*(1-Справочники!$B$19),0))</f>
        <v/>
      </c>
      <c r="BA284" s="81"/>
      <c r="BB284" s="81"/>
      <c r="BC284" s="81"/>
      <c r="BD284" s="81"/>
      <c r="BE284" s="91"/>
      <c r="BF284" s="81" t="s">
        <v>103</v>
      </c>
      <c r="BG284" s="89" t="n">
        <f aca="false" t="array" ref="BG284:BG284">IF(BF284="","",IFERROR(INDEX(Справочники!$B$4:$B$7,MATCH(BF284,Справочники!$A$4:$A$7,0)),""))</f>
        <v>68.5</v>
      </c>
      <c r="BH284" s="90" t="str">
        <f aca="false">IF(N(BN284)&gt;0,ROUND(SUMIF(ЗАКАЗЫ!$F$3:$F$500,$A284,ЗАКАЗЫ!$Y$3:$Y$500)/BN284,0),IF(OR(BE284="",BG284=""),"",ROUND(BE284*BG284*(1+Справочники!$B$10),0)))</f>
        <v/>
      </c>
      <c r="BI284" s="92" t="str">
        <f aca="false">IF(OR(AU284="",BH284="",AU284=0),"",(AU284-BH284)/AU284)</f>
        <v/>
      </c>
      <c r="BJ284" s="81"/>
      <c r="BK284" s="83"/>
      <c r="BL284" s="43" t="str">
        <f aca="false">IFERROR(INDEX(ЗАКАЗЫ!$N$3:$N$500,MATCH($A284,ЗАКАЗЫ!$F$3:$F$500,0)),"")</f>
        <v/>
      </c>
      <c r="BM284" s="8" t="str">
        <f aca="false">IF(BL284="","",IFERROR(VLOOKUP(BL284,'ТН ВЭД'!$A$4:$C$40,3,0),""))</f>
        <v/>
      </c>
      <c r="BN284" s="7" t="str">
        <f aca="false">IF(COUNTIF(ЗАКАЗЫ!$F$3:$F$500,$A284)=0,"",SUMIF(ЗАКАЗЫ!$F$3:$F$500,$A284,ЗАКАЗЫ!$J$3:$J$500))</f>
        <v/>
      </c>
      <c r="BO284" s="7" t="str">
        <f aca="false">IF(BN284="","",SUMIF(ЗАКАЗЫ!$F$3:$F$500,$A284,ЗАКАЗЫ!$AL$3:$AL$500))</f>
        <v/>
      </c>
      <c r="BP284" s="7" t="str">
        <f aca="false">IF(BN284="","",BN284-BO284)</f>
        <v/>
      </c>
      <c r="BQ284" s="55" t="str">
        <f aca="false">IF(BN284="","",IF(BO284&gt;=BN284,"На складе",IF(BO284&gt;0,"Частично","Ждём")))</f>
        <v/>
      </c>
      <c r="BR284" s="43"/>
      <c r="BS284" s="47" t="str">
        <f aca="false">IF(BN284="","",IF(_xlfn.MAXIFS(ЗАКАЗЫ!$AK$3:$AK$500,ЗАКАЗЫ!$F$3:$F$500,$A284)=0,"",_xlfn.MAXIFS(ЗАКАЗЫ!$AK$3:$AK$500,ЗАКАЗЫ!$F$3:$F$500,$A284)))</f>
        <v/>
      </c>
    </row>
    <row r="285" customFormat="false" ht="15.75" hidden="false" customHeight="true" outlineLevel="0" collapsed="false">
      <c r="A285" s="80" t="s">
        <v>2152</v>
      </c>
      <c r="B285" s="81"/>
      <c r="C285" s="81"/>
      <c r="D285" s="81"/>
      <c r="E285" s="83"/>
      <c r="F285" s="81"/>
      <c r="G285" s="83"/>
      <c r="H285" s="83"/>
      <c r="I285" s="84" t="str">
        <f aca="false">IF(E285="","",A285&amp;"_1.jpg")</f>
        <v/>
      </c>
      <c r="J285" s="84" t="str">
        <f aca="false">IF(E285="","",A285&amp;"_2.jpg; "&amp;A285&amp;"_3.jpg")</f>
        <v/>
      </c>
      <c r="K285" s="84" t="str">
        <f aca="false">IF(E285="","",A285&amp;"_schema.jpg")</f>
        <v/>
      </c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 t="s">
        <v>96</v>
      </c>
      <c r="W285" s="81"/>
      <c r="X285" s="81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6" t="str">
        <f aca="false">IF(SUM(Y285:AJ285)=0,"",SUM(Y285:AJ285))</f>
        <v/>
      </c>
      <c r="AL285" s="84" t="str">
        <f aca="false">MID(IF(N(Y285)&gt;0,", "&amp;Y$2,"")&amp;IF(N(Z285)&gt;0,", "&amp;Z$2,"")&amp;IF(N(AA285)&gt;0,", "&amp;AA$2,"")&amp;IF(N(AB285)&gt;0,", "&amp;AB$2,"")&amp;IF(N(AC285)&gt;0,", "&amp;AC$2,"")&amp;IF(N(AD285)&gt;0,", "&amp;AD$2,"")&amp;IF(N(AE285)&gt;0,", "&amp;AE$2,"")&amp;IF(N(AF285)&gt;0,", "&amp;AF$2,"")&amp;IF(N(AG285)&gt;0,", "&amp;AG$2,"")&amp;IF(N(AH285)&gt;0,", "&amp;AH$2,"")&amp;IF(N(AI285)&gt;0,", "&amp;AI$2,"")&amp;IF(N(AJ285)&gt;0,", "&amp;AJ$2,""),3,999)</f>
        <v/>
      </c>
      <c r="AM285" s="87" t="str">
        <f aca="false">IF(E285="","",MID(IF(N(Y285)&gt;0,", "&amp;A285&amp;"-"&amp;Y$2,"")&amp;IF(N(Z285)&gt;0,", "&amp;A285&amp;"-"&amp;Z$2,"")&amp;IF(N(AA285)&gt;0,", "&amp;A285&amp;"-"&amp;AA$2,"")&amp;IF(N(AB285)&gt;0,", "&amp;A285&amp;"-"&amp;AB$2,"")&amp;IF(N(AC285)&gt;0,", "&amp;A285&amp;"-"&amp;AC$2,"")&amp;IF(N(AD285)&gt;0,", "&amp;A285&amp;"-"&amp;AD$2,"")&amp;IF(N(AE285)&gt;0,", "&amp;A285&amp;"-"&amp;AE$2,"")&amp;IF(N(AF285)&gt;0,", "&amp;A285&amp;"-"&amp;AF$2,"")&amp;IF(N(AG285)&gt;0,", "&amp;A285&amp;"-"&amp;AG$2,"")&amp;IF(N(AH285)&gt;0,", "&amp;A285&amp;"-"&amp;AH$2,"")&amp;IF(N(AI285)&gt;0,", "&amp;A285&amp;"-"&amp;AI$2,"")&amp;IF(N(AJ285)&gt;0,", "&amp;A285&amp;"-"&amp;AJ$2,""),3,999))</f>
        <v/>
      </c>
      <c r="AN285" s="81"/>
      <c r="AO285" s="88"/>
      <c r="AP285" s="89" t="str">
        <f aca="false">IF(AO285="","",ROUND(AO285/(1+Справочники!$B$13),2))</f>
        <v/>
      </c>
      <c r="AQ285" s="90" t="str">
        <f aca="false" t="array" ref="AQ285:AQ285">IF(AP285="","",AP285*INDEX(Справочники!$B$4:$B$7,MATCH("RUB",Справочники!$A$4:$A$7,0)))</f>
        <v/>
      </c>
      <c r="AR285" s="90" t="str">
        <f aca="false">IF(AQ285="","",ROUND(AQ285*(1+Справочники!$B$12),0))</f>
        <v/>
      </c>
      <c r="AS285" s="90" t="str">
        <f aca="false">IF(AR285="","",ROUND(AR285*(1-Справочники!$B$11),0))</f>
        <v/>
      </c>
      <c r="AT285" s="88"/>
      <c r="AU285" s="90" t="str">
        <f aca="false">IF(AT285="","",ROUND(AT285/(1+Справочники!$B$12),0))</f>
        <v/>
      </c>
      <c r="AV285" s="90" t="str">
        <f aca="false">IF(AT285="","",ROUND(AT285*(1-Справочники!$B$15),0))</f>
        <v/>
      </c>
      <c r="AW285" s="90" t="str">
        <f aca="false">IF(AT285="","",ROUND(AT285*(1-Справочники!$B$16),0))</f>
        <v/>
      </c>
      <c r="AX285" s="90" t="str">
        <f aca="false">IF(AT285="","",ROUND(AT285*(1-Справочники!$B$17),0))</f>
        <v/>
      </c>
      <c r="AY285" s="90" t="str">
        <f aca="false">IF(AT285="","",ROUND(AT285*(1-Справочники!$B$18),0))</f>
        <v/>
      </c>
      <c r="AZ285" s="90" t="str">
        <f aca="false">IF(AT285="","",ROUND(AT285*(1-Справочники!$B$19),0))</f>
        <v/>
      </c>
      <c r="BA285" s="81"/>
      <c r="BB285" s="81"/>
      <c r="BC285" s="81"/>
      <c r="BD285" s="81"/>
      <c r="BE285" s="91"/>
      <c r="BF285" s="81" t="s">
        <v>103</v>
      </c>
      <c r="BG285" s="89" t="n">
        <f aca="false" t="array" ref="BG285:BG285">IF(BF285="","",IFERROR(INDEX(Справочники!$B$4:$B$7,MATCH(BF285,Справочники!$A$4:$A$7,0)),""))</f>
        <v>68.5</v>
      </c>
      <c r="BH285" s="90" t="str">
        <f aca="false">IF(N(BN285)&gt;0,ROUND(SUMIF(ЗАКАЗЫ!$F$3:$F$500,$A285,ЗАКАЗЫ!$Y$3:$Y$500)/BN285,0),IF(OR(BE285="",BG285=""),"",ROUND(BE285*BG285*(1+Справочники!$B$10),0)))</f>
        <v/>
      </c>
      <c r="BI285" s="92" t="str">
        <f aca="false">IF(OR(AU285="",BH285="",AU285=0),"",(AU285-BH285)/AU285)</f>
        <v/>
      </c>
      <c r="BJ285" s="81"/>
      <c r="BK285" s="83"/>
      <c r="BL285" s="43" t="str">
        <f aca="false">IFERROR(INDEX(ЗАКАЗЫ!$N$3:$N$500,MATCH($A285,ЗАКАЗЫ!$F$3:$F$500,0)),"")</f>
        <v/>
      </c>
      <c r="BM285" s="8" t="str">
        <f aca="false">IF(BL285="","",IFERROR(VLOOKUP(BL285,'ТН ВЭД'!$A$4:$C$40,3,0),""))</f>
        <v/>
      </c>
      <c r="BN285" s="7" t="str">
        <f aca="false">IF(COUNTIF(ЗАКАЗЫ!$F$3:$F$500,$A285)=0,"",SUMIF(ЗАКАЗЫ!$F$3:$F$500,$A285,ЗАКАЗЫ!$J$3:$J$500))</f>
        <v/>
      </c>
      <c r="BO285" s="7" t="str">
        <f aca="false">IF(BN285="","",SUMIF(ЗАКАЗЫ!$F$3:$F$500,$A285,ЗАКАЗЫ!$AL$3:$AL$500))</f>
        <v/>
      </c>
      <c r="BP285" s="7" t="str">
        <f aca="false">IF(BN285="","",BN285-BO285)</f>
        <v/>
      </c>
      <c r="BQ285" s="55" t="str">
        <f aca="false">IF(BN285="","",IF(BO285&gt;=BN285,"На складе",IF(BO285&gt;0,"Частично","Ждём")))</f>
        <v/>
      </c>
      <c r="BR285" s="43"/>
      <c r="BS285" s="47" t="str">
        <f aca="false">IF(BN285="","",IF(_xlfn.MAXIFS(ЗАКАЗЫ!$AK$3:$AK$500,ЗАКАЗЫ!$F$3:$F$500,$A285)=0,"",_xlfn.MAXIFS(ЗАКАЗЫ!$AK$3:$AK$500,ЗАКАЗЫ!$F$3:$F$500,$A285)))</f>
        <v/>
      </c>
    </row>
    <row r="286" customFormat="false" ht="15.75" hidden="false" customHeight="true" outlineLevel="0" collapsed="false">
      <c r="A286" s="80" t="s">
        <v>2153</v>
      </c>
      <c r="B286" s="81"/>
      <c r="C286" s="81"/>
      <c r="D286" s="81"/>
      <c r="E286" s="83"/>
      <c r="F286" s="81"/>
      <c r="G286" s="83"/>
      <c r="H286" s="83"/>
      <c r="I286" s="84" t="str">
        <f aca="false">IF(E286="","",A286&amp;"_1.jpg")</f>
        <v/>
      </c>
      <c r="J286" s="84" t="str">
        <f aca="false">IF(E286="","",A286&amp;"_2.jpg; "&amp;A286&amp;"_3.jpg")</f>
        <v/>
      </c>
      <c r="K286" s="84" t="str">
        <f aca="false">IF(E286="","",A286&amp;"_schema.jpg")</f>
        <v/>
      </c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 t="s">
        <v>96</v>
      </c>
      <c r="W286" s="81"/>
      <c r="X286" s="81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6" t="str">
        <f aca="false">IF(SUM(Y286:AJ286)=0,"",SUM(Y286:AJ286))</f>
        <v/>
      </c>
      <c r="AL286" s="84" t="str">
        <f aca="false">MID(IF(N(Y286)&gt;0,", "&amp;Y$2,"")&amp;IF(N(Z286)&gt;0,", "&amp;Z$2,"")&amp;IF(N(AA286)&gt;0,", "&amp;AA$2,"")&amp;IF(N(AB286)&gt;0,", "&amp;AB$2,"")&amp;IF(N(AC286)&gt;0,", "&amp;AC$2,"")&amp;IF(N(AD286)&gt;0,", "&amp;AD$2,"")&amp;IF(N(AE286)&gt;0,", "&amp;AE$2,"")&amp;IF(N(AF286)&gt;0,", "&amp;AF$2,"")&amp;IF(N(AG286)&gt;0,", "&amp;AG$2,"")&amp;IF(N(AH286)&gt;0,", "&amp;AH$2,"")&amp;IF(N(AI286)&gt;0,", "&amp;AI$2,"")&amp;IF(N(AJ286)&gt;0,", "&amp;AJ$2,""),3,999)</f>
        <v/>
      </c>
      <c r="AM286" s="87" t="str">
        <f aca="false">IF(E286="","",MID(IF(N(Y286)&gt;0,", "&amp;A286&amp;"-"&amp;Y$2,"")&amp;IF(N(Z286)&gt;0,", "&amp;A286&amp;"-"&amp;Z$2,"")&amp;IF(N(AA286)&gt;0,", "&amp;A286&amp;"-"&amp;AA$2,"")&amp;IF(N(AB286)&gt;0,", "&amp;A286&amp;"-"&amp;AB$2,"")&amp;IF(N(AC286)&gt;0,", "&amp;A286&amp;"-"&amp;AC$2,"")&amp;IF(N(AD286)&gt;0,", "&amp;A286&amp;"-"&amp;AD$2,"")&amp;IF(N(AE286)&gt;0,", "&amp;A286&amp;"-"&amp;AE$2,"")&amp;IF(N(AF286)&gt;0,", "&amp;A286&amp;"-"&amp;AF$2,"")&amp;IF(N(AG286)&gt;0,", "&amp;A286&amp;"-"&amp;AG$2,"")&amp;IF(N(AH286)&gt;0,", "&amp;A286&amp;"-"&amp;AH$2,"")&amp;IF(N(AI286)&gt;0,", "&amp;A286&amp;"-"&amp;AI$2,"")&amp;IF(N(AJ286)&gt;0,", "&amp;A286&amp;"-"&amp;AJ$2,""),3,999))</f>
        <v/>
      </c>
      <c r="AN286" s="81"/>
      <c r="AO286" s="88"/>
      <c r="AP286" s="89" t="str">
        <f aca="false">IF(AO286="","",ROUND(AO286/(1+Справочники!$B$13),2))</f>
        <v/>
      </c>
      <c r="AQ286" s="90" t="str">
        <f aca="false" t="array" ref="AQ286:AQ286">IF(AP286="","",AP286*INDEX(Справочники!$B$4:$B$7,MATCH("RUB",Справочники!$A$4:$A$7,0)))</f>
        <v/>
      </c>
      <c r="AR286" s="90" t="str">
        <f aca="false">IF(AQ286="","",ROUND(AQ286*(1+Справочники!$B$12),0))</f>
        <v/>
      </c>
      <c r="AS286" s="90" t="str">
        <f aca="false">IF(AR286="","",ROUND(AR286*(1-Справочники!$B$11),0))</f>
        <v/>
      </c>
      <c r="AT286" s="88"/>
      <c r="AU286" s="90" t="str">
        <f aca="false">IF(AT286="","",ROUND(AT286/(1+Справочники!$B$12),0))</f>
        <v/>
      </c>
      <c r="AV286" s="90" t="str">
        <f aca="false">IF(AT286="","",ROUND(AT286*(1-Справочники!$B$15),0))</f>
        <v/>
      </c>
      <c r="AW286" s="90" t="str">
        <f aca="false">IF(AT286="","",ROUND(AT286*(1-Справочники!$B$16),0))</f>
        <v/>
      </c>
      <c r="AX286" s="90" t="str">
        <f aca="false">IF(AT286="","",ROUND(AT286*(1-Справочники!$B$17),0))</f>
        <v/>
      </c>
      <c r="AY286" s="90" t="str">
        <f aca="false">IF(AT286="","",ROUND(AT286*(1-Справочники!$B$18),0))</f>
        <v/>
      </c>
      <c r="AZ286" s="90" t="str">
        <f aca="false">IF(AT286="","",ROUND(AT286*(1-Справочники!$B$19),0))</f>
        <v/>
      </c>
      <c r="BA286" s="81"/>
      <c r="BB286" s="81"/>
      <c r="BC286" s="81"/>
      <c r="BD286" s="81"/>
      <c r="BE286" s="91"/>
      <c r="BF286" s="81" t="s">
        <v>103</v>
      </c>
      <c r="BG286" s="89" t="n">
        <f aca="false" t="array" ref="BG286:BG286">IF(BF286="","",IFERROR(INDEX(Справочники!$B$4:$B$7,MATCH(BF286,Справочники!$A$4:$A$7,0)),""))</f>
        <v>68.5</v>
      </c>
      <c r="BH286" s="90" t="str">
        <f aca="false">IF(N(BN286)&gt;0,ROUND(SUMIF(ЗАКАЗЫ!$F$3:$F$500,$A286,ЗАКАЗЫ!$Y$3:$Y$500)/BN286,0),IF(OR(BE286="",BG286=""),"",ROUND(BE286*BG286*(1+Справочники!$B$10),0)))</f>
        <v/>
      </c>
      <c r="BI286" s="92" t="str">
        <f aca="false">IF(OR(AU286="",BH286="",AU286=0),"",(AU286-BH286)/AU286)</f>
        <v/>
      </c>
      <c r="BJ286" s="81"/>
      <c r="BK286" s="83"/>
      <c r="BL286" s="43" t="str">
        <f aca="false">IFERROR(INDEX(ЗАКАЗЫ!$N$3:$N$500,MATCH($A286,ЗАКАЗЫ!$F$3:$F$500,0)),"")</f>
        <v/>
      </c>
      <c r="BM286" s="8" t="str">
        <f aca="false">IF(BL286="","",IFERROR(VLOOKUP(BL286,'ТН ВЭД'!$A$4:$C$40,3,0),""))</f>
        <v/>
      </c>
      <c r="BN286" s="7" t="str">
        <f aca="false">IF(COUNTIF(ЗАКАЗЫ!$F$3:$F$500,$A286)=0,"",SUMIF(ЗАКАЗЫ!$F$3:$F$500,$A286,ЗАКАЗЫ!$J$3:$J$500))</f>
        <v/>
      </c>
      <c r="BO286" s="7" t="str">
        <f aca="false">IF(BN286="","",SUMIF(ЗАКАЗЫ!$F$3:$F$500,$A286,ЗАКАЗЫ!$AL$3:$AL$500))</f>
        <v/>
      </c>
      <c r="BP286" s="7" t="str">
        <f aca="false">IF(BN286="","",BN286-BO286)</f>
        <v/>
      </c>
      <c r="BQ286" s="55" t="str">
        <f aca="false">IF(BN286="","",IF(BO286&gt;=BN286,"На складе",IF(BO286&gt;0,"Частично","Ждём")))</f>
        <v/>
      </c>
      <c r="BR286" s="43"/>
      <c r="BS286" s="47" t="str">
        <f aca="false">IF(BN286="","",IF(_xlfn.MAXIFS(ЗАКАЗЫ!$AK$3:$AK$500,ЗАКАЗЫ!$F$3:$F$500,$A286)=0,"",_xlfn.MAXIFS(ЗАКАЗЫ!$AK$3:$AK$500,ЗАКАЗЫ!$F$3:$F$500,$A286)))</f>
        <v/>
      </c>
    </row>
    <row r="287" customFormat="false" ht="15.75" hidden="false" customHeight="true" outlineLevel="0" collapsed="false">
      <c r="A287" s="80" t="s">
        <v>2154</v>
      </c>
      <c r="B287" s="81"/>
      <c r="C287" s="81"/>
      <c r="D287" s="81"/>
      <c r="E287" s="83"/>
      <c r="F287" s="81"/>
      <c r="G287" s="83"/>
      <c r="H287" s="83"/>
      <c r="I287" s="84" t="str">
        <f aca="false">IF(E287="","",A287&amp;"_1.jpg")</f>
        <v/>
      </c>
      <c r="J287" s="84" t="str">
        <f aca="false">IF(E287="","",A287&amp;"_2.jpg; "&amp;A287&amp;"_3.jpg")</f>
        <v/>
      </c>
      <c r="K287" s="84" t="str">
        <f aca="false">IF(E287="","",A287&amp;"_schema.jpg")</f>
        <v/>
      </c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 t="s">
        <v>96</v>
      </c>
      <c r="W287" s="81"/>
      <c r="X287" s="81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6" t="str">
        <f aca="false">IF(SUM(Y287:AJ287)=0,"",SUM(Y287:AJ287))</f>
        <v/>
      </c>
      <c r="AL287" s="84" t="str">
        <f aca="false">MID(IF(N(Y287)&gt;0,", "&amp;Y$2,"")&amp;IF(N(Z287)&gt;0,", "&amp;Z$2,"")&amp;IF(N(AA287)&gt;0,", "&amp;AA$2,"")&amp;IF(N(AB287)&gt;0,", "&amp;AB$2,"")&amp;IF(N(AC287)&gt;0,", "&amp;AC$2,"")&amp;IF(N(AD287)&gt;0,", "&amp;AD$2,"")&amp;IF(N(AE287)&gt;0,", "&amp;AE$2,"")&amp;IF(N(AF287)&gt;0,", "&amp;AF$2,"")&amp;IF(N(AG287)&gt;0,", "&amp;AG$2,"")&amp;IF(N(AH287)&gt;0,", "&amp;AH$2,"")&amp;IF(N(AI287)&gt;0,", "&amp;AI$2,"")&amp;IF(N(AJ287)&gt;0,", "&amp;AJ$2,""),3,999)</f>
        <v/>
      </c>
      <c r="AM287" s="87" t="str">
        <f aca="false">IF(E287="","",MID(IF(N(Y287)&gt;0,", "&amp;A287&amp;"-"&amp;Y$2,"")&amp;IF(N(Z287)&gt;0,", "&amp;A287&amp;"-"&amp;Z$2,"")&amp;IF(N(AA287)&gt;0,", "&amp;A287&amp;"-"&amp;AA$2,"")&amp;IF(N(AB287)&gt;0,", "&amp;A287&amp;"-"&amp;AB$2,"")&amp;IF(N(AC287)&gt;0,", "&amp;A287&amp;"-"&amp;AC$2,"")&amp;IF(N(AD287)&gt;0,", "&amp;A287&amp;"-"&amp;AD$2,"")&amp;IF(N(AE287)&gt;0,", "&amp;A287&amp;"-"&amp;AE$2,"")&amp;IF(N(AF287)&gt;0,", "&amp;A287&amp;"-"&amp;AF$2,"")&amp;IF(N(AG287)&gt;0,", "&amp;A287&amp;"-"&amp;AG$2,"")&amp;IF(N(AH287)&gt;0,", "&amp;A287&amp;"-"&amp;AH$2,"")&amp;IF(N(AI287)&gt;0,", "&amp;A287&amp;"-"&amp;AI$2,"")&amp;IF(N(AJ287)&gt;0,", "&amp;A287&amp;"-"&amp;AJ$2,""),3,999))</f>
        <v/>
      </c>
      <c r="AN287" s="81"/>
      <c r="AO287" s="88"/>
      <c r="AP287" s="89" t="str">
        <f aca="false">IF(AO287="","",ROUND(AO287/(1+Справочники!$B$13),2))</f>
        <v/>
      </c>
      <c r="AQ287" s="90" t="str">
        <f aca="false" t="array" ref="AQ287:AQ287">IF(AP287="","",AP287*INDEX(Справочники!$B$4:$B$7,MATCH("RUB",Справочники!$A$4:$A$7,0)))</f>
        <v/>
      </c>
      <c r="AR287" s="90" t="str">
        <f aca="false">IF(AQ287="","",ROUND(AQ287*(1+Справочники!$B$12),0))</f>
        <v/>
      </c>
      <c r="AS287" s="90" t="str">
        <f aca="false">IF(AR287="","",ROUND(AR287*(1-Справочники!$B$11),0))</f>
        <v/>
      </c>
      <c r="AT287" s="88"/>
      <c r="AU287" s="90" t="str">
        <f aca="false">IF(AT287="","",ROUND(AT287/(1+Справочники!$B$12),0))</f>
        <v/>
      </c>
      <c r="AV287" s="90" t="str">
        <f aca="false">IF(AT287="","",ROUND(AT287*(1-Справочники!$B$15),0))</f>
        <v/>
      </c>
      <c r="AW287" s="90" t="str">
        <f aca="false">IF(AT287="","",ROUND(AT287*(1-Справочники!$B$16),0))</f>
        <v/>
      </c>
      <c r="AX287" s="90" t="str">
        <f aca="false">IF(AT287="","",ROUND(AT287*(1-Справочники!$B$17),0))</f>
        <v/>
      </c>
      <c r="AY287" s="90" t="str">
        <f aca="false">IF(AT287="","",ROUND(AT287*(1-Справочники!$B$18),0))</f>
        <v/>
      </c>
      <c r="AZ287" s="90" t="str">
        <f aca="false">IF(AT287="","",ROUND(AT287*(1-Справочники!$B$19),0))</f>
        <v/>
      </c>
      <c r="BA287" s="81"/>
      <c r="BB287" s="81"/>
      <c r="BC287" s="81"/>
      <c r="BD287" s="81"/>
      <c r="BE287" s="91"/>
      <c r="BF287" s="81" t="s">
        <v>103</v>
      </c>
      <c r="BG287" s="89" t="n">
        <f aca="false" t="array" ref="BG287:BG287">IF(BF287="","",IFERROR(INDEX(Справочники!$B$4:$B$7,MATCH(BF287,Справочники!$A$4:$A$7,0)),""))</f>
        <v>68.5</v>
      </c>
      <c r="BH287" s="90" t="str">
        <f aca="false">IF(N(BN287)&gt;0,ROUND(SUMIF(ЗАКАЗЫ!$F$3:$F$500,$A287,ЗАКАЗЫ!$Y$3:$Y$500)/BN287,0),IF(OR(BE287="",BG287=""),"",ROUND(BE287*BG287*(1+Справочники!$B$10),0)))</f>
        <v/>
      </c>
      <c r="BI287" s="92" t="str">
        <f aca="false">IF(OR(AU287="",BH287="",AU287=0),"",(AU287-BH287)/AU287)</f>
        <v/>
      </c>
      <c r="BJ287" s="81"/>
      <c r="BK287" s="83"/>
      <c r="BL287" s="43" t="str">
        <f aca="false">IFERROR(INDEX(ЗАКАЗЫ!$N$3:$N$500,MATCH($A287,ЗАКАЗЫ!$F$3:$F$500,0)),"")</f>
        <v/>
      </c>
      <c r="BM287" s="8" t="str">
        <f aca="false">IF(BL287="","",IFERROR(VLOOKUP(BL287,'ТН ВЭД'!$A$4:$C$40,3,0),""))</f>
        <v/>
      </c>
      <c r="BN287" s="7" t="str">
        <f aca="false">IF(COUNTIF(ЗАКАЗЫ!$F$3:$F$500,$A287)=0,"",SUMIF(ЗАКАЗЫ!$F$3:$F$500,$A287,ЗАКАЗЫ!$J$3:$J$500))</f>
        <v/>
      </c>
      <c r="BO287" s="7" t="str">
        <f aca="false">IF(BN287="","",SUMIF(ЗАКАЗЫ!$F$3:$F$500,$A287,ЗАКАЗЫ!$AL$3:$AL$500))</f>
        <v/>
      </c>
      <c r="BP287" s="7" t="str">
        <f aca="false">IF(BN287="","",BN287-BO287)</f>
        <v/>
      </c>
      <c r="BQ287" s="55" t="str">
        <f aca="false">IF(BN287="","",IF(BO287&gt;=BN287,"На складе",IF(BO287&gt;0,"Частично","Ждём")))</f>
        <v/>
      </c>
      <c r="BR287" s="43"/>
      <c r="BS287" s="47" t="str">
        <f aca="false">IF(BN287="","",IF(_xlfn.MAXIFS(ЗАКАЗЫ!$AK$3:$AK$500,ЗАКАЗЫ!$F$3:$F$500,$A287)=0,"",_xlfn.MAXIFS(ЗАКАЗЫ!$AK$3:$AK$500,ЗАКАЗЫ!$F$3:$F$500,$A287)))</f>
        <v/>
      </c>
    </row>
    <row r="288" customFormat="false" ht="15.75" hidden="false" customHeight="true" outlineLevel="0" collapsed="false">
      <c r="A288" s="80" t="s">
        <v>2155</v>
      </c>
      <c r="B288" s="81"/>
      <c r="C288" s="81"/>
      <c r="D288" s="81"/>
      <c r="E288" s="83"/>
      <c r="F288" s="81"/>
      <c r="G288" s="83"/>
      <c r="H288" s="83"/>
      <c r="I288" s="84" t="str">
        <f aca="false">IF(E288="","",A288&amp;"_1.jpg")</f>
        <v/>
      </c>
      <c r="J288" s="84" t="str">
        <f aca="false">IF(E288="","",A288&amp;"_2.jpg; "&amp;A288&amp;"_3.jpg")</f>
        <v/>
      </c>
      <c r="K288" s="84" t="str">
        <f aca="false">IF(E288="","",A288&amp;"_schema.jpg")</f>
        <v/>
      </c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 t="s">
        <v>96</v>
      </c>
      <c r="W288" s="81"/>
      <c r="X288" s="81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6" t="str">
        <f aca="false">IF(SUM(Y288:AJ288)=0,"",SUM(Y288:AJ288))</f>
        <v/>
      </c>
      <c r="AL288" s="84" t="str">
        <f aca="false">MID(IF(N(Y288)&gt;0,", "&amp;Y$2,"")&amp;IF(N(Z288)&gt;0,", "&amp;Z$2,"")&amp;IF(N(AA288)&gt;0,", "&amp;AA$2,"")&amp;IF(N(AB288)&gt;0,", "&amp;AB$2,"")&amp;IF(N(AC288)&gt;0,", "&amp;AC$2,"")&amp;IF(N(AD288)&gt;0,", "&amp;AD$2,"")&amp;IF(N(AE288)&gt;0,", "&amp;AE$2,"")&amp;IF(N(AF288)&gt;0,", "&amp;AF$2,"")&amp;IF(N(AG288)&gt;0,", "&amp;AG$2,"")&amp;IF(N(AH288)&gt;0,", "&amp;AH$2,"")&amp;IF(N(AI288)&gt;0,", "&amp;AI$2,"")&amp;IF(N(AJ288)&gt;0,", "&amp;AJ$2,""),3,999)</f>
        <v/>
      </c>
      <c r="AM288" s="87" t="str">
        <f aca="false">IF(E288="","",MID(IF(N(Y288)&gt;0,", "&amp;A288&amp;"-"&amp;Y$2,"")&amp;IF(N(Z288)&gt;0,", "&amp;A288&amp;"-"&amp;Z$2,"")&amp;IF(N(AA288)&gt;0,", "&amp;A288&amp;"-"&amp;AA$2,"")&amp;IF(N(AB288)&gt;0,", "&amp;A288&amp;"-"&amp;AB$2,"")&amp;IF(N(AC288)&gt;0,", "&amp;A288&amp;"-"&amp;AC$2,"")&amp;IF(N(AD288)&gt;0,", "&amp;A288&amp;"-"&amp;AD$2,"")&amp;IF(N(AE288)&gt;0,", "&amp;A288&amp;"-"&amp;AE$2,"")&amp;IF(N(AF288)&gt;0,", "&amp;A288&amp;"-"&amp;AF$2,"")&amp;IF(N(AG288)&gt;0,", "&amp;A288&amp;"-"&amp;AG$2,"")&amp;IF(N(AH288)&gt;0,", "&amp;A288&amp;"-"&amp;AH$2,"")&amp;IF(N(AI288)&gt;0,", "&amp;A288&amp;"-"&amp;AI$2,"")&amp;IF(N(AJ288)&gt;0,", "&amp;A288&amp;"-"&amp;AJ$2,""),3,999))</f>
        <v/>
      </c>
      <c r="AN288" s="81"/>
      <c r="AO288" s="88"/>
      <c r="AP288" s="89" t="str">
        <f aca="false">IF(AO288="","",ROUND(AO288/(1+Справочники!$B$13),2))</f>
        <v/>
      </c>
      <c r="AQ288" s="90" t="str">
        <f aca="false" t="array" ref="AQ288:AQ288">IF(AP288="","",AP288*INDEX(Справочники!$B$4:$B$7,MATCH("RUB",Справочники!$A$4:$A$7,0)))</f>
        <v/>
      </c>
      <c r="AR288" s="90" t="str">
        <f aca="false">IF(AQ288="","",ROUND(AQ288*(1+Справочники!$B$12),0))</f>
        <v/>
      </c>
      <c r="AS288" s="90" t="str">
        <f aca="false">IF(AR288="","",ROUND(AR288*(1-Справочники!$B$11),0))</f>
        <v/>
      </c>
      <c r="AT288" s="88"/>
      <c r="AU288" s="90" t="str">
        <f aca="false">IF(AT288="","",ROUND(AT288/(1+Справочники!$B$12),0))</f>
        <v/>
      </c>
      <c r="AV288" s="90" t="str">
        <f aca="false">IF(AT288="","",ROUND(AT288*(1-Справочники!$B$15),0))</f>
        <v/>
      </c>
      <c r="AW288" s="90" t="str">
        <f aca="false">IF(AT288="","",ROUND(AT288*(1-Справочники!$B$16),0))</f>
        <v/>
      </c>
      <c r="AX288" s="90" t="str">
        <f aca="false">IF(AT288="","",ROUND(AT288*(1-Справочники!$B$17),0))</f>
        <v/>
      </c>
      <c r="AY288" s="90" t="str">
        <f aca="false">IF(AT288="","",ROUND(AT288*(1-Справочники!$B$18),0))</f>
        <v/>
      </c>
      <c r="AZ288" s="90" t="str">
        <f aca="false">IF(AT288="","",ROUND(AT288*(1-Справочники!$B$19),0))</f>
        <v/>
      </c>
      <c r="BA288" s="81"/>
      <c r="BB288" s="81"/>
      <c r="BC288" s="81"/>
      <c r="BD288" s="81"/>
      <c r="BE288" s="91"/>
      <c r="BF288" s="81" t="s">
        <v>103</v>
      </c>
      <c r="BG288" s="89" t="n">
        <f aca="false" t="array" ref="BG288:BG288">IF(BF288="","",IFERROR(INDEX(Справочники!$B$4:$B$7,MATCH(BF288,Справочники!$A$4:$A$7,0)),""))</f>
        <v>68.5</v>
      </c>
      <c r="BH288" s="90" t="str">
        <f aca="false">IF(N(BN288)&gt;0,ROUND(SUMIF(ЗАКАЗЫ!$F$3:$F$500,$A288,ЗАКАЗЫ!$Y$3:$Y$500)/BN288,0),IF(OR(BE288="",BG288=""),"",ROUND(BE288*BG288*(1+Справочники!$B$10),0)))</f>
        <v/>
      </c>
      <c r="BI288" s="92" t="str">
        <f aca="false">IF(OR(AU288="",BH288="",AU288=0),"",(AU288-BH288)/AU288)</f>
        <v/>
      </c>
      <c r="BJ288" s="81"/>
      <c r="BK288" s="83"/>
      <c r="BL288" s="43" t="str">
        <f aca="false">IFERROR(INDEX(ЗАКАЗЫ!$N$3:$N$500,MATCH($A288,ЗАКАЗЫ!$F$3:$F$500,0)),"")</f>
        <v/>
      </c>
      <c r="BM288" s="8" t="str">
        <f aca="false">IF(BL288="","",IFERROR(VLOOKUP(BL288,'ТН ВЭД'!$A$4:$C$40,3,0),""))</f>
        <v/>
      </c>
      <c r="BN288" s="7" t="str">
        <f aca="false">IF(COUNTIF(ЗАКАЗЫ!$F$3:$F$500,$A288)=0,"",SUMIF(ЗАКАЗЫ!$F$3:$F$500,$A288,ЗАКАЗЫ!$J$3:$J$500))</f>
        <v/>
      </c>
      <c r="BO288" s="7" t="str">
        <f aca="false">IF(BN288="","",SUMIF(ЗАКАЗЫ!$F$3:$F$500,$A288,ЗАКАЗЫ!$AL$3:$AL$500))</f>
        <v/>
      </c>
      <c r="BP288" s="7" t="str">
        <f aca="false">IF(BN288="","",BN288-BO288)</f>
        <v/>
      </c>
      <c r="BQ288" s="55" t="str">
        <f aca="false">IF(BN288="","",IF(BO288&gt;=BN288,"На складе",IF(BO288&gt;0,"Частично","Ждём")))</f>
        <v/>
      </c>
      <c r="BR288" s="43"/>
      <c r="BS288" s="47" t="str">
        <f aca="false">IF(BN288="","",IF(_xlfn.MAXIFS(ЗАКАЗЫ!$AK$3:$AK$500,ЗАКАЗЫ!$F$3:$F$500,$A288)=0,"",_xlfn.MAXIFS(ЗАКАЗЫ!$AK$3:$AK$500,ЗАКАЗЫ!$F$3:$F$500,$A288)))</f>
        <v/>
      </c>
    </row>
    <row r="289" customFormat="false" ht="15.75" hidden="false" customHeight="true" outlineLevel="0" collapsed="false">
      <c r="A289" s="80" t="s">
        <v>2156</v>
      </c>
      <c r="B289" s="81"/>
      <c r="C289" s="81"/>
      <c r="D289" s="81"/>
      <c r="E289" s="83"/>
      <c r="F289" s="81"/>
      <c r="G289" s="83"/>
      <c r="H289" s="83"/>
      <c r="I289" s="84" t="str">
        <f aca="false">IF(E289="","",A289&amp;"_1.jpg")</f>
        <v/>
      </c>
      <c r="J289" s="84" t="str">
        <f aca="false">IF(E289="","",A289&amp;"_2.jpg; "&amp;A289&amp;"_3.jpg")</f>
        <v/>
      </c>
      <c r="K289" s="84" t="str">
        <f aca="false">IF(E289="","",A289&amp;"_schema.jpg")</f>
        <v/>
      </c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 t="s">
        <v>96</v>
      </c>
      <c r="W289" s="81"/>
      <c r="X289" s="81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6" t="str">
        <f aca="false">IF(SUM(Y289:AJ289)=0,"",SUM(Y289:AJ289))</f>
        <v/>
      </c>
      <c r="AL289" s="84" t="str">
        <f aca="false">MID(IF(N(Y289)&gt;0,", "&amp;Y$2,"")&amp;IF(N(Z289)&gt;0,", "&amp;Z$2,"")&amp;IF(N(AA289)&gt;0,", "&amp;AA$2,"")&amp;IF(N(AB289)&gt;0,", "&amp;AB$2,"")&amp;IF(N(AC289)&gt;0,", "&amp;AC$2,"")&amp;IF(N(AD289)&gt;0,", "&amp;AD$2,"")&amp;IF(N(AE289)&gt;0,", "&amp;AE$2,"")&amp;IF(N(AF289)&gt;0,", "&amp;AF$2,"")&amp;IF(N(AG289)&gt;0,", "&amp;AG$2,"")&amp;IF(N(AH289)&gt;0,", "&amp;AH$2,"")&amp;IF(N(AI289)&gt;0,", "&amp;AI$2,"")&amp;IF(N(AJ289)&gt;0,", "&amp;AJ$2,""),3,999)</f>
        <v/>
      </c>
      <c r="AM289" s="87" t="str">
        <f aca="false">IF(E289="","",MID(IF(N(Y289)&gt;0,", "&amp;A289&amp;"-"&amp;Y$2,"")&amp;IF(N(Z289)&gt;0,", "&amp;A289&amp;"-"&amp;Z$2,"")&amp;IF(N(AA289)&gt;0,", "&amp;A289&amp;"-"&amp;AA$2,"")&amp;IF(N(AB289)&gt;0,", "&amp;A289&amp;"-"&amp;AB$2,"")&amp;IF(N(AC289)&gt;0,", "&amp;A289&amp;"-"&amp;AC$2,"")&amp;IF(N(AD289)&gt;0,", "&amp;A289&amp;"-"&amp;AD$2,"")&amp;IF(N(AE289)&gt;0,", "&amp;A289&amp;"-"&amp;AE$2,"")&amp;IF(N(AF289)&gt;0,", "&amp;A289&amp;"-"&amp;AF$2,"")&amp;IF(N(AG289)&gt;0,", "&amp;A289&amp;"-"&amp;AG$2,"")&amp;IF(N(AH289)&gt;0,", "&amp;A289&amp;"-"&amp;AH$2,"")&amp;IF(N(AI289)&gt;0,", "&amp;A289&amp;"-"&amp;AI$2,"")&amp;IF(N(AJ289)&gt;0,", "&amp;A289&amp;"-"&amp;AJ$2,""),3,999))</f>
        <v/>
      </c>
      <c r="AN289" s="81"/>
      <c r="AO289" s="88"/>
      <c r="AP289" s="89" t="str">
        <f aca="false">IF(AO289="","",ROUND(AO289/(1+Справочники!$B$13),2))</f>
        <v/>
      </c>
      <c r="AQ289" s="90" t="str">
        <f aca="false" t="array" ref="AQ289:AQ289">IF(AP289="","",AP289*INDEX(Справочники!$B$4:$B$7,MATCH("RUB",Справочники!$A$4:$A$7,0)))</f>
        <v/>
      </c>
      <c r="AR289" s="90" t="str">
        <f aca="false">IF(AQ289="","",ROUND(AQ289*(1+Справочники!$B$12),0))</f>
        <v/>
      </c>
      <c r="AS289" s="90" t="str">
        <f aca="false">IF(AR289="","",ROUND(AR289*(1-Справочники!$B$11),0))</f>
        <v/>
      </c>
      <c r="AT289" s="88"/>
      <c r="AU289" s="90" t="str">
        <f aca="false">IF(AT289="","",ROUND(AT289/(1+Справочники!$B$12),0))</f>
        <v/>
      </c>
      <c r="AV289" s="90" t="str">
        <f aca="false">IF(AT289="","",ROUND(AT289*(1-Справочники!$B$15),0))</f>
        <v/>
      </c>
      <c r="AW289" s="90" t="str">
        <f aca="false">IF(AT289="","",ROUND(AT289*(1-Справочники!$B$16),0))</f>
        <v/>
      </c>
      <c r="AX289" s="90" t="str">
        <f aca="false">IF(AT289="","",ROUND(AT289*(1-Справочники!$B$17),0))</f>
        <v/>
      </c>
      <c r="AY289" s="90" t="str">
        <f aca="false">IF(AT289="","",ROUND(AT289*(1-Справочники!$B$18),0))</f>
        <v/>
      </c>
      <c r="AZ289" s="90" t="str">
        <f aca="false">IF(AT289="","",ROUND(AT289*(1-Справочники!$B$19),0))</f>
        <v/>
      </c>
      <c r="BA289" s="81"/>
      <c r="BB289" s="81"/>
      <c r="BC289" s="81"/>
      <c r="BD289" s="81"/>
      <c r="BE289" s="91"/>
      <c r="BF289" s="81" t="s">
        <v>103</v>
      </c>
      <c r="BG289" s="89" t="n">
        <f aca="false" t="array" ref="BG289:BG289">IF(BF289="","",IFERROR(INDEX(Справочники!$B$4:$B$7,MATCH(BF289,Справочники!$A$4:$A$7,0)),""))</f>
        <v>68.5</v>
      </c>
      <c r="BH289" s="90" t="str">
        <f aca="false">IF(N(BN289)&gt;0,ROUND(SUMIF(ЗАКАЗЫ!$F$3:$F$500,$A289,ЗАКАЗЫ!$Y$3:$Y$500)/BN289,0),IF(OR(BE289="",BG289=""),"",ROUND(BE289*BG289*(1+Справочники!$B$10),0)))</f>
        <v/>
      </c>
      <c r="BI289" s="92" t="str">
        <f aca="false">IF(OR(AU289="",BH289="",AU289=0),"",(AU289-BH289)/AU289)</f>
        <v/>
      </c>
      <c r="BJ289" s="81"/>
      <c r="BK289" s="83"/>
      <c r="BL289" s="43" t="str">
        <f aca="false">IFERROR(INDEX(ЗАКАЗЫ!$N$3:$N$500,MATCH($A289,ЗАКАЗЫ!$F$3:$F$500,0)),"")</f>
        <v/>
      </c>
      <c r="BM289" s="8" t="str">
        <f aca="false">IF(BL289="","",IFERROR(VLOOKUP(BL289,'ТН ВЭД'!$A$4:$C$40,3,0),""))</f>
        <v/>
      </c>
      <c r="BN289" s="7" t="str">
        <f aca="false">IF(COUNTIF(ЗАКАЗЫ!$F$3:$F$500,$A289)=0,"",SUMIF(ЗАКАЗЫ!$F$3:$F$500,$A289,ЗАКАЗЫ!$J$3:$J$500))</f>
        <v/>
      </c>
      <c r="BO289" s="7" t="str">
        <f aca="false">IF(BN289="","",SUMIF(ЗАКАЗЫ!$F$3:$F$500,$A289,ЗАКАЗЫ!$AL$3:$AL$500))</f>
        <v/>
      </c>
      <c r="BP289" s="7" t="str">
        <f aca="false">IF(BN289="","",BN289-BO289)</f>
        <v/>
      </c>
      <c r="BQ289" s="55" t="str">
        <f aca="false">IF(BN289="","",IF(BO289&gt;=BN289,"На складе",IF(BO289&gt;0,"Частично","Ждём")))</f>
        <v/>
      </c>
      <c r="BR289" s="43"/>
      <c r="BS289" s="47" t="str">
        <f aca="false">IF(BN289="","",IF(_xlfn.MAXIFS(ЗАКАЗЫ!$AK$3:$AK$500,ЗАКАЗЫ!$F$3:$F$500,$A289)=0,"",_xlfn.MAXIFS(ЗАКАЗЫ!$AK$3:$AK$500,ЗАКАЗЫ!$F$3:$F$500,$A289)))</f>
        <v/>
      </c>
    </row>
    <row r="290" customFormat="false" ht="15.75" hidden="false" customHeight="true" outlineLevel="0" collapsed="false">
      <c r="A290" s="80" t="s">
        <v>2157</v>
      </c>
      <c r="B290" s="81"/>
      <c r="C290" s="81"/>
      <c r="D290" s="81"/>
      <c r="E290" s="83"/>
      <c r="F290" s="81"/>
      <c r="G290" s="83"/>
      <c r="H290" s="83"/>
      <c r="I290" s="84" t="str">
        <f aca="false">IF(E290="","",A290&amp;"_1.jpg")</f>
        <v/>
      </c>
      <c r="J290" s="84" t="str">
        <f aca="false">IF(E290="","",A290&amp;"_2.jpg; "&amp;A290&amp;"_3.jpg")</f>
        <v/>
      </c>
      <c r="K290" s="84" t="str">
        <f aca="false">IF(E290="","",A290&amp;"_schema.jpg")</f>
        <v/>
      </c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 t="s">
        <v>96</v>
      </c>
      <c r="W290" s="81"/>
      <c r="X290" s="81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6" t="str">
        <f aca="false">IF(SUM(Y290:AJ290)=0,"",SUM(Y290:AJ290))</f>
        <v/>
      </c>
      <c r="AL290" s="84" t="str">
        <f aca="false">MID(IF(N(Y290)&gt;0,", "&amp;Y$2,"")&amp;IF(N(Z290)&gt;0,", "&amp;Z$2,"")&amp;IF(N(AA290)&gt;0,", "&amp;AA$2,"")&amp;IF(N(AB290)&gt;0,", "&amp;AB$2,"")&amp;IF(N(AC290)&gt;0,", "&amp;AC$2,"")&amp;IF(N(AD290)&gt;0,", "&amp;AD$2,"")&amp;IF(N(AE290)&gt;0,", "&amp;AE$2,"")&amp;IF(N(AF290)&gt;0,", "&amp;AF$2,"")&amp;IF(N(AG290)&gt;0,", "&amp;AG$2,"")&amp;IF(N(AH290)&gt;0,", "&amp;AH$2,"")&amp;IF(N(AI290)&gt;0,", "&amp;AI$2,"")&amp;IF(N(AJ290)&gt;0,", "&amp;AJ$2,""),3,999)</f>
        <v/>
      </c>
      <c r="AM290" s="87" t="str">
        <f aca="false">IF(E290="","",MID(IF(N(Y290)&gt;0,", "&amp;A290&amp;"-"&amp;Y$2,"")&amp;IF(N(Z290)&gt;0,", "&amp;A290&amp;"-"&amp;Z$2,"")&amp;IF(N(AA290)&gt;0,", "&amp;A290&amp;"-"&amp;AA$2,"")&amp;IF(N(AB290)&gt;0,", "&amp;A290&amp;"-"&amp;AB$2,"")&amp;IF(N(AC290)&gt;0,", "&amp;A290&amp;"-"&amp;AC$2,"")&amp;IF(N(AD290)&gt;0,", "&amp;A290&amp;"-"&amp;AD$2,"")&amp;IF(N(AE290)&gt;0,", "&amp;A290&amp;"-"&amp;AE$2,"")&amp;IF(N(AF290)&gt;0,", "&amp;A290&amp;"-"&amp;AF$2,"")&amp;IF(N(AG290)&gt;0,", "&amp;A290&amp;"-"&amp;AG$2,"")&amp;IF(N(AH290)&gt;0,", "&amp;A290&amp;"-"&amp;AH$2,"")&amp;IF(N(AI290)&gt;0,", "&amp;A290&amp;"-"&amp;AI$2,"")&amp;IF(N(AJ290)&gt;0,", "&amp;A290&amp;"-"&amp;AJ$2,""),3,999))</f>
        <v/>
      </c>
      <c r="AN290" s="81"/>
      <c r="AO290" s="88"/>
      <c r="AP290" s="89" t="str">
        <f aca="false">IF(AO290="","",ROUND(AO290/(1+Справочники!$B$13),2))</f>
        <v/>
      </c>
      <c r="AQ290" s="90" t="str">
        <f aca="false" t="array" ref="AQ290:AQ290">IF(AP290="","",AP290*INDEX(Справочники!$B$4:$B$7,MATCH("RUB",Справочники!$A$4:$A$7,0)))</f>
        <v/>
      </c>
      <c r="AR290" s="90" t="str">
        <f aca="false">IF(AQ290="","",ROUND(AQ290*(1+Справочники!$B$12),0))</f>
        <v/>
      </c>
      <c r="AS290" s="90" t="str">
        <f aca="false">IF(AR290="","",ROUND(AR290*(1-Справочники!$B$11),0))</f>
        <v/>
      </c>
      <c r="AT290" s="88"/>
      <c r="AU290" s="90" t="str">
        <f aca="false">IF(AT290="","",ROUND(AT290/(1+Справочники!$B$12),0))</f>
        <v/>
      </c>
      <c r="AV290" s="90" t="str">
        <f aca="false">IF(AT290="","",ROUND(AT290*(1-Справочники!$B$15),0))</f>
        <v/>
      </c>
      <c r="AW290" s="90" t="str">
        <f aca="false">IF(AT290="","",ROUND(AT290*(1-Справочники!$B$16),0))</f>
        <v/>
      </c>
      <c r="AX290" s="90" t="str">
        <f aca="false">IF(AT290="","",ROUND(AT290*(1-Справочники!$B$17),0))</f>
        <v/>
      </c>
      <c r="AY290" s="90" t="str">
        <f aca="false">IF(AT290="","",ROUND(AT290*(1-Справочники!$B$18),0))</f>
        <v/>
      </c>
      <c r="AZ290" s="90" t="str">
        <f aca="false">IF(AT290="","",ROUND(AT290*(1-Справочники!$B$19),0))</f>
        <v/>
      </c>
      <c r="BA290" s="81"/>
      <c r="BB290" s="81"/>
      <c r="BC290" s="81"/>
      <c r="BD290" s="81"/>
      <c r="BE290" s="91"/>
      <c r="BF290" s="81" t="s">
        <v>103</v>
      </c>
      <c r="BG290" s="89" t="n">
        <f aca="false" t="array" ref="BG290:BG290">IF(BF290="","",IFERROR(INDEX(Справочники!$B$4:$B$7,MATCH(BF290,Справочники!$A$4:$A$7,0)),""))</f>
        <v>68.5</v>
      </c>
      <c r="BH290" s="90" t="str">
        <f aca="false">IF(N(BN290)&gt;0,ROUND(SUMIF(ЗАКАЗЫ!$F$3:$F$500,$A290,ЗАКАЗЫ!$Y$3:$Y$500)/BN290,0),IF(OR(BE290="",BG290=""),"",ROUND(BE290*BG290*(1+Справочники!$B$10),0)))</f>
        <v/>
      </c>
      <c r="BI290" s="92" t="str">
        <f aca="false">IF(OR(AU290="",BH290="",AU290=0),"",(AU290-BH290)/AU290)</f>
        <v/>
      </c>
      <c r="BJ290" s="81"/>
      <c r="BK290" s="83"/>
      <c r="BL290" s="43" t="str">
        <f aca="false">IFERROR(INDEX(ЗАКАЗЫ!$N$3:$N$500,MATCH($A290,ЗАКАЗЫ!$F$3:$F$500,0)),"")</f>
        <v/>
      </c>
      <c r="BM290" s="8" t="str">
        <f aca="false">IF(BL290="","",IFERROR(VLOOKUP(BL290,'ТН ВЭД'!$A$4:$C$40,3,0),""))</f>
        <v/>
      </c>
      <c r="BN290" s="7" t="str">
        <f aca="false">IF(COUNTIF(ЗАКАЗЫ!$F$3:$F$500,$A290)=0,"",SUMIF(ЗАКАЗЫ!$F$3:$F$500,$A290,ЗАКАЗЫ!$J$3:$J$500))</f>
        <v/>
      </c>
      <c r="BO290" s="7" t="str">
        <f aca="false">IF(BN290="","",SUMIF(ЗАКАЗЫ!$F$3:$F$500,$A290,ЗАКАЗЫ!$AL$3:$AL$500))</f>
        <v/>
      </c>
      <c r="BP290" s="7" t="str">
        <f aca="false">IF(BN290="","",BN290-BO290)</f>
        <v/>
      </c>
      <c r="BQ290" s="55" t="str">
        <f aca="false">IF(BN290="","",IF(BO290&gt;=BN290,"На складе",IF(BO290&gt;0,"Частично","Ждём")))</f>
        <v/>
      </c>
      <c r="BR290" s="43"/>
      <c r="BS290" s="47" t="str">
        <f aca="false">IF(BN290="","",IF(_xlfn.MAXIFS(ЗАКАЗЫ!$AK$3:$AK$500,ЗАКАЗЫ!$F$3:$F$500,$A290)=0,"",_xlfn.MAXIFS(ЗАКАЗЫ!$AK$3:$AK$500,ЗАКАЗЫ!$F$3:$F$500,$A290)))</f>
        <v/>
      </c>
    </row>
    <row r="291" customFormat="false" ht="15.75" hidden="false" customHeight="true" outlineLevel="0" collapsed="false">
      <c r="A291" s="80" t="s">
        <v>2158</v>
      </c>
      <c r="B291" s="81"/>
      <c r="C291" s="81"/>
      <c r="D291" s="81"/>
      <c r="E291" s="83"/>
      <c r="F291" s="81"/>
      <c r="G291" s="83"/>
      <c r="H291" s="83"/>
      <c r="I291" s="84" t="str">
        <f aca="false">IF(E291="","",A291&amp;"_1.jpg")</f>
        <v/>
      </c>
      <c r="J291" s="84" t="str">
        <f aca="false">IF(E291="","",A291&amp;"_2.jpg; "&amp;A291&amp;"_3.jpg")</f>
        <v/>
      </c>
      <c r="K291" s="84" t="str">
        <f aca="false">IF(E291="","",A291&amp;"_schema.jpg")</f>
        <v/>
      </c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 t="s">
        <v>96</v>
      </c>
      <c r="W291" s="81"/>
      <c r="X291" s="81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6" t="str">
        <f aca="false">IF(SUM(Y291:AJ291)=0,"",SUM(Y291:AJ291))</f>
        <v/>
      </c>
      <c r="AL291" s="84" t="str">
        <f aca="false">MID(IF(N(Y291)&gt;0,", "&amp;Y$2,"")&amp;IF(N(Z291)&gt;0,", "&amp;Z$2,"")&amp;IF(N(AA291)&gt;0,", "&amp;AA$2,"")&amp;IF(N(AB291)&gt;0,", "&amp;AB$2,"")&amp;IF(N(AC291)&gt;0,", "&amp;AC$2,"")&amp;IF(N(AD291)&gt;0,", "&amp;AD$2,"")&amp;IF(N(AE291)&gt;0,", "&amp;AE$2,"")&amp;IF(N(AF291)&gt;0,", "&amp;AF$2,"")&amp;IF(N(AG291)&gt;0,", "&amp;AG$2,"")&amp;IF(N(AH291)&gt;0,", "&amp;AH$2,"")&amp;IF(N(AI291)&gt;0,", "&amp;AI$2,"")&amp;IF(N(AJ291)&gt;0,", "&amp;AJ$2,""),3,999)</f>
        <v/>
      </c>
      <c r="AM291" s="87" t="str">
        <f aca="false">IF(E291="","",MID(IF(N(Y291)&gt;0,", "&amp;A291&amp;"-"&amp;Y$2,"")&amp;IF(N(Z291)&gt;0,", "&amp;A291&amp;"-"&amp;Z$2,"")&amp;IF(N(AA291)&gt;0,", "&amp;A291&amp;"-"&amp;AA$2,"")&amp;IF(N(AB291)&gt;0,", "&amp;A291&amp;"-"&amp;AB$2,"")&amp;IF(N(AC291)&gt;0,", "&amp;A291&amp;"-"&amp;AC$2,"")&amp;IF(N(AD291)&gt;0,", "&amp;A291&amp;"-"&amp;AD$2,"")&amp;IF(N(AE291)&gt;0,", "&amp;A291&amp;"-"&amp;AE$2,"")&amp;IF(N(AF291)&gt;0,", "&amp;A291&amp;"-"&amp;AF$2,"")&amp;IF(N(AG291)&gt;0,", "&amp;A291&amp;"-"&amp;AG$2,"")&amp;IF(N(AH291)&gt;0,", "&amp;A291&amp;"-"&amp;AH$2,"")&amp;IF(N(AI291)&gt;0,", "&amp;A291&amp;"-"&amp;AI$2,"")&amp;IF(N(AJ291)&gt;0,", "&amp;A291&amp;"-"&amp;AJ$2,""),3,999))</f>
        <v/>
      </c>
      <c r="AN291" s="81"/>
      <c r="AO291" s="88"/>
      <c r="AP291" s="89" t="str">
        <f aca="false">IF(AO291="","",ROUND(AO291/(1+Справочники!$B$13),2))</f>
        <v/>
      </c>
      <c r="AQ291" s="90" t="str">
        <f aca="false" t="array" ref="AQ291:AQ291">IF(AP291="","",AP291*INDEX(Справочники!$B$4:$B$7,MATCH("RUB",Справочники!$A$4:$A$7,0)))</f>
        <v/>
      </c>
      <c r="AR291" s="90" t="str">
        <f aca="false">IF(AQ291="","",ROUND(AQ291*(1+Справочники!$B$12),0))</f>
        <v/>
      </c>
      <c r="AS291" s="90" t="str">
        <f aca="false">IF(AR291="","",ROUND(AR291*(1-Справочники!$B$11),0))</f>
        <v/>
      </c>
      <c r="AT291" s="88"/>
      <c r="AU291" s="90" t="str">
        <f aca="false">IF(AT291="","",ROUND(AT291/(1+Справочники!$B$12),0))</f>
        <v/>
      </c>
      <c r="AV291" s="90" t="str">
        <f aca="false">IF(AT291="","",ROUND(AT291*(1-Справочники!$B$15),0))</f>
        <v/>
      </c>
      <c r="AW291" s="90" t="str">
        <f aca="false">IF(AT291="","",ROUND(AT291*(1-Справочники!$B$16),0))</f>
        <v/>
      </c>
      <c r="AX291" s="90" t="str">
        <f aca="false">IF(AT291="","",ROUND(AT291*(1-Справочники!$B$17),0))</f>
        <v/>
      </c>
      <c r="AY291" s="90" t="str">
        <f aca="false">IF(AT291="","",ROUND(AT291*(1-Справочники!$B$18),0))</f>
        <v/>
      </c>
      <c r="AZ291" s="90" t="str">
        <f aca="false">IF(AT291="","",ROUND(AT291*(1-Справочники!$B$19),0))</f>
        <v/>
      </c>
      <c r="BA291" s="81"/>
      <c r="BB291" s="81"/>
      <c r="BC291" s="81"/>
      <c r="BD291" s="81"/>
      <c r="BE291" s="91"/>
      <c r="BF291" s="81" t="s">
        <v>103</v>
      </c>
      <c r="BG291" s="89" t="n">
        <f aca="false" t="array" ref="BG291:BG291">IF(BF291="","",IFERROR(INDEX(Справочники!$B$4:$B$7,MATCH(BF291,Справочники!$A$4:$A$7,0)),""))</f>
        <v>68.5</v>
      </c>
      <c r="BH291" s="90" t="str">
        <f aca="false">IF(N(BN291)&gt;0,ROUND(SUMIF(ЗАКАЗЫ!$F$3:$F$500,$A291,ЗАКАЗЫ!$Y$3:$Y$500)/BN291,0),IF(OR(BE291="",BG291=""),"",ROUND(BE291*BG291*(1+Справочники!$B$10),0)))</f>
        <v/>
      </c>
      <c r="BI291" s="92" t="str">
        <f aca="false">IF(OR(AU291="",BH291="",AU291=0),"",(AU291-BH291)/AU291)</f>
        <v/>
      </c>
      <c r="BJ291" s="81"/>
      <c r="BK291" s="83"/>
      <c r="BL291" s="43" t="str">
        <f aca="false">IFERROR(INDEX(ЗАКАЗЫ!$N$3:$N$500,MATCH($A291,ЗАКАЗЫ!$F$3:$F$500,0)),"")</f>
        <v/>
      </c>
      <c r="BM291" s="8" t="str">
        <f aca="false">IF(BL291="","",IFERROR(VLOOKUP(BL291,'ТН ВЭД'!$A$4:$C$40,3,0),""))</f>
        <v/>
      </c>
      <c r="BN291" s="7" t="str">
        <f aca="false">IF(COUNTIF(ЗАКАЗЫ!$F$3:$F$500,$A291)=0,"",SUMIF(ЗАКАЗЫ!$F$3:$F$500,$A291,ЗАКАЗЫ!$J$3:$J$500))</f>
        <v/>
      </c>
      <c r="BO291" s="7" t="str">
        <f aca="false">IF(BN291="","",SUMIF(ЗАКАЗЫ!$F$3:$F$500,$A291,ЗАКАЗЫ!$AL$3:$AL$500))</f>
        <v/>
      </c>
      <c r="BP291" s="7" t="str">
        <f aca="false">IF(BN291="","",BN291-BO291)</f>
        <v/>
      </c>
      <c r="BQ291" s="55" t="str">
        <f aca="false">IF(BN291="","",IF(BO291&gt;=BN291,"На складе",IF(BO291&gt;0,"Частично","Ждём")))</f>
        <v/>
      </c>
      <c r="BR291" s="43"/>
      <c r="BS291" s="47" t="str">
        <f aca="false">IF(BN291="","",IF(_xlfn.MAXIFS(ЗАКАЗЫ!$AK$3:$AK$500,ЗАКАЗЫ!$F$3:$F$500,$A291)=0,"",_xlfn.MAXIFS(ЗАКАЗЫ!$AK$3:$AK$500,ЗАКАЗЫ!$F$3:$F$500,$A291)))</f>
        <v/>
      </c>
    </row>
    <row r="292" customFormat="false" ht="15.75" hidden="false" customHeight="true" outlineLevel="0" collapsed="false">
      <c r="A292" s="80" t="s">
        <v>2159</v>
      </c>
      <c r="B292" s="81"/>
      <c r="C292" s="81"/>
      <c r="D292" s="81"/>
      <c r="E292" s="83"/>
      <c r="F292" s="81"/>
      <c r="G292" s="83"/>
      <c r="H292" s="83"/>
      <c r="I292" s="84" t="str">
        <f aca="false">IF(E292="","",A292&amp;"_1.jpg")</f>
        <v/>
      </c>
      <c r="J292" s="84" t="str">
        <f aca="false">IF(E292="","",A292&amp;"_2.jpg; "&amp;A292&amp;"_3.jpg")</f>
        <v/>
      </c>
      <c r="K292" s="84" t="str">
        <f aca="false">IF(E292="","",A292&amp;"_schema.jpg")</f>
        <v/>
      </c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 t="s">
        <v>96</v>
      </c>
      <c r="W292" s="81"/>
      <c r="X292" s="81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6" t="str">
        <f aca="false">IF(SUM(Y292:AJ292)=0,"",SUM(Y292:AJ292))</f>
        <v/>
      </c>
      <c r="AL292" s="84" t="str">
        <f aca="false">MID(IF(N(Y292)&gt;0,", "&amp;Y$2,"")&amp;IF(N(Z292)&gt;0,", "&amp;Z$2,"")&amp;IF(N(AA292)&gt;0,", "&amp;AA$2,"")&amp;IF(N(AB292)&gt;0,", "&amp;AB$2,"")&amp;IF(N(AC292)&gt;0,", "&amp;AC$2,"")&amp;IF(N(AD292)&gt;0,", "&amp;AD$2,"")&amp;IF(N(AE292)&gt;0,", "&amp;AE$2,"")&amp;IF(N(AF292)&gt;0,", "&amp;AF$2,"")&amp;IF(N(AG292)&gt;0,", "&amp;AG$2,"")&amp;IF(N(AH292)&gt;0,", "&amp;AH$2,"")&amp;IF(N(AI292)&gt;0,", "&amp;AI$2,"")&amp;IF(N(AJ292)&gt;0,", "&amp;AJ$2,""),3,999)</f>
        <v/>
      </c>
      <c r="AM292" s="87" t="str">
        <f aca="false">IF(E292="","",MID(IF(N(Y292)&gt;0,", "&amp;A292&amp;"-"&amp;Y$2,"")&amp;IF(N(Z292)&gt;0,", "&amp;A292&amp;"-"&amp;Z$2,"")&amp;IF(N(AA292)&gt;0,", "&amp;A292&amp;"-"&amp;AA$2,"")&amp;IF(N(AB292)&gt;0,", "&amp;A292&amp;"-"&amp;AB$2,"")&amp;IF(N(AC292)&gt;0,", "&amp;A292&amp;"-"&amp;AC$2,"")&amp;IF(N(AD292)&gt;0,", "&amp;A292&amp;"-"&amp;AD$2,"")&amp;IF(N(AE292)&gt;0,", "&amp;A292&amp;"-"&amp;AE$2,"")&amp;IF(N(AF292)&gt;0,", "&amp;A292&amp;"-"&amp;AF$2,"")&amp;IF(N(AG292)&gt;0,", "&amp;A292&amp;"-"&amp;AG$2,"")&amp;IF(N(AH292)&gt;0,", "&amp;A292&amp;"-"&amp;AH$2,"")&amp;IF(N(AI292)&gt;0,", "&amp;A292&amp;"-"&amp;AI$2,"")&amp;IF(N(AJ292)&gt;0,", "&amp;A292&amp;"-"&amp;AJ$2,""),3,999))</f>
        <v/>
      </c>
      <c r="AN292" s="81"/>
      <c r="AO292" s="88"/>
      <c r="AP292" s="89" t="str">
        <f aca="false">IF(AO292="","",ROUND(AO292/(1+Справочники!$B$13),2))</f>
        <v/>
      </c>
      <c r="AQ292" s="90" t="str">
        <f aca="false" t="array" ref="AQ292:AQ292">IF(AP292="","",AP292*INDEX(Справочники!$B$4:$B$7,MATCH("RUB",Справочники!$A$4:$A$7,0)))</f>
        <v/>
      </c>
      <c r="AR292" s="90" t="str">
        <f aca="false">IF(AQ292="","",ROUND(AQ292*(1+Справочники!$B$12),0))</f>
        <v/>
      </c>
      <c r="AS292" s="90" t="str">
        <f aca="false">IF(AR292="","",ROUND(AR292*(1-Справочники!$B$11),0))</f>
        <v/>
      </c>
      <c r="AT292" s="88"/>
      <c r="AU292" s="90" t="str">
        <f aca="false">IF(AT292="","",ROUND(AT292/(1+Справочники!$B$12),0))</f>
        <v/>
      </c>
      <c r="AV292" s="90" t="str">
        <f aca="false">IF(AT292="","",ROUND(AT292*(1-Справочники!$B$15),0))</f>
        <v/>
      </c>
      <c r="AW292" s="90" t="str">
        <f aca="false">IF(AT292="","",ROUND(AT292*(1-Справочники!$B$16),0))</f>
        <v/>
      </c>
      <c r="AX292" s="90" t="str">
        <f aca="false">IF(AT292="","",ROUND(AT292*(1-Справочники!$B$17),0))</f>
        <v/>
      </c>
      <c r="AY292" s="90" t="str">
        <f aca="false">IF(AT292="","",ROUND(AT292*(1-Справочники!$B$18),0))</f>
        <v/>
      </c>
      <c r="AZ292" s="90" t="str">
        <f aca="false">IF(AT292="","",ROUND(AT292*(1-Справочники!$B$19),0))</f>
        <v/>
      </c>
      <c r="BA292" s="81"/>
      <c r="BB292" s="81"/>
      <c r="BC292" s="81"/>
      <c r="BD292" s="81"/>
      <c r="BE292" s="91"/>
      <c r="BF292" s="81" t="s">
        <v>103</v>
      </c>
      <c r="BG292" s="89" t="n">
        <f aca="false" t="array" ref="BG292:BG292">IF(BF292="","",IFERROR(INDEX(Справочники!$B$4:$B$7,MATCH(BF292,Справочники!$A$4:$A$7,0)),""))</f>
        <v>68.5</v>
      </c>
      <c r="BH292" s="90" t="str">
        <f aca="false">IF(N(BN292)&gt;0,ROUND(SUMIF(ЗАКАЗЫ!$F$3:$F$500,$A292,ЗАКАЗЫ!$Y$3:$Y$500)/BN292,0),IF(OR(BE292="",BG292=""),"",ROUND(BE292*BG292*(1+Справочники!$B$10),0)))</f>
        <v/>
      </c>
      <c r="BI292" s="92" t="str">
        <f aca="false">IF(OR(AU292="",BH292="",AU292=0),"",(AU292-BH292)/AU292)</f>
        <v/>
      </c>
      <c r="BJ292" s="81"/>
      <c r="BK292" s="83"/>
      <c r="BL292" s="43" t="str">
        <f aca="false">IFERROR(INDEX(ЗАКАЗЫ!$N$3:$N$500,MATCH($A292,ЗАКАЗЫ!$F$3:$F$500,0)),"")</f>
        <v/>
      </c>
      <c r="BM292" s="8" t="str">
        <f aca="false">IF(BL292="","",IFERROR(VLOOKUP(BL292,'ТН ВЭД'!$A$4:$C$40,3,0),""))</f>
        <v/>
      </c>
      <c r="BN292" s="7" t="str">
        <f aca="false">IF(COUNTIF(ЗАКАЗЫ!$F$3:$F$500,$A292)=0,"",SUMIF(ЗАКАЗЫ!$F$3:$F$500,$A292,ЗАКАЗЫ!$J$3:$J$500))</f>
        <v/>
      </c>
      <c r="BO292" s="7" t="str">
        <f aca="false">IF(BN292="","",SUMIF(ЗАКАЗЫ!$F$3:$F$500,$A292,ЗАКАЗЫ!$AL$3:$AL$500))</f>
        <v/>
      </c>
      <c r="BP292" s="7" t="str">
        <f aca="false">IF(BN292="","",BN292-BO292)</f>
        <v/>
      </c>
      <c r="BQ292" s="55" t="str">
        <f aca="false">IF(BN292="","",IF(BO292&gt;=BN292,"На складе",IF(BO292&gt;0,"Частично","Ждём")))</f>
        <v/>
      </c>
      <c r="BR292" s="43"/>
      <c r="BS292" s="47" t="str">
        <f aca="false">IF(BN292="","",IF(_xlfn.MAXIFS(ЗАКАЗЫ!$AK$3:$AK$500,ЗАКАЗЫ!$F$3:$F$500,$A292)=0,"",_xlfn.MAXIFS(ЗАКАЗЫ!$AK$3:$AK$500,ЗАКАЗЫ!$F$3:$F$500,$A292)))</f>
        <v/>
      </c>
    </row>
    <row r="293" customFormat="false" ht="15.75" hidden="false" customHeight="true" outlineLevel="0" collapsed="false">
      <c r="A293" s="80" t="s">
        <v>2160</v>
      </c>
      <c r="B293" s="81"/>
      <c r="C293" s="81"/>
      <c r="D293" s="81"/>
      <c r="E293" s="83"/>
      <c r="F293" s="81"/>
      <c r="G293" s="83"/>
      <c r="H293" s="83"/>
      <c r="I293" s="84" t="str">
        <f aca="false">IF(E293="","",A293&amp;"_1.jpg")</f>
        <v/>
      </c>
      <c r="J293" s="84" t="str">
        <f aca="false">IF(E293="","",A293&amp;"_2.jpg; "&amp;A293&amp;"_3.jpg")</f>
        <v/>
      </c>
      <c r="K293" s="84" t="str">
        <f aca="false">IF(E293="","",A293&amp;"_schema.jpg")</f>
        <v/>
      </c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 t="s">
        <v>96</v>
      </c>
      <c r="W293" s="81"/>
      <c r="X293" s="81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6" t="str">
        <f aca="false">IF(SUM(Y293:AJ293)=0,"",SUM(Y293:AJ293))</f>
        <v/>
      </c>
      <c r="AL293" s="84" t="str">
        <f aca="false">MID(IF(N(Y293)&gt;0,", "&amp;Y$2,"")&amp;IF(N(Z293)&gt;0,", "&amp;Z$2,"")&amp;IF(N(AA293)&gt;0,", "&amp;AA$2,"")&amp;IF(N(AB293)&gt;0,", "&amp;AB$2,"")&amp;IF(N(AC293)&gt;0,", "&amp;AC$2,"")&amp;IF(N(AD293)&gt;0,", "&amp;AD$2,"")&amp;IF(N(AE293)&gt;0,", "&amp;AE$2,"")&amp;IF(N(AF293)&gt;0,", "&amp;AF$2,"")&amp;IF(N(AG293)&gt;0,", "&amp;AG$2,"")&amp;IF(N(AH293)&gt;0,", "&amp;AH$2,"")&amp;IF(N(AI293)&gt;0,", "&amp;AI$2,"")&amp;IF(N(AJ293)&gt;0,", "&amp;AJ$2,""),3,999)</f>
        <v/>
      </c>
      <c r="AM293" s="87" t="str">
        <f aca="false">IF(E293="","",MID(IF(N(Y293)&gt;0,", "&amp;A293&amp;"-"&amp;Y$2,"")&amp;IF(N(Z293)&gt;0,", "&amp;A293&amp;"-"&amp;Z$2,"")&amp;IF(N(AA293)&gt;0,", "&amp;A293&amp;"-"&amp;AA$2,"")&amp;IF(N(AB293)&gt;0,", "&amp;A293&amp;"-"&amp;AB$2,"")&amp;IF(N(AC293)&gt;0,", "&amp;A293&amp;"-"&amp;AC$2,"")&amp;IF(N(AD293)&gt;0,", "&amp;A293&amp;"-"&amp;AD$2,"")&amp;IF(N(AE293)&gt;0,", "&amp;A293&amp;"-"&amp;AE$2,"")&amp;IF(N(AF293)&gt;0,", "&amp;A293&amp;"-"&amp;AF$2,"")&amp;IF(N(AG293)&gt;0,", "&amp;A293&amp;"-"&amp;AG$2,"")&amp;IF(N(AH293)&gt;0,", "&amp;A293&amp;"-"&amp;AH$2,"")&amp;IF(N(AI293)&gt;0,", "&amp;A293&amp;"-"&amp;AI$2,"")&amp;IF(N(AJ293)&gt;0,", "&amp;A293&amp;"-"&amp;AJ$2,""),3,999))</f>
        <v/>
      </c>
      <c r="AN293" s="81"/>
      <c r="AO293" s="88"/>
      <c r="AP293" s="89" t="str">
        <f aca="false">IF(AO293="","",ROUND(AO293/(1+Справочники!$B$13),2))</f>
        <v/>
      </c>
      <c r="AQ293" s="90" t="str">
        <f aca="false" t="array" ref="AQ293:AQ293">IF(AP293="","",AP293*INDEX(Справочники!$B$4:$B$7,MATCH("RUB",Справочники!$A$4:$A$7,0)))</f>
        <v/>
      </c>
      <c r="AR293" s="90" t="str">
        <f aca="false">IF(AQ293="","",ROUND(AQ293*(1+Справочники!$B$12),0))</f>
        <v/>
      </c>
      <c r="AS293" s="90" t="str">
        <f aca="false">IF(AR293="","",ROUND(AR293*(1-Справочники!$B$11),0))</f>
        <v/>
      </c>
      <c r="AT293" s="88"/>
      <c r="AU293" s="90" t="str">
        <f aca="false">IF(AT293="","",ROUND(AT293/(1+Справочники!$B$12),0))</f>
        <v/>
      </c>
      <c r="AV293" s="90" t="str">
        <f aca="false">IF(AT293="","",ROUND(AT293*(1-Справочники!$B$15),0))</f>
        <v/>
      </c>
      <c r="AW293" s="90" t="str">
        <f aca="false">IF(AT293="","",ROUND(AT293*(1-Справочники!$B$16),0))</f>
        <v/>
      </c>
      <c r="AX293" s="90" t="str">
        <f aca="false">IF(AT293="","",ROUND(AT293*(1-Справочники!$B$17),0))</f>
        <v/>
      </c>
      <c r="AY293" s="90" t="str">
        <f aca="false">IF(AT293="","",ROUND(AT293*(1-Справочники!$B$18),0))</f>
        <v/>
      </c>
      <c r="AZ293" s="90" t="str">
        <f aca="false">IF(AT293="","",ROUND(AT293*(1-Справочники!$B$19),0))</f>
        <v/>
      </c>
      <c r="BA293" s="81"/>
      <c r="BB293" s="81"/>
      <c r="BC293" s="81"/>
      <c r="BD293" s="81"/>
      <c r="BE293" s="91"/>
      <c r="BF293" s="81" t="s">
        <v>103</v>
      </c>
      <c r="BG293" s="89" t="n">
        <f aca="false" t="array" ref="BG293:BG293">IF(BF293="","",IFERROR(INDEX(Справочники!$B$4:$B$7,MATCH(BF293,Справочники!$A$4:$A$7,0)),""))</f>
        <v>68.5</v>
      </c>
      <c r="BH293" s="90" t="str">
        <f aca="false">IF(N(BN293)&gt;0,ROUND(SUMIF(ЗАКАЗЫ!$F$3:$F$500,$A293,ЗАКАЗЫ!$Y$3:$Y$500)/BN293,0),IF(OR(BE293="",BG293=""),"",ROUND(BE293*BG293*(1+Справочники!$B$10),0)))</f>
        <v/>
      </c>
      <c r="BI293" s="92" t="str">
        <f aca="false">IF(OR(AU293="",BH293="",AU293=0),"",(AU293-BH293)/AU293)</f>
        <v/>
      </c>
      <c r="BJ293" s="81"/>
      <c r="BK293" s="83"/>
      <c r="BL293" s="43" t="str">
        <f aca="false">IFERROR(INDEX(ЗАКАЗЫ!$N$3:$N$500,MATCH($A293,ЗАКАЗЫ!$F$3:$F$500,0)),"")</f>
        <v/>
      </c>
      <c r="BM293" s="8" t="str">
        <f aca="false">IF(BL293="","",IFERROR(VLOOKUP(BL293,'ТН ВЭД'!$A$4:$C$40,3,0),""))</f>
        <v/>
      </c>
      <c r="BN293" s="7" t="str">
        <f aca="false">IF(COUNTIF(ЗАКАЗЫ!$F$3:$F$500,$A293)=0,"",SUMIF(ЗАКАЗЫ!$F$3:$F$500,$A293,ЗАКАЗЫ!$J$3:$J$500))</f>
        <v/>
      </c>
      <c r="BO293" s="7" t="str">
        <f aca="false">IF(BN293="","",SUMIF(ЗАКАЗЫ!$F$3:$F$500,$A293,ЗАКАЗЫ!$AL$3:$AL$500))</f>
        <v/>
      </c>
      <c r="BP293" s="7" t="str">
        <f aca="false">IF(BN293="","",BN293-BO293)</f>
        <v/>
      </c>
      <c r="BQ293" s="55" t="str">
        <f aca="false">IF(BN293="","",IF(BO293&gt;=BN293,"На складе",IF(BO293&gt;0,"Частично","Ждём")))</f>
        <v/>
      </c>
      <c r="BR293" s="43"/>
      <c r="BS293" s="47" t="str">
        <f aca="false">IF(BN293="","",IF(_xlfn.MAXIFS(ЗАКАЗЫ!$AK$3:$AK$500,ЗАКАЗЫ!$F$3:$F$500,$A293)=0,"",_xlfn.MAXIFS(ЗАКАЗЫ!$AK$3:$AK$500,ЗАКАЗЫ!$F$3:$F$500,$A293)))</f>
        <v/>
      </c>
    </row>
    <row r="294" customFormat="false" ht="15.75" hidden="false" customHeight="true" outlineLevel="0" collapsed="false">
      <c r="A294" s="80" t="s">
        <v>2161</v>
      </c>
      <c r="B294" s="81"/>
      <c r="C294" s="81"/>
      <c r="D294" s="81"/>
      <c r="E294" s="83"/>
      <c r="F294" s="81"/>
      <c r="G294" s="83"/>
      <c r="H294" s="83"/>
      <c r="I294" s="84" t="str">
        <f aca="false">IF(E294="","",A294&amp;"_1.jpg")</f>
        <v/>
      </c>
      <c r="J294" s="84" t="str">
        <f aca="false">IF(E294="","",A294&amp;"_2.jpg; "&amp;A294&amp;"_3.jpg")</f>
        <v/>
      </c>
      <c r="K294" s="84" t="str">
        <f aca="false">IF(E294="","",A294&amp;"_schema.jpg")</f>
        <v/>
      </c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 t="s">
        <v>96</v>
      </c>
      <c r="W294" s="81"/>
      <c r="X294" s="81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6" t="str">
        <f aca="false">IF(SUM(Y294:AJ294)=0,"",SUM(Y294:AJ294))</f>
        <v/>
      </c>
      <c r="AL294" s="84" t="str">
        <f aca="false">MID(IF(N(Y294)&gt;0,", "&amp;Y$2,"")&amp;IF(N(Z294)&gt;0,", "&amp;Z$2,"")&amp;IF(N(AA294)&gt;0,", "&amp;AA$2,"")&amp;IF(N(AB294)&gt;0,", "&amp;AB$2,"")&amp;IF(N(AC294)&gt;0,", "&amp;AC$2,"")&amp;IF(N(AD294)&gt;0,", "&amp;AD$2,"")&amp;IF(N(AE294)&gt;0,", "&amp;AE$2,"")&amp;IF(N(AF294)&gt;0,", "&amp;AF$2,"")&amp;IF(N(AG294)&gt;0,", "&amp;AG$2,"")&amp;IF(N(AH294)&gt;0,", "&amp;AH$2,"")&amp;IF(N(AI294)&gt;0,", "&amp;AI$2,"")&amp;IF(N(AJ294)&gt;0,", "&amp;AJ$2,""),3,999)</f>
        <v/>
      </c>
      <c r="AM294" s="87" t="str">
        <f aca="false">IF(E294="","",MID(IF(N(Y294)&gt;0,", "&amp;A294&amp;"-"&amp;Y$2,"")&amp;IF(N(Z294)&gt;0,", "&amp;A294&amp;"-"&amp;Z$2,"")&amp;IF(N(AA294)&gt;0,", "&amp;A294&amp;"-"&amp;AA$2,"")&amp;IF(N(AB294)&gt;0,", "&amp;A294&amp;"-"&amp;AB$2,"")&amp;IF(N(AC294)&gt;0,", "&amp;A294&amp;"-"&amp;AC$2,"")&amp;IF(N(AD294)&gt;0,", "&amp;A294&amp;"-"&amp;AD$2,"")&amp;IF(N(AE294)&gt;0,", "&amp;A294&amp;"-"&amp;AE$2,"")&amp;IF(N(AF294)&gt;0,", "&amp;A294&amp;"-"&amp;AF$2,"")&amp;IF(N(AG294)&gt;0,", "&amp;A294&amp;"-"&amp;AG$2,"")&amp;IF(N(AH294)&gt;0,", "&amp;A294&amp;"-"&amp;AH$2,"")&amp;IF(N(AI294)&gt;0,", "&amp;A294&amp;"-"&amp;AI$2,"")&amp;IF(N(AJ294)&gt;0,", "&amp;A294&amp;"-"&amp;AJ$2,""),3,999))</f>
        <v/>
      </c>
      <c r="AN294" s="81"/>
      <c r="AO294" s="88"/>
      <c r="AP294" s="89" t="str">
        <f aca="false">IF(AO294="","",ROUND(AO294/(1+Справочники!$B$13),2))</f>
        <v/>
      </c>
      <c r="AQ294" s="90" t="str">
        <f aca="false" t="array" ref="AQ294:AQ294">IF(AP294="","",AP294*INDEX(Справочники!$B$4:$B$7,MATCH("RUB",Справочники!$A$4:$A$7,0)))</f>
        <v/>
      </c>
      <c r="AR294" s="90" t="str">
        <f aca="false">IF(AQ294="","",ROUND(AQ294*(1+Справочники!$B$12),0))</f>
        <v/>
      </c>
      <c r="AS294" s="90" t="str">
        <f aca="false">IF(AR294="","",ROUND(AR294*(1-Справочники!$B$11),0))</f>
        <v/>
      </c>
      <c r="AT294" s="88"/>
      <c r="AU294" s="90" t="str">
        <f aca="false">IF(AT294="","",ROUND(AT294/(1+Справочники!$B$12),0))</f>
        <v/>
      </c>
      <c r="AV294" s="90" t="str">
        <f aca="false">IF(AT294="","",ROUND(AT294*(1-Справочники!$B$15),0))</f>
        <v/>
      </c>
      <c r="AW294" s="90" t="str">
        <f aca="false">IF(AT294="","",ROUND(AT294*(1-Справочники!$B$16),0))</f>
        <v/>
      </c>
      <c r="AX294" s="90" t="str">
        <f aca="false">IF(AT294="","",ROUND(AT294*(1-Справочники!$B$17),0))</f>
        <v/>
      </c>
      <c r="AY294" s="90" t="str">
        <f aca="false">IF(AT294="","",ROUND(AT294*(1-Справочники!$B$18),0))</f>
        <v/>
      </c>
      <c r="AZ294" s="90" t="str">
        <f aca="false">IF(AT294="","",ROUND(AT294*(1-Справочники!$B$19),0))</f>
        <v/>
      </c>
      <c r="BA294" s="81"/>
      <c r="BB294" s="81"/>
      <c r="BC294" s="81"/>
      <c r="BD294" s="81"/>
      <c r="BE294" s="91"/>
      <c r="BF294" s="81" t="s">
        <v>103</v>
      </c>
      <c r="BG294" s="89" t="n">
        <f aca="false" t="array" ref="BG294:BG294">IF(BF294="","",IFERROR(INDEX(Справочники!$B$4:$B$7,MATCH(BF294,Справочники!$A$4:$A$7,0)),""))</f>
        <v>68.5</v>
      </c>
      <c r="BH294" s="90" t="str">
        <f aca="false">IF(N(BN294)&gt;0,ROUND(SUMIF(ЗАКАЗЫ!$F$3:$F$500,$A294,ЗАКАЗЫ!$Y$3:$Y$500)/BN294,0),IF(OR(BE294="",BG294=""),"",ROUND(BE294*BG294*(1+Справочники!$B$10),0)))</f>
        <v/>
      </c>
      <c r="BI294" s="92" t="str">
        <f aca="false">IF(OR(AU294="",BH294="",AU294=0),"",(AU294-BH294)/AU294)</f>
        <v/>
      </c>
      <c r="BJ294" s="81"/>
      <c r="BK294" s="83"/>
      <c r="BL294" s="43" t="str">
        <f aca="false">IFERROR(INDEX(ЗАКАЗЫ!$N$3:$N$500,MATCH($A294,ЗАКАЗЫ!$F$3:$F$500,0)),"")</f>
        <v/>
      </c>
      <c r="BM294" s="8" t="str">
        <f aca="false">IF(BL294="","",IFERROR(VLOOKUP(BL294,'ТН ВЭД'!$A$4:$C$40,3,0),""))</f>
        <v/>
      </c>
      <c r="BN294" s="7" t="str">
        <f aca="false">IF(COUNTIF(ЗАКАЗЫ!$F$3:$F$500,$A294)=0,"",SUMIF(ЗАКАЗЫ!$F$3:$F$500,$A294,ЗАКАЗЫ!$J$3:$J$500))</f>
        <v/>
      </c>
      <c r="BO294" s="7" t="str">
        <f aca="false">IF(BN294="","",SUMIF(ЗАКАЗЫ!$F$3:$F$500,$A294,ЗАКАЗЫ!$AL$3:$AL$500))</f>
        <v/>
      </c>
      <c r="BP294" s="7" t="str">
        <f aca="false">IF(BN294="","",BN294-BO294)</f>
        <v/>
      </c>
      <c r="BQ294" s="55" t="str">
        <f aca="false">IF(BN294="","",IF(BO294&gt;=BN294,"На складе",IF(BO294&gt;0,"Частично","Ждём")))</f>
        <v/>
      </c>
      <c r="BR294" s="43"/>
      <c r="BS294" s="47" t="str">
        <f aca="false">IF(BN294="","",IF(_xlfn.MAXIFS(ЗАКАЗЫ!$AK$3:$AK$500,ЗАКАЗЫ!$F$3:$F$500,$A294)=0,"",_xlfn.MAXIFS(ЗАКАЗЫ!$AK$3:$AK$500,ЗАКАЗЫ!$F$3:$F$500,$A294)))</f>
        <v/>
      </c>
    </row>
    <row r="295" customFormat="false" ht="15.75" hidden="false" customHeight="true" outlineLevel="0" collapsed="false">
      <c r="A295" s="80" t="s">
        <v>2162</v>
      </c>
      <c r="B295" s="81"/>
      <c r="C295" s="81"/>
      <c r="D295" s="81"/>
      <c r="E295" s="83"/>
      <c r="F295" s="81"/>
      <c r="G295" s="83"/>
      <c r="H295" s="83"/>
      <c r="I295" s="84" t="str">
        <f aca="false">IF(E295="","",A295&amp;"_1.jpg")</f>
        <v/>
      </c>
      <c r="J295" s="84" t="str">
        <f aca="false">IF(E295="","",A295&amp;"_2.jpg; "&amp;A295&amp;"_3.jpg")</f>
        <v/>
      </c>
      <c r="K295" s="84" t="str">
        <f aca="false">IF(E295="","",A295&amp;"_schema.jpg")</f>
        <v/>
      </c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 t="s">
        <v>96</v>
      </c>
      <c r="W295" s="81"/>
      <c r="X295" s="81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6" t="str">
        <f aca="false">IF(SUM(Y295:AJ295)=0,"",SUM(Y295:AJ295))</f>
        <v/>
      </c>
      <c r="AL295" s="84" t="str">
        <f aca="false">MID(IF(N(Y295)&gt;0,", "&amp;Y$2,"")&amp;IF(N(Z295)&gt;0,", "&amp;Z$2,"")&amp;IF(N(AA295)&gt;0,", "&amp;AA$2,"")&amp;IF(N(AB295)&gt;0,", "&amp;AB$2,"")&amp;IF(N(AC295)&gt;0,", "&amp;AC$2,"")&amp;IF(N(AD295)&gt;0,", "&amp;AD$2,"")&amp;IF(N(AE295)&gt;0,", "&amp;AE$2,"")&amp;IF(N(AF295)&gt;0,", "&amp;AF$2,"")&amp;IF(N(AG295)&gt;0,", "&amp;AG$2,"")&amp;IF(N(AH295)&gt;0,", "&amp;AH$2,"")&amp;IF(N(AI295)&gt;0,", "&amp;AI$2,"")&amp;IF(N(AJ295)&gt;0,", "&amp;AJ$2,""),3,999)</f>
        <v/>
      </c>
      <c r="AM295" s="87" t="str">
        <f aca="false">IF(E295="","",MID(IF(N(Y295)&gt;0,", "&amp;A295&amp;"-"&amp;Y$2,"")&amp;IF(N(Z295)&gt;0,", "&amp;A295&amp;"-"&amp;Z$2,"")&amp;IF(N(AA295)&gt;0,", "&amp;A295&amp;"-"&amp;AA$2,"")&amp;IF(N(AB295)&gt;0,", "&amp;A295&amp;"-"&amp;AB$2,"")&amp;IF(N(AC295)&gt;0,", "&amp;A295&amp;"-"&amp;AC$2,"")&amp;IF(N(AD295)&gt;0,", "&amp;A295&amp;"-"&amp;AD$2,"")&amp;IF(N(AE295)&gt;0,", "&amp;A295&amp;"-"&amp;AE$2,"")&amp;IF(N(AF295)&gt;0,", "&amp;A295&amp;"-"&amp;AF$2,"")&amp;IF(N(AG295)&gt;0,", "&amp;A295&amp;"-"&amp;AG$2,"")&amp;IF(N(AH295)&gt;0,", "&amp;A295&amp;"-"&amp;AH$2,"")&amp;IF(N(AI295)&gt;0,", "&amp;A295&amp;"-"&amp;AI$2,"")&amp;IF(N(AJ295)&gt;0,", "&amp;A295&amp;"-"&amp;AJ$2,""),3,999))</f>
        <v/>
      </c>
      <c r="AN295" s="81"/>
      <c r="AO295" s="88"/>
      <c r="AP295" s="89" t="str">
        <f aca="false">IF(AO295="","",ROUND(AO295/(1+Справочники!$B$13),2))</f>
        <v/>
      </c>
      <c r="AQ295" s="90" t="str">
        <f aca="false" t="array" ref="AQ295:AQ295">IF(AP295="","",AP295*INDEX(Справочники!$B$4:$B$7,MATCH("RUB",Справочники!$A$4:$A$7,0)))</f>
        <v/>
      </c>
      <c r="AR295" s="90" t="str">
        <f aca="false">IF(AQ295="","",ROUND(AQ295*(1+Справочники!$B$12),0))</f>
        <v/>
      </c>
      <c r="AS295" s="90" t="str">
        <f aca="false">IF(AR295="","",ROUND(AR295*(1-Справочники!$B$11),0))</f>
        <v/>
      </c>
      <c r="AT295" s="88"/>
      <c r="AU295" s="90" t="str">
        <f aca="false">IF(AT295="","",ROUND(AT295/(1+Справочники!$B$12),0))</f>
        <v/>
      </c>
      <c r="AV295" s="90" t="str">
        <f aca="false">IF(AT295="","",ROUND(AT295*(1-Справочники!$B$15),0))</f>
        <v/>
      </c>
      <c r="AW295" s="90" t="str">
        <f aca="false">IF(AT295="","",ROUND(AT295*(1-Справочники!$B$16),0))</f>
        <v/>
      </c>
      <c r="AX295" s="90" t="str">
        <f aca="false">IF(AT295="","",ROUND(AT295*(1-Справочники!$B$17),0))</f>
        <v/>
      </c>
      <c r="AY295" s="90" t="str">
        <f aca="false">IF(AT295="","",ROUND(AT295*(1-Справочники!$B$18),0))</f>
        <v/>
      </c>
      <c r="AZ295" s="90" t="str">
        <f aca="false">IF(AT295="","",ROUND(AT295*(1-Справочники!$B$19),0))</f>
        <v/>
      </c>
      <c r="BA295" s="81"/>
      <c r="BB295" s="81"/>
      <c r="BC295" s="81"/>
      <c r="BD295" s="81"/>
      <c r="BE295" s="91"/>
      <c r="BF295" s="81" t="s">
        <v>103</v>
      </c>
      <c r="BG295" s="89" t="n">
        <f aca="false" t="array" ref="BG295:BG295">IF(BF295="","",IFERROR(INDEX(Справочники!$B$4:$B$7,MATCH(BF295,Справочники!$A$4:$A$7,0)),""))</f>
        <v>68.5</v>
      </c>
      <c r="BH295" s="90" t="str">
        <f aca="false">IF(N(BN295)&gt;0,ROUND(SUMIF(ЗАКАЗЫ!$F$3:$F$500,$A295,ЗАКАЗЫ!$Y$3:$Y$500)/BN295,0),IF(OR(BE295="",BG295=""),"",ROUND(BE295*BG295*(1+Справочники!$B$10),0)))</f>
        <v/>
      </c>
      <c r="BI295" s="92" t="str">
        <f aca="false">IF(OR(AU295="",BH295="",AU295=0),"",(AU295-BH295)/AU295)</f>
        <v/>
      </c>
      <c r="BJ295" s="81"/>
      <c r="BK295" s="83"/>
      <c r="BL295" s="43" t="str">
        <f aca="false">IFERROR(INDEX(ЗАКАЗЫ!$N$3:$N$500,MATCH($A295,ЗАКАЗЫ!$F$3:$F$500,0)),"")</f>
        <v/>
      </c>
      <c r="BM295" s="8" t="str">
        <f aca="false">IF(BL295="","",IFERROR(VLOOKUP(BL295,'ТН ВЭД'!$A$4:$C$40,3,0),""))</f>
        <v/>
      </c>
      <c r="BN295" s="7" t="str">
        <f aca="false">IF(COUNTIF(ЗАКАЗЫ!$F$3:$F$500,$A295)=0,"",SUMIF(ЗАКАЗЫ!$F$3:$F$500,$A295,ЗАКАЗЫ!$J$3:$J$500))</f>
        <v/>
      </c>
      <c r="BO295" s="7" t="str">
        <f aca="false">IF(BN295="","",SUMIF(ЗАКАЗЫ!$F$3:$F$500,$A295,ЗАКАЗЫ!$AL$3:$AL$500))</f>
        <v/>
      </c>
      <c r="BP295" s="7" t="str">
        <f aca="false">IF(BN295="","",BN295-BO295)</f>
        <v/>
      </c>
      <c r="BQ295" s="55" t="str">
        <f aca="false">IF(BN295="","",IF(BO295&gt;=BN295,"На складе",IF(BO295&gt;0,"Частично","Ждём")))</f>
        <v/>
      </c>
      <c r="BR295" s="43"/>
      <c r="BS295" s="47" t="str">
        <f aca="false">IF(BN295="","",IF(_xlfn.MAXIFS(ЗАКАЗЫ!$AK$3:$AK$500,ЗАКАЗЫ!$F$3:$F$500,$A295)=0,"",_xlfn.MAXIFS(ЗАКАЗЫ!$AK$3:$AK$500,ЗАКАЗЫ!$F$3:$F$500,$A295)))</f>
        <v/>
      </c>
    </row>
    <row r="296" customFormat="false" ht="15.75" hidden="false" customHeight="true" outlineLevel="0" collapsed="false">
      <c r="A296" s="80" t="s">
        <v>2163</v>
      </c>
      <c r="B296" s="81"/>
      <c r="C296" s="81"/>
      <c r="D296" s="81"/>
      <c r="E296" s="83"/>
      <c r="F296" s="81"/>
      <c r="G296" s="83"/>
      <c r="H296" s="83"/>
      <c r="I296" s="84" t="str">
        <f aca="false">IF(E296="","",A296&amp;"_1.jpg")</f>
        <v/>
      </c>
      <c r="J296" s="84" t="str">
        <f aca="false">IF(E296="","",A296&amp;"_2.jpg; "&amp;A296&amp;"_3.jpg")</f>
        <v/>
      </c>
      <c r="K296" s="84" t="str">
        <f aca="false">IF(E296="","",A296&amp;"_schema.jpg")</f>
        <v/>
      </c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 t="s">
        <v>96</v>
      </c>
      <c r="W296" s="81"/>
      <c r="X296" s="81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6" t="str">
        <f aca="false">IF(SUM(Y296:AJ296)=0,"",SUM(Y296:AJ296))</f>
        <v/>
      </c>
      <c r="AL296" s="84" t="str">
        <f aca="false">MID(IF(N(Y296)&gt;0,", "&amp;Y$2,"")&amp;IF(N(Z296)&gt;0,", "&amp;Z$2,"")&amp;IF(N(AA296)&gt;0,", "&amp;AA$2,"")&amp;IF(N(AB296)&gt;0,", "&amp;AB$2,"")&amp;IF(N(AC296)&gt;0,", "&amp;AC$2,"")&amp;IF(N(AD296)&gt;0,", "&amp;AD$2,"")&amp;IF(N(AE296)&gt;0,", "&amp;AE$2,"")&amp;IF(N(AF296)&gt;0,", "&amp;AF$2,"")&amp;IF(N(AG296)&gt;0,", "&amp;AG$2,"")&amp;IF(N(AH296)&gt;0,", "&amp;AH$2,"")&amp;IF(N(AI296)&gt;0,", "&amp;AI$2,"")&amp;IF(N(AJ296)&gt;0,", "&amp;AJ$2,""),3,999)</f>
        <v/>
      </c>
      <c r="AM296" s="87" t="str">
        <f aca="false">IF(E296="","",MID(IF(N(Y296)&gt;0,", "&amp;A296&amp;"-"&amp;Y$2,"")&amp;IF(N(Z296)&gt;0,", "&amp;A296&amp;"-"&amp;Z$2,"")&amp;IF(N(AA296)&gt;0,", "&amp;A296&amp;"-"&amp;AA$2,"")&amp;IF(N(AB296)&gt;0,", "&amp;A296&amp;"-"&amp;AB$2,"")&amp;IF(N(AC296)&gt;0,", "&amp;A296&amp;"-"&amp;AC$2,"")&amp;IF(N(AD296)&gt;0,", "&amp;A296&amp;"-"&amp;AD$2,"")&amp;IF(N(AE296)&gt;0,", "&amp;A296&amp;"-"&amp;AE$2,"")&amp;IF(N(AF296)&gt;0,", "&amp;A296&amp;"-"&amp;AF$2,"")&amp;IF(N(AG296)&gt;0,", "&amp;A296&amp;"-"&amp;AG$2,"")&amp;IF(N(AH296)&gt;0,", "&amp;A296&amp;"-"&amp;AH$2,"")&amp;IF(N(AI296)&gt;0,", "&amp;A296&amp;"-"&amp;AI$2,"")&amp;IF(N(AJ296)&gt;0,", "&amp;A296&amp;"-"&amp;AJ$2,""),3,999))</f>
        <v/>
      </c>
      <c r="AN296" s="81"/>
      <c r="AO296" s="88"/>
      <c r="AP296" s="89" t="str">
        <f aca="false">IF(AO296="","",ROUND(AO296/(1+Справочники!$B$13),2))</f>
        <v/>
      </c>
      <c r="AQ296" s="90" t="str">
        <f aca="false" t="array" ref="AQ296:AQ296">IF(AP296="","",AP296*INDEX(Справочники!$B$4:$B$7,MATCH("RUB",Справочники!$A$4:$A$7,0)))</f>
        <v/>
      </c>
      <c r="AR296" s="90" t="str">
        <f aca="false">IF(AQ296="","",ROUND(AQ296*(1+Справочники!$B$12),0))</f>
        <v/>
      </c>
      <c r="AS296" s="90" t="str">
        <f aca="false">IF(AR296="","",ROUND(AR296*(1-Справочники!$B$11),0))</f>
        <v/>
      </c>
      <c r="AT296" s="88"/>
      <c r="AU296" s="90" t="str">
        <f aca="false">IF(AT296="","",ROUND(AT296/(1+Справочники!$B$12),0))</f>
        <v/>
      </c>
      <c r="AV296" s="90" t="str">
        <f aca="false">IF(AT296="","",ROUND(AT296*(1-Справочники!$B$15),0))</f>
        <v/>
      </c>
      <c r="AW296" s="90" t="str">
        <f aca="false">IF(AT296="","",ROUND(AT296*(1-Справочники!$B$16),0))</f>
        <v/>
      </c>
      <c r="AX296" s="90" t="str">
        <f aca="false">IF(AT296="","",ROUND(AT296*(1-Справочники!$B$17),0))</f>
        <v/>
      </c>
      <c r="AY296" s="90" t="str">
        <f aca="false">IF(AT296="","",ROUND(AT296*(1-Справочники!$B$18),0))</f>
        <v/>
      </c>
      <c r="AZ296" s="90" t="str">
        <f aca="false">IF(AT296="","",ROUND(AT296*(1-Справочники!$B$19),0))</f>
        <v/>
      </c>
      <c r="BA296" s="81"/>
      <c r="BB296" s="81"/>
      <c r="BC296" s="81"/>
      <c r="BD296" s="81"/>
      <c r="BE296" s="91"/>
      <c r="BF296" s="81" t="s">
        <v>103</v>
      </c>
      <c r="BG296" s="89" t="n">
        <f aca="false" t="array" ref="BG296:BG296">IF(BF296="","",IFERROR(INDEX(Справочники!$B$4:$B$7,MATCH(BF296,Справочники!$A$4:$A$7,0)),""))</f>
        <v>68.5</v>
      </c>
      <c r="BH296" s="90" t="str">
        <f aca="false">IF(N(BN296)&gt;0,ROUND(SUMIF(ЗАКАЗЫ!$F$3:$F$500,$A296,ЗАКАЗЫ!$Y$3:$Y$500)/BN296,0),IF(OR(BE296="",BG296=""),"",ROUND(BE296*BG296*(1+Справочники!$B$10),0)))</f>
        <v/>
      </c>
      <c r="BI296" s="92" t="str">
        <f aca="false">IF(OR(AU296="",BH296="",AU296=0),"",(AU296-BH296)/AU296)</f>
        <v/>
      </c>
      <c r="BJ296" s="81"/>
      <c r="BK296" s="83"/>
      <c r="BL296" s="43" t="str">
        <f aca="false">IFERROR(INDEX(ЗАКАЗЫ!$N$3:$N$500,MATCH($A296,ЗАКАЗЫ!$F$3:$F$500,0)),"")</f>
        <v/>
      </c>
      <c r="BM296" s="8" t="str">
        <f aca="false">IF(BL296="","",IFERROR(VLOOKUP(BL296,'ТН ВЭД'!$A$4:$C$40,3,0),""))</f>
        <v/>
      </c>
      <c r="BN296" s="7" t="str">
        <f aca="false">IF(COUNTIF(ЗАКАЗЫ!$F$3:$F$500,$A296)=0,"",SUMIF(ЗАКАЗЫ!$F$3:$F$500,$A296,ЗАКАЗЫ!$J$3:$J$500))</f>
        <v/>
      </c>
      <c r="BO296" s="7" t="str">
        <f aca="false">IF(BN296="","",SUMIF(ЗАКАЗЫ!$F$3:$F$500,$A296,ЗАКАЗЫ!$AL$3:$AL$500))</f>
        <v/>
      </c>
      <c r="BP296" s="7" t="str">
        <f aca="false">IF(BN296="","",BN296-BO296)</f>
        <v/>
      </c>
      <c r="BQ296" s="55" t="str">
        <f aca="false">IF(BN296="","",IF(BO296&gt;=BN296,"На складе",IF(BO296&gt;0,"Частично","Ждём")))</f>
        <v/>
      </c>
      <c r="BR296" s="43"/>
      <c r="BS296" s="47" t="str">
        <f aca="false">IF(BN296="","",IF(_xlfn.MAXIFS(ЗАКАЗЫ!$AK$3:$AK$500,ЗАКАЗЫ!$F$3:$F$500,$A296)=0,"",_xlfn.MAXIFS(ЗАКАЗЫ!$AK$3:$AK$500,ЗАКАЗЫ!$F$3:$F$500,$A296)))</f>
        <v/>
      </c>
    </row>
    <row r="297" customFormat="false" ht="15.75" hidden="false" customHeight="true" outlineLevel="0" collapsed="false">
      <c r="A297" s="80" t="s">
        <v>2164</v>
      </c>
      <c r="B297" s="81"/>
      <c r="C297" s="81"/>
      <c r="D297" s="81"/>
      <c r="E297" s="83"/>
      <c r="F297" s="81"/>
      <c r="G297" s="83"/>
      <c r="H297" s="83"/>
      <c r="I297" s="84" t="str">
        <f aca="false">IF(E297="","",A297&amp;"_1.jpg")</f>
        <v/>
      </c>
      <c r="J297" s="84" t="str">
        <f aca="false">IF(E297="","",A297&amp;"_2.jpg; "&amp;A297&amp;"_3.jpg")</f>
        <v/>
      </c>
      <c r="K297" s="84" t="str">
        <f aca="false">IF(E297="","",A297&amp;"_schema.jpg")</f>
        <v/>
      </c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 t="s">
        <v>96</v>
      </c>
      <c r="W297" s="81"/>
      <c r="X297" s="81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6" t="str">
        <f aca="false">IF(SUM(Y297:AJ297)=0,"",SUM(Y297:AJ297))</f>
        <v/>
      </c>
      <c r="AL297" s="84" t="str">
        <f aca="false">MID(IF(N(Y297)&gt;0,", "&amp;Y$2,"")&amp;IF(N(Z297)&gt;0,", "&amp;Z$2,"")&amp;IF(N(AA297)&gt;0,", "&amp;AA$2,"")&amp;IF(N(AB297)&gt;0,", "&amp;AB$2,"")&amp;IF(N(AC297)&gt;0,", "&amp;AC$2,"")&amp;IF(N(AD297)&gt;0,", "&amp;AD$2,"")&amp;IF(N(AE297)&gt;0,", "&amp;AE$2,"")&amp;IF(N(AF297)&gt;0,", "&amp;AF$2,"")&amp;IF(N(AG297)&gt;0,", "&amp;AG$2,"")&amp;IF(N(AH297)&gt;0,", "&amp;AH$2,"")&amp;IF(N(AI297)&gt;0,", "&amp;AI$2,"")&amp;IF(N(AJ297)&gt;0,", "&amp;AJ$2,""),3,999)</f>
        <v/>
      </c>
      <c r="AM297" s="87" t="str">
        <f aca="false">IF(E297="","",MID(IF(N(Y297)&gt;0,", "&amp;A297&amp;"-"&amp;Y$2,"")&amp;IF(N(Z297)&gt;0,", "&amp;A297&amp;"-"&amp;Z$2,"")&amp;IF(N(AA297)&gt;0,", "&amp;A297&amp;"-"&amp;AA$2,"")&amp;IF(N(AB297)&gt;0,", "&amp;A297&amp;"-"&amp;AB$2,"")&amp;IF(N(AC297)&gt;0,", "&amp;A297&amp;"-"&amp;AC$2,"")&amp;IF(N(AD297)&gt;0,", "&amp;A297&amp;"-"&amp;AD$2,"")&amp;IF(N(AE297)&gt;0,", "&amp;A297&amp;"-"&amp;AE$2,"")&amp;IF(N(AF297)&gt;0,", "&amp;A297&amp;"-"&amp;AF$2,"")&amp;IF(N(AG297)&gt;0,", "&amp;A297&amp;"-"&amp;AG$2,"")&amp;IF(N(AH297)&gt;0,", "&amp;A297&amp;"-"&amp;AH$2,"")&amp;IF(N(AI297)&gt;0,", "&amp;A297&amp;"-"&amp;AI$2,"")&amp;IF(N(AJ297)&gt;0,", "&amp;A297&amp;"-"&amp;AJ$2,""),3,999))</f>
        <v/>
      </c>
      <c r="AN297" s="81"/>
      <c r="AO297" s="88"/>
      <c r="AP297" s="89" t="str">
        <f aca="false">IF(AO297="","",ROUND(AO297/(1+Справочники!$B$13),2))</f>
        <v/>
      </c>
      <c r="AQ297" s="90" t="str">
        <f aca="false" t="array" ref="AQ297:AQ297">IF(AP297="","",AP297*INDEX(Справочники!$B$4:$B$7,MATCH("RUB",Справочники!$A$4:$A$7,0)))</f>
        <v/>
      </c>
      <c r="AR297" s="90" t="str">
        <f aca="false">IF(AQ297="","",ROUND(AQ297*(1+Справочники!$B$12),0))</f>
        <v/>
      </c>
      <c r="AS297" s="90" t="str">
        <f aca="false">IF(AR297="","",ROUND(AR297*(1-Справочники!$B$11),0))</f>
        <v/>
      </c>
      <c r="AT297" s="88"/>
      <c r="AU297" s="90" t="str">
        <f aca="false">IF(AT297="","",ROUND(AT297/(1+Справочники!$B$12),0))</f>
        <v/>
      </c>
      <c r="AV297" s="90" t="str">
        <f aca="false">IF(AT297="","",ROUND(AT297*(1-Справочники!$B$15),0))</f>
        <v/>
      </c>
      <c r="AW297" s="90" t="str">
        <f aca="false">IF(AT297="","",ROUND(AT297*(1-Справочники!$B$16),0))</f>
        <v/>
      </c>
      <c r="AX297" s="90" t="str">
        <f aca="false">IF(AT297="","",ROUND(AT297*(1-Справочники!$B$17),0))</f>
        <v/>
      </c>
      <c r="AY297" s="90" t="str">
        <f aca="false">IF(AT297="","",ROUND(AT297*(1-Справочники!$B$18),0))</f>
        <v/>
      </c>
      <c r="AZ297" s="90" t="str">
        <f aca="false">IF(AT297="","",ROUND(AT297*(1-Справочники!$B$19),0))</f>
        <v/>
      </c>
      <c r="BA297" s="81"/>
      <c r="BB297" s="81"/>
      <c r="BC297" s="81"/>
      <c r="BD297" s="81"/>
      <c r="BE297" s="91"/>
      <c r="BF297" s="81" t="s">
        <v>103</v>
      </c>
      <c r="BG297" s="89" t="n">
        <f aca="false" t="array" ref="BG297:BG297">IF(BF297="","",IFERROR(INDEX(Справочники!$B$4:$B$7,MATCH(BF297,Справочники!$A$4:$A$7,0)),""))</f>
        <v>68.5</v>
      </c>
      <c r="BH297" s="90" t="str">
        <f aca="false">IF(N(BN297)&gt;0,ROUND(SUMIF(ЗАКАЗЫ!$F$3:$F$500,$A297,ЗАКАЗЫ!$Y$3:$Y$500)/BN297,0),IF(OR(BE297="",BG297=""),"",ROUND(BE297*BG297*(1+Справочники!$B$10),0)))</f>
        <v/>
      </c>
      <c r="BI297" s="92" t="str">
        <f aca="false">IF(OR(AU297="",BH297="",AU297=0),"",(AU297-BH297)/AU297)</f>
        <v/>
      </c>
      <c r="BJ297" s="81"/>
      <c r="BK297" s="83"/>
      <c r="BL297" s="43" t="str">
        <f aca="false">IFERROR(INDEX(ЗАКАЗЫ!$N$3:$N$500,MATCH($A297,ЗАКАЗЫ!$F$3:$F$500,0)),"")</f>
        <v/>
      </c>
      <c r="BM297" s="8" t="str">
        <f aca="false">IF(BL297="","",IFERROR(VLOOKUP(BL297,'ТН ВЭД'!$A$4:$C$40,3,0),""))</f>
        <v/>
      </c>
      <c r="BN297" s="7" t="str">
        <f aca="false">IF(COUNTIF(ЗАКАЗЫ!$F$3:$F$500,$A297)=0,"",SUMIF(ЗАКАЗЫ!$F$3:$F$500,$A297,ЗАКАЗЫ!$J$3:$J$500))</f>
        <v/>
      </c>
      <c r="BO297" s="7" t="str">
        <f aca="false">IF(BN297="","",SUMIF(ЗАКАЗЫ!$F$3:$F$500,$A297,ЗАКАЗЫ!$AL$3:$AL$500))</f>
        <v/>
      </c>
      <c r="BP297" s="7" t="str">
        <f aca="false">IF(BN297="","",BN297-BO297)</f>
        <v/>
      </c>
      <c r="BQ297" s="55" t="str">
        <f aca="false">IF(BN297="","",IF(BO297&gt;=BN297,"На складе",IF(BO297&gt;0,"Частично","Ждём")))</f>
        <v/>
      </c>
      <c r="BR297" s="43"/>
      <c r="BS297" s="47" t="str">
        <f aca="false">IF(BN297="","",IF(_xlfn.MAXIFS(ЗАКАЗЫ!$AK$3:$AK$500,ЗАКАЗЫ!$F$3:$F$500,$A297)=0,"",_xlfn.MAXIFS(ЗАКАЗЫ!$AK$3:$AK$500,ЗАКАЗЫ!$F$3:$F$500,$A297)))</f>
        <v/>
      </c>
    </row>
    <row r="298" customFormat="false" ht="15.75" hidden="false" customHeight="true" outlineLevel="0" collapsed="false">
      <c r="A298" s="80" t="s">
        <v>2165</v>
      </c>
      <c r="B298" s="81"/>
      <c r="C298" s="81"/>
      <c r="D298" s="81"/>
      <c r="E298" s="83"/>
      <c r="F298" s="81"/>
      <c r="G298" s="83"/>
      <c r="H298" s="83"/>
      <c r="I298" s="84" t="str">
        <f aca="false">IF(E298="","",A298&amp;"_1.jpg")</f>
        <v/>
      </c>
      <c r="J298" s="84" t="str">
        <f aca="false">IF(E298="","",A298&amp;"_2.jpg; "&amp;A298&amp;"_3.jpg")</f>
        <v/>
      </c>
      <c r="K298" s="84" t="str">
        <f aca="false">IF(E298="","",A298&amp;"_schema.jpg")</f>
        <v/>
      </c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 t="s">
        <v>96</v>
      </c>
      <c r="W298" s="81"/>
      <c r="X298" s="81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6" t="str">
        <f aca="false">IF(SUM(Y298:AJ298)=0,"",SUM(Y298:AJ298))</f>
        <v/>
      </c>
      <c r="AL298" s="84" t="str">
        <f aca="false">MID(IF(N(Y298)&gt;0,", "&amp;Y$2,"")&amp;IF(N(Z298)&gt;0,", "&amp;Z$2,"")&amp;IF(N(AA298)&gt;0,", "&amp;AA$2,"")&amp;IF(N(AB298)&gt;0,", "&amp;AB$2,"")&amp;IF(N(AC298)&gt;0,", "&amp;AC$2,"")&amp;IF(N(AD298)&gt;0,", "&amp;AD$2,"")&amp;IF(N(AE298)&gt;0,", "&amp;AE$2,"")&amp;IF(N(AF298)&gt;0,", "&amp;AF$2,"")&amp;IF(N(AG298)&gt;0,", "&amp;AG$2,"")&amp;IF(N(AH298)&gt;0,", "&amp;AH$2,"")&amp;IF(N(AI298)&gt;0,", "&amp;AI$2,"")&amp;IF(N(AJ298)&gt;0,", "&amp;AJ$2,""),3,999)</f>
        <v/>
      </c>
      <c r="AM298" s="87" t="str">
        <f aca="false">IF(E298="","",MID(IF(N(Y298)&gt;0,", "&amp;A298&amp;"-"&amp;Y$2,"")&amp;IF(N(Z298)&gt;0,", "&amp;A298&amp;"-"&amp;Z$2,"")&amp;IF(N(AA298)&gt;0,", "&amp;A298&amp;"-"&amp;AA$2,"")&amp;IF(N(AB298)&gt;0,", "&amp;A298&amp;"-"&amp;AB$2,"")&amp;IF(N(AC298)&gt;0,", "&amp;A298&amp;"-"&amp;AC$2,"")&amp;IF(N(AD298)&gt;0,", "&amp;A298&amp;"-"&amp;AD$2,"")&amp;IF(N(AE298)&gt;0,", "&amp;A298&amp;"-"&amp;AE$2,"")&amp;IF(N(AF298)&gt;0,", "&amp;A298&amp;"-"&amp;AF$2,"")&amp;IF(N(AG298)&gt;0,", "&amp;A298&amp;"-"&amp;AG$2,"")&amp;IF(N(AH298)&gt;0,", "&amp;A298&amp;"-"&amp;AH$2,"")&amp;IF(N(AI298)&gt;0,", "&amp;A298&amp;"-"&amp;AI$2,"")&amp;IF(N(AJ298)&gt;0,", "&amp;A298&amp;"-"&amp;AJ$2,""),3,999))</f>
        <v/>
      </c>
      <c r="AN298" s="81"/>
      <c r="AO298" s="88"/>
      <c r="AP298" s="89" t="str">
        <f aca="false">IF(AO298="","",ROUND(AO298/(1+Справочники!$B$13),2))</f>
        <v/>
      </c>
      <c r="AQ298" s="90" t="str">
        <f aca="false" t="array" ref="AQ298:AQ298">IF(AP298="","",AP298*INDEX(Справочники!$B$4:$B$7,MATCH("RUB",Справочники!$A$4:$A$7,0)))</f>
        <v/>
      </c>
      <c r="AR298" s="90" t="str">
        <f aca="false">IF(AQ298="","",ROUND(AQ298*(1+Справочники!$B$12),0))</f>
        <v/>
      </c>
      <c r="AS298" s="90" t="str">
        <f aca="false">IF(AR298="","",ROUND(AR298*(1-Справочники!$B$11),0))</f>
        <v/>
      </c>
      <c r="AT298" s="88"/>
      <c r="AU298" s="90" t="str">
        <f aca="false">IF(AT298="","",ROUND(AT298/(1+Справочники!$B$12),0))</f>
        <v/>
      </c>
      <c r="AV298" s="90" t="str">
        <f aca="false">IF(AT298="","",ROUND(AT298*(1-Справочники!$B$15),0))</f>
        <v/>
      </c>
      <c r="AW298" s="90" t="str">
        <f aca="false">IF(AT298="","",ROUND(AT298*(1-Справочники!$B$16),0))</f>
        <v/>
      </c>
      <c r="AX298" s="90" t="str">
        <f aca="false">IF(AT298="","",ROUND(AT298*(1-Справочники!$B$17),0))</f>
        <v/>
      </c>
      <c r="AY298" s="90" t="str">
        <f aca="false">IF(AT298="","",ROUND(AT298*(1-Справочники!$B$18),0))</f>
        <v/>
      </c>
      <c r="AZ298" s="90" t="str">
        <f aca="false">IF(AT298="","",ROUND(AT298*(1-Справочники!$B$19),0))</f>
        <v/>
      </c>
      <c r="BA298" s="81"/>
      <c r="BB298" s="81"/>
      <c r="BC298" s="81"/>
      <c r="BD298" s="81"/>
      <c r="BE298" s="91"/>
      <c r="BF298" s="81" t="s">
        <v>103</v>
      </c>
      <c r="BG298" s="89" t="n">
        <f aca="false" t="array" ref="BG298:BG298">IF(BF298="","",IFERROR(INDEX(Справочники!$B$4:$B$7,MATCH(BF298,Справочники!$A$4:$A$7,0)),""))</f>
        <v>68.5</v>
      </c>
      <c r="BH298" s="90" t="str">
        <f aca="false">IF(N(BN298)&gt;0,ROUND(SUMIF(ЗАКАЗЫ!$F$3:$F$500,$A298,ЗАКАЗЫ!$Y$3:$Y$500)/BN298,0),IF(OR(BE298="",BG298=""),"",ROUND(BE298*BG298*(1+Справочники!$B$10),0)))</f>
        <v/>
      </c>
      <c r="BI298" s="92" t="str">
        <f aca="false">IF(OR(AU298="",BH298="",AU298=0),"",(AU298-BH298)/AU298)</f>
        <v/>
      </c>
      <c r="BJ298" s="81"/>
      <c r="BK298" s="83"/>
      <c r="BL298" s="43" t="str">
        <f aca="false">IFERROR(INDEX(ЗАКАЗЫ!$N$3:$N$500,MATCH($A298,ЗАКАЗЫ!$F$3:$F$500,0)),"")</f>
        <v/>
      </c>
      <c r="BM298" s="8" t="str">
        <f aca="false">IF(BL298="","",IFERROR(VLOOKUP(BL298,'ТН ВЭД'!$A$4:$C$40,3,0),""))</f>
        <v/>
      </c>
      <c r="BN298" s="7" t="str">
        <f aca="false">IF(COUNTIF(ЗАКАЗЫ!$F$3:$F$500,$A298)=0,"",SUMIF(ЗАКАЗЫ!$F$3:$F$500,$A298,ЗАКАЗЫ!$J$3:$J$500))</f>
        <v/>
      </c>
      <c r="BO298" s="7" t="str">
        <f aca="false">IF(BN298="","",SUMIF(ЗАКАЗЫ!$F$3:$F$500,$A298,ЗАКАЗЫ!$AL$3:$AL$500))</f>
        <v/>
      </c>
      <c r="BP298" s="7" t="str">
        <f aca="false">IF(BN298="","",BN298-BO298)</f>
        <v/>
      </c>
      <c r="BQ298" s="55" t="str">
        <f aca="false">IF(BN298="","",IF(BO298&gt;=BN298,"На складе",IF(BO298&gt;0,"Частично","Ждём")))</f>
        <v/>
      </c>
      <c r="BR298" s="43"/>
      <c r="BS298" s="47" t="str">
        <f aca="false">IF(BN298="","",IF(_xlfn.MAXIFS(ЗАКАЗЫ!$AK$3:$AK$500,ЗАКАЗЫ!$F$3:$F$500,$A298)=0,"",_xlfn.MAXIFS(ЗАКАЗЫ!$AK$3:$AK$500,ЗАКАЗЫ!$F$3:$F$500,$A298)))</f>
        <v/>
      </c>
    </row>
    <row r="299" customFormat="false" ht="15.75" hidden="false" customHeight="true" outlineLevel="0" collapsed="false">
      <c r="A299" s="80" t="s">
        <v>2166</v>
      </c>
      <c r="B299" s="81"/>
      <c r="C299" s="81"/>
      <c r="D299" s="81"/>
      <c r="E299" s="83"/>
      <c r="F299" s="81"/>
      <c r="G299" s="83"/>
      <c r="H299" s="83"/>
      <c r="I299" s="84" t="str">
        <f aca="false">IF(E299="","",A299&amp;"_1.jpg")</f>
        <v/>
      </c>
      <c r="J299" s="84" t="str">
        <f aca="false">IF(E299="","",A299&amp;"_2.jpg; "&amp;A299&amp;"_3.jpg")</f>
        <v/>
      </c>
      <c r="K299" s="84" t="str">
        <f aca="false">IF(E299="","",A299&amp;"_schema.jpg")</f>
        <v/>
      </c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 t="s">
        <v>96</v>
      </c>
      <c r="W299" s="81"/>
      <c r="X299" s="81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6" t="str">
        <f aca="false">IF(SUM(Y299:AJ299)=0,"",SUM(Y299:AJ299))</f>
        <v/>
      </c>
      <c r="AL299" s="84" t="str">
        <f aca="false">MID(IF(N(Y299)&gt;0,", "&amp;Y$2,"")&amp;IF(N(Z299)&gt;0,", "&amp;Z$2,"")&amp;IF(N(AA299)&gt;0,", "&amp;AA$2,"")&amp;IF(N(AB299)&gt;0,", "&amp;AB$2,"")&amp;IF(N(AC299)&gt;0,", "&amp;AC$2,"")&amp;IF(N(AD299)&gt;0,", "&amp;AD$2,"")&amp;IF(N(AE299)&gt;0,", "&amp;AE$2,"")&amp;IF(N(AF299)&gt;0,", "&amp;AF$2,"")&amp;IF(N(AG299)&gt;0,", "&amp;AG$2,"")&amp;IF(N(AH299)&gt;0,", "&amp;AH$2,"")&amp;IF(N(AI299)&gt;0,", "&amp;AI$2,"")&amp;IF(N(AJ299)&gt;0,", "&amp;AJ$2,""),3,999)</f>
        <v/>
      </c>
      <c r="AM299" s="87" t="str">
        <f aca="false">IF(E299="","",MID(IF(N(Y299)&gt;0,", "&amp;A299&amp;"-"&amp;Y$2,"")&amp;IF(N(Z299)&gt;0,", "&amp;A299&amp;"-"&amp;Z$2,"")&amp;IF(N(AA299)&gt;0,", "&amp;A299&amp;"-"&amp;AA$2,"")&amp;IF(N(AB299)&gt;0,", "&amp;A299&amp;"-"&amp;AB$2,"")&amp;IF(N(AC299)&gt;0,", "&amp;A299&amp;"-"&amp;AC$2,"")&amp;IF(N(AD299)&gt;0,", "&amp;A299&amp;"-"&amp;AD$2,"")&amp;IF(N(AE299)&gt;0,", "&amp;A299&amp;"-"&amp;AE$2,"")&amp;IF(N(AF299)&gt;0,", "&amp;A299&amp;"-"&amp;AF$2,"")&amp;IF(N(AG299)&gt;0,", "&amp;A299&amp;"-"&amp;AG$2,"")&amp;IF(N(AH299)&gt;0,", "&amp;A299&amp;"-"&amp;AH$2,"")&amp;IF(N(AI299)&gt;0,", "&amp;A299&amp;"-"&amp;AI$2,"")&amp;IF(N(AJ299)&gt;0,", "&amp;A299&amp;"-"&amp;AJ$2,""),3,999))</f>
        <v/>
      </c>
      <c r="AN299" s="81"/>
      <c r="AO299" s="88"/>
      <c r="AP299" s="89" t="str">
        <f aca="false">IF(AO299="","",ROUND(AO299/(1+Справочники!$B$13),2))</f>
        <v/>
      </c>
      <c r="AQ299" s="90" t="str">
        <f aca="false" t="array" ref="AQ299:AQ299">IF(AP299="","",AP299*INDEX(Справочники!$B$4:$B$7,MATCH("RUB",Справочники!$A$4:$A$7,0)))</f>
        <v/>
      </c>
      <c r="AR299" s="90" t="str">
        <f aca="false">IF(AQ299="","",ROUND(AQ299*(1+Справочники!$B$12),0))</f>
        <v/>
      </c>
      <c r="AS299" s="90" t="str">
        <f aca="false">IF(AR299="","",ROUND(AR299*(1-Справочники!$B$11),0))</f>
        <v/>
      </c>
      <c r="AT299" s="88"/>
      <c r="AU299" s="90" t="str">
        <f aca="false">IF(AT299="","",ROUND(AT299/(1+Справочники!$B$12),0))</f>
        <v/>
      </c>
      <c r="AV299" s="90" t="str">
        <f aca="false">IF(AT299="","",ROUND(AT299*(1-Справочники!$B$15),0))</f>
        <v/>
      </c>
      <c r="AW299" s="90" t="str">
        <f aca="false">IF(AT299="","",ROUND(AT299*(1-Справочники!$B$16),0))</f>
        <v/>
      </c>
      <c r="AX299" s="90" t="str">
        <f aca="false">IF(AT299="","",ROUND(AT299*(1-Справочники!$B$17),0))</f>
        <v/>
      </c>
      <c r="AY299" s="90" t="str">
        <f aca="false">IF(AT299="","",ROUND(AT299*(1-Справочники!$B$18),0))</f>
        <v/>
      </c>
      <c r="AZ299" s="90" t="str">
        <f aca="false">IF(AT299="","",ROUND(AT299*(1-Справочники!$B$19),0))</f>
        <v/>
      </c>
      <c r="BA299" s="81"/>
      <c r="BB299" s="81"/>
      <c r="BC299" s="81"/>
      <c r="BD299" s="81"/>
      <c r="BE299" s="91"/>
      <c r="BF299" s="81" t="s">
        <v>103</v>
      </c>
      <c r="BG299" s="89" t="n">
        <f aca="false" t="array" ref="BG299:BG299">IF(BF299="","",IFERROR(INDEX(Справочники!$B$4:$B$7,MATCH(BF299,Справочники!$A$4:$A$7,0)),""))</f>
        <v>68.5</v>
      </c>
      <c r="BH299" s="90" t="str">
        <f aca="false">IF(N(BN299)&gt;0,ROUND(SUMIF(ЗАКАЗЫ!$F$3:$F$500,$A299,ЗАКАЗЫ!$Y$3:$Y$500)/BN299,0),IF(OR(BE299="",BG299=""),"",ROUND(BE299*BG299*(1+Справочники!$B$10),0)))</f>
        <v/>
      </c>
      <c r="BI299" s="92" t="str">
        <f aca="false">IF(OR(AU299="",BH299="",AU299=0),"",(AU299-BH299)/AU299)</f>
        <v/>
      </c>
      <c r="BJ299" s="81"/>
      <c r="BK299" s="83"/>
      <c r="BL299" s="43" t="str">
        <f aca="false">IFERROR(INDEX(ЗАКАЗЫ!$N$3:$N$500,MATCH($A299,ЗАКАЗЫ!$F$3:$F$500,0)),"")</f>
        <v/>
      </c>
      <c r="BM299" s="8" t="str">
        <f aca="false">IF(BL299="","",IFERROR(VLOOKUP(BL299,'ТН ВЭД'!$A$4:$C$40,3,0),""))</f>
        <v/>
      </c>
      <c r="BN299" s="7" t="str">
        <f aca="false">IF(COUNTIF(ЗАКАЗЫ!$F$3:$F$500,$A299)=0,"",SUMIF(ЗАКАЗЫ!$F$3:$F$500,$A299,ЗАКАЗЫ!$J$3:$J$500))</f>
        <v/>
      </c>
      <c r="BO299" s="7" t="str">
        <f aca="false">IF(BN299="","",SUMIF(ЗАКАЗЫ!$F$3:$F$500,$A299,ЗАКАЗЫ!$AL$3:$AL$500))</f>
        <v/>
      </c>
      <c r="BP299" s="7" t="str">
        <f aca="false">IF(BN299="","",BN299-BO299)</f>
        <v/>
      </c>
      <c r="BQ299" s="55" t="str">
        <f aca="false">IF(BN299="","",IF(BO299&gt;=BN299,"На складе",IF(BO299&gt;0,"Частично","Ждём")))</f>
        <v/>
      </c>
      <c r="BR299" s="43"/>
      <c r="BS299" s="47" t="str">
        <f aca="false">IF(BN299="","",IF(_xlfn.MAXIFS(ЗАКАЗЫ!$AK$3:$AK$500,ЗАКАЗЫ!$F$3:$F$500,$A299)=0,"",_xlfn.MAXIFS(ЗАКАЗЫ!$AK$3:$AK$500,ЗАКАЗЫ!$F$3:$F$500,$A299)))</f>
        <v/>
      </c>
    </row>
    <row r="300" customFormat="false" ht="15.75" hidden="false" customHeight="true" outlineLevel="0" collapsed="false">
      <c r="A300" s="80" t="s">
        <v>2167</v>
      </c>
      <c r="B300" s="81"/>
      <c r="C300" s="81"/>
      <c r="D300" s="81"/>
      <c r="E300" s="83"/>
      <c r="F300" s="81"/>
      <c r="G300" s="83"/>
      <c r="H300" s="83"/>
      <c r="I300" s="84" t="str">
        <f aca="false">IF(E300="","",A300&amp;"_1.jpg")</f>
        <v/>
      </c>
      <c r="J300" s="84" t="str">
        <f aca="false">IF(E300="","",A300&amp;"_2.jpg; "&amp;A300&amp;"_3.jpg")</f>
        <v/>
      </c>
      <c r="K300" s="84" t="str">
        <f aca="false">IF(E300="","",A300&amp;"_schema.jpg")</f>
        <v/>
      </c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 t="s">
        <v>96</v>
      </c>
      <c r="W300" s="81"/>
      <c r="X300" s="81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6" t="str">
        <f aca="false">IF(SUM(Y300:AJ300)=0,"",SUM(Y300:AJ300))</f>
        <v/>
      </c>
      <c r="AL300" s="84" t="str">
        <f aca="false">MID(IF(N(Y300)&gt;0,", "&amp;Y$2,"")&amp;IF(N(Z300)&gt;0,", "&amp;Z$2,"")&amp;IF(N(AA300)&gt;0,", "&amp;AA$2,"")&amp;IF(N(AB300)&gt;0,", "&amp;AB$2,"")&amp;IF(N(AC300)&gt;0,", "&amp;AC$2,"")&amp;IF(N(AD300)&gt;0,", "&amp;AD$2,"")&amp;IF(N(AE300)&gt;0,", "&amp;AE$2,"")&amp;IF(N(AF300)&gt;0,", "&amp;AF$2,"")&amp;IF(N(AG300)&gt;0,", "&amp;AG$2,"")&amp;IF(N(AH300)&gt;0,", "&amp;AH$2,"")&amp;IF(N(AI300)&gt;0,", "&amp;AI$2,"")&amp;IF(N(AJ300)&gt;0,", "&amp;AJ$2,""),3,999)</f>
        <v/>
      </c>
      <c r="AM300" s="87" t="str">
        <f aca="false">IF(E300="","",MID(IF(N(Y300)&gt;0,", "&amp;A300&amp;"-"&amp;Y$2,"")&amp;IF(N(Z300)&gt;0,", "&amp;A300&amp;"-"&amp;Z$2,"")&amp;IF(N(AA300)&gt;0,", "&amp;A300&amp;"-"&amp;AA$2,"")&amp;IF(N(AB300)&gt;0,", "&amp;A300&amp;"-"&amp;AB$2,"")&amp;IF(N(AC300)&gt;0,", "&amp;A300&amp;"-"&amp;AC$2,"")&amp;IF(N(AD300)&gt;0,", "&amp;A300&amp;"-"&amp;AD$2,"")&amp;IF(N(AE300)&gt;0,", "&amp;A300&amp;"-"&amp;AE$2,"")&amp;IF(N(AF300)&gt;0,", "&amp;A300&amp;"-"&amp;AF$2,"")&amp;IF(N(AG300)&gt;0,", "&amp;A300&amp;"-"&amp;AG$2,"")&amp;IF(N(AH300)&gt;0,", "&amp;A300&amp;"-"&amp;AH$2,"")&amp;IF(N(AI300)&gt;0,", "&amp;A300&amp;"-"&amp;AI$2,"")&amp;IF(N(AJ300)&gt;0,", "&amp;A300&amp;"-"&amp;AJ$2,""),3,999))</f>
        <v/>
      </c>
      <c r="AN300" s="81"/>
      <c r="AO300" s="88"/>
      <c r="AP300" s="89" t="str">
        <f aca="false">IF(AO300="","",ROUND(AO300/(1+Справочники!$B$13),2))</f>
        <v/>
      </c>
      <c r="AQ300" s="90" t="str">
        <f aca="false" t="array" ref="AQ300:AQ300">IF(AP300="","",AP300*INDEX(Справочники!$B$4:$B$7,MATCH("RUB",Справочники!$A$4:$A$7,0)))</f>
        <v/>
      </c>
      <c r="AR300" s="90" t="str">
        <f aca="false">IF(AQ300="","",ROUND(AQ300*(1+Справочники!$B$12),0))</f>
        <v/>
      </c>
      <c r="AS300" s="90" t="str">
        <f aca="false">IF(AR300="","",ROUND(AR300*(1-Справочники!$B$11),0))</f>
        <v/>
      </c>
      <c r="AT300" s="88"/>
      <c r="AU300" s="90" t="str">
        <f aca="false">IF(AT300="","",ROUND(AT300/(1+Справочники!$B$12),0))</f>
        <v/>
      </c>
      <c r="AV300" s="90" t="str">
        <f aca="false">IF(AT300="","",ROUND(AT300*(1-Справочники!$B$15),0))</f>
        <v/>
      </c>
      <c r="AW300" s="90" t="str">
        <f aca="false">IF(AT300="","",ROUND(AT300*(1-Справочники!$B$16),0))</f>
        <v/>
      </c>
      <c r="AX300" s="90" t="str">
        <f aca="false">IF(AT300="","",ROUND(AT300*(1-Справочники!$B$17),0))</f>
        <v/>
      </c>
      <c r="AY300" s="90" t="str">
        <f aca="false">IF(AT300="","",ROUND(AT300*(1-Справочники!$B$18),0))</f>
        <v/>
      </c>
      <c r="AZ300" s="90" t="str">
        <f aca="false">IF(AT300="","",ROUND(AT300*(1-Справочники!$B$19),0))</f>
        <v/>
      </c>
      <c r="BA300" s="81"/>
      <c r="BB300" s="81"/>
      <c r="BC300" s="81"/>
      <c r="BD300" s="81"/>
      <c r="BE300" s="91"/>
      <c r="BF300" s="81" t="s">
        <v>103</v>
      </c>
      <c r="BG300" s="89" t="n">
        <f aca="false" t="array" ref="BG300:BG300">IF(BF300="","",IFERROR(INDEX(Справочники!$B$4:$B$7,MATCH(BF300,Справочники!$A$4:$A$7,0)),""))</f>
        <v>68.5</v>
      </c>
      <c r="BH300" s="90" t="str">
        <f aca="false">IF(N(BN300)&gt;0,ROUND(SUMIF(ЗАКАЗЫ!$F$3:$F$500,$A300,ЗАКАЗЫ!$Y$3:$Y$500)/BN300,0),IF(OR(BE300="",BG300=""),"",ROUND(BE300*BG300*(1+Справочники!$B$10),0)))</f>
        <v/>
      </c>
      <c r="BI300" s="92" t="str">
        <f aca="false">IF(OR(AU300="",BH300="",AU300=0),"",(AU300-BH300)/AU300)</f>
        <v/>
      </c>
      <c r="BJ300" s="81"/>
      <c r="BK300" s="83"/>
      <c r="BL300" s="43" t="str">
        <f aca="false">IFERROR(INDEX(ЗАКАЗЫ!$N$3:$N$500,MATCH($A300,ЗАКАЗЫ!$F$3:$F$500,0)),"")</f>
        <v/>
      </c>
      <c r="BM300" s="8" t="str">
        <f aca="false">IF(BL300="","",IFERROR(VLOOKUP(BL300,'ТН ВЭД'!$A$4:$C$40,3,0),""))</f>
        <v/>
      </c>
      <c r="BN300" s="7" t="str">
        <f aca="false">IF(COUNTIF(ЗАКАЗЫ!$F$3:$F$500,$A300)=0,"",SUMIF(ЗАКАЗЫ!$F$3:$F$500,$A300,ЗАКАЗЫ!$J$3:$J$500))</f>
        <v/>
      </c>
      <c r="BO300" s="7" t="str">
        <f aca="false">IF(BN300="","",SUMIF(ЗАКАЗЫ!$F$3:$F$500,$A300,ЗАКАЗЫ!$AL$3:$AL$500))</f>
        <v/>
      </c>
      <c r="BP300" s="7" t="str">
        <f aca="false">IF(BN300="","",BN300-BO300)</f>
        <v/>
      </c>
      <c r="BQ300" s="55" t="str">
        <f aca="false">IF(BN300="","",IF(BO300&gt;=BN300,"На складе",IF(BO300&gt;0,"Частично","Ждём")))</f>
        <v/>
      </c>
      <c r="BR300" s="43"/>
      <c r="BS300" s="47" t="str">
        <f aca="false">IF(BN300="","",IF(_xlfn.MAXIFS(ЗАКАЗЫ!$AK$3:$AK$500,ЗАКАЗЫ!$F$3:$F$500,$A300)=0,"",_xlfn.MAXIFS(ЗАКАЗЫ!$AK$3:$AK$500,ЗАКАЗЫ!$F$3:$F$500,$A300)))</f>
        <v/>
      </c>
    </row>
    <row r="301" customFormat="false" ht="15.75" hidden="false" customHeight="true" outlineLevel="0" collapsed="false">
      <c r="A301" s="80" t="s">
        <v>2168</v>
      </c>
      <c r="B301" s="81"/>
      <c r="C301" s="81"/>
      <c r="D301" s="81"/>
      <c r="E301" s="83"/>
      <c r="F301" s="81"/>
      <c r="G301" s="83"/>
      <c r="H301" s="83"/>
      <c r="I301" s="84" t="str">
        <f aca="false">IF(E301="","",A301&amp;"_1.jpg")</f>
        <v/>
      </c>
      <c r="J301" s="84" t="str">
        <f aca="false">IF(E301="","",A301&amp;"_2.jpg; "&amp;A301&amp;"_3.jpg")</f>
        <v/>
      </c>
      <c r="K301" s="84" t="str">
        <f aca="false">IF(E301="","",A301&amp;"_schema.jpg")</f>
        <v/>
      </c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 t="s">
        <v>96</v>
      </c>
      <c r="W301" s="81"/>
      <c r="X301" s="81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6" t="str">
        <f aca="false">IF(SUM(Y301:AJ301)=0,"",SUM(Y301:AJ301))</f>
        <v/>
      </c>
      <c r="AL301" s="84" t="str">
        <f aca="false">MID(IF(N(Y301)&gt;0,", "&amp;Y$2,"")&amp;IF(N(Z301)&gt;0,", "&amp;Z$2,"")&amp;IF(N(AA301)&gt;0,", "&amp;AA$2,"")&amp;IF(N(AB301)&gt;0,", "&amp;AB$2,"")&amp;IF(N(AC301)&gt;0,", "&amp;AC$2,"")&amp;IF(N(AD301)&gt;0,", "&amp;AD$2,"")&amp;IF(N(AE301)&gt;0,", "&amp;AE$2,"")&amp;IF(N(AF301)&gt;0,", "&amp;AF$2,"")&amp;IF(N(AG301)&gt;0,", "&amp;AG$2,"")&amp;IF(N(AH301)&gt;0,", "&amp;AH$2,"")&amp;IF(N(AI301)&gt;0,", "&amp;AI$2,"")&amp;IF(N(AJ301)&gt;0,", "&amp;AJ$2,""),3,999)</f>
        <v/>
      </c>
      <c r="AM301" s="87" t="str">
        <f aca="false">IF(E301="","",MID(IF(N(Y301)&gt;0,", "&amp;A301&amp;"-"&amp;Y$2,"")&amp;IF(N(Z301)&gt;0,", "&amp;A301&amp;"-"&amp;Z$2,"")&amp;IF(N(AA301)&gt;0,", "&amp;A301&amp;"-"&amp;AA$2,"")&amp;IF(N(AB301)&gt;0,", "&amp;A301&amp;"-"&amp;AB$2,"")&amp;IF(N(AC301)&gt;0,", "&amp;A301&amp;"-"&amp;AC$2,"")&amp;IF(N(AD301)&gt;0,", "&amp;A301&amp;"-"&amp;AD$2,"")&amp;IF(N(AE301)&gt;0,", "&amp;A301&amp;"-"&amp;AE$2,"")&amp;IF(N(AF301)&gt;0,", "&amp;A301&amp;"-"&amp;AF$2,"")&amp;IF(N(AG301)&gt;0,", "&amp;A301&amp;"-"&amp;AG$2,"")&amp;IF(N(AH301)&gt;0,", "&amp;A301&amp;"-"&amp;AH$2,"")&amp;IF(N(AI301)&gt;0,", "&amp;A301&amp;"-"&amp;AI$2,"")&amp;IF(N(AJ301)&gt;0,", "&amp;A301&amp;"-"&amp;AJ$2,""),3,999))</f>
        <v/>
      </c>
      <c r="AN301" s="81"/>
      <c r="AO301" s="88"/>
      <c r="AP301" s="89" t="str">
        <f aca="false">IF(AO301="","",ROUND(AO301/(1+Справочники!$B$13),2))</f>
        <v/>
      </c>
      <c r="AQ301" s="90" t="str">
        <f aca="false" t="array" ref="AQ301:AQ301">IF(AP301="","",AP301*INDEX(Справочники!$B$4:$B$7,MATCH("RUB",Справочники!$A$4:$A$7,0)))</f>
        <v/>
      </c>
      <c r="AR301" s="90" t="str">
        <f aca="false">IF(AQ301="","",ROUND(AQ301*(1+Справочники!$B$12),0))</f>
        <v/>
      </c>
      <c r="AS301" s="90" t="str">
        <f aca="false">IF(AR301="","",ROUND(AR301*(1-Справочники!$B$11),0))</f>
        <v/>
      </c>
      <c r="AT301" s="88"/>
      <c r="AU301" s="90" t="str">
        <f aca="false">IF(AT301="","",ROUND(AT301/(1+Справочники!$B$12),0))</f>
        <v/>
      </c>
      <c r="AV301" s="90" t="str">
        <f aca="false">IF(AT301="","",ROUND(AT301*(1-Справочники!$B$15),0))</f>
        <v/>
      </c>
      <c r="AW301" s="90" t="str">
        <f aca="false">IF(AT301="","",ROUND(AT301*(1-Справочники!$B$16),0))</f>
        <v/>
      </c>
      <c r="AX301" s="90" t="str">
        <f aca="false">IF(AT301="","",ROUND(AT301*(1-Справочники!$B$17),0))</f>
        <v/>
      </c>
      <c r="AY301" s="90" t="str">
        <f aca="false">IF(AT301="","",ROUND(AT301*(1-Справочники!$B$18),0))</f>
        <v/>
      </c>
      <c r="AZ301" s="90" t="str">
        <f aca="false">IF(AT301="","",ROUND(AT301*(1-Справочники!$B$19),0))</f>
        <v/>
      </c>
      <c r="BA301" s="81"/>
      <c r="BB301" s="81"/>
      <c r="BC301" s="81"/>
      <c r="BD301" s="81"/>
      <c r="BE301" s="91"/>
      <c r="BF301" s="81" t="s">
        <v>103</v>
      </c>
      <c r="BG301" s="89" t="n">
        <f aca="false" t="array" ref="BG301:BG301">IF(BF301="","",IFERROR(INDEX(Справочники!$B$4:$B$7,MATCH(BF301,Справочники!$A$4:$A$7,0)),""))</f>
        <v>68.5</v>
      </c>
      <c r="BH301" s="90" t="str">
        <f aca="false">IF(N(BN301)&gt;0,ROUND(SUMIF(ЗАКАЗЫ!$F$3:$F$500,$A301,ЗАКАЗЫ!$Y$3:$Y$500)/BN301,0),IF(OR(BE301="",BG301=""),"",ROUND(BE301*BG301*(1+Справочники!$B$10),0)))</f>
        <v/>
      </c>
      <c r="BI301" s="92" t="str">
        <f aca="false">IF(OR(AU301="",BH301="",AU301=0),"",(AU301-BH301)/AU301)</f>
        <v/>
      </c>
      <c r="BJ301" s="81"/>
      <c r="BK301" s="83"/>
      <c r="BL301" s="43" t="str">
        <f aca="false">IFERROR(INDEX(ЗАКАЗЫ!$N$3:$N$500,MATCH($A301,ЗАКАЗЫ!$F$3:$F$500,0)),"")</f>
        <v/>
      </c>
      <c r="BM301" s="8" t="str">
        <f aca="false">IF(BL301="","",IFERROR(VLOOKUP(BL301,'ТН ВЭД'!$A$4:$C$40,3,0),""))</f>
        <v/>
      </c>
      <c r="BN301" s="7" t="str">
        <f aca="false">IF(COUNTIF(ЗАКАЗЫ!$F$3:$F$500,$A301)=0,"",SUMIF(ЗАКАЗЫ!$F$3:$F$500,$A301,ЗАКАЗЫ!$J$3:$J$500))</f>
        <v/>
      </c>
      <c r="BO301" s="7" t="str">
        <f aca="false">IF(BN301="","",SUMIF(ЗАКАЗЫ!$F$3:$F$500,$A301,ЗАКАЗЫ!$AL$3:$AL$500))</f>
        <v/>
      </c>
      <c r="BP301" s="7" t="str">
        <f aca="false">IF(BN301="","",BN301-BO301)</f>
        <v/>
      </c>
      <c r="BQ301" s="55" t="str">
        <f aca="false">IF(BN301="","",IF(BO301&gt;=BN301,"На складе",IF(BO301&gt;0,"Частично","Ждём")))</f>
        <v/>
      </c>
      <c r="BR301" s="43"/>
      <c r="BS301" s="47" t="str">
        <f aca="false">IF(BN301="","",IF(_xlfn.MAXIFS(ЗАКАЗЫ!$AK$3:$AK$500,ЗАКАЗЫ!$F$3:$F$500,$A301)=0,"",_xlfn.MAXIFS(ЗАКАЗЫ!$AK$3:$AK$500,ЗАКАЗЫ!$F$3:$F$500,$A301)))</f>
        <v/>
      </c>
    </row>
    <row r="302" customFormat="false" ht="15.75" hidden="false" customHeight="true" outlineLevel="0" collapsed="false">
      <c r="A302" s="80" t="s">
        <v>2169</v>
      </c>
      <c r="B302" s="81"/>
      <c r="C302" s="81"/>
      <c r="D302" s="81"/>
      <c r="E302" s="83"/>
      <c r="F302" s="81"/>
      <c r="G302" s="83"/>
      <c r="H302" s="83"/>
      <c r="I302" s="84" t="str">
        <f aca="false">IF(E302="","",A302&amp;"_1.jpg")</f>
        <v/>
      </c>
      <c r="J302" s="84" t="str">
        <f aca="false">IF(E302="","",A302&amp;"_2.jpg; "&amp;A302&amp;"_3.jpg")</f>
        <v/>
      </c>
      <c r="K302" s="84" t="str">
        <f aca="false">IF(E302="","",A302&amp;"_schema.jpg")</f>
        <v/>
      </c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 t="s">
        <v>96</v>
      </c>
      <c r="W302" s="81"/>
      <c r="X302" s="81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6" t="str">
        <f aca="false">IF(SUM(Y302:AJ302)=0,"",SUM(Y302:AJ302))</f>
        <v/>
      </c>
      <c r="AL302" s="84" t="str">
        <f aca="false">MID(IF(N(Y302)&gt;0,", "&amp;Y$2,"")&amp;IF(N(Z302)&gt;0,", "&amp;Z$2,"")&amp;IF(N(AA302)&gt;0,", "&amp;AA$2,"")&amp;IF(N(AB302)&gt;0,", "&amp;AB$2,"")&amp;IF(N(AC302)&gt;0,", "&amp;AC$2,"")&amp;IF(N(AD302)&gt;0,", "&amp;AD$2,"")&amp;IF(N(AE302)&gt;0,", "&amp;AE$2,"")&amp;IF(N(AF302)&gt;0,", "&amp;AF$2,"")&amp;IF(N(AG302)&gt;0,", "&amp;AG$2,"")&amp;IF(N(AH302)&gt;0,", "&amp;AH$2,"")&amp;IF(N(AI302)&gt;0,", "&amp;AI$2,"")&amp;IF(N(AJ302)&gt;0,", "&amp;AJ$2,""),3,999)</f>
        <v/>
      </c>
      <c r="AM302" s="87" t="str">
        <f aca="false">IF(E302="","",MID(IF(N(Y302)&gt;0,", "&amp;A302&amp;"-"&amp;Y$2,"")&amp;IF(N(Z302)&gt;0,", "&amp;A302&amp;"-"&amp;Z$2,"")&amp;IF(N(AA302)&gt;0,", "&amp;A302&amp;"-"&amp;AA$2,"")&amp;IF(N(AB302)&gt;0,", "&amp;A302&amp;"-"&amp;AB$2,"")&amp;IF(N(AC302)&gt;0,", "&amp;A302&amp;"-"&amp;AC$2,"")&amp;IF(N(AD302)&gt;0,", "&amp;A302&amp;"-"&amp;AD$2,"")&amp;IF(N(AE302)&gt;0,", "&amp;A302&amp;"-"&amp;AE$2,"")&amp;IF(N(AF302)&gt;0,", "&amp;A302&amp;"-"&amp;AF$2,"")&amp;IF(N(AG302)&gt;0,", "&amp;A302&amp;"-"&amp;AG$2,"")&amp;IF(N(AH302)&gt;0,", "&amp;A302&amp;"-"&amp;AH$2,"")&amp;IF(N(AI302)&gt;0,", "&amp;A302&amp;"-"&amp;AI$2,"")&amp;IF(N(AJ302)&gt;0,", "&amp;A302&amp;"-"&amp;AJ$2,""),3,999))</f>
        <v/>
      </c>
      <c r="AN302" s="81"/>
      <c r="AO302" s="88"/>
      <c r="AP302" s="89" t="str">
        <f aca="false">IF(AO302="","",ROUND(AO302/(1+Справочники!$B$13),2))</f>
        <v/>
      </c>
      <c r="AQ302" s="90" t="str">
        <f aca="false" t="array" ref="AQ302:AQ302">IF(AP302="","",AP302*INDEX(Справочники!$B$4:$B$7,MATCH("RUB",Справочники!$A$4:$A$7,0)))</f>
        <v/>
      </c>
      <c r="AR302" s="90" t="str">
        <f aca="false">IF(AQ302="","",ROUND(AQ302*(1+Справочники!$B$12),0))</f>
        <v/>
      </c>
      <c r="AS302" s="90" t="str">
        <f aca="false">IF(AR302="","",ROUND(AR302*(1-Справочники!$B$11),0))</f>
        <v/>
      </c>
      <c r="AT302" s="88"/>
      <c r="AU302" s="90" t="str">
        <f aca="false">IF(AT302="","",ROUND(AT302/(1+Справочники!$B$12),0))</f>
        <v/>
      </c>
      <c r="AV302" s="90" t="str">
        <f aca="false">IF(AT302="","",ROUND(AT302*(1-Справочники!$B$15),0))</f>
        <v/>
      </c>
      <c r="AW302" s="90" t="str">
        <f aca="false">IF(AT302="","",ROUND(AT302*(1-Справочники!$B$16),0))</f>
        <v/>
      </c>
      <c r="AX302" s="90" t="str">
        <f aca="false">IF(AT302="","",ROUND(AT302*(1-Справочники!$B$17),0))</f>
        <v/>
      </c>
      <c r="AY302" s="90" t="str">
        <f aca="false">IF(AT302="","",ROUND(AT302*(1-Справочники!$B$18),0))</f>
        <v/>
      </c>
      <c r="AZ302" s="90" t="str">
        <f aca="false">IF(AT302="","",ROUND(AT302*(1-Справочники!$B$19),0))</f>
        <v/>
      </c>
      <c r="BA302" s="81"/>
      <c r="BB302" s="81"/>
      <c r="BC302" s="81"/>
      <c r="BD302" s="81"/>
      <c r="BE302" s="91"/>
      <c r="BF302" s="81" t="s">
        <v>103</v>
      </c>
      <c r="BG302" s="89" t="n">
        <f aca="false" t="array" ref="BG302:BG302">IF(BF302="","",IFERROR(INDEX(Справочники!$B$4:$B$7,MATCH(BF302,Справочники!$A$4:$A$7,0)),""))</f>
        <v>68.5</v>
      </c>
      <c r="BH302" s="90" t="str">
        <f aca="false">IF(N(BN302)&gt;0,ROUND(SUMIF(ЗАКАЗЫ!$F$3:$F$500,$A302,ЗАКАЗЫ!$Y$3:$Y$500)/BN302,0),IF(OR(BE302="",BG302=""),"",ROUND(BE302*BG302*(1+Справочники!$B$10),0)))</f>
        <v/>
      </c>
      <c r="BI302" s="92" t="str">
        <f aca="false">IF(OR(AU302="",BH302="",AU302=0),"",(AU302-BH302)/AU302)</f>
        <v/>
      </c>
      <c r="BJ302" s="81"/>
      <c r="BK302" s="83"/>
      <c r="BL302" s="43" t="str">
        <f aca="false">IFERROR(INDEX(ЗАКАЗЫ!$N$3:$N$500,MATCH($A302,ЗАКАЗЫ!$F$3:$F$500,0)),"")</f>
        <v/>
      </c>
      <c r="BM302" s="8" t="str">
        <f aca="false">IF(BL302="","",IFERROR(VLOOKUP(BL302,'ТН ВЭД'!$A$4:$C$40,3,0),""))</f>
        <v/>
      </c>
      <c r="BN302" s="7" t="str">
        <f aca="false">IF(COUNTIF(ЗАКАЗЫ!$F$3:$F$500,$A302)=0,"",SUMIF(ЗАКАЗЫ!$F$3:$F$500,$A302,ЗАКАЗЫ!$J$3:$J$500))</f>
        <v/>
      </c>
      <c r="BO302" s="7" t="str">
        <f aca="false">IF(BN302="","",SUMIF(ЗАКАЗЫ!$F$3:$F$500,$A302,ЗАКАЗЫ!$AL$3:$AL$500))</f>
        <v/>
      </c>
      <c r="BP302" s="7" t="str">
        <f aca="false">IF(BN302="","",BN302-BO302)</f>
        <v/>
      </c>
      <c r="BQ302" s="55" t="str">
        <f aca="false">IF(BN302="","",IF(BO302&gt;=BN302,"На складе",IF(BO302&gt;0,"Частично","Ждём")))</f>
        <v/>
      </c>
      <c r="BR302" s="43"/>
      <c r="BS302" s="47" t="str">
        <f aca="false">IF(BN302="","",IF(_xlfn.MAXIFS(ЗАКАЗЫ!$AK$3:$AK$500,ЗАКАЗЫ!$F$3:$F$500,$A302)=0,"",_xlfn.MAXIFS(ЗАКАЗЫ!$AK$3:$AK$500,ЗАКАЗЫ!$F$3:$F$500,$A302)))</f>
        <v/>
      </c>
    </row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2:BK302"/>
  <mergeCells count="7">
    <mergeCell ref="A1:H1"/>
    <mergeCell ref="I1:M1"/>
    <mergeCell ref="N1:X1"/>
    <mergeCell ref="Y1:AM1"/>
    <mergeCell ref="AN1:BA1"/>
    <mergeCell ref="BB1:BK1"/>
    <mergeCell ref="BL1:BS1"/>
  </mergeCells>
  <conditionalFormatting sqref="Y3:AJ302">
    <cfRule type="expression" priority="2" aboveAverage="0" equalAverage="0" bottom="0" percent="0" rank="0" text="" dxfId="28">
      <formula>N(Y3)&gt;0</formula>
    </cfRule>
  </conditionalFormatting>
  <conditionalFormatting sqref="A3:A302">
    <cfRule type="expression" priority="3" aboveAverage="0" equalAverage="0" bottom="0" percent="0" rank="0" text="" dxfId="29">
      <formula>$E3=""</formula>
    </cfRule>
  </conditionalFormatting>
  <conditionalFormatting sqref="A3:BK302">
    <cfRule type="expression" priority="4" aboveAverage="0" equalAverage="0" bottom="0" percent="0" rank="0" text="" dxfId="30">
      <formula>$B3="Снят"</formula>
    </cfRule>
  </conditionalFormatting>
  <conditionalFormatting sqref="D3:D302">
    <cfRule type="expression" priority="5" aboveAverage="0" equalAverage="0" bottom="0" percent="0" rank="0" text="" dxfId="31">
      <formula>AND($D3="Да",COUNTIF($D$3:$D$302,"Да")&gt;5)</formula>
    </cfRule>
  </conditionalFormatting>
  <conditionalFormatting sqref="BI3:BI302">
    <cfRule type="expression" priority="6" aboveAverage="0" equalAverage="0" bottom="0" percent="0" rank="0" text="" dxfId="31">
      <formula>AND(ISNUMBER($BI3),$BI3&lt;0.2)</formula>
    </cfRule>
  </conditionalFormatting>
  <conditionalFormatting sqref="BQ3:BQ302">
    <cfRule type="expression" priority="7" aboveAverage="0" equalAverage="0" bottom="0" percent="0" rank="0" text="" dxfId="8">
      <formula>BQ3="На складе"</formula>
    </cfRule>
    <cfRule type="expression" priority="8" aboveAverage="0" equalAverage="0" bottom="0" percent="0" rank="0" text="" dxfId="9">
      <formula>BQ3="Частично"</formula>
    </cfRule>
  </conditionalFormatting>
  <conditionalFormatting sqref="AK3:AK302">
    <cfRule type="expression" priority="9" aboveAverage="0" equalAverage="0" bottom="0" percent="0" rank="0" text="" dxfId="32">
      <formula>AND(N($BN3)&gt;0,N($AK3)&lt;&gt;N($BN3))</formula>
    </cfRule>
  </conditionalFormatting>
  <dataValidations count="7">
    <dataValidation allowBlank="true" errorStyle="stop" operator="greaterThanOrEqual" prompt="Только целое число штук" showDropDown="false" showErrorMessage="true" showInputMessage="true" sqref="Y3:AJ302" type="decimal">
      <formula1>0</formula1>
      <formula2>0</formula2>
    </dataValidation>
    <dataValidation allowBlank="true" errorStyle="stop" operator="between" showDropDown="false" showErrorMessage="true" showInputMessage="false" sqref="D3:D302 L3:M302" type="list">
      <formula1>Справочники!$F$4:$F$40</formula1>
      <formula2>0</formula2>
    </dataValidation>
    <dataValidation allowBlank="true" errorStyle="stop" operator="between" showDropDown="false" showErrorMessage="true" showInputMessage="false" sqref="B3:B23 B24:C302" type="list">
      <formula1>Справочники!$E$4:$E$40</formula1>
      <formula2>0</formula2>
    </dataValidation>
    <dataValidation allowBlank="true" errorStyle="stop" operator="between" showDropDown="false" showErrorMessage="false" showInputMessage="false" sqref="BB3:BB302" type="list">
      <formula1>Поставщики!$A$2:$A$101</formula1>
      <formula2>0</formula2>
    </dataValidation>
    <dataValidation allowBlank="true" errorStyle="stop" operator="between" showDropDown="false" showErrorMessage="false" showInputMessage="false" sqref="V3:V302" type="list">
      <formula1>Справочники!$G$4:$G$40</formula1>
      <formula2>0</formula2>
    </dataValidation>
    <dataValidation allowBlank="true" errorStyle="stop" operator="between" showDropDown="false" showErrorMessage="false" showInputMessage="false" sqref="N3:N302" type="list">
      <formula1>Справочники!$H$4:$H$40</formula1>
      <formula2>0</formula2>
    </dataValidation>
    <dataValidation allowBlank="true" errorStyle="stop" operator="between" showDropDown="false" showErrorMessage="true" showInputMessage="false" sqref="BF3:BF302" type="list">
      <formula1>"KZT,CNY,USD,RUB"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7.5"/>
    <col collapsed="false" customWidth="true" hidden="false" outlineLevel="0" max="4" min="4" style="0" width="9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8" min="8" style="0" width="46"/>
    <col collapsed="false" customWidth="true" hidden="false" outlineLevel="0" max="9" min="9" style="0" width="20"/>
    <col collapsed="false" customWidth="true" hidden="false" outlineLevel="0" max="11" min="10" style="0" width="22"/>
    <col collapsed="false" customWidth="true" hidden="false" outlineLevel="0" max="13" min="12" style="0" width="9"/>
    <col collapsed="false" customWidth="true" hidden="false" outlineLevel="0" max="14" min="14" style="0" width="18"/>
    <col collapsed="false" customWidth="true" hidden="false" outlineLevel="0" max="20" min="15" style="0" width="15"/>
    <col collapsed="false" customWidth="true" hidden="false" outlineLevel="0" max="21" min="21" style="0" width="9"/>
    <col collapsed="false" customWidth="true" hidden="false" outlineLevel="0" max="22" min="22" style="0" width="8"/>
    <col collapsed="false" customWidth="true" hidden="false" outlineLevel="0" max="23" min="23" style="0" width="9"/>
    <col collapsed="false" customWidth="true" hidden="false" outlineLevel="0" max="24" min="24" style="0" width="18"/>
    <col collapsed="false" customWidth="true" hidden="false" outlineLevel="0" max="36" min="25" style="0" width="9"/>
    <col collapsed="false" customWidth="true" hidden="false" outlineLevel="0" max="37" min="37" style="0" width="11"/>
    <col collapsed="false" customWidth="true" hidden="false" outlineLevel="0" max="38" min="38" style="0" width="26"/>
    <col collapsed="false" customWidth="true" hidden="false" outlineLevel="0" max="39" min="39" style="0" width="34"/>
    <col collapsed="false" customWidth="true" hidden="false" outlineLevel="0" max="40" min="40" style="0" width="10"/>
    <col collapsed="false" customWidth="true" hidden="false" outlineLevel="0" max="44" min="41" style="0" width="11"/>
    <col collapsed="false" customWidth="true" hidden="false" outlineLevel="0" max="46" min="45" style="0" width="12"/>
    <col collapsed="false" customWidth="true" hidden="false" outlineLevel="0" max="52" min="47" style="0" width="11"/>
    <col collapsed="false" customWidth="true" hidden="false" outlineLevel="0" max="53" min="53" style="0" width="10"/>
    <col collapsed="false" customWidth="true" hidden="false" outlineLevel="0" max="54" min="54" style="0" width="18"/>
    <col collapsed="false" customWidth="true" hidden="false" outlineLevel="0" max="55" min="55" style="0" width="14"/>
    <col collapsed="false" customWidth="true" hidden="false" outlineLevel="0" max="56" min="56" style="0" width="24"/>
    <col collapsed="false" customWidth="true" hidden="false" outlineLevel="0" max="57" min="57" style="0" width="10"/>
    <col collapsed="false" customWidth="true" hidden="false" outlineLevel="0" max="59" min="58" style="0" width="8"/>
    <col collapsed="false" customWidth="true" hidden="false" outlineLevel="0" max="60" min="60" style="0" width="12"/>
    <col collapsed="false" customWidth="true" hidden="false" outlineLevel="0" max="61" min="61" style="0" width="9"/>
    <col collapsed="false" customWidth="true" hidden="false" outlineLevel="0" max="62" min="62" style="0" width="10"/>
    <col collapsed="false" customWidth="true" hidden="false" outlineLevel="0" max="63" min="63" style="0" width="30"/>
    <col collapsed="false" customWidth="true" hidden="false" outlineLevel="0" max="64" min="64" style="0" width="14"/>
    <col collapsed="false" customWidth="true" hidden="false" outlineLevel="0" max="65" min="65" style="0" width="8"/>
    <col collapsed="false" customWidth="true" hidden="false" outlineLevel="0" max="66" min="66" style="0" width="11"/>
    <col collapsed="false" customWidth="true" hidden="false" outlineLevel="0" max="67" min="67" style="0" width="10"/>
    <col collapsed="false" customWidth="true" hidden="false" outlineLevel="0" max="68" min="68" style="0" width="9"/>
    <col collapsed="false" customWidth="true" hidden="false" outlineLevel="0" max="69" min="69" style="0" width="11"/>
    <col collapsed="false" customWidth="true" hidden="false" outlineLevel="0" max="70" min="70" style="0" width="22"/>
    <col collapsed="false" customWidth="true" hidden="false" outlineLevel="0" max="71" min="71" style="0" width="11"/>
  </cols>
  <sheetData>
    <row r="1" customFormat="false" ht="19.5" hidden="false" customHeight="true" outlineLevel="0" collapsed="false">
      <c r="A1" s="56" t="s">
        <v>416</v>
      </c>
      <c r="B1" s="56"/>
      <c r="C1" s="56"/>
      <c r="D1" s="56"/>
      <c r="E1" s="56"/>
      <c r="F1" s="56"/>
      <c r="G1" s="56"/>
      <c r="H1" s="56"/>
      <c r="I1" s="57" t="s">
        <v>417</v>
      </c>
      <c r="J1" s="57"/>
      <c r="K1" s="57"/>
      <c r="L1" s="57"/>
      <c r="M1" s="57"/>
      <c r="N1" s="58" t="s">
        <v>418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59" t="s">
        <v>419</v>
      </c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60" t="s">
        <v>420</v>
      </c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1" t="s">
        <v>421</v>
      </c>
      <c r="BC1" s="61"/>
      <c r="BD1" s="61"/>
      <c r="BE1" s="61"/>
      <c r="BF1" s="61"/>
      <c r="BG1" s="61"/>
      <c r="BH1" s="61"/>
      <c r="BI1" s="61"/>
      <c r="BJ1" s="61"/>
      <c r="BK1" s="61"/>
      <c r="BL1" s="37" t="s">
        <v>422</v>
      </c>
      <c r="BM1" s="37"/>
      <c r="BN1" s="37"/>
      <c r="BO1" s="37"/>
      <c r="BP1" s="37"/>
      <c r="BQ1" s="37"/>
      <c r="BR1" s="37"/>
      <c r="BS1" s="37"/>
    </row>
    <row r="2" customFormat="false" ht="48" hidden="false" customHeight="true" outlineLevel="0" collapsed="false">
      <c r="A2" s="62" t="s">
        <v>73</v>
      </c>
      <c r="B2" s="62" t="s">
        <v>46</v>
      </c>
      <c r="C2" s="62" t="s">
        <v>186</v>
      </c>
      <c r="D2" s="62" t="s">
        <v>423</v>
      </c>
      <c r="E2" s="62" t="s">
        <v>424</v>
      </c>
      <c r="F2" s="62" t="s">
        <v>80</v>
      </c>
      <c r="G2" s="62" t="s">
        <v>425</v>
      </c>
      <c r="H2" s="62" t="s">
        <v>426</v>
      </c>
      <c r="I2" s="64" t="s">
        <v>427</v>
      </c>
      <c r="J2" s="64" t="s">
        <v>428</v>
      </c>
      <c r="K2" s="64" t="s">
        <v>429</v>
      </c>
      <c r="L2" s="64" t="s">
        <v>430</v>
      </c>
      <c r="M2" s="64" t="s">
        <v>431</v>
      </c>
      <c r="N2" s="65" t="s">
        <v>84</v>
      </c>
      <c r="O2" s="65" t="s">
        <v>2170</v>
      </c>
      <c r="P2" s="65" t="s">
        <v>2171</v>
      </c>
      <c r="Q2" s="65" t="s">
        <v>2172</v>
      </c>
      <c r="R2" s="65" t="s">
        <v>2173</v>
      </c>
      <c r="S2" s="65" t="s">
        <v>2174</v>
      </c>
      <c r="T2" s="65" t="s">
        <v>2175</v>
      </c>
      <c r="U2" s="65" t="s">
        <v>94</v>
      </c>
      <c r="V2" s="65" t="s">
        <v>95</v>
      </c>
      <c r="W2" s="65" t="s">
        <v>438</v>
      </c>
      <c r="X2" s="65" t="s">
        <v>439</v>
      </c>
      <c r="Y2" s="66" t="str">
        <f aca="false">Справочники!$K$4</f>
        <v>BLACK</v>
      </c>
      <c r="Z2" s="67" t="str">
        <f aca="false">Справочники!$K$5</f>
        <v>ORANGE</v>
      </c>
      <c r="AA2" s="68" t="str">
        <f aca="false">Справочники!$K$6</f>
        <v>RED</v>
      </c>
      <c r="AB2" s="69" t="str">
        <f aca="false">Справочники!$K$7</f>
        <v>BLUE</v>
      </c>
      <c r="AC2" s="70" t="str">
        <f aca="false">Справочники!$K$8</f>
        <v>GRAY</v>
      </c>
      <c r="AD2" s="71" t="str">
        <f aca="false">Справочники!$K$9</f>
        <v>GREEN</v>
      </c>
      <c r="AE2" s="72" t="str">
        <f aca="false">Справочники!$K$10</f>
        <v>YELLOW</v>
      </c>
      <c r="AF2" s="73" t="str">
        <f aca="false">Справочники!$K$11</f>
        <v>WHITE</v>
      </c>
      <c r="AG2" s="74" t="str">
        <f aca="false">Справочники!$K$12</f>
        <v>BEIGE</v>
      </c>
      <c r="AH2" s="75" t="str">
        <f aca="false">Справочники!$K$13</f>
        <v>BROWN</v>
      </c>
      <c r="AI2" s="76" t="str">
        <f aca="false">Справочники!$K$14</f>
        <v>NATURAL</v>
      </c>
      <c r="AJ2" s="76" t="str">
        <f aca="false">Справочники!$K$15</f>
        <v>MULTI</v>
      </c>
      <c r="AK2" s="77" t="s">
        <v>440</v>
      </c>
      <c r="AL2" s="77" t="s">
        <v>441</v>
      </c>
      <c r="AM2" s="77" t="s">
        <v>442</v>
      </c>
      <c r="AN2" s="78" t="s">
        <v>443</v>
      </c>
      <c r="AO2" s="78" t="s">
        <v>98</v>
      </c>
      <c r="AP2" s="78" t="s">
        <v>444</v>
      </c>
      <c r="AQ2" s="78" t="s">
        <v>445</v>
      </c>
      <c r="AR2" s="78" t="s">
        <v>206</v>
      </c>
      <c r="AS2" s="78" t="s">
        <v>446</v>
      </c>
      <c r="AT2" s="78" t="s">
        <v>99</v>
      </c>
      <c r="AU2" s="78" t="s">
        <v>208</v>
      </c>
      <c r="AV2" s="78" t="s">
        <v>447</v>
      </c>
      <c r="AW2" s="78" t="s">
        <v>448</v>
      </c>
      <c r="AX2" s="78" t="s">
        <v>449</v>
      </c>
      <c r="AY2" s="78" t="s">
        <v>450</v>
      </c>
      <c r="AZ2" s="78" t="s">
        <v>451</v>
      </c>
      <c r="BA2" s="78" t="s">
        <v>452</v>
      </c>
      <c r="BB2" s="79" t="s">
        <v>38</v>
      </c>
      <c r="BC2" s="79" t="s">
        <v>453</v>
      </c>
      <c r="BD2" s="79" t="s">
        <v>454</v>
      </c>
      <c r="BE2" s="79" t="s">
        <v>101</v>
      </c>
      <c r="BF2" s="79" t="s">
        <v>102</v>
      </c>
      <c r="BG2" s="79" t="s">
        <v>455</v>
      </c>
      <c r="BH2" s="79" t="s">
        <v>456</v>
      </c>
      <c r="BI2" s="79" t="s">
        <v>457</v>
      </c>
      <c r="BJ2" s="79" t="s">
        <v>104</v>
      </c>
      <c r="BK2" s="79" t="s">
        <v>145</v>
      </c>
      <c r="BL2" s="4" t="s">
        <v>458</v>
      </c>
      <c r="BM2" s="4" t="s">
        <v>193</v>
      </c>
      <c r="BN2" s="4" t="s">
        <v>459</v>
      </c>
      <c r="BO2" s="4" t="s">
        <v>211</v>
      </c>
      <c r="BP2" s="4" t="s">
        <v>460</v>
      </c>
      <c r="BQ2" s="4" t="s">
        <v>461</v>
      </c>
      <c r="BR2" s="4" t="s">
        <v>462</v>
      </c>
      <c r="BS2" s="4" t="s">
        <v>44</v>
      </c>
    </row>
    <row r="3" customFormat="false" ht="79.5" hidden="false" customHeight="true" outlineLevel="0" collapsed="false">
      <c r="A3" s="80" t="s">
        <v>249</v>
      </c>
      <c r="B3" s="81" t="s">
        <v>841</v>
      </c>
      <c r="C3" s="81"/>
      <c r="D3" s="81"/>
      <c r="E3" s="83" t="s">
        <v>2176</v>
      </c>
      <c r="F3" s="81" t="s">
        <v>2177</v>
      </c>
      <c r="G3" s="83" t="s">
        <v>2178</v>
      </c>
      <c r="H3" s="83" t="s">
        <v>2179</v>
      </c>
      <c r="I3" s="84" t="str">
        <f aca="false">IF(E3="","",A3&amp;"_1.jpg")</f>
        <v>AKO-ZS-001_1.jpg</v>
      </c>
      <c r="J3" s="84" t="str">
        <f aca="false">IF(E3="","",A3&amp;"_2.jpg; "&amp;A3&amp;"_3.jpg")</f>
        <v>AKO-ZS-001_2.jpg; AKO-ZS-001_3.jpg</v>
      </c>
      <c r="K3" s="84" t="str">
        <f aca="false">IF(E3="","",A3&amp;"_schema.jpg")</f>
        <v>AKO-ZS-001_schema.jpg</v>
      </c>
      <c r="L3" s="81" t="s">
        <v>150</v>
      </c>
      <c r="M3" s="81"/>
      <c r="N3" s="81" t="s">
        <v>1157</v>
      </c>
      <c r="O3" s="81" t="s">
        <v>2180</v>
      </c>
      <c r="P3" s="81"/>
      <c r="Q3" s="81" t="s">
        <v>2181</v>
      </c>
      <c r="R3" s="81" t="s">
        <v>2182</v>
      </c>
      <c r="S3" s="81"/>
      <c r="T3" s="81"/>
      <c r="U3" s="81"/>
      <c r="V3" s="81" t="s">
        <v>96</v>
      </c>
      <c r="W3" s="81"/>
      <c r="X3" s="81"/>
      <c r="Y3" s="85"/>
      <c r="Z3" s="85" t="n">
        <v>200</v>
      </c>
      <c r="AA3" s="85" t="n">
        <v>200</v>
      </c>
      <c r="AB3" s="85" t="n">
        <v>200</v>
      </c>
      <c r="AC3" s="85"/>
      <c r="AD3" s="85" t="n">
        <v>200</v>
      </c>
      <c r="AE3" s="85" t="n">
        <v>200</v>
      </c>
      <c r="AF3" s="85"/>
      <c r="AG3" s="85"/>
      <c r="AH3" s="85"/>
      <c r="AI3" s="85"/>
      <c r="AJ3" s="85"/>
      <c r="AK3" s="86" t="n">
        <f aca="false">IF(SUM(Y3:AJ3)=0,"",SUM(Y3:AJ3))</f>
        <v>1000</v>
      </c>
      <c r="AL3" s="84" t="str">
        <f aca="false">MID(IF(N(Y3)&gt;0,", "&amp;Y$2,"")&amp;IF(N(Z3)&gt;0,", "&amp;Z$2,"")&amp;IF(N(AA3)&gt;0,", "&amp;AA$2,"")&amp;IF(N(AB3)&gt;0,", "&amp;AB$2,"")&amp;IF(N(AC3)&gt;0,", "&amp;AC$2,"")&amp;IF(N(AD3)&gt;0,", "&amp;AD$2,"")&amp;IF(N(AE3)&gt;0,", "&amp;AE$2,"")&amp;IF(N(AF3)&gt;0,", "&amp;AF$2,"")&amp;IF(N(AG3)&gt;0,", "&amp;AG$2,"")&amp;IF(N(AH3)&gt;0,", "&amp;AH$2,"")&amp;IF(N(AI3)&gt;0,", "&amp;AI$2,"")&amp;IF(N(AJ3)&gt;0,", "&amp;AJ$2,""),3,999)</f>
        <v>ORANGE, RED, BLUE, GREEN, YELLOW</v>
      </c>
      <c r="AM3" s="87" t="str">
        <f aca="false">IF(E3="","",MID(IF(N(Y3)&gt;0,", "&amp;A3&amp;"-"&amp;Y$2,"")&amp;IF(N(Z3)&gt;0,", "&amp;A3&amp;"-"&amp;Z$2,"")&amp;IF(N(AA3)&gt;0,", "&amp;A3&amp;"-"&amp;AA$2,"")&amp;IF(N(AB3)&gt;0,", "&amp;A3&amp;"-"&amp;AB$2,"")&amp;IF(N(AC3)&gt;0,", "&amp;A3&amp;"-"&amp;AC$2,"")&amp;IF(N(AD3)&gt;0,", "&amp;A3&amp;"-"&amp;AD$2,"")&amp;IF(N(AE3)&gt;0,", "&amp;A3&amp;"-"&amp;AE$2,"")&amp;IF(N(AF3)&gt;0,", "&amp;A3&amp;"-"&amp;AF$2,"")&amp;IF(N(AG3)&gt;0,", "&amp;A3&amp;"-"&amp;AG$2,"")&amp;IF(N(AH3)&gt;0,", "&amp;A3&amp;"-"&amp;AH$2,"")&amp;IF(N(AI3)&gt;0,", "&amp;A3&amp;"-"&amp;AI$2,"")&amp;IF(N(AJ3)&gt;0,", "&amp;A3&amp;"-"&amp;AJ$2,""),3,999))</f>
        <v>AKO-ZS-001-ORANGE, AKO-ZS-001-RED, AKO-ZS-001-BLUE, AKO-ZS-001-GREEN, AKO-ZS-001-YELLOW</v>
      </c>
      <c r="AN3" s="81" t="n">
        <v>1</v>
      </c>
      <c r="AO3" s="88"/>
      <c r="AP3" s="89" t="str">
        <f aca="false">IF(AO3="","",ROUND(AO3/(1+Справочники!$B$13),2))</f>
        <v/>
      </c>
      <c r="AQ3" s="90" t="str">
        <f aca="false" t="array" ref="AQ3:AQ3">IF(AP3="","",AP3*INDEX(Справочники!$B$4:$B$7,MATCH("RUB",Справочники!$A$4:$A$7,0)))</f>
        <v/>
      </c>
      <c r="AR3" s="90" t="str">
        <f aca="false">IF(AQ3="","",ROUND(AQ3*(1+Справочники!$B$12),0))</f>
        <v/>
      </c>
      <c r="AS3" s="90" t="str">
        <f aca="false">IF(AR3="","",ROUND(AR3*(1-Справочники!$B$11),0))</f>
        <v/>
      </c>
      <c r="AT3" s="93" t="n">
        <f aca="false">IF(BH3="","",IF(AS3="",ROUNDUP(BH3/(1-Справочники!$B$23)*(1+Справочники!$B$12),-1),MAX(AS3,ROUNDUP(BH3/(1-Справочники!$B$24)*(1+Справочники!$B$12),-1))))</f>
        <v>860</v>
      </c>
      <c r="AU3" s="90" t="n">
        <f aca="false">IF(AT3="","",ROUND(AT3/(1+Справочники!$B$12),0))</f>
        <v>741</v>
      </c>
      <c r="AV3" s="90" t="n">
        <f aca="false">IF(AT3="","",ROUND(AT3*(1-Справочники!$B$15),0))</f>
        <v>834</v>
      </c>
      <c r="AW3" s="90" t="n">
        <f aca="false">IF(AT3="","",ROUND(AT3*(1-Справочники!$B$16),0))</f>
        <v>808</v>
      </c>
      <c r="AX3" s="90" t="n">
        <f aca="false">IF(AT3="","",ROUND(AT3*(1-Справочники!$B$17),0))</f>
        <v>783</v>
      </c>
      <c r="AY3" s="90" t="n">
        <f aca="false">IF(AT3="","",ROUND(AT3*(1-Справочники!$B$18),0))</f>
        <v>757</v>
      </c>
      <c r="AZ3" s="90" t="n">
        <f aca="false">IF(AT3="","",ROUND(AT3*(1-Справочники!$B$19),0))</f>
        <v>731</v>
      </c>
      <c r="BA3" s="81"/>
      <c r="BB3" s="81" t="s">
        <v>147</v>
      </c>
      <c r="BC3" s="81" t="s">
        <v>250</v>
      </c>
      <c r="BD3" s="81"/>
      <c r="BE3" s="91" t="n">
        <v>4.5</v>
      </c>
      <c r="BF3" s="81" t="s">
        <v>103</v>
      </c>
      <c r="BG3" s="89" t="n">
        <f aca="false" t="array" ref="BG3:BG3">IF(BF3="","",IFERROR(INDEX(Справочники!$B$4:$B$7,MATCH(BF3,Справочники!$A$4:$A$7,0)),""))</f>
        <v>68.5</v>
      </c>
      <c r="BH3" s="90" t="n">
        <f aca="false">IF(N(BN3)&gt;0,ROUND(SUMIF(ЗАКАЗЫ!$F$3:$F$500,$A3,ЗАКАЗЫ!$Y$3:$Y$500)/BN3,0),IF(OR(BE3="",BG3=""),"",ROUND(BE3*BG3*(1+Справочники!$B$10),0)))</f>
        <v>370</v>
      </c>
      <c r="BI3" s="92" t="n">
        <f aca="false">IF(OR(AU3="",BH3="",AU3=0),"",(AU3-BH3)/AU3)</f>
        <v>0.500674763832659</v>
      </c>
      <c r="BJ3" s="81" t="n">
        <v>12</v>
      </c>
      <c r="BK3" s="83"/>
      <c r="BL3" s="43" t="str">
        <f aca="false">IFERROR(INDEX(ЗАКАЗЫ!$N$3:$N$500,MATCH($A3,ЗАКАЗЫ!$F$3:$F$500,0)),"")</f>
        <v>9506 99 900 0</v>
      </c>
      <c r="BM3" s="8" t="n">
        <f aca="false">IF(BL3="","",IFERROR(VLOOKUP(BL3,'ТН ВЭД'!$A$4:$C$40,3,0),""))</f>
        <v>0.05</v>
      </c>
      <c r="BN3" s="7" t="n">
        <f aca="false">IF(COUNTIF(ЗАКАЗЫ!$F$3:$F$500,$A3)=0,"",SUMIF(ЗАКАЗЫ!$F$3:$F$500,$A3,ЗАКАЗЫ!$J$3:$J$500))</f>
        <v>1000</v>
      </c>
      <c r="BO3" s="7" t="n">
        <f aca="false">IF(BN3="","",SUMIF(ЗАКАЗЫ!$F$3:$F$500,$A3,ЗАКАЗЫ!$AL$3:$AL$500))</f>
        <v>0</v>
      </c>
      <c r="BP3" s="7" t="n">
        <f aca="false">IF(BN3="","",BN3-BO3)</f>
        <v>1000</v>
      </c>
      <c r="BQ3" s="55" t="str">
        <f aca="false">IF(BN3="","",IF(BO3&gt;=BN3,"На складе",IF(BO3&gt;0,"Частично","Ждём")))</f>
        <v>Ждём</v>
      </c>
      <c r="BR3" s="43" t="s">
        <v>2183</v>
      </c>
      <c r="BS3" s="47" t="n">
        <f aca="false">IF(BN3="","",IF(_xlfn.MAXIFS(ЗАКАЗЫ!$AK$3:$AK$500,ЗАКАЗЫ!$F$3:$F$500,$A3)=0,"",_xlfn.MAXIFS(ЗАКАЗЫ!$AK$3:$AK$500,ЗАКАЗЫ!$F$3:$F$500,$A3)))</f>
        <v>46323</v>
      </c>
    </row>
    <row r="4" customFormat="false" ht="79.5" hidden="false" customHeight="true" outlineLevel="0" collapsed="false">
      <c r="A4" s="80" t="s">
        <v>388</v>
      </c>
      <c r="B4" s="81" t="s">
        <v>841</v>
      </c>
      <c r="C4" s="81"/>
      <c r="D4" s="81"/>
      <c r="E4" s="83" t="s">
        <v>2184</v>
      </c>
      <c r="F4" s="81" t="s">
        <v>2185</v>
      </c>
      <c r="G4" s="83" t="s">
        <v>2186</v>
      </c>
      <c r="H4" s="83" t="s">
        <v>2187</v>
      </c>
      <c r="I4" s="84" t="str">
        <f aca="false">IF(E4="","",A4&amp;"_1.jpg")</f>
        <v>AKO-ZS-002_1.jpg</v>
      </c>
      <c r="J4" s="84" t="str">
        <f aca="false">IF(E4="","",A4&amp;"_2.jpg; "&amp;A4&amp;"_3.jpg")</f>
        <v>AKO-ZS-002_2.jpg; AKO-ZS-002_3.jpg</v>
      </c>
      <c r="K4" s="84" t="str">
        <f aca="false">IF(E4="","",A4&amp;"_schema.jpg")</f>
        <v>AKO-ZS-002_schema.jpg</v>
      </c>
      <c r="L4" s="81" t="s">
        <v>150</v>
      </c>
      <c r="M4" s="81"/>
      <c r="N4" s="81" t="s">
        <v>2188</v>
      </c>
      <c r="O4" s="81" t="s">
        <v>2189</v>
      </c>
      <c r="P4" s="81"/>
      <c r="Q4" s="81"/>
      <c r="R4" s="81" t="s">
        <v>2190</v>
      </c>
      <c r="S4" s="81" t="n">
        <v>5</v>
      </c>
      <c r="T4" s="81"/>
      <c r="U4" s="81"/>
      <c r="V4" s="81" t="s">
        <v>391</v>
      </c>
      <c r="W4" s="81"/>
      <c r="X4" s="81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 t="n">
        <v>200</v>
      </c>
      <c r="AK4" s="86" t="n">
        <f aca="false">IF(SUM(Y4:AJ4)=0,"",SUM(Y4:AJ4))</f>
        <v>200</v>
      </c>
      <c r="AL4" s="84" t="str">
        <f aca="false">MID(IF(N(Y4)&gt;0,", "&amp;Y$2,"")&amp;IF(N(Z4)&gt;0,", "&amp;Z$2,"")&amp;IF(N(AA4)&gt;0,", "&amp;AA$2,"")&amp;IF(N(AB4)&gt;0,", "&amp;AB$2,"")&amp;IF(N(AC4)&gt;0,", "&amp;AC$2,"")&amp;IF(N(AD4)&gt;0,", "&amp;AD$2,"")&amp;IF(N(AE4)&gt;0,", "&amp;AE$2,"")&amp;IF(N(AF4)&gt;0,", "&amp;AF$2,"")&amp;IF(N(AG4)&gt;0,", "&amp;AG$2,"")&amp;IF(N(AH4)&gt;0,", "&amp;AH$2,"")&amp;IF(N(AI4)&gt;0,", "&amp;AI$2,"")&amp;IF(N(AJ4)&gt;0,", "&amp;AJ$2,""),3,999)</f>
        <v>MULTI</v>
      </c>
      <c r="AM4" s="87" t="str">
        <f aca="false">IF(E4="","",MID(IF(N(Y4)&gt;0,", "&amp;A4&amp;"-"&amp;Y$2,"")&amp;IF(N(Z4)&gt;0,", "&amp;A4&amp;"-"&amp;Z$2,"")&amp;IF(N(AA4)&gt;0,", "&amp;A4&amp;"-"&amp;AA$2,"")&amp;IF(N(AB4)&gt;0,", "&amp;A4&amp;"-"&amp;AB$2,"")&amp;IF(N(AC4)&gt;0,", "&amp;A4&amp;"-"&amp;AC$2,"")&amp;IF(N(AD4)&gt;0,", "&amp;A4&amp;"-"&amp;AD$2,"")&amp;IF(N(AE4)&gt;0,", "&amp;A4&amp;"-"&amp;AE$2,"")&amp;IF(N(AF4)&gt;0,", "&amp;A4&amp;"-"&amp;AF$2,"")&amp;IF(N(AG4)&gt;0,", "&amp;A4&amp;"-"&amp;AG$2,"")&amp;IF(N(AH4)&gt;0,", "&amp;A4&amp;"-"&amp;AH$2,"")&amp;IF(N(AI4)&gt;0,", "&amp;A4&amp;"-"&amp;AI$2,"")&amp;IF(N(AJ4)&gt;0,", "&amp;A4&amp;"-"&amp;AJ$2,""),3,999))</f>
        <v>AKO-ZS-002-MULTI</v>
      </c>
      <c r="AN4" s="81" t="n">
        <v>1</v>
      </c>
      <c r="AO4" s="88" t="n">
        <v>1225</v>
      </c>
      <c r="AP4" s="89" t="n">
        <f aca="false">IF(AO4="","",ROUND(AO4/(1+Справочники!$B$13),2))</f>
        <v>1225</v>
      </c>
      <c r="AQ4" s="90" t="n">
        <f aca="false" t="array" ref="AQ4:AQ4">IF(AP4="","",AP4*INDEX(Справочники!$B$4:$B$7,MATCH("RUB",Справочники!$A$4:$A$7,0)))</f>
        <v>6492.5</v>
      </c>
      <c r="AR4" s="90" t="n">
        <f aca="false">IF(AQ4="","",ROUND(AQ4*(1+Справочники!$B$12),0))</f>
        <v>7531</v>
      </c>
      <c r="AS4" s="90" t="n">
        <f aca="false">IF(AR4="","",ROUND(AR4*(1-Справочники!$B$11),0))</f>
        <v>6929</v>
      </c>
      <c r="AT4" s="93" t="n">
        <f aca="false">IF(BH4="","",IF(AS4="",ROUNDUP(BH4/(1-Справочники!$B$23)*(1+Справочники!$B$12),-1),MAX(AS4,ROUNDUP(BH4/(1-Справочники!$B$24)*(1+Справочники!$B$12),-1))))</f>
        <v>6929</v>
      </c>
      <c r="AU4" s="90" t="n">
        <f aca="false">IF(AT4="","",ROUND(AT4/(1+Справочники!$B$12),0))</f>
        <v>5973</v>
      </c>
      <c r="AV4" s="90" t="n">
        <f aca="false">IF(AT4="","",ROUND(AT4*(1-Справочники!$B$15),0))</f>
        <v>6721</v>
      </c>
      <c r="AW4" s="90" t="n">
        <f aca="false">IF(AT4="","",ROUND(AT4*(1-Справочники!$B$16),0))</f>
        <v>6513</v>
      </c>
      <c r="AX4" s="90" t="n">
        <f aca="false">IF(AT4="","",ROUND(AT4*(1-Справочники!$B$17),0))</f>
        <v>6305</v>
      </c>
      <c r="AY4" s="90" t="n">
        <f aca="false">IF(AT4="","",ROUND(AT4*(1-Справочники!$B$18),0))</f>
        <v>6098</v>
      </c>
      <c r="AZ4" s="90" t="n">
        <f aca="false">IF(AT4="","",ROUND(AT4*(1-Справочники!$B$19),0))</f>
        <v>5890</v>
      </c>
      <c r="BA4" s="81"/>
      <c r="BB4" s="81" t="s">
        <v>100</v>
      </c>
      <c r="BC4" s="81" t="s">
        <v>389</v>
      </c>
      <c r="BD4" s="81"/>
      <c r="BE4" s="91" t="n">
        <v>26.6</v>
      </c>
      <c r="BF4" s="81" t="s">
        <v>103</v>
      </c>
      <c r="BG4" s="89" t="n">
        <f aca="false" t="array" ref="BG4:BG4">IF(BF4="","",IFERROR(INDEX(Справочники!$B$4:$B$7,MATCH(BF4,Справочники!$A$4:$A$7,0)),""))</f>
        <v>68.5</v>
      </c>
      <c r="BH4" s="90" t="n">
        <f aca="false">IF(N(BN4)&gt;0,ROUND(SUMIF(ЗАКАЗЫ!$F$3:$F$500,$A4,ЗАКАЗЫ!$Y$3:$Y$500)/BN4,0),IF(OR(BE4="",BG4=""),"",ROUND(BE4*BG4*(1+Справочники!$B$10),0)))</f>
        <v>2187</v>
      </c>
      <c r="BI4" s="92" t="n">
        <f aca="false">IF(OR(AU4="",BH4="",AU4=0),"",(AU4-BH4)/AU4)</f>
        <v>0.633852335509794</v>
      </c>
      <c r="BJ4" s="81"/>
      <c r="BK4" s="83"/>
      <c r="BL4" s="43" t="str">
        <f aca="false">IFERROR(INDEX(ЗАКАЗЫ!$N$3:$N$500,MATCH($A4,ЗАКАЗЫ!$F$3:$F$500,0)),"")</f>
        <v>9506 99 900 0</v>
      </c>
      <c r="BM4" s="8" t="n">
        <f aca="false">IF(BL4="","",IFERROR(VLOOKUP(BL4,'ТН ВЭД'!$A$4:$C$40,3,0),""))</f>
        <v>0.05</v>
      </c>
      <c r="BN4" s="7" t="n">
        <f aca="false">IF(COUNTIF(ЗАКАЗЫ!$F$3:$F$500,$A4)=0,"",SUMIF(ЗАКАЗЫ!$F$3:$F$500,$A4,ЗАКАЗЫ!$J$3:$J$500))</f>
        <v>200</v>
      </c>
      <c r="BO4" s="7" t="n">
        <f aca="false">IF(BN4="","",SUMIF(ЗАКАЗЫ!$F$3:$F$500,$A4,ЗАКАЗЫ!$AL$3:$AL$500))</f>
        <v>0</v>
      </c>
      <c r="BP4" s="7" t="n">
        <f aca="false">IF(BN4="","",BN4-BO4)</f>
        <v>200</v>
      </c>
      <c r="BQ4" s="55" t="str">
        <f aca="false">IF(BN4="","",IF(BO4&gt;=BN4,"На складе",IF(BO4&gt;0,"Частично","Ждём")))</f>
        <v>Ждём</v>
      </c>
      <c r="BR4" s="43" t="s">
        <v>2191</v>
      </c>
      <c r="BS4" s="47" t="str">
        <f aca="false">IF(BN4="","",IF(_xlfn.MAXIFS(ЗАКАЗЫ!$AK$3:$AK$500,ЗАКАЗЫ!$F$3:$F$500,$A4)=0,"",_xlfn.MAXIFS(ЗАКАЗЫ!$AK$3:$AK$500,ЗАКАЗЫ!$F$3:$F$500,$A4)))</f>
        <v/>
      </c>
    </row>
    <row r="5" customFormat="false" ht="79.5" hidden="false" customHeight="true" outlineLevel="0" collapsed="false">
      <c r="A5" s="80" t="s">
        <v>411</v>
      </c>
      <c r="B5" s="81" t="s">
        <v>841</v>
      </c>
      <c r="C5" s="81"/>
      <c r="D5" s="81"/>
      <c r="E5" s="83" t="s">
        <v>2192</v>
      </c>
      <c r="F5" s="81" t="s">
        <v>2193</v>
      </c>
      <c r="G5" s="83" t="s">
        <v>2194</v>
      </c>
      <c r="H5" s="83" t="s">
        <v>2195</v>
      </c>
      <c r="I5" s="84" t="str">
        <f aca="false">IF(E5="","",A5&amp;"_1.jpg")</f>
        <v>AKO-ZS-003_1.jpg</v>
      </c>
      <c r="J5" s="84" t="str">
        <f aca="false">IF(E5="","",A5&amp;"_2.jpg; "&amp;A5&amp;"_3.jpg")</f>
        <v>AKO-ZS-003_2.jpg; AKO-ZS-003_3.jpg</v>
      </c>
      <c r="K5" s="84" t="str">
        <f aca="false">IF(E5="","",A5&amp;"_schema.jpg")</f>
        <v>AKO-ZS-003_schema.jpg</v>
      </c>
      <c r="L5" s="81" t="s">
        <v>150</v>
      </c>
      <c r="M5" s="81"/>
      <c r="N5" s="81" t="s">
        <v>465</v>
      </c>
      <c r="O5" s="81" t="s">
        <v>2196</v>
      </c>
      <c r="P5" s="81"/>
      <c r="Q5" s="81" t="s">
        <v>2197</v>
      </c>
      <c r="R5" s="81" t="s">
        <v>2198</v>
      </c>
      <c r="S5" s="81"/>
      <c r="T5" s="81"/>
      <c r="U5" s="81"/>
      <c r="V5" s="81" t="s">
        <v>96</v>
      </c>
      <c r="W5" s="81"/>
      <c r="X5" s="81"/>
      <c r="Y5" s="85"/>
      <c r="Z5" s="85"/>
      <c r="AA5" s="85"/>
      <c r="AB5" s="85" t="n">
        <v>200</v>
      </c>
      <c r="AC5" s="85"/>
      <c r="AD5" s="85"/>
      <c r="AE5" s="85"/>
      <c r="AF5" s="85"/>
      <c r="AG5" s="85"/>
      <c r="AH5" s="85"/>
      <c r="AI5" s="85"/>
      <c r="AJ5" s="85"/>
      <c r="AK5" s="86" t="n">
        <f aca="false">IF(SUM(Y5:AJ5)=0,"",SUM(Y5:AJ5))</f>
        <v>200</v>
      </c>
      <c r="AL5" s="84" t="str">
        <f aca="false">MID(IF(N(Y5)&gt;0,", "&amp;Y$2,"")&amp;IF(N(Z5)&gt;0,", "&amp;Z$2,"")&amp;IF(N(AA5)&gt;0,", "&amp;AA$2,"")&amp;IF(N(AB5)&gt;0,", "&amp;AB$2,"")&amp;IF(N(AC5)&gt;0,", "&amp;AC$2,"")&amp;IF(N(AD5)&gt;0,", "&amp;AD$2,"")&amp;IF(N(AE5)&gt;0,", "&amp;AE$2,"")&amp;IF(N(AF5)&gt;0,", "&amp;AF$2,"")&amp;IF(N(AG5)&gt;0,", "&amp;AG$2,"")&amp;IF(N(AH5)&gt;0,", "&amp;AH$2,"")&amp;IF(N(AI5)&gt;0,", "&amp;AI$2,"")&amp;IF(N(AJ5)&gt;0,", "&amp;AJ$2,""),3,999)</f>
        <v>BLUE</v>
      </c>
      <c r="AM5" s="87" t="str">
        <f aca="false">IF(E5="","",MID(IF(N(Y5)&gt;0,", "&amp;A5&amp;"-"&amp;Y$2,"")&amp;IF(N(Z5)&gt;0,", "&amp;A5&amp;"-"&amp;Z$2,"")&amp;IF(N(AA5)&gt;0,", "&amp;A5&amp;"-"&amp;AA$2,"")&amp;IF(N(AB5)&gt;0,", "&amp;A5&amp;"-"&amp;AB$2,"")&amp;IF(N(AC5)&gt;0,", "&amp;A5&amp;"-"&amp;AC$2,"")&amp;IF(N(AD5)&gt;0,", "&amp;A5&amp;"-"&amp;AD$2,"")&amp;IF(N(AE5)&gt;0,", "&amp;A5&amp;"-"&amp;AE$2,"")&amp;IF(N(AF5)&gt;0,", "&amp;A5&amp;"-"&amp;AF$2,"")&amp;IF(N(AG5)&gt;0,", "&amp;A5&amp;"-"&amp;AG$2,"")&amp;IF(N(AH5)&gt;0,", "&amp;A5&amp;"-"&amp;AH$2,"")&amp;IF(N(AI5)&gt;0,", "&amp;A5&amp;"-"&amp;AI$2,"")&amp;IF(N(AJ5)&gt;0,", "&amp;A5&amp;"-"&amp;AJ$2,""),3,999))</f>
        <v>AKO-ZS-003-BLUE</v>
      </c>
      <c r="AN5" s="81" t="n">
        <v>1</v>
      </c>
      <c r="AO5" s="88"/>
      <c r="AP5" s="89" t="str">
        <f aca="false">IF(AO5="","",ROUND(AO5/(1+Справочники!$B$13),2))</f>
        <v/>
      </c>
      <c r="AQ5" s="90" t="str">
        <f aca="false" t="array" ref="AQ5:AQ5">IF(AP5="","",AP5*INDEX(Справочники!$B$4:$B$7,MATCH("RUB",Справочники!$A$4:$A$7,0)))</f>
        <v/>
      </c>
      <c r="AR5" s="90" t="str">
        <f aca="false">IF(AQ5="","",ROUND(AQ5*(1+Справочники!$B$12),0))</f>
        <v/>
      </c>
      <c r="AS5" s="90" t="str">
        <f aca="false">IF(AR5="","",ROUND(AR5*(1-Справочники!$B$11),0))</f>
        <v/>
      </c>
      <c r="AT5" s="93" t="n">
        <f aca="false">IF(BH5="","",IF(AS5="",ROUNDUP(BH5/(1-Справочники!$B$23)*(1+Справочники!$B$12),-1),MAX(AS5,ROUNDUP(BH5/(1-Справочники!$B$24)*(1+Справочники!$B$12),-1))))</f>
        <v>1500</v>
      </c>
      <c r="AU5" s="90" t="n">
        <f aca="false">IF(AT5="","",ROUND(AT5/(1+Справочники!$B$12),0))</f>
        <v>1293</v>
      </c>
      <c r="AV5" s="90" t="n">
        <f aca="false">IF(AT5="","",ROUND(AT5*(1-Справочники!$B$15),0))</f>
        <v>1455</v>
      </c>
      <c r="AW5" s="90" t="n">
        <f aca="false">IF(AT5="","",ROUND(AT5*(1-Справочники!$B$16),0))</f>
        <v>1410</v>
      </c>
      <c r="AX5" s="90" t="n">
        <f aca="false">IF(AT5="","",ROUND(AT5*(1-Справочники!$B$17),0))</f>
        <v>1365</v>
      </c>
      <c r="AY5" s="90" t="n">
        <f aca="false">IF(AT5="","",ROUND(AT5*(1-Справочники!$B$18),0))</f>
        <v>1320</v>
      </c>
      <c r="AZ5" s="90" t="n">
        <f aca="false">IF(AT5="","",ROUND(AT5*(1-Справочники!$B$19),0))</f>
        <v>1275</v>
      </c>
      <c r="BA5" s="81"/>
      <c r="BB5" s="81" t="s">
        <v>166</v>
      </c>
      <c r="BC5" s="81" t="s">
        <v>412</v>
      </c>
      <c r="BD5" s="81"/>
      <c r="BE5" s="91" t="n">
        <v>7.5</v>
      </c>
      <c r="BF5" s="81" t="s">
        <v>103</v>
      </c>
      <c r="BG5" s="89" t="n">
        <f aca="false" t="array" ref="BG5:BG5">IF(BF5="","",IFERROR(INDEX(Справочники!$B$4:$B$7,MATCH(BF5,Справочники!$A$4:$A$7,0)),""))</f>
        <v>68.5</v>
      </c>
      <c r="BH5" s="90" t="n">
        <f aca="false">IF(N(BN5)&gt;0,ROUND(SUMIF(ЗАКАЗЫ!$F$3:$F$500,$A5,ЗАКАЗЫ!$Y$3:$Y$500)/BN5,0),IF(OR(BE5="",BG5=""),"",ROUND(BE5*BG5*(1+Справочники!$B$10),0)))</f>
        <v>644</v>
      </c>
      <c r="BI5" s="92" t="n">
        <f aca="false">IF(OR(AU5="",BH5="",AU5=0),"",(AU5-BH5)/AU5)</f>
        <v>0.501933488012374</v>
      </c>
      <c r="BJ5" s="81"/>
      <c r="BK5" s="83"/>
      <c r="BL5" s="43" t="str">
        <f aca="false">IFERROR(INDEX(ЗАКАЗЫ!$N$3:$N$500,MATCH($A5,ЗАКАЗЫ!$F$3:$F$500,0)),"")</f>
        <v>3926 90 970 9</v>
      </c>
      <c r="BM5" s="8" t="n">
        <f aca="false">IF(BL5="","",IFERROR(VLOOKUP(BL5,'ТН ВЭД'!$A$4:$C$40,3,0),""))</f>
        <v>0.065</v>
      </c>
      <c r="BN5" s="7" t="n">
        <f aca="false">IF(COUNTIF(ЗАКАЗЫ!$F$3:$F$500,$A5)=0,"",SUMIF(ЗАКАЗЫ!$F$3:$F$500,$A5,ЗАКАЗЫ!$J$3:$J$500))</f>
        <v>200</v>
      </c>
      <c r="BO5" s="7" t="n">
        <f aca="false">IF(BN5="","",SUMIF(ЗАКАЗЫ!$F$3:$F$500,$A5,ЗАКАЗЫ!$AL$3:$AL$500))</f>
        <v>0</v>
      </c>
      <c r="BP5" s="7" t="n">
        <f aca="false">IF(BN5="","",BN5-BO5)</f>
        <v>200</v>
      </c>
      <c r="BQ5" s="55" t="str">
        <f aca="false">IF(BN5="","",IF(BO5&gt;=BN5,"На складе",IF(BO5&gt;0,"Частично","Ждём")))</f>
        <v>Ждём</v>
      </c>
      <c r="BR5" s="43" t="s">
        <v>2199</v>
      </c>
      <c r="BS5" s="47" t="str">
        <f aca="false">IF(BN5="","",IF(_xlfn.MAXIFS(ЗАКАЗЫ!$AK$3:$AK$500,ЗАКАЗЫ!$F$3:$F$500,$A5)=0,"",_xlfn.MAXIFS(ЗАКАЗЫ!$AK$3:$AK$500,ЗАКАЗЫ!$F$3:$F$500,$A5)))</f>
        <v/>
      </c>
    </row>
    <row r="6" customFormat="false" ht="15.75" hidden="false" customHeight="true" outlineLevel="0" collapsed="false">
      <c r="A6" s="80" t="s">
        <v>2200</v>
      </c>
      <c r="B6" s="81"/>
      <c r="C6" s="81"/>
      <c r="D6" s="81"/>
      <c r="E6" s="83"/>
      <c r="F6" s="81"/>
      <c r="G6" s="83"/>
      <c r="H6" s="83"/>
      <c r="I6" s="84" t="str">
        <f aca="false">IF(E6="","",A6&amp;"_1.jpg")</f>
        <v/>
      </c>
      <c r="J6" s="84" t="str">
        <f aca="false">IF(E6="","",A6&amp;"_2.jpg; "&amp;A6&amp;"_3.jpg")</f>
        <v/>
      </c>
      <c r="K6" s="84" t="str">
        <f aca="false">IF(E6="","",A6&amp;"_schema.jpg")</f>
        <v/>
      </c>
      <c r="L6" s="81"/>
      <c r="M6" s="81"/>
      <c r="N6" s="81"/>
      <c r="O6" s="81"/>
      <c r="P6" s="81"/>
      <c r="Q6" s="81"/>
      <c r="R6" s="81"/>
      <c r="S6" s="81"/>
      <c r="T6" s="81"/>
      <c r="U6" s="81"/>
      <c r="V6" s="81" t="s">
        <v>96</v>
      </c>
      <c r="W6" s="81"/>
      <c r="X6" s="81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6" t="str">
        <f aca="false">IF(SUM(Y6:AJ6)=0,"",SUM(Y6:AJ6))</f>
        <v/>
      </c>
      <c r="AL6" s="84" t="str">
        <f aca="false">MID(IF(N(Y6)&gt;0,", "&amp;Y$2,"")&amp;IF(N(Z6)&gt;0,", "&amp;Z$2,"")&amp;IF(N(AA6)&gt;0,", "&amp;AA$2,"")&amp;IF(N(AB6)&gt;0,", "&amp;AB$2,"")&amp;IF(N(AC6)&gt;0,", "&amp;AC$2,"")&amp;IF(N(AD6)&gt;0,", "&amp;AD$2,"")&amp;IF(N(AE6)&gt;0,", "&amp;AE$2,"")&amp;IF(N(AF6)&gt;0,", "&amp;AF$2,"")&amp;IF(N(AG6)&gt;0,", "&amp;AG$2,"")&amp;IF(N(AH6)&gt;0,", "&amp;AH$2,"")&amp;IF(N(AI6)&gt;0,", "&amp;AI$2,"")&amp;IF(N(AJ6)&gt;0,", "&amp;AJ$2,""),3,999)</f>
        <v/>
      </c>
      <c r="AM6" s="87" t="str">
        <f aca="false">IF(E6="","",MID(IF(N(Y6)&gt;0,", "&amp;A6&amp;"-"&amp;Y$2,"")&amp;IF(N(Z6)&gt;0,", "&amp;A6&amp;"-"&amp;Z$2,"")&amp;IF(N(AA6)&gt;0,", "&amp;A6&amp;"-"&amp;AA$2,"")&amp;IF(N(AB6)&gt;0,", "&amp;A6&amp;"-"&amp;AB$2,"")&amp;IF(N(AC6)&gt;0,", "&amp;A6&amp;"-"&amp;AC$2,"")&amp;IF(N(AD6)&gt;0,", "&amp;A6&amp;"-"&amp;AD$2,"")&amp;IF(N(AE6)&gt;0,", "&amp;A6&amp;"-"&amp;AE$2,"")&amp;IF(N(AF6)&gt;0,", "&amp;A6&amp;"-"&amp;AF$2,"")&amp;IF(N(AG6)&gt;0,", "&amp;A6&amp;"-"&amp;AG$2,"")&amp;IF(N(AH6)&gt;0,", "&amp;A6&amp;"-"&amp;AH$2,"")&amp;IF(N(AI6)&gt;0,", "&amp;A6&amp;"-"&amp;AI$2,"")&amp;IF(N(AJ6)&gt;0,", "&amp;A6&amp;"-"&amp;AJ$2,""),3,999))</f>
        <v/>
      </c>
      <c r="AN6" s="81"/>
      <c r="AO6" s="88"/>
      <c r="AP6" s="89" t="str">
        <f aca="false">IF(AO6="","",ROUND(AO6/(1+Справочники!$B$13),2))</f>
        <v/>
      </c>
      <c r="AQ6" s="90" t="str">
        <f aca="false" t="array" ref="AQ6:AQ6">IF(AP6="","",AP6*INDEX(Справочники!$B$4:$B$7,MATCH("RUB",Справочники!$A$4:$A$7,0)))</f>
        <v/>
      </c>
      <c r="AR6" s="90" t="str">
        <f aca="false">IF(AQ6="","",ROUND(AQ6*(1+Справочники!$B$12),0))</f>
        <v/>
      </c>
      <c r="AS6" s="90" t="str">
        <f aca="false">IF(AR6="","",ROUND(AR6*(1-Справочники!$B$11),0))</f>
        <v/>
      </c>
      <c r="AT6" s="88"/>
      <c r="AU6" s="90" t="str">
        <f aca="false">IF(AT6="","",ROUND(AT6/(1+Справочники!$B$12),0))</f>
        <v/>
      </c>
      <c r="AV6" s="90" t="str">
        <f aca="false">IF(AT6="","",ROUND(AT6*(1-Справочники!$B$15),0))</f>
        <v/>
      </c>
      <c r="AW6" s="90" t="str">
        <f aca="false">IF(AT6="","",ROUND(AT6*(1-Справочники!$B$16),0))</f>
        <v/>
      </c>
      <c r="AX6" s="90" t="str">
        <f aca="false">IF(AT6="","",ROUND(AT6*(1-Справочники!$B$17),0))</f>
        <v/>
      </c>
      <c r="AY6" s="90" t="str">
        <f aca="false">IF(AT6="","",ROUND(AT6*(1-Справочники!$B$18),0))</f>
        <v/>
      </c>
      <c r="AZ6" s="90" t="str">
        <f aca="false">IF(AT6="","",ROUND(AT6*(1-Справочники!$B$19),0))</f>
        <v/>
      </c>
      <c r="BA6" s="81"/>
      <c r="BB6" s="81"/>
      <c r="BC6" s="81"/>
      <c r="BD6" s="81"/>
      <c r="BE6" s="91"/>
      <c r="BF6" s="81" t="s">
        <v>103</v>
      </c>
      <c r="BG6" s="89" t="n">
        <f aca="false" t="array" ref="BG6:BG6">IF(BF6="","",IFERROR(INDEX(Справочники!$B$4:$B$7,MATCH(BF6,Справочники!$A$4:$A$7,0)),""))</f>
        <v>68.5</v>
      </c>
      <c r="BH6" s="90" t="str">
        <f aca="false">IF(N(BN6)&gt;0,ROUND(SUMIF(ЗАКАЗЫ!$F$3:$F$500,$A6,ЗАКАЗЫ!$Y$3:$Y$500)/BN6,0),IF(OR(BE6="",BG6=""),"",ROUND(BE6*BG6*(1+Справочники!$B$10),0)))</f>
        <v/>
      </c>
      <c r="BI6" s="92" t="str">
        <f aca="false">IF(OR(AU6="",BH6="",AU6=0),"",(AU6-BH6)/AU6)</f>
        <v/>
      </c>
      <c r="BJ6" s="81"/>
      <c r="BK6" s="83"/>
      <c r="BL6" s="43" t="str">
        <f aca="false">IFERROR(INDEX(ЗАКАЗЫ!$N$3:$N$500,MATCH($A6,ЗАКАЗЫ!$F$3:$F$500,0)),"")</f>
        <v/>
      </c>
      <c r="BM6" s="8" t="str">
        <f aca="false">IF(BL6="","",IFERROR(VLOOKUP(BL6,'ТН ВЭД'!$A$4:$C$40,3,0),""))</f>
        <v/>
      </c>
      <c r="BN6" s="7" t="str">
        <f aca="false">IF(COUNTIF(ЗАКАЗЫ!$F$3:$F$500,$A6)=0,"",SUMIF(ЗАКАЗЫ!$F$3:$F$500,$A6,ЗАКАЗЫ!$J$3:$J$500))</f>
        <v/>
      </c>
      <c r="BO6" s="7" t="str">
        <f aca="false">IF(BN6="","",SUMIF(ЗАКАЗЫ!$F$3:$F$500,$A6,ЗАКАЗЫ!$AL$3:$AL$500))</f>
        <v/>
      </c>
      <c r="BP6" s="7" t="str">
        <f aca="false">IF(BN6="","",BN6-BO6)</f>
        <v/>
      </c>
      <c r="BQ6" s="55" t="str">
        <f aca="false">IF(BN6="","",IF(BO6&gt;=BN6,"На складе",IF(BO6&gt;0,"Частично","Ждём")))</f>
        <v/>
      </c>
      <c r="BR6" s="43"/>
      <c r="BS6" s="47" t="str">
        <f aca="false">IF(BN6="","",IF(_xlfn.MAXIFS(ЗАКАЗЫ!$AK$3:$AK$500,ЗАКАЗЫ!$F$3:$F$500,$A6)=0,"",_xlfn.MAXIFS(ЗАКАЗЫ!$AK$3:$AK$500,ЗАКАЗЫ!$F$3:$F$500,$A6)))</f>
        <v/>
      </c>
    </row>
    <row r="7" customFormat="false" ht="15.75" hidden="false" customHeight="true" outlineLevel="0" collapsed="false">
      <c r="A7" s="80" t="s">
        <v>2201</v>
      </c>
      <c r="B7" s="81"/>
      <c r="C7" s="81"/>
      <c r="D7" s="81"/>
      <c r="E7" s="83"/>
      <c r="F7" s="81"/>
      <c r="G7" s="83"/>
      <c r="H7" s="83"/>
      <c r="I7" s="84" t="str">
        <f aca="false">IF(E7="","",A7&amp;"_1.jpg")</f>
        <v/>
      </c>
      <c r="J7" s="84" t="str">
        <f aca="false">IF(E7="","",A7&amp;"_2.jpg; "&amp;A7&amp;"_3.jpg")</f>
        <v/>
      </c>
      <c r="K7" s="84" t="str">
        <f aca="false">IF(E7="","",A7&amp;"_schema.jpg")</f>
        <v/>
      </c>
      <c r="L7" s="81"/>
      <c r="M7" s="81"/>
      <c r="N7" s="81"/>
      <c r="O7" s="81"/>
      <c r="P7" s="81"/>
      <c r="Q7" s="81"/>
      <c r="R7" s="81"/>
      <c r="S7" s="81"/>
      <c r="T7" s="81"/>
      <c r="U7" s="81"/>
      <c r="V7" s="81" t="s">
        <v>96</v>
      </c>
      <c r="W7" s="81"/>
      <c r="X7" s="81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6" t="str">
        <f aca="false">IF(SUM(Y7:AJ7)=0,"",SUM(Y7:AJ7))</f>
        <v/>
      </c>
      <c r="AL7" s="84" t="str">
        <f aca="false">MID(IF(N(Y7)&gt;0,", "&amp;Y$2,"")&amp;IF(N(Z7)&gt;0,", "&amp;Z$2,"")&amp;IF(N(AA7)&gt;0,", "&amp;AA$2,"")&amp;IF(N(AB7)&gt;0,", "&amp;AB$2,"")&amp;IF(N(AC7)&gt;0,", "&amp;AC$2,"")&amp;IF(N(AD7)&gt;0,", "&amp;AD$2,"")&amp;IF(N(AE7)&gt;0,", "&amp;AE$2,"")&amp;IF(N(AF7)&gt;0,", "&amp;AF$2,"")&amp;IF(N(AG7)&gt;0,", "&amp;AG$2,"")&amp;IF(N(AH7)&gt;0,", "&amp;AH$2,"")&amp;IF(N(AI7)&gt;0,", "&amp;AI$2,"")&amp;IF(N(AJ7)&gt;0,", "&amp;AJ$2,""),3,999)</f>
        <v/>
      </c>
      <c r="AM7" s="87" t="str">
        <f aca="false">IF(E7="","",MID(IF(N(Y7)&gt;0,", "&amp;A7&amp;"-"&amp;Y$2,"")&amp;IF(N(Z7)&gt;0,", "&amp;A7&amp;"-"&amp;Z$2,"")&amp;IF(N(AA7)&gt;0,", "&amp;A7&amp;"-"&amp;AA$2,"")&amp;IF(N(AB7)&gt;0,", "&amp;A7&amp;"-"&amp;AB$2,"")&amp;IF(N(AC7)&gt;0,", "&amp;A7&amp;"-"&amp;AC$2,"")&amp;IF(N(AD7)&gt;0,", "&amp;A7&amp;"-"&amp;AD$2,"")&amp;IF(N(AE7)&gt;0,", "&amp;A7&amp;"-"&amp;AE$2,"")&amp;IF(N(AF7)&gt;0,", "&amp;A7&amp;"-"&amp;AF$2,"")&amp;IF(N(AG7)&gt;0,", "&amp;A7&amp;"-"&amp;AG$2,"")&amp;IF(N(AH7)&gt;0,", "&amp;A7&amp;"-"&amp;AH$2,"")&amp;IF(N(AI7)&gt;0,", "&amp;A7&amp;"-"&amp;AI$2,"")&amp;IF(N(AJ7)&gt;0,", "&amp;A7&amp;"-"&amp;AJ$2,""),3,999))</f>
        <v/>
      </c>
      <c r="AN7" s="81"/>
      <c r="AO7" s="88"/>
      <c r="AP7" s="89" t="str">
        <f aca="false">IF(AO7="","",ROUND(AO7/(1+Справочники!$B$13),2))</f>
        <v/>
      </c>
      <c r="AQ7" s="90" t="str">
        <f aca="false" t="array" ref="AQ7:AQ7">IF(AP7="","",AP7*INDEX(Справочники!$B$4:$B$7,MATCH("RUB",Справочники!$A$4:$A$7,0)))</f>
        <v/>
      </c>
      <c r="AR7" s="90" t="str">
        <f aca="false">IF(AQ7="","",ROUND(AQ7*(1+Справочники!$B$12),0))</f>
        <v/>
      </c>
      <c r="AS7" s="90" t="str">
        <f aca="false">IF(AR7="","",ROUND(AR7*(1-Справочники!$B$11),0))</f>
        <v/>
      </c>
      <c r="AT7" s="88"/>
      <c r="AU7" s="90" t="str">
        <f aca="false">IF(AT7="","",ROUND(AT7/(1+Справочники!$B$12),0))</f>
        <v/>
      </c>
      <c r="AV7" s="90" t="str">
        <f aca="false">IF(AT7="","",ROUND(AT7*(1-Справочники!$B$15),0))</f>
        <v/>
      </c>
      <c r="AW7" s="90" t="str">
        <f aca="false">IF(AT7="","",ROUND(AT7*(1-Справочники!$B$16),0))</f>
        <v/>
      </c>
      <c r="AX7" s="90" t="str">
        <f aca="false">IF(AT7="","",ROUND(AT7*(1-Справочники!$B$17),0))</f>
        <v/>
      </c>
      <c r="AY7" s="90" t="str">
        <f aca="false">IF(AT7="","",ROUND(AT7*(1-Справочники!$B$18),0))</f>
        <v/>
      </c>
      <c r="AZ7" s="90" t="str">
        <f aca="false">IF(AT7="","",ROUND(AT7*(1-Справочники!$B$19),0))</f>
        <v/>
      </c>
      <c r="BA7" s="81"/>
      <c r="BB7" s="81"/>
      <c r="BC7" s="81"/>
      <c r="BD7" s="81"/>
      <c r="BE7" s="91"/>
      <c r="BF7" s="81" t="s">
        <v>103</v>
      </c>
      <c r="BG7" s="89" t="n">
        <f aca="false" t="array" ref="BG7:BG7">IF(BF7="","",IFERROR(INDEX(Справочники!$B$4:$B$7,MATCH(BF7,Справочники!$A$4:$A$7,0)),""))</f>
        <v>68.5</v>
      </c>
      <c r="BH7" s="90" t="str">
        <f aca="false">IF(N(BN7)&gt;0,ROUND(SUMIF(ЗАКАЗЫ!$F$3:$F$500,$A7,ЗАКАЗЫ!$Y$3:$Y$500)/BN7,0),IF(OR(BE7="",BG7=""),"",ROUND(BE7*BG7*(1+Справочники!$B$10),0)))</f>
        <v/>
      </c>
      <c r="BI7" s="92" t="str">
        <f aca="false">IF(OR(AU7="",BH7="",AU7=0),"",(AU7-BH7)/AU7)</f>
        <v/>
      </c>
      <c r="BJ7" s="81"/>
      <c r="BK7" s="83"/>
      <c r="BL7" s="43" t="str">
        <f aca="false">IFERROR(INDEX(ЗАКАЗЫ!$N$3:$N$500,MATCH($A7,ЗАКАЗЫ!$F$3:$F$500,0)),"")</f>
        <v/>
      </c>
      <c r="BM7" s="8" t="str">
        <f aca="false">IF(BL7="","",IFERROR(VLOOKUP(BL7,'ТН ВЭД'!$A$4:$C$40,3,0),""))</f>
        <v/>
      </c>
      <c r="BN7" s="7" t="str">
        <f aca="false">IF(COUNTIF(ЗАКАЗЫ!$F$3:$F$500,$A7)=0,"",SUMIF(ЗАКАЗЫ!$F$3:$F$500,$A7,ЗАКАЗЫ!$J$3:$J$500))</f>
        <v/>
      </c>
      <c r="BO7" s="7" t="str">
        <f aca="false">IF(BN7="","",SUMIF(ЗАКАЗЫ!$F$3:$F$500,$A7,ЗАКАЗЫ!$AL$3:$AL$500))</f>
        <v/>
      </c>
      <c r="BP7" s="7" t="str">
        <f aca="false">IF(BN7="","",BN7-BO7)</f>
        <v/>
      </c>
      <c r="BQ7" s="55" t="str">
        <f aca="false">IF(BN7="","",IF(BO7&gt;=BN7,"На складе",IF(BO7&gt;0,"Частично","Ждём")))</f>
        <v/>
      </c>
      <c r="BR7" s="43"/>
      <c r="BS7" s="47" t="str">
        <f aca="false">IF(BN7="","",IF(_xlfn.MAXIFS(ЗАКАЗЫ!$AK$3:$AK$500,ЗАКАЗЫ!$F$3:$F$500,$A7)=0,"",_xlfn.MAXIFS(ЗАКАЗЫ!$AK$3:$AK$500,ЗАКАЗЫ!$F$3:$F$500,$A7)))</f>
        <v/>
      </c>
    </row>
    <row r="8" customFormat="false" ht="15.75" hidden="false" customHeight="true" outlineLevel="0" collapsed="false">
      <c r="A8" s="80" t="s">
        <v>2202</v>
      </c>
      <c r="B8" s="81"/>
      <c r="C8" s="81"/>
      <c r="D8" s="81"/>
      <c r="E8" s="83"/>
      <c r="F8" s="81"/>
      <c r="G8" s="83"/>
      <c r="H8" s="83"/>
      <c r="I8" s="84" t="str">
        <f aca="false">IF(E8="","",A8&amp;"_1.jpg")</f>
        <v/>
      </c>
      <c r="J8" s="84" t="str">
        <f aca="false">IF(E8="","",A8&amp;"_2.jpg; "&amp;A8&amp;"_3.jpg")</f>
        <v/>
      </c>
      <c r="K8" s="84" t="str">
        <f aca="false">IF(E8="","",A8&amp;"_schema.jpg")</f>
        <v/>
      </c>
      <c r="L8" s="81"/>
      <c r="M8" s="81"/>
      <c r="N8" s="81"/>
      <c r="O8" s="81"/>
      <c r="P8" s="81"/>
      <c r="Q8" s="81"/>
      <c r="R8" s="81"/>
      <c r="S8" s="81"/>
      <c r="T8" s="81"/>
      <c r="U8" s="81"/>
      <c r="V8" s="81" t="s">
        <v>96</v>
      </c>
      <c r="W8" s="81"/>
      <c r="X8" s="81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6" t="str">
        <f aca="false">IF(SUM(Y8:AJ8)=0,"",SUM(Y8:AJ8))</f>
        <v/>
      </c>
      <c r="AL8" s="84" t="str">
        <f aca="false">MID(IF(N(Y8)&gt;0,", "&amp;Y$2,"")&amp;IF(N(Z8)&gt;0,", "&amp;Z$2,"")&amp;IF(N(AA8)&gt;0,", "&amp;AA$2,"")&amp;IF(N(AB8)&gt;0,", "&amp;AB$2,"")&amp;IF(N(AC8)&gt;0,", "&amp;AC$2,"")&amp;IF(N(AD8)&gt;0,", "&amp;AD$2,"")&amp;IF(N(AE8)&gt;0,", "&amp;AE$2,"")&amp;IF(N(AF8)&gt;0,", "&amp;AF$2,"")&amp;IF(N(AG8)&gt;0,", "&amp;AG$2,"")&amp;IF(N(AH8)&gt;0,", "&amp;AH$2,"")&amp;IF(N(AI8)&gt;0,", "&amp;AI$2,"")&amp;IF(N(AJ8)&gt;0,", "&amp;AJ$2,""),3,999)</f>
        <v/>
      </c>
      <c r="AM8" s="87" t="str">
        <f aca="false">IF(E8="","",MID(IF(N(Y8)&gt;0,", "&amp;A8&amp;"-"&amp;Y$2,"")&amp;IF(N(Z8)&gt;0,", "&amp;A8&amp;"-"&amp;Z$2,"")&amp;IF(N(AA8)&gt;0,", "&amp;A8&amp;"-"&amp;AA$2,"")&amp;IF(N(AB8)&gt;0,", "&amp;A8&amp;"-"&amp;AB$2,"")&amp;IF(N(AC8)&gt;0,", "&amp;A8&amp;"-"&amp;AC$2,"")&amp;IF(N(AD8)&gt;0,", "&amp;A8&amp;"-"&amp;AD$2,"")&amp;IF(N(AE8)&gt;0,", "&amp;A8&amp;"-"&amp;AE$2,"")&amp;IF(N(AF8)&gt;0,", "&amp;A8&amp;"-"&amp;AF$2,"")&amp;IF(N(AG8)&gt;0,", "&amp;A8&amp;"-"&amp;AG$2,"")&amp;IF(N(AH8)&gt;0,", "&amp;A8&amp;"-"&amp;AH$2,"")&amp;IF(N(AI8)&gt;0,", "&amp;A8&amp;"-"&amp;AI$2,"")&amp;IF(N(AJ8)&gt;0,", "&amp;A8&amp;"-"&amp;AJ$2,""),3,999))</f>
        <v/>
      </c>
      <c r="AN8" s="81"/>
      <c r="AO8" s="88"/>
      <c r="AP8" s="89" t="str">
        <f aca="false">IF(AO8="","",ROUND(AO8/(1+Справочники!$B$13),2))</f>
        <v/>
      </c>
      <c r="AQ8" s="90" t="str">
        <f aca="false" t="array" ref="AQ8:AQ8">IF(AP8="","",AP8*INDEX(Справочники!$B$4:$B$7,MATCH("RUB",Справочники!$A$4:$A$7,0)))</f>
        <v/>
      </c>
      <c r="AR8" s="90" t="str">
        <f aca="false">IF(AQ8="","",ROUND(AQ8*(1+Справочники!$B$12),0))</f>
        <v/>
      </c>
      <c r="AS8" s="90" t="str">
        <f aca="false">IF(AR8="","",ROUND(AR8*(1-Справочники!$B$11),0))</f>
        <v/>
      </c>
      <c r="AT8" s="88"/>
      <c r="AU8" s="90" t="str">
        <f aca="false">IF(AT8="","",ROUND(AT8/(1+Справочники!$B$12),0))</f>
        <v/>
      </c>
      <c r="AV8" s="90" t="str">
        <f aca="false">IF(AT8="","",ROUND(AT8*(1-Справочники!$B$15),0))</f>
        <v/>
      </c>
      <c r="AW8" s="90" t="str">
        <f aca="false">IF(AT8="","",ROUND(AT8*(1-Справочники!$B$16),0))</f>
        <v/>
      </c>
      <c r="AX8" s="90" t="str">
        <f aca="false">IF(AT8="","",ROUND(AT8*(1-Справочники!$B$17),0))</f>
        <v/>
      </c>
      <c r="AY8" s="90" t="str">
        <f aca="false">IF(AT8="","",ROUND(AT8*(1-Справочники!$B$18),0))</f>
        <v/>
      </c>
      <c r="AZ8" s="90" t="str">
        <f aca="false">IF(AT8="","",ROUND(AT8*(1-Справочники!$B$19),0))</f>
        <v/>
      </c>
      <c r="BA8" s="81"/>
      <c r="BB8" s="81"/>
      <c r="BC8" s="81"/>
      <c r="BD8" s="81"/>
      <c r="BE8" s="91"/>
      <c r="BF8" s="81" t="s">
        <v>103</v>
      </c>
      <c r="BG8" s="89" t="n">
        <f aca="false" t="array" ref="BG8:BG8">IF(BF8="","",IFERROR(INDEX(Справочники!$B$4:$B$7,MATCH(BF8,Справочники!$A$4:$A$7,0)),""))</f>
        <v>68.5</v>
      </c>
      <c r="BH8" s="90" t="str">
        <f aca="false">IF(N(BN8)&gt;0,ROUND(SUMIF(ЗАКАЗЫ!$F$3:$F$500,$A8,ЗАКАЗЫ!$Y$3:$Y$500)/BN8,0),IF(OR(BE8="",BG8=""),"",ROUND(BE8*BG8*(1+Справочники!$B$10),0)))</f>
        <v/>
      </c>
      <c r="BI8" s="92" t="str">
        <f aca="false">IF(OR(AU8="",BH8="",AU8=0),"",(AU8-BH8)/AU8)</f>
        <v/>
      </c>
      <c r="BJ8" s="81"/>
      <c r="BK8" s="83"/>
      <c r="BL8" s="43" t="str">
        <f aca="false">IFERROR(INDEX(ЗАКАЗЫ!$N$3:$N$500,MATCH($A8,ЗАКАЗЫ!$F$3:$F$500,0)),"")</f>
        <v/>
      </c>
      <c r="BM8" s="8" t="str">
        <f aca="false">IF(BL8="","",IFERROR(VLOOKUP(BL8,'ТН ВЭД'!$A$4:$C$40,3,0),""))</f>
        <v/>
      </c>
      <c r="BN8" s="7" t="str">
        <f aca="false">IF(COUNTIF(ЗАКАЗЫ!$F$3:$F$500,$A8)=0,"",SUMIF(ЗАКАЗЫ!$F$3:$F$500,$A8,ЗАКАЗЫ!$J$3:$J$500))</f>
        <v/>
      </c>
      <c r="BO8" s="7" t="str">
        <f aca="false">IF(BN8="","",SUMIF(ЗАКАЗЫ!$F$3:$F$500,$A8,ЗАКАЗЫ!$AL$3:$AL$500))</f>
        <v/>
      </c>
      <c r="BP8" s="7" t="str">
        <f aca="false">IF(BN8="","",BN8-BO8)</f>
        <v/>
      </c>
      <c r="BQ8" s="55" t="str">
        <f aca="false">IF(BN8="","",IF(BO8&gt;=BN8,"На складе",IF(BO8&gt;0,"Частично","Ждём")))</f>
        <v/>
      </c>
      <c r="BR8" s="43"/>
      <c r="BS8" s="47" t="str">
        <f aca="false">IF(BN8="","",IF(_xlfn.MAXIFS(ЗАКАЗЫ!$AK$3:$AK$500,ЗАКАЗЫ!$F$3:$F$500,$A8)=0,"",_xlfn.MAXIFS(ЗАКАЗЫ!$AK$3:$AK$500,ЗАКАЗЫ!$F$3:$F$500,$A8)))</f>
        <v/>
      </c>
    </row>
    <row r="9" customFormat="false" ht="15.75" hidden="false" customHeight="true" outlineLevel="0" collapsed="false">
      <c r="A9" s="80" t="s">
        <v>2203</v>
      </c>
      <c r="B9" s="81"/>
      <c r="C9" s="81"/>
      <c r="D9" s="81"/>
      <c r="E9" s="83"/>
      <c r="F9" s="81"/>
      <c r="G9" s="83"/>
      <c r="H9" s="83"/>
      <c r="I9" s="84" t="str">
        <f aca="false">IF(E9="","",A9&amp;"_1.jpg")</f>
        <v/>
      </c>
      <c r="J9" s="84" t="str">
        <f aca="false">IF(E9="","",A9&amp;"_2.jpg; "&amp;A9&amp;"_3.jpg")</f>
        <v/>
      </c>
      <c r="K9" s="84" t="str">
        <f aca="false">IF(E9="","",A9&amp;"_schema.jpg")</f>
        <v/>
      </c>
      <c r="L9" s="81"/>
      <c r="M9" s="81"/>
      <c r="N9" s="81"/>
      <c r="O9" s="81"/>
      <c r="P9" s="81"/>
      <c r="Q9" s="81"/>
      <c r="R9" s="81"/>
      <c r="S9" s="81"/>
      <c r="T9" s="81"/>
      <c r="U9" s="81"/>
      <c r="V9" s="81" t="s">
        <v>96</v>
      </c>
      <c r="W9" s="81"/>
      <c r="X9" s="81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6" t="str">
        <f aca="false">IF(SUM(Y9:AJ9)=0,"",SUM(Y9:AJ9))</f>
        <v/>
      </c>
      <c r="AL9" s="84" t="str">
        <f aca="false">MID(IF(N(Y9)&gt;0,", "&amp;Y$2,"")&amp;IF(N(Z9)&gt;0,", "&amp;Z$2,"")&amp;IF(N(AA9)&gt;0,", "&amp;AA$2,"")&amp;IF(N(AB9)&gt;0,", "&amp;AB$2,"")&amp;IF(N(AC9)&gt;0,", "&amp;AC$2,"")&amp;IF(N(AD9)&gt;0,", "&amp;AD$2,"")&amp;IF(N(AE9)&gt;0,", "&amp;AE$2,"")&amp;IF(N(AF9)&gt;0,", "&amp;AF$2,"")&amp;IF(N(AG9)&gt;0,", "&amp;AG$2,"")&amp;IF(N(AH9)&gt;0,", "&amp;AH$2,"")&amp;IF(N(AI9)&gt;0,", "&amp;AI$2,"")&amp;IF(N(AJ9)&gt;0,", "&amp;AJ$2,""),3,999)</f>
        <v/>
      </c>
      <c r="AM9" s="87" t="str">
        <f aca="false">IF(E9="","",MID(IF(N(Y9)&gt;0,", "&amp;A9&amp;"-"&amp;Y$2,"")&amp;IF(N(Z9)&gt;0,", "&amp;A9&amp;"-"&amp;Z$2,"")&amp;IF(N(AA9)&gt;0,", "&amp;A9&amp;"-"&amp;AA$2,"")&amp;IF(N(AB9)&gt;0,", "&amp;A9&amp;"-"&amp;AB$2,"")&amp;IF(N(AC9)&gt;0,", "&amp;A9&amp;"-"&amp;AC$2,"")&amp;IF(N(AD9)&gt;0,", "&amp;A9&amp;"-"&amp;AD$2,"")&amp;IF(N(AE9)&gt;0,", "&amp;A9&amp;"-"&amp;AE$2,"")&amp;IF(N(AF9)&gt;0,", "&amp;A9&amp;"-"&amp;AF$2,"")&amp;IF(N(AG9)&gt;0,", "&amp;A9&amp;"-"&amp;AG$2,"")&amp;IF(N(AH9)&gt;0,", "&amp;A9&amp;"-"&amp;AH$2,"")&amp;IF(N(AI9)&gt;0,", "&amp;A9&amp;"-"&amp;AI$2,"")&amp;IF(N(AJ9)&gt;0,", "&amp;A9&amp;"-"&amp;AJ$2,""),3,999))</f>
        <v/>
      </c>
      <c r="AN9" s="81"/>
      <c r="AO9" s="88"/>
      <c r="AP9" s="89" t="str">
        <f aca="false">IF(AO9="","",ROUND(AO9/(1+Справочники!$B$13),2))</f>
        <v/>
      </c>
      <c r="AQ9" s="90" t="str">
        <f aca="false" t="array" ref="AQ9:AQ9">IF(AP9="","",AP9*INDEX(Справочники!$B$4:$B$7,MATCH("RUB",Справочники!$A$4:$A$7,0)))</f>
        <v/>
      </c>
      <c r="AR9" s="90" t="str">
        <f aca="false">IF(AQ9="","",ROUND(AQ9*(1+Справочники!$B$12),0))</f>
        <v/>
      </c>
      <c r="AS9" s="90" t="str">
        <f aca="false">IF(AR9="","",ROUND(AR9*(1-Справочники!$B$11),0))</f>
        <v/>
      </c>
      <c r="AT9" s="88"/>
      <c r="AU9" s="90" t="str">
        <f aca="false">IF(AT9="","",ROUND(AT9/(1+Справочники!$B$12),0))</f>
        <v/>
      </c>
      <c r="AV9" s="90" t="str">
        <f aca="false">IF(AT9="","",ROUND(AT9*(1-Справочники!$B$15),0))</f>
        <v/>
      </c>
      <c r="AW9" s="90" t="str">
        <f aca="false">IF(AT9="","",ROUND(AT9*(1-Справочники!$B$16),0))</f>
        <v/>
      </c>
      <c r="AX9" s="90" t="str">
        <f aca="false">IF(AT9="","",ROUND(AT9*(1-Справочники!$B$17),0))</f>
        <v/>
      </c>
      <c r="AY9" s="90" t="str">
        <f aca="false">IF(AT9="","",ROUND(AT9*(1-Справочники!$B$18),0))</f>
        <v/>
      </c>
      <c r="AZ9" s="90" t="str">
        <f aca="false">IF(AT9="","",ROUND(AT9*(1-Справочники!$B$19),0))</f>
        <v/>
      </c>
      <c r="BA9" s="81"/>
      <c r="BB9" s="81"/>
      <c r="BC9" s="81"/>
      <c r="BD9" s="81"/>
      <c r="BE9" s="91"/>
      <c r="BF9" s="81" t="s">
        <v>103</v>
      </c>
      <c r="BG9" s="89" t="n">
        <f aca="false" t="array" ref="BG9:BG9">IF(BF9="","",IFERROR(INDEX(Справочники!$B$4:$B$7,MATCH(BF9,Справочники!$A$4:$A$7,0)),""))</f>
        <v>68.5</v>
      </c>
      <c r="BH9" s="90" t="str">
        <f aca="false">IF(N(BN9)&gt;0,ROUND(SUMIF(ЗАКАЗЫ!$F$3:$F$500,$A9,ЗАКАЗЫ!$Y$3:$Y$500)/BN9,0),IF(OR(BE9="",BG9=""),"",ROUND(BE9*BG9*(1+Справочники!$B$10),0)))</f>
        <v/>
      </c>
      <c r="BI9" s="92" t="str">
        <f aca="false">IF(OR(AU9="",BH9="",AU9=0),"",(AU9-BH9)/AU9)</f>
        <v/>
      </c>
      <c r="BJ9" s="81"/>
      <c r="BK9" s="83"/>
      <c r="BL9" s="43" t="str">
        <f aca="false">IFERROR(INDEX(ЗАКАЗЫ!$N$3:$N$500,MATCH($A9,ЗАКАЗЫ!$F$3:$F$500,0)),"")</f>
        <v/>
      </c>
      <c r="BM9" s="8" t="str">
        <f aca="false">IF(BL9="","",IFERROR(VLOOKUP(BL9,'ТН ВЭД'!$A$4:$C$40,3,0),""))</f>
        <v/>
      </c>
      <c r="BN9" s="7" t="str">
        <f aca="false">IF(COUNTIF(ЗАКАЗЫ!$F$3:$F$500,$A9)=0,"",SUMIF(ЗАКАЗЫ!$F$3:$F$500,$A9,ЗАКАЗЫ!$J$3:$J$500))</f>
        <v/>
      </c>
      <c r="BO9" s="7" t="str">
        <f aca="false">IF(BN9="","",SUMIF(ЗАКАЗЫ!$F$3:$F$500,$A9,ЗАКАЗЫ!$AL$3:$AL$500))</f>
        <v/>
      </c>
      <c r="BP9" s="7" t="str">
        <f aca="false">IF(BN9="","",BN9-BO9)</f>
        <v/>
      </c>
      <c r="BQ9" s="55" t="str">
        <f aca="false">IF(BN9="","",IF(BO9&gt;=BN9,"На складе",IF(BO9&gt;0,"Частично","Ждём")))</f>
        <v/>
      </c>
      <c r="BR9" s="43"/>
      <c r="BS9" s="47" t="str">
        <f aca="false">IF(BN9="","",IF(_xlfn.MAXIFS(ЗАКАЗЫ!$AK$3:$AK$500,ЗАКАЗЫ!$F$3:$F$500,$A9)=0,"",_xlfn.MAXIFS(ЗАКАЗЫ!$AK$3:$AK$500,ЗАКАЗЫ!$F$3:$F$500,$A9)))</f>
        <v/>
      </c>
    </row>
    <row r="10" customFormat="false" ht="15.75" hidden="false" customHeight="true" outlineLevel="0" collapsed="false">
      <c r="A10" s="80" t="s">
        <v>2204</v>
      </c>
      <c r="B10" s="81"/>
      <c r="C10" s="81"/>
      <c r="D10" s="81"/>
      <c r="E10" s="83"/>
      <c r="F10" s="81"/>
      <c r="G10" s="83"/>
      <c r="H10" s="83"/>
      <c r="I10" s="84" t="str">
        <f aca="false">IF(E10="","",A10&amp;"_1.jpg")</f>
        <v/>
      </c>
      <c r="J10" s="84" t="str">
        <f aca="false">IF(E10="","",A10&amp;"_2.jpg; "&amp;A10&amp;"_3.jpg")</f>
        <v/>
      </c>
      <c r="K10" s="84" t="str">
        <f aca="false">IF(E10="","",A10&amp;"_schema.jpg")</f>
        <v/>
      </c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 t="s">
        <v>96</v>
      </c>
      <c r="W10" s="81"/>
      <c r="X10" s="81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6" t="str">
        <f aca="false">IF(SUM(Y10:AJ10)=0,"",SUM(Y10:AJ10))</f>
        <v/>
      </c>
      <c r="AL10" s="84" t="str">
        <f aca="false">MID(IF(N(Y10)&gt;0,", "&amp;Y$2,"")&amp;IF(N(Z10)&gt;0,", "&amp;Z$2,"")&amp;IF(N(AA10)&gt;0,", "&amp;AA$2,"")&amp;IF(N(AB10)&gt;0,", "&amp;AB$2,"")&amp;IF(N(AC10)&gt;0,", "&amp;AC$2,"")&amp;IF(N(AD10)&gt;0,", "&amp;AD$2,"")&amp;IF(N(AE10)&gt;0,", "&amp;AE$2,"")&amp;IF(N(AF10)&gt;0,", "&amp;AF$2,"")&amp;IF(N(AG10)&gt;0,", "&amp;AG$2,"")&amp;IF(N(AH10)&gt;0,", "&amp;AH$2,"")&amp;IF(N(AI10)&gt;0,", "&amp;AI$2,"")&amp;IF(N(AJ10)&gt;0,", "&amp;AJ$2,""),3,999)</f>
        <v/>
      </c>
      <c r="AM10" s="87" t="str">
        <f aca="false">IF(E10="","",MID(IF(N(Y10)&gt;0,", "&amp;A10&amp;"-"&amp;Y$2,"")&amp;IF(N(Z10)&gt;0,", "&amp;A10&amp;"-"&amp;Z$2,"")&amp;IF(N(AA10)&gt;0,", "&amp;A10&amp;"-"&amp;AA$2,"")&amp;IF(N(AB10)&gt;0,", "&amp;A10&amp;"-"&amp;AB$2,"")&amp;IF(N(AC10)&gt;0,", "&amp;A10&amp;"-"&amp;AC$2,"")&amp;IF(N(AD10)&gt;0,", "&amp;A10&amp;"-"&amp;AD$2,"")&amp;IF(N(AE10)&gt;0,", "&amp;A10&amp;"-"&amp;AE$2,"")&amp;IF(N(AF10)&gt;0,", "&amp;A10&amp;"-"&amp;AF$2,"")&amp;IF(N(AG10)&gt;0,", "&amp;A10&amp;"-"&amp;AG$2,"")&amp;IF(N(AH10)&gt;0,", "&amp;A10&amp;"-"&amp;AH$2,"")&amp;IF(N(AI10)&gt;0,", "&amp;A10&amp;"-"&amp;AI$2,"")&amp;IF(N(AJ10)&gt;0,", "&amp;A10&amp;"-"&amp;AJ$2,""),3,999))</f>
        <v/>
      </c>
      <c r="AN10" s="81"/>
      <c r="AO10" s="88"/>
      <c r="AP10" s="89" t="str">
        <f aca="false">IF(AO10="","",ROUND(AO10/(1+Справочники!$B$13),2))</f>
        <v/>
      </c>
      <c r="AQ10" s="90" t="str">
        <f aca="false" t="array" ref="AQ10:AQ10">IF(AP10="","",AP10*INDEX(Справочники!$B$4:$B$7,MATCH("RUB",Справочники!$A$4:$A$7,0)))</f>
        <v/>
      </c>
      <c r="AR10" s="90" t="str">
        <f aca="false">IF(AQ10="","",ROUND(AQ10*(1+Справочники!$B$12),0))</f>
        <v/>
      </c>
      <c r="AS10" s="90" t="str">
        <f aca="false">IF(AR10="","",ROUND(AR10*(1-Справочники!$B$11),0))</f>
        <v/>
      </c>
      <c r="AT10" s="88"/>
      <c r="AU10" s="90" t="str">
        <f aca="false">IF(AT10="","",ROUND(AT10/(1+Справочники!$B$12),0))</f>
        <v/>
      </c>
      <c r="AV10" s="90" t="str">
        <f aca="false">IF(AT10="","",ROUND(AT10*(1-Справочники!$B$15),0))</f>
        <v/>
      </c>
      <c r="AW10" s="90" t="str">
        <f aca="false">IF(AT10="","",ROUND(AT10*(1-Справочники!$B$16),0))</f>
        <v/>
      </c>
      <c r="AX10" s="90" t="str">
        <f aca="false">IF(AT10="","",ROUND(AT10*(1-Справочники!$B$17),0))</f>
        <v/>
      </c>
      <c r="AY10" s="90" t="str">
        <f aca="false">IF(AT10="","",ROUND(AT10*(1-Справочники!$B$18),0))</f>
        <v/>
      </c>
      <c r="AZ10" s="90" t="str">
        <f aca="false">IF(AT10="","",ROUND(AT10*(1-Справочники!$B$19),0))</f>
        <v/>
      </c>
      <c r="BA10" s="81"/>
      <c r="BB10" s="81"/>
      <c r="BC10" s="81"/>
      <c r="BD10" s="81"/>
      <c r="BE10" s="91"/>
      <c r="BF10" s="81" t="s">
        <v>103</v>
      </c>
      <c r="BG10" s="89" t="n">
        <f aca="false" t="array" ref="BG10:BG10">IF(BF10="","",IFERROR(INDEX(Справочники!$B$4:$B$7,MATCH(BF10,Справочники!$A$4:$A$7,0)),""))</f>
        <v>68.5</v>
      </c>
      <c r="BH10" s="90" t="str">
        <f aca="false">IF(N(BN10)&gt;0,ROUND(SUMIF(ЗАКАЗЫ!$F$3:$F$500,$A10,ЗАКАЗЫ!$Y$3:$Y$500)/BN10,0),IF(OR(BE10="",BG10=""),"",ROUND(BE10*BG10*(1+Справочники!$B$10),0)))</f>
        <v/>
      </c>
      <c r="BI10" s="92" t="str">
        <f aca="false">IF(OR(AU10="",BH10="",AU10=0),"",(AU10-BH10)/AU10)</f>
        <v/>
      </c>
      <c r="BJ10" s="81"/>
      <c r="BK10" s="83"/>
      <c r="BL10" s="43" t="str">
        <f aca="false">IFERROR(INDEX(ЗАКАЗЫ!$N$3:$N$500,MATCH($A10,ЗАКАЗЫ!$F$3:$F$500,0)),"")</f>
        <v/>
      </c>
      <c r="BM10" s="8" t="str">
        <f aca="false">IF(BL10="","",IFERROR(VLOOKUP(BL10,'ТН ВЭД'!$A$4:$C$40,3,0),""))</f>
        <v/>
      </c>
      <c r="BN10" s="7" t="str">
        <f aca="false">IF(COUNTIF(ЗАКАЗЫ!$F$3:$F$500,$A10)=0,"",SUMIF(ЗАКАЗЫ!$F$3:$F$500,$A10,ЗАКАЗЫ!$J$3:$J$500))</f>
        <v/>
      </c>
      <c r="BO10" s="7" t="str">
        <f aca="false">IF(BN10="","",SUMIF(ЗАКАЗЫ!$F$3:$F$500,$A10,ЗАКАЗЫ!$AL$3:$AL$500))</f>
        <v/>
      </c>
      <c r="BP10" s="7" t="str">
        <f aca="false">IF(BN10="","",BN10-BO10)</f>
        <v/>
      </c>
      <c r="BQ10" s="55" t="str">
        <f aca="false">IF(BN10="","",IF(BO10&gt;=BN10,"На складе",IF(BO10&gt;0,"Частично","Ждём")))</f>
        <v/>
      </c>
      <c r="BR10" s="43"/>
      <c r="BS10" s="47" t="str">
        <f aca="false">IF(BN10="","",IF(_xlfn.MAXIFS(ЗАКАЗЫ!$AK$3:$AK$500,ЗАКАЗЫ!$F$3:$F$500,$A10)=0,"",_xlfn.MAXIFS(ЗАКАЗЫ!$AK$3:$AK$500,ЗАКАЗЫ!$F$3:$F$500,$A10)))</f>
        <v/>
      </c>
    </row>
    <row r="11" customFormat="false" ht="15.75" hidden="false" customHeight="true" outlineLevel="0" collapsed="false">
      <c r="A11" s="80" t="s">
        <v>2205</v>
      </c>
      <c r="B11" s="81"/>
      <c r="C11" s="81"/>
      <c r="D11" s="81"/>
      <c r="E11" s="83"/>
      <c r="F11" s="81"/>
      <c r="G11" s="83"/>
      <c r="H11" s="83"/>
      <c r="I11" s="84" t="str">
        <f aca="false">IF(E11="","",A11&amp;"_1.jpg")</f>
        <v/>
      </c>
      <c r="J11" s="84" t="str">
        <f aca="false">IF(E11="","",A11&amp;"_2.jpg; "&amp;A11&amp;"_3.jpg")</f>
        <v/>
      </c>
      <c r="K11" s="84" t="str">
        <f aca="false">IF(E11="","",A11&amp;"_schema.jpg")</f>
        <v/>
      </c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 t="s">
        <v>96</v>
      </c>
      <c r="W11" s="81"/>
      <c r="X11" s="81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6" t="str">
        <f aca="false">IF(SUM(Y11:AJ11)=0,"",SUM(Y11:AJ11))</f>
        <v/>
      </c>
      <c r="AL11" s="84" t="str">
        <f aca="false">MID(IF(N(Y11)&gt;0,", "&amp;Y$2,"")&amp;IF(N(Z11)&gt;0,", "&amp;Z$2,"")&amp;IF(N(AA11)&gt;0,", "&amp;AA$2,"")&amp;IF(N(AB11)&gt;0,", "&amp;AB$2,"")&amp;IF(N(AC11)&gt;0,", "&amp;AC$2,"")&amp;IF(N(AD11)&gt;0,", "&amp;AD$2,"")&amp;IF(N(AE11)&gt;0,", "&amp;AE$2,"")&amp;IF(N(AF11)&gt;0,", "&amp;AF$2,"")&amp;IF(N(AG11)&gt;0,", "&amp;AG$2,"")&amp;IF(N(AH11)&gt;0,", "&amp;AH$2,"")&amp;IF(N(AI11)&gt;0,", "&amp;AI$2,"")&amp;IF(N(AJ11)&gt;0,", "&amp;AJ$2,""),3,999)</f>
        <v/>
      </c>
      <c r="AM11" s="87" t="str">
        <f aca="false">IF(E11="","",MID(IF(N(Y11)&gt;0,", "&amp;A11&amp;"-"&amp;Y$2,"")&amp;IF(N(Z11)&gt;0,", "&amp;A11&amp;"-"&amp;Z$2,"")&amp;IF(N(AA11)&gt;0,", "&amp;A11&amp;"-"&amp;AA$2,"")&amp;IF(N(AB11)&gt;0,", "&amp;A11&amp;"-"&amp;AB$2,"")&amp;IF(N(AC11)&gt;0,", "&amp;A11&amp;"-"&amp;AC$2,"")&amp;IF(N(AD11)&gt;0,", "&amp;A11&amp;"-"&amp;AD$2,"")&amp;IF(N(AE11)&gt;0,", "&amp;A11&amp;"-"&amp;AE$2,"")&amp;IF(N(AF11)&gt;0,", "&amp;A11&amp;"-"&amp;AF$2,"")&amp;IF(N(AG11)&gt;0,", "&amp;A11&amp;"-"&amp;AG$2,"")&amp;IF(N(AH11)&gt;0,", "&amp;A11&amp;"-"&amp;AH$2,"")&amp;IF(N(AI11)&gt;0,", "&amp;A11&amp;"-"&amp;AI$2,"")&amp;IF(N(AJ11)&gt;0,", "&amp;A11&amp;"-"&amp;AJ$2,""),3,999))</f>
        <v/>
      </c>
      <c r="AN11" s="81"/>
      <c r="AO11" s="88"/>
      <c r="AP11" s="89" t="str">
        <f aca="false">IF(AO11="","",ROUND(AO11/(1+Справочники!$B$13),2))</f>
        <v/>
      </c>
      <c r="AQ11" s="90" t="str">
        <f aca="false" t="array" ref="AQ11:AQ11">IF(AP11="","",AP11*INDEX(Справочники!$B$4:$B$7,MATCH("RUB",Справочники!$A$4:$A$7,0)))</f>
        <v/>
      </c>
      <c r="AR11" s="90" t="str">
        <f aca="false">IF(AQ11="","",ROUND(AQ11*(1+Справочники!$B$12),0))</f>
        <v/>
      </c>
      <c r="AS11" s="90" t="str">
        <f aca="false">IF(AR11="","",ROUND(AR11*(1-Справочники!$B$11),0))</f>
        <v/>
      </c>
      <c r="AT11" s="88"/>
      <c r="AU11" s="90" t="str">
        <f aca="false">IF(AT11="","",ROUND(AT11/(1+Справочники!$B$12),0))</f>
        <v/>
      </c>
      <c r="AV11" s="90" t="str">
        <f aca="false">IF(AT11="","",ROUND(AT11*(1-Справочники!$B$15),0))</f>
        <v/>
      </c>
      <c r="AW11" s="90" t="str">
        <f aca="false">IF(AT11="","",ROUND(AT11*(1-Справочники!$B$16),0))</f>
        <v/>
      </c>
      <c r="AX11" s="90" t="str">
        <f aca="false">IF(AT11="","",ROUND(AT11*(1-Справочники!$B$17),0))</f>
        <v/>
      </c>
      <c r="AY11" s="90" t="str">
        <f aca="false">IF(AT11="","",ROUND(AT11*(1-Справочники!$B$18),0))</f>
        <v/>
      </c>
      <c r="AZ11" s="90" t="str">
        <f aca="false">IF(AT11="","",ROUND(AT11*(1-Справочники!$B$19),0))</f>
        <v/>
      </c>
      <c r="BA11" s="81"/>
      <c r="BB11" s="81"/>
      <c r="BC11" s="81"/>
      <c r="BD11" s="81"/>
      <c r="BE11" s="91"/>
      <c r="BF11" s="81" t="s">
        <v>103</v>
      </c>
      <c r="BG11" s="89" t="n">
        <f aca="false" t="array" ref="BG11:BG11">IF(BF11="","",IFERROR(INDEX(Справочники!$B$4:$B$7,MATCH(BF11,Справочники!$A$4:$A$7,0)),""))</f>
        <v>68.5</v>
      </c>
      <c r="BH11" s="90" t="str">
        <f aca="false">IF(N(BN11)&gt;0,ROUND(SUMIF(ЗАКАЗЫ!$F$3:$F$500,$A11,ЗАКАЗЫ!$Y$3:$Y$500)/BN11,0),IF(OR(BE11="",BG11=""),"",ROUND(BE11*BG11*(1+Справочники!$B$10),0)))</f>
        <v/>
      </c>
      <c r="BI11" s="92" t="str">
        <f aca="false">IF(OR(AU11="",BH11="",AU11=0),"",(AU11-BH11)/AU11)</f>
        <v/>
      </c>
      <c r="BJ11" s="81"/>
      <c r="BK11" s="83"/>
      <c r="BL11" s="43" t="str">
        <f aca="false">IFERROR(INDEX(ЗАКАЗЫ!$N$3:$N$500,MATCH($A11,ЗАКАЗЫ!$F$3:$F$500,0)),"")</f>
        <v/>
      </c>
      <c r="BM11" s="8" t="str">
        <f aca="false">IF(BL11="","",IFERROR(VLOOKUP(BL11,'ТН ВЭД'!$A$4:$C$40,3,0),""))</f>
        <v/>
      </c>
      <c r="BN11" s="7" t="str">
        <f aca="false">IF(COUNTIF(ЗАКАЗЫ!$F$3:$F$500,$A11)=0,"",SUMIF(ЗАКАЗЫ!$F$3:$F$500,$A11,ЗАКАЗЫ!$J$3:$J$500))</f>
        <v/>
      </c>
      <c r="BO11" s="7" t="str">
        <f aca="false">IF(BN11="","",SUMIF(ЗАКАЗЫ!$F$3:$F$500,$A11,ЗАКАЗЫ!$AL$3:$AL$500))</f>
        <v/>
      </c>
      <c r="BP11" s="7" t="str">
        <f aca="false">IF(BN11="","",BN11-BO11)</f>
        <v/>
      </c>
      <c r="BQ11" s="55" t="str">
        <f aca="false">IF(BN11="","",IF(BO11&gt;=BN11,"На складе",IF(BO11&gt;0,"Частично","Ждём")))</f>
        <v/>
      </c>
      <c r="BR11" s="43"/>
      <c r="BS11" s="47" t="str">
        <f aca="false">IF(BN11="","",IF(_xlfn.MAXIFS(ЗАКАЗЫ!$AK$3:$AK$500,ЗАКАЗЫ!$F$3:$F$500,$A11)=0,"",_xlfn.MAXIFS(ЗАКАЗЫ!$AK$3:$AK$500,ЗАКАЗЫ!$F$3:$F$500,$A11)))</f>
        <v/>
      </c>
    </row>
    <row r="12" customFormat="false" ht="15.75" hidden="false" customHeight="true" outlineLevel="0" collapsed="false">
      <c r="A12" s="80" t="s">
        <v>2206</v>
      </c>
      <c r="B12" s="81"/>
      <c r="C12" s="81"/>
      <c r="D12" s="81"/>
      <c r="E12" s="83"/>
      <c r="F12" s="81"/>
      <c r="G12" s="83"/>
      <c r="H12" s="83"/>
      <c r="I12" s="84" t="str">
        <f aca="false">IF(E12="","",A12&amp;"_1.jpg")</f>
        <v/>
      </c>
      <c r="J12" s="84" t="str">
        <f aca="false">IF(E12="","",A12&amp;"_2.jpg; "&amp;A12&amp;"_3.jpg")</f>
        <v/>
      </c>
      <c r="K12" s="84" t="str">
        <f aca="false">IF(E12="","",A12&amp;"_schema.jpg")</f>
        <v/>
      </c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 t="s">
        <v>96</v>
      </c>
      <c r="W12" s="81"/>
      <c r="X12" s="81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6" t="str">
        <f aca="false">IF(SUM(Y12:AJ12)=0,"",SUM(Y12:AJ12))</f>
        <v/>
      </c>
      <c r="AL12" s="84" t="str">
        <f aca="false">MID(IF(N(Y12)&gt;0,", "&amp;Y$2,"")&amp;IF(N(Z12)&gt;0,", "&amp;Z$2,"")&amp;IF(N(AA12)&gt;0,", "&amp;AA$2,"")&amp;IF(N(AB12)&gt;0,", "&amp;AB$2,"")&amp;IF(N(AC12)&gt;0,", "&amp;AC$2,"")&amp;IF(N(AD12)&gt;0,", "&amp;AD$2,"")&amp;IF(N(AE12)&gt;0,", "&amp;AE$2,"")&amp;IF(N(AF12)&gt;0,", "&amp;AF$2,"")&amp;IF(N(AG12)&gt;0,", "&amp;AG$2,"")&amp;IF(N(AH12)&gt;0,", "&amp;AH$2,"")&amp;IF(N(AI12)&gt;0,", "&amp;AI$2,"")&amp;IF(N(AJ12)&gt;0,", "&amp;AJ$2,""),3,999)</f>
        <v/>
      </c>
      <c r="AM12" s="87" t="str">
        <f aca="false">IF(E12="","",MID(IF(N(Y12)&gt;0,", "&amp;A12&amp;"-"&amp;Y$2,"")&amp;IF(N(Z12)&gt;0,", "&amp;A12&amp;"-"&amp;Z$2,"")&amp;IF(N(AA12)&gt;0,", "&amp;A12&amp;"-"&amp;AA$2,"")&amp;IF(N(AB12)&gt;0,", "&amp;A12&amp;"-"&amp;AB$2,"")&amp;IF(N(AC12)&gt;0,", "&amp;A12&amp;"-"&amp;AC$2,"")&amp;IF(N(AD12)&gt;0,", "&amp;A12&amp;"-"&amp;AD$2,"")&amp;IF(N(AE12)&gt;0,", "&amp;A12&amp;"-"&amp;AE$2,"")&amp;IF(N(AF12)&gt;0,", "&amp;A12&amp;"-"&amp;AF$2,"")&amp;IF(N(AG12)&gt;0,", "&amp;A12&amp;"-"&amp;AG$2,"")&amp;IF(N(AH12)&gt;0,", "&amp;A12&amp;"-"&amp;AH$2,"")&amp;IF(N(AI12)&gt;0,", "&amp;A12&amp;"-"&amp;AI$2,"")&amp;IF(N(AJ12)&gt;0,", "&amp;A12&amp;"-"&amp;AJ$2,""),3,999))</f>
        <v/>
      </c>
      <c r="AN12" s="81"/>
      <c r="AO12" s="88"/>
      <c r="AP12" s="89" t="str">
        <f aca="false">IF(AO12="","",ROUND(AO12/(1+Справочники!$B$13),2))</f>
        <v/>
      </c>
      <c r="AQ12" s="90" t="str">
        <f aca="false" t="array" ref="AQ12:AQ12">IF(AP12="","",AP12*INDEX(Справочники!$B$4:$B$7,MATCH("RUB",Справочники!$A$4:$A$7,0)))</f>
        <v/>
      </c>
      <c r="AR12" s="90" t="str">
        <f aca="false">IF(AQ12="","",ROUND(AQ12*(1+Справочники!$B$12),0))</f>
        <v/>
      </c>
      <c r="AS12" s="90" t="str">
        <f aca="false">IF(AR12="","",ROUND(AR12*(1-Справочники!$B$11),0))</f>
        <v/>
      </c>
      <c r="AT12" s="88"/>
      <c r="AU12" s="90" t="str">
        <f aca="false">IF(AT12="","",ROUND(AT12/(1+Справочники!$B$12),0))</f>
        <v/>
      </c>
      <c r="AV12" s="90" t="str">
        <f aca="false">IF(AT12="","",ROUND(AT12*(1-Справочники!$B$15),0))</f>
        <v/>
      </c>
      <c r="AW12" s="90" t="str">
        <f aca="false">IF(AT12="","",ROUND(AT12*(1-Справочники!$B$16),0))</f>
        <v/>
      </c>
      <c r="AX12" s="90" t="str">
        <f aca="false">IF(AT12="","",ROUND(AT12*(1-Справочники!$B$17),0))</f>
        <v/>
      </c>
      <c r="AY12" s="90" t="str">
        <f aca="false">IF(AT12="","",ROUND(AT12*(1-Справочники!$B$18),0))</f>
        <v/>
      </c>
      <c r="AZ12" s="90" t="str">
        <f aca="false">IF(AT12="","",ROUND(AT12*(1-Справочники!$B$19),0))</f>
        <v/>
      </c>
      <c r="BA12" s="81"/>
      <c r="BB12" s="81"/>
      <c r="BC12" s="81"/>
      <c r="BD12" s="81"/>
      <c r="BE12" s="91"/>
      <c r="BF12" s="81" t="s">
        <v>103</v>
      </c>
      <c r="BG12" s="89" t="n">
        <f aca="false" t="array" ref="BG12:BG12">IF(BF12="","",IFERROR(INDEX(Справочники!$B$4:$B$7,MATCH(BF12,Справочники!$A$4:$A$7,0)),""))</f>
        <v>68.5</v>
      </c>
      <c r="BH12" s="90" t="str">
        <f aca="false">IF(N(BN12)&gt;0,ROUND(SUMIF(ЗАКАЗЫ!$F$3:$F$500,$A12,ЗАКАЗЫ!$Y$3:$Y$500)/BN12,0),IF(OR(BE12="",BG12=""),"",ROUND(BE12*BG12*(1+Справочники!$B$10),0)))</f>
        <v/>
      </c>
      <c r="BI12" s="92" t="str">
        <f aca="false">IF(OR(AU12="",BH12="",AU12=0),"",(AU12-BH12)/AU12)</f>
        <v/>
      </c>
      <c r="BJ12" s="81"/>
      <c r="BK12" s="83"/>
      <c r="BL12" s="43" t="str">
        <f aca="false">IFERROR(INDEX(ЗАКАЗЫ!$N$3:$N$500,MATCH($A12,ЗАКАЗЫ!$F$3:$F$500,0)),"")</f>
        <v/>
      </c>
      <c r="BM12" s="8" t="str">
        <f aca="false">IF(BL12="","",IFERROR(VLOOKUP(BL12,'ТН ВЭД'!$A$4:$C$40,3,0),""))</f>
        <v/>
      </c>
      <c r="BN12" s="7" t="str">
        <f aca="false">IF(COUNTIF(ЗАКАЗЫ!$F$3:$F$500,$A12)=0,"",SUMIF(ЗАКАЗЫ!$F$3:$F$500,$A12,ЗАКАЗЫ!$J$3:$J$500))</f>
        <v/>
      </c>
      <c r="BO12" s="7" t="str">
        <f aca="false">IF(BN12="","",SUMIF(ЗАКАЗЫ!$F$3:$F$500,$A12,ЗАКАЗЫ!$AL$3:$AL$500))</f>
        <v/>
      </c>
      <c r="BP12" s="7" t="str">
        <f aca="false">IF(BN12="","",BN12-BO12)</f>
        <v/>
      </c>
      <c r="BQ12" s="55" t="str">
        <f aca="false">IF(BN12="","",IF(BO12&gt;=BN12,"На складе",IF(BO12&gt;0,"Частично","Ждём")))</f>
        <v/>
      </c>
      <c r="BR12" s="43"/>
      <c r="BS12" s="47" t="str">
        <f aca="false">IF(BN12="","",IF(_xlfn.MAXIFS(ЗАКАЗЫ!$AK$3:$AK$500,ЗАКАЗЫ!$F$3:$F$500,$A12)=0,"",_xlfn.MAXIFS(ЗАКАЗЫ!$AK$3:$AK$500,ЗАКАЗЫ!$F$3:$F$500,$A12)))</f>
        <v/>
      </c>
    </row>
    <row r="13" customFormat="false" ht="15.75" hidden="false" customHeight="true" outlineLevel="0" collapsed="false">
      <c r="A13" s="80" t="s">
        <v>2207</v>
      </c>
      <c r="B13" s="81"/>
      <c r="C13" s="81"/>
      <c r="D13" s="81"/>
      <c r="E13" s="83"/>
      <c r="F13" s="81"/>
      <c r="G13" s="83"/>
      <c r="H13" s="83"/>
      <c r="I13" s="84" t="str">
        <f aca="false">IF(E13="","",A13&amp;"_1.jpg")</f>
        <v/>
      </c>
      <c r="J13" s="84" t="str">
        <f aca="false">IF(E13="","",A13&amp;"_2.jpg; "&amp;A13&amp;"_3.jpg")</f>
        <v/>
      </c>
      <c r="K13" s="84" t="str">
        <f aca="false">IF(E13="","",A13&amp;"_schema.jpg")</f>
        <v/>
      </c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 t="s">
        <v>96</v>
      </c>
      <c r="W13" s="81"/>
      <c r="X13" s="81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6" t="str">
        <f aca="false">IF(SUM(Y13:AJ13)=0,"",SUM(Y13:AJ13))</f>
        <v/>
      </c>
      <c r="AL13" s="84" t="str">
        <f aca="false">MID(IF(N(Y13)&gt;0,", "&amp;Y$2,"")&amp;IF(N(Z13)&gt;0,", "&amp;Z$2,"")&amp;IF(N(AA13)&gt;0,", "&amp;AA$2,"")&amp;IF(N(AB13)&gt;0,", "&amp;AB$2,"")&amp;IF(N(AC13)&gt;0,", "&amp;AC$2,"")&amp;IF(N(AD13)&gt;0,", "&amp;AD$2,"")&amp;IF(N(AE13)&gt;0,", "&amp;AE$2,"")&amp;IF(N(AF13)&gt;0,", "&amp;AF$2,"")&amp;IF(N(AG13)&gt;0,", "&amp;AG$2,"")&amp;IF(N(AH13)&gt;0,", "&amp;AH$2,"")&amp;IF(N(AI13)&gt;0,", "&amp;AI$2,"")&amp;IF(N(AJ13)&gt;0,", "&amp;AJ$2,""),3,999)</f>
        <v/>
      </c>
      <c r="AM13" s="87" t="str">
        <f aca="false">IF(E13="","",MID(IF(N(Y13)&gt;0,", "&amp;A13&amp;"-"&amp;Y$2,"")&amp;IF(N(Z13)&gt;0,", "&amp;A13&amp;"-"&amp;Z$2,"")&amp;IF(N(AA13)&gt;0,", "&amp;A13&amp;"-"&amp;AA$2,"")&amp;IF(N(AB13)&gt;0,", "&amp;A13&amp;"-"&amp;AB$2,"")&amp;IF(N(AC13)&gt;0,", "&amp;A13&amp;"-"&amp;AC$2,"")&amp;IF(N(AD13)&gt;0,", "&amp;A13&amp;"-"&amp;AD$2,"")&amp;IF(N(AE13)&gt;0,", "&amp;A13&amp;"-"&amp;AE$2,"")&amp;IF(N(AF13)&gt;0,", "&amp;A13&amp;"-"&amp;AF$2,"")&amp;IF(N(AG13)&gt;0,", "&amp;A13&amp;"-"&amp;AG$2,"")&amp;IF(N(AH13)&gt;0,", "&amp;A13&amp;"-"&amp;AH$2,"")&amp;IF(N(AI13)&gt;0,", "&amp;A13&amp;"-"&amp;AI$2,"")&amp;IF(N(AJ13)&gt;0,", "&amp;A13&amp;"-"&amp;AJ$2,""),3,999))</f>
        <v/>
      </c>
      <c r="AN13" s="81"/>
      <c r="AO13" s="88"/>
      <c r="AP13" s="89" t="str">
        <f aca="false">IF(AO13="","",ROUND(AO13/(1+Справочники!$B$13),2))</f>
        <v/>
      </c>
      <c r="AQ13" s="90" t="str">
        <f aca="false" t="array" ref="AQ13:AQ13">IF(AP13="","",AP13*INDEX(Справочники!$B$4:$B$7,MATCH("RUB",Справочники!$A$4:$A$7,0)))</f>
        <v/>
      </c>
      <c r="AR13" s="90" t="str">
        <f aca="false">IF(AQ13="","",ROUND(AQ13*(1+Справочники!$B$12),0))</f>
        <v/>
      </c>
      <c r="AS13" s="90" t="str">
        <f aca="false">IF(AR13="","",ROUND(AR13*(1-Справочники!$B$11),0))</f>
        <v/>
      </c>
      <c r="AT13" s="88"/>
      <c r="AU13" s="90" t="str">
        <f aca="false">IF(AT13="","",ROUND(AT13/(1+Справочники!$B$12),0))</f>
        <v/>
      </c>
      <c r="AV13" s="90" t="str">
        <f aca="false">IF(AT13="","",ROUND(AT13*(1-Справочники!$B$15),0))</f>
        <v/>
      </c>
      <c r="AW13" s="90" t="str">
        <f aca="false">IF(AT13="","",ROUND(AT13*(1-Справочники!$B$16),0))</f>
        <v/>
      </c>
      <c r="AX13" s="90" t="str">
        <f aca="false">IF(AT13="","",ROUND(AT13*(1-Справочники!$B$17),0))</f>
        <v/>
      </c>
      <c r="AY13" s="90" t="str">
        <f aca="false">IF(AT13="","",ROUND(AT13*(1-Справочники!$B$18),0))</f>
        <v/>
      </c>
      <c r="AZ13" s="90" t="str">
        <f aca="false">IF(AT13="","",ROUND(AT13*(1-Справочники!$B$19),0))</f>
        <v/>
      </c>
      <c r="BA13" s="81"/>
      <c r="BB13" s="81"/>
      <c r="BC13" s="81"/>
      <c r="BD13" s="81"/>
      <c r="BE13" s="91"/>
      <c r="BF13" s="81" t="s">
        <v>103</v>
      </c>
      <c r="BG13" s="89" t="n">
        <f aca="false" t="array" ref="BG13:BG13">IF(BF13="","",IFERROR(INDEX(Справочники!$B$4:$B$7,MATCH(BF13,Справочники!$A$4:$A$7,0)),""))</f>
        <v>68.5</v>
      </c>
      <c r="BH13" s="90" t="str">
        <f aca="false">IF(N(BN13)&gt;0,ROUND(SUMIF(ЗАКАЗЫ!$F$3:$F$500,$A13,ЗАКАЗЫ!$Y$3:$Y$500)/BN13,0),IF(OR(BE13="",BG13=""),"",ROUND(BE13*BG13*(1+Справочники!$B$10),0)))</f>
        <v/>
      </c>
      <c r="BI13" s="92" t="str">
        <f aca="false">IF(OR(AU13="",BH13="",AU13=0),"",(AU13-BH13)/AU13)</f>
        <v/>
      </c>
      <c r="BJ13" s="81"/>
      <c r="BK13" s="83"/>
      <c r="BL13" s="43" t="str">
        <f aca="false">IFERROR(INDEX(ЗАКАЗЫ!$N$3:$N$500,MATCH($A13,ЗАКАЗЫ!$F$3:$F$500,0)),"")</f>
        <v/>
      </c>
      <c r="BM13" s="8" t="str">
        <f aca="false">IF(BL13="","",IFERROR(VLOOKUP(BL13,'ТН ВЭД'!$A$4:$C$40,3,0),""))</f>
        <v/>
      </c>
      <c r="BN13" s="7" t="str">
        <f aca="false">IF(COUNTIF(ЗАКАЗЫ!$F$3:$F$500,$A13)=0,"",SUMIF(ЗАКАЗЫ!$F$3:$F$500,$A13,ЗАКАЗЫ!$J$3:$J$500))</f>
        <v/>
      </c>
      <c r="BO13" s="7" t="str">
        <f aca="false">IF(BN13="","",SUMIF(ЗАКАЗЫ!$F$3:$F$500,$A13,ЗАКАЗЫ!$AL$3:$AL$500))</f>
        <v/>
      </c>
      <c r="BP13" s="7" t="str">
        <f aca="false">IF(BN13="","",BN13-BO13)</f>
        <v/>
      </c>
      <c r="BQ13" s="55" t="str">
        <f aca="false">IF(BN13="","",IF(BO13&gt;=BN13,"На складе",IF(BO13&gt;0,"Частично","Ждём")))</f>
        <v/>
      </c>
      <c r="BR13" s="43"/>
      <c r="BS13" s="47" t="str">
        <f aca="false">IF(BN13="","",IF(_xlfn.MAXIFS(ЗАКАЗЫ!$AK$3:$AK$500,ЗАКАЗЫ!$F$3:$F$500,$A13)=0,"",_xlfn.MAXIFS(ЗАКАЗЫ!$AK$3:$AK$500,ЗАКАЗЫ!$F$3:$F$500,$A13)))</f>
        <v/>
      </c>
    </row>
    <row r="14" customFormat="false" ht="15.75" hidden="false" customHeight="true" outlineLevel="0" collapsed="false">
      <c r="A14" s="80" t="s">
        <v>2208</v>
      </c>
      <c r="B14" s="81"/>
      <c r="C14" s="81"/>
      <c r="D14" s="81"/>
      <c r="E14" s="83"/>
      <c r="F14" s="81"/>
      <c r="G14" s="83"/>
      <c r="H14" s="83"/>
      <c r="I14" s="84" t="str">
        <f aca="false">IF(E14="","",A14&amp;"_1.jpg")</f>
        <v/>
      </c>
      <c r="J14" s="84" t="str">
        <f aca="false">IF(E14="","",A14&amp;"_2.jpg; "&amp;A14&amp;"_3.jpg")</f>
        <v/>
      </c>
      <c r="K14" s="84" t="str">
        <f aca="false">IF(E14="","",A14&amp;"_schema.jpg")</f>
        <v/>
      </c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 t="s">
        <v>96</v>
      </c>
      <c r="W14" s="81"/>
      <c r="X14" s="81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6" t="str">
        <f aca="false">IF(SUM(Y14:AJ14)=0,"",SUM(Y14:AJ14))</f>
        <v/>
      </c>
      <c r="AL14" s="84" t="str">
        <f aca="false">MID(IF(N(Y14)&gt;0,", "&amp;Y$2,"")&amp;IF(N(Z14)&gt;0,", "&amp;Z$2,"")&amp;IF(N(AA14)&gt;0,", "&amp;AA$2,"")&amp;IF(N(AB14)&gt;0,", "&amp;AB$2,"")&amp;IF(N(AC14)&gt;0,", "&amp;AC$2,"")&amp;IF(N(AD14)&gt;0,", "&amp;AD$2,"")&amp;IF(N(AE14)&gt;0,", "&amp;AE$2,"")&amp;IF(N(AF14)&gt;0,", "&amp;AF$2,"")&amp;IF(N(AG14)&gt;0,", "&amp;AG$2,"")&amp;IF(N(AH14)&gt;0,", "&amp;AH$2,"")&amp;IF(N(AI14)&gt;0,", "&amp;AI$2,"")&amp;IF(N(AJ14)&gt;0,", "&amp;AJ$2,""),3,999)</f>
        <v/>
      </c>
      <c r="AM14" s="87" t="str">
        <f aca="false">IF(E14="","",MID(IF(N(Y14)&gt;0,", "&amp;A14&amp;"-"&amp;Y$2,"")&amp;IF(N(Z14)&gt;0,", "&amp;A14&amp;"-"&amp;Z$2,"")&amp;IF(N(AA14)&gt;0,", "&amp;A14&amp;"-"&amp;AA$2,"")&amp;IF(N(AB14)&gt;0,", "&amp;A14&amp;"-"&amp;AB$2,"")&amp;IF(N(AC14)&gt;0,", "&amp;A14&amp;"-"&amp;AC$2,"")&amp;IF(N(AD14)&gt;0,", "&amp;A14&amp;"-"&amp;AD$2,"")&amp;IF(N(AE14)&gt;0,", "&amp;A14&amp;"-"&amp;AE$2,"")&amp;IF(N(AF14)&gt;0,", "&amp;A14&amp;"-"&amp;AF$2,"")&amp;IF(N(AG14)&gt;0,", "&amp;A14&amp;"-"&amp;AG$2,"")&amp;IF(N(AH14)&gt;0,", "&amp;A14&amp;"-"&amp;AH$2,"")&amp;IF(N(AI14)&gt;0,", "&amp;A14&amp;"-"&amp;AI$2,"")&amp;IF(N(AJ14)&gt;0,", "&amp;A14&amp;"-"&amp;AJ$2,""),3,999))</f>
        <v/>
      </c>
      <c r="AN14" s="81"/>
      <c r="AO14" s="88"/>
      <c r="AP14" s="89" t="str">
        <f aca="false">IF(AO14="","",ROUND(AO14/(1+Справочники!$B$13),2))</f>
        <v/>
      </c>
      <c r="AQ14" s="90" t="str">
        <f aca="false" t="array" ref="AQ14:AQ14">IF(AP14="","",AP14*INDEX(Справочники!$B$4:$B$7,MATCH("RUB",Справочники!$A$4:$A$7,0)))</f>
        <v/>
      </c>
      <c r="AR14" s="90" t="str">
        <f aca="false">IF(AQ14="","",ROUND(AQ14*(1+Справочники!$B$12),0))</f>
        <v/>
      </c>
      <c r="AS14" s="90" t="str">
        <f aca="false">IF(AR14="","",ROUND(AR14*(1-Справочники!$B$11),0))</f>
        <v/>
      </c>
      <c r="AT14" s="88"/>
      <c r="AU14" s="90" t="str">
        <f aca="false">IF(AT14="","",ROUND(AT14/(1+Справочники!$B$12),0))</f>
        <v/>
      </c>
      <c r="AV14" s="90" t="str">
        <f aca="false">IF(AT14="","",ROUND(AT14*(1-Справочники!$B$15),0))</f>
        <v/>
      </c>
      <c r="AW14" s="90" t="str">
        <f aca="false">IF(AT14="","",ROUND(AT14*(1-Справочники!$B$16),0))</f>
        <v/>
      </c>
      <c r="AX14" s="90" t="str">
        <f aca="false">IF(AT14="","",ROUND(AT14*(1-Справочники!$B$17),0))</f>
        <v/>
      </c>
      <c r="AY14" s="90" t="str">
        <f aca="false">IF(AT14="","",ROUND(AT14*(1-Справочники!$B$18),0))</f>
        <v/>
      </c>
      <c r="AZ14" s="90" t="str">
        <f aca="false">IF(AT14="","",ROUND(AT14*(1-Справочники!$B$19),0))</f>
        <v/>
      </c>
      <c r="BA14" s="81"/>
      <c r="BB14" s="81"/>
      <c r="BC14" s="81"/>
      <c r="BD14" s="81"/>
      <c r="BE14" s="91"/>
      <c r="BF14" s="81" t="s">
        <v>103</v>
      </c>
      <c r="BG14" s="89" t="n">
        <f aca="false" t="array" ref="BG14:BG14">IF(BF14="","",IFERROR(INDEX(Справочники!$B$4:$B$7,MATCH(BF14,Справочники!$A$4:$A$7,0)),""))</f>
        <v>68.5</v>
      </c>
      <c r="BH14" s="90" t="str">
        <f aca="false">IF(N(BN14)&gt;0,ROUND(SUMIF(ЗАКАЗЫ!$F$3:$F$500,$A14,ЗАКАЗЫ!$Y$3:$Y$500)/BN14,0),IF(OR(BE14="",BG14=""),"",ROUND(BE14*BG14*(1+Справочники!$B$10),0)))</f>
        <v/>
      </c>
      <c r="BI14" s="92" t="str">
        <f aca="false">IF(OR(AU14="",BH14="",AU14=0),"",(AU14-BH14)/AU14)</f>
        <v/>
      </c>
      <c r="BJ14" s="81"/>
      <c r="BK14" s="83"/>
      <c r="BL14" s="43" t="str">
        <f aca="false">IFERROR(INDEX(ЗАКАЗЫ!$N$3:$N$500,MATCH($A14,ЗАКАЗЫ!$F$3:$F$500,0)),"")</f>
        <v/>
      </c>
      <c r="BM14" s="8" t="str">
        <f aca="false">IF(BL14="","",IFERROR(VLOOKUP(BL14,'ТН ВЭД'!$A$4:$C$40,3,0),""))</f>
        <v/>
      </c>
      <c r="BN14" s="7" t="str">
        <f aca="false">IF(COUNTIF(ЗАКАЗЫ!$F$3:$F$500,$A14)=0,"",SUMIF(ЗАКАЗЫ!$F$3:$F$500,$A14,ЗАКАЗЫ!$J$3:$J$500))</f>
        <v/>
      </c>
      <c r="BO14" s="7" t="str">
        <f aca="false">IF(BN14="","",SUMIF(ЗАКАЗЫ!$F$3:$F$500,$A14,ЗАКАЗЫ!$AL$3:$AL$500))</f>
        <v/>
      </c>
      <c r="BP14" s="7" t="str">
        <f aca="false">IF(BN14="","",BN14-BO14)</f>
        <v/>
      </c>
      <c r="BQ14" s="55" t="str">
        <f aca="false">IF(BN14="","",IF(BO14&gt;=BN14,"На складе",IF(BO14&gt;0,"Частично","Ждём")))</f>
        <v/>
      </c>
      <c r="BR14" s="43"/>
      <c r="BS14" s="47" t="str">
        <f aca="false">IF(BN14="","",IF(_xlfn.MAXIFS(ЗАКАЗЫ!$AK$3:$AK$500,ЗАКАЗЫ!$F$3:$F$500,$A14)=0,"",_xlfn.MAXIFS(ЗАКАЗЫ!$AK$3:$AK$500,ЗАКАЗЫ!$F$3:$F$500,$A14)))</f>
        <v/>
      </c>
    </row>
    <row r="15" customFormat="false" ht="15.75" hidden="false" customHeight="true" outlineLevel="0" collapsed="false">
      <c r="A15" s="80" t="s">
        <v>2209</v>
      </c>
      <c r="B15" s="81"/>
      <c r="C15" s="81"/>
      <c r="D15" s="81"/>
      <c r="E15" s="83"/>
      <c r="F15" s="81"/>
      <c r="G15" s="83"/>
      <c r="H15" s="83"/>
      <c r="I15" s="84" t="str">
        <f aca="false">IF(E15="","",A15&amp;"_1.jpg")</f>
        <v/>
      </c>
      <c r="J15" s="84" t="str">
        <f aca="false">IF(E15="","",A15&amp;"_2.jpg; "&amp;A15&amp;"_3.jpg")</f>
        <v/>
      </c>
      <c r="K15" s="84" t="str">
        <f aca="false">IF(E15="","",A15&amp;"_schema.jpg")</f>
        <v/>
      </c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 t="s">
        <v>96</v>
      </c>
      <c r="W15" s="81"/>
      <c r="X15" s="81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6" t="str">
        <f aca="false">IF(SUM(Y15:AJ15)=0,"",SUM(Y15:AJ15))</f>
        <v/>
      </c>
      <c r="AL15" s="84" t="str">
        <f aca="false">MID(IF(N(Y15)&gt;0,", "&amp;Y$2,"")&amp;IF(N(Z15)&gt;0,", "&amp;Z$2,"")&amp;IF(N(AA15)&gt;0,", "&amp;AA$2,"")&amp;IF(N(AB15)&gt;0,", "&amp;AB$2,"")&amp;IF(N(AC15)&gt;0,", "&amp;AC$2,"")&amp;IF(N(AD15)&gt;0,", "&amp;AD$2,"")&amp;IF(N(AE15)&gt;0,", "&amp;AE$2,"")&amp;IF(N(AF15)&gt;0,", "&amp;AF$2,"")&amp;IF(N(AG15)&gt;0,", "&amp;AG$2,"")&amp;IF(N(AH15)&gt;0,", "&amp;AH$2,"")&amp;IF(N(AI15)&gt;0,", "&amp;AI$2,"")&amp;IF(N(AJ15)&gt;0,", "&amp;AJ$2,""),3,999)</f>
        <v/>
      </c>
      <c r="AM15" s="87" t="str">
        <f aca="false">IF(E15="","",MID(IF(N(Y15)&gt;0,", "&amp;A15&amp;"-"&amp;Y$2,"")&amp;IF(N(Z15)&gt;0,", "&amp;A15&amp;"-"&amp;Z$2,"")&amp;IF(N(AA15)&gt;0,", "&amp;A15&amp;"-"&amp;AA$2,"")&amp;IF(N(AB15)&gt;0,", "&amp;A15&amp;"-"&amp;AB$2,"")&amp;IF(N(AC15)&gt;0,", "&amp;A15&amp;"-"&amp;AC$2,"")&amp;IF(N(AD15)&gt;0,", "&amp;A15&amp;"-"&amp;AD$2,"")&amp;IF(N(AE15)&gt;0,", "&amp;A15&amp;"-"&amp;AE$2,"")&amp;IF(N(AF15)&gt;0,", "&amp;A15&amp;"-"&amp;AF$2,"")&amp;IF(N(AG15)&gt;0,", "&amp;A15&amp;"-"&amp;AG$2,"")&amp;IF(N(AH15)&gt;0,", "&amp;A15&amp;"-"&amp;AH$2,"")&amp;IF(N(AI15)&gt;0,", "&amp;A15&amp;"-"&amp;AI$2,"")&amp;IF(N(AJ15)&gt;0,", "&amp;A15&amp;"-"&amp;AJ$2,""),3,999))</f>
        <v/>
      </c>
      <c r="AN15" s="81"/>
      <c r="AO15" s="88"/>
      <c r="AP15" s="89" t="str">
        <f aca="false">IF(AO15="","",ROUND(AO15/(1+Справочники!$B$13),2))</f>
        <v/>
      </c>
      <c r="AQ15" s="90" t="str">
        <f aca="false" t="array" ref="AQ15:AQ15">IF(AP15="","",AP15*INDEX(Справочники!$B$4:$B$7,MATCH("RUB",Справочники!$A$4:$A$7,0)))</f>
        <v/>
      </c>
      <c r="AR15" s="90" t="str">
        <f aca="false">IF(AQ15="","",ROUND(AQ15*(1+Справочники!$B$12),0))</f>
        <v/>
      </c>
      <c r="AS15" s="90" t="str">
        <f aca="false">IF(AR15="","",ROUND(AR15*(1-Справочники!$B$11),0))</f>
        <v/>
      </c>
      <c r="AT15" s="88"/>
      <c r="AU15" s="90" t="str">
        <f aca="false">IF(AT15="","",ROUND(AT15/(1+Справочники!$B$12),0))</f>
        <v/>
      </c>
      <c r="AV15" s="90" t="str">
        <f aca="false">IF(AT15="","",ROUND(AT15*(1-Справочники!$B$15),0))</f>
        <v/>
      </c>
      <c r="AW15" s="90" t="str">
        <f aca="false">IF(AT15="","",ROUND(AT15*(1-Справочники!$B$16),0))</f>
        <v/>
      </c>
      <c r="AX15" s="90" t="str">
        <f aca="false">IF(AT15="","",ROUND(AT15*(1-Справочники!$B$17),0))</f>
        <v/>
      </c>
      <c r="AY15" s="90" t="str">
        <f aca="false">IF(AT15="","",ROUND(AT15*(1-Справочники!$B$18),0))</f>
        <v/>
      </c>
      <c r="AZ15" s="90" t="str">
        <f aca="false">IF(AT15="","",ROUND(AT15*(1-Справочники!$B$19),0))</f>
        <v/>
      </c>
      <c r="BA15" s="81"/>
      <c r="BB15" s="81"/>
      <c r="BC15" s="81"/>
      <c r="BD15" s="81"/>
      <c r="BE15" s="91"/>
      <c r="BF15" s="81" t="s">
        <v>103</v>
      </c>
      <c r="BG15" s="89" t="n">
        <f aca="false" t="array" ref="BG15:BG15">IF(BF15="","",IFERROR(INDEX(Справочники!$B$4:$B$7,MATCH(BF15,Справочники!$A$4:$A$7,0)),""))</f>
        <v>68.5</v>
      </c>
      <c r="BH15" s="90" t="str">
        <f aca="false">IF(N(BN15)&gt;0,ROUND(SUMIF(ЗАКАЗЫ!$F$3:$F$500,$A15,ЗАКАЗЫ!$Y$3:$Y$500)/BN15,0),IF(OR(BE15="",BG15=""),"",ROUND(BE15*BG15*(1+Справочники!$B$10),0)))</f>
        <v/>
      </c>
      <c r="BI15" s="92" t="str">
        <f aca="false">IF(OR(AU15="",BH15="",AU15=0),"",(AU15-BH15)/AU15)</f>
        <v/>
      </c>
      <c r="BJ15" s="81"/>
      <c r="BK15" s="83"/>
      <c r="BL15" s="43" t="str">
        <f aca="false">IFERROR(INDEX(ЗАКАЗЫ!$N$3:$N$500,MATCH($A15,ЗАКАЗЫ!$F$3:$F$500,0)),"")</f>
        <v/>
      </c>
      <c r="BM15" s="8" t="str">
        <f aca="false">IF(BL15="","",IFERROR(VLOOKUP(BL15,'ТН ВЭД'!$A$4:$C$40,3,0),""))</f>
        <v/>
      </c>
      <c r="BN15" s="7" t="str">
        <f aca="false">IF(COUNTIF(ЗАКАЗЫ!$F$3:$F$500,$A15)=0,"",SUMIF(ЗАКАЗЫ!$F$3:$F$500,$A15,ЗАКАЗЫ!$J$3:$J$500))</f>
        <v/>
      </c>
      <c r="BO15" s="7" t="str">
        <f aca="false">IF(BN15="","",SUMIF(ЗАКАЗЫ!$F$3:$F$500,$A15,ЗАКАЗЫ!$AL$3:$AL$500))</f>
        <v/>
      </c>
      <c r="BP15" s="7" t="str">
        <f aca="false">IF(BN15="","",BN15-BO15)</f>
        <v/>
      </c>
      <c r="BQ15" s="55" t="str">
        <f aca="false">IF(BN15="","",IF(BO15&gt;=BN15,"На складе",IF(BO15&gt;0,"Частично","Ждём")))</f>
        <v/>
      </c>
      <c r="BR15" s="43"/>
      <c r="BS15" s="47" t="str">
        <f aca="false">IF(BN15="","",IF(_xlfn.MAXIFS(ЗАКАЗЫ!$AK$3:$AK$500,ЗАКАЗЫ!$F$3:$F$500,$A15)=0,"",_xlfn.MAXIFS(ЗАКАЗЫ!$AK$3:$AK$500,ЗАКАЗЫ!$F$3:$F$500,$A15)))</f>
        <v/>
      </c>
    </row>
    <row r="16" customFormat="false" ht="15.75" hidden="false" customHeight="true" outlineLevel="0" collapsed="false">
      <c r="A16" s="80" t="s">
        <v>2210</v>
      </c>
      <c r="B16" s="81"/>
      <c r="C16" s="81"/>
      <c r="D16" s="81"/>
      <c r="E16" s="83"/>
      <c r="F16" s="81"/>
      <c r="G16" s="83"/>
      <c r="H16" s="83"/>
      <c r="I16" s="84" t="str">
        <f aca="false">IF(E16="","",A16&amp;"_1.jpg")</f>
        <v/>
      </c>
      <c r="J16" s="84" t="str">
        <f aca="false">IF(E16="","",A16&amp;"_2.jpg; "&amp;A16&amp;"_3.jpg")</f>
        <v/>
      </c>
      <c r="K16" s="84" t="str">
        <f aca="false">IF(E16="","",A16&amp;"_schema.jpg")</f>
        <v/>
      </c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 t="s">
        <v>96</v>
      </c>
      <c r="W16" s="81"/>
      <c r="X16" s="81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6" t="str">
        <f aca="false">IF(SUM(Y16:AJ16)=0,"",SUM(Y16:AJ16))</f>
        <v/>
      </c>
      <c r="AL16" s="84" t="str">
        <f aca="false">MID(IF(N(Y16)&gt;0,", "&amp;Y$2,"")&amp;IF(N(Z16)&gt;0,", "&amp;Z$2,"")&amp;IF(N(AA16)&gt;0,", "&amp;AA$2,"")&amp;IF(N(AB16)&gt;0,", "&amp;AB$2,"")&amp;IF(N(AC16)&gt;0,", "&amp;AC$2,"")&amp;IF(N(AD16)&gt;0,", "&amp;AD$2,"")&amp;IF(N(AE16)&gt;0,", "&amp;AE$2,"")&amp;IF(N(AF16)&gt;0,", "&amp;AF$2,"")&amp;IF(N(AG16)&gt;0,", "&amp;AG$2,"")&amp;IF(N(AH16)&gt;0,", "&amp;AH$2,"")&amp;IF(N(AI16)&gt;0,", "&amp;AI$2,"")&amp;IF(N(AJ16)&gt;0,", "&amp;AJ$2,""),3,999)</f>
        <v/>
      </c>
      <c r="AM16" s="87" t="str">
        <f aca="false">IF(E16="","",MID(IF(N(Y16)&gt;0,", "&amp;A16&amp;"-"&amp;Y$2,"")&amp;IF(N(Z16)&gt;0,", "&amp;A16&amp;"-"&amp;Z$2,"")&amp;IF(N(AA16)&gt;0,", "&amp;A16&amp;"-"&amp;AA$2,"")&amp;IF(N(AB16)&gt;0,", "&amp;A16&amp;"-"&amp;AB$2,"")&amp;IF(N(AC16)&gt;0,", "&amp;A16&amp;"-"&amp;AC$2,"")&amp;IF(N(AD16)&gt;0,", "&amp;A16&amp;"-"&amp;AD$2,"")&amp;IF(N(AE16)&gt;0,", "&amp;A16&amp;"-"&amp;AE$2,"")&amp;IF(N(AF16)&gt;0,", "&amp;A16&amp;"-"&amp;AF$2,"")&amp;IF(N(AG16)&gt;0,", "&amp;A16&amp;"-"&amp;AG$2,"")&amp;IF(N(AH16)&gt;0,", "&amp;A16&amp;"-"&amp;AH$2,"")&amp;IF(N(AI16)&gt;0,", "&amp;A16&amp;"-"&amp;AI$2,"")&amp;IF(N(AJ16)&gt;0,", "&amp;A16&amp;"-"&amp;AJ$2,""),3,999))</f>
        <v/>
      </c>
      <c r="AN16" s="81"/>
      <c r="AO16" s="88"/>
      <c r="AP16" s="89" t="str">
        <f aca="false">IF(AO16="","",ROUND(AO16/(1+Справочники!$B$13),2))</f>
        <v/>
      </c>
      <c r="AQ16" s="90" t="str">
        <f aca="false" t="array" ref="AQ16:AQ16">IF(AP16="","",AP16*INDEX(Справочники!$B$4:$B$7,MATCH("RUB",Справочники!$A$4:$A$7,0)))</f>
        <v/>
      </c>
      <c r="AR16" s="90" t="str">
        <f aca="false">IF(AQ16="","",ROUND(AQ16*(1+Справочники!$B$12),0))</f>
        <v/>
      </c>
      <c r="AS16" s="90" t="str">
        <f aca="false">IF(AR16="","",ROUND(AR16*(1-Справочники!$B$11),0))</f>
        <v/>
      </c>
      <c r="AT16" s="88"/>
      <c r="AU16" s="90" t="str">
        <f aca="false">IF(AT16="","",ROUND(AT16/(1+Справочники!$B$12),0))</f>
        <v/>
      </c>
      <c r="AV16" s="90" t="str">
        <f aca="false">IF(AT16="","",ROUND(AT16*(1-Справочники!$B$15),0))</f>
        <v/>
      </c>
      <c r="AW16" s="90" t="str">
        <f aca="false">IF(AT16="","",ROUND(AT16*(1-Справочники!$B$16),0))</f>
        <v/>
      </c>
      <c r="AX16" s="90" t="str">
        <f aca="false">IF(AT16="","",ROUND(AT16*(1-Справочники!$B$17),0))</f>
        <v/>
      </c>
      <c r="AY16" s="90" t="str">
        <f aca="false">IF(AT16="","",ROUND(AT16*(1-Справочники!$B$18),0))</f>
        <v/>
      </c>
      <c r="AZ16" s="90" t="str">
        <f aca="false">IF(AT16="","",ROUND(AT16*(1-Справочники!$B$19),0))</f>
        <v/>
      </c>
      <c r="BA16" s="81"/>
      <c r="BB16" s="81"/>
      <c r="BC16" s="81"/>
      <c r="BD16" s="81"/>
      <c r="BE16" s="91"/>
      <c r="BF16" s="81" t="s">
        <v>103</v>
      </c>
      <c r="BG16" s="89" t="n">
        <f aca="false" t="array" ref="BG16:BG16">IF(BF16="","",IFERROR(INDEX(Справочники!$B$4:$B$7,MATCH(BF16,Справочники!$A$4:$A$7,0)),""))</f>
        <v>68.5</v>
      </c>
      <c r="BH16" s="90" t="str">
        <f aca="false">IF(N(BN16)&gt;0,ROUND(SUMIF(ЗАКАЗЫ!$F$3:$F$500,$A16,ЗАКАЗЫ!$Y$3:$Y$500)/BN16,0),IF(OR(BE16="",BG16=""),"",ROUND(BE16*BG16*(1+Справочники!$B$10),0)))</f>
        <v/>
      </c>
      <c r="BI16" s="92" t="str">
        <f aca="false">IF(OR(AU16="",BH16="",AU16=0),"",(AU16-BH16)/AU16)</f>
        <v/>
      </c>
      <c r="BJ16" s="81"/>
      <c r="BK16" s="83"/>
      <c r="BL16" s="43" t="str">
        <f aca="false">IFERROR(INDEX(ЗАКАЗЫ!$N$3:$N$500,MATCH($A16,ЗАКАЗЫ!$F$3:$F$500,0)),"")</f>
        <v/>
      </c>
      <c r="BM16" s="8" t="str">
        <f aca="false">IF(BL16="","",IFERROR(VLOOKUP(BL16,'ТН ВЭД'!$A$4:$C$40,3,0),""))</f>
        <v/>
      </c>
      <c r="BN16" s="7" t="str">
        <f aca="false">IF(COUNTIF(ЗАКАЗЫ!$F$3:$F$500,$A16)=0,"",SUMIF(ЗАКАЗЫ!$F$3:$F$500,$A16,ЗАКАЗЫ!$J$3:$J$500))</f>
        <v/>
      </c>
      <c r="BO16" s="7" t="str">
        <f aca="false">IF(BN16="","",SUMIF(ЗАКАЗЫ!$F$3:$F$500,$A16,ЗАКАЗЫ!$AL$3:$AL$500))</f>
        <v/>
      </c>
      <c r="BP16" s="7" t="str">
        <f aca="false">IF(BN16="","",BN16-BO16)</f>
        <v/>
      </c>
      <c r="BQ16" s="55" t="str">
        <f aca="false">IF(BN16="","",IF(BO16&gt;=BN16,"На складе",IF(BO16&gt;0,"Частично","Ждём")))</f>
        <v/>
      </c>
      <c r="BR16" s="43"/>
      <c r="BS16" s="47" t="str">
        <f aca="false">IF(BN16="","",IF(_xlfn.MAXIFS(ЗАКАЗЫ!$AK$3:$AK$500,ЗАКАЗЫ!$F$3:$F$500,$A16)=0,"",_xlfn.MAXIFS(ЗАКАЗЫ!$AK$3:$AK$500,ЗАКАЗЫ!$F$3:$F$500,$A16)))</f>
        <v/>
      </c>
    </row>
    <row r="17" customFormat="false" ht="15.75" hidden="false" customHeight="true" outlineLevel="0" collapsed="false">
      <c r="A17" s="80" t="s">
        <v>2211</v>
      </c>
      <c r="B17" s="81"/>
      <c r="C17" s="81"/>
      <c r="D17" s="81"/>
      <c r="E17" s="83"/>
      <c r="F17" s="81"/>
      <c r="G17" s="83"/>
      <c r="H17" s="83"/>
      <c r="I17" s="84" t="str">
        <f aca="false">IF(E17="","",A17&amp;"_1.jpg")</f>
        <v/>
      </c>
      <c r="J17" s="84" t="str">
        <f aca="false">IF(E17="","",A17&amp;"_2.jpg; "&amp;A17&amp;"_3.jpg")</f>
        <v/>
      </c>
      <c r="K17" s="84" t="str">
        <f aca="false">IF(E17="","",A17&amp;"_schema.jpg")</f>
        <v/>
      </c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 t="s">
        <v>96</v>
      </c>
      <c r="W17" s="81"/>
      <c r="X17" s="81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6" t="str">
        <f aca="false">IF(SUM(Y17:AJ17)=0,"",SUM(Y17:AJ17))</f>
        <v/>
      </c>
      <c r="AL17" s="84" t="str">
        <f aca="false">MID(IF(N(Y17)&gt;0,", "&amp;Y$2,"")&amp;IF(N(Z17)&gt;0,", "&amp;Z$2,"")&amp;IF(N(AA17)&gt;0,", "&amp;AA$2,"")&amp;IF(N(AB17)&gt;0,", "&amp;AB$2,"")&amp;IF(N(AC17)&gt;0,", "&amp;AC$2,"")&amp;IF(N(AD17)&gt;0,", "&amp;AD$2,"")&amp;IF(N(AE17)&gt;0,", "&amp;AE$2,"")&amp;IF(N(AF17)&gt;0,", "&amp;AF$2,"")&amp;IF(N(AG17)&gt;0,", "&amp;AG$2,"")&amp;IF(N(AH17)&gt;0,", "&amp;AH$2,"")&amp;IF(N(AI17)&gt;0,", "&amp;AI$2,"")&amp;IF(N(AJ17)&gt;0,", "&amp;AJ$2,""),3,999)</f>
        <v/>
      </c>
      <c r="AM17" s="87" t="str">
        <f aca="false">IF(E17="","",MID(IF(N(Y17)&gt;0,", "&amp;A17&amp;"-"&amp;Y$2,"")&amp;IF(N(Z17)&gt;0,", "&amp;A17&amp;"-"&amp;Z$2,"")&amp;IF(N(AA17)&gt;0,", "&amp;A17&amp;"-"&amp;AA$2,"")&amp;IF(N(AB17)&gt;0,", "&amp;A17&amp;"-"&amp;AB$2,"")&amp;IF(N(AC17)&gt;0,", "&amp;A17&amp;"-"&amp;AC$2,"")&amp;IF(N(AD17)&gt;0,", "&amp;A17&amp;"-"&amp;AD$2,"")&amp;IF(N(AE17)&gt;0,", "&amp;A17&amp;"-"&amp;AE$2,"")&amp;IF(N(AF17)&gt;0,", "&amp;A17&amp;"-"&amp;AF$2,"")&amp;IF(N(AG17)&gt;0,", "&amp;A17&amp;"-"&amp;AG$2,"")&amp;IF(N(AH17)&gt;0,", "&amp;A17&amp;"-"&amp;AH$2,"")&amp;IF(N(AI17)&gt;0,", "&amp;A17&amp;"-"&amp;AI$2,"")&amp;IF(N(AJ17)&gt;0,", "&amp;A17&amp;"-"&amp;AJ$2,""),3,999))</f>
        <v/>
      </c>
      <c r="AN17" s="81"/>
      <c r="AO17" s="88"/>
      <c r="AP17" s="89" t="str">
        <f aca="false">IF(AO17="","",ROUND(AO17/(1+Справочники!$B$13),2))</f>
        <v/>
      </c>
      <c r="AQ17" s="90" t="str">
        <f aca="false" t="array" ref="AQ17:AQ17">IF(AP17="","",AP17*INDEX(Справочники!$B$4:$B$7,MATCH("RUB",Справочники!$A$4:$A$7,0)))</f>
        <v/>
      </c>
      <c r="AR17" s="90" t="str">
        <f aca="false">IF(AQ17="","",ROUND(AQ17*(1+Справочники!$B$12),0))</f>
        <v/>
      </c>
      <c r="AS17" s="90" t="str">
        <f aca="false">IF(AR17="","",ROUND(AR17*(1-Справочники!$B$11),0))</f>
        <v/>
      </c>
      <c r="AT17" s="88"/>
      <c r="AU17" s="90" t="str">
        <f aca="false">IF(AT17="","",ROUND(AT17/(1+Справочники!$B$12),0))</f>
        <v/>
      </c>
      <c r="AV17" s="90" t="str">
        <f aca="false">IF(AT17="","",ROUND(AT17*(1-Справочники!$B$15),0))</f>
        <v/>
      </c>
      <c r="AW17" s="90" t="str">
        <f aca="false">IF(AT17="","",ROUND(AT17*(1-Справочники!$B$16),0))</f>
        <v/>
      </c>
      <c r="AX17" s="90" t="str">
        <f aca="false">IF(AT17="","",ROUND(AT17*(1-Справочники!$B$17),0))</f>
        <v/>
      </c>
      <c r="AY17" s="90" t="str">
        <f aca="false">IF(AT17="","",ROUND(AT17*(1-Справочники!$B$18),0))</f>
        <v/>
      </c>
      <c r="AZ17" s="90" t="str">
        <f aca="false">IF(AT17="","",ROUND(AT17*(1-Справочники!$B$19),0))</f>
        <v/>
      </c>
      <c r="BA17" s="81"/>
      <c r="BB17" s="81"/>
      <c r="BC17" s="81"/>
      <c r="BD17" s="81"/>
      <c r="BE17" s="91"/>
      <c r="BF17" s="81" t="s">
        <v>103</v>
      </c>
      <c r="BG17" s="89" t="n">
        <f aca="false" t="array" ref="BG17:BG17">IF(BF17="","",IFERROR(INDEX(Справочники!$B$4:$B$7,MATCH(BF17,Справочники!$A$4:$A$7,0)),""))</f>
        <v>68.5</v>
      </c>
      <c r="BH17" s="90" t="str">
        <f aca="false">IF(N(BN17)&gt;0,ROUND(SUMIF(ЗАКАЗЫ!$F$3:$F$500,$A17,ЗАКАЗЫ!$Y$3:$Y$500)/BN17,0),IF(OR(BE17="",BG17=""),"",ROUND(BE17*BG17*(1+Справочники!$B$10),0)))</f>
        <v/>
      </c>
      <c r="BI17" s="92" t="str">
        <f aca="false">IF(OR(AU17="",BH17="",AU17=0),"",(AU17-BH17)/AU17)</f>
        <v/>
      </c>
      <c r="BJ17" s="81"/>
      <c r="BK17" s="83"/>
      <c r="BL17" s="43" t="str">
        <f aca="false">IFERROR(INDEX(ЗАКАЗЫ!$N$3:$N$500,MATCH($A17,ЗАКАЗЫ!$F$3:$F$500,0)),"")</f>
        <v/>
      </c>
      <c r="BM17" s="8" t="str">
        <f aca="false">IF(BL17="","",IFERROR(VLOOKUP(BL17,'ТН ВЭД'!$A$4:$C$40,3,0),""))</f>
        <v/>
      </c>
      <c r="BN17" s="7" t="str">
        <f aca="false">IF(COUNTIF(ЗАКАЗЫ!$F$3:$F$500,$A17)=0,"",SUMIF(ЗАКАЗЫ!$F$3:$F$500,$A17,ЗАКАЗЫ!$J$3:$J$500))</f>
        <v/>
      </c>
      <c r="BO17" s="7" t="str">
        <f aca="false">IF(BN17="","",SUMIF(ЗАКАЗЫ!$F$3:$F$500,$A17,ЗАКАЗЫ!$AL$3:$AL$500))</f>
        <v/>
      </c>
      <c r="BP17" s="7" t="str">
        <f aca="false">IF(BN17="","",BN17-BO17)</f>
        <v/>
      </c>
      <c r="BQ17" s="55" t="str">
        <f aca="false">IF(BN17="","",IF(BO17&gt;=BN17,"На складе",IF(BO17&gt;0,"Частично","Ждём")))</f>
        <v/>
      </c>
      <c r="BR17" s="43"/>
      <c r="BS17" s="47" t="str">
        <f aca="false">IF(BN17="","",IF(_xlfn.MAXIFS(ЗАКАЗЫ!$AK$3:$AK$500,ЗАКАЗЫ!$F$3:$F$500,$A17)=0,"",_xlfn.MAXIFS(ЗАКАЗЫ!$AK$3:$AK$500,ЗАКАЗЫ!$F$3:$F$500,$A17)))</f>
        <v/>
      </c>
    </row>
    <row r="18" customFormat="false" ht="15.75" hidden="false" customHeight="true" outlineLevel="0" collapsed="false">
      <c r="A18" s="80" t="s">
        <v>2212</v>
      </c>
      <c r="B18" s="81"/>
      <c r="C18" s="81"/>
      <c r="D18" s="81"/>
      <c r="E18" s="83"/>
      <c r="F18" s="81"/>
      <c r="G18" s="83"/>
      <c r="H18" s="83"/>
      <c r="I18" s="84" t="str">
        <f aca="false">IF(E18="","",A18&amp;"_1.jpg")</f>
        <v/>
      </c>
      <c r="J18" s="84" t="str">
        <f aca="false">IF(E18="","",A18&amp;"_2.jpg; "&amp;A18&amp;"_3.jpg")</f>
        <v/>
      </c>
      <c r="K18" s="84" t="str">
        <f aca="false">IF(E18="","",A18&amp;"_schema.jpg")</f>
        <v/>
      </c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 t="s">
        <v>96</v>
      </c>
      <c r="W18" s="81"/>
      <c r="X18" s="81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6" t="str">
        <f aca="false">IF(SUM(Y18:AJ18)=0,"",SUM(Y18:AJ18))</f>
        <v/>
      </c>
      <c r="AL18" s="84" t="str">
        <f aca="false">MID(IF(N(Y18)&gt;0,", "&amp;Y$2,"")&amp;IF(N(Z18)&gt;0,", "&amp;Z$2,"")&amp;IF(N(AA18)&gt;0,", "&amp;AA$2,"")&amp;IF(N(AB18)&gt;0,", "&amp;AB$2,"")&amp;IF(N(AC18)&gt;0,", "&amp;AC$2,"")&amp;IF(N(AD18)&gt;0,", "&amp;AD$2,"")&amp;IF(N(AE18)&gt;0,", "&amp;AE$2,"")&amp;IF(N(AF18)&gt;0,", "&amp;AF$2,"")&amp;IF(N(AG18)&gt;0,", "&amp;AG$2,"")&amp;IF(N(AH18)&gt;0,", "&amp;AH$2,"")&amp;IF(N(AI18)&gt;0,", "&amp;AI$2,"")&amp;IF(N(AJ18)&gt;0,", "&amp;AJ$2,""),3,999)</f>
        <v/>
      </c>
      <c r="AM18" s="87" t="str">
        <f aca="false">IF(E18="","",MID(IF(N(Y18)&gt;0,", "&amp;A18&amp;"-"&amp;Y$2,"")&amp;IF(N(Z18)&gt;0,", "&amp;A18&amp;"-"&amp;Z$2,"")&amp;IF(N(AA18)&gt;0,", "&amp;A18&amp;"-"&amp;AA$2,"")&amp;IF(N(AB18)&gt;0,", "&amp;A18&amp;"-"&amp;AB$2,"")&amp;IF(N(AC18)&gt;0,", "&amp;A18&amp;"-"&amp;AC$2,"")&amp;IF(N(AD18)&gt;0,", "&amp;A18&amp;"-"&amp;AD$2,"")&amp;IF(N(AE18)&gt;0,", "&amp;A18&amp;"-"&amp;AE$2,"")&amp;IF(N(AF18)&gt;0,", "&amp;A18&amp;"-"&amp;AF$2,"")&amp;IF(N(AG18)&gt;0,", "&amp;A18&amp;"-"&amp;AG$2,"")&amp;IF(N(AH18)&gt;0,", "&amp;A18&amp;"-"&amp;AH$2,"")&amp;IF(N(AI18)&gt;0,", "&amp;A18&amp;"-"&amp;AI$2,"")&amp;IF(N(AJ18)&gt;0,", "&amp;A18&amp;"-"&amp;AJ$2,""),3,999))</f>
        <v/>
      </c>
      <c r="AN18" s="81"/>
      <c r="AO18" s="88"/>
      <c r="AP18" s="89" t="str">
        <f aca="false">IF(AO18="","",ROUND(AO18/(1+Справочники!$B$13),2))</f>
        <v/>
      </c>
      <c r="AQ18" s="90" t="str">
        <f aca="false" t="array" ref="AQ18:AQ18">IF(AP18="","",AP18*INDEX(Справочники!$B$4:$B$7,MATCH("RUB",Справочники!$A$4:$A$7,0)))</f>
        <v/>
      </c>
      <c r="AR18" s="90" t="str">
        <f aca="false">IF(AQ18="","",ROUND(AQ18*(1+Справочники!$B$12),0))</f>
        <v/>
      </c>
      <c r="AS18" s="90" t="str">
        <f aca="false">IF(AR18="","",ROUND(AR18*(1-Справочники!$B$11),0))</f>
        <v/>
      </c>
      <c r="AT18" s="88"/>
      <c r="AU18" s="90" t="str">
        <f aca="false">IF(AT18="","",ROUND(AT18/(1+Справочники!$B$12),0))</f>
        <v/>
      </c>
      <c r="AV18" s="90" t="str">
        <f aca="false">IF(AT18="","",ROUND(AT18*(1-Справочники!$B$15),0))</f>
        <v/>
      </c>
      <c r="AW18" s="90" t="str">
        <f aca="false">IF(AT18="","",ROUND(AT18*(1-Справочники!$B$16),0))</f>
        <v/>
      </c>
      <c r="AX18" s="90" t="str">
        <f aca="false">IF(AT18="","",ROUND(AT18*(1-Справочники!$B$17),0))</f>
        <v/>
      </c>
      <c r="AY18" s="90" t="str">
        <f aca="false">IF(AT18="","",ROUND(AT18*(1-Справочники!$B$18),0))</f>
        <v/>
      </c>
      <c r="AZ18" s="90" t="str">
        <f aca="false">IF(AT18="","",ROUND(AT18*(1-Справочники!$B$19),0))</f>
        <v/>
      </c>
      <c r="BA18" s="81"/>
      <c r="BB18" s="81"/>
      <c r="BC18" s="81"/>
      <c r="BD18" s="81"/>
      <c r="BE18" s="91"/>
      <c r="BF18" s="81" t="s">
        <v>103</v>
      </c>
      <c r="BG18" s="89" t="n">
        <f aca="false" t="array" ref="BG18:BG18">IF(BF18="","",IFERROR(INDEX(Справочники!$B$4:$B$7,MATCH(BF18,Справочники!$A$4:$A$7,0)),""))</f>
        <v>68.5</v>
      </c>
      <c r="BH18" s="90" t="str">
        <f aca="false">IF(N(BN18)&gt;0,ROUND(SUMIF(ЗАКАЗЫ!$F$3:$F$500,$A18,ЗАКАЗЫ!$Y$3:$Y$500)/BN18,0),IF(OR(BE18="",BG18=""),"",ROUND(BE18*BG18*(1+Справочники!$B$10),0)))</f>
        <v/>
      </c>
      <c r="BI18" s="92" t="str">
        <f aca="false">IF(OR(AU18="",BH18="",AU18=0),"",(AU18-BH18)/AU18)</f>
        <v/>
      </c>
      <c r="BJ18" s="81"/>
      <c r="BK18" s="83"/>
      <c r="BL18" s="43" t="str">
        <f aca="false">IFERROR(INDEX(ЗАКАЗЫ!$N$3:$N$500,MATCH($A18,ЗАКАЗЫ!$F$3:$F$500,0)),"")</f>
        <v/>
      </c>
      <c r="BM18" s="8" t="str">
        <f aca="false">IF(BL18="","",IFERROR(VLOOKUP(BL18,'ТН ВЭД'!$A$4:$C$40,3,0),""))</f>
        <v/>
      </c>
      <c r="BN18" s="7" t="str">
        <f aca="false">IF(COUNTIF(ЗАКАЗЫ!$F$3:$F$500,$A18)=0,"",SUMIF(ЗАКАЗЫ!$F$3:$F$500,$A18,ЗАКАЗЫ!$J$3:$J$500))</f>
        <v/>
      </c>
      <c r="BO18" s="7" t="str">
        <f aca="false">IF(BN18="","",SUMIF(ЗАКАЗЫ!$F$3:$F$500,$A18,ЗАКАЗЫ!$AL$3:$AL$500))</f>
        <v/>
      </c>
      <c r="BP18" s="7" t="str">
        <f aca="false">IF(BN18="","",BN18-BO18)</f>
        <v/>
      </c>
      <c r="BQ18" s="55" t="str">
        <f aca="false">IF(BN18="","",IF(BO18&gt;=BN18,"На складе",IF(BO18&gt;0,"Частично","Ждём")))</f>
        <v/>
      </c>
      <c r="BR18" s="43"/>
      <c r="BS18" s="47" t="str">
        <f aca="false">IF(BN18="","",IF(_xlfn.MAXIFS(ЗАКАЗЫ!$AK$3:$AK$500,ЗАКАЗЫ!$F$3:$F$500,$A18)=0,"",_xlfn.MAXIFS(ЗАКАЗЫ!$AK$3:$AK$500,ЗАКАЗЫ!$F$3:$F$500,$A18)))</f>
        <v/>
      </c>
    </row>
    <row r="19" customFormat="false" ht="15.75" hidden="false" customHeight="true" outlineLevel="0" collapsed="false">
      <c r="A19" s="80" t="s">
        <v>2213</v>
      </c>
      <c r="B19" s="81"/>
      <c r="C19" s="81"/>
      <c r="D19" s="81"/>
      <c r="E19" s="83"/>
      <c r="F19" s="81"/>
      <c r="G19" s="83"/>
      <c r="H19" s="83"/>
      <c r="I19" s="84" t="str">
        <f aca="false">IF(E19="","",A19&amp;"_1.jpg")</f>
        <v/>
      </c>
      <c r="J19" s="84" t="str">
        <f aca="false">IF(E19="","",A19&amp;"_2.jpg; "&amp;A19&amp;"_3.jpg")</f>
        <v/>
      </c>
      <c r="K19" s="84" t="str">
        <f aca="false">IF(E19="","",A19&amp;"_schema.jpg")</f>
        <v/>
      </c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 t="s">
        <v>96</v>
      </c>
      <c r="W19" s="81"/>
      <c r="X19" s="81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6" t="str">
        <f aca="false">IF(SUM(Y19:AJ19)=0,"",SUM(Y19:AJ19))</f>
        <v/>
      </c>
      <c r="AL19" s="84" t="str">
        <f aca="false">MID(IF(N(Y19)&gt;0,", "&amp;Y$2,"")&amp;IF(N(Z19)&gt;0,", "&amp;Z$2,"")&amp;IF(N(AA19)&gt;0,", "&amp;AA$2,"")&amp;IF(N(AB19)&gt;0,", "&amp;AB$2,"")&amp;IF(N(AC19)&gt;0,", "&amp;AC$2,"")&amp;IF(N(AD19)&gt;0,", "&amp;AD$2,"")&amp;IF(N(AE19)&gt;0,", "&amp;AE$2,"")&amp;IF(N(AF19)&gt;0,", "&amp;AF$2,"")&amp;IF(N(AG19)&gt;0,", "&amp;AG$2,"")&amp;IF(N(AH19)&gt;0,", "&amp;AH$2,"")&amp;IF(N(AI19)&gt;0,", "&amp;AI$2,"")&amp;IF(N(AJ19)&gt;0,", "&amp;AJ$2,""),3,999)</f>
        <v/>
      </c>
      <c r="AM19" s="87" t="str">
        <f aca="false">IF(E19="","",MID(IF(N(Y19)&gt;0,", "&amp;A19&amp;"-"&amp;Y$2,"")&amp;IF(N(Z19)&gt;0,", "&amp;A19&amp;"-"&amp;Z$2,"")&amp;IF(N(AA19)&gt;0,", "&amp;A19&amp;"-"&amp;AA$2,"")&amp;IF(N(AB19)&gt;0,", "&amp;A19&amp;"-"&amp;AB$2,"")&amp;IF(N(AC19)&gt;0,", "&amp;A19&amp;"-"&amp;AC$2,"")&amp;IF(N(AD19)&gt;0,", "&amp;A19&amp;"-"&amp;AD$2,"")&amp;IF(N(AE19)&gt;0,", "&amp;A19&amp;"-"&amp;AE$2,"")&amp;IF(N(AF19)&gt;0,", "&amp;A19&amp;"-"&amp;AF$2,"")&amp;IF(N(AG19)&gt;0,", "&amp;A19&amp;"-"&amp;AG$2,"")&amp;IF(N(AH19)&gt;0,", "&amp;A19&amp;"-"&amp;AH$2,"")&amp;IF(N(AI19)&gt;0,", "&amp;A19&amp;"-"&amp;AI$2,"")&amp;IF(N(AJ19)&gt;0,", "&amp;A19&amp;"-"&amp;AJ$2,""),3,999))</f>
        <v/>
      </c>
      <c r="AN19" s="81"/>
      <c r="AO19" s="88"/>
      <c r="AP19" s="89" t="str">
        <f aca="false">IF(AO19="","",ROUND(AO19/(1+Справочники!$B$13),2))</f>
        <v/>
      </c>
      <c r="AQ19" s="90" t="str">
        <f aca="false" t="array" ref="AQ19:AQ19">IF(AP19="","",AP19*INDEX(Справочники!$B$4:$B$7,MATCH("RUB",Справочники!$A$4:$A$7,0)))</f>
        <v/>
      </c>
      <c r="AR19" s="90" t="str">
        <f aca="false">IF(AQ19="","",ROUND(AQ19*(1+Справочники!$B$12),0))</f>
        <v/>
      </c>
      <c r="AS19" s="90" t="str">
        <f aca="false">IF(AR19="","",ROUND(AR19*(1-Справочники!$B$11),0))</f>
        <v/>
      </c>
      <c r="AT19" s="88"/>
      <c r="AU19" s="90" t="str">
        <f aca="false">IF(AT19="","",ROUND(AT19/(1+Справочники!$B$12),0))</f>
        <v/>
      </c>
      <c r="AV19" s="90" t="str">
        <f aca="false">IF(AT19="","",ROUND(AT19*(1-Справочники!$B$15),0))</f>
        <v/>
      </c>
      <c r="AW19" s="90" t="str">
        <f aca="false">IF(AT19="","",ROUND(AT19*(1-Справочники!$B$16),0))</f>
        <v/>
      </c>
      <c r="AX19" s="90" t="str">
        <f aca="false">IF(AT19="","",ROUND(AT19*(1-Справочники!$B$17),0))</f>
        <v/>
      </c>
      <c r="AY19" s="90" t="str">
        <f aca="false">IF(AT19="","",ROUND(AT19*(1-Справочники!$B$18),0))</f>
        <v/>
      </c>
      <c r="AZ19" s="90" t="str">
        <f aca="false">IF(AT19="","",ROUND(AT19*(1-Справочники!$B$19),0))</f>
        <v/>
      </c>
      <c r="BA19" s="81"/>
      <c r="BB19" s="81"/>
      <c r="BC19" s="81"/>
      <c r="BD19" s="81"/>
      <c r="BE19" s="91"/>
      <c r="BF19" s="81" t="s">
        <v>103</v>
      </c>
      <c r="BG19" s="89" t="n">
        <f aca="false" t="array" ref="BG19:BG19">IF(BF19="","",IFERROR(INDEX(Справочники!$B$4:$B$7,MATCH(BF19,Справочники!$A$4:$A$7,0)),""))</f>
        <v>68.5</v>
      </c>
      <c r="BH19" s="90" t="str">
        <f aca="false">IF(N(BN19)&gt;0,ROUND(SUMIF(ЗАКАЗЫ!$F$3:$F$500,$A19,ЗАКАЗЫ!$Y$3:$Y$500)/BN19,0),IF(OR(BE19="",BG19=""),"",ROUND(BE19*BG19*(1+Справочники!$B$10),0)))</f>
        <v/>
      </c>
      <c r="BI19" s="92" t="str">
        <f aca="false">IF(OR(AU19="",BH19="",AU19=0),"",(AU19-BH19)/AU19)</f>
        <v/>
      </c>
      <c r="BJ19" s="81"/>
      <c r="BK19" s="83"/>
      <c r="BL19" s="43" t="str">
        <f aca="false">IFERROR(INDEX(ЗАКАЗЫ!$N$3:$N$500,MATCH($A19,ЗАКАЗЫ!$F$3:$F$500,0)),"")</f>
        <v/>
      </c>
      <c r="BM19" s="8" t="str">
        <f aca="false">IF(BL19="","",IFERROR(VLOOKUP(BL19,'ТН ВЭД'!$A$4:$C$40,3,0),""))</f>
        <v/>
      </c>
      <c r="BN19" s="7" t="str">
        <f aca="false">IF(COUNTIF(ЗАКАЗЫ!$F$3:$F$500,$A19)=0,"",SUMIF(ЗАКАЗЫ!$F$3:$F$500,$A19,ЗАКАЗЫ!$J$3:$J$500))</f>
        <v/>
      </c>
      <c r="BO19" s="7" t="str">
        <f aca="false">IF(BN19="","",SUMIF(ЗАКАЗЫ!$F$3:$F$500,$A19,ЗАКАЗЫ!$AL$3:$AL$500))</f>
        <v/>
      </c>
      <c r="BP19" s="7" t="str">
        <f aca="false">IF(BN19="","",BN19-BO19)</f>
        <v/>
      </c>
      <c r="BQ19" s="55" t="str">
        <f aca="false">IF(BN19="","",IF(BO19&gt;=BN19,"На складе",IF(BO19&gt;0,"Частично","Ждём")))</f>
        <v/>
      </c>
      <c r="BR19" s="43"/>
      <c r="BS19" s="47" t="str">
        <f aca="false">IF(BN19="","",IF(_xlfn.MAXIFS(ЗАКАЗЫ!$AK$3:$AK$500,ЗАКАЗЫ!$F$3:$F$500,$A19)=0,"",_xlfn.MAXIFS(ЗАКАЗЫ!$AK$3:$AK$500,ЗАКАЗЫ!$F$3:$F$500,$A19)))</f>
        <v/>
      </c>
    </row>
    <row r="20" customFormat="false" ht="15.75" hidden="false" customHeight="true" outlineLevel="0" collapsed="false">
      <c r="A20" s="80" t="s">
        <v>2214</v>
      </c>
      <c r="B20" s="81"/>
      <c r="C20" s="81"/>
      <c r="D20" s="81"/>
      <c r="E20" s="83"/>
      <c r="F20" s="81"/>
      <c r="G20" s="83"/>
      <c r="H20" s="83"/>
      <c r="I20" s="84" t="str">
        <f aca="false">IF(E20="","",A20&amp;"_1.jpg")</f>
        <v/>
      </c>
      <c r="J20" s="84" t="str">
        <f aca="false">IF(E20="","",A20&amp;"_2.jpg; "&amp;A20&amp;"_3.jpg")</f>
        <v/>
      </c>
      <c r="K20" s="84" t="str">
        <f aca="false">IF(E20="","",A20&amp;"_schema.jpg")</f>
        <v/>
      </c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 t="s">
        <v>96</v>
      </c>
      <c r="W20" s="81"/>
      <c r="X20" s="81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6" t="str">
        <f aca="false">IF(SUM(Y20:AJ20)=0,"",SUM(Y20:AJ20))</f>
        <v/>
      </c>
      <c r="AL20" s="84" t="str">
        <f aca="false">MID(IF(N(Y20)&gt;0,", "&amp;Y$2,"")&amp;IF(N(Z20)&gt;0,", "&amp;Z$2,"")&amp;IF(N(AA20)&gt;0,", "&amp;AA$2,"")&amp;IF(N(AB20)&gt;0,", "&amp;AB$2,"")&amp;IF(N(AC20)&gt;0,", "&amp;AC$2,"")&amp;IF(N(AD20)&gt;0,", "&amp;AD$2,"")&amp;IF(N(AE20)&gt;0,", "&amp;AE$2,"")&amp;IF(N(AF20)&gt;0,", "&amp;AF$2,"")&amp;IF(N(AG20)&gt;0,", "&amp;AG$2,"")&amp;IF(N(AH20)&gt;0,", "&amp;AH$2,"")&amp;IF(N(AI20)&gt;0,", "&amp;AI$2,"")&amp;IF(N(AJ20)&gt;0,", "&amp;AJ$2,""),3,999)</f>
        <v/>
      </c>
      <c r="AM20" s="87" t="str">
        <f aca="false">IF(E20="","",MID(IF(N(Y20)&gt;0,", "&amp;A20&amp;"-"&amp;Y$2,"")&amp;IF(N(Z20)&gt;0,", "&amp;A20&amp;"-"&amp;Z$2,"")&amp;IF(N(AA20)&gt;0,", "&amp;A20&amp;"-"&amp;AA$2,"")&amp;IF(N(AB20)&gt;0,", "&amp;A20&amp;"-"&amp;AB$2,"")&amp;IF(N(AC20)&gt;0,", "&amp;A20&amp;"-"&amp;AC$2,"")&amp;IF(N(AD20)&gt;0,", "&amp;A20&amp;"-"&amp;AD$2,"")&amp;IF(N(AE20)&gt;0,", "&amp;A20&amp;"-"&amp;AE$2,"")&amp;IF(N(AF20)&gt;0,", "&amp;A20&amp;"-"&amp;AF$2,"")&amp;IF(N(AG20)&gt;0,", "&amp;A20&amp;"-"&amp;AG$2,"")&amp;IF(N(AH20)&gt;0,", "&amp;A20&amp;"-"&amp;AH$2,"")&amp;IF(N(AI20)&gt;0,", "&amp;A20&amp;"-"&amp;AI$2,"")&amp;IF(N(AJ20)&gt;0,", "&amp;A20&amp;"-"&amp;AJ$2,""),3,999))</f>
        <v/>
      </c>
      <c r="AN20" s="81"/>
      <c r="AO20" s="88"/>
      <c r="AP20" s="89" t="str">
        <f aca="false">IF(AO20="","",ROUND(AO20/(1+Справочники!$B$13),2))</f>
        <v/>
      </c>
      <c r="AQ20" s="90" t="str">
        <f aca="false" t="array" ref="AQ20:AQ20">IF(AP20="","",AP20*INDEX(Справочники!$B$4:$B$7,MATCH("RUB",Справочники!$A$4:$A$7,0)))</f>
        <v/>
      </c>
      <c r="AR20" s="90" t="str">
        <f aca="false">IF(AQ20="","",ROUND(AQ20*(1+Справочники!$B$12),0))</f>
        <v/>
      </c>
      <c r="AS20" s="90" t="str">
        <f aca="false">IF(AR20="","",ROUND(AR20*(1-Справочники!$B$11),0))</f>
        <v/>
      </c>
      <c r="AT20" s="88"/>
      <c r="AU20" s="90" t="str">
        <f aca="false">IF(AT20="","",ROUND(AT20/(1+Справочники!$B$12),0))</f>
        <v/>
      </c>
      <c r="AV20" s="90" t="str">
        <f aca="false">IF(AT20="","",ROUND(AT20*(1-Справочники!$B$15),0))</f>
        <v/>
      </c>
      <c r="AW20" s="90" t="str">
        <f aca="false">IF(AT20="","",ROUND(AT20*(1-Справочники!$B$16),0))</f>
        <v/>
      </c>
      <c r="AX20" s="90" t="str">
        <f aca="false">IF(AT20="","",ROUND(AT20*(1-Справочники!$B$17),0))</f>
        <v/>
      </c>
      <c r="AY20" s="90" t="str">
        <f aca="false">IF(AT20="","",ROUND(AT20*(1-Справочники!$B$18),0))</f>
        <v/>
      </c>
      <c r="AZ20" s="90" t="str">
        <f aca="false">IF(AT20="","",ROUND(AT20*(1-Справочники!$B$19),0))</f>
        <v/>
      </c>
      <c r="BA20" s="81"/>
      <c r="BB20" s="81"/>
      <c r="BC20" s="81"/>
      <c r="BD20" s="81"/>
      <c r="BE20" s="91"/>
      <c r="BF20" s="81" t="s">
        <v>103</v>
      </c>
      <c r="BG20" s="89" t="n">
        <f aca="false" t="array" ref="BG20:BG20">IF(BF20="","",IFERROR(INDEX(Справочники!$B$4:$B$7,MATCH(BF20,Справочники!$A$4:$A$7,0)),""))</f>
        <v>68.5</v>
      </c>
      <c r="BH20" s="90" t="str">
        <f aca="false">IF(N(BN20)&gt;0,ROUND(SUMIF(ЗАКАЗЫ!$F$3:$F$500,$A20,ЗАКАЗЫ!$Y$3:$Y$500)/BN20,0),IF(OR(BE20="",BG20=""),"",ROUND(BE20*BG20*(1+Справочники!$B$10),0)))</f>
        <v/>
      </c>
      <c r="BI20" s="92" t="str">
        <f aca="false">IF(OR(AU20="",BH20="",AU20=0),"",(AU20-BH20)/AU20)</f>
        <v/>
      </c>
      <c r="BJ20" s="81"/>
      <c r="BK20" s="83"/>
      <c r="BL20" s="43" t="str">
        <f aca="false">IFERROR(INDEX(ЗАКАЗЫ!$N$3:$N$500,MATCH($A20,ЗАКАЗЫ!$F$3:$F$500,0)),"")</f>
        <v/>
      </c>
      <c r="BM20" s="8" t="str">
        <f aca="false">IF(BL20="","",IFERROR(VLOOKUP(BL20,'ТН ВЭД'!$A$4:$C$40,3,0),""))</f>
        <v/>
      </c>
      <c r="BN20" s="7" t="str">
        <f aca="false">IF(COUNTIF(ЗАКАЗЫ!$F$3:$F$500,$A20)=0,"",SUMIF(ЗАКАЗЫ!$F$3:$F$500,$A20,ЗАКАЗЫ!$J$3:$J$500))</f>
        <v/>
      </c>
      <c r="BO20" s="7" t="str">
        <f aca="false">IF(BN20="","",SUMIF(ЗАКАЗЫ!$F$3:$F$500,$A20,ЗАКАЗЫ!$AL$3:$AL$500))</f>
        <v/>
      </c>
      <c r="BP20" s="7" t="str">
        <f aca="false">IF(BN20="","",BN20-BO20)</f>
        <v/>
      </c>
      <c r="BQ20" s="55" t="str">
        <f aca="false">IF(BN20="","",IF(BO20&gt;=BN20,"На складе",IF(BO20&gt;0,"Частично","Ждём")))</f>
        <v/>
      </c>
      <c r="BR20" s="43"/>
      <c r="BS20" s="47" t="str">
        <f aca="false">IF(BN20="","",IF(_xlfn.MAXIFS(ЗАКАЗЫ!$AK$3:$AK$500,ЗАКАЗЫ!$F$3:$F$500,$A20)=0,"",_xlfn.MAXIFS(ЗАКАЗЫ!$AK$3:$AK$500,ЗАКАЗЫ!$F$3:$F$500,$A20)))</f>
        <v/>
      </c>
    </row>
    <row r="21" customFormat="false" ht="15.75" hidden="false" customHeight="true" outlineLevel="0" collapsed="false">
      <c r="A21" s="80" t="s">
        <v>2215</v>
      </c>
      <c r="B21" s="81"/>
      <c r="C21" s="81"/>
      <c r="D21" s="81"/>
      <c r="E21" s="83"/>
      <c r="F21" s="81"/>
      <c r="G21" s="83"/>
      <c r="H21" s="83"/>
      <c r="I21" s="84" t="str">
        <f aca="false">IF(E21="","",A21&amp;"_1.jpg")</f>
        <v/>
      </c>
      <c r="J21" s="84" t="str">
        <f aca="false">IF(E21="","",A21&amp;"_2.jpg; "&amp;A21&amp;"_3.jpg")</f>
        <v/>
      </c>
      <c r="K21" s="84" t="str">
        <f aca="false">IF(E21="","",A21&amp;"_schema.jpg")</f>
        <v/>
      </c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 t="s">
        <v>96</v>
      </c>
      <c r="W21" s="81"/>
      <c r="X21" s="81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6" t="str">
        <f aca="false">IF(SUM(Y21:AJ21)=0,"",SUM(Y21:AJ21))</f>
        <v/>
      </c>
      <c r="AL21" s="84" t="str">
        <f aca="false">MID(IF(N(Y21)&gt;0,", "&amp;Y$2,"")&amp;IF(N(Z21)&gt;0,", "&amp;Z$2,"")&amp;IF(N(AA21)&gt;0,", "&amp;AA$2,"")&amp;IF(N(AB21)&gt;0,", "&amp;AB$2,"")&amp;IF(N(AC21)&gt;0,", "&amp;AC$2,"")&amp;IF(N(AD21)&gt;0,", "&amp;AD$2,"")&amp;IF(N(AE21)&gt;0,", "&amp;AE$2,"")&amp;IF(N(AF21)&gt;0,", "&amp;AF$2,"")&amp;IF(N(AG21)&gt;0,", "&amp;AG$2,"")&amp;IF(N(AH21)&gt;0,", "&amp;AH$2,"")&amp;IF(N(AI21)&gt;0,", "&amp;AI$2,"")&amp;IF(N(AJ21)&gt;0,", "&amp;AJ$2,""),3,999)</f>
        <v/>
      </c>
      <c r="AM21" s="87" t="str">
        <f aca="false">IF(E21="","",MID(IF(N(Y21)&gt;0,", "&amp;A21&amp;"-"&amp;Y$2,"")&amp;IF(N(Z21)&gt;0,", "&amp;A21&amp;"-"&amp;Z$2,"")&amp;IF(N(AA21)&gt;0,", "&amp;A21&amp;"-"&amp;AA$2,"")&amp;IF(N(AB21)&gt;0,", "&amp;A21&amp;"-"&amp;AB$2,"")&amp;IF(N(AC21)&gt;0,", "&amp;A21&amp;"-"&amp;AC$2,"")&amp;IF(N(AD21)&gt;0,", "&amp;A21&amp;"-"&amp;AD$2,"")&amp;IF(N(AE21)&gt;0,", "&amp;A21&amp;"-"&amp;AE$2,"")&amp;IF(N(AF21)&gt;0,", "&amp;A21&amp;"-"&amp;AF$2,"")&amp;IF(N(AG21)&gt;0,", "&amp;A21&amp;"-"&amp;AG$2,"")&amp;IF(N(AH21)&gt;0,", "&amp;A21&amp;"-"&amp;AH$2,"")&amp;IF(N(AI21)&gt;0,", "&amp;A21&amp;"-"&amp;AI$2,"")&amp;IF(N(AJ21)&gt;0,", "&amp;A21&amp;"-"&amp;AJ$2,""),3,999))</f>
        <v/>
      </c>
      <c r="AN21" s="81"/>
      <c r="AO21" s="88"/>
      <c r="AP21" s="89" t="str">
        <f aca="false">IF(AO21="","",ROUND(AO21/(1+Справочники!$B$13),2))</f>
        <v/>
      </c>
      <c r="AQ21" s="90" t="str">
        <f aca="false" t="array" ref="AQ21:AQ21">IF(AP21="","",AP21*INDEX(Справочники!$B$4:$B$7,MATCH("RUB",Справочники!$A$4:$A$7,0)))</f>
        <v/>
      </c>
      <c r="AR21" s="90" t="str">
        <f aca="false">IF(AQ21="","",ROUND(AQ21*(1+Справочники!$B$12),0))</f>
        <v/>
      </c>
      <c r="AS21" s="90" t="str">
        <f aca="false">IF(AR21="","",ROUND(AR21*(1-Справочники!$B$11),0))</f>
        <v/>
      </c>
      <c r="AT21" s="88"/>
      <c r="AU21" s="90" t="str">
        <f aca="false">IF(AT21="","",ROUND(AT21/(1+Справочники!$B$12),0))</f>
        <v/>
      </c>
      <c r="AV21" s="90" t="str">
        <f aca="false">IF(AT21="","",ROUND(AT21*(1-Справочники!$B$15),0))</f>
        <v/>
      </c>
      <c r="AW21" s="90" t="str">
        <f aca="false">IF(AT21="","",ROUND(AT21*(1-Справочники!$B$16),0))</f>
        <v/>
      </c>
      <c r="AX21" s="90" t="str">
        <f aca="false">IF(AT21="","",ROUND(AT21*(1-Справочники!$B$17),0))</f>
        <v/>
      </c>
      <c r="AY21" s="90" t="str">
        <f aca="false">IF(AT21="","",ROUND(AT21*(1-Справочники!$B$18),0))</f>
        <v/>
      </c>
      <c r="AZ21" s="90" t="str">
        <f aca="false">IF(AT21="","",ROUND(AT21*(1-Справочники!$B$19),0))</f>
        <v/>
      </c>
      <c r="BA21" s="81"/>
      <c r="BB21" s="81"/>
      <c r="BC21" s="81"/>
      <c r="BD21" s="81"/>
      <c r="BE21" s="91"/>
      <c r="BF21" s="81" t="s">
        <v>103</v>
      </c>
      <c r="BG21" s="89" t="n">
        <f aca="false" t="array" ref="BG21:BG21">IF(BF21="","",IFERROR(INDEX(Справочники!$B$4:$B$7,MATCH(BF21,Справочники!$A$4:$A$7,0)),""))</f>
        <v>68.5</v>
      </c>
      <c r="BH21" s="90" t="str">
        <f aca="false">IF(N(BN21)&gt;0,ROUND(SUMIF(ЗАКАЗЫ!$F$3:$F$500,$A21,ЗАКАЗЫ!$Y$3:$Y$500)/BN21,0),IF(OR(BE21="",BG21=""),"",ROUND(BE21*BG21*(1+Справочники!$B$10),0)))</f>
        <v/>
      </c>
      <c r="BI21" s="92" t="str">
        <f aca="false">IF(OR(AU21="",BH21="",AU21=0),"",(AU21-BH21)/AU21)</f>
        <v/>
      </c>
      <c r="BJ21" s="81"/>
      <c r="BK21" s="83"/>
      <c r="BL21" s="43" t="str">
        <f aca="false">IFERROR(INDEX(ЗАКАЗЫ!$N$3:$N$500,MATCH($A21,ЗАКАЗЫ!$F$3:$F$500,0)),"")</f>
        <v/>
      </c>
      <c r="BM21" s="8" t="str">
        <f aca="false">IF(BL21="","",IFERROR(VLOOKUP(BL21,'ТН ВЭД'!$A$4:$C$40,3,0),""))</f>
        <v/>
      </c>
      <c r="BN21" s="7" t="str">
        <f aca="false">IF(COUNTIF(ЗАКАЗЫ!$F$3:$F$500,$A21)=0,"",SUMIF(ЗАКАЗЫ!$F$3:$F$500,$A21,ЗАКАЗЫ!$J$3:$J$500))</f>
        <v/>
      </c>
      <c r="BO21" s="7" t="str">
        <f aca="false">IF(BN21="","",SUMIF(ЗАКАЗЫ!$F$3:$F$500,$A21,ЗАКАЗЫ!$AL$3:$AL$500))</f>
        <v/>
      </c>
      <c r="BP21" s="7" t="str">
        <f aca="false">IF(BN21="","",BN21-BO21)</f>
        <v/>
      </c>
      <c r="BQ21" s="55" t="str">
        <f aca="false">IF(BN21="","",IF(BO21&gt;=BN21,"На складе",IF(BO21&gt;0,"Частично","Ждём")))</f>
        <v/>
      </c>
      <c r="BR21" s="43"/>
      <c r="BS21" s="47" t="str">
        <f aca="false">IF(BN21="","",IF(_xlfn.MAXIFS(ЗАКАЗЫ!$AK$3:$AK$500,ЗАКАЗЫ!$F$3:$F$500,$A21)=0,"",_xlfn.MAXIFS(ЗАКАЗЫ!$AK$3:$AK$500,ЗАКАЗЫ!$F$3:$F$500,$A21)))</f>
        <v/>
      </c>
    </row>
    <row r="22" customFormat="false" ht="15.75" hidden="false" customHeight="true" outlineLevel="0" collapsed="false">
      <c r="A22" s="80" t="s">
        <v>2216</v>
      </c>
      <c r="B22" s="81"/>
      <c r="C22" s="81"/>
      <c r="D22" s="81"/>
      <c r="E22" s="83"/>
      <c r="F22" s="81"/>
      <c r="G22" s="83"/>
      <c r="H22" s="83"/>
      <c r="I22" s="84" t="str">
        <f aca="false">IF(E22="","",A22&amp;"_1.jpg")</f>
        <v/>
      </c>
      <c r="J22" s="84" t="str">
        <f aca="false">IF(E22="","",A22&amp;"_2.jpg; "&amp;A22&amp;"_3.jpg")</f>
        <v/>
      </c>
      <c r="K22" s="84" t="str">
        <f aca="false">IF(E22="","",A22&amp;"_schema.jpg")</f>
        <v/>
      </c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 t="s">
        <v>96</v>
      </c>
      <c r="W22" s="81"/>
      <c r="X22" s="81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6" t="str">
        <f aca="false">IF(SUM(Y22:AJ22)=0,"",SUM(Y22:AJ22))</f>
        <v/>
      </c>
      <c r="AL22" s="84" t="str">
        <f aca="false">MID(IF(N(Y22)&gt;0,", "&amp;Y$2,"")&amp;IF(N(Z22)&gt;0,", "&amp;Z$2,"")&amp;IF(N(AA22)&gt;0,", "&amp;AA$2,"")&amp;IF(N(AB22)&gt;0,", "&amp;AB$2,"")&amp;IF(N(AC22)&gt;0,", "&amp;AC$2,"")&amp;IF(N(AD22)&gt;0,", "&amp;AD$2,"")&amp;IF(N(AE22)&gt;0,", "&amp;AE$2,"")&amp;IF(N(AF22)&gt;0,", "&amp;AF$2,"")&amp;IF(N(AG22)&gt;0,", "&amp;AG$2,"")&amp;IF(N(AH22)&gt;0,", "&amp;AH$2,"")&amp;IF(N(AI22)&gt;0,", "&amp;AI$2,"")&amp;IF(N(AJ22)&gt;0,", "&amp;AJ$2,""),3,999)</f>
        <v/>
      </c>
      <c r="AM22" s="87" t="str">
        <f aca="false">IF(E22="","",MID(IF(N(Y22)&gt;0,", "&amp;A22&amp;"-"&amp;Y$2,"")&amp;IF(N(Z22)&gt;0,", "&amp;A22&amp;"-"&amp;Z$2,"")&amp;IF(N(AA22)&gt;0,", "&amp;A22&amp;"-"&amp;AA$2,"")&amp;IF(N(AB22)&gt;0,", "&amp;A22&amp;"-"&amp;AB$2,"")&amp;IF(N(AC22)&gt;0,", "&amp;A22&amp;"-"&amp;AC$2,"")&amp;IF(N(AD22)&gt;0,", "&amp;A22&amp;"-"&amp;AD$2,"")&amp;IF(N(AE22)&gt;0,", "&amp;A22&amp;"-"&amp;AE$2,"")&amp;IF(N(AF22)&gt;0,", "&amp;A22&amp;"-"&amp;AF$2,"")&amp;IF(N(AG22)&gt;0,", "&amp;A22&amp;"-"&amp;AG$2,"")&amp;IF(N(AH22)&gt;0,", "&amp;A22&amp;"-"&amp;AH$2,"")&amp;IF(N(AI22)&gt;0,", "&amp;A22&amp;"-"&amp;AI$2,"")&amp;IF(N(AJ22)&gt;0,", "&amp;A22&amp;"-"&amp;AJ$2,""),3,999))</f>
        <v/>
      </c>
      <c r="AN22" s="81"/>
      <c r="AO22" s="88"/>
      <c r="AP22" s="89" t="str">
        <f aca="false">IF(AO22="","",ROUND(AO22/(1+Справочники!$B$13),2))</f>
        <v/>
      </c>
      <c r="AQ22" s="90" t="str">
        <f aca="false" t="array" ref="AQ22:AQ22">IF(AP22="","",AP22*INDEX(Справочники!$B$4:$B$7,MATCH("RUB",Справочники!$A$4:$A$7,0)))</f>
        <v/>
      </c>
      <c r="AR22" s="90" t="str">
        <f aca="false">IF(AQ22="","",ROUND(AQ22*(1+Справочники!$B$12),0))</f>
        <v/>
      </c>
      <c r="AS22" s="90" t="str">
        <f aca="false">IF(AR22="","",ROUND(AR22*(1-Справочники!$B$11),0))</f>
        <v/>
      </c>
      <c r="AT22" s="88"/>
      <c r="AU22" s="90" t="str">
        <f aca="false">IF(AT22="","",ROUND(AT22/(1+Справочники!$B$12),0))</f>
        <v/>
      </c>
      <c r="AV22" s="90" t="str">
        <f aca="false">IF(AT22="","",ROUND(AT22*(1-Справочники!$B$15),0))</f>
        <v/>
      </c>
      <c r="AW22" s="90" t="str">
        <f aca="false">IF(AT22="","",ROUND(AT22*(1-Справочники!$B$16),0))</f>
        <v/>
      </c>
      <c r="AX22" s="90" t="str">
        <f aca="false">IF(AT22="","",ROUND(AT22*(1-Справочники!$B$17),0))</f>
        <v/>
      </c>
      <c r="AY22" s="90" t="str">
        <f aca="false">IF(AT22="","",ROUND(AT22*(1-Справочники!$B$18),0))</f>
        <v/>
      </c>
      <c r="AZ22" s="90" t="str">
        <f aca="false">IF(AT22="","",ROUND(AT22*(1-Справочники!$B$19),0))</f>
        <v/>
      </c>
      <c r="BA22" s="81"/>
      <c r="BB22" s="81"/>
      <c r="BC22" s="81"/>
      <c r="BD22" s="81"/>
      <c r="BE22" s="91"/>
      <c r="BF22" s="81" t="s">
        <v>103</v>
      </c>
      <c r="BG22" s="89" t="n">
        <f aca="false" t="array" ref="BG22:BG22">IF(BF22="","",IFERROR(INDEX(Справочники!$B$4:$B$7,MATCH(BF22,Справочники!$A$4:$A$7,0)),""))</f>
        <v>68.5</v>
      </c>
      <c r="BH22" s="90" t="str">
        <f aca="false">IF(N(BN22)&gt;0,ROUND(SUMIF(ЗАКАЗЫ!$F$3:$F$500,$A22,ЗАКАЗЫ!$Y$3:$Y$500)/BN22,0),IF(OR(BE22="",BG22=""),"",ROUND(BE22*BG22*(1+Справочники!$B$10),0)))</f>
        <v/>
      </c>
      <c r="BI22" s="92" t="str">
        <f aca="false">IF(OR(AU22="",BH22="",AU22=0),"",(AU22-BH22)/AU22)</f>
        <v/>
      </c>
      <c r="BJ22" s="81"/>
      <c r="BK22" s="83"/>
      <c r="BL22" s="43" t="str">
        <f aca="false">IFERROR(INDEX(ЗАКАЗЫ!$N$3:$N$500,MATCH($A22,ЗАКАЗЫ!$F$3:$F$500,0)),"")</f>
        <v/>
      </c>
      <c r="BM22" s="8" t="str">
        <f aca="false">IF(BL22="","",IFERROR(VLOOKUP(BL22,'ТН ВЭД'!$A$4:$C$40,3,0),""))</f>
        <v/>
      </c>
      <c r="BN22" s="7" t="str">
        <f aca="false">IF(COUNTIF(ЗАКАЗЫ!$F$3:$F$500,$A22)=0,"",SUMIF(ЗАКАЗЫ!$F$3:$F$500,$A22,ЗАКАЗЫ!$J$3:$J$500))</f>
        <v/>
      </c>
      <c r="BO22" s="7" t="str">
        <f aca="false">IF(BN22="","",SUMIF(ЗАКАЗЫ!$F$3:$F$500,$A22,ЗАКАЗЫ!$AL$3:$AL$500))</f>
        <v/>
      </c>
      <c r="BP22" s="7" t="str">
        <f aca="false">IF(BN22="","",BN22-BO22)</f>
        <v/>
      </c>
      <c r="BQ22" s="55" t="str">
        <f aca="false">IF(BN22="","",IF(BO22&gt;=BN22,"На складе",IF(BO22&gt;0,"Частично","Ждём")))</f>
        <v/>
      </c>
      <c r="BR22" s="43"/>
      <c r="BS22" s="47" t="str">
        <f aca="false">IF(BN22="","",IF(_xlfn.MAXIFS(ЗАКАЗЫ!$AK$3:$AK$500,ЗАКАЗЫ!$F$3:$F$500,$A22)=0,"",_xlfn.MAXIFS(ЗАКАЗЫ!$AK$3:$AK$500,ЗАКАЗЫ!$F$3:$F$500,$A22)))</f>
        <v/>
      </c>
    </row>
    <row r="23" customFormat="false" ht="15.75" hidden="false" customHeight="true" outlineLevel="0" collapsed="false">
      <c r="A23" s="80" t="s">
        <v>2217</v>
      </c>
      <c r="B23" s="81"/>
      <c r="C23" s="81"/>
      <c r="D23" s="81"/>
      <c r="E23" s="83"/>
      <c r="F23" s="81"/>
      <c r="G23" s="83"/>
      <c r="H23" s="83"/>
      <c r="I23" s="84" t="str">
        <f aca="false">IF(E23="","",A23&amp;"_1.jpg")</f>
        <v/>
      </c>
      <c r="J23" s="84" t="str">
        <f aca="false">IF(E23="","",A23&amp;"_2.jpg; "&amp;A23&amp;"_3.jpg")</f>
        <v/>
      </c>
      <c r="K23" s="84" t="str">
        <f aca="false">IF(E23="","",A23&amp;"_schema.jpg")</f>
        <v/>
      </c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 t="s">
        <v>96</v>
      </c>
      <c r="W23" s="81"/>
      <c r="X23" s="81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6" t="str">
        <f aca="false">IF(SUM(Y23:AJ23)=0,"",SUM(Y23:AJ23))</f>
        <v/>
      </c>
      <c r="AL23" s="84" t="str">
        <f aca="false">MID(IF(N(Y23)&gt;0,", "&amp;Y$2,"")&amp;IF(N(Z23)&gt;0,", "&amp;Z$2,"")&amp;IF(N(AA23)&gt;0,", "&amp;AA$2,"")&amp;IF(N(AB23)&gt;0,", "&amp;AB$2,"")&amp;IF(N(AC23)&gt;0,", "&amp;AC$2,"")&amp;IF(N(AD23)&gt;0,", "&amp;AD$2,"")&amp;IF(N(AE23)&gt;0,", "&amp;AE$2,"")&amp;IF(N(AF23)&gt;0,", "&amp;AF$2,"")&amp;IF(N(AG23)&gt;0,", "&amp;AG$2,"")&amp;IF(N(AH23)&gt;0,", "&amp;AH$2,"")&amp;IF(N(AI23)&gt;0,", "&amp;AI$2,"")&amp;IF(N(AJ23)&gt;0,", "&amp;AJ$2,""),3,999)</f>
        <v/>
      </c>
      <c r="AM23" s="87" t="str">
        <f aca="false">IF(E23="","",MID(IF(N(Y23)&gt;0,", "&amp;A23&amp;"-"&amp;Y$2,"")&amp;IF(N(Z23)&gt;0,", "&amp;A23&amp;"-"&amp;Z$2,"")&amp;IF(N(AA23)&gt;0,", "&amp;A23&amp;"-"&amp;AA$2,"")&amp;IF(N(AB23)&gt;0,", "&amp;A23&amp;"-"&amp;AB$2,"")&amp;IF(N(AC23)&gt;0,", "&amp;A23&amp;"-"&amp;AC$2,"")&amp;IF(N(AD23)&gt;0,", "&amp;A23&amp;"-"&amp;AD$2,"")&amp;IF(N(AE23)&gt;0,", "&amp;A23&amp;"-"&amp;AE$2,"")&amp;IF(N(AF23)&gt;0,", "&amp;A23&amp;"-"&amp;AF$2,"")&amp;IF(N(AG23)&gt;0,", "&amp;A23&amp;"-"&amp;AG$2,"")&amp;IF(N(AH23)&gt;0,", "&amp;A23&amp;"-"&amp;AH$2,"")&amp;IF(N(AI23)&gt;0,", "&amp;A23&amp;"-"&amp;AI$2,"")&amp;IF(N(AJ23)&gt;0,", "&amp;A23&amp;"-"&amp;AJ$2,""),3,999))</f>
        <v/>
      </c>
      <c r="AN23" s="81"/>
      <c r="AO23" s="88"/>
      <c r="AP23" s="89" t="str">
        <f aca="false">IF(AO23="","",ROUND(AO23/(1+Справочники!$B$13),2))</f>
        <v/>
      </c>
      <c r="AQ23" s="90" t="str">
        <f aca="false" t="array" ref="AQ23:AQ23">IF(AP23="","",AP23*INDEX(Справочники!$B$4:$B$7,MATCH("RUB",Справочники!$A$4:$A$7,0)))</f>
        <v/>
      </c>
      <c r="AR23" s="90" t="str">
        <f aca="false">IF(AQ23="","",ROUND(AQ23*(1+Справочники!$B$12),0))</f>
        <v/>
      </c>
      <c r="AS23" s="90" t="str">
        <f aca="false">IF(AR23="","",ROUND(AR23*(1-Справочники!$B$11),0))</f>
        <v/>
      </c>
      <c r="AT23" s="88"/>
      <c r="AU23" s="90" t="str">
        <f aca="false">IF(AT23="","",ROUND(AT23/(1+Справочники!$B$12),0))</f>
        <v/>
      </c>
      <c r="AV23" s="90" t="str">
        <f aca="false">IF(AT23="","",ROUND(AT23*(1-Справочники!$B$15),0))</f>
        <v/>
      </c>
      <c r="AW23" s="90" t="str">
        <f aca="false">IF(AT23="","",ROUND(AT23*(1-Справочники!$B$16),0))</f>
        <v/>
      </c>
      <c r="AX23" s="90" t="str">
        <f aca="false">IF(AT23="","",ROUND(AT23*(1-Справочники!$B$17),0))</f>
        <v/>
      </c>
      <c r="AY23" s="90" t="str">
        <f aca="false">IF(AT23="","",ROUND(AT23*(1-Справочники!$B$18),0))</f>
        <v/>
      </c>
      <c r="AZ23" s="90" t="str">
        <f aca="false">IF(AT23="","",ROUND(AT23*(1-Справочники!$B$19),0))</f>
        <v/>
      </c>
      <c r="BA23" s="81"/>
      <c r="BB23" s="81"/>
      <c r="BC23" s="81"/>
      <c r="BD23" s="81"/>
      <c r="BE23" s="91"/>
      <c r="BF23" s="81" t="s">
        <v>103</v>
      </c>
      <c r="BG23" s="89" t="n">
        <f aca="false" t="array" ref="BG23:BG23">IF(BF23="","",IFERROR(INDEX(Справочники!$B$4:$B$7,MATCH(BF23,Справочники!$A$4:$A$7,0)),""))</f>
        <v>68.5</v>
      </c>
      <c r="BH23" s="90" t="str">
        <f aca="false">IF(N(BN23)&gt;0,ROUND(SUMIF(ЗАКАЗЫ!$F$3:$F$500,$A23,ЗАКАЗЫ!$Y$3:$Y$500)/BN23,0),IF(OR(BE23="",BG23=""),"",ROUND(BE23*BG23*(1+Справочники!$B$10),0)))</f>
        <v/>
      </c>
      <c r="BI23" s="92" t="str">
        <f aca="false">IF(OR(AU23="",BH23="",AU23=0),"",(AU23-BH23)/AU23)</f>
        <v/>
      </c>
      <c r="BJ23" s="81"/>
      <c r="BK23" s="83"/>
      <c r="BL23" s="43" t="str">
        <f aca="false">IFERROR(INDEX(ЗАКАЗЫ!$N$3:$N$500,MATCH($A23,ЗАКАЗЫ!$F$3:$F$500,0)),"")</f>
        <v/>
      </c>
      <c r="BM23" s="8" t="str">
        <f aca="false">IF(BL23="","",IFERROR(VLOOKUP(BL23,'ТН ВЭД'!$A$4:$C$40,3,0),""))</f>
        <v/>
      </c>
      <c r="BN23" s="7" t="str">
        <f aca="false">IF(COUNTIF(ЗАКАЗЫ!$F$3:$F$500,$A23)=0,"",SUMIF(ЗАКАЗЫ!$F$3:$F$500,$A23,ЗАКАЗЫ!$J$3:$J$500))</f>
        <v/>
      </c>
      <c r="BO23" s="7" t="str">
        <f aca="false">IF(BN23="","",SUMIF(ЗАКАЗЫ!$F$3:$F$500,$A23,ЗАКАЗЫ!$AL$3:$AL$500))</f>
        <v/>
      </c>
      <c r="BP23" s="7" t="str">
        <f aca="false">IF(BN23="","",BN23-BO23)</f>
        <v/>
      </c>
      <c r="BQ23" s="55" t="str">
        <f aca="false">IF(BN23="","",IF(BO23&gt;=BN23,"На складе",IF(BO23&gt;0,"Частично","Ждём")))</f>
        <v/>
      </c>
      <c r="BR23" s="43"/>
      <c r="BS23" s="47" t="str">
        <f aca="false">IF(BN23="","",IF(_xlfn.MAXIFS(ЗАКАЗЫ!$AK$3:$AK$500,ЗАКАЗЫ!$F$3:$F$500,$A23)=0,"",_xlfn.MAXIFS(ЗАКАЗЫ!$AK$3:$AK$500,ЗАКАЗЫ!$F$3:$F$500,$A23)))</f>
        <v/>
      </c>
    </row>
    <row r="24" customFormat="false" ht="15.75" hidden="false" customHeight="true" outlineLevel="0" collapsed="false">
      <c r="A24" s="80" t="s">
        <v>2218</v>
      </c>
      <c r="B24" s="81"/>
      <c r="C24" s="81"/>
      <c r="D24" s="81"/>
      <c r="E24" s="83"/>
      <c r="F24" s="81"/>
      <c r="G24" s="83"/>
      <c r="H24" s="83"/>
      <c r="I24" s="84" t="str">
        <f aca="false">IF(E24="","",A24&amp;"_1.jpg")</f>
        <v/>
      </c>
      <c r="J24" s="84" t="str">
        <f aca="false">IF(E24="","",A24&amp;"_2.jpg; "&amp;A24&amp;"_3.jpg")</f>
        <v/>
      </c>
      <c r="K24" s="84" t="str">
        <f aca="false">IF(E24="","",A24&amp;"_schema.jpg")</f>
        <v/>
      </c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 t="s">
        <v>96</v>
      </c>
      <c r="W24" s="81"/>
      <c r="X24" s="81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6" t="str">
        <f aca="false">IF(SUM(Y24:AJ24)=0,"",SUM(Y24:AJ24))</f>
        <v/>
      </c>
      <c r="AL24" s="84" t="str">
        <f aca="false">MID(IF(N(Y24)&gt;0,", "&amp;Y$2,"")&amp;IF(N(Z24)&gt;0,", "&amp;Z$2,"")&amp;IF(N(AA24)&gt;0,", "&amp;AA$2,"")&amp;IF(N(AB24)&gt;0,", "&amp;AB$2,"")&amp;IF(N(AC24)&gt;0,", "&amp;AC$2,"")&amp;IF(N(AD24)&gt;0,", "&amp;AD$2,"")&amp;IF(N(AE24)&gt;0,", "&amp;AE$2,"")&amp;IF(N(AF24)&gt;0,", "&amp;AF$2,"")&amp;IF(N(AG24)&gt;0,", "&amp;AG$2,"")&amp;IF(N(AH24)&gt;0,", "&amp;AH$2,"")&amp;IF(N(AI24)&gt;0,", "&amp;AI$2,"")&amp;IF(N(AJ24)&gt;0,", "&amp;AJ$2,""),3,999)</f>
        <v/>
      </c>
      <c r="AM24" s="87" t="str">
        <f aca="false">IF(E24="","",MID(IF(N(Y24)&gt;0,", "&amp;A24&amp;"-"&amp;Y$2,"")&amp;IF(N(Z24)&gt;0,", "&amp;A24&amp;"-"&amp;Z$2,"")&amp;IF(N(AA24)&gt;0,", "&amp;A24&amp;"-"&amp;AA$2,"")&amp;IF(N(AB24)&gt;0,", "&amp;A24&amp;"-"&amp;AB$2,"")&amp;IF(N(AC24)&gt;0,", "&amp;A24&amp;"-"&amp;AC$2,"")&amp;IF(N(AD24)&gt;0,", "&amp;A24&amp;"-"&amp;AD$2,"")&amp;IF(N(AE24)&gt;0,", "&amp;A24&amp;"-"&amp;AE$2,"")&amp;IF(N(AF24)&gt;0,", "&amp;A24&amp;"-"&amp;AF$2,"")&amp;IF(N(AG24)&gt;0,", "&amp;A24&amp;"-"&amp;AG$2,"")&amp;IF(N(AH24)&gt;0,", "&amp;A24&amp;"-"&amp;AH$2,"")&amp;IF(N(AI24)&gt;0,", "&amp;A24&amp;"-"&amp;AI$2,"")&amp;IF(N(AJ24)&gt;0,", "&amp;A24&amp;"-"&amp;AJ$2,""),3,999))</f>
        <v/>
      </c>
      <c r="AN24" s="81"/>
      <c r="AO24" s="88"/>
      <c r="AP24" s="89" t="str">
        <f aca="false">IF(AO24="","",ROUND(AO24/(1+Справочники!$B$13),2))</f>
        <v/>
      </c>
      <c r="AQ24" s="90" t="str">
        <f aca="false" t="array" ref="AQ24:AQ24">IF(AP24="","",AP24*INDEX(Справочники!$B$4:$B$7,MATCH("RUB",Справочники!$A$4:$A$7,0)))</f>
        <v/>
      </c>
      <c r="AR24" s="90" t="str">
        <f aca="false">IF(AQ24="","",ROUND(AQ24*(1+Справочники!$B$12),0))</f>
        <v/>
      </c>
      <c r="AS24" s="90" t="str">
        <f aca="false">IF(AR24="","",ROUND(AR24*(1-Справочники!$B$11),0))</f>
        <v/>
      </c>
      <c r="AT24" s="88"/>
      <c r="AU24" s="90" t="str">
        <f aca="false">IF(AT24="","",ROUND(AT24/(1+Справочники!$B$12),0))</f>
        <v/>
      </c>
      <c r="AV24" s="90" t="str">
        <f aca="false">IF(AT24="","",ROUND(AT24*(1-Справочники!$B$15),0))</f>
        <v/>
      </c>
      <c r="AW24" s="90" t="str">
        <f aca="false">IF(AT24="","",ROUND(AT24*(1-Справочники!$B$16),0))</f>
        <v/>
      </c>
      <c r="AX24" s="90" t="str">
        <f aca="false">IF(AT24="","",ROUND(AT24*(1-Справочники!$B$17),0))</f>
        <v/>
      </c>
      <c r="AY24" s="90" t="str">
        <f aca="false">IF(AT24="","",ROUND(AT24*(1-Справочники!$B$18),0))</f>
        <v/>
      </c>
      <c r="AZ24" s="90" t="str">
        <f aca="false">IF(AT24="","",ROUND(AT24*(1-Справочники!$B$19),0))</f>
        <v/>
      </c>
      <c r="BA24" s="81"/>
      <c r="BB24" s="81"/>
      <c r="BC24" s="81"/>
      <c r="BD24" s="81"/>
      <c r="BE24" s="91"/>
      <c r="BF24" s="81" t="s">
        <v>103</v>
      </c>
      <c r="BG24" s="89" t="n">
        <f aca="false" t="array" ref="BG24:BG24">IF(BF24="","",IFERROR(INDEX(Справочники!$B$4:$B$7,MATCH(BF24,Справочники!$A$4:$A$7,0)),""))</f>
        <v>68.5</v>
      </c>
      <c r="BH24" s="90" t="str">
        <f aca="false">IF(N(BN24)&gt;0,ROUND(SUMIF(ЗАКАЗЫ!$F$3:$F$500,$A24,ЗАКАЗЫ!$Y$3:$Y$500)/BN24,0),IF(OR(BE24="",BG24=""),"",ROUND(BE24*BG24*(1+Справочники!$B$10),0)))</f>
        <v/>
      </c>
      <c r="BI24" s="92" t="str">
        <f aca="false">IF(OR(AU24="",BH24="",AU24=0),"",(AU24-BH24)/AU24)</f>
        <v/>
      </c>
      <c r="BJ24" s="81"/>
      <c r="BK24" s="83"/>
      <c r="BL24" s="43" t="str">
        <f aca="false">IFERROR(INDEX(ЗАКАЗЫ!$N$3:$N$500,MATCH($A24,ЗАКАЗЫ!$F$3:$F$500,0)),"")</f>
        <v/>
      </c>
      <c r="BM24" s="8" t="str">
        <f aca="false">IF(BL24="","",IFERROR(VLOOKUP(BL24,'ТН ВЭД'!$A$4:$C$40,3,0),""))</f>
        <v/>
      </c>
      <c r="BN24" s="7" t="str">
        <f aca="false">IF(COUNTIF(ЗАКАЗЫ!$F$3:$F$500,$A24)=0,"",SUMIF(ЗАКАЗЫ!$F$3:$F$500,$A24,ЗАКАЗЫ!$J$3:$J$500))</f>
        <v/>
      </c>
      <c r="BO24" s="7" t="str">
        <f aca="false">IF(BN24="","",SUMIF(ЗАКАЗЫ!$F$3:$F$500,$A24,ЗАКАЗЫ!$AL$3:$AL$500))</f>
        <v/>
      </c>
      <c r="BP24" s="7" t="str">
        <f aca="false">IF(BN24="","",BN24-BO24)</f>
        <v/>
      </c>
      <c r="BQ24" s="55" t="str">
        <f aca="false">IF(BN24="","",IF(BO24&gt;=BN24,"На складе",IF(BO24&gt;0,"Частично","Ждём")))</f>
        <v/>
      </c>
      <c r="BR24" s="43"/>
      <c r="BS24" s="47" t="str">
        <f aca="false">IF(BN24="","",IF(_xlfn.MAXIFS(ЗАКАЗЫ!$AK$3:$AK$500,ЗАКАЗЫ!$F$3:$F$500,$A24)=0,"",_xlfn.MAXIFS(ЗАКАЗЫ!$AK$3:$AK$500,ЗАКАЗЫ!$F$3:$F$500,$A24)))</f>
        <v/>
      </c>
    </row>
    <row r="25" customFormat="false" ht="15.75" hidden="false" customHeight="true" outlineLevel="0" collapsed="false">
      <c r="A25" s="80" t="s">
        <v>2219</v>
      </c>
      <c r="B25" s="81"/>
      <c r="C25" s="81"/>
      <c r="D25" s="81"/>
      <c r="E25" s="83"/>
      <c r="F25" s="81"/>
      <c r="G25" s="83"/>
      <c r="H25" s="83"/>
      <c r="I25" s="84" t="str">
        <f aca="false">IF(E25="","",A25&amp;"_1.jpg")</f>
        <v/>
      </c>
      <c r="J25" s="84" t="str">
        <f aca="false">IF(E25="","",A25&amp;"_2.jpg; "&amp;A25&amp;"_3.jpg")</f>
        <v/>
      </c>
      <c r="K25" s="84" t="str">
        <f aca="false">IF(E25="","",A25&amp;"_schema.jpg")</f>
        <v/>
      </c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 t="s">
        <v>96</v>
      </c>
      <c r="W25" s="81"/>
      <c r="X25" s="81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6" t="str">
        <f aca="false">IF(SUM(Y25:AJ25)=0,"",SUM(Y25:AJ25))</f>
        <v/>
      </c>
      <c r="AL25" s="84" t="str">
        <f aca="false">MID(IF(N(Y25)&gt;0,", "&amp;Y$2,"")&amp;IF(N(Z25)&gt;0,", "&amp;Z$2,"")&amp;IF(N(AA25)&gt;0,", "&amp;AA$2,"")&amp;IF(N(AB25)&gt;0,", "&amp;AB$2,"")&amp;IF(N(AC25)&gt;0,", "&amp;AC$2,"")&amp;IF(N(AD25)&gt;0,", "&amp;AD$2,"")&amp;IF(N(AE25)&gt;0,", "&amp;AE$2,"")&amp;IF(N(AF25)&gt;0,", "&amp;AF$2,"")&amp;IF(N(AG25)&gt;0,", "&amp;AG$2,"")&amp;IF(N(AH25)&gt;0,", "&amp;AH$2,"")&amp;IF(N(AI25)&gt;0,", "&amp;AI$2,"")&amp;IF(N(AJ25)&gt;0,", "&amp;AJ$2,""),3,999)</f>
        <v/>
      </c>
      <c r="AM25" s="87" t="str">
        <f aca="false">IF(E25="","",MID(IF(N(Y25)&gt;0,", "&amp;A25&amp;"-"&amp;Y$2,"")&amp;IF(N(Z25)&gt;0,", "&amp;A25&amp;"-"&amp;Z$2,"")&amp;IF(N(AA25)&gt;0,", "&amp;A25&amp;"-"&amp;AA$2,"")&amp;IF(N(AB25)&gt;0,", "&amp;A25&amp;"-"&amp;AB$2,"")&amp;IF(N(AC25)&gt;0,", "&amp;A25&amp;"-"&amp;AC$2,"")&amp;IF(N(AD25)&gt;0,", "&amp;A25&amp;"-"&amp;AD$2,"")&amp;IF(N(AE25)&gt;0,", "&amp;A25&amp;"-"&amp;AE$2,"")&amp;IF(N(AF25)&gt;0,", "&amp;A25&amp;"-"&amp;AF$2,"")&amp;IF(N(AG25)&gt;0,", "&amp;A25&amp;"-"&amp;AG$2,"")&amp;IF(N(AH25)&gt;0,", "&amp;A25&amp;"-"&amp;AH$2,"")&amp;IF(N(AI25)&gt;0,", "&amp;A25&amp;"-"&amp;AI$2,"")&amp;IF(N(AJ25)&gt;0,", "&amp;A25&amp;"-"&amp;AJ$2,""),3,999))</f>
        <v/>
      </c>
      <c r="AN25" s="81"/>
      <c r="AO25" s="88"/>
      <c r="AP25" s="89" t="str">
        <f aca="false">IF(AO25="","",ROUND(AO25/(1+Справочники!$B$13),2))</f>
        <v/>
      </c>
      <c r="AQ25" s="90" t="str">
        <f aca="false" t="array" ref="AQ25:AQ25">IF(AP25="","",AP25*INDEX(Справочники!$B$4:$B$7,MATCH("RUB",Справочники!$A$4:$A$7,0)))</f>
        <v/>
      </c>
      <c r="AR25" s="90" t="str">
        <f aca="false">IF(AQ25="","",ROUND(AQ25*(1+Справочники!$B$12),0))</f>
        <v/>
      </c>
      <c r="AS25" s="90" t="str">
        <f aca="false">IF(AR25="","",ROUND(AR25*(1-Справочники!$B$11),0))</f>
        <v/>
      </c>
      <c r="AT25" s="88"/>
      <c r="AU25" s="90" t="str">
        <f aca="false">IF(AT25="","",ROUND(AT25/(1+Справочники!$B$12),0))</f>
        <v/>
      </c>
      <c r="AV25" s="90" t="str">
        <f aca="false">IF(AT25="","",ROUND(AT25*(1-Справочники!$B$15),0))</f>
        <v/>
      </c>
      <c r="AW25" s="90" t="str">
        <f aca="false">IF(AT25="","",ROUND(AT25*(1-Справочники!$B$16),0))</f>
        <v/>
      </c>
      <c r="AX25" s="90" t="str">
        <f aca="false">IF(AT25="","",ROUND(AT25*(1-Справочники!$B$17),0))</f>
        <v/>
      </c>
      <c r="AY25" s="90" t="str">
        <f aca="false">IF(AT25="","",ROUND(AT25*(1-Справочники!$B$18),0))</f>
        <v/>
      </c>
      <c r="AZ25" s="90" t="str">
        <f aca="false">IF(AT25="","",ROUND(AT25*(1-Справочники!$B$19),0))</f>
        <v/>
      </c>
      <c r="BA25" s="81"/>
      <c r="BB25" s="81"/>
      <c r="BC25" s="81"/>
      <c r="BD25" s="81"/>
      <c r="BE25" s="91"/>
      <c r="BF25" s="81" t="s">
        <v>103</v>
      </c>
      <c r="BG25" s="89" t="n">
        <f aca="false" t="array" ref="BG25:BG25">IF(BF25="","",IFERROR(INDEX(Справочники!$B$4:$B$7,MATCH(BF25,Справочники!$A$4:$A$7,0)),""))</f>
        <v>68.5</v>
      </c>
      <c r="BH25" s="90" t="str">
        <f aca="false">IF(N(BN25)&gt;0,ROUND(SUMIF(ЗАКАЗЫ!$F$3:$F$500,$A25,ЗАКАЗЫ!$Y$3:$Y$500)/BN25,0),IF(OR(BE25="",BG25=""),"",ROUND(BE25*BG25*(1+Справочники!$B$10),0)))</f>
        <v/>
      </c>
      <c r="BI25" s="92" t="str">
        <f aca="false">IF(OR(AU25="",BH25="",AU25=0),"",(AU25-BH25)/AU25)</f>
        <v/>
      </c>
      <c r="BJ25" s="81"/>
      <c r="BK25" s="83"/>
      <c r="BL25" s="43" t="str">
        <f aca="false">IFERROR(INDEX(ЗАКАЗЫ!$N$3:$N$500,MATCH($A25,ЗАКАЗЫ!$F$3:$F$500,0)),"")</f>
        <v/>
      </c>
      <c r="BM25" s="8" t="str">
        <f aca="false">IF(BL25="","",IFERROR(VLOOKUP(BL25,'ТН ВЭД'!$A$4:$C$40,3,0),""))</f>
        <v/>
      </c>
      <c r="BN25" s="7" t="str">
        <f aca="false">IF(COUNTIF(ЗАКАЗЫ!$F$3:$F$500,$A25)=0,"",SUMIF(ЗАКАЗЫ!$F$3:$F$500,$A25,ЗАКАЗЫ!$J$3:$J$500))</f>
        <v/>
      </c>
      <c r="BO25" s="7" t="str">
        <f aca="false">IF(BN25="","",SUMIF(ЗАКАЗЫ!$F$3:$F$500,$A25,ЗАКАЗЫ!$AL$3:$AL$500))</f>
        <v/>
      </c>
      <c r="BP25" s="7" t="str">
        <f aca="false">IF(BN25="","",BN25-BO25)</f>
        <v/>
      </c>
      <c r="BQ25" s="55" t="str">
        <f aca="false">IF(BN25="","",IF(BO25&gt;=BN25,"На складе",IF(BO25&gt;0,"Частично","Ждём")))</f>
        <v/>
      </c>
      <c r="BR25" s="43"/>
      <c r="BS25" s="47" t="str">
        <f aca="false">IF(BN25="","",IF(_xlfn.MAXIFS(ЗАКАЗЫ!$AK$3:$AK$500,ЗАКАЗЫ!$F$3:$F$500,$A25)=0,"",_xlfn.MAXIFS(ЗАКАЗЫ!$AK$3:$AK$500,ЗАКАЗЫ!$F$3:$F$500,$A25)))</f>
        <v/>
      </c>
    </row>
    <row r="26" customFormat="false" ht="15.75" hidden="false" customHeight="true" outlineLevel="0" collapsed="false">
      <c r="A26" s="80" t="s">
        <v>2220</v>
      </c>
      <c r="B26" s="81"/>
      <c r="C26" s="81"/>
      <c r="D26" s="81"/>
      <c r="E26" s="83"/>
      <c r="F26" s="81"/>
      <c r="G26" s="83"/>
      <c r="H26" s="83"/>
      <c r="I26" s="84" t="str">
        <f aca="false">IF(E26="","",A26&amp;"_1.jpg")</f>
        <v/>
      </c>
      <c r="J26" s="84" t="str">
        <f aca="false">IF(E26="","",A26&amp;"_2.jpg; "&amp;A26&amp;"_3.jpg")</f>
        <v/>
      </c>
      <c r="K26" s="84" t="str">
        <f aca="false">IF(E26="","",A26&amp;"_schema.jpg")</f>
        <v/>
      </c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 t="s">
        <v>96</v>
      </c>
      <c r="W26" s="81"/>
      <c r="X26" s="81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6" t="str">
        <f aca="false">IF(SUM(Y26:AJ26)=0,"",SUM(Y26:AJ26))</f>
        <v/>
      </c>
      <c r="AL26" s="84" t="str">
        <f aca="false">MID(IF(N(Y26)&gt;0,", "&amp;Y$2,"")&amp;IF(N(Z26)&gt;0,", "&amp;Z$2,"")&amp;IF(N(AA26)&gt;0,", "&amp;AA$2,"")&amp;IF(N(AB26)&gt;0,", "&amp;AB$2,"")&amp;IF(N(AC26)&gt;0,", "&amp;AC$2,"")&amp;IF(N(AD26)&gt;0,", "&amp;AD$2,"")&amp;IF(N(AE26)&gt;0,", "&amp;AE$2,"")&amp;IF(N(AF26)&gt;0,", "&amp;AF$2,"")&amp;IF(N(AG26)&gt;0,", "&amp;AG$2,"")&amp;IF(N(AH26)&gt;0,", "&amp;AH$2,"")&amp;IF(N(AI26)&gt;0,", "&amp;AI$2,"")&amp;IF(N(AJ26)&gt;0,", "&amp;AJ$2,""),3,999)</f>
        <v/>
      </c>
      <c r="AM26" s="87" t="str">
        <f aca="false">IF(E26="","",MID(IF(N(Y26)&gt;0,", "&amp;A26&amp;"-"&amp;Y$2,"")&amp;IF(N(Z26)&gt;0,", "&amp;A26&amp;"-"&amp;Z$2,"")&amp;IF(N(AA26)&gt;0,", "&amp;A26&amp;"-"&amp;AA$2,"")&amp;IF(N(AB26)&gt;0,", "&amp;A26&amp;"-"&amp;AB$2,"")&amp;IF(N(AC26)&gt;0,", "&amp;A26&amp;"-"&amp;AC$2,"")&amp;IF(N(AD26)&gt;0,", "&amp;A26&amp;"-"&amp;AD$2,"")&amp;IF(N(AE26)&gt;0,", "&amp;A26&amp;"-"&amp;AE$2,"")&amp;IF(N(AF26)&gt;0,", "&amp;A26&amp;"-"&amp;AF$2,"")&amp;IF(N(AG26)&gt;0,", "&amp;A26&amp;"-"&amp;AG$2,"")&amp;IF(N(AH26)&gt;0,", "&amp;A26&amp;"-"&amp;AH$2,"")&amp;IF(N(AI26)&gt;0,", "&amp;A26&amp;"-"&amp;AI$2,"")&amp;IF(N(AJ26)&gt;0,", "&amp;A26&amp;"-"&amp;AJ$2,""),3,999))</f>
        <v/>
      </c>
      <c r="AN26" s="81"/>
      <c r="AO26" s="88"/>
      <c r="AP26" s="89" t="str">
        <f aca="false">IF(AO26="","",ROUND(AO26/(1+Справочники!$B$13),2))</f>
        <v/>
      </c>
      <c r="AQ26" s="90" t="str">
        <f aca="false" t="array" ref="AQ26:AQ26">IF(AP26="","",AP26*INDEX(Справочники!$B$4:$B$7,MATCH("RUB",Справочники!$A$4:$A$7,0)))</f>
        <v/>
      </c>
      <c r="AR26" s="90" t="str">
        <f aca="false">IF(AQ26="","",ROUND(AQ26*(1+Справочники!$B$12),0))</f>
        <v/>
      </c>
      <c r="AS26" s="90" t="str">
        <f aca="false">IF(AR26="","",ROUND(AR26*(1-Справочники!$B$11),0))</f>
        <v/>
      </c>
      <c r="AT26" s="88"/>
      <c r="AU26" s="90" t="str">
        <f aca="false">IF(AT26="","",ROUND(AT26/(1+Справочники!$B$12),0))</f>
        <v/>
      </c>
      <c r="AV26" s="90" t="str">
        <f aca="false">IF(AT26="","",ROUND(AT26*(1-Справочники!$B$15),0))</f>
        <v/>
      </c>
      <c r="AW26" s="90" t="str">
        <f aca="false">IF(AT26="","",ROUND(AT26*(1-Справочники!$B$16),0))</f>
        <v/>
      </c>
      <c r="AX26" s="90" t="str">
        <f aca="false">IF(AT26="","",ROUND(AT26*(1-Справочники!$B$17),0))</f>
        <v/>
      </c>
      <c r="AY26" s="90" t="str">
        <f aca="false">IF(AT26="","",ROUND(AT26*(1-Справочники!$B$18),0))</f>
        <v/>
      </c>
      <c r="AZ26" s="90" t="str">
        <f aca="false">IF(AT26="","",ROUND(AT26*(1-Справочники!$B$19),0))</f>
        <v/>
      </c>
      <c r="BA26" s="81"/>
      <c r="BB26" s="81"/>
      <c r="BC26" s="81"/>
      <c r="BD26" s="81"/>
      <c r="BE26" s="91"/>
      <c r="BF26" s="81" t="s">
        <v>103</v>
      </c>
      <c r="BG26" s="89" t="n">
        <f aca="false" t="array" ref="BG26:BG26">IF(BF26="","",IFERROR(INDEX(Справочники!$B$4:$B$7,MATCH(BF26,Справочники!$A$4:$A$7,0)),""))</f>
        <v>68.5</v>
      </c>
      <c r="BH26" s="90" t="str">
        <f aca="false">IF(N(BN26)&gt;0,ROUND(SUMIF(ЗАКАЗЫ!$F$3:$F$500,$A26,ЗАКАЗЫ!$Y$3:$Y$500)/BN26,0),IF(OR(BE26="",BG26=""),"",ROUND(BE26*BG26*(1+Справочники!$B$10),0)))</f>
        <v/>
      </c>
      <c r="BI26" s="92" t="str">
        <f aca="false">IF(OR(AU26="",BH26="",AU26=0),"",(AU26-BH26)/AU26)</f>
        <v/>
      </c>
      <c r="BJ26" s="81"/>
      <c r="BK26" s="83"/>
      <c r="BL26" s="43" t="str">
        <f aca="false">IFERROR(INDEX(ЗАКАЗЫ!$N$3:$N$500,MATCH($A26,ЗАКАЗЫ!$F$3:$F$500,0)),"")</f>
        <v/>
      </c>
      <c r="BM26" s="8" t="str">
        <f aca="false">IF(BL26="","",IFERROR(VLOOKUP(BL26,'ТН ВЭД'!$A$4:$C$40,3,0),""))</f>
        <v/>
      </c>
      <c r="BN26" s="7" t="str">
        <f aca="false">IF(COUNTIF(ЗАКАЗЫ!$F$3:$F$500,$A26)=0,"",SUMIF(ЗАКАЗЫ!$F$3:$F$500,$A26,ЗАКАЗЫ!$J$3:$J$500))</f>
        <v/>
      </c>
      <c r="BO26" s="7" t="str">
        <f aca="false">IF(BN26="","",SUMIF(ЗАКАЗЫ!$F$3:$F$500,$A26,ЗАКАЗЫ!$AL$3:$AL$500))</f>
        <v/>
      </c>
      <c r="BP26" s="7" t="str">
        <f aca="false">IF(BN26="","",BN26-BO26)</f>
        <v/>
      </c>
      <c r="BQ26" s="55" t="str">
        <f aca="false">IF(BN26="","",IF(BO26&gt;=BN26,"На складе",IF(BO26&gt;0,"Частично","Ждём")))</f>
        <v/>
      </c>
      <c r="BR26" s="43"/>
      <c r="BS26" s="47" t="str">
        <f aca="false">IF(BN26="","",IF(_xlfn.MAXIFS(ЗАКАЗЫ!$AK$3:$AK$500,ЗАКАЗЫ!$F$3:$F$500,$A26)=0,"",_xlfn.MAXIFS(ЗАКАЗЫ!$AK$3:$AK$500,ЗАКАЗЫ!$F$3:$F$500,$A26)))</f>
        <v/>
      </c>
    </row>
    <row r="27" customFormat="false" ht="15.75" hidden="false" customHeight="true" outlineLevel="0" collapsed="false">
      <c r="A27" s="80" t="s">
        <v>2221</v>
      </c>
      <c r="B27" s="81"/>
      <c r="C27" s="81"/>
      <c r="D27" s="81"/>
      <c r="E27" s="83"/>
      <c r="F27" s="81"/>
      <c r="G27" s="83"/>
      <c r="H27" s="83"/>
      <c r="I27" s="84" t="str">
        <f aca="false">IF(E27="","",A27&amp;"_1.jpg")</f>
        <v/>
      </c>
      <c r="J27" s="84" t="str">
        <f aca="false">IF(E27="","",A27&amp;"_2.jpg; "&amp;A27&amp;"_3.jpg")</f>
        <v/>
      </c>
      <c r="K27" s="84" t="str">
        <f aca="false">IF(E27="","",A27&amp;"_schema.jpg")</f>
        <v/>
      </c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 t="s">
        <v>96</v>
      </c>
      <c r="W27" s="81"/>
      <c r="X27" s="81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6" t="str">
        <f aca="false">IF(SUM(Y27:AJ27)=0,"",SUM(Y27:AJ27))</f>
        <v/>
      </c>
      <c r="AL27" s="84" t="str">
        <f aca="false">MID(IF(N(Y27)&gt;0,", "&amp;Y$2,"")&amp;IF(N(Z27)&gt;0,", "&amp;Z$2,"")&amp;IF(N(AA27)&gt;0,", "&amp;AA$2,"")&amp;IF(N(AB27)&gt;0,", "&amp;AB$2,"")&amp;IF(N(AC27)&gt;0,", "&amp;AC$2,"")&amp;IF(N(AD27)&gt;0,", "&amp;AD$2,"")&amp;IF(N(AE27)&gt;0,", "&amp;AE$2,"")&amp;IF(N(AF27)&gt;0,", "&amp;AF$2,"")&amp;IF(N(AG27)&gt;0,", "&amp;AG$2,"")&amp;IF(N(AH27)&gt;0,", "&amp;AH$2,"")&amp;IF(N(AI27)&gt;0,", "&amp;AI$2,"")&amp;IF(N(AJ27)&gt;0,", "&amp;AJ$2,""),3,999)</f>
        <v/>
      </c>
      <c r="AM27" s="87" t="str">
        <f aca="false">IF(E27="","",MID(IF(N(Y27)&gt;0,", "&amp;A27&amp;"-"&amp;Y$2,"")&amp;IF(N(Z27)&gt;0,", "&amp;A27&amp;"-"&amp;Z$2,"")&amp;IF(N(AA27)&gt;0,", "&amp;A27&amp;"-"&amp;AA$2,"")&amp;IF(N(AB27)&gt;0,", "&amp;A27&amp;"-"&amp;AB$2,"")&amp;IF(N(AC27)&gt;0,", "&amp;A27&amp;"-"&amp;AC$2,"")&amp;IF(N(AD27)&gt;0,", "&amp;A27&amp;"-"&amp;AD$2,"")&amp;IF(N(AE27)&gt;0,", "&amp;A27&amp;"-"&amp;AE$2,"")&amp;IF(N(AF27)&gt;0,", "&amp;A27&amp;"-"&amp;AF$2,"")&amp;IF(N(AG27)&gt;0,", "&amp;A27&amp;"-"&amp;AG$2,"")&amp;IF(N(AH27)&gt;0,", "&amp;A27&amp;"-"&amp;AH$2,"")&amp;IF(N(AI27)&gt;0,", "&amp;A27&amp;"-"&amp;AI$2,"")&amp;IF(N(AJ27)&gt;0,", "&amp;A27&amp;"-"&amp;AJ$2,""),3,999))</f>
        <v/>
      </c>
      <c r="AN27" s="81"/>
      <c r="AO27" s="88"/>
      <c r="AP27" s="89" t="str">
        <f aca="false">IF(AO27="","",ROUND(AO27/(1+Справочники!$B$13),2))</f>
        <v/>
      </c>
      <c r="AQ27" s="90" t="str">
        <f aca="false" t="array" ref="AQ27:AQ27">IF(AP27="","",AP27*INDEX(Справочники!$B$4:$B$7,MATCH("RUB",Справочники!$A$4:$A$7,0)))</f>
        <v/>
      </c>
      <c r="AR27" s="90" t="str">
        <f aca="false">IF(AQ27="","",ROUND(AQ27*(1+Справочники!$B$12),0))</f>
        <v/>
      </c>
      <c r="AS27" s="90" t="str">
        <f aca="false">IF(AR27="","",ROUND(AR27*(1-Справочники!$B$11),0))</f>
        <v/>
      </c>
      <c r="AT27" s="88"/>
      <c r="AU27" s="90" t="str">
        <f aca="false">IF(AT27="","",ROUND(AT27/(1+Справочники!$B$12),0))</f>
        <v/>
      </c>
      <c r="AV27" s="90" t="str">
        <f aca="false">IF(AT27="","",ROUND(AT27*(1-Справочники!$B$15),0))</f>
        <v/>
      </c>
      <c r="AW27" s="90" t="str">
        <f aca="false">IF(AT27="","",ROUND(AT27*(1-Справочники!$B$16),0))</f>
        <v/>
      </c>
      <c r="AX27" s="90" t="str">
        <f aca="false">IF(AT27="","",ROUND(AT27*(1-Справочники!$B$17),0))</f>
        <v/>
      </c>
      <c r="AY27" s="90" t="str">
        <f aca="false">IF(AT27="","",ROUND(AT27*(1-Справочники!$B$18),0))</f>
        <v/>
      </c>
      <c r="AZ27" s="90" t="str">
        <f aca="false">IF(AT27="","",ROUND(AT27*(1-Справочники!$B$19),0))</f>
        <v/>
      </c>
      <c r="BA27" s="81"/>
      <c r="BB27" s="81"/>
      <c r="BC27" s="81"/>
      <c r="BD27" s="81"/>
      <c r="BE27" s="91"/>
      <c r="BF27" s="81" t="s">
        <v>103</v>
      </c>
      <c r="BG27" s="89" t="n">
        <f aca="false" t="array" ref="BG27:BG27">IF(BF27="","",IFERROR(INDEX(Справочники!$B$4:$B$7,MATCH(BF27,Справочники!$A$4:$A$7,0)),""))</f>
        <v>68.5</v>
      </c>
      <c r="BH27" s="90" t="str">
        <f aca="false">IF(N(BN27)&gt;0,ROUND(SUMIF(ЗАКАЗЫ!$F$3:$F$500,$A27,ЗАКАЗЫ!$Y$3:$Y$500)/BN27,0),IF(OR(BE27="",BG27=""),"",ROUND(BE27*BG27*(1+Справочники!$B$10),0)))</f>
        <v/>
      </c>
      <c r="BI27" s="92" t="str">
        <f aca="false">IF(OR(AU27="",BH27="",AU27=0),"",(AU27-BH27)/AU27)</f>
        <v/>
      </c>
      <c r="BJ27" s="81"/>
      <c r="BK27" s="83"/>
      <c r="BL27" s="43" t="str">
        <f aca="false">IFERROR(INDEX(ЗАКАЗЫ!$N$3:$N$500,MATCH($A27,ЗАКАЗЫ!$F$3:$F$500,0)),"")</f>
        <v/>
      </c>
      <c r="BM27" s="8" t="str">
        <f aca="false">IF(BL27="","",IFERROR(VLOOKUP(BL27,'ТН ВЭД'!$A$4:$C$40,3,0),""))</f>
        <v/>
      </c>
      <c r="BN27" s="7" t="str">
        <f aca="false">IF(COUNTIF(ЗАКАЗЫ!$F$3:$F$500,$A27)=0,"",SUMIF(ЗАКАЗЫ!$F$3:$F$500,$A27,ЗАКАЗЫ!$J$3:$J$500))</f>
        <v/>
      </c>
      <c r="BO27" s="7" t="str">
        <f aca="false">IF(BN27="","",SUMIF(ЗАКАЗЫ!$F$3:$F$500,$A27,ЗАКАЗЫ!$AL$3:$AL$500))</f>
        <v/>
      </c>
      <c r="BP27" s="7" t="str">
        <f aca="false">IF(BN27="","",BN27-BO27)</f>
        <v/>
      </c>
      <c r="BQ27" s="55" t="str">
        <f aca="false">IF(BN27="","",IF(BO27&gt;=BN27,"На складе",IF(BO27&gt;0,"Частично","Ждём")))</f>
        <v/>
      </c>
      <c r="BR27" s="43"/>
      <c r="BS27" s="47" t="str">
        <f aca="false">IF(BN27="","",IF(_xlfn.MAXIFS(ЗАКАЗЫ!$AK$3:$AK$500,ЗАКАЗЫ!$F$3:$F$500,$A27)=0,"",_xlfn.MAXIFS(ЗАКАЗЫ!$AK$3:$AK$500,ЗАКАЗЫ!$F$3:$F$500,$A27)))</f>
        <v/>
      </c>
    </row>
    <row r="28" customFormat="false" ht="15.75" hidden="false" customHeight="true" outlineLevel="0" collapsed="false">
      <c r="A28" s="80" t="s">
        <v>2222</v>
      </c>
      <c r="B28" s="81"/>
      <c r="C28" s="81"/>
      <c r="D28" s="81"/>
      <c r="E28" s="83"/>
      <c r="F28" s="81"/>
      <c r="G28" s="83"/>
      <c r="H28" s="83"/>
      <c r="I28" s="84" t="str">
        <f aca="false">IF(E28="","",A28&amp;"_1.jpg")</f>
        <v/>
      </c>
      <c r="J28" s="84" t="str">
        <f aca="false">IF(E28="","",A28&amp;"_2.jpg; "&amp;A28&amp;"_3.jpg")</f>
        <v/>
      </c>
      <c r="K28" s="84" t="str">
        <f aca="false">IF(E28="","",A28&amp;"_schema.jpg")</f>
        <v/>
      </c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 t="s">
        <v>96</v>
      </c>
      <c r="W28" s="81"/>
      <c r="X28" s="81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6" t="str">
        <f aca="false">IF(SUM(Y28:AJ28)=0,"",SUM(Y28:AJ28))</f>
        <v/>
      </c>
      <c r="AL28" s="84" t="str">
        <f aca="false">MID(IF(N(Y28)&gt;0,", "&amp;Y$2,"")&amp;IF(N(Z28)&gt;0,", "&amp;Z$2,"")&amp;IF(N(AA28)&gt;0,", "&amp;AA$2,"")&amp;IF(N(AB28)&gt;0,", "&amp;AB$2,"")&amp;IF(N(AC28)&gt;0,", "&amp;AC$2,"")&amp;IF(N(AD28)&gt;0,", "&amp;AD$2,"")&amp;IF(N(AE28)&gt;0,", "&amp;AE$2,"")&amp;IF(N(AF28)&gt;0,", "&amp;AF$2,"")&amp;IF(N(AG28)&gt;0,", "&amp;AG$2,"")&amp;IF(N(AH28)&gt;0,", "&amp;AH$2,"")&amp;IF(N(AI28)&gt;0,", "&amp;AI$2,"")&amp;IF(N(AJ28)&gt;0,", "&amp;AJ$2,""),3,999)</f>
        <v/>
      </c>
      <c r="AM28" s="87" t="str">
        <f aca="false">IF(E28="","",MID(IF(N(Y28)&gt;0,", "&amp;A28&amp;"-"&amp;Y$2,"")&amp;IF(N(Z28)&gt;0,", "&amp;A28&amp;"-"&amp;Z$2,"")&amp;IF(N(AA28)&gt;0,", "&amp;A28&amp;"-"&amp;AA$2,"")&amp;IF(N(AB28)&gt;0,", "&amp;A28&amp;"-"&amp;AB$2,"")&amp;IF(N(AC28)&gt;0,", "&amp;A28&amp;"-"&amp;AC$2,"")&amp;IF(N(AD28)&gt;0,", "&amp;A28&amp;"-"&amp;AD$2,"")&amp;IF(N(AE28)&gt;0,", "&amp;A28&amp;"-"&amp;AE$2,"")&amp;IF(N(AF28)&gt;0,", "&amp;A28&amp;"-"&amp;AF$2,"")&amp;IF(N(AG28)&gt;0,", "&amp;A28&amp;"-"&amp;AG$2,"")&amp;IF(N(AH28)&gt;0,", "&amp;A28&amp;"-"&amp;AH$2,"")&amp;IF(N(AI28)&gt;0,", "&amp;A28&amp;"-"&amp;AI$2,"")&amp;IF(N(AJ28)&gt;0,", "&amp;A28&amp;"-"&amp;AJ$2,""),3,999))</f>
        <v/>
      </c>
      <c r="AN28" s="81"/>
      <c r="AO28" s="88"/>
      <c r="AP28" s="89" t="str">
        <f aca="false">IF(AO28="","",ROUND(AO28/(1+Справочники!$B$13),2))</f>
        <v/>
      </c>
      <c r="AQ28" s="90" t="str">
        <f aca="false" t="array" ref="AQ28:AQ28">IF(AP28="","",AP28*INDEX(Справочники!$B$4:$B$7,MATCH("RUB",Справочники!$A$4:$A$7,0)))</f>
        <v/>
      </c>
      <c r="AR28" s="90" t="str">
        <f aca="false">IF(AQ28="","",ROUND(AQ28*(1+Справочники!$B$12),0))</f>
        <v/>
      </c>
      <c r="AS28" s="90" t="str">
        <f aca="false">IF(AR28="","",ROUND(AR28*(1-Справочники!$B$11),0))</f>
        <v/>
      </c>
      <c r="AT28" s="88"/>
      <c r="AU28" s="90" t="str">
        <f aca="false">IF(AT28="","",ROUND(AT28/(1+Справочники!$B$12),0))</f>
        <v/>
      </c>
      <c r="AV28" s="90" t="str">
        <f aca="false">IF(AT28="","",ROUND(AT28*(1-Справочники!$B$15),0))</f>
        <v/>
      </c>
      <c r="AW28" s="90" t="str">
        <f aca="false">IF(AT28="","",ROUND(AT28*(1-Справочники!$B$16),0))</f>
        <v/>
      </c>
      <c r="AX28" s="90" t="str">
        <f aca="false">IF(AT28="","",ROUND(AT28*(1-Справочники!$B$17),0))</f>
        <v/>
      </c>
      <c r="AY28" s="90" t="str">
        <f aca="false">IF(AT28="","",ROUND(AT28*(1-Справочники!$B$18),0))</f>
        <v/>
      </c>
      <c r="AZ28" s="90" t="str">
        <f aca="false">IF(AT28="","",ROUND(AT28*(1-Справочники!$B$19),0))</f>
        <v/>
      </c>
      <c r="BA28" s="81"/>
      <c r="BB28" s="81"/>
      <c r="BC28" s="81"/>
      <c r="BD28" s="81"/>
      <c r="BE28" s="91"/>
      <c r="BF28" s="81" t="s">
        <v>103</v>
      </c>
      <c r="BG28" s="89" t="n">
        <f aca="false" t="array" ref="BG28:BG28">IF(BF28="","",IFERROR(INDEX(Справочники!$B$4:$B$7,MATCH(BF28,Справочники!$A$4:$A$7,0)),""))</f>
        <v>68.5</v>
      </c>
      <c r="BH28" s="90" t="str">
        <f aca="false">IF(N(BN28)&gt;0,ROUND(SUMIF(ЗАКАЗЫ!$F$3:$F$500,$A28,ЗАКАЗЫ!$Y$3:$Y$500)/BN28,0),IF(OR(BE28="",BG28=""),"",ROUND(BE28*BG28*(1+Справочники!$B$10),0)))</f>
        <v/>
      </c>
      <c r="BI28" s="92" t="str">
        <f aca="false">IF(OR(AU28="",BH28="",AU28=0),"",(AU28-BH28)/AU28)</f>
        <v/>
      </c>
      <c r="BJ28" s="81"/>
      <c r="BK28" s="83"/>
      <c r="BL28" s="43" t="str">
        <f aca="false">IFERROR(INDEX(ЗАКАЗЫ!$N$3:$N$500,MATCH($A28,ЗАКАЗЫ!$F$3:$F$500,0)),"")</f>
        <v/>
      </c>
      <c r="BM28" s="8" t="str">
        <f aca="false">IF(BL28="","",IFERROR(VLOOKUP(BL28,'ТН ВЭД'!$A$4:$C$40,3,0),""))</f>
        <v/>
      </c>
      <c r="BN28" s="7" t="str">
        <f aca="false">IF(COUNTIF(ЗАКАЗЫ!$F$3:$F$500,$A28)=0,"",SUMIF(ЗАКАЗЫ!$F$3:$F$500,$A28,ЗАКАЗЫ!$J$3:$J$500))</f>
        <v/>
      </c>
      <c r="BO28" s="7" t="str">
        <f aca="false">IF(BN28="","",SUMIF(ЗАКАЗЫ!$F$3:$F$500,$A28,ЗАКАЗЫ!$AL$3:$AL$500))</f>
        <v/>
      </c>
      <c r="BP28" s="7" t="str">
        <f aca="false">IF(BN28="","",BN28-BO28)</f>
        <v/>
      </c>
      <c r="BQ28" s="55" t="str">
        <f aca="false">IF(BN28="","",IF(BO28&gt;=BN28,"На складе",IF(BO28&gt;0,"Частично","Ждём")))</f>
        <v/>
      </c>
      <c r="BR28" s="43"/>
      <c r="BS28" s="47" t="str">
        <f aca="false">IF(BN28="","",IF(_xlfn.MAXIFS(ЗАКАЗЫ!$AK$3:$AK$500,ЗАКАЗЫ!$F$3:$F$500,$A28)=0,"",_xlfn.MAXIFS(ЗАКАЗЫ!$AK$3:$AK$500,ЗАКАЗЫ!$F$3:$F$500,$A28)))</f>
        <v/>
      </c>
    </row>
    <row r="29" customFormat="false" ht="15.75" hidden="false" customHeight="true" outlineLevel="0" collapsed="false">
      <c r="A29" s="80" t="s">
        <v>2223</v>
      </c>
      <c r="B29" s="81"/>
      <c r="C29" s="81"/>
      <c r="D29" s="81"/>
      <c r="E29" s="83"/>
      <c r="F29" s="81"/>
      <c r="G29" s="83"/>
      <c r="H29" s="83"/>
      <c r="I29" s="84" t="str">
        <f aca="false">IF(E29="","",A29&amp;"_1.jpg")</f>
        <v/>
      </c>
      <c r="J29" s="84" t="str">
        <f aca="false">IF(E29="","",A29&amp;"_2.jpg; "&amp;A29&amp;"_3.jpg")</f>
        <v/>
      </c>
      <c r="K29" s="84" t="str">
        <f aca="false">IF(E29="","",A29&amp;"_schema.jpg")</f>
        <v/>
      </c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 t="s">
        <v>96</v>
      </c>
      <c r="W29" s="81"/>
      <c r="X29" s="81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6" t="str">
        <f aca="false">IF(SUM(Y29:AJ29)=0,"",SUM(Y29:AJ29))</f>
        <v/>
      </c>
      <c r="AL29" s="84" t="str">
        <f aca="false">MID(IF(N(Y29)&gt;0,", "&amp;Y$2,"")&amp;IF(N(Z29)&gt;0,", "&amp;Z$2,"")&amp;IF(N(AA29)&gt;0,", "&amp;AA$2,"")&amp;IF(N(AB29)&gt;0,", "&amp;AB$2,"")&amp;IF(N(AC29)&gt;0,", "&amp;AC$2,"")&amp;IF(N(AD29)&gt;0,", "&amp;AD$2,"")&amp;IF(N(AE29)&gt;0,", "&amp;AE$2,"")&amp;IF(N(AF29)&gt;0,", "&amp;AF$2,"")&amp;IF(N(AG29)&gt;0,", "&amp;AG$2,"")&amp;IF(N(AH29)&gt;0,", "&amp;AH$2,"")&amp;IF(N(AI29)&gt;0,", "&amp;AI$2,"")&amp;IF(N(AJ29)&gt;0,", "&amp;AJ$2,""),3,999)</f>
        <v/>
      </c>
      <c r="AM29" s="87" t="str">
        <f aca="false">IF(E29="","",MID(IF(N(Y29)&gt;0,", "&amp;A29&amp;"-"&amp;Y$2,"")&amp;IF(N(Z29)&gt;0,", "&amp;A29&amp;"-"&amp;Z$2,"")&amp;IF(N(AA29)&gt;0,", "&amp;A29&amp;"-"&amp;AA$2,"")&amp;IF(N(AB29)&gt;0,", "&amp;A29&amp;"-"&amp;AB$2,"")&amp;IF(N(AC29)&gt;0,", "&amp;A29&amp;"-"&amp;AC$2,"")&amp;IF(N(AD29)&gt;0,", "&amp;A29&amp;"-"&amp;AD$2,"")&amp;IF(N(AE29)&gt;0,", "&amp;A29&amp;"-"&amp;AE$2,"")&amp;IF(N(AF29)&gt;0,", "&amp;A29&amp;"-"&amp;AF$2,"")&amp;IF(N(AG29)&gt;0,", "&amp;A29&amp;"-"&amp;AG$2,"")&amp;IF(N(AH29)&gt;0,", "&amp;A29&amp;"-"&amp;AH$2,"")&amp;IF(N(AI29)&gt;0,", "&amp;A29&amp;"-"&amp;AI$2,"")&amp;IF(N(AJ29)&gt;0,", "&amp;A29&amp;"-"&amp;AJ$2,""),3,999))</f>
        <v/>
      </c>
      <c r="AN29" s="81"/>
      <c r="AO29" s="88"/>
      <c r="AP29" s="89" t="str">
        <f aca="false">IF(AO29="","",ROUND(AO29/(1+Справочники!$B$13),2))</f>
        <v/>
      </c>
      <c r="AQ29" s="90" t="str">
        <f aca="false" t="array" ref="AQ29:AQ29">IF(AP29="","",AP29*INDEX(Справочники!$B$4:$B$7,MATCH("RUB",Справочники!$A$4:$A$7,0)))</f>
        <v/>
      </c>
      <c r="AR29" s="90" t="str">
        <f aca="false">IF(AQ29="","",ROUND(AQ29*(1+Справочники!$B$12),0))</f>
        <v/>
      </c>
      <c r="AS29" s="90" t="str">
        <f aca="false">IF(AR29="","",ROUND(AR29*(1-Справочники!$B$11),0))</f>
        <v/>
      </c>
      <c r="AT29" s="88"/>
      <c r="AU29" s="90" t="str">
        <f aca="false">IF(AT29="","",ROUND(AT29/(1+Справочники!$B$12),0))</f>
        <v/>
      </c>
      <c r="AV29" s="90" t="str">
        <f aca="false">IF(AT29="","",ROUND(AT29*(1-Справочники!$B$15),0))</f>
        <v/>
      </c>
      <c r="AW29" s="90" t="str">
        <f aca="false">IF(AT29="","",ROUND(AT29*(1-Справочники!$B$16),0))</f>
        <v/>
      </c>
      <c r="AX29" s="90" t="str">
        <f aca="false">IF(AT29="","",ROUND(AT29*(1-Справочники!$B$17),0))</f>
        <v/>
      </c>
      <c r="AY29" s="90" t="str">
        <f aca="false">IF(AT29="","",ROUND(AT29*(1-Справочники!$B$18),0))</f>
        <v/>
      </c>
      <c r="AZ29" s="90" t="str">
        <f aca="false">IF(AT29="","",ROUND(AT29*(1-Справочники!$B$19),0))</f>
        <v/>
      </c>
      <c r="BA29" s="81"/>
      <c r="BB29" s="81"/>
      <c r="BC29" s="81"/>
      <c r="BD29" s="81"/>
      <c r="BE29" s="91"/>
      <c r="BF29" s="81" t="s">
        <v>103</v>
      </c>
      <c r="BG29" s="89" t="n">
        <f aca="false" t="array" ref="BG29:BG29">IF(BF29="","",IFERROR(INDEX(Справочники!$B$4:$B$7,MATCH(BF29,Справочники!$A$4:$A$7,0)),""))</f>
        <v>68.5</v>
      </c>
      <c r="BH29" s="90" t="str">
        <f aca="false">IF(N(BN29)&gt;0,ROUND(SUMIF(ЗАКАЗЫ!$F$3:$F$500,$A29,ЗАКАЗЫ!$Y$3:$Y$500)/BN29,0),IF(OR(BE29="",BG29=""),"",ROUND(BE29*BG29*(1+Справочники!$B$10),0)))</f>
        <v/>
      </c>
      <c r="BI29" s="92" t="str">
        <f aca="false">IF(OR(AU29="",BH29="",AU29=0),"",(AU29-BH29)/AU29)</f>
        <v/>
      </c>
      <c r="BJ29" s="81"/>
      <c r="BK29" s="83"/>
      <c r="BL29" s="43" t="str">
        <f aca="false">IFERROR(INDEX(ЗАКАЗЫ!$N$3:$N$500,MATCH($A29,ЗАКАЗЫ!$F$3:$F$500,0)),"")</f>
        <v/>
      </c>
      <c r="BM29" s="8" t="str">
        <f aca="false">IF(BL29="","",IFERROR(VLOOKUP(BL29,'ТН ВЭД'!$A$4:$C$40,3,0),""))</f>
        <v/>
      </c>
      <c r="BN29" s="7" t="str">
        <f aca="false">IF(COUNTIF(ЗАКАЗЫ!$F$3:$F$500,$A29)=0,"",SUMIF(ЗАКАЗЫ!$F$3:$F$500,$A29,ЗАКАЗЫ!$J$3:$J$500))</f>
        <v/>
      </c>
      <c r="BO29" s="7" t="str">
        <f aca="false">IF(BN29="","",SUMIF(ЗАКАЗЫ!$F$3:$F$500,$A29,ЗАКАЗЫ!$AL$3:$AL$500))</f>
        <v/>
      </c>
      <c r="BP29" s="7" t="str">
        <f aca="false">IF(BN29="","",BN29-BO29)</f>
        <v/>
      </c>
      <c r="BQ29" s="55" t="str">
        <f aca="false">IF(BN29="","",IF(BO29&gt;=BN29,"На складе",IF(BO29&gt;0,"Частично","Ждём")))</f>
        <v/>
      </c>
      <c r="BR29" s="43"/>
      <c r="BS29" s="47" t="str">
        <f aca="false">IF(BN29="","",IF(_xlfn.MAXIFS(ЗАКАЗЫ!$AK$3:$AK$500,ЗАКАЗЫ!$F$3:$F$500,$A29)=0,"",_xlfn.MAXIFS(ЗАКАЗЫ!$AK$3:$AK$500,ЗАКАЗЫ!$F$3:$F$500,$A29)))</f>
        <v/>
      </c>
    </row>
    <row r="30" customFormat="false" ht="15.75" hidden="false" customHeight="true" outlineLevel="0" collapsed="false">
      <c r="A30" s="80" t="s">
        <v>2224</v>
      </c>
      <c r="B30" s="81"/>
      <c r="C30" s="81"/>
      <c r="D30" s="81"/>
      <c r="E30" s="83"/>
      <c r="F30" s="81"/>
      <c r="G30" s="83"/>
      <c r="H30" s="83"/>
      <c r="I30" s="84" t="str">
        <f aca="false">IF(E30="","",A30&amp;"_1.jpg")</f>
        <v/>
      </c>
      <c r="J30" s="84" t="str">
        <f aca="false">IF(E30="","",A30&amp;"_2.jpg; "&amp;A30&amp;"_3.jpg")</f>
        <v/>
      </c>
      <c r="K30" s="84" t="str">
        <f aca="false">IF(E30="","",A30&amp;"_schema.jpg")</f>
        <v/>
      </c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 t="s">
        <v>96</v>
      </c>
      <c r="W30" s="81"/>
      <c r="X30" s="81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6" t="str">
        <f aca="false">IF(SUM(Y30:AJ30)=0,"",SUM(Y30:AJ30))</f>
        <v/>
      </c>
      <c r="AL30" s="84" t="str">
        <f aca="false">MID(IF(N(Y30)&gt;0,", "&amp;Y$2,"")&amp;IF(N(Z30)&gt;0,", "&amp;Z$2,"")&amp;IF(N(AA30)&gt;0,", "&amp;AA$2,"")&amp;IF(N(AB30)&gt;0,", "&amp;AB$2,"")&amp;IF(N(AC30)&gt;0,", "&amp;AC$2,"")&amp;IF(N(AD30)&gt;0,", "&amp;AD$2,"")&amp;IF(N(AE30)&gt;0,", "&amp;AE$2,"")&amp;IF(N(AF30)&gt;0,", "&amp;AF$2,"")&amp;IF(N(AG30)&gt;0,", "&amp;AG$2,"")&amp;IF(N(AH30)&gt;0,", "&amp;AH$2,"")&amp;IF(N(AI30)&gt;0,", "&amp;AI$2,"")&amp;IF(N(AJ30)&gt;0,", "&amp;AJ$2,""),3,999)</f>
        <v/>
      </c>
      <c r="AM30" s="87" t="str">
        <f aca="false">IF(E30="","",MID(IF(N(Y30)&gt;0,", "&amp;A30&amp;"-"&amp;Y$2,"")&amp;IF(N(Z30)&gt;0,", "&amp;A30&amp;"-"&amp;Z$2,"")&amp;IF(N(AA30)&gt;0,", "&amp;A30&amp;"-"&amp;AA$2,"")&amp;IF(N(AB30)&gt;0,", "&amp;A30&amp;"-"&amp;AB$2,"")&amp;IF(N(AC30)&gt;0,", "&amp;A30&amp;"-"&amp;AC$2,"")&amp;IF(N(AD30)&gt;0,", "&amp;A30&amp;"-"&amp;AD$2,"")&amp;IF(N(AE30)&gt;0,", "&amp;A30&amp;"-"&amp;AE$2,"")&amp;IF(N(AF30)&gt;0,", "&amp;A30&amp;"-"&amp;AF$2,"")&amp;IF(N(AG30)&gt;0,", "&amp;A30&amp;"-"&amp;AG$2,"")&amp;IF(N(AH30)&gt;0,", "&amp;A30&amp;"-"&amp;AH$2,"")&amp;IF(N(AI30)&gt;0,", "&amp;A30&amp;"-"&amp;AI$2,"")&amp;IF(N(AJ30)&gt;0,", "&amp;A30&amp;"-"&amp;AJ$2,""),3,999))</f>
        <v/>
      </c>
      <c r="AN30" s="81"/>
      <c r="AO30" s="88"/>
      <c r="AP30" s="89" t="str">
        <f aca="false">IF(AO30="","",ROUND(AO30/(1+Справочники!$B$13),2))</f>
        <v/>
      </c>
      <c r="AQ30" s="90" t="str">
        <f aca="false" t="array" ref="AQ30:AQ30">IF(AP30="","",AP30*INDEX(Справочники!$B$4:$B$7,MATCH("RUB",Справочники!$A$4:$A$7,0)))</f>
        <v/>
      </c>
      <c r="AR30" s="90" t="str">
        <f aca="false">IF(AQ30="","",ROUND(AQ30*(1+Справочники!$B$12),0))</f>
        <v/>
      </c>
      <c r="AS30" s="90" t="str">
        <f aca="false">IF(AR30="","",ROUND(AR30*(1-Справочники!$B$11),0))</f>
        <v/>
      </c>
      <c r="AT30" s="88"/>
      <c r="AU30" s="90" t="str">
        <f aca="false">IF(AT30="","",ROUND(AT30/(1+Справочники!$B$12),0))</f>
        <v/>
      </c>
      <c r="AV30" s="90" t="str">
        <f aca="false">IF(AT30="","",ROUND(AT30*(1-Справочники!$B$15),0))</f>
        <v/>
      </c>
      <c r="AW30" s="90" t="str">
        <f aca="false">IF(AT30="","",ROUND(AT30*(1-Справочники!$B$16),0))</f>
        <v/>
      </c>
      <c r="AX30" s="90" t="str">
        <f aca="false">IF(AT30="","",ROUND(AT30*(1-Справочники!$B$17),0))</f>
        <v/>
      </c>
      <c r="AY30" s="90" t="str">
        <f aca="false">IF(AT30="","",ROUND(AT30*(1-Справочники!$B$18),0))</f>
        <v/>
      </c>
      <c r="AZ30" s="90" t="str">
        <f aca="false">IF(AT30="","",ROUND(AT30*(1-Справочники!$B$19),0))</f>
        <v/>
      </c>
      <c r="BA30" s="81"/>
      <c r="BB30" s="81"/>
      <c r="BC30" s="81"/>
      <c r="BD30" s="81"/>
      <c r="BE30" s="91"/>
      <c r="BF30" s="81" t="s">
        <v>103</v>
      </c>
      <c r="BG30" s="89" t="n">
        <f aca="false" t="array" ref="BG30:BG30">IF(BF30="","",IFERROR(INDEX(Справочники!$B$4:$B$7,MATCH(BF30,Справочники!$A$4:$A$7,0)),""))</f>
        <v>68.5</v>
      </c>
      <c r="BH30" s="90" t="str">
        <f aca="false">IF(N(BN30)&gt;0,ROUND(SUMIF(ЗАКАЗЫ!$F$3:$F$500,$A30,ЗАКАЗЫ!$Y$3:$Y$500)/BN30,0),IF(OR(BE30="",BG30=""),"",ROUND(BE30*BG30*(1+Справочники!$B$10),0)))</f>
        <v/>
      </c>
      <c r="BI30" s="92" t="str">
        <f aca="false">IF(OR(AU30="",BH30="",AU30=0),"",(AU30-BH30)/AU30)</f>
        <v/>
      </c>
      <c r="BJ30" s="81"/>
      <c r="BK30" s="83"/>
      <c r="BL30" s="43" t="str">
        <f aca="false">IFERROR(INDEX(ЗАКАЗЫ!$N$3:$N$500,MATCH($A30,ЗАКАЗЫ!$F$3:$F$500,0)),"")</f>
        <v/>
      </c>
      <c r="BM30" s="8" t="str">
        <f aca="false">IF(BL30="","",IFERROR(VLOOKUP(BL30,'ТН ВЭД'!$A$4:$C$40,3,0),""))</f>
        <v/>
      </c>
      <c r="BN30" s="7" t="str">
        <f aca="false">IF(COUNTIF(ЗАКАЗЫ!$F$3:$F$500,$A30)=0,"",SUMIF(ЗАКАЗЫ!$F$3:$F$500,$A30,ЗАКАЗЫ!$J$3:$J$500))</f>
        <v/>
      </c>
      <c r="BO30" s="7" t="str">
        <f aca="false">IF(BN30="","",SUMIF(ЗАКАЗЫ!$F$3:$F$500,$A30,ЗАКАЗЫ!$AL$3:$AL$500))</f>
        <v/>
      </c>
      <c r="BP30" s="7" t="str">
        <f aca="false">IF(BN30="","",BN30-BO30)</f>
        <v/>
      </c>
      <c r="BQ30" s="55" t="str">
        <f aca="false">IF(BN30="","",IF(BO30&gt;=BN30,"На складе",IF(BO30&gt;0,"Частично","Ждём")))</f>
        <v/>
      </c>
      <c r="BR30" s="43"/>
      <c r="BS30" s="47" t="str">
        <f aca="false">IF(BN30="","",IF(_xlfn.MAXIFS(ЗАКАЗЫ!$AK$3:$AK$500,ЗАКАЗЫ!$F$3:$F$500,$A30)=0,"",_xlfn.MAXIFS(ЗАКАЗЫ!$AK$3:$AK$500,ЗАКАЗЫ!$F$3:$F$500,$A30)))</f>
        <v/>
      </c>
    </row>
    <row r="31" customFormat="false" ht="15.75" hidden="false" customHeight="true" outlineLevel="0" collapsed="false">
      <c r="A31" s="80" t="s">
        <v>2225</v>
      </c>
      <c r="B31" s="81"/>
      <c r="C31" s="81"/>
      <c r="D31" s="81"/>
      <c r="E31" s="83"/>
      <c r="F31" s="81"/>
      <c r="G31" s="83"/>
      <c r="H31" s="83"/>
      <c r="I31" s="84" t="str">
        <f aca="false">IF(E31="","",A31&amp;"_1.jpg")</f>
        <v/>
      </c>
      <c r="J31" s="84" t="str">
        <f aca="false">IF(E31="","",A31&amp;"_2.jpg; "&amp;A31&amp;"_3.jpg")</f>
        <v/>
      </c>
      <c r="K31" s="84" t="str">
        <f aca="false">IF(E31="","",A31&amp;"_schema.jpg")</f>
        <v/>
      </c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 t="s">
        <v>96</v>
      </c>
      <c r="W31" s="81"/>
      <c r="X31" s="81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6" t="str">
        <f aca="false">IF(SUM(Y31:AJ31)=0,"",SUM(Y31:AJ31))</f>
        <v/>
      </c>
      <c r="AL31" s="84" t="str">
        <f aca="false">MID(IF(N(Y31)&gt;0,", "&amp;Y$2,"")&amp;IF(N(Z31)&gt;0,", "&amp;Z$2,"")&amp;IF(N(AA31)&gt;0,", "&amp;AA$2,"")&amp;IF(N(AB31)&gt;0,", "&amp;AB$2,"")&amp;IF(N(AC31)&gt;0,", "&amp;AC$2,"")&amp;IF(N(AD31)&gt;0,", "&amp;AD$2,"")&amp;IF(N(AE31)&gt;0,", "&amp;AE$2,"")&amp;IF(N(AF31)&gt;0,", "&amp;AF$2,"")&amp;IF(N(AG31)&gt;0,", "&amp;AG$2,"")&amp;IF(N(AH31)&gt;0,", "&amp;AH$2,"")&amp;IF(N(AI31)&gt;0,", "&amp;AI$2,"")&amp;IF(N(AJ31)&gt;0,", "&amp;AJ$2,""),3,999)</f>
        <v/>
      </c>
      <c r="AM31" s="87" t="str">
        <f aca="false">IF(E31="","",MID(IF(N(Y31)&gt;0,", "&amp;A31&amp;"-"&amp;Y$2,"")&amp;IF(N(Z31)&gt;0,", "&amp;A31&amp;"-"&amp;Z$2,"")&amp;IF(N(AA31)&gt;0,", "&amp;A31&amp;"-"&amp;AA$2,"")&amp;IF(N(AB31)&gt;0,", "&amp;A31&amp;"-"&amp;AB$2,"")&amp;IF(N(AC31)&gt;0,", "&amp;A31&amp;"-"&amp;AC$2,"")&amp;IF(N(AD31)&gt;0,", "&amp;A31&amp;"-"&amp;AD$2,"")&amp;IF(N(AE31)&gt;0,", "&amp;A31&amp;"-"&amp;AE$2,"")&amp;IF(N(AF31)&gt;0,", "&amp;A31&amp;"-"&amp;AF$2,"")&amp;IF(N(AG31)&gt;0,", "&amp;A31&amp;"-"&amp;AG$2,"")&amp;IF(N(AH31)&gt;0,", "&amp;A31&amp;"-"&amp;AH$2,"")&amp;IF(N(AI31)&gt;0,", "&amp;A31&amp;"-"&amp;AI$2,"")&amp;IF(N(AJ31)&gt;0,", "&amp;A31&amp;"-"&amp;AJ$2,""),3,999))</f>
        <v/>
      </c>
      <c r="AN31" s="81"/>
      <c r="AO31" s="88"/>
      <c r="AP31" s="89" t="str">
        <f aca="false">IF(AO31="","",ROUND(AO31/(1+Справочники!$B$13),2))</f>
        <v/>
      </c>
      <c r="AQ31" s="90" t="str">
        <f aca="false" t="array" ref="AQ31:AQ31">IF(AP31="","",AP31*INDEX(Справочники!$B$4:$B$7,MATCH("RUB",Справочники!$A$4:$A$7,0)))</f>
        <v/>
      </c>
      <c r="AR31" s="90" t="str">
        <f aca="false">IF(AQ31="","",ROUND(AQ31*(1+Справочники!$B$12),0))</f>
        <v/>
      </c>
      <c r="AS31" s="90" t="str">
        <f aca="false">IF(AR31="","",ROUND(AR31*(1-Справочники!$B$11),0))</f>
        <v/>
      </c>
      <c r="AT31" s="88"/>
      <c r="AU31" s="90" t="str">
        <f aca="false">IF(AT31="","",ROUND(AT31/(1+Справочники!$B$12),0))</f>
        <v/>
      </c>
      <c r="AV31" s="90" t="str">
        <f aca="false">IF(AT31="","",ROUND(AT31*(1-Справочники!$B$15),0))</f>
        <v/>
      </c>
      <c r="AW31" s="90" t="str">
        <f aca="false">IF(AT31="","",ROUND(AT31*(1-Справочники!$B$16),0))</f>
        <v/>
      </c>
      <c r="AX31" s="90" t="str">
        <f aca="false">IF(AT31="","",ROUND(AT31*(1-Справочники!$B$17),0))</f>
        <v/>
      </c>
      <c r="AY31" s="90" t="str">
        <f aca="false">IF(AT31="","",ROUND(AT31*(1-Справочники!$B$18),0))</f>
        <v/>
      </c>
      <c r="AZ31" s="90" t="str">
        <f aca="false">IF(AT31="","",ROUND(AT31*(1-Справочники!$B$19),0))</f>
        <v/>
      </c>
      <c r="BA31" s="81"/>
      <c r="BB31" s="81"/>
      <c r="BC31" s="81"/>
      <c r="BD31" s="81"/>
      <c r="BE31" s="91"/>
      <c r="BF31" s="81" t="s">
        <v>103</v>
      </c>
      <c r="BG31" s="89" t="n">
        <f aca="false" t="array" ref="BG31:BG31">IF(BF31="","",IFERROR(INDEX(Справочники!$B$4:$B$7,MATCH(BF31,Справочники!$A$4:$A$7,0)),""))</f>
        <v>68.5</v>
      </c>
      <c r="BH31" s="90" t="str">
        <f aca="false">IF(N(BN31)&gt;0,ROUND(SUMIF(ЗАКАЗЫ!$F$3:$F$500,$A31,ЗАКАЗЫ!$Y$3:$Y$500)/BN31,0),IF(OR(BE31="",BG31=""),"",ROUND(BE31*BG31*(1+Справочники!$B$10),0)))</f>
        <v/>
      </c>
      <c r="BI31" s="92" t="str">
        <f aca="false">IF(OR(AU31="",BH31="",AU31=0),"",(AU31-BH31)/AU31)</f>
        <v/>
      </c>
      <c r="BJ31" s="81"/>
      <c r="BK31" s="83"/>
      <c r="BL31" s="43" t="str">
        <f aca="false">IFERROR(INDEX(ЗАКАЗЫ!$N$3:$N$500,MATCH($A31,ЗАКАЗЫ!$F$3:$F$500,0)),"")</f>
        <v/>
      </c>
      <c r="BM31" s="8" t="str">
        <f aca="false">IF(BL31="","",IFERROR(VLOOKUP(BL31,'ТН ВЭД'!$A$4:$C$40,3,0),""))</f>
        <v/>
      </c>
      <c r="BN31" s="7" t="str">
        <f aca="false">IF(COUNTIF(ЗАКАЗЫ!$F$3:$F$500,$A31)=0,"",SUMIF(ЗАКАЗЫ!$F$3:$F$500,$A31,ЗАКАЗЫ!$J$3:$J$500))</f>
        <v/>
      </c>
      <c r="BO31" s="7" t="str">
        <f aca="false">IF(BN31="","",SUMIF(ЗАКАЗЫ!$F$3:$F$500,$A31,ЗАКАЗЫ!$AL$3:$AL$500))</f>
        <v/>
      </c>
      <c r="BP31" s="7" t="str">
        <f aca="false">IF(BN31="","",BN31-BO31)</f>
        <v/>
      </c>
      <c r="BQ31" s="55" t="str">
        <f aca="false">IF(BN31="","",IF(BO31&gt;=BN31,"На складе",IF(BO31&gt;0,"Частично","Ждём")))</f>
        <v/>
      </c>
      <c r="BR31" s="43"/>
      <c r="BS31" s="47" t="str">
        <f aca="false">IF(BN31="","",IF(_xlfn.MAXIFS(ЗАКАЗЫ!$AK$3:$AK$500,ЗАКАЗЫ!$F$3:$F$500,$A31)=0,"",_xlfn.MAXIFS(ЗАКАЗЫ!$AK$3:$AK$500,ЗАКАЗЫ!$F$3:$F$500,$A31)))</f>
        <v/>
      </c>
    </row>
    <row r="32" customFormat="false" ht="15.75" hidden="false" customHeight="true" outlineLevel="0" collapsed="false">
      <c r="A32" s="80" t="s">
        <v>2226</v>
      </c>
      <c r="B32" s="81"/>
      <c r="C32" s="81"/>
      <c r="D32" s="81"/>
      <c r="E32" s="83"/>
      <c r="F32" s="81"/>
      <c r="G32" s="83"/>
      <c r="H32" s="83"/>
      <c r="I32" s="84" t="str">
        <f aca="false">IF(E32="","",A32&amp;"_1.jpg")</f>
        <v/>
      </c>
      <c r="J32" s="84" t="str">
        <f aca="false">IF(E32="","",A32&amp;"_2.jpg; "&amp;A32&amp;"_3.jpg")</f>
        <v/>
      </c>
      <c r="K32" s="84" t="str">
        <f aca="false">IF(E32="","",A32&amp;"_schema.jpg")</f>
        <v/>
      </c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 t="s">
        <v>96</v>
      </c>
      <c r="W32" s="81"/>
      <c r="X32" s="81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6" t="str">
        <f aca="false">IF(SUM(Y32:AJ32)=0,"",SUM(Y32:AJ32))</f>
        <v/>
      </c>
      <c r="AL32" s="84" t="str">
        <f aca="false">MID(IF(N(Y32)&gt;0,", "&amp;Y$2,"")&amp;IF(N(Z32)&gt;0,", "&amp;Z$2,"")&amp;IF(N(AA32)&gt;0,", "&amp;AA$2,"")&amp;IF(N(AB32)&gt;0,", "&amp;AB$2,"")&amp;IF(N(AC32)&gt;0,", "&amp;AC$2,"")&amp;IF(N(AD32)&gt;0,", "&amp;AD$2,"")&amp;IF(N(AE32)&gt;0,", "&amp;AE$2,"")&amp;IF(N(AF32)&gt;0,", "&amp;AF$2,"")&amp;IF(N(AG32)&gt;0,", "&amp;AG$2,"")&amp;IF(N(AH32)&gt;0,", "&amp;AH$2,"")&amp;IF(N(AI32)&gt;0,", "&amp;AI$2,"")&amp;IF(N(AJ32)&gt;0,", "&amp;AJ$2,""),3,999)</f>
        <v/>
      </c>
      <c r="AM32" s="87" t="str">
        <f aca="false">IF(E32="","",MID(IF(N(Y32)&gt;0,", "&amp;A32&amp;"-"&amp;Y$2,"")&amp;IF(N(Z32)&gt;0,", "&amp;A32&amp;"-"&amp;Z$2,"")&amp;IF(N(AA32)&gt;0,", "&amp;A32&amp;"-"&amp;AA$2,"")&amp;IF(N(AB32)&gt;0,", "&amp;A32&amp;"-"&amp;AB$2,"")&amp;IF(N(AC32)&gt;0,", "&amp;A32&amp;"-"&amp;AC$2,"")&amp;IF(N(AD32)&gt;0,", "&amp;A32&amp;"-"&amp;AD$2,"")&amp;IF(N(AE32)&gt;0,", "&amp;A32&amp;"-"&amp;AE$2,"")&amp;IF(N(AF32)&gt;0,", "&amp;A32&amp;"-"&amp;AF$2,"")&amp;IF(N(AG32)&gt;0,", "&amp;A32&amp;"-"&amp;AG$2,"")&amp;IF(N(AH32)&gt;0,", "&amp;A32&amp;"-"&amp;AH$2,"")&amp;IF(N(AI32)&gt;0,", "&amp;A32&amp;"-"&amp;AI$2,"")&amp;IF(N(AJ32)&gt;0,", "&amp;A32&amp;"-"&amp;AJ$2,""),3,999))</f>
        <v/>
      </c>
      <c r="AN32" s="81"/>
      <c r="AO32" s="88"/>
      <c r="AP32" s="89" t="str">
        <f aca="false">IF(AO32="","",ROUND(AO32/(1+Справочники!$B$13),2))</f>
        <v/>
      </c>
      <c r="AQ32" s="90" t="str">
        <f aca="false" t="array" ref="AQ32:AQ32">IF(AP32="","",AP32*INDEX(Справочники!$B$4:$B$7,MATCH("RUB",Справочники!$A$4:$A$7,0)))</f>
        <v/>
      </c>
      <c r="AR32" s="90" t="str">
        <f aca="false">IF(AQ32="","",ROUND(AQ32*(1+Справочники!$B$12),0))</f>
        <v/>
      </c>
      <c r="AS32" s="90" t="str">
        <f aca="false">IF(AR32="","",ROUND(AR32*(1-Справочники!$B$11),0))</f>
        <v/>
      </c>
      <c r="AT32" s="88"/>
      <c r="AU32" s="90" t="str">
        <f aca="false">IF(AT32="","",ROUND(AT32/(1+Справочники!$B$12),0))</f>
        <v/>
      </c>
      <c r="AV32" s="90" t="str">
        <f aca="false">IF(AT32="","",ROUND(AT32*(1-Справочники!$B$15),0))</f>
        <v/>
      </c>
      <c r="AW32" s="90" t="str">
        <f aca="false">IF(AT32="","",ROUND(AT32*(1-Справочники!$B$16),0))</f>
        <v/>
      </c>
      <c r="AX32" s="90" t="str">
        <f aca="false">IF(AT32="","",ROUND(AT32*(1-Справочники!$B$17),0))</f>
        <v/>
      </c>
      <c r="AY32" s="90" t="str">
        <f aca="false">IF(AT32="","",ROUND(AT32*(1-Справочники!$B$18),0))</f>
        <v/>
      </c>
      <c r="AZ32" s="90" t="str">
        <f aca="false">IF(AT32="","",ROUND(AT32*(1-Справочники!$B$19),0))</f>
        <v/>
      </c>
      <c r="BA32" s="81"/>
      <c r="BB32" s="81"/>
      <c r="BC32" s="81"/>
      <c r="BD32" s="81"/>
      <c r="BE32" s="91"/>
      <c r="BF32" s="81" t="s">
        <v>103</v>
      </c>
      <c r="BG32" s="89" t="n">
        <f aca="false" t="array" ref="BG32:BG32">IF(BF32="","",IFERROR(INDEX(Справочники!$B$4:$B$7,MATCH(BF32,Справочники!$A$4:$A$7,0)),""))</f>
        <v>68.5</v>
      </c>
      <c r="BH32" s="90" t="str">
        <f aca="false">IF(N(BN32)&gt;0,ROUND(SUMIF(ЗАКАЗЫ!$F$3:$F$500,$A32,ЗАКАЗЫ!$Y$3:$Y$500)/BN32,0),IF(OR(BE32="",BG32=""),"",ROUND(BE32*BG32*(1+Справочники!$B$10),0)))</f>
        <v/>
      </c>
      <c r="BI32" s="92" t="str">
        <f aca="false">IF(OR(AU32="",BH32="",AU32=0),"",(AU32-BH32)/AU32)</f>
        <v/>
      </c>
      <c r="BJ32" s="81"/>
      <c r="BK32" s="83"/>
      <c r="BL32" s="43" t="str">
        <f aca="false">IFERROR(INDEX(ЗАКАЗЫ!$N$3:$N$500,MATCH($A32,ЗАКАЗЫ!$F$3:$F$500,0)),"")</f>
        <v/>
      </c>
      <c r="BM32" s="8" t="str">
        <f aca="false">IF(BL32="","",IFERROR(VLOOKUP(BL32,'ТН ВЭД'!$A$4:$C$40,3,0),""))</f>
        <v/>
      </c>
      <c r="BN32" s="7" t="str">
        <f aca="false">IF(COUNTIF(ЗАКАЗЫ!$F$3:$F$500,$A32)=0,"",SUMIF(ЗАКАЗЫ!$F$3:$F$500,$A32,ЗАКАЗЫ!$J$3:$J$500))</f>
        <v/>
      </c>
      <c r="BO32" s="7" t="str">
        <f aca="false">IF(BN32="","",SUMIF(ЗАКАЗЫ!$F$3:$F$500,$A32,ЗАКАЗЫ!$AL$3:$AL$500))</f>
        <v/>
      </c>
      <c r="BP32" s="7" t="str">
        <f aca="false">IF(BN32="","",BN32-BO32)</f>
        <v/>
      </c>
      <c r="BQ32" s="55" t="str">
        <f aca="false">IF(BN32="","",IF(BO32&gt;=BN32,"На складе",IF(BO32&gt;0,"Частично","Ждём")))</f>
        <v/>
      </c>
      <c r="BR32" s="43"/>
      <c r="BS32" s="47" t="str">
        <f aca="false">IF(BN32="","",IF(_xlfn.MAXIFS(ЗАКАЗЫ!$AK$3:$AK$500,ЗАКАЗЫ!$F$3:$F$500,$A32)=0,"",_xlfn.MAXIFS(ЗАКАЗЫ!$AK$3:$AK$500,ЗАКАЗЫ!$F$3:$F$500,$A32)))</f>
        <v/>
      </c>
    </row>
    <row r="33" customFormat="false" ht="15.75" hidden="false" customHeight="true" outlineLevel="0" collapsed="false">
      <c r="A33" s="80" t="s">
        <v>2227</v>
      </c>
      <c r="B33" s="81"/>
      <c r="C33" s="81"/>
      <c r="D33" s="81"/>
      <c r="E33" s="83"/>
      <c r="F33" s="81"/>
      <c r="G33" s="83"/>
      <c r="H33" s="83"/>
      <c r="I33" s="84" t="str">
        <f aca="false">IF(E33="","",A33&amp;"_1.jpg")</f>
        <v/>
      </c>
      <c r="J33" s="84" t="str">
        <f aca="false">IF(E33="","",A33&amp;"_2.jpg; "&amp;A33&amp;"_3.jpg")</f>
        <v/>
      </c>
      <c r="K33" s="84" t="str">
        <f aca="false">IF(E33="","",A33&amp;"_schema.jpg")</f>
        <v/>
      </c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 t="s">
        <v>96</v>
      </c>
      <c r="W33" s="81"/>
      <c r="X33" s="81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6" t="str">
        <f aca="false">IF(SUM(Y33:AJ33)=0,"",SUM(Y33:AJ33))</f>
        <v/>
      </c>
      <c r="AL33" s="84" t="str">
        <f aca="false">MID(IF(N(Y33)&gt;0,", "&amp;Y$2,"")&amp;IF(N(Z33)&gt;0,", "&amp;Z$2,"")&amp;IF(N(AA33)&gt;0,", "&amp;AA$2,"")&amp;IF(N(AB33)&gt;0,", "&amp;AB$2,"")&amp;IF(N(AC33)&gt;0,", "&amp;AC$2,"")&amp;IF(N(AD33)&gt;0,", "&amp;AD$2,"")&amp;IF(N(AE33)&gt;0,", "&amp;AE$2,"")&amp;IF(N(AF33)&gt;0,", "&amp;AF$2,"")&amp;IF(N(AG33)&gt;0,", "&amp;AG$2,"")&amp;IF(N(AH33)&gt;0,", "&amp;AH$2,"")&amp;IF(N(AI33)&gt;0,", "&amp;AI$2,"")&amp;IF(N(AJ33)&gt;0,", "&amp;AJ$2,""),3,999)</f>
        <v/>
      </c>
      <c r="AM33" s="87" t="str">
        <f aca="false">IF(E33="","",MID(IF(N(Y33)&gt;0,", "&amp;A33&amp;"-"&amp;Y$2,"")&amp;IF(N(Z33)&gt;0,", "&amp;A33&amp;"-"&amp;Z$2,"")&amp;IF(N(AA33)&gt;0,", "&amp;A33&amp;"-"&amp;AA$2,"")&amp;IF(N(AB33)&gt;0,", "&amp;A33&amp;"-"&amp;AB$2,"")&amp;IF(N(AC33)&gt;0,", "&amp;A33&amp;"-"&amp;AC$2,"")&amp;IF(N(AD33)&gt;0,", "&amp;A33&amp;"-"&amp;AD$2,"")&amp;IF(N(AE33)&gt;0,", "&amp;A33&amp;"-"&amp;AE$2,"")&amp;IF(N(AF33)&gt;0,", "&amp;A33&amp;"-"&amp;AF$2,"")&amp;IF(N(AG33)&gt;0,", "&amp;A33&amp;"-"&amp;AG$2,"")&amp;IF(N(AH33)&gt;0,", "&amp;A33&amp;"-"&amp;AH$2,"")&amp;IF(N(AI33)&gt;0,", "&amp;A33&amp;"-"&amp;AI$2,"")&amp;IF(N(AJ33)&gt;0,", "&amp;A33&amp;"-"&amp;AJ$2,""),3,999))</f>
        <v/>
      </c>
      <c r="AN33" s="81"/>
      <c r="AO33" s="88"/>
      <c r="AP33" s="89" t="str">
        <f aca="false">IF(AO33="","",ROUND(AO33/(1+Справочники!$B$13),2))</f>
        <v/>
      </c>
      <c r="AQ33" s="90" t="str">
        <f aca="false" t="array" ref="AQ33:AQ33">IF(AP33="","",AP33*INDEX(Справочники!$B$4:$B$7,MATCH("RUB",Справочники!$A$4:$A$7,0)))</f>
        <v/>
      </c>
      <c r="AR33" s="90" t="str">
        <f aca="false">IF(AQ33="","",ROUND(AQ33*(1+Справочники!$B$12),0))</f>
        <v/>
      </c>
      <c r="AS33" s="90" t="str">
        <f aca="false">IF(AR33="","",ROUND(AR33*(1-Справочники!$B$11),0))</f>
        <v/>
      </c>
      <c r="AT33" s="88"/>
      <c r="AU33" s="90" t="str">
        <f aca="false">IF(AT33="","",ROUND(AT33/(1+Справочники!$B$12),0))</f>
        <v/>
      </c>
      <c r="AV33" s="90" t="str">
        <f aca="false">IF(AT33="","",ROUND(AT33*(1-Справочники!$B$15),0))</f>
        <v/>
      </c>
      <c r="AW33" s="90" t="str">
        <f aca="false">IF(AT33="","",ROUND(AT33*(1-Справочники!$B$16),0))</f>
        <v/>
      </c>
      <c r="AX33" s="90" t="str">
        <f aca="false">IF(AT33="","",ROUND(AT33*(1-Справочники!$B$17),0))</f>
        <v/>
      </c>
      <c r="AY33" s="90" t="str">
        <f aca="false">IF(AT33="","",ROUND(AT33*(1-Справочники!$B$18),0))</f>
        <v/>
      </c>
      <c r="AZ33" s="90" t="str">
        <f aca="false">IF(AT33="","",ROUND(AT33*(1-Справочники!$B$19),0))</f>
        <v/>
      </c>
      <c r="BA33" s="81"/>
      <c r="BB33" s="81"/>
      <c r="BC33" s="81"/>
      <c r="BD33" s="81"/>
      <c r="BE33" s="91"/>
      <c r="BF33" s="81" t="s">
        <v>103</v>
      </c>
      <c r="BG33" s="89" t="n">
        <f aca="false" t="array" ref="BG33:BG33">IF(BF33="","",IFERROR(INDEX(Справочники!$B$4:$B$7,MATCH(BF33,Справочники!$A$4:$A$7,0)),""))</f>
        <v>68.5</v>
      </c>
      <c r="BH33" s="90" t="str">
        <f aca="false">IF(N(BN33)&gt;0,ROUND(SUMIF(ЗАКАЗЫ!$F$3:$F$500,$A33,ЗАКАЗЫ!$Y$3:$Y$500)/BN33,0),IF(OR(BE33="",BG33=""),"",ROUND(BE33*BG33*(1+Справочники!$B$10),0)))</f>
        <v/>
      </c>
      <c r="BI33" s="92" t="str">
        <f aca="false">IF(OR(AU33="",BH33="",AU33=0),"",(AU33-BH33)/AU33)</f>
        <v/>
      </c>
      <c r="BJ33" s="81"/>
      <c r="BK33" s="83"/>
      <c r="BL33" s="43" t="str">
        <f aca="false">IFERROR(INDEX(ЗАКАЗЫ!$N$3:$N$500,MATCH($A33,ЗАКАЗЫ!$F$3:$F$500,0)),"")</f>
        <v/>
      </c>
      <c r="BM33" s="8" t="str">
        <f aca="false">IF(BL33="","",IFERROR(VLOOKUP(BL33,'ТН ВЭД'!$A$4:$C$40,3,0),""))</f>
        <v/>
      </c>
      <c r="BN33" s="7" t="str">
        <f aca="false">IF(COUNTIF(ЗАКАЗЫ!$F$3:$F$500,$A33)=0,"",SUMIF(ЗАКАЗЫ!$F$3:$F$500,$A33,ЗАКАЗЫ!$J$3:$J$500))</f>
        <v/>
      </c>
      <c r="BO33" s="7" t="str">
        <f aca="false">IF(BN33="","",SUMIF(ЗАКАЗЫ!$F$3:$F$500,$A33,ЗАКАЗЫ!$AL$3:$AL$500))</f>
        <v/>
      </c>
      <c r="BP33" s="7" t="str">
        <f aca="false">IF(BN33="","",BN33-BO33)</f>
        <v/>
      </c>
      <c r="BQ33" s="55" t="str">
        <f aca="false">IF(BN33="","",IF(BO33&gt;=BN33,"На складе",IF(BO33&gt;0,"Частично","Ждём")))</f>
        <v/>
      </c>
      <c r="BR33" s="43"/>
      <c r="BS33" s="47" t="str">
        <f aca="false">IF(BN33="","",IF(_xlfn.MAXIFS(ЗАКАЗЫ!$AK$3:$AK$500,ЗАКАЗЫ!$F$3:$F$500,$A33)=0,"",_xlfn.MAXIFS(ЗАКАЗЫ!$AK$3:$AK$500,ЗАКАЗЫ!$F$3:$F$500,$A33)))</f>
        <v/>
      </c>
    </row>
    <row r="34" customFormat="false" ht="15.75" hidden="false" customHeight="true" outlineLevel="0" collapsed="false">
      <c r="A34" s="80" t="s">
        <v>2228</v>
      </c>
      <c r="B34" s="81"/>
      <c r="C34" s="81"/>
      <c r="D34" s="81"/>
      <c r="E34" s="83"/>
      <c r="F34" s="81"/>
      <c r="G34" s="83"/>
      <c r="H34" s="83"/>
      <c r="I34" s="84" t="str">
        <f aca="false">IF(E34="","",A34&amp;"_1.jpg")</f>
        <v/>
      </c>
      <c r="J34" s="84" t="str">
        <f aca="false">IF(E34="","",A34&amp;"_2.jpg; "&amp;A34&amp;"_3.jpg")</f>
        <v/>
      </c>
      <c r="K34" s="84" t="str">
        <f aca="false">IF(E34="","",A34&amp;"_schema.jpg")</f>
        <v/>
      </c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 t="s">
        <v>96</v>
      </c>
      <c r="W34" s="81"/>
      <c r="X34" s="81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6" t="str">
        <f aca="false">IF(SUM(Y34:AJ34)=0,"",SUM(Y34:AJ34))</f>
        <v/>
      </c>
      <c r="AL34" s="84" t="str">
        <f aca="false">MID(IF(N(Y34)&gt;0,", "&amp;Y$2,"")&amp;IF(N(Z34)&gt;0,", "&amp;Z$2,"")&amp;IF(N(AA34)&gt;0,", "&amp;AA$2,"")&amp;IF(N(AB34)&gt;0,", "&amp;AB$2,"")&amp;IF(N(AC34)&gt;0,", "&amp;AC$2,"")&amp;IF(N(AD34)&gt;0,", "&amp;AD$2,"")&amp;IF(N(AE34)&gt;0,", "&amp;AE$2,"")&amp;IF(N(AF34)&gt;0,", "&amp;AF$2,"")&amp;IF(N(AG34)&gt;0,", "&amp;AG$2,"")&amp;IF(N(AH34)&gt;0,", "&amp;AH$2,"")&amp;IF(N(AI34)&gt;0,", "&amp;AI$2,"")&amp;IF(N(AJ34)&gt;0,", "&amp;AJ$2,""),3,999)</f>
        <v/>
      </c>
      <c r="AM34" s="87" t="str">
        <f aca="false">IF(E34="","",MID(IF(N(Y34)&gt;0,", "&amp;A34&amp;"-"&amp;Y$2,"")&amp;IF(N(Z34)&gt;0,", "&amp;A34&amp;"-"&amp;Z$2,"")&amp;IF(N(AA34)&gt;0,", "&amp;A34&amp;"-"&amp;AA$2,"")&amp;IF(N(AB34)&gt;0,", "&amp;A34&amp;"-"&amp;AB$2,"")&amp;IF(N(AC34)&gt;0,", "&amp;A34&amp;"-"&amp;AC$2,"")&amp;IF(N(AD34)&gt;0,", "&amp;A34&amp;"-"&amp;AD$2,"")&amp;IF(N(AE34)&gt;0,", "&amp;A34&amp;"-"&amp;AE$2,"")&amp;IF(N(AF34)&gt;0,", "&amp;A34&amp;"-"&amp;AF$2,"")&amp;IF(N(AG34)&gt;0,", "&amp;A34&amp;"-"&amp;AG$2,"")&amp;IF(N(AH34)&gt;0,", "&amp;A34&amp;"-"&amp;AH$2,"")&amp;IF(N(AI34)&gt;0,", "&amp;A34&amp;"-"&amp;AI$2,"")&amp;IF(N(AJ34)&gt;0,", "&amp;A34&amp;"-"&amp;AJ$2,""),3,999))</f>
        <v/>
      </c>
      <c r="AN34" s="81"/>
      <c r="AO34" s="88"/>
      <c r="AP34" s="89" t="str">
        <f aca="false">IF(AO34="","",ROUND(AO34/(1+Справочники!$B$13),2))</f>
        <v/>
      </c>
      <c r="AQ34" s="90" t="str">
        <f aca="false" t="array" ref="AQ34:AQ34">IF(AP34="","",AP34*INDEX(Справочники!$B$4:$B$7,MATCH("RUB",Справочники!$A$4:$A$7,0)))</f>
        <v/>
      </c>
      <c r="AR34" s="90" t="str">
        <f aca="false">IF(AQ34="","",ROUND(AQ34*(1+Справочники!$B$12),0))</f>
        <v/>
      </c>
      <c r="AS34" s="90" t="str">
        <f aca="false">IF(AR34="","",ROUND(AR34*(1-Справочники!$B$11),0))</f>
        <v/>
      </c>
      <c r="AT34" s="88"/>
      <c r="AU34" s="90" t="str">
        <f aca="false">IF(AT34="","",ROUND(AT34/(1+Справочники!$B$12),0))</f>
        <v/>
      </c>
      <c r="AV34" s="90" t="str">
        <f aca="false">IF(AT34="","",ROUND(AT34*(1-Справочники!$B$15),0))</f>
        <v/>
      </c>
      <c r="AW34" s="90" t="str">
        <f aca="false">IF(AT34="","",ROUND(AT34*(1-Справочники!$B$16),0))</f>
        <v/>
      </c>
      <c r="AX34" s="90" t="str">
        <f aca="false">IF(AT34="","",ROUND(AT34*(1-Справочники!$B$17),0))</f>
        <v/>
      </c>
      <c r="AY34" s="90" t="str">
        <f aca="false">IF(AT34="","",ROUND(AT34*(1-Справочники!$B$18),0))</f>
        <v/>
      </c>
      <c r="AZ34" s="90" t="str">
        <f aca="false">IF(AT34="","",ROUND(AT34*(1-Справочники!$B$19),0))</f>
        <v/>
      </c>
      <c r="BA34" s="81"/>
      <c r="BB34" s="81"/>
      <c r="BC34" s="81"/>
      <c r="BD34" s="81"/>
      <c r="BE34" s="91"/>
      <c r="BF34" s="81" t="s">
        <v>103</v>
      </c>
      <c r="BG34" s="89" t="n">
        <f aca="false" t="array" ref="BG34:BG34">IF(BF34="","",IFERROR(INDEX(Справочники!$B$4:$B$7,MATCH(BF34,Справочники!$A$4:$A$7,0)),""))</f>
        <v>68.5</v>
      </c>
      <c r="BH34" s="90" t="str">
        <f aca="false">IF(N(BN34)&gt;0,ROUND(SUMIF(ЗАКАЗЫ!$F$3:$F$500,$A34,ЗАКАЗЫ!$Y$3:$Y$500)/BN34,0),IF(OR(BE34="",BG34=""),"",ROUND(BE34*BG34*(1+Справочники!$B$10),0)))</f>
        <v/>
      </c>
      <c r="BI34" s="92" t="str">
        <f aca="false">IF(OR(AU34="",BH34="",AU34=0),"",(AU34-BH34)/AU34)</f>
        <v/>
      </c>
      <c r="BJ34" s="81"/>
      <c r="BK34" s="83"/>
      <c r="BL34" s="43" t="str">
        <f aca="false">IFERROR(INDEX(ЗАКАЗЫ!$N$3:$N$500,MATCH($A34,ЗАКАЗЫ!$F$3:$F$500,0)),"")</f>
        <v/>
      </c>
      <c r="BM34" s="8" t="str">
        <f aca="false">IF(BL34="","",IFERROR(VLOOKUP(BL34,'ТН ВЭД'!$A$4:$C$40,3,0),""))</f>
        <v/>
      </c>
      <c r="BN34" s="7" t="str">
        <f aca="false">IF(COUNTIF(ЗАКАЗЫ!$F$3:$F$500,$A34)=0,"",SUMIF(ЗАКАЗЫ!$F$3:$F$500,$A34,ЗАКАЗЫ!$J$3:$J$500))</f>
        <v/>
      </c>
      <c r="BO34" s="7" t="str">
        <f aca="false">IF(BN34="","",SUMIF(ЗАКАЗЫ!$F$3:$F$500,$A34,ЗАКАЗЫ!$AL$3:$AL$500))</f>
        <v/>
      </c>
      <c r="BP34" s="7" t="str">
        <f aca="false">IF(BN34="","",BN34-BO34)</f>
        <v/>
      </c>
      <c r="BQ34" s="55" t="str">
        <f aca="false">IF(BN34="","",IF(BO34&gt;=BN34,"На складе",IF(BO34&gt;0,"Частично","Ждём")))</f>
        <v/>
      </c>
      <c r="BR34" s="43"/>
      <c r="BS34" s="47" t="str">
        <f aca="false">IF(BN34="","",IF(_xlfn.MAXIFS(ЗАКАЗЫ!$AK$3:$AK$500,ЗАКАЗЫ!$F$3:$F$500,$A34)=0,"",_xlfn.MAXIFS(ЗАКАЗЫ!$AK$3:$AK$500,ЗАКАЗЫ!$F$3:$F$500,$A34)))</f>
        <v/>
      </c>
    </row>
    <row r="35" customFormat="false" ht="15.75" hidden="false" customHeight="true" outlineLevel="0" collapsed="false">
      <c r="A35" s="80" t="s">
        <v>2229</v>
      </c>
      <c r="B35" s="81"/>
      <c r="C35" s="81"/>
      <c r="D35" s="81"/>
      <c r="E35" s="83"/>
      <c r="F35" s="81"/>
      <c r="G35" s="83"/>
      <c r="H35" s="83"/>
      <c r="I35" s="84" t="str">
        <f aca="false">IF(E35="","",A35&amp;"_1.jpg")</f>
        <v/>
      </c>
      <c r="J35" s="84" t="str">
        <f aca="false">IF(E35="","",A35&amp;"_2.jpg; "&amp;A35&amp;"_3.jpg")</f>
        <v/>
      </c>
      <c r="K35" s="84" t="str">
        <f aca="false">IF(E35="","",A35&amp;"_schema.jpg")</f>
        <v/>
      </c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 t="s">
        <v>96</v>
      </c>
      <c r="W35" s="81"/>
      <c r="X35" s="81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6" t="str">
        <f aca="false">IF(SUM(Y35:AJ35)=0,"",SUM(Y35:AJ35))</f>
        <v/>
      </c>
      <c r="AL35" s="84" t="str">
        <f aca="false">MID(IF(N(Y35)&gt;0,", "&amp;Y$2,"")&amp;IF(N(Z35)&gt;0,", "&amp;Z$2,"")&amp;IF(N(AA35)&gt;0,", "&amp;AA$2,"")&amp;IF(N(AB35)&gt;0,", "&amp;AB$2,"")&amp;IF(N(AC35)&gt;0,", "&amp;AC$2,"")&amp;IF(N(AD35)&gt;0,", "&amp;AD$2,"")&amp;IF(N(AE35)&gt;0,", "&amp;AE$2,"")&amp;IF(N(AF35)&gt;0,", "&amp;AF$2,"")&amp;IF(N(AG35)&gt;0,", "&amp;AG$2,"")&amp;IF(N(AH35)&gt;0,", "&amp;AH$2,"")&amp;IF(N(AI35)&gt;0,", "&amp;AI$2,"")&amp;IF(N(AJ35)&gt;0,", "&amp;AJ$2,""),3,999)</f>
        <v/>
      </c>
      <c r="AM35" s="87" t="str">
        <f aca="false">IF(E35="","",MID(IF(N(Y35)&gt;0,", "&amp;A35&amp;"-"&amp;Y$2,"")&amp;IF(N(Z35)&gt;0,", "&amp;A35&amp;"-"&amp;Z$2,"")&amp;IF(N(AA35)&gt;0,", "&amp;A35&amp;"-"&amp;AA$2,"")&amp;IF(N(AB35)&gt;0,", "&amp;A35&amp;"-"&amp;AB$2,"")&amp;IF(N(AC35)&gt;0,", "&amp;A35&amp;"-"&amp;AC$2,"")&amp;IF(N(AD35)&gt;0,", "&amp;A35&amp;"-"&amp;AD$2,"")&amp;IF(N(AE35)&gt;0,", "&amp;A35&amp;"-"&amp;AE$2,"")&amp;IF(N(AF35)&gt;0,", "&amp;A35&amp;"-"&amp;AF$2,"")&amp;IF(N(AG35)&gt;0,", "&amp;A35&amp;"-"&amp;AG$2,"")&amp;IF(N(AH35)&gt;0,", "&amp;A35&amp;"-"&amp;AH$2,"")&amp;IF(N(AI35)&gt;0,", "&amp;A35&amp;"-"&amp;AI$2,"")&amp;IF(N(AJ35)&gt;0,", "&amp;A35&amp;"-"&amp;AJ$2,""),3,999))</f>
        <v/>
      </c>
      <c r="AN35" s="81"/>
      <c r="AO35" s="88"/>
      <c r="AP35" s="89" t="str">
        <f aca="false">IF(AO35="","",ROUND(AO35/(1+Справочники!$B$13),2))</f>
        <v/>
      </c>
      <c r="AQ35" s="90" t="str">
        <f aca="false" t="array" ref="AQ35:AQ35">IF(AP35="","",AP35*INDEX(Справочники!$B$4:$B$7,MATCH("RUB",Справочники!$A$4:$A$7,0)))</f>
        <v/>
      </c>
      <c r="AR35" s="90" t="str">
        <f aca="false">IF(AQ35="","",ROUND(AQ35*(1+Справочники!$B$12),0))</f>
        <v/>
      </c>
      <c r="AS35" s="90" t="str">
        <f aca="false">IF(AR35="","",ROUND(AR35*(1-Справочники!$B$11),0))</f>
        <v/>
      </c>
      <c r="AT35" s="88"/>
      <c r="AU35" s="90" t="str">
        <f aca="false">IF(AT35="","",ROUND(AT35/(1+Справочники!$B$12),0))</f>
        <v/>
      </c>
      <c r="AV35" s="90" t="str">
        <f aca="false">IF(AT35="","",ROUND(AT35*(1-Справочники!$B$15),0))</f>
        <v/>
      </c>
      <c r="AW35" s="90" t="str">
        <f aca="false">IF(AT35="","",ROUND(AT35*(1-Справочники!$B$16),0))</f>
        <v/>
      </c>
      <c r="AX35" s="90" t="str">
        <f aca="false">IF(AT35="","",ROUND(AT35*(1-Справочники!$B$17),0))</f>
        <v/>
      </c>
      <c r="AY35" s="90" t="str">
        <f aca="false">IF(AT35="","",ROUND(AT35*(1-Справочники!$B$18),0))</f>
        <v/>
      </c>
      <c r="AZ35" s="90" t="str">
        <f aca="false">IF(AT35="","",ROUND(AT35*(1-Справочники!$B$19),0))</f>
        <v/>
      </c>
      <c r="BA35" s="81"/>
      <c r="BB35" s="81"/>
      <c r="BC35" s="81"/>
      <c r="BD35" s="81"/>
      <c r="BE35" s="91"/>
      <c r="BF35" s="81" t="s">
        <v>103</v>
      </c>
      <c r="BG35" s="89" t="n">
        <f aca="false" t="array" ref="BG35:BG35">IF(BF35="","",IFERROR(INDEX(Справочники!$B$4:$B$7,MATCH(BF35,Справочники!$A$4:$A$7,0)),""))</f>
        <v>68.5</v>
      </c>
      <c r="BH35" s="90" t="str">
        <f aca="false">IF(N(BN35)&gt;0,ROUND(SUMIF(ЗАКАЗЫ!$F$3:$F$500,$A35,ЗАКАЗЫ!$Y$3:$Y$500)/BN35,0),IF(OR(BE35="",BG35=""),"",ROUND(BE35*BG35*(1+Справочники!$B$10),0)))</f>
        <v/>
      </c>
      <c r="BI35" s="92" t="str">
        <f aca="false">IF(OR(AU35="",BH35="",AU35=0),"",(AU35-BH35)/AU35)</f>
        <v/>
      </c>
      <c r="BJ35" s="81"/>
      <c r="BK35" s="83"/>
      <c r="BL35" s="43" t="str">
        <f aca="false">IFERROR(INDEX(ЗАКАЗЫ!$N$3:$N$500,MATCH($A35,ЗАКАЗЫ!$F$3:$F$500,0)),"")</f>
        <v/>
      </c>
      <c r="BM35" s="8" t="str">
        <f aca="false">IF(BL35="","",IFERROR(VLOOKUP(BL35,'ТН ВЭД'!$A$4:$C$40,3,0),""))</f>
        <v/>
      </c>
      <c r="BN35" s="7" t="str">
        <f aca="false">IF(COUNTIF(ЗАКАЗЫ!$F$3:$F$500,$A35)=0,"",SUMIF(ЗАКАЗЫ!$F$3:$F$500,$A35,ЗАКАЗЫ!$J$3:$J$500))</f>
        <v/>
      </c>
      <c r="BO35" s="7" t="str">
        <f aca="false">IF(BN35="","",SUMIF(ЗАКАЗЫ!$F$3:$F$500,$A35,ЗАКАЗЫ!$AL$3:$AL$500))</f>
        <v/>
      </c>
      <c r="BP35" s="7" t="str">
        <f aca="false">IF(BN35="","",BN35-BO35)</f>
        <v/>
      </c>
      <c r="BQ35" s="55" t="str">
        <f aca="false">IF(BN35="","",IF(BO35&gt;=BN35,"На складе",IF(BO35&gt;0,"Частично","Ждём")))</f>
        <v/>
      </c>
      <c r="BR35" s="43"/>
      <c r="BS35" s="47" t="str">
        <f aca="false">IF(BN35="","",IF(_xlfn.MAXIFS(ЗАКАЗЫ!$AK$3:$AK$500,ЗАКАЗЫ!$F$3:$F$500,$A35)=0,"",_xlfn.MAXIFS(ЗАКАЗЫ!$AK$3:$AK$500,ЗАКАЗЫ!$F$3:$F$500,$A35)))</f>
        <v/>
      </c>
    </row>
    <row r="36" customFormat="false" ht="15.75" hidden="false" customHeight="true" outlineLevel="0" collapsed="false">
      <c r="A36" s="80" t="s">
        <v>2230</v>
      </c>
      <c r="B36" s="81"/>
      <c r="C36" s="81"/>
      <c r="D36" s="81"/>
      <c r="E36" s="83"/>
      <c r="F36" s="81"/>
      <c r="G36" s="83"/>
      <c r="H36" s="83"/>
      <c r="I36" s="84" t="str">
        <f aca="false">IF(E36="","",A36&amp;"_1.jpg")</f>
        <v/>
      </c>
      <c r="J36" s="84" t="str">
        <f aca="false">IF(E36="","",A36&amp;"_2.jpg; "&amp;A36&amp;"_3.jpg")</f>
        <v/>
      </c>
      <c r="K36" s="84" t="str">
        <f aca="false">IF(E36="","",A36&amp;"_schema.jpg")</f>
        <v/>
      </c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 t="s">
        <v>96</v>
      </c>
      <c r="W36" s="81"/>
      <c r="X36" s="81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6" t="str">
        <f aca="false">IF(SUM(Y36:AJ36)=0,"",SUM(Y36:AJ36))</f>
        <v/>
      </c>
      <c r="AL36" s="84" t="str">
        <f aca="false">MID(IF(N(Y36)&gt;0,", "&amp;Y$2,"")&amp;IF(N(Z36)&gt;0,", "&amp;Z$2,"")&amp;IF(N(AA36)&gt;0,", "&amp;AA$2,"")&amp;IF(N(AB36)&gt;0,", "&amp;AB$2,"")&amp;IF(N(AC36)&gt;0,", "&amp;AC$2,"")&amp;IF(N(AD36)&gt;0,", "&amp;AD$2,"")&amp;IF(N(AE36)&gt;0,", "&amp;AE$2,"")&amp;IF(N(AF36)&gt;0,", "&amp;AF$2,"")&amp;IF(N(AG36)&gt;0,", "&amp;AG$2,"")&amp;IF(N(AH36)&gt;0,", "&amp;AH$2,"")&amp;IF(N(AI36)&gt;0,", "&amp;AI$2,"")&amp;IF(N(AJ36)&gt;0,", "&amp;AJ$2,""),3,999)</f>
        <v/>
      </c>
      <c r="AM36" s="87" t="str">
        <f aca="false">IF(E36="","",MID(IF(N(Y36)&gt;0,", "&amp;A36&amp;"-"&amp;Y$2,"")&amp;IF(N(Z36)&gt;0,", "&amp;A36&amp;"-"&amp;Z$2,"")&amp;IF(N(AA36)&gt;0,", "&amp;A36&amp;"-"&amp;AA$2,"")&amp;IF(N(AB36)&gt;0,", "&amp;A36&amp;"-"&amp;AB$2,"")&amp;IF(N(AC36)&gt;0,", "&amp;A36&amp;"-"&amp;AC$2,"")&amp;IF(N(AD36)&gt;0,", "&amp;A36&amp;"-"&amp;AD$2,"")&amp;IF(N(AE36)&gt;0,", "&amp;A36&amp;"-"&amp;AE$2,"")&amp;IF(N(AF36)&gt;0,", "&amp;A36&amp;"-"&amp;AF$2,"")&amp;IF(N(AG36)&gt;0,", "&amp;A36&amp;"-"&amp;AG$2,"")&amp;IF(N(AH36)&gt;0,", "&amp;A36&amp;"-"&amp;AH$2,"")&amp;IF(N(AI36)&gt;0,", "&amp;A36&amp;"-"&amp;AI$2,"")&amp;IF(N(AJ36)&gt;0,", "&amp;A36&amp;"-"&amp;AJ$2,""),3,999))</f>
        <v/>
      </c>
      <c r="AN36" s="81"/>
      <c r="AO36" s="88"/>
      <c r="AP36" s="89" t="str">
        <f aca="false">IF(AO36="","",ROUND(AO36/(1+Справочники!$B$13),2))</f>
        <v/>
      </c>
      <c r="AQ36" s="90" t="str">
        <f aca="false" t="array" ref="AQ36:AQ36">IF(AP36="","",AP36*INDEX(Справочники!$B$4:$B$7,MATCH("RUB",Справочники!$A$4:$A$7,0)))</f>
        <v/>
      </c>
      <c r="AR36" s="90" t="str">
        <f aca="false">IF(AQ36="","",ROUND(AQ36*(1+Справочники!$B$12),0))</f>
        <v/>
      </c>
      <c r="AS36" s="90" t="str">
        <f aca="false">IF(AR36="","",ROUND(AR36*(1-Справочники!$B$11),0))</f>
        <v/>
      </c>
      <c r="AT36" s="88"/>
      <c r="AU36" s="90" t="str">
        <f aca="false">IF(AT36="","",ROUND(AT36/(1+Справочники!$B$12),0))</f>
        <v/>
      </c>
      <c r="AV36" s="90" t="str">
        <f aca="false">IF(AT36="","",ROUND(AT36*(1-Справочники!$B$15),0))</f>
        <v/>
      </c>
      <c r="AW36" s="90" t="str">
        <f aca="false">IF(AT36="","",ROUND(AT36*(1-Справочники!$B$16),0))</f>
        <v/>
      </c>
      <c r="AX36" s="90" t="str">
        <f aca="false">IF(AT36="","",ROUND(AT36*(1-Справочники!$B$17),0))</f>
        <v/>
      </c>
      <c r="AY36" s="90" t="str">
        <f aca="false">IF(AT36="","",ROUND(AT36*(1-Справочники!$B$18),0))</f>
        <v/>
      </c>
      <c r="AZ36" s="90" t="str">
        <f aca="false">IF(AT36="","",ROUND(AT36*(1-Справочники!$B$19),0))</f>
        <v/>
      </c>
      <c r="BA36" s="81"/>
      <c r="BB36" s="81"/>
      <c r="BC36" s="81"/>
      <c r="BD36" s="81"/>
      <c r="BE36" s="91"/>
      <c r="BF36" s="81" t="s">
        <v>103</v>
      </c>
      <c r="BG36" s="89" t="n">
        <f aca="false" t="array" ref="BG36:BG36">IF(BF36="","",IFERROR(INDEX(Справочники!$B$4:$B$7,MATCH(BF36,Справочники!$A$4:$A$7,0)),""))</f>
        <v>68.5</v>
      </c>
      <c r="BH36" s="90" t="str">
        <f aca="false">IF(N(BN36)&gt;0,ROUND(SUMIF(ЗАКАЗЫ!$F$3:$F$500,$A36,ЗАКАЗЫ!$Y$3:$Y$500)/BN36,0),IF(OR(BE36="",BG36=""),"",ROUND(BE36*BG36*(1+Справочники!$B$10),0)))</f>
        <v/>
      </c>
      <c r="BI36" s="92" t="str">
        <f aca="false">IF(OR(AU36="",BH36="",AU36=0),"",(AU36-BH36)/AU36)</f>
        <v/>
      </c>
      <c r="BJ36" s="81"/>
      <c r="BK36" s="83"/>
      <c r="BL36" s="43" t="str">
        <f aca="false">IFERROR(INDEX(ЗАКАЗЫ!$N$3:$N$500,MATCH($A36,ЗАКАЗЫ!$F$3:$F$500,0)),"")</f>
        <v/>
      </c>
      <c r="BM36" s="8" t="str">
        <f aca="false">IF(BL36="","",IFERROR(VLOOKUP(BL36,'ТН ВЭД'!$A$4:$C$40,3,0),""))</f>
        <v/>
      </c>
      <c r="BN36" s="7" t="str">
        <f aca="false">IF(COUNTIF(ЗАКАЗЫ!$F$3:$F$500,$A36)=0,"",SUMIF(ЗАКАЗЫ!$F$3:$F$500,$A36,ЗАКАЗЫ!$J$3:$J$500))</f>
        <v/>
      </c>
      <c r="BO36" s="7" t="str">
        <f aca="false">IF(BN36="","",SUMIF(ЗАКАЗЫ!$F$3:$F$500,$A36,ЗАКАЗЫ!$AL$3:$AL$500))</f>
        <v/>
      </c>
      <c r="BP36" s="7" t="str">
        <f aca="false">IF(BN36="","",BN36-BO36)</f>
        <v/>
      </c>
      <c r="BQ36" s="55" t="str">
        <f aca="false">IF(BN36="","",IF(BO36&gt;=BN36,"На складе",IF(BO36&gt;0,"Частично","Ждём")))</f>
        <v/>
      </c>
      <c r="BR36" s="43"/>
      <c r="BS36" s="47" t="str">
        <f aca="false">IF(BN36="","",IF(_xlfn.MAXIFS(ЗАКАЗЫ!$AK$3:$AK$500,ЗАКАЗЫ!$F$3:$F$500,$A36)=0,"",_xlfn.MAXIFS(ЗАКАЗЫ!$AK$3:$AK$500,ЗАКАЗЫ!$F$3:$F$500,$A36)))</f>
        <v/>
      </c>
    </row>
    <row r="37" customFormat="false" ht="15.75" hidden="false" customHeight="true" outlineLevel="0" collapsed="false">
      <c r="A37" s="80" t="s">
        <v>2231</v>
      </c>
      <c r="B37" s="81"/>
      <c r="C37" s="81"/>
      <c r="D37" s="81"/>
      <c r="E37" s="83"/>
      <c r="F37" s="81"/>
      <c r="G37" s="83"/>
      <c r="H37" s="83"/>
      <c r="I37" s="84" t="str">
        <f aca="false">IF(E37="","",A37&amp;"_1.jpg")</f>
        <v/>
      </c>
      <c r="J37" s="84" t="str">
        <f aca="false">IF(E37="","",A37&amp;"_2.jpg; "&amp;A37&amp;"_3.jpg")</f>
        <v/>
      </c>
      <c r="K37" s="84" t="str">
        <f aca="false">IF(E37="","",A37&amp;"_schema.jpg")</f>
        <v/>
      </c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 t="s">
        <v>96</v>
      </c>
      <c r="W37" s="81"/>
      <c r="X37" s="81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6" t="str">
        <f aca="false">IF(SUM(Y37:AJ37)=0,"",SUM(Y37:AJ37))</f>
        <v/>
      </c>
      <c r="AL37" s="84" t="str">
        <f aca="false">MID(IF(N(Y37)&gt;0,", "&amp;Y$2,"")&amp;IF(N(Z37)&gt;0,", "&amp;Z$2,"")&amp;IF(N(AA37)&gt;0,", "&amp;AA$2,"")&amp;IF(N(AB37)&gt;0,", "&amp;AB$2,"")&amp;IF(N(AC37)&gt;0,", "&amp;AC$2,"")&amp;IF(N(AD37)&gt;0,", "&amp;AD$2,"")&amp;IF(N(AE37)&gt;0,", "&amp;AE$2,"")&amp;IF(N(AF37)&gt;0,", "&amp;AF$2,"")&amp;IF(N(AG37)&gt;0,", "&amp;AG$2,"")&amp;IF(N(AH37)&gt;0,", "&amp;AH$2,"")&amp;IF(N(AI37)&gt;0,", "&amp;AI$2,"")&amp;IF(N(AJ37)&gt;0,", "&amp;AJ$2,""),3,999)</f>
        <v/>
      </c>
      <c r="AM37" s="87" t="str">
        <f aca="false">IF(E37="","",MID(IF(N(Y37)&gt;0,", "&amp;A37&amp;"-"&amp;Y$2,"")&amp;IF(N(Z37)&gt;0,", "&amp;A37&amp;"-"&amp;Z$2,"")&amp;IF(N(AA37)&gt;0,", "&amp;A37&amp;"-"&amp;AA$2,"")&amp;IF(N(AB37)&gt;0,", "&amp;A37&amp;"-"&amp;AB$2,"")&amp;IF(N(AC37)&gt;0,", "&amp;A37&amp;"-"&amp;AC$2,"")&amp;IF(N(AD37)&gt;0,", "&amp;A37&amp;"-"&amp;AD$2,"")&amp;IF(N(AE37)&gt;0,", "&amp;A37&amp;"-"&amp;AE$2,"")&amp;IF(N(AF37)&gt;0,", "&amp;A37&amp;"-"&amp;AF$2,"")&amp;IF(N(AG37)&gt;0,", "&amp;A37&amp;"-"&amp;AG$2,"")&amp;IF(N(AH37)&gt;0,", "&amp;A37&amp;"-"&amp;AH$2,"")&amp;IF(N(AI37)&gt;0,", "&amp;A37&amp;"-"&amp;AI$2,"")&amp;IF(N(AJ37)&gt;0,", "&amp;A37&amp;"-"&amp;AJ$2,""),3,999))</f>
        <v/>
      </c>
      <c r="AN37" s="81"/>
      <c r="AO37" s="88"/>
      <c r="AP37" s="89" t="str">
        <f aca="false">IF(AO37="","",ROUND(AO37/(1+Справочники!$B$13),2))</f>
        <v/>
      </c>
      <c r="AQ37" s="90" t="str">
        <f aca="false" t="array" ref="AQ37:AQ37">IF(AP37="","",AP37*INDEX(Справочники!$B$4:$B$7,MATCH("RUB",Справочники!$A$4:$A$7,0)))</f>
        <v/>
      </c>
      <c r="AR37" s="90" t="str">
        <f aca="false">IF(AQ37="","",ROUND(AQ37*(1+Справочники!$B$12),0))</f>
        <v/>
      </c>
      <c r="AS37" s="90" t="str">
        <f aca="false">IF(AR37="","",ROUND(AR37*(1-Справочники!$B$11),0))</f>
        <v/>
      </c>
      <c r="AT37" s="88"/>
      <c r="AU37" s="90" t="str">
        <f aca="false">IF(AT37="","",ROUND(AT37/(1+Справочники!$B$12),0))</f>
        <v/>
      </c>
      <c r="AV37" s="90" t="str">
        <f aca="false">IF(AT37="","",ROUND(AT37*(1-Справочники!$B$15),0))</f>
        <v/>
      </c>
      <c r="AW37" s="90" t="str">
        <f aca="false">IF(AT37="","",ROUND(AT37*(1-Справочники!$B$16),0))</f>
        <v/>
      </c>
      <c r="AX37" s="90" t="str">
        <f aca="false">IF(AT37="","",ROUND(AT37*(1-Справочники!$B$17),0))</f>
        <v/>
      </c>
      <c r="AY37" s="90" t="str">
        <f aca="false">IF(AT37="","",ROUND(AT37*(1-Справочники!$B$18),0))</f>
        <v/>
      </c>
      <c r="AZ37" s="90" t="str">
        <f aca="false">IF(AT37="","",ROUND(AT37*(1-Справочники!$B$19),0))</f>
        <v/>
      </c>
      <c r="BA37" s="81"/>
      <c r="BB37" s="81"/>
      <c r="BC37" s="81"/>
      <c r="BD37" s="81"/>
      <c r="BE37" s="91"/>
      <c r="BF37" s="81" t="s">
        <v>103</v>
      </c>
      <c r="BG37" s="89" t="n">
        <f aca="false" t="array" ref="BG37:BG37">IF(BF37="","",IFERROR(INDEX(Справочники!$B$4:$B$7,MATCH(BF37,Справочники!$A$4:$A$7,0)),""))</f>
        <v>68.5</v>
      </c>
      <c r="BH37" s="90" t="str">
        <f aca="false">IF(N(BN37)&gt;0,ROUND(SUMIF(ЗАКАЗЫ!$F$3:$F$500,$A37,ЗАКАЗЫ!$Y$3:$Y$500)/BN37,0),IF(OR(BE37="",BG37=""),"",ROUND(BE37*BG37*(1+Справочники!$B$10),0)))</f>
        <v/>
      </c>
      <c r="BI37" s="92" t="str">
        <f aca="false">IF(OR(AU37="",BH37="",AU37=0),"",(AU37-BH37)/AU37)</f>
        <v/>
      </c>
      <c r="BJ37" s="81"/>
      <c r="BK37" s="83"/>
      <c r="BL37" s="43" t="str">
        <f aca="false">IFERROR(INDEX(ЗАКАЗЫ!$N$3:$N$500,MATCH($A37,ЗАКАЗЫ!$F$3:$F$500,0)),"")</f>
        <v/>
      </c>
      <c r="BM37" s="8" t="str">
        <f aca="false">IF(BL37="","",IFERROR(VLOOKUP(BL37,'ТН ВЭД'!$A$4:$C$40,3,0),""))</f>
        <v/>
      </c>
      <c r="BN37" s="7" t="str">
        <f aca="false">IF(COUNTIF(ЗАКАЗЫ!$F$3:$F$500,$A37)=0,"",SUMIF(ЗАКАЗЫ!$F$3:$F$500,$A37,ЗАКАЗЫ!$J$3:$J$500))</f>
        <v/>
      </c>
      <c r="BO37" s="7" t="str">
        <f aca="false">IF(BN37="","",SUMIF(ЗАКАЗЫ!$F$3:$F$500,$A37,ЗАКАЗЫ!$AL$3:$AL$500))</f>
        <v/>
      </c>
      <c r="BP37" s="7" t="str">
        <f aca="false">IF(BN37="","",BN37-BO37)</f>
        <v/>
      </c>
      <c r="BQ37" s="55" t="str">
        <f aca="false">IF(BN37="","",IF(BO37&gt;=BN37,"На складе",IF(BO37&gt;0,"Частично","Ждём")))</f>
        <v/>
      </c>
      <c r="BR37" s="43"/>
      <c r="BS37" s="47" t="str">
        <f aca="false">IF(BN37="","",IF(_xlfn.MAXIFS(ЗАКАЗЫ!$AK$3:$AK$500,ЗАКАЗЫ!$F$3:$F$500,$A37)=0,"",_xlfn.MAXIFS(ЗАКАЗЫ!$AK$3:$AK$500,ЗАКАЗЫ!$F$3:$F$500,$A37)))</f>
        <v/>
      </c>
    </row>
    <row r="38" customFormat="false" ht="15.75" hidden="false" customHeight="true" outlineLevel="0" collapsed="false">
      <c r="A38" s="80" t="s">
        <v>2232</v>
      </c>
      <c r="B38" s="81"/>
      <c r="C38" s="81"/>
      <c r="D38" s="81"/>
      <c r="E38" s="83"/>
      <c r="F38" s="81"/>
      <c r="G38" s="83"/>
      <c r="H38" s="83"/>
      <c r="I38" s="84" t="str">
        <f aca="false">IF(E38="","",A38&amp;"_1.jpg")</f>
        <v/>
      </c>
      <c r="J38" s="84" t="str">
        <f aca="false">IF(E38="","",A38&amp;"_2.jpg; "&amp;A38&amp;"_3.jpg")</f>
        <v/>
      </c>
      <c r="K38" s="84" t="str">
        <f aca="false">IF(E38="","",A38&amp;"_schema.jpg")</f>
        <v/>
      </c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 t="s">
        <v>96</v>
      </c>
      <c r="W38" s="81"/>
      <c r="X38" s="81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6" t="str">
        <f aca="false">IF(SUM(Y38:AJ38)=0,"",SUM(Y38:AJ38))</f>
        <v/>
      </c>
      <c r="AL38" s="84" t="str">
        <f aca="false">MID(IF(N(Y38)&gt;0,", "&amp;Y$2,"")&amp;IF(N(Z38)&gt;0,", "&amp;Z$2,"")&amp;IF(N(AA38)&gt;0,", "&amp;AA$2,"")&amp;IF(N(AB38)&gt;0,", "&amp;AB$2,"")&amp;IF(N(AC38)&gt;0,", "&amp;AC$2,"")&amp;IF(N(AD38)&gt;0,", "&amp;AD$2,"")&amp;IF(N(AE38)&gt;0,", "&amp;AE$2,"")&amp;IF(N(AF38)&gt;0,", "&amp;AF$2,"")&amp;IF(N(AG38)&gt;0,", "&amp;AG$2,"")&amp;IF(N(AH38)&gt;0,", "&amp;AH$2,"")&amp;IF(N(AI38)&gt;0,", "&amp;AI$2,"")&amp;IF(N(AJ38)&gt;0,", "&amp;AJ$2,""),3,999)</f>
        <v/>
      </c>
      <c r="AM38" s="87" t="str">
        <f aca="false">IF(E38="","",MID(IF(N(Y38)&gt;0,", "&amp;A38&amp;"-"&amp;Y$2,"")&amp;IF(N(Z38)&gt;0,", "&amp;A38&amp;"-"&amp;Z$2,"")&amp;IF(N(AA38)&gt;0,", "&amp;A38&amp;"-"&amp;AA$2,"")&amp;IF(N(AB38)&gt;0,", "&amp;A38&amp;"-"&amp;AB$2,"")&amp;IF(N(AC38)&gt;0,", "&amp;A38&amp;"-"&amp;AC$2,"")&amp;IF(N(AD38)&gt;0,", "&amp;A38&amp;"-"&amp;AD$2,"")&amp;IF(N(AE38)&gt;0,", "&amp;A38&amp;"-"&amp;AE$2,"")&amp;IF(N(AF38)&gt;0,", "&amp;A38&amp;"-"&amp;AF$2,"")&amp;IF(N(AG38)&gt;0,", "&amp;A38&amp;"-"&amp;AG$2,"")&amp;IF(N(AH38)&gt;0,", "&amp;A38&amp;"-"&amp;AH$2,"")&amp;IF(N(AI38)&gt;0,", "&amp;A38&amp;"-"&amp;AI$2,"")&amp;IF(N(AJ38)&gt;0,", "&amp;A38&amp;"-"&amp;AJ$2,""),3,999))</f>
        <v/>
      </c>
      <c r="AN38" s="81"/>
      <c r="AO38" s="88"/>
      <c r="AP38" s="89" t="str">
        <f aca="false">IF(AO38="","",ROUND(AO38/(1+Справочники!$B$13),2))</f>
        <v/>
      </c>
      <c r="AQ38" s="90" t="str">
        <f aca="false" t="array" ref="AQ38:AQ38">IF(AP38="","",AP38*INDEX(Справочники!$B$4:$B$7,MATCH("RUB",Справочники!$A$4:$A$7,0)))</f>
        <v/>
      </c>
      <c r="AR38" s="90" t="str">
        <f aca="false">IF(AQ38="","",ROUND(AQ38*(1+Справочники!$B$12),0))</f>
        <v/>
      </c>
      <c r="AS38" s="90" t="str">
        <f aca="false">IF(AR38="","",ROUND(AR38*(1-Справочники!$B$11),0))</f>
        <v/>
      </c>
      <c r="AT38" s="88"/>
      <c r="AU38" s="90" t="str">
        <f aca="false">IF(AT38="","",ROUND(AT38/(1+Справочники!$B$12),0))</f>
        <v/>
      </c>
      <c r="AV38" s="90" t="str">
        <f aca="false">IF(AT38="","",ROUND(AT38*(1-Справочники!$B$15),0))</f>
        <v/>
      </c>
      <c r="AW38" s="90" t="str">
        <f aca="false">IF(AT38="","",ROUND(AT38*(1-Справочники!$B$16),0))</f>
        <v/>
      </c>
      <c r="AX38" s="90" t="str">
        <f aca="false">IF(AT38="","",ROUND(AT38*(1-Справочники!$B$17),0))</f>
        <v/>
      </c>
      <c r="AY38" s="90" t="str">
        <f aca="false">IF(AT38="","",ROUND(AT38*(1-Справочники!$B$18),0))</f>
        <v/>
      </c>
      <c r="AZ38" s="90" t="str">
        <f aca="false">IF(AT38="","",ROUND(AT38*(1-Справочники!$B$19),0))</f>
        <v/>
      </c>
      <c r="BA38" s="81"/>
      <c r="BB38" s="81"/>
      <c r="BC38" s="81"/>
      <c r="BD38" s="81"/>
      <c r="BE38" s="91"/>
      <c r="BF38" s="81" t="s">
        <v>103</v>
      </c>
      <c r="BG38" s="89" t="n">
        <f aca="false" t="array" ref="BG38:BG38">IF(BF38="","",IFERROR(INDEX(Справочники!$B$4:$B$7,MATCH(BF38,Справочники!$A$4:$A$7,0)),""))</f>
        <v>68.5</v>
      </c>
      <c r="BH38" s="90" t="str">
        <f aca="false">IF(N(BN38)&gt;0,ROUND(SUMIF(ЗАКАЗЫ!$F$3:$F$500,$A38,ЗАКАЗЫ!$Y$3:$Y$500)/BN38,0),IF(OR(BE38="",BG38=""),"",ROUND(BE38*BG38*(1+Справочники!$B$10),0)))</f>
        <v/>
      </c>
      <c r="BI38" s="92" t="str">
        <f aca="false">IF(OR(AU38="",BH38="",AU38=0),"",(AU38-BH38)/AU38)</f>
        <v/>
      </c>
      <c r="BJ38" s="81"/>
      <c r="BK38" s="83"/>
      <c r="BL38" s="43" t="str">
        <f aca="false">IFERROR(INDEX(ЗАКАЗЫ!$N$3:$N$500,MATCH($A38,ЗАКАЗЫ!$F$3:$F$500,0)),"")</f>
        <v/>
      </c>
      <c r="BM38" s="8" t="str">
        <f aca="false">IF(BL38="","",IFERROR(VLOOKUP(BL38,'ТН ВЭД'!$A$4:$C$40,3,0),""))</f>
        <v/>
      </c>
      <c r="BN38" s="7" t="str">
        <f aca="false">IF(COUNTIF(ЗАКАЗЫ!$F$3:$F$500,$A38)=0,"",SUMIF(ЗАКАЗЫ!$F$3:$F$500,$A38,ЗАКАЗЫ!$J$3:$J$500))</f>
        <v/>
      </c>
      <c r="BO38" s="7" t="str">
        <f aca="false">IF(BN38="","",SUMIF(ЗАКАЗЫ!$F$3:$F$500,$A38,ЗАКАЗЫ!$AL$3:$AL$500))</f>
        <v/>
      </c>
      <c r="BP38" s="7" t="str">
        <f aca="false">IF(BN38="","",BN38-BO38)</f>
        <v/>
      </c>
      <c r="BQ38" s="55" t="str">
        <f aca="false">IF(BN38="","",IF(BO38&gt;=BN38,"На складе",IF(BO38&gt;0,"Частично","Ждём")))</f>
        <v/>
      </c>
      <c r="BR38" s="43"/>
      <c r="BS38" s="47" t="str">
        <f aca="false">IF(BN38="","",IF(_xlfn.MAXIFS(ЗАКАЗЫ!$AK$3:$AK$500,ЗАКАЗЫ!$F$3:$F$500,$A38)=0,"",_xlfn.MAXIFS(ЗАКАЗЫ!$AK$3:$AK$500,ЗАКАЗЫ!$F$3:$F$500,$A38)))</f>
        <v/>
      </c>
    </row>
    <row r="39" customFormat="false" ht="15.75" hidden="false" customHeight="true" outlineLevel="0" collapsed="false">
      <c r="A39" s="80" t="s">
        <v>2233</v>
      </c>
      <c r="B39" s="81"/>
      <c r="C39" s="81"/>
      <c r="D39" s="81"/>
      <c r="E39" s="83"/>
      <c r="F39" s="81"/>
      <c r="G39" s="83"/>
      <c r="H39" s="83"/>
      <c r="I39" s="84" t="str">
        <f aca="false">IF(E39="","",A39&amp;"_1.jpg")</f>
        <v/>
      </c>
      <c r="J39" s="84" t="str">
        <f aca="false">IF(E39="","",A39&amp;"_2.jpg; "&amp;A39&amp;"_3.jpg")</f>
        <v/>
      </c>
      <c r="K39" s="84" t="str">
        <f aca="false">IF(E39="","",A39&amp;"_schema.jpg")</f>
        <v/>
      </c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 t="s">
        <v>96</v>
      </c>
      <c r="W39" s="81"/>
      <c r="X39" s="81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6" t="str">
        <f aca="false">IF(SUM(Y39:AJ39)=0,"",SUM(Y39:AJ39))</f>
        <v/>
      </c>
      <c r="AL39" s="84" t="str">
        <f aca="false">MID(IF(N(Y39)&gt;0,", "&amp;Y$2,"")&amp;IF(N(Z39)&gt;0,", "&amp;Z$2,"")&amp;IF(N(AA39)&gt;0,", "&amp;AA$2,"")&amp;IF(N(AB39)&gt;0,", "&amp;AB$2,"")&amp;IF(N(AC39)&gt;0,", "&amp;AC$2,"")&amp;IF(N(AD39)&gt;0,", "&amp;AD$2,"")&amp;IF(N(AE39)&gt;0,", "&amp;AE$2,"")&amp;IF(N(AF39)&gt;0,", "&amp;AF$2,"")&amp;IF(N(AG39)&gt;0,", "&amp;AG$2,"")&amp;IF(N(AH39)&gt;0,", "&amp;AH$2,"")&amp;IF(N(AI39)&gt;0,", "&amp;AI$2,"")&amp;IF(N(AJ39)&gt;0,", "&amp;AJ$2,""),3,999)</f>
        <v/>
      </c>
      <c r="AM39" s="87" t="str">
        <f aca="false">IF(E39="","",MID(IF(N(Y39)&gt;0,", "&amp;A39&amp;"-"&amp;Y$2,"")&amp;IF(N(Z39)&gt;0,", "&amp;A39&amp;"-"&amp;Z$2,"")&amp;IF(N(AA39)&gt;0,", "&amp;A39&amp;"-"&amp;AA$2,"")&amp;IF(N(AB39)&gt;0,", "&amp;A39&amp;"-"&amp;AB$2,"")&amp;IF(N(AC39)&gt;0,", "&amp;A39&amp;"-"&amp;AC$2,"")&amp;IF(N(AD39)&gt;0,", "&amp;A39&amp;"-"&amp;AD$2,"")&amp;IF(N(AE39)&gt;0,", "&amp;A39&amp;"-"&amp;AE$2,"")&amp;IF(N(AF39)&gt;0,", "&amp;A39&amp;"-"&amp;AF$2,"")&amp;IF(N(AG39)&gt;0,", "&amp;A39&amp;"-"&amp;AG$2,"")&amp;IF(N(AH39)&gt;0,", "&amp;A39&amp;"-"&amp;AH$2,"")&amp;IF(N(AI39)&gt;0,", "&amp;A39&amp;"-"&amp;AI$2,"")&amp;IF(N(AJ39)&gt;0,", "&amp;A39&amp;"-"&amp;AJ$2,""),3,999))</f>
        <v/>
      </c>
      <c r="AN39" s="81"/>
      <c r="AO39" s="88"/>
      <c r="AP39" s="89" t="str">
        <f aca="false">IF(AO39="","",ROUND(AO39/(1+Справочники!$B$13),2))</f>
        <v/>
      </c>
      <c r="AQ39" s="90" t="str">
        <f aca="false" t="array" ref="AQ39:AQ39">IF(AP39="","",AP39*INDEX(Справочники!$B$4:$B$7,MATCH("RUB",Справочники!$A$4:$A$7,0)))</f>
        <v/>
      </c>
      <c r="AR39" s="90" t="str">
        <f aca="false">IF(AQ39="","",ROUND(AQ39*(1+Справочники!$B$12),0))</f>
        <v/>
      </c>
      <c r="AS39" s="90" t="str">
        <f aca="false">IF(AR39="","",ROUND(AR39*(1-Справочники!$B$11),0))</f>
        <v/>
      </c>
      <c r="AT39" s="88"/>
      <c r="AU39" s="90" t="str">
        <f aca="false">IF(AT39="","",ROUND(AT39/(1+Справочники!$B$12),0))</f>
        <v/>
      </c>
      <c r="AV39" s="90" t="str">
        <f aca="false">IF(AT39="","",ROUND(AT39*(1-Справочники!$B$15),0))</f>
        <v/>
      </c>
      <c r="AW39" s="90" t="str">
        <f aca="false">IF(AT39="","",ROUND(AT39*(1-Справочники!$B$16),0))</f>
        <v/>
      </c>
      <c r="AX39" s="90" t="str">
        <f aca="false">IF(AT39="","",ROUND(AT39*(1-Справочники!$B$17),0))</f>
        <v/>
      </c>
      <c r="AY39" s="90" t="str">
        <f aca="false">IF(AT39="","",ROUND(AT39*(1-Справочники!$B$18),0))</f>
        <v/>
      </c>
      <c r="AZ39" s="90" t="str">
        <f aca="false">IF(AT39="","",ROUND(AT39*(1-Справочники!$B$19),0))</f>
        <v/>
      </c>
      <c r="BA39" s="81"/>
      <c r="BB39" s="81"/>
      <c r="BC39" s="81"/>
      <c r="BD39" s="81"/>
      <c r="BE39" s="91"/>
      <c r="BF39" s="81" t="s">
        <v>103</v>
      </c>
      <c r="BG39" s="89" t="n">
        <f aca="false" t="array" ref="BG39:BG39">IF(BF39="","",IFERROR(INDEX(Справочники!$B$4:$B$7,MATCH(BF39,Справочники!$A$4:$A$7,0)),""))</f>
        <v>68.5</v>
      </c>
      <c r="BH39" s="90" t="str">
        <f aca="false">IF(N(BN39)&gt;0,ROUND(SUMIF(ЗАКАЗЫ!$F$3:$F$500,$A39,ЗАКАЗЫ!$Y$3:$Y$500)/BN39,0),IF(OR(BE39="",BG39=""),"",ROUND(BE39*BG39*(1+Справочники!$B$10),0)))</f>
        <v/>
      </c>
      <c r="BI39" s="92" t="str">
        <f aca="false">IF(OR(AU39="",BH39="",AU39=0),"",(AU39-BH39)/AU39)</f>
        <v/>
      </c>
      <c r="BJ39" s="81"/>
      <c r="BK39" s="83"/>
      <c r="BL39" s="43" t="str">
        <f aca="false">IFERROR(INDEX(ЗАКАЗЫ!$N$3:$N$500,MATCH($A39,ЗАКАЗЫ!$F$3:$F$500,0)),"")</f>
        <v/>
      </c>
      <c r="BM39" s="8" t="str">
        <f aca="false">IF(BL39="","",IFERROR(VLOOKUP(BL39,'ТН ВЭД'!$A$4:$C$40,3,0),""))</f>
        <v/>
      </c>
      <c r="BN39" s="7" t="str">
        <f aca="false">IF(COUNTIF(ЗАКАЗЫ!$F$3:$F$500,$A39)=0,"",SUMIF(ЗАКАЗЫ!$F$3:$F$500,$A39,ЗАКАЗЫ!$J$3:$J$500))</f>
        <v/>
      </c>
      <c r="BO39" s="7" t="str">
        <f aca="false">IF(BN39="","",SUMIF(ЗАКАЗЫ!$F$3:$F$500,$A39,ЗАКАЗЫ!$AL$3:$AL$500))</f>
        <v/>
      </c>
      <c r="BP39" s="7" t="str">
        <f aca="false">IF(BN39="","",BN39-BO39)</f>
        <v/>
      </c>
      <c r="BQ39" s="55" t="str">
        <f aca="false">IF(BN39="","",IF(BO39&gt;=BN39,"На складе",IF(BO39&gt;0,"Частично","Ждём")))</f>
        <v/>
      </c>
      <c r="BR39" s="43"/>
      <c r="BS39" s="47" t="str">
        <f aca="false">IF(BN39="","",IF(_xlfn.MAXIFS(ЗАКАЗЫ!$AK$3:$AK$500,ЗАКАЗЫ!$F$3:$F$500,$A39)=0,"",_xlfn.MAXIFS(ЗАКАЗЫ!$AK$3:$AK$500,ЗАКАЗЫ!$F$3:$F$500,$A39)))</f>
        <v/>
      </c>
    </row>
    <row r="40" customFormat="false" ht="15.75" hidden="false" customHeight="true" outlineLevel="0" collapsed="false">
      <c r="A40" s="80" t="s">
        <v>2234</v>
      </c>
      <c r="B40" s="81"/>
      <c r="C40" s="81"/>
      <c r="D40" s="81"/>
      <c r="E40" s="83"/>
      <c r="F40" s="81"/>
      <c r="G40" s="83"/>
      <c r="H40" s="83"/>
      <c r="I40" s="84" t="str">
        <f aca="false">IF(E40="","",A40&amp;"_1.jpg")</f>
        <v/>
      </c>
      <c r="J40" s="84" t="str">
        <f aca="false">IF(E40="","",A40&amp;"_2.jpg; "&amp;A40&amp;"_3.jpg")</f>
        <v/>
      </c>
      <c r="K40" s="84" t="str">
        <f aca="false">IF(E40="","",A40&amp;"_schema.jpg")</f>
        <v/>
      </c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 t="s">
        <v>96</v>
      </c>
      <c r="W40" s="81"/>
      <c r="X40" s="81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6" t="str">
        <f aca="false">IF(SUM(Y40:AJ40)=0,"",SUM(Y40:AJ40))</f>
        <v/>
      </c>
      <c r="AL40" s="84" t="str">
        <f aca="false">MID(IF(N(Y40)&gt;0,", "&amp;Y$2,"")&amp;IF(N(Z40)&gt;0,", "&amp;Z$2,"")&amp;IF(N(AA40)&gt;0,", "&amp;AA$2,"")&amp;IF(N(AB40)&gt;0,", "&amp;AB$2,"")&amp;IF(N(AC40)&gt;0,", "&amp;AC$2,"")&amp;IF(N(AD40)&gt;0,", "&amp;AD$2,"")&amp;IF(N(AE40)&gt;0,", "&amp;AE$2,"")&amp;IF(N(AF40)&gt;0,", "&amp;AF$2,"")&amp;IF(N(AG40)&gt;0,", "&amp;AG$2,"")&amp;IF(N(AH40)&gt;0,", "&amp;AH$2,"")&amp;IF(N(AI40)&gt;0,", "&amp;AI$2,"")&amp;IF(N(AJ40)&gt;0,", "&amp;AJ$2,""),3,999)</f>
        <v/>
      </c>
      <c r="AM40" s="87" t="str">
        <f aca="false">IF(E40="","",MID(IF(N(Y40)&gt;0,", "&amp;A40&amp;"-"&amp;Y$2,"")&amp;IF(N(Z40)&gt;0,", "&amp;A40&amp;"-"&amp;Z$2,"")&amp;IF(N(AA40)&gt;0,", "&amp;A40&amp;"-"&amp;AA$2,"")&amp;IF(N(AB40)&gt;0,", "&amp;A40&amp;"-"&amp;AB$2,"")&amp;IF(N(AC40)&gt;0,", "&amp;A40&amp;"-"&amp;AC$2,"")&amp;IF(N(AD40)&gt;0,", "&amp;A40&amp;"-"&amp;AD$2,"")&amp;IF(N(AE40)&gt;0,", "&amp;A40&amp;"-"&amp;AE$2,"")&amp;IF(N(AF40)&gt;0,", "&amp;A40&amp;"-"&amp;AF$2,"")&amp;IF(N(AG40)&gt;0,", "&amp;A40&amp;"-"&amp;AG$2,"")&amp;IF(N(AH40)&gt;0,", "&amp;A40&amp;"-"&amp;AH$2,"")&amp;IF(N(AI40)&gt;0,", "&amp;A40&amp;"-"&amp;AI$2,"")&amp;IF(N(AJ40)&gt;0,", "&amp;A40&amp;"-"&amp;AJ$2,""),3,999))</f>
        <v/>
      </c>
      <c r="AN40" s="81"/>
      <c r="AO40" s="88"/>
      <c r="AP40" s="89" t="str">
        <f aca="false">IF(AO40="","",ROUND(AO40/(1+Справочники!$B$13),2))</f>
        <v/>
      </c>
      <c r="AQ40" s="90" t="str">
        <f aca="false" t="array" ref="AQ40:AQ40">IF(AP40="","",AP40*INDEX(Справочники!$B$4:$B$7,MATCH("RUB",Справочники!$A$4:$A$7,0)))</f>
        <v/>
      </c>
      <c r="AR40" s="90" t="str">
        <f aca="false">IF(AQ40="","",ROUND(AQ40*(1+Справочники!$B$12),0))</f>
        <v/>
      </c>
      <c r="AS40" s="90" t="str">
        <f aca="false">IF(AR40="","",ROUND(AR40*(1-Справочники!$B$11),0))</f>
        <v/>
      </c>
      <c r="AT40" s="88"/>
      <c r="AU40" s="90" t="str">
        <f aca="false">IF(AT40="","",ROUND(AT40/(1+Справочники!$B$12),0))</f>
        <v/>
      </c>
      <c r="AV40" s="90" t="str">
        <f aca="false">IF(AT40="","",ROUND(AT40*(1-Справочники!$B$15),0))</f>
        <v/>
      </c>
      <c r="AW40" s="90" t="str">
        <f aca="false">IF(AT40="","",ROUND(AT40*(1-Справочники!$B$16),0))</f>
        <v/>
      </c>
      <c r="AX40" s="90" t="str">
        <f aca="false">IF(AT40="","",ROUND(AT40*(1-Справочники!$B$17),0))</f>
        <v/>
      </c>
      <c r="AY40" s="90" t="str">
        <f aca="false">IF(AT40="","",ROUND(AT40*(1-Справочники!$B$18),0))</f>
        <v/>
      </c>
      <c r="AZ40" s="90" t="str">
        <f aca="false">IF(AT40="","",ROUND(AT40*(1-Справочники!$B$19),0))</f>
        <v/>
      </c>
      <c r="BA40" s="81"/>
      <c r="BB40" s="81"/>
      <c r="BC40" s="81"/>
      <c r="BD40" s="81"/>
      <c r="BE40" s="91"/>
      <c r="BF40" s="81" t="s">
        <v>103</v>
      </c>
      <c r="BG40" s="89" t="n">
        <f aca="false" t="array" ref="BG40:BG40">IF(BF40="","",IFERROR(INDEX(Справочники!$B$4:$B$7,MATCH(BF40,Справочники!$A$4:$A$7,0)),""))</f>
        <v>68.5</v>
      </c>
      <c r="BH40" s="90" t="str">
        <f aca="false">IF(N(BN40)&gt;0,ROUND(SUMIF(ЗАКАЗЫ!$F$3:$F$500,$A40,ЗАКАЗЫ!$Y$3:$Y$500)/BN40,0),IF(OR(BE40="",BG40=""),"",ROUND(BE40*BG40*(1+Справочники!$B$10),0)))</f>
        <v/>
      </c>
      <c r="BI40" s="92" t="str">
        <f aca="false">IF(OR(AU40="",BH40="",AU40=0),"",(AU40-BH40)/AU40)</f>
        <v/>
      </c>
      <c r="BJ40" s="81"/>
      <c r="BK40" s="83"/>
      <c r="BL40" s="43" t="str">
        <f aca="false">IFERROR(INDEX(ЗАКАЗЫ!$N$3:$N$500,MATCH($A40,ЗАКАЗЫ!$F$3:$F$500,0)),"")</f>
        <v/>
      </c>
      <c r="BM40" s="8" t="str">
        <f aca="false">IF(BL40="","",IFERROR(VLOOKUP(BL40,'ТН ВЭД'!$A$4:$C$40,3,0),""))</f>
        <v/>
      </c>
      <c r="BN40" s="7" t="str">
        <f aca="false">IF(COUNTIF(ЗАКАЗЫ!$F$3:$F$500,$A40)=0,"",SUMIF(ЗАКАЗЫ!$F$3:$F$500,$A40,ЗАКАЗЫ!$J$3:$J$500))</f>
        <v/>
      </c>
      <c r="BO40" s="7" t="str">
        <f aca="false">IF(BN40="","",SUMIF(ЗАКАЗЫ!$F$3:$F$500,$A40,ЗАКАЗЫ!$AL$3:$AL$500))</f>
        <v/>
      </c>
      <c r="BP40" s="7" t="str">
        <f aca="false">IF(BN40="","",BN40-BO40)</f>
        <v/>
      </c>
      <c r="BQ40" s="55" t="str">
        <f aca="false">IF(BN40="","",IF(BO40&gt;=BN40,"На складе",IF(BO40&gt;0,"Частично","Ждём")))</f>
        <v/>
      </c>
      <c r="BR40" s="43"/>
      <c r="BS40" s="47" t="str">
        <f aca="false">IF(BN40="","",IF(_xlfn.MAXIFS(ЗАКАЗЫ!$AK$3:$AK$500,ЗАКАЗЫ!$F$3:$F$500,$A40)=0,"",_xlfn.MAXIFS(ЗАКАЗЫ!$AK$3:$AK$500,ЗАКАЗЫ!$F$3:$F$500,$A40)))</f>
        <v/>
      </c>
    </row>
    <row r="41" customFormat="false" ht="15.75" hidden="false" customHeight="true" outlineLevel="0" collapsed="false">
      <c r="A41" s="80" t="s">
        <v>2235</v>
      </c>
      <c r="B41" s="81"/>
      <c r="C41" s="81"/>
      <c r="D41" s="81"/>
      <c r="E41" s="83"/>
      <c r="F41" s="81"/>
      <c r="G41" s="83"/>
      <c r="H41" s="83"/>
      <c r="I41" s="84" t="str">
        <f aca="false">IF(E41="","",A41&amp;"_1.jpg")</f>
        <v/>
      </c>
      <c r="J41" s="84" t="str">
        <f aca="false">IF(E41="","",A41&amp;"_2.jpg; "&amp;A41&amp;"_3.jpg")</f>
        <v/>
      </c>
      <c r="K41" s="84" t="str">
        <f aca="false">IF(E41="","",A41&amp;"_schema.jpg")</f>
        <v/>
      </c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 t="s">
        <v>96</v>
      </c>
      <c r="W41" s="81"/>
      <c r="X41" s="81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6" t="str">
        <f aca="false">IF(SUM(Y41:AJ41)=0,"",SUM(Y41:AJ41))</f>
        <v/>
      </c>
      <c r="AL41" s="84" t="str">
        <f aca="false">MID(IF(N(Y41)&gt;0,", "&amp;Y$2,"")&amp;IF(N(Z41)&gt;0,", "&amp;Z$2,"")&amp;IF(N(AA41)&gt;0,", "&amp;AA$2,"")&amp;IF(N(AB41)&gt;0,", "&amp;AB$2,"")&amp;IF(N(AC41)&gt;0,", "&amp;AC$2,"")&amp;IF(N(AD41)&gt;0,", "&amp;AD$2,"")&amp;IF(N(AE41)&gt;0,", "&amp;AE$2,"")&amp;IF(N(AF41)&gt;0,", "&amp;AF$2,"")&amp;IF(N(AG41)&gt;0,", "&amp;AG$2,"")&amp;IF(N(AH41)&gt;0,", "&amp;AH$2,"")&amp;IF(N(AI41)&gt;0,", "&amp;AI$2,"")&amp;IF(N(AJ41)&gt;0,", "&amp;AJ$2,""),3,999)</f>
        <v/>
      </c>
      <c r="AM41" s="87" t="str">
        <f aca="false">IF(E41="","",MID(IF(N(Y41)&gt;0,", "&amp;A41&amp;"-"&amp;Y$2,"")&amp;IF(N(Z41)&gt;0,", "&amp;A41&amp;"-"&amp;Z$2,"")&amp;IF(N(AA41)&gt;0,", "&amp;A41&amp;"-"&amp;AA$2,"")&amp;IF(N(AB41)&gt;0,", "&amp;A41&amp;"-"&amp;AB$2,"")&amp;IF(N(AC41)&gt;0,", "&amp;A41&amp;"-"&amp;AC$2,"")&amp;IF(N(AD41)&gt;0,", "&amp;A41&amp;"-"&amp;AD$2,"")&amp;IF(N(AE41)&gt;0,", "&amp;A41&amp;"-"&amp;AE$2,"")&amp;IF(N(AF41)&gt;0,", "&amp;A41&amp;"-"&amp;AF$2,"")&amp;IF(N(AG41)&gt;0,", "&amp;A41&amp;"-"&amp;AG$2,"")&amp;IF(N(AH41)&gt;0,", "&amp;A41&amp;"-"&amp;AH$2,"")&amp;IF(N(AI41)&gt;0,", "&amp;A41&amp;"-"&amp;AI$2,"")&amp;IF(N(AJ41)&gt;0,", "&amp;A41&amp;"-"&amp;AJ$2,""),3,999))</f>
        <v/>
      </c>
      <c r="AN41" s="81"/>
      <c r="AO41" s="88"/>
      <c r="AP41" s="89" t="str">
        <f aca="false">IF(AO41="","",ROUND(AO41/(1+Справочники!$B$13),2))</f>
        <v/>
      </c>
      <c r="AQ41" s="90" t="str">
        <f aca="false" t="array" ref="AQ41:AQ41">IF(AP41="","",AP41*INDEX(Справочники!$B$4:$B$7,MATCH("RUB",Справочники!$A$4:$A$7,0)))</f>
        <v/>
      </c>
      <c r="AR41" s="90" t="str">
        <f aca="false">IF(AQ41="","",ROUND(AQ41*(1+Справочники!$B$12),0))</f>
        <v/>
      </c>
      <c r="AS41" s="90" t="str">
        <f aca="false">IF(AR41="","",ROUND(AR41*(1-Справочники!$B$11),0))</f>
        <v/>
      </c>
      <c r="AT41" s="88"/>
      <c r="AU41" s="90" t="str">
        <f aca="false">IF(AT41="","",ROUND(AT41/(1+Справочники!$B$12),0))</f>
        <v/>
      </c>
      <c r="AV41" s="90" t="str">
        <f aca="false">IF(AT41="","",ROUND(AT41*(1-Справочники!$B$15),0))</f>
        <v/>
      </c>
      <c r="AW41" s="90" t="str">
        <f aca="false">IF(AT41="","",ROUND(AT41*(1-Справочники!$B$16),0))</f>
        <v/>
      </c>
      <c r="AX41" s="90" t="str">
        <f aca="false">IF(AT41="","",ROUND(AT41*(1-Справочники!$B$17),0))</f>
        <v/>
      </c>
      <c r="AY41" s="90" t="str">
        <f aca="false">IF(AT41="","",ROUND(AT41*(1-Справочники!$B$18),0))</f>
        <v/>
      </c>
      <c r="AZ41" s="90" t="str">
        <f aca="false">IF(AT41="","",ROUND(AT41*(1-Справочники!$B$19),0))</f>
        <v/>
      </c>
      <c r="BA41" s="81"/>
      <c r="BB41" s="81"/>
      <c r="BC41" s="81"/>
      <c r="BD41" s="81"/>
      <c r="BE41" s="91"/>
      <c r="BF41" s="81" t="s">
        <v>103</v>
      </c>
      <c r="BG41" s="89" t="n">
        <f aca="false" t="array" ref="BG41:BG41">IF(BF41="","",IFERROR(INDEX(Справочники!$B$4:$B$7,MATCH(BF41,Справочники!$A$4:$A$7,0)),""))</f>
        <v>68.5</v>
      </c>
      <c r="BH41" s="90" t="str">
        <f aca="false">IF(N(BN41)&gt;0,ROUND(SUMIF(ЗАКАЗЫ!$F$3:$F$500,$A41,ЗАКАЗЫ!$Y$3:$Y$500)/BN41,0),IF(OR(BE41="",BG41=""),"",ROUND(BE41*BG41*(1+Справочники!$B$10),0)))</f>
        <v/>
      </c>
      <c r="BI41" s="92" t="str">
        <f aca="false">IF(OR(AU41="",BH41="",AU41=0),"",(AU41-BH41)/AU41)</f>
        <v/>
      </c>
      <c r="BJ41" s="81"/>
      <c r="BK41" s="83"/>
      <c r="BL41" s="43" t="str">
        <f aca="false">IFERROR(INDEX(ЗАКАЗЫ!$N$3:$N$500,MATCH($A41,ЗАКАЗЫ!$F$3:$F$500,0)),"")</f>
        <v/>
      </c>
      <c r="BM41" s="8" t="str">
        <f aca="false">IF(BL41="","",IFERROR(VLOOKUP(BL41,'ТН ВЭД'!$A$4:$C$40,3,0),""))</f>
        <v/>
      </c>
      <c r="BN41" s="7" t="str">
        <f aca="false">IF(COUNTIF(ЗАКАЗЫ!$F$3:$F$500,$A41)=0,"",SUMIF(ЗАКАЗЫ!$F$3:$F$500,$A41,ЗАКАЗЫ!$J$3:$J$500))</f>
        <v/>
      </c>
      <c r="BO41" s="7" t="str">
        <f aca="false">IF(BN41="","",SUMIF(ЗАКАЗЫ!$F$3:$F$500,$A41,ЗАКАЗЫ!$AL$3:$AL$500))</f>
        <v/>
      </c>
      <c r="BP41" s="7" t="str">
        <f aca="false">IF(BN41="","",BN41-BO41)</f>
        <v/>
      </c>
      <c r="BQ41" s="55" t="str">
        <f aca="false">IF(BN41="","",IF(BO41&gt;=BN41,"На складе",IF(BO41&gt;0,"Частично","Ждём")))</f>
        <v/>
      </c>
      <c r="BR41" s="43"/>
      <c r="BS41" s="47" t="str">
        <f aca="false">IF(BN41="","",IF(_xlfn.MAXIFS(ЗАКАЗЫ!$AK$3:$AK$500,ЗАКАЗЫ!$F$3:$F$500,$A41)=0,"",_xlfn.MAXIFS(ЗАКАЗЫ!$AK$3:$AK$500,ЗАКАЗЫ!$F$3:$F$500,$A41)))</f>
        <v/>
      </c>
    </row>
    <row r="42" customFormat="false" ht="15.75" hidden="false" customHeight="true" outlineLevel="0" collapsed="false">
      <c r="A42" s="80" t="s">
        <v>2236</v>
      </c>
      <c r="B42" s="81"/>
      <c r="C42" s="81"/>
      <c r="D42" s="81"/>
      <c r="E42" s="83"/>
      <c r="F42" s="81"/>
      <c r="G42" s="83"/>
      <c r="H42" s="83"/>
      <c r="I42" s="84" t="str">
        <f aca="false">IF(E42="","",A42&amp;"_1.jpg")</f>
        <v/>
      </c>
      <c r="J42" s="84" t="str">
        <f aca="false">IF(E42="","",A42&amp;"_2.jpg; "&amp;A42&amp;"_3.jpg")</f>
        <v/>
      </c>
      <c r="K42" s="84" t="str">
        <f aca="false">IF(E42="","",A42&amp;"_schema.jpg")</f>
        <v/>
      </c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 t="s">
        <v>96</v>
      </c>
      <c r="W42" s="81"/>
      <c r="X42" s="81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6" t="str">
        <f aca="false">IF(SUM(Y42:AJ42)=0,"",SUM(Y42:AJ42))</f>
        <v/>
      </c>
      <c r="AL42" s="84" t="str">
        <f aca="false">MID(IF(N(Y42)&gt;0,", "&amp;Y$2,"")&amp;IF(N(Z42)&gt;0,", "&amp;Z$2,"")&amp;IF(N(AA42)&gt;0,", "&amp;AA$2,"")&amp;IF(N(AB42)&gt;0,", "&amp;AB$2,"")&amp;IF(N(AC42)&gt;0,", "&amp;AC$2,"")&amp;IF(N(AD42)&gt;0,", "&amp;AD$2,"")&amp;IF(N(AE42)&gt;0,", "&amp;AE$2,"")&amp;IF(N(AF42)&gt;0,", "&amp;AF$2,"")&amp;IF(N(AG42)&gt;0,", "&amp;AG$2,"")&amp;IF(N(AH42)&gt;0,", "&amp;AH$2,"")&amp;IF(N(AI42)&gt;0,", "&amp;AI$2,"")&amp;IF(N(AJ42)&gt;0,", "&amp;AJ$2,""),3,999)</f>
        <v/>
      </c>
      <c r="AM42" s="87" t="str">
        <f aca="false">IF(E42="","",MID(IF(N(Y42)&gt;0,", "&amp;A42&amp;"-"&amp;Y$2,"")&amp;IF(N(Z42)&gt;0,", "&amp;A42&amp;"-"&amp;Z$2,"")&amp;IF(N(AA42)&gt;0,", "&amp;A42&amp;"-"&amp;AA$2,"")&amp;IF(N(AB42)&gt;0,", "&amp;A42&amp;"-"&amp;AB$2,"")&amp;IF(N(AC42)&gt;0,", "&amp;A42&amp;"-"&amp;AC$2,"")&amp;IF(N(AD42)&gt;0,", "&amp;A42&amp;"-"&amp;AD$2,"")&amp;IF(N(AE42)&gt;0,", "&amp;A42&amp;"-"&amp;AE$2,"")&amp;IF(N(AF42)&gt;0,", "&amp;A42&amp;"-"&amp;AF$2,"")&amp;IF(N(AG42)&gt;0,", "&amp;A42&amp;"-"&amp;AG$2,"")&amp;IF(N(AH42)&gt;0,", "&amp;A42&amp;"-"&amp;AH$2,"")&amp;IF(N(AI42)&gt;0,", "&amp;A42&amp;"-"&amp;AI$2,"")&amp;IF(N(AJ42)&gt;0,", "&amp;A42&amp;"-"&amp;AJ$2,""),3,999))</f>
        <v/>
      </c>
      <c r="AN42" s="81"/>
      <c r="AO42" s="88"/>
      <c r="AP42" s="89" t="str">
        <f aca="false">IF(AO42="","",ROUND(AO42/(1+Справочники!$B$13),2))</f>
        <v/>
      </c>
      <c r="AQ42" s="90" t="str">
        <f aca="false" t="array" ref="AQ42:AQ42">IF(AP42="","",AP42*INDEX(Справочники!$B$4:$B$7,MATCH("RUB",Справочники!$A$4:$A$7,0)))</f>
        <v/>
      </c>
      <c r="AR42" s="90" t="str">
        <f aca="false">IF(AQ42="","",ROUND(AQ42*(1+Справочники!$B$12),0))</f>
        <v/>
      </c>
      <c r="AS42" s="90" t="str">
        <f aca="false">IF(AR42="","",ROUND(AR42*(1-Справочники!$B$11),0))</f>
        <v/>
      </c>
      <c r="AT42" s="88"/>
      <c r="AU42" s="90" t="str">
        <f aca="false">IF(AT42="","",ROUND(AT42/(1+Справочники!$B$12),0))</f>
        <v/>
      </c>
      <c r="AV42" s="90" t="str">
        <f aca="false">IF(AT42="","",ROUND(AT42*(1-Справочники!$B$15),0))</f>
        <v/>
      </c>
      <c r="AW42" s="90" t="str">
        <f aca="false">IF(AT42="","",ROUND(AT42*(1-Справочники!$B$16),0))</f>
        <v/>
      </c>
      <c r="AX42" s="90" t="str">
        <f aca="false">IF(AT42="","",ROUND(AT42*(1-Справочники!$B$17),0))</f>
        <v/>
      </c>
      <c r="AY42" s="90" t="str">
        <f aca="false">IF(AT42="","",ROUND(AT42*(1-Справочники!$B$18),0))</f>
        <v/>
      </c>
      <c r="AZ42" s="90" t="str">
        <f aca="false">IF(AT42="","",ROUND(AT42*(1-Справочники!$B$19),0))</f>
        <v/>
      </c>
      <c r="BA42" s="81"/>
      <c r="BB42" s="81"/>
      <c r="BC42" s="81"/>
      <c r="BD42" s="81"/>
      <c r="BE42" s="91"/>
      <c r="BF42" s="81" t="s">
        <v>103</v>
      </c>
      <c r="BG42" s="89" t="n">
        <f aca="false" t="array" ref="BG42:BG42">IF(BF42="","",IFERROR(INDEX(Справочники!$B$4:$B$7,MATCH(BF42,Справочники!$A$4:$A$7,0)),""))</f>
        <v>68.5</v>
      </c>
      <c r="BH42" s="90" t="str">
        <f aca="false">IF(N(BN42)&gt;0,ROUND(SUMIF(ЗАКАЗЫ!$F$3:$F$500,$A42,ЗАКАЗЫ!$Y$3:$Y$500)/BN42,0),IF(OR(BE42="",BG42=""),"",ROUND(BE42*BG42*(1+Справочники!$B$10),0)))</f>
        <v/>
      </c>
      <c r="BI42" s="92" t="str">
        <f aca="false">IF(OR(AU42="",BH42="",AU42=0),"",(AU42-BH42)/AU42)</f>
        <v/>
      </c>
      <c r="BJ42" s="81"/>
      <c r="BK42" s="83"/>
      <c r="BL42" s="43" t="str">
        <f aca="false">IFERROR(INDEX(ЗАКАЗЫ!$N$3:$N$500,MATCH($A42,ЗАКАЗЫ!$F$3:$F$500,0)),"")</f>
        <v/>
      </c>
      <c r="BM42" s="8" t="str">
        <f aca="false">IF(BL42="","",IFERROR(VLOOKUP(BL42,'ТН ВЭД'!$A$4:$C$40,3,0),""))</f>
        <v/>
      </c>
      <c r="BN42" s="7" t="str">
        <f aca="false">IF(COUNTIF(ЗАКАЗЫ!$F$3:$F$500,$A42)=0,"",SUMIF(ЗАКАЗЫ!$F$3:$F$500,$A42,ЗАКАЗЫ!$J$3:$J$500))</f>
        <v/>
      </c>
      <c r="BO42" s="7" t="str">
        <f aca="false">IF(BN42="","",SUMIF(ЗАКАЗЫ!$F$3:$F$500,$A42,ЗАКАЗЫ!$AL$3:$AL$500))</f>
        <v/>
      </c>
      <c r="BP42" s="7" t="str">
        <f aca="false">IF(BN42="","",BN42-BO42)</f>
        <v/>
      </c>
      <c r="BQ42" s="55" t="str">
        <f aca="false">IF(BN42="","",IF(BO42&gt;=BN42,"На складе",IF(BO42&gt;0,"Частично","Ждём")))</f>
        <v/>
      </c>
      <c r="BR42" s="43"/>
      <c r="BS42" s="47" t="str">
        <f aca="false">IF(BN42="","",IF(_xlfn.MAXIFS(ЗАКАЗЫ!$AK$3:$AK$500,ЗАКАЗЫ!$F$3:$F$500,$A42)=0,"",_xlfn.MAXIFS(ЗАКАЗЫ!$AK$3:$AK$500,ЗАКАЗЫ!$F$3:$F$500,$A42)))</f>
        <v/>
      </c>
    </row>
    <row r="43" customFormat="false" ht="15.75" hidden="false" customHeight="true" outlineLevel="0" collapsed="false">
      <c r="A43" s="80" t="s">
        <v>2237</v>
      </c>
      <c r="B43" s="81"/>
      <c r="C43" s="81"/>
      <c r="D43" s="81"/>
      <c r="E43" s="83"/>
      <c r="F43" s="81"/>
      <c r="G43" s="83"/>
      <c r="H43" s="83"/>
      <c r="I43" s="84" t="str">
        <f aca="false">IF(E43="","",A43&amp;"_1.jpg")</f>
        <v/>
      </c>
      <c r="J43" s="84" t="str">
        <f aca="false">IF(E43="","",A43&amp;"_2.jpg; "&amp;A43&amp;"_3.jpg")</f>
        <v/>
      </c>
      <c r="K43" s="84" t="str">
        <f aca="false">IF(E43="","",A43&amp;"_schema.jpg")</f>
        <v/>
      </c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 t="s">
        <v>96</v>
      </c>
      <c r="W43" s="81"/>
      <c r="X43" s="81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6" t="str">
        <f aca="false">IF(SUM(Y43:AJ43)=0,"",SUM(Y43:AJ43))</f>
        <v/>
      </c>
      <c r="AL43" s="84" t="str">
        <f aca="false">MID(IF(N(Y43)&gt;0,", "&amp;Y$2,"")&amp;IF(N(Z43)&gt;0,", "&amp;Z$2,"")&amp;IF(N(AA43)&gt;0,", "&amp;AA$2,"")&amp;IF(N(AB43)&gt;0,", "&amp;AB$2,"")&amp;IF(N(AC43)&gt;0,", "&amp;AC$2,"")&amp;IF(N(AD43)&gt;0,", "&amp;AD$2,"")&amp;IF(N(AE43)&gt;0,", "&amp;AE$2,"")&amp;IF(N(AF43)&gt;0,", "&amp;AF$2,"")&amp;IF(N(AG43)&gt;0,", "&amp;AG$2,"")&amp;IF(N(AH43)&gt;0,", "&amp;AH$2,"")&amp;IF(N(AI43)&gt;0,", "&amp;AI$2,"")&amp;IF(N(AJ43)&gt;0,", "&amp;AJ$2,""),3,999)</f>
        <v/>
      </c>
      <c r="AM43" s="87" t="str">
        <f aca="false">IF(E43="","",MID(IF(N(Y43)&gt;0,", "&amp;A43&amp;"-"&amp;Y$2,"")&amp;IF(N(Z43)&gt;0,", "&amp;A43&amp;"-"&amp;Z$2,"")&amp;IF(N(AA43)&gt;0,", "&amp;A43&amp;"-"&amp;AA$2,"")&amp;IF(N(AB43)&gt;0,", "&amp;A43&amp;"-"&amp;AB$2,"")&amp;IF(N(AC43)&gt;0,", "&amp;A43&amp;"-"&amp;AC$2,"")&amp;IF(N(AD43)&gt;0,", "&amp;A43&amp;"-"&amp;AD$2,"")&amp;IF(N(AE43)&gt;0,", "&amp;A43&amp;"-"&amp;AE$2,"")&amp;IF(N(AF43)&gt;0,", "&amp;A43&amp;"-"&amp;AF$2,"")&amp;IF(N(AG43)&gt;0,", "&amp;A43&amp;"-"&amp;AG$2,"")&amp;IF(N(AH43)&gt;0,", "&amp;A43&amp;"-"&amp;AH$2,"")&amp;IF(N(AI43)&gt;0,", "&amp;A43&amp;"-"&amp;AI$2,"")&amp;IF(N(AJ43)&gt;0,", "&amp;A43&amp;"-"&amp;AJ$2,""),3,999))</f>
        <v/>
      </c>
      <c r="AN43" s="81"/>
      <c r="AO43" s="88"/>
      <c r="AP43" s="89" t="str">
        <f aca="false">IF(AO43="","",ROUND(AO43/(1+Справочники!$B$13),2))</f>
        <v/>
      </c>
      <c r="AQ43" s="90" t="str">
        <f aca="false" t="array" ref="AQ43:AQ43">IF(AP43="","",AP43*INDEX(Справочники!$B$4:$B$7,MATCH("RUB",Справочники!$A$4:$A$7,0)))</f>
        <v/>
      </c>
      <c r="AR43" s="90" t="str">
        <f aca="false">IF(AQ43="","",ROUND(AQ43*(1+Справочники!$B$12),0))</f>
        <v/>
      </c>
      <c r="AS43" s="90" t="str">
        <f aca="false">IF(AR43="","",ROUND(AR43*(1-Справочники!$B$11),0))</f>
        <v/>
      </c>
      <c r="AT43" s="88"/>
      <c r="AU43" s="90" t="str">
        <f aca="false">IF(AT43="","",ROUND(AT43/(1+Справочники!$B$12),0))</f>
        <v/>
      </c>
      <c r="AV43" s="90" t="str">
        <f aca="false">IF(AT43="","",ROUND(AT43*(1-Справочники!$B$15),0))</f>
        <v/>
      </c>
      <c r="AW43" s="90" t="str">
        <f aca="false">IF(AT43="","",ROUND(AT43*(1-Справочники!$B$16),0))</f>
        <v/>
      </c>
      <c r="AX43" s="90" t="str">
        <f aca="false">IF(AT43="","",ROUND(AT43*(1-Справочники!$B$17),0))</f>
        <v/>
      </c>
      <c r="AY43" s="90" t="str">
        <f aca="false">IF(AT43="","",ROUND(AT43*(1-Справочники!$B$18),0))</f>
        <v/>
      </c>
      <c r="AZ43" s="90" t="str">
        <f aca="false">IF(AT43="","",ROUND(AT43*(1-Справочники!$B$19),0))</f>
        <v/>
      </c>
      <c r="BA43" s="81"/>
      <c r="BB43" s="81"/>
      <c r="BC43" s="81"/>
      <c r="BD43" s="81"/>
      <c r="BE43" s="91"/>
      <c r="BF43" s="81" t="s">
        <v>103</v>
      </c>
      <c r="BG43" s="89" t="n">
        <f aca="false" t="array" ref="BG43:BG43">IF(BF43="","",IFERROR(INDEX(Справочники!$B$4:$B$7,MATCH(BF43,Справочники!$A$4:$A$7,0)),""))</f>
        <v>68.5</v>
      </c>
      <c r="BH43" s="90" t="str">
        <f aca="false">IF(N(BN43)&gt;0,ROUND(SUMIF(ЗАКАЗЫ!$F$3:$F$500,$A43,ЗАКАЗЫ!$Y$3:$Y$500)/BN43,0),IF(OR(BE43="",BG43=""),"",ROUND(BE43*BG43*(1+Справочники!$B$10),0)))</f>
        <v/>
      </c>
      <c r="BI43" s="92" t="str">
        <f aca="false">IF(OR(AU43="",BH43="",AU43=0),"",(AU43-BH43)/AU43)</f>
        <v/>
      </c>
      <c r="BJ43" s="81"/>
      <c r="BK43" s="83"/>
      <c r="BL43" s="43" t="str">
        <f aca="false">IFERROR(INDEX(ЗАКАЗЫ!$N$3:$N$500,MATCH($A43,ЗАКАЗЫ!$F$3:$F$500,0)),"")</f>
        <v/>
      </c>
      <c r="BM43" s="8" t="str">
        <f aca="false">IF(BL43="","",IFERROR(VLOOKUP(BL43,'ТН ВЭД'!$A$4:$C$40,3,0),""))</f>
        <v/>
      </c>
      <c r="BN43" s="7" t="str">
        <f aca="false">IF(COUNTIF(ЗАКАЗЫ!$F$3:$F$500,$A43)=0,"",SUMIF(ЗАКАЗЫ!$F$3:$F$500,$A43,ЗАКАЗЫ!$J$3:$J$500))</f>
        <v/>
      </c>
      <c r="BO43" s="7" t="str">
        <f aca="false">IF(BN43="","",SUMIF(ЗАКАЗЫ!$F$3:$F$500,$A43,ЗАКАЗЫ!$AL$3:$AL$500))</f>
        <v/>
      </c>
      <c r="BP43" s="7" t="str">
        <f aca="false">IF(BN43="","",BN43-BO43)</f>
        <v/>
      </c>
      <c r="BQ43" s="55" t="str">
        <f aca="false">IF(BN43="","",IF(BO43&gt;=BN43,"На складе",IF(BO43&gt;0,"Частично","Ждём")))</f>
        <v/>
      </c>
      <c r="BR43" s="43"/>
      <c r="BS43" s="47" t="str">
        <f aca="false">IF(BN43="","",IF(_xlfn.MAXIFS(ЗАКАЗЫ!$AK$3:$AK$500,ЗАКАЗЫ!$F$3:$F$500,$A43)=0,"",_xlfn.MAXIFS(ЗАКАЗЫ!$AK$3:$AK$500,ЗАКАЗЫ!$F$3:$F$500,$A43)))</f>
        <v/>
      </c>
    </row>
    <row r="44" customFormat="false" ht="15.75" hidden="false" customHeight="true" outlineLevel="0" collapsed="false">
      <c r="A44" s="80" t="s">
        <v>2238</v>
      </c>
      <c r="B44" s="81"/>
      <c r="C44" s="81"/>
      <c r="D44" s="81"/>
      <c r="E44" s="83"/>
      <c r="F44" s="81"/>
      <c r="G44" s="83"/>
      <c r="H44" s="83"/>
      <c r="I44" s="84" t="str">
        <f aca="false">IF(E44="","",A44&amp;"_1.jpg")</f>
        <v/>
      </c>
      <c r="J44" s="84" t="str">
        <f aca="false">IF(E44="","",A44&amp;"_2.jpg; "&amp;A44&amp;"_3.jpg")</f>
        <v/>
      </c>
      <c r="K44" s="84" t="str">
        <f aca="false">IF(E44="","",A44&amp;"_schema.jpg")</f>
        <v/>
      </c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 t="s">
        <v>96</v>
      </c>
      <c r="W44" s="81"/>
      <c r="X44" s="81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6" t="str">
        <f aca="false">IF(SUM(Y44:AJ44)=0,"",SUM(Y44:AJ44))</f>
        <v/>
      </c>
      <c r="AL44" s="84" t="str">
        <f aca="false">MID(IF(N(Y44)&gt;0,", "&amp;Y$2,"")&amp;IF(N(Z44)&gt;0,", "&amp;Z$2,"")&amp;IF(N(AA44)&gt;0,", "&amp;AA$2,"")&amp;IF(N(AB44)&gt;0,", "&amp;AB$2,"")&amp;IF(N(AC44)&gt;0,", "&amp;AC$2,"")&amp;IF(N(AD44)&gt;0,", "&amp;AD$2,"")&amp;IF(N(AE44)&gt;0,", "&amp;AE$2,"")&amp;IF(N(AF44)&gt;0,", "&amp;AF$2,"")&amp;IF(N(AG44)&gt;0,", "&amp;AG$2,"")&amp;IF(N(AH44)&gt;0,", "&amp;AH$2,"")&amp;IF(N(AI44)&gt;0,", "&amp;AI$2,"")&amp;IF(N(AJ44)&gt;0,", "&amp;AJ$2,""),3,999)</f>
        <v/>
      </c>
      <c r="AM44" s="87" t="str">
        <f aca="false">IF(E44="","",MID(IF(N(Y44)&gt;0,", "&amp;A44&amp;"-"&amp;Y$2,"")&amp;IF(N(Z44)&gt;0,", "&amp;A44&amp;"-"&amp;Z$2,"")&amp;IF(N(AA44)&gt;0,", "&amp;A44&amp;"-"&amp;AA$2,"")&amp;IF(N(AB44)&gt;0,", "&amp;A44&amp;"-"&amp;AB$2,"")&amp;IF(N(AC44)&gt;0,", "&amp;A44&amp;"-"&amp;AC$2,"")&amp;IF(N(AD44)&gt;0,", "&amp;A44&amp;"-"&amp;AD$2,"")&amp;IF(N(AE44)&gt;0,", "&amp;A44&amp;"-"&amp;AE$2,"")&amp;IF(N(AF44)&gt;0,", "&amp;A44&amp;"-"&amp;AF$2,"")&amp;IF(N(AG44)&gt;0,", "&amp;A44&amp;"-"&amp;AG$2,"")&amp;IF(N(AH44)&gt;0,", "&amp;A44&amp;"-"&amp;AH$2,"")&amp;IF(N(AI44)&gt;0,", "&amp;A44&amp;"-"&amp;AI$2,"")&amp;IF(N(AJ44)&gt;0,", "&amp;A44&amp;"-"&amp;AJ$2,""),3,999))</f>
        <v/>
      </c>
      <c r="AN44" s="81"/>
      <c r="AO44" s="88"/>
      <c r="AP44" s="89" t="str">
        <f aca="false">IF(AO44="","",ROUND(AO44/(1+Справочники!$B$13),2))</f>
        <v/>
      </c>
      <c r="AQ44" s="90" t="str">
        <f aca="false" t="array" ref="AQ44:AQ44">IF(AP44="","",AP44*INDEX(Справочники!$B$4:$B$7,MATCH("RUB",Справочники!$A$4:$A$7,0)))</f>
        <v/>
      </c>
      <c r="AR44" s="90" t="str">
        <f aca="false">IF(AQ44="","",ROUND(AQ44*(1+Справочники!$B$12),0))</f>
        <v/>
      </c>
      <c r="AS44" s="90" t="str">
        <f aca="false">IF(AR44="","",ROUND(AR44*(1-Справочники!$B$11),0))</f>
        <v/>
      </c>
      <c r="AT44" s="88"/>
      <c r="AU44" s="90" t="str">
        <f aca="false">IF(AT44="","",ROUND(AT44/(1+Справочники!$B$12),0))</f>
        <v/>
      </c>
      <c r="AV44" s="90" t="str">
        <f aca="false">IF(AT44="","",ROUND(AT44*(1-Справочники!$B$15),0))</f>
        <v/>
      </c>
      <c r="AW44" s="90" t="str">
        <f aca="false">IF(AT44="","",ROUND(AT44*(1-Справочники!$B$16),0))</f>
        <v/>
      </c>
      <c r="AX44" s="90" t="str">
        <f aca="false">IF(AT44="","",ROUND(AT44*(1-Справочники!$B$17),0))</f>
        <v/>
      </c>
      <c r="AY44" s="90" t="str">
        <f aca="false">IF(AT44="","",ROUND(AT44*(1-Справочники!$B$18),0))</f>
        <v/>
      </c>
      <c r="AZ44" s="90" t="str">
        <f aca="false">IF(AT44="","",ROUND(AT44*(1-Справочники!$B$19),0))</f>
        <v/>
      </c>
      <c r="BA44" s="81"/>
      <c r="BB44" s="81"/>
      <c r="BC44" s="81"/>
      <c r="BD44" s="81"/>
      <c r="BE44" s="91"/>
      <c r="BF44" s="81" t="s">
        <v>103</v>
      </c>
      <c r="BG44" s="89" t="n">
        <f aca="false" t="array" ref="BG44:BG44">IF(BF44="","",IFERROR(INDEX(Справочники!$B$4:$B$7,MATCH(BF44,Справочники!$A$4:$A$7,0)),""))</f>
        <v>68.5</v>
      </c>
      <c r="BH44" s="90" t="str">
        <f aca="false">IF(N(BN44)&gt;0,ROUND(SUMIF(ЗАКАЗЫ!$F$3:$F$500,$A44,ЗАКАЗЫ!$Y$3:$Y$500)/BN44,0),IF(OR(BE44="",BG44=""),"",ROUND(BE44*BG44*(1+Справочники!$B$10),0)))</f>
        <v/>
      </c>
      <c r="BI44" s="92" t="str">
        <f aca="false">IF(OR(AU44="",BH44="",AU44=0),"",(AU44-BH44)/AU44)</f>
        <v/>
      </c>
      <c r="BJ44" s="81"/>
      <c r="BK44" s="83"/>
      <c r="BL44" s="43" t="str">
        <f aca="false">IFERROR(INDEX(ЗАКАЗЫ!$N$3:$N$500,MATCH($A44,ЗАКАЗЫ!$F$3:$F$500,0)),"")</f>
        <v/>
      </c>
      <c r="BM44" s="8" t="str">
        <f aca="false">IF(BL44="","",IFERROR(VLOOKUP(BL44,'ТН ВЭД'!$A$4:$C$40,3,0),""))</f>
        <v/>
      </c>
      <c r="BN44" s="7" t="str">
        <f aca="false">IF(COUNTIF(ЗАКАЗЫ!$F$3:$F$500,$A44)=0,"",SUMIF(ЗАКАЗЫ!$F$3:$F$500,$A44,ЗАКАЗЫ!$J$3:$J$500))</f>
        <v/>
      </c>
      <c r="BO44" s="7" t="str">
        <f aca="false">IF(BN44="","",SUMIF(ЗАКАЗЫ!$F$3:$F$500,$A44,ЗАКАЗЫ!$AL$3:$AL$500))</f>
        <v/>
      </c>
      <c r="BP44" s="7" t="str">
        <f aca="false">IF(BN44="","",BN44-BO44)</f>
        <v/>
      </c>
      <c r="BQ44" s="55" t="str">
        <f aca="false">IF(BN44="","",IF(BO44&gt;=BN44,"На складе",IF(BO44&gt;0,"Частично","Ждём")))</f>
        <v/>
      </c>
      <c r="BR44" s="43"/>
      <c r="BS44" s="47" t="str">
        <f aca="false">IF(BN44="","",IF(_xlfn.MAXIFS(ЗАКАЗЫ!$AK$3:$AK$500,ЗАКАЗЫ!$F$3:$F$500,$A44)=0,"",_xlfn.MAXIFS(ЗАКАЗЫ!$AK$3:$AK$500,ЗАКАЗЫ!$F$3:$F$500,$A44)))</f>
        <v/>
      </c>
    </row>
    <row r="45" customFormat="false" ht="15.75" hidden="false" customHeight="true" outlineLevel="0" collapsed="false">
      <c r="A45" s="80" t="s">
        <v>2239</v>
      </c>
      <c r="B45" s="81"/>
      <c r="C45" s="81"/>
      <c r="D45" s="81"/>
      <c r="E45" s="83"/>
      <c r="F45" s="81"/>
      <c r="G45" s="83"/>
      <c r="H45" s="83"/>
      <c r="I45" s="84" t="str">
        <f aca="false">IF(E45="","",A45&amp;"_1.jpg")</f>
        <v/>
      </c>
      <c r="J45" s="84" t="str">
        <f aca="false">IF(E45="","",A45&amp;"_2.jpg; "&amp;A45&amp;"_3.jpg")</f>
        <v/>
      </c>
      <c r="K45" s="84" t="str">
        <f aca="false">IF(E45="","",A45&amp;"_schema.jpg")</f>
        <v/>
      </c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 t="s">
        <v>96</v>
      </c>
      <c r="W45" s="81"/>
      <c r="X45" s="81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6" t="str">
        <f aca="false">IF(SUM(Y45:AJ45)=0,"",SUM(Y45:AJ45))</f>
        <v/>
      </c>
      <c r="AL45" s="84" t="str">
        <f aca="false">MID(IF(N(Y45)&gt;0,", "&amp;Y$2,"")&amp;IF(N(Z45)&gt;0,", "&amp;Z$2,"")&amp;IF(N(AA45)&gt;0,", "&amp;AA$2,"")&amp;IF(N(AB45)&gt;0,", "&amp;AB$2,"")&amp;IF(N(AC45)&gt;0,", "&amp;AC$2,"")&amp;IF(N(AD45)&gt;0,", "&amp;AD$2,"")&amp;IF(N(AE45)&gt;0,", "&amp;AE$2,"")&amp;IF(N(AF45)&gt;0,", "&amp;AF$2,"")&amp;IF(N(AG45)&gt;0,", "&amp;AG$2,"")&amp;IF(N(AH45)&gt;0,", "&amp;AH$2,"")&amp;IF(N(AI45)&gt;0,", "&amp;AI$2,"")&amp;IF(N(AJ45)&gt;0,", "&amp;AJ$2,""),3,999)</f>
        <v/>
      </c>
      <c r="AM45" s="87" t="str">
        <f aca="false">IF(E45="","",MID(IF(N(Y45)&gt;0,", "&amp;A45&amp;"-"&amp;Y$2,"")&amp;IF(N(Z45)&gt;0,", "&amp;A45&amp;"-"&amp;Z$2,"")&amp;IF(N(AA45)&gt;0,", "&amp;A45&amp;"-"&amp;AA$2,"")&amp;IF(N(AB45)&gt;0,", "&amp;A45&amp;"-"&amp;AB$2,"")&amp;IF(N(AC45)&gt;0,", "&amp;A45&amp;"-"&amp;AC$2,"")&amp;IF(N(AD45)&gt;0,", "&amp;A45&amp;"-"&amp;AD$2,"")&amp;IF(N(AE45)&gt;0,", "&amp;A45&amp;"-"&amp;AE$2,"")&amp;IF(N(AF45)&gt;0,", "&amp;A45&amp;"-"&amp;AF$2,"")&amp;IF(N(AG45)&gt;0,", "&amp;A45&amp;"-"&amp;AG$2,"")&amp;IF(N(AH45)&gt;0,", "&amp;A45&amp;"-"&amp;AH$2,"")&amp;IF(N(AI45)&gt;0,", "&amp;A45&amp;"-"&amp;AI$2,"")&amp;IF(N(AJ45)&gt;0,", "&amp;A45&amp;"-"&amp;AJ$2,""),3,999))</f>
        <v/>
      </c>
      <c r="AN45" s="81"/>
      <c r="AO45" s="88"/>
      <c r="AP45" s="89" t="str">
        <f aca="false">IF(AO45="","",ROUND(AO45/(1+Справочники!$B$13),2))</f>
        <v/>
      </c>
      <c r="AQ45" s="90" t="str">
        <f aca="false" t="array" ref="AQ45:AQ45">IF(AP45="","",AP45*INDEX(Справочники!$B$4:$B$7,MATCH("RUB",Справочники!$A$4:$A$7,0)))</f>
        <v/>
      </c>
      <c r="AR45" s="90" t="str">
        <f aca="false">IF(AQ45="","",ROUND(AQ45*(1+Справочники!$B$12),0))</f>
        <v/>
      </c>
      <c r="AS45" s="90" t="str">
        <f aca="false">IF(AR45="","",ROUND(AR45*(1-Справочники!$B$11),0))</f>
        <v/>
      </c>
      <c r="AT45" s="88"/>
      <c r="AU45" s="90" t="str">
        <f aca="false">IF(AT45="","",ROUND(AT45/(1+Справочники!$B$12),0))</f>
        <v/>
      </c>
      <c r="AV45" s="90" t="str">
        <f aca="false">IF(AT45="","",ROUND(AT45*(1-Справочники!$B$15),0))</f>
        <v/>
      </c>
      <c r="AW45" s="90" t="str">
        <f aca="false">IF(AT45="","",ROUND(AT45*(1-Справочники!$B$16),0))</f>
        <v/>
      </c>
      <c r="AX45" s="90" t="str">
        <f aca="false">IF(AT45="","",ROUND(AT45*(1-Справочники!$B$17),0))</f>
        <v/>
      </c>
      <c r="AY45" s="90" t="str">
        <f aca="false">IF(AT45="","",ROUND(AT45*(1-Справочники!$B$18),0))</f>
        <v/>
      </c>
      <c r="AZ45" s="90" t="str">
        <f aca="false">IF(AT45="","",ROUND(AT45*(1-Справочники!$B$19),0))</f>
        <v/>
      </c>
      <c r="BA45" s="81"/>
      <c r="BB45" s="81"/>
      <c r="BC45" s="81"/>
      <c r="BD45" s="81"/>
      <c r="BE45" s="91"/>
      <c r="BF45" s="81" t="s">
        <v>103</v>
      </c>
      <c r="BG45" s="89" t="n">
        <f aca="false" t="array" ref="BG45:BG45">IF(BF45="","",IFERROR(INDEX(Справочники!$B$4:$B$7,MATCH(BF45,Справочники!$A$4:$A$7,0)),""))</f>
        <v>68.5</v>
      </c>
      <c r="BH45" s="90" t="str">
        <f aca="false">IF(N(BN45)&gt;0,ROUND(SUMIF(ЗАКАЗЫ!$F$3:$F$500,$A45,ЗАКАЗЫ!$Y$3:$Y$500)/BN45,0),IF(OR(BE45="",BG45=""),"",ROUND(BE45*BG45*(1+Справочники!$B$10),0)))</f>
        <v/>
      </c>
      <c r="BI45" s="92" t="str">
        <f aca="false">IF(OR(AU45="",BH45="",AU45=0),"",(AU45-BH45)/AU45)</f>
        <v/>
      </c>
      <c r="BJ45" s="81"/>
      <c r="BK45" s="83"/>
      <c r="BL45" s="43" t="str">
        <f aca="false">IFERROR(INDEX(ЗАКАЗЫ!$N$3:$N$500,MATCH($A45,ЗАКАЗЫ!$F$3:$F$500,0)),"")</f>
        <v/>
      </c>
      <c r="BM45" s="8" t="str">
        <f aca="false">IF(BL45="","",IFERROR(VLOOKUP(BL45,'ТН ВЭД'!$A$4:$C$40,3,0),""))</f>
        <v/>
      </c>
      <c r="BN45" s="7" t="str">
        <f aca="false">IF(COUNTIF(ЗАКАЗЫ!$F$3:$F$500,$A45)=0,"",SUMIF(ЗАКАЗЫ!$F$3:$F$500,$A45,ЗАКАЗЫ!$J$3:$J$500))</f>
        <v/>
      </c>
      <c r="BO45" s="7" t="str">
        <f aca="false">IF(BN45="","",SUMIF(ЗАКАЗЫ!$F$3:$F$500,$A45,ЗАКАЗЫ!$AL$3:$AL$500))</f>
        <v/>
      </c>
      <c r="BP45" s="7" t="str">
        <f aca="false">IF(BN45="","",BN45-BO45)</f>
        <v/>
      </c>
      <c r="BQ45" s="55" t="str">
        <f aca="false">IF(BN45="","",IF(BO45&gt;=BN45,"На складе",IF(BO45&gt;0,"Частично","Ждём")))</f>
        <v/>
      </c>
      <c r="BR45" s="43"/>
      <c r="BS45" s="47" t="str">
        <f aca="false">IF(BN45="","",IF(_xlfn.MAXIFS(ЗАКАЗЫ!$AK$3:$AK$500,ЗАКАЗЫ!$F$3:$F$500,$A45)=0,"",_xlfn.MAXIFS(ЗАКАЗЫ!$AK$3:$AK$500,ЗАКАЗЫ!$F$3:$F$500,$A45)))</f>
        <v/>
      </c>
    </row>
    <row r="46" customFormat="false" ht="15.75" hidden="false" customHeight="true" outlineLevel="0" collapsed="false">
      <c r="A46" s="80" t="s">
        <v>2240</v>
      </c>
      <c r="B46" s="81"/>
      <c r="C46" s="81"/>
      <c r="D46" s="81"/>
      <c r="E46" s="83"/>
      <c r="F46" s="81"/>
      <c r="G46" s="83"/>
      <c r="H46" s="83"/>
      <c r="I46" s="84" t="str">
        <f aca="false">IF(E46="","",A46&amp;"_1.jpg")</f>
        <v/>
      </c>
      <c r="J46" s="84" t="str">
        <f aca="false">IF(E46="","",A46&amp;"_2.jpg; "&amp;A46&amp;"_3.jpg")</f>
        <v/>
      </c>
      <c r="K46" s="84" t="str">
        <f aca="false">IF(E46="","",A46&amp;"_schema.jpg")</f>
        <v/>
      </c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 t="s">
        <v>96</v>
      </c>
      <c r="W46" s="81"/>
      <c r="X46" s="81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6" t="str">
        <f aca="false">IF(SUM(Y46:AJ46)=0,"",SUM(Y46:AJ46))</f>
        <v/>
      </c>
      <c r="AL46" s="84" t="str">
        <f aca="false">MID(IF(N(Y46)&gt;0,", "&amp;Y$2,"")&amp;IF(N(Z46)&gt;0,", "&amp;Z$2,"")&amp;IF(N(AA46)&gt;0,", "&amp;AA$2,"")&amp;IF(N(AB46)&gt;0,", "&amp;AB$2,"")&amp;IF(N(AC46)&gt;0,", "&amp;AC$2,"")&amp;IF(N(AD46)&gt;0,", "&amp;AD$2,"")&amp;IF(N(AE46)&gt;0,", "&amp;AE$2,"")&amp;IF(N(AF46)&gt;0,", "&amp;AF$2,"")&amp;IF(N(AG46)&gt;0,", "&amp;AG$2,"")&amp;IF(N(AH46)&gt;0,", "&amp;AH$2,"")&amp;IF(N(AI46)&gt;0,", "&amp;AI$2,"")&amp;IF(N(AJ46)&gt;0,", "&amp;AJ$2,""),3,999)</f>
        <v/>
      </c>
      <c r="AM46" s="87" t="str">
        <f aca="false">IF(E46="","",MID(IF(N(Y46)&gt;0,", "&amp;A46&amp;"-"&amp;Y$2,"")&amp;IF(N(Z46)&gt;0,", "&amp;A46&amp;"-"&amp;Z$2,"")&amp;IF(N(AA46)&gt;0,", "&amp;A46&amp;"-"&amp;AA$2,"")&amp;IF(N(AB46)&gt;0,", "&amp;A46&amp;"-"&amp;AB$2,"")&amp;IF(N(AC46)&gt;0,", "&amp;A46&amp;"-"&amp;AC$2,"")&amp;IF(N(AD46)&gt;0,", "&amp;A46&amp;"-"&amp;AD$2,"")&amp;IF(N(AE46)&gt;0,", "&amp;A46&amp;"-"&amp;AE$2,"")&amp;IF(N(AF46)&gt;0,", "&amp;A46&amp;"-"&amp;AF$2,"")&amp;IF(N(AG46)&gt;0,", "&amp;A46&amp;"-"&amp;AG$2,"")&amp;IF(N(AH46)&gt;0,", "&amp;A46&amp;"-"&amp;AH$2,"")&amp;IF(N(AI46)&gt;0,", "&amp;A46&amp;"-"&amp;AI$2,"")&amp;IF(N(AJ46)&gt;0,", "&amp;A46&amp;"-"&amp;AJ$2,""),3,999))</f>
        <v/>
      </c>
      <c r="AN46" s="81"/>
      <c r="AO46" s="88"/>
      <c r="AP46" s="89" t="str">
        <f aca="false">IF(AO46="","",ROUND(AO46/(1+Справочники!$B$13),2))</f>
        <v/>
      </c>
      <c r="AQ46" s="90" t="str">
        <f aca="false" t="array" ref="AQ46:AQ46">IF(AP46="","",AP46*INDEX(Справочники!$B$4:$B$7,MATCH("RUB",Справочники!$A$4:$A$7,0)))</f>
        <v/>
      </c>
      <c r="AR46" s="90" t="str">
        <f aca="false">IF(AQ46="","",ROUND(AQ46*(1+Справочники!$B$12),0))</f>
        <v/>
      </c>
      <c r="AS46" s="90" t="str">
        <f aca="false">IF(AR46="","",ROUND(AR46*(1-Справочники!$B$11),0))</f>
        <v/>
      </c>
      <c r="AT46" s="88"/>
      <c r="AU46" s="90" t="str">
        <f aca="false">IF(AT46="","",ROUND(AT46/(1+Справочники!$B$12),0))</f>
        <v/>
      </c>
      <c r="AV46" s="90" t="str">
        <f aca="false">IF(AT46="","",ROUND(AT46*(1-Справочники!$B$15),0))</f>
        <v/>
      </c>
      <c r="AW46" s="90" t="str">
        <f aca="false">IF(AT46="","",ROUND(AT46*(1-Справочники!$B$16),0))</f>
        <v/>
      </c>
      <c r="AX46" s="90" t="str">
        <f aca="false">IF(AT46="","",ROUND(AT46*(1-Справочники!$B$17),0))</f>
        <v/>
      </c>
      <c r="AY46" s="90" t="str">
        <f aca="false">IF(AT46="","",ROUND(AT46*(1-Справочники!$B$18),0))</f>
        <v/>
      </c>
      <c r="AZ46" s="90" t="str">
        <f aca="false">IF(AT46="","",ROUND(AT46*(1-Справочники!$B$19),0))</f>
        <v/>
      </c>
      <c r="BA46" s="81"/>
      <c r="BB46" s="81"/>
      <c r="BC46" s="81"/>
      <c r="BD46" s="81"/>
      <c r="BE46" s="91"/>
      <c r="BF46" s="81" t="s">
        <v>103</v>
      </c>
      <c r="BG46" s="89" t="n">
        <f aca="false" t="array" ref="BG46:BG46">IF(BF46="","",IFERROR(INDEX(Справочники!$B$4:$B$7,MATCH(BF46,Справочники!$A$4:$A$7,0)),""))</f>
        <v>68.5</v>
      </c>
      <c r="BH46" s="90" t="str">
        <f aca="false">IF(N(BN46)&gt;0,ROUND(SUMIF(ЗАКАЗЫ!$F$3:$F$500,$A46,ЗАКАЗЫ!$Y$3:$Y$500)/BN46,0),IF(OR(BE46="",BG46=""),"",ROUND(BE46*BG46*(1+Справочники!$B$10),0)))</f>
        <v/>
      </c>
      <c r="BI46" s="92" t="str">
        <f aca="false">IF(OR(AU46="",BH46="",AU46=0),"",(AU46-BH46)/AU46)</f>
        <v/>
      </c>
      <c r="BJ46" s="81"/>
      <c r="BK46" s="83"/>
      <c r="BL46" s="43" t="str">
        <f aca="false">IFERROR(INDEX(ЗАКАЗЫ!$N$3:$N$500,MATCH($A46,ЗАКАЗЫ!$F$3:$F$500,0)),"")</f>
        <v/>
      </c>
      <c r="BM46" s="8" t="str">
        <f aca="false">IF(BL46="","",IFERROR(VLOOKUP(BL46,'ТН ВЭД'!$A$4:$C$40,3,0),""))</f>
        <v/>
      </c>
      <c r="BN46" s="7" t="str">
        <f aca="false">IF(COUNTIF(ЗАКАЗЫ!$F$3:$F$500,$A46)=0,"",SUMIF(ЗАКАЗЫ!$F$3:$F$500,$A46,ЗАКАЗЫ!$J$3:$J$500))</f>
        <v/>
      </c>
      <c r="BO46" s="7" t="str">
        <f aca="false">IF(BN46="","",SUMIF(ЗАКАЗЫ!$F$3:$F$500,$A46,ЗАКАЗЫ!$AL$3:$AL$500))</f>
        <v/>
      </c>
      <c r="BP46" s="7" t="str">
        <f aca="false">IF(BN46="","",BN46-BO46)</f>
        <v/>
      </c>
      <c r="BQ46" s="55" t="str">
        <f aca="false">IF(BN46="","",IF(BO46&gt;=BN46,"На складе",IF(BO46&gt;0,"Частично","Ждём")))</f>
        <v/>
      </c>
      <c r="BR46" s="43"/>
      <c r="BS46" s="47" t="str">
        <f aca="false">IF(BN46="","",IF(_xlfn.MAXIFS(ЗАКАЗЫ!$AK$3:$AK$500,ЗАКАЗЫ!$F$3:$F$500,$A46)=0,"",_xlfn.MAXIFS(ЗАКАЗЫ!$AK$3:$AK$500,ЗАКАЗЫ!$F$3:$F$500,$A46)))</f>
        <v/>
      </c>
    </row>
    <row r="47" customFormat="false" ht="15.75" hidden="false" customHeight="true" outlineLevel="0" collapsed="false">
      <c r="A47" s="80" t="s">
        <v>2241</v>
      </c>
      <c r="B47" s="81"/>
      <c r="C47" s="81"/>
      <c r="D47" s="81"/>
      <c r="E47" s="83"/>
      <c r="F47" s="81"/>
      <c r="G47" s="83"/>
      <c r="H47" s="83"/>
      <c r="I47" s="84" t="str">
        <f aca="false">IF(E47="","",A47&amp;"_1.jpg")</f>
        <v/>
      </c>
      <c r="J47" s="84" t="str">
        <f aca="false">IF(E47="","",A47&amp;"_2.jpg; "&amp;A47&amp;"_3.jpg")</f>
        <v/>
      </c>
      <c r="K47" s="84" t="str">
        <f aca="false">IF(E47="","",A47&amp;"_schema.jpg")</f>
        <v/>
      </c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 t="s">
        <v>96</v>
      </c>
      <c r="W47" s="81"/>
      <c r="X47" s="81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6" t="str">
        <f aca="false">IF(SUM(Y47:AJ47)=0,"",SUM(Y47:AJ47))</f>
        <v/>
      </c>
      <c r="AL47" s="84" t="str">
        <f aca="false">MID(IF(N(Y47)&gt;0,", "&amp;Y$2,"")&amp;IF(N(Z47)&gt;0,", "&amp;Z$2,"")&amp;IF(N(AA47)&gt;0,", "&amp;AA$2,"")&amp;IF(N(AB47)&gt;0,", "&amp;AB$2,"")&amp;IF(N(AC47)&gt;0,", "&amp;AC$2,"")&amp;IF(N(AD47)&gt;0,", "&amp;AD$2,"")&amp;IF(N(AE47)&gt;0,", "&amp;AE$2,"")&amp;IF(N(AF47)&gt;0,", "&amp;AF$2,"")&amp;IF(N(AG47)&gt;0,", "&amp;AG$2,"")&amp;IF(N(AH47)&gt;0,", "&amp;AH$2,"")&amp;IF(N(AI47)&gt;0,", "&amp;AI$2,"")&amp;IF(N(AJ47)&gt;0,", "&amp;AJ$2,""),3,999)</f>
        <v/>
      </c>
      <c r="AM47" s="87" t="str">
        <f aca="false">IF(E47="","",MID(IF(N(Y47)&gt;0,", "&amp;A47&amp;"-"&amp;Y$2,"")&amp;IF(N(Z47)&gt;0,", "&amp;A47&amp;"-"&amp;Z$2,"")&amp;IF(N(AA47)&gt;0,", "&amp;A47&amp;"-"&amp;AA$2,"")&amp;IF(N(AB47)&gt;0,", "&amp;A47&amp;"-"&amp;AB$2,"")&amp;IF(N(AC47)&gt;0,", "&amp;A47&amp;"-"&amp;AC$2,"")&amp;IF(N(AD47)&gt;0,", "&amp;A47&amp;"-"&amp;AD$2,"")&amp;IF(N(AE47)&gt;0,", "&amp;A47&amp;"-"&amp;AE$2,"")&amp;IF(N(AF47)&gt;0,", "&amp;A47&amp;"-"&amp;AF$2,"")&amp;IF(N(AG47)&gt;0,", "&amp;A47&amp;"-"&amp;AG$2,"")&amp;IF(N(AH47)&gt;0,", "&amp;A47&amp;"-"&amp;AH$2,"")&amp;IF(N(AI47)&gt;0,", "&amp;A47&amp;"-"&amp;AI$2,"")&amp;IF(N(AJ47)&gt;0,", "&amp;A47&amp;"-"&amp;AJ$2,""),3,999))</f>
        <v/>
      </c>
      <c r="AN47" s="81"/>
      <c r="AO47" s="88"/>
      <c r="AP47" s="89" t="str">
        <f aca="false">IF(AO47="","",ROUND(AO47/(1+Справочники!$B$13),2))</f>
        <v/>
      </c>
      <c r="AQ47" s="90" t="str">
        <f aca="false" t="array" ref="AQ47:AQ47">IF(AP47="","",AP47*INDEX(Справочники!$B$4:$B$7,MATCH("RUB",Справочники!$A$4:$A$7,0)))</f>
        <v/>
      </c>
      <c r="AR47" s="90" t="str">
        <f aca="false">IF(AQ47="","",ROUND(AQ47*(1+Справочники!$B$12),0))</f>
        <v/>
      </c>
      <c r="AS47" s="90" t="str">
        <f aca="false">IF(AR47="","",ROUND(AR47*(1-Справочники!$B$11),0))</f>
        <v/>
      </c>
      <c r="AT47" s="88"/>
      <c r="AU47" s="90" t="str">
        <f aca="false">IF(AT47="","",ROUND(AT47/(1+Справочники!$B$12),0))</f>
        <v/>
      </c>
      <c r="AV47" s="90" t="str">
        <f aca="false">IF(AT47="","",ROUND(AT47*(1-Справочники!$B$15),0))</f>
        <v/>
      </c>
      <c r="AW47" s="90" t="str">
        <f aca="false">IF(AT47="","",ROUND(AT47*(1-Справочники!$B$16),0))</f>
        <v/>
      </c>
      <c r="AX47" s="90" t="str">
        <f aca="false">IF(AT47="","",ROUND(AT47*(1-Справочники!$B$17),0))</f>
        <v/>
      </c>
      <c r="AY47" s="90" t="str">
        <f aca="false">IF(AT47="","",ROUND(AT47*(1-Справочники!$B$18),0))</f>
        <v/>
      </c>
      <c r="AZ47" s="90" t="str">
        <f aca="false">IF(AT47="","",ROUND(AT47*(1-Справочники!$B$19),0))</f>
        <v/>
      </c>
      <c r="BA47" s="81"/>
      <c r="BB47" s="81"/>
      <c r="BC47" s="81"/>
      <c r="BD47" s="81"/>
      <c r="BE47" s="91"/>
      <c r="BF47" s="81" t="s">
        <v>103</v>
      </c>
      <c r="BG47" s="89" t="n">
        <f aca="false" t="array" ref="BG47:BG47">IF(BF47="","",IFERROR(INDEX(Справочники!$B$4:$B$7,MATCH(BF47,Справочники!$A$4:$A$7,0)),""))</f>
        <v>68.5</v>
      </c>
      <c r="BH47" s="90" t="str">
        <f aca="false">IF(N(BN47)&gt;0,ROUND(SUMIF(ЗАКАЗЫ!$F$3:$F$500,$A47,ЗАКАЗЫ!$Y$3:$Y$500)/BN47,0),IF(OR(BE47="",BG47=""),"",ROUND(BE47*BG47*(1+Справочники!$B$10),0)))</f>
        <v/>
      </c>
      <c r="BI47" s="92" t="str">
        <f aca="false">IF(OR(AU47="",BH47="",AU47=0),"",(AU47-BH47)/AU47)</f>
        <v/>
      </c>
      <c r="BJ47" s="81"/>
      <c r="BK47" s="83"/>
      <c r="BL47" s="43" t="str">
        <f aca="false">IFERROR(INDEX(ЗАКАЗЫ!$N$3:$N$500,MATCH($A47,ЗАКАЗЫ!$F$3:$F$500,0)),"")</f>
        <v/>
      </c>
      <c r="BM47" s="8" t="str">
        <f aca="false">IF(BL47="","",IFERROR(VLOOKUP(BL47,'ТН ВЭД'!$A$4:$C$40,3,0),""))</f>
        <v/>
      </c>
      <c r="BN47" s="7" t="str">
        <f aca="false">IF(COUNTIF(ЗАКАЗЫ!$F$3:$F$500,$A47)=0,"",SUMIF(ЗАКАЗЫ!$F$3:$F$500,$A47,ЗАКАЗЫ!$J$3:$J$500))</f>
        <v/>
      </c>
      <c r="BO47" s="7" t="str">
        <f aca="false">IF(BN47="","",SUMIF(ЗАКАЗЫ!$F$3:$F$500,$A47,ЗАКАЗЫ!$AL$3:$AL$500))</f>
        <v/>
      </c>
      <c r="BP47" s="7" t="str">
        <f aca="false">IF(BN47="","",BN47-BO47)</f>
        <v/>
      </c>
      <c r="BQ47" s="55" t="str">
        <f aca="false">IF(BN47="","",IF(BO47&gt;=BN47,"На складе",IF(BO47&gt;0,"Частично","Ждём")))</f>
        <v/>
      </c>
      <c r="BR47" s="43"/>
      <c r="BS47" s="47" t="str">
        <f aca="false">IF(BN47="","",IF(_xlfn.MAXIFS(ЗАКАЗЫ!$AK$3:$AK$500,ЗАКАЗЫ!$F$3:$F$500,$A47)=0,"",_xlfn.MAXIFS(ЗАКАЗЫ!$AK$3:$AK$500,ЗАКАЗЫ!$F$3:$F$500,$A47)))</f>
        <v/>
      </c>
    </row>
    <row r="48" customFormat="false" ht="15.75" hidden="false" customHeight="true" outlineLevel="0" collapsed="false">
      <c r="A48" s="80" t="s">
        <v>2242</v>
      </c>
      <c r="B48" s="81"/>
      <c r="C48" s="81"/>
      <c r="D48" s="81"/>
      <c r="E48" s="83"/>
      <c r="F48" s="81"/>
      <c r="G48" s="83"/>
      <c r="H48" s="83"/>
      <c r="I48" s="84" t="str">
        <f aca="false">IF(E48="","",A48&amp;"_1.jpg")</f>
        <v/>
      </c>
      <c r="J48" s="84" t="str">
        <f aca="false">IF(E48="","",A48&amp;"_2.jpg; "&amp;A48&amp;"_3.jpg")</f>
        <v/>
      </c>
      <c r="K48" s="84" t="str">
        <f aca="false">IF(E48="","",A48&amp;"_schema.jpg")</f>
        <v/>
      </c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 t="s">
        <v>96</v>
      </c>
      <c r="W48" s="81"/>
      <c r="X48" s="81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6" t="str">
        <f aca="false">IF(SUM(Y48:AJ48)=0,"",SUM(Y48:AJ48))</f>
        <v/>
      </c>
      <c r="AL48" s="84" t="str">
        <f aca="false">MID(IF(N(Y48)&gt;0,", "&amp;Y$2,"")&amp;IF(N(Z48)&gt;0,", "&amp;Z$2,"")&amp;IF(N(AA48)&gt;0,", "&amp;AA$2,"")&amp;IF(N(AB48)&gt;0,", "&amp;AB$2,"")&amp;IF(N(AC48)&gt;0,", "&amp;AC$2,"")&amp;IF(N(AD48)&gt;0,", "&amp;AD$2,"")&amp;IF(N(AE48)&gt;0,", "&amp;AE$2,"")&amp;IF(N(AF48)&gt;0,", "&amp;AF$2,"")&amp;IF(N(AG48)&gt;0,", "&amp;AG$2,"")&amp;IF(N(AH48)&gt;0,", "&amp;AH$2,"")&amp;IF(N(AI48)&gt;0,", "&amp;AI$2,"")&amp;IF(N(AJ48)&gt;0,", "&amp;AJ$2,""),3,999)</f>
        <v/>
      </c>
      <c r="AM48" s="87" t="str">
        <f aca="false">IF(E48="","",MID(IF(N(Y48)&gt;0,", "&amp;A48&amp;"-"&amp;Y$2,"")&amp;IF(N(Z48)&gt;0,", "&amp;A48&amp;"-"&amp;Z$2,"")&amp;IF(N(AA48)&gt;0,", "&amp;A48&amp;"-"&amp;AA$2,"")&amp;IF(N(AB48)&gt;0,", "&amp;A48&amp;"-"&amp;AB$2,"")&amp;IF(N(AC48)&gt;0,", "&amp;A48&amp;"-"&amp;AC$2,"")&amp;IF(N(AD48)&gt;0,", "&amp;A48&amp;"-"&amp;AD$2,"")&amp;IF(N(AE48)&gt;0,", "&amp;A48&amp;"-"&amp;AE$2,"")&amp;IF(N(AF48)&gt;0,", "&amp;A48&amp;"-"&amp;AF$2,"")&amp;IF(N(AG48)&gt;0,", "&amp;A48&amp;"-"&amp;AG$2,"")&amp;IF(N(AH48)&gt;0,", "&amp;A48&amp;"-"&amp;AH$2,"")&amp;IF(N(AI48)&gt;0,", "&amp;A48&amp;"-"&amp;AI$2,"")&amp;IF(N(AJ48)&gt;0,", "&amp;A48&amp;"-"&amp;AJ$2,""),3,999))</f>
        <v/>
      </c>
      <c r="AN48" s="81"/>
      <c r="AO48" s="88"/>
      <c r="AP48" s="89" t="str">
        <f aca="false">IF(AO48="","",ROUND(AO48/(1+Справочники!$B$13),2))</f>
        <v/>
      </c>
      <c r="AQ48" s="90" t="str">
        <f aca="false" t="array" ref="AQ48:AQ48">IF(AP48="","",AP48*INDEX(Справочники!$B$4:$B$7,MATCH("RUB",Справочники!$A$4:$A$7,0)))</f>
        <v/>
      </c>
      <c r="AR48" s="90" t="str">
        <f aca="false">IF(AQ48="","",ROUND(AQ48*(1+Справочники!$B$12),0))</f>
        <v/>
      </c>
      <c r="AS48" s="90" t="str">
        <f aca="false">IF(AR48="","",ROUND(AR48*(1-Справочники!$B$11),0))</f>
        <v/>
      </c>
      <c r="AT48" s="88"/>
      <c r="AU48" s="90" t="str">
        <f aca="false">IF(AT48="","",ROUND(AT48/(1+Справочники!$B$12),0))</f>
        <v/>
      </c>
      <c r="AV48" s="90" t="str">
        <f aca="false">IF(AT48="","",ROUND(AT48*(1-Справочники!$B$15),0))</f>
        <v/>
      </c>
      <c r="AW48" s="90" t="str">
        <f aca="false">IF(AT48="","",ROUND(AT48*(1-Справочники!$B$16),0))</f>
        <v/>
      </c>
      <c r="AX48" s="90" t="str">
        <f aca="false">IF(AT48="","",ROUND(AT48*(1-Справочники!$B$17),0))</f>
        <v/>
      </c>
      <c r="AY48" s="90" t="str">
        <f aca="false">IF(AT48="","",ROUND(AT48*(1-Справочники!$B$18),0))</f>
        <v/>
      </c>
      <c r="AZ48" s="90" t="str">
        <f aca="false">IF(AT48="","",ROUND(AT48*(1-Справочники!$B$19),0))</f>
        <v/>
      </c>
      <c r="BA48" s="81"/>
      <c r="BB48" s="81"/>
      <c r="BC48" s="81"/>
      <c r="BD48" s="81"/>
      <c r="BE48" s="91"/>
      <c r="BF48" s="81" t="s">
        <v>103</v>
      </c>
      <c r="BG48" s="89" t="n">
        <f aca="false" t="array" ref="BG48:BG48">IF(BF48="","",IFERROR(INDEX(Справочники!$B$4:$B$7,MATCH(BF48,Справочники!$A$4:$A$7,0)),""))</f>
        <v>68.5</v>
      </c>
      <c r="BH48" s="90" t="str">
        <f aca="false">IF(N(BN48)&gt;0,ROUND(SUMIF(ЗАКАЗЫ!$F$3:$F$500,$A48,ЗАКАЗЫ!$Y$3:$Y$500)/BN48,0),IF(OR(BE48="",BG48=""),"",ROUND(BE48*BG48*(1+Справочники!$B$10),0)))</f>
        <v/>
      </c>
      <c r="BI48" s="92" t="str">
        <f aca="false">IF(OR(AU48="",BH48="",AU48=0),"",(AU48-BH48)/AU48)</f>
        <v/>
      </c>
      <c r="BJ48" s="81"/>
      <c r="BK48" s="83"/>
      <c r="BL48" s="43" t="str">
        <f aca="false">IFERROR(INDEX(ЗАКАЗЫ!$N$3:$N$500,MATCH($A48,ЗАКАЗЫ!$F$3:$F$500,0)),"")</f>
        <v/>
      </c>
      <c r="BM48" s="8" t="str">
        <f aca="false">IF(BL48="","",IFERROR(VLOOKUP(BL48,'ТН ВЭД'!$A$4:$C$40,3,0),""))</f>
        <v/>
      </c>
      <c r="BN48" s="7" t="str">
        <f aca="false">IF(COUNTIF(ЗАКАЗЫ!$F$3:$F$500,$A48)=0,"",SUMIF(ЗАКАЗЫ!$F$3:$F$500,$A48,ЗАКАЗЫ!$J$3:$J$500))</f>
        <v/>
      </c>
      <c r="BO48" s="7" t="str">
        <f aca="false">IF(BN48="","",SUMIF(ЗАКАЗЫ!$F$3:$F$500,$A48,ЗАКАЗЫ!$AL$3:$AL$500))</f>
        <v/>
      </c>
      <c r="BP48" s="7" t="str">
        <f aca="false">IF(BN48="","",BN48-BO48)</f>
        <v/>
      </c>
      <c r="BQ48" s="55" t="str">
        <f aca="false">IF(BN48="","",IF(BO48&gt;=BN48,"На складе",IF(BO48&gt;0,"Частично","Ждём")))</f>
        <v/>
      </c>
      <c r="BR48" s="43"/>
      <c r="BS48" s="47" t="str">
        <f aca="false">IF(BN48="","",IF(_xlfn.MAXIFS(ЗАКАЗЫ!$AK$3:$AK$500,ЗАКАЗЫ!$F$3:$F$500,$A48)=0,"",_xlfn.MAXIFS(ЗАКАЗЫ!$AK$3:$AK$500,ЗАКАЗЫ!$F$3:$F$500,$A48)))</f>
        <v/>
      </c>
    </row>
    <row r="49" customFormat="false" ht="15.75" hidden="false" customHeight="true" outlineLevel="0" collapsed="false">
      <c r="A49" s="80" t="s">
        <v>2243</v>
      </c>
      <c r="B49" s="81"/>
      <c r="C49" s="81"/>
      <c r="D49" s="81"/>
      <c r="E49" s="83"/>
      <c r="F49" s="81"/>
      <c r="G49" s="83"/>
      <c r="H49" s="83"/>
      <c r="I49" s="84" t="str">
        <f aca="false">IF(E49="","",A49&amp;"_1.jpg")</f>
        <v/>
      </c>
      <c r="J49" s="84" t="str">
        <f aca="false">IF(E49="","",A49&amp;"_2.jpg; "&amp;A49&amp;"_3.jpg")</f>
        <v/>
      </c>
      <c r="K49" s="84" t="str">
        <f aca="false">IF(E49="","",A49&amp;"_schema.jpg")</f>
        <v/>
      </c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 t="s">
        <v>96</v>
      </c>
      <c r="W49" s="81"/>
      <c r="X49" s="81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6" t="str">
        <f aca="false">IF(SUM(Y49:AJ49)=0,"",SUM(Y49:AJ49))</f>
        <v/>
      </c>
      <c r="AL49" s="84" t="str">
        <f aca="false">MID(IF(N(Y49)&gt;0,", "&amp;Y$2,"")&amp;IF(N(Z49)&gt;0,", "&amp;Z$2,"")&amp;IF(N(AA49)&gt;0,", "&amp;AA$2,"")&amp;IF(N(AB49)&gt;0,", "&amp;AB$2,"")&amp;IF(N(AC49)&gt;0,", "&amp;AC$2,"")&amp;IF(N(AD49)&gt;0,", "&amp;AD$2,"")&amp;IF(N(AE49)&gt;0,", "&amp;AE$2,"")&amp;IF(N(AF49)&gt;0,", "&amp;AF$2,"")&amp;IF(N(AG49)&gt;0,", "&amp;AG$2,"")&amp;IF(N(AH49)&gt;0,", "&amp;AH$2,"")&amp;IF(N(AI49)&gt;0,", "&amp;AI$2,"")&amp;IF(N(AJ49)&gt;0,", "&amp;AJ$2,""),3,999)</f>
        <v/>
      </c>
      <c r="AM49" s="87" t="str">
        <f aca="false">IF(E49="","",MID(IF(N(Y49)&gt;0,", "&amp;A49&amp;"-"&amp;Y$2,"")&amp;IF(N(Z49)&gt;0,", "&amp;A49&amp;"-"&amp;Z$2,"")&amp;IF(N(AA49)&gt;0,", "&amp;A49&amp;"-"&amp;AA$2,"")&amp;IF(N(AB49)&gt;0,", "&amp;A49&amp;"-"&amp;AB$2,"")&amp;IF(N(AC49)&gt;0,", "&amp;A49&amp;"-"&amp;AC$2,"")&amp;IF(N(AD49)&gt;0,", "&amp;A49&amp;"-"&amp;AD$2,"")&amp;IF(N(AE49)&gt;0,", "&amp;A49&amp;"-"&amp;AE$2,"")&amp;IF(N(AF49)&gt;0,", "&amp;A49&amp;"-"&amp;AF$2,"")&amp;IF(N(AG49)&gt;0,", "&amp;A49&amp;"-"&amp;AG$2,"")&amp;IF(N(AH49)&gt;0,", "&amp;A49&amp;"-"&amp;AH$2,"")&amp;IF(N(AI49)&gt;0,", "&amp;A49&amp;"-"&amp;AI$2,"")&amp;IF(N(AJ49)&gt;0,", "&amp;A49&amp;"-"&amp;AJ$2,""),3,999))</f>
        <v/>
      </c>
      <c r="AN49" s="81"/>
      <c r="AO49" s="88"/>
      <c r="AP49" s="89" t="str">
        <f aca="false">IF(AO49="","",ROUND(AO49/(1+Справочники!$B$13),2))</f>
        <v/>
      </c>
      <c r="AQ49" s="90" t="str">
        <f aca="false" t="array" ref="AQ49:AQ49">IF(AP49="","",AP49*INDEX(Справочники!$B$4:$B$7,MATCH("RUB",Справочники!$A$4:$A$7,0)))</f>
        <v/>
      </c>
      <c r="AR49" s="90" t="str">
        <f aca="false">IF(AQ49="","",ROUND(AQ49*(1+Справочники!$B$12),0))</f>
        <v/>
      </c>
      <c r="AS49" s="90" t="str">
        <f aca="false">IF(AR49="","",ROUND(AR49*(1-Справочники!$B$11),0))</f>
        <v/>
      </c>
      <c r="AT49" s="88"/>
      <c r="AU49" s="90" t="str">
        <f aca="false">IF(AT49="","",ROUND(AT49/(1+Справочники!$B$12),0))</f>
        <v/>
      </c>
      <c r="AV49" s="90" t="str">
        <f aca="false">IF(AT49="","",ROUND(AT49*(1-Справочники!$B$15),0))</f>
        <v/>
      </c>
      <c r="AW49" s="90" t="str">
        <f aca="false">IF(AT49="","",ROUND(AT49*(1-Справочники!$B$16),0))</f>
        <v/>
      </c>
      <c r="AX49" s="90" t="str">
        <f aca="false">IF(AT49="","",ROUND(AT49*(1-Справочники!$B$17),0))</f>
        <v/>
      </c>
      <c r="AY49" s="90" t="str">
        <f aca="false">IF(AT49="","",ROUND(AT49*(1-Справочники!$B$18),0))</f>
        <v/>
      </c>
      <c r="AZ49" s="90" t="str">
        <f aca="false">IF(AT49="","",ROUND(AT49*(1-Справочники!$B$19),0))</f>
        <v/>
      </c>
      <c r="BA49" s="81"/>
      <c r="BB49" s="81"/>
      <c r="BC49" s="81"/>
      <c r="BD49" s="81"/>
      <c r="BE49" s="91"/>
      <c r="BF49" s="81" t="s">
        <v>103</v>
      </c>
      <c r="BG49" s="89" t="n">
        <f aca="false" t="array" ref="BG49:BG49">IF(BF49="","",IFERROR(INDEX(Справочники!$B$4:$B$7,MATCH(BF49,Справочники!$A$4:$A$7,0)),""))</f>
        <v>68.5</v>
      </c>
      <c r="BH49" s="90" t="str">
        <f aca="false">IF(N(BN49)&gt;0,ROUND(SUMIF(ЗАКАЗЫ!$F$3:$F$500,$A49,ЗАКАЗЫ!$Y$3:$Y$500)/BN49,0),IF(OR(BE49="",BG49=""),"",ROUND(BE49*BG49*(1+Справочники!$B$10),0)))</f>
        <v/>
      </c>
      <c r="BI49" s="92" t="str">
        <f aca="false">IF(OR(AU49="",BH49="",AU49=0),"",(AU49-BH49)/AU49)</f>
        <v/>
      </c>
      <c r="BJ49" s="81"/>
      <c r="BK49" s="83"/>
      <c r="BL49" s="43" t="str">
        <f aca="false">IFERROR(INDEX(ЗАКАЗЫ!$N$3:$N$500,MATCH($A49,ЗАКАЗЫ!$F$3:$F$500,0)),"")</f>
        <v/>
      </c>
      <c r="BM49" s="8" t="str">
        <f aca="false">IF(BL49="","",IFERROR(VLOOKUP(BL49,'ТН ВЭД'!$A$4:$C$40,3,0),""))</f>
        <v/>
      </c>
      <c r="BN49" s="7" t="str">
        <f aca="false">IF(COUNTIF(ЗАКАЗЫ!$F$3:$F$500,$A49)=0,"",SUMIF(ЗАКАЗЫ!$F$3:$F$500,$A49,ЗАКАЗЫ!$J$3:$J$500))</f>
        <v/>
      </c>
      <c r="BO49" s="7" t="str">
        <f aca="false">IF(BN49="","",SUMIF(ЗАКАЗЫ!$F$3:$F$500,$A49,ЗАКАЗЫ!$AL$3:$AL$500))</f>
        <v/>
      </c>
      <c r="BP49" s="7" t="str">
        <f aca="false">IF(BN49="","",BN49-BO49)</f>
        <v/>
      </c>
      <c r="BQ49" s="55" t="str">
        <f aca="false">IF(BN49="","",IF(BO49&gt;=BN49,"На складе",IF(BO49&gt;0,"Частично","Ждём")))</f>
        <v/>
      </c>
      <c r="BR49" s="43"/>
      <c r="BS49" s="47" t="str">
        <f aca="false">IF(BN49="","",IF(_xlfn.MAXIFS(ЗАКАЗЫ!$AK$3:$AK$500,ЗАКАЗЫ!$F$3:$F$500,$A49)=0,"",_xlfn.MAXIFS(ЗАКАЗЫ!$AK$3:$AK$500,ЗАКАЗЫ!$F$3:$F$500,$A49)))</f>
        <v/>
      </c>
    </row>
    <row r="50" customFormat="false" ht="15.75" hidden="false" customHeight="true" outlineLevel="0" collapsed="false">
      <c r="A50" s="80" t="s">
        <v>2244</v>
      </c>
      <c r="B50" s="81"/>
      <c r="C50" s="81"/>
      <c r="D50" s="81"/>
      <c r="E50" s="83"/>
      <c r="F50" s="81"/>
      <c r="G50" s="83"/>
      <c r="H50" s="83"/>
      <c r="I50" s="84" t="str">
        <f aca="false">IF(E50="","",A50&amp;"_1.jpg")</f>
        <v/>
      </c>
      <c r="J50" s="84" t="str">
        <f aca="false">IF(E50="","",A50&amp;"_2.jpg; "&amp;A50&amp;"_3.jpg")</f>
        <v/>
      </c>
      <c r="K50" s="84" t="str">
        <f aca="false">IF(E50="","",A50&amp;"_schema.jpg")</f>
        <v/>
      </c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 t="s">
        <v>96</v>
      </c>
      <c r="W50" s="81"/>
      <c r="X50" s="81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6" t="str">
        <f aca="false">IF(SUM(Y50:AJ50)=0,"",SUM(Y50:AJ50))</f>
        <v/>
      </c>
      <c r="AL50" s="84" t="str">
        <f aca="false">MID(IF(N(Y50)&gt;0,", "&amp;Y$2,"")&amp;IF(N(Z50)&gt;0,", "&amp;Z$2,"")&amp;IF(N(AA50)&gt;0,", "&amp;AA$2,"")&amp;IF(N(AB50)&gt;0,", "&amp;AB$2,"")&amp;IF(N(AC50)&gt;0,", "&amp;AC$2,"")&amp;IF(N(AD50)&gt;0,", "&amp;AD$2,"")&amp;IF(N(AE50)&gt;0,", "&amp;AE$2,"")&amp;IF(N(AF50)&gt;0,", "&amp;AF$2,"")&amp;IF(N(AG50)&gt;0,", "&amp;AG$2,"")&amp;IF(N(AH50)&gt;0,", "&amp;AH$2,"")&amp;IF(N(AI50)&gt;0,", "&amp;AI$2,"")&amp;IF(N(AJ50)&gt;0,", "&amp;AJ$2,""),3,999)</f>
        <v/>
      </c>
      <c r="AM50" s="87" t="str">
        <f aca="false">IF(E50="","",MID(IF(N(Y50)&gt;0,", "&amp;A50&amp;"-"&amp;Y$2,"")&amp;IF(N(Z50)&gt;0,", "&amp;A50&amp;"-"&amp;Z$2,"")&amp;IF(N(AA50)&gt;0,", "&amp;A50&amp;"-"&amp;AA$2,"")&amp;IF(N(AB50)&gt;0,", "&amp;A50&amp;"-"&amp;AB$2,"")&amp;IF(N(AC50)&gt;0,", "&amp;A50&amp;"-"&amp;AC$2,"")&amp;IF(N(AD50)&gt;0,", "&amp;A50&amp;"-"&amp;AD$2,"")&amp;IF(N(AE50)&gt;0,", "&amp;A50&amp;"-"&amp;AE$2,"")&amp;IF(N(AF50)&gt;0,", "&amp;A50&amp;"-"&amp;AF$2,"")&amp;IF(N(AG50)&gt;0,", "&amp;A50&amp;"-"&amp;AG$2,"")&amp;IF(N(AH50)&gt;0,", "&amp;A50&amp;"-"&amp;AH$2,"")&amp;IF(N(AI50)&gt;0,", "&amp;A50&amp;"-"&amp;AI$2,"")&amp;IF(N(AJ50)&gt;0,", "&amp;A50&amp;"-"&amp;AJ$2,""),3,999))</f>
        <v/>
      </c>
      <c r="AN50" s="81"/>
      <c r="AO50" s="88"/>
      <c r="AP50" s="89" t="str">
        <f aca="false">IF(AO50="","",ROUND(AO50/(1+Справочники!$B$13),2))</f>
        <v/>
      </c>
      <c r="AQ50" s="90" t="str">
        <f aca="false" t="array" ref="AQ50:AQ50">IF(AP50="","",AP50*INDEX(Справочники!$B$4:$B$7,MATCH("RUB",Справочники!$A$4:$A$7,0)))</f>
        <v/>
      </c>
      <c r="AR50" s="90" t="str">
        <f aca="false">IF(AQ50="","",ROUND(AQ50*(1+Справочники!$B$12),0))</f>
        <v/>
      </c>
      <c r="AS50" s="90" t="str">
        <f aca="false">IF(AR50="","",ROUND(AR50*(1-Справочники!$B$11),0))</f>
        <v/>
      </c>
      <c r="AT50" s="88"/>
      <c r="AU50" s="90" t="str">
        <f aca="false">IF(AT50="","",ROUND(AT50/(1+Справочники!$B$12),0))</f>
        <v/>
      </c>
      <c r="AV50" s="90" t="str">
        <f aca="false">IF(AT50="","",ROUND(AT50*(1-Справочники!$B$15),0))</f>
        <v/>
      </c>
      <c r="AW50" s="90" t="str">
        <f aca="false">IF(AT50="","",ROUND(AT50*(1-Справочники!$B$16),0))</f>
        <v/>
      </c>
      <c r="AX50" s="90" t="str">
        <f aca="false">IF(AT50="","",ROUND(AT50*(1-Справочники!$B$17),0))</f>
        <v/>
      </c>
      <c r="AY50" s="90" t="str">
        <f aca="false">IF(AT50="","",ROUND(AT50*(1-Справочники!$B$18),0))</f>
        <v/>
      </c>
      <c r="AZ50" s="90" t="str">
        <f aca="false">IF(AT50="","",ROUND(AT50*(1-Справочники!$B$19),0))</f>
        <v/>
      </c>
      <c r="BA50" s="81"/>
      <c r="BB50" s="81"/>
      <c r="BC50" s="81"/>
      <c r="BD50" s="81"/>
      <c r="BE50" s="91"/>
      <c r="BF50" s="81" t="s">
        <v>103</v>
      </c>
      <c r="BG50" s="89" t="n">
        <f aca="false" t="array" ref="BG50:BG50">IF(BF50="","",IFERROR(INDEX(Справочники!$B$4:$B$7,MATCH(BF50,Справочники!$A$4:$A$7,0)),""))</f>
        <v>68.5</v>
      </c>
      <c r="BH50" s="90" t="str">
        <f aca="false">IF(N(BN50)&gt;0,ROUND(SUMIF(ЗАКАЗЫ!$F$3:$F$500,$A50,ЗАКАЗЫ!$Y$3:$Y$500)/BN50,0),IF(OR(BE50="",BG50=""),"",ROUND(BE50*BG50*(1+Справочники!$B$10),0)))</f>
        <v/>
      </c>
      <c r="BI50" s="92" t="str">
        <f aca="false">IF(OR(AU50="",BH50="",AU50=0),"",(AU50-BH50)/AU50)</f>
        <v/>
      </c>
      <c r="BJ50" s="81"/>
      <c r="BK50" s="83"/>
      <c r="BL50" s="43" t="str">
        <f aca="false">IFERROR(INDEX(ЗАКАЗЫ!$N$3:$N$500,MATCH($A50,ЗАКАЗЫ!$F$3:$F$500,0)),"")</f>
        <v/>
      </c>
      <c r="BM50" s="8" t="str">
        <f aca="false">IF(BL50="","",IFERROR(VLOOKUP(BL50,'ТН ВЭД'!$A$4:$C$40,3,0),""))</f>
        <v/>
      </c>
      <c r="BN50" s="7" t="str">
        <f aca="false">IF(COUNTIF(ЗАКАЗЫ!$F$3:$F$500,$A50)=0,"",SUMIF(ЗАКАЗЫ!$F$3:$F$500,$A50,ЗАКАЗЫ!$J$3:$J$500))</f>
        <v/>
      </c>
      <c r="BO50" s="7" t="str">
        <f aca="false">IF(BN50="","",SUMIF(ЗАКАЗЫ!$F$3:$F$500,$A50,ЗАКАЗЫ!$AL$3:$AL$500))</f>
        <v/>
      </c>
      <c r="BP50" s="7" t="str">
        <f aca="false">IF(BN50="","",BN50-BO50)</f>
        <v/>
      </c>
      <c r="BQ50" s="55" t="str">
        <f aca="false">IF(BN50="","",IF(BO50&gt;=BN50,"На складе",IF(BO50&gt;0,"Частично","Ждём")))</f>
        <v/>
      </c>
      <c r="BR50" s="43"/>
      <c r="BS50" s="47" t="str">
        <f aca="false">IF(BN50="","",IF(_xlfn.MAXIFS(ЗАКАЗЫ!$AK$3:$AK$500,ЗАКАЗЫ!$F$3:$F$500,$A50)=0,"",_xlfn.MAXIFS(ЗАКАЗЫ!$AK$3:$AK$500,ЗАКАЗЫ!$F$3:$F$500,$A50)))</f>
        <v/>
      </c>
    </row>
    <row r="51" customFormat="false" ht="15.75" hidden="false" customHeight="true" outlineLevel="0" collapsed="false">
      <c r="A51" s="80" t="s">
        <v>2245</v>
      </c>
      <c r="B51" s="81"/>
      <c r="C51" s="81"/>
      <c r="D51" s="81"/>
      <c r="E51" s="83"/>
      <c r="F51" s="81"/>
      <c r="G51" s="83"/>
      <c r="H51" s="83"/>
      <c r="I51" s="84" t="str">
        <f aca="false">IF(E51="","",A51&amp;"_1.jpg")</f>
        <v/>
      </c>
      <c r="J51" s="84" t="str">
        <f aca="false">IF(E51="","",A51&amp;"_2.jpg; "&amp;A51&amp;"_3.jpg")</f>
        <v/>
      </c>
      <c r="K51" s="84" t="str">
        <f aca="false">IF(E51="","",A51&amp;"_schema.jpg")</f>
        <v/>
      </c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 t="s">
        <v>96</v>
      </c>
      <c r="W51" s="81"/>
      <c r="X51" s="81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6" t="str">
        <f aca="false">IF(SUM(Y51:AJ51)=0,"",SUM(Y51:AJ51))</f>
        <v/>
      </c>
      <c r="AL51" s="84" t="str">
        <f aca="false">MID(IF(N(Y51)&gt;0,", "&amp;Y$2,"")&amp;IF(N(Z51)&gt;0,", "&amp;Z$2,"")&amp;IF(N(AA51)&gt;0,", "&amp;AA$2,"")&amp;IF(N(AB51)&gt;0,", "&amp;AB$2,"")&amp;IF(N(AC51)&gt;0,", "&amp;AC$2,"")&amp;IF(N(AD51)&gt;0,", "&amp;AD$2,"")&amp;IF(N(AE51)&gt;0,", "&amp;AE$2,"")&amp;IF(N(AF51)&gt;0,", "&amp;AF$2,"")&amp;IF(N(AG51)&gt;0,", "&amp;AG$2,"")&amp;IF(N(AH51)&gt;0,", "&amp;AH$2,"")&amp;IF(N(AI51)&gt;0,", "&amp;AI$2,"")&amp;IF(N(AJ51)&gt;0,", "&amp;AJ$2,""),3,999)</f>
        <v/>
      </c>
      <c r="AM51" s="87" t="str">
        <f aca="false">IF(E51="","",MID(IF(N(Y51)&gt;0,", "&amp;A51&amp;"-"&amp;Y$2,"")&amp;IF(N(Z51)&gt;0,", "&amp;A51&amp;"-"&amp;Z$2,"")&amp;IF(N(AA51)&gt;0,", "&amp;A51&amp;"-"&amp;AA$2,"")&amp;IF(N(AB51)&gt;0,", "&amp;A51&amp;"-"&amp;AB$2,"")&amp;IF(N(AC51)&gt;0,", "&amp;A51&amp;"-"&amp;AC$2,"")&amp;IF(N(AD51)&gt;0,", "&amp;A51&amp;"-"&amp;AD$2,"")&amp;IF(N(AE51)&gt;0,", "&amp;A51&amp;"-"&amp;AE$2,"")&amp;IF(N(AF51)&gt;0,", "&amp;A51&amp;"-"&amp;AF$2,"")&amp;IF(N(AG51)&gt;0,", "&amp;A51&amp;"-"&amp;AG$2,"")&amp;IF(N(AH51)&gt;0,", "&amp;A51&amp;"-"&amp;AH$2,"")&amp;IF(N(AI51)&gt;0,", "&amp;A51&amp;"-"&amp;AI$2,"")&amp;IF(N(AJ51)&gt;0,", "&amp;A51&amp;"-"&amp;AJ$2,""),3,999))</f>
        <v/>
      </c>
      <c r="AN51" s="81"/>
      <c r="AO51" s="88"/>
      <c r="AP51" s="89" t="str">
        <f aca="false">IF(AO51="","",ROUND(AO51/(1+Справочники!$B$13),2))</f>
        <v/>
      </c>
      <c r="AQ51" s="90" t="str">
        <f aca="false" t="array" ref="AQ51:AQ51">IF(AP51="","",AP51*INDEX(Справочники!$B$4:$B$7,MATCH("RUB",Справочники!$A$4:$A$7,0)))</f>
        <v/>
      </c>
      <c r="AR51" s="90" t="str">
        <f aca="false">IF(AQ51="","",ROUND(AQ51*(1+Справочники!$B$12),0))</f>
        <v/>
      </c>
      <c r="AS51" s="90" t="str">
        <f aca="false">IF(AR51="","",ROUND(AR51*(1-Справочники!$B$11),0))</f>
        <v/>
      </c>
      <c r="AT51" s="88"/>
      <c r="AU51" s="90" t="str">
        <f aca="false">IF(AT51="","",ROUND(AT51/(1+Справочники!$B$12),0))</f>
        <v/>
      </c>
      <c r="AV51" s="90" t="str">
        <f aca="false">IF(AT51="","",ROUND(AT51*(1-Справочники!$B$15),0))</f>
        <v/>
      </c>
      <c r="AW51" s="90" t="str">
        <f aca="false">IF(AT51="","",ROUND(AT51*(1-Справочники!$B$16),0))</f>
        <v/>
      </c>
      <c r="AX51" s="90" t="str">
        <f aca="false">IF(AT51="","",ROUND(AT51*(1-Справочники!$B$17),0))</f>
        <v/>
      </c>
      <c r="AY51" s="90" t="str">
        <f aca="false">IF(AT51="","",ROUND(AT51*(1-Справочники!$B$18),0))</f>
        <v/>
      </c>
      <c r="AZ51" s="90" t="str">
        <f aca="false">IF(AT51="","",ROUND(AT51*(1-Справочники!$B$19),0))</f>
        <v/>
      </c>
      <c r="BA51" s="81"/>
      <c r="BB51" s="81"/>
      <c r="BC51" s="81"/>
      <c r="BD51" s="81"/>
      <c r="BE51" s="91"/>
      <c r="BF51" s="81" t="s">
        <v>103</v>
      </c>
      <c r="BG51" s="89" t="n">
        <f aca="false" t="array" ref="BG51:BG51">IF(BF51="","",IFERROR(INDEX(Справочники!$B$4:$B$7,MATCH(BF51,Справочники!$A$4:$A$7,0)),""))</f>
        <v>68.5</v>
      </c>
      <c r="BH51" s="90" t="str">
        <f aca="false">IF(N(BN51)&gt;0,ROUND(SUMIF(ЗАКАЗЫ!$F$3:$F$500,$A51,ЗАКАЗЫ!$Y$3:$Y$500)/BN51,0),IF(OR(BE51="",BG51=""),"",ROUND(BE51*BG51*(1+Справочники!$B$10),0)))</f>
        <v/>
      </c>
      <c r="BI51" s="92" t="str">
        <f aca="false">IF(OR(AU51="",BH51="",AU51=0),"",(AU51-BH51)/AU51)</f>
        <v/>
      </c>
      <c r="BJ51" s="81"/>
      <c r="BK51" s="83"/>
      <c r="BL51" s="43" t="str">
        <f aca="false">IFERROR(INDEX(ЗАКАЗЫ!$N$3:$N$500,MATCH($A51,ЗАКАЗЫ!$F$3:$F$500,0)),"")</f>
        <v/>
      </c>
      <c r="BM51" s="8" t="str">
        <f aca="false">IF(BL51="","",IFERROR(VLOOKUP(BL51,'ТН ВЭД'!$A$4:$C$40,3,0),""))</f>
        <v/>
      </c>
      <c r="BN51" s="7" t="str">
        <f aca="false">IF(COUNTIF(ЗАКАЗЫ!$F$3:$F$500,$A51)=0,"",SUMIF(ЗАКАЗЫ!$F$3:$F$500,$A51,ЗАКАЗЫ!$J$3:$J$500))</f>
        <v/>
      </c>
      <c r="BO51" s="7" t="str">
        <f aca="false">IF(BN51="","",SUMIF(ЗАКАЗЫ!$F$3:$F$500,$A51,ЗАКАЗЫ!$AL$3:$AL$500))</f>
        <v/>
      </c>
      <c r="BP51" s="7" t="str">
        <f aca="false">IF(BN51="","",BN51-BO51)</f>
        <v/>
      </c>
      <c r="BQ51" s="55" t="str">
        <f aca="false">IF(BN51="","",IF(BO51&gt;=BN51,"На складе",IF(BO51&gt;0,"Частично","Ждём")))</f>
        <v/>
      </c>
      <c r="BR51" s="43"/>
      <c r="BS51" s="47" t="str">
        <f aca="false">IF(BN51="","",IF(_xlfn.MAXIFS(ЗАКАЗЫ!$AK$3:$AK$500,ЗАКАЗЫ!$F$3:$F$500,$A51)=0,"",_xlfn.MAXIFS(ЗАКАЗЫ!$AK$3:$AK$500,ЗАКАЗЫ!$F$3:$F$500,$A51)))</f>
        <v/>
      </c>
    </row>
    <row r="52" customFormat="false" ht="15.75" hidden="false" customHeight="true" outlineLevel="0" collapsed="false">
      <c r="A52" s="80" t="s">
        <v>2246</v>
      </c>
      <c r="B52" s="81"/>
      <c r="C52" s="81"/>
      <c r="D52" s="81"/>
      <c r="E52" s="83"/>
      <c r="F52" s="81"/>
      <c r="G52" s="83"/>
      <c r="H52" s="83"/>
      <c r="I52" s="84" t="str">
        <f aca="false">IF(E52="","",A52&amp;"_1.jpg")</f>
        <v/>
      </c>
      <c r="J52" s="84" t="str">
        <f aca="false">IF(E52="","",A52&amp;"_2.jpg; "&amp;A52&amp;"_3.jpg")</f>
        <v/>
      </c>
      <c r="K52" s="84" t="str">
        <f aca="false">IF(E52="","",A52&amp;"_schema.jpg")</f>
        <v/>
      </c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 t="s">
        <v>96</v>
      </c>
      <c r="W52" s="81"/>
      <c r="X52" s="81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6" t="str">
        <f aca="false">IF(SUM(Y52:AJ52)=0,"",SUM(Y52:AJ52))</f>
        <v/>
      </c>
      <c r="AL52" s="84" t="str">
        <f aca="false">MID(IF(N(Y52)&gt;0,", "&amp;Y$2,"")&amp;IF(N(Z52)&gt;0,", "&amp;Z$2,"")&amp;IF(N(AA52)&gt;0,", "&amp;AA$2,"")&amp;IF(N(AB52)&gt;0,", "&amp;AB$2,"")&amp;IF(N(AC52)&gt;0,", "&amp;AC$2,"")&amp;IF(N(AD52)&gt;0,", "&amp;AD$2,"")&amp;IF(N(AE52)&gt;0,", "&amp;AE$2,"")&amp;IF(N(AF52)&gt;0,", "&amp;AF$2,"")&amp;IF(N(AG52)&gt;0,", "&amp;AG$2,"")&amp;IF(N(AH52)&gt;0,", "&amp;AH$2,"")&amp;IF(N(AI52)&gt;0,", "&amp;AI$2,"")&amp;IF(N(AJ52)&gt;0,", "&amp;AJ$2,""),3,999)</f>
        <v/>
      </c>
      <c r="AM52" s="87" t="str">
        <f aca="false">IF(E52="","",MID(IF(N(Y52)&gt;0,", "&amp;A52&amp;"-"&amp;Y$2,"")&amp;IF(N(Z52)&gt;0,", "&amp;A52&amp;"-"&amp;Z$2,"")&amp;IF(N(AA52)&gt;0,", "&amp;A52&amp;"-"&amp;AA$2,"")&amp;IF(N(AB52)&gt;0,", "&amp;A52&amp;"-"&amp;AB$2,"")&amp;IF(N(AC52)&gt;0,", "&amp;A52&amp;"-"&amp;AC$2,"")&amp;IF(N(AD52)&gt;0,", "&amp;A52&amp;"-"&amp;AD$2,"")&amp;IF(N(AE52)&gt;0,", "&amp;A52&amp;"-"&amp;AE$2,"")&amp;IF(N(AF52)&gt;0,", "&amp;A52&amp;"-"&amp;AF$2,"")&amp;IF(N(AG52)&gt;0,", "&amp;A52&amp;"-"&amp;AG$2,"")&amp;IF(N(AH52)&gt;0,", "&amp;A52&amp;"-"&amp;AH$2,"")&amp;IF(N(AI52)&gt;0,", "&amp;A52&amp;"-"&amp;AI$2,"")&amp;IF(N(AJ52)&gt;0,", "&amp;A52&amp;"-"&amp;AJ$2,""),3,999))</f>
        <v/>
      </c>
      <c r="AN52" s="81"/>
      <c r="AO52" s="88"/>
      <c r="AP52" s="89" t="str">
        <f aca="false">IF(AO52="","",ROUND(AO52/(1+Справочники!$B$13),2))</f>
        <v/>
      </c>
      <c r="AQ52" s="90" t="str">
        <f aca="false" t="array" ref="AQ52:AQ52">IF(AP52="","",AP52*INDEX(Справочники!$B$4:$B$7,MATCH("RUB",Справочники!$A$4:$A$7,0)))</f>
        <v/>
      </c>
      <c r="AR52" s="90" t="str">
        <f aca="false">IF(AQ52="","",ROUND(AQ52*(1+Справочники!$B$12),0))</f>
        <v/>
      </c>
      <c r="AS52" s="90" t="str">
        <f aca="false">IF(AR52="","",ROUND(AR52*(1-Справочники!$B$11),0))</f>
        <v/>
      </c>
      <c r="AT52" s="88"/>
      <c r="AU52" s="90" t="str">
        <f aca="false">IF(AT52="","",ROUND(AT52/(1+Справочники!$B$12),0))</f>
        <v/>
      </c>
      <c r="AV52" s="90" t="str">
        <f aca="false">IF(AT52="","",ROUND(AT52*(1-Справочники!$B$15),0))</f>
        <v/>
      </c>
      <c r="AW52" s="90" t="str">
        <f aca="false">IF(AT52="","",ROUND(AT52*(1-Справочники!$B$16),0))</f>
        <v/>
      </c>
      <c r="AX52" s="90" t="str">
        <f aca="false">IF(AT52="","",ROUND(AT52*(1-Справочники!$B$17),0))</f>
        <v/>
      </c>
      <c r="AY52" s="90" t="str">
        <f aca="false">IF(AT52="","",ROUND(AT52*(1-Справочники!$B$18),0))</f>
        <v/>
      </c>
      <c r="AZ52" s="90" t="str">
        <f aca="false">IF(AT52="","",ROUND(AT52*(1-Справочники!$B$19),0))</f>
        <v/>
      </c>
      <c r="BA52" s="81"/>
      <c r="BB52" s="81"/>
      <c r="BC52" s="81"/>
      <c r="BD52" s="81"/>
      <c r="BE52" s="91"/>
      <c r="BF52" s="81" t="s">
        <v>103</v>
      </c>
      <c r="BG52" s="89" t="n">
        <f aca="false" t="array" ref="BG52:BG52">IF(BF52="","",IFERROR(INDEX(Справочники!$B$4:$B$7,MATCH(BF52,Справочники!$A$4:$A$7,0)),""))</f>
        <v>68.5</v>
      </c>
      <c r="BH52" s="90" t="str">
        <f aca="false">IF(N(BN52)&gt;0,ROUND(SUMIF(ЗАКАЗЫ!$F$3:$F$500,$A52,ЗАКАЗЫ!$Y$3:$Y$500)/BN52,0),IF(OR(BE52="",BG52=""),"",ROUND(BE52*BG52*(1+Справочники!$B$10),0)))</f>
        <v/>
      </c>
      <c r="BI52" s="92" t="str">
        <f aca="false">IF(OR(AU52="",BH52="",AU52=0),"",(AU52-BH52)/AU52)</f>
        <v/>
      </c>
      <c r="BJ52" s="81"/>
      <c r="BK52" s="83"/>
      <c r="BL52" s="43" t="str">
        <f aca="false">IFERROR(INDEX(ЗАКАЗЫ!$N$3:$N$500,MATCH($A52,ЗАКАЗЫ!$F$3:$F$500,0)),"")</f>
        <v/>
      </c>
      <c r="BM52" s="8" t="str">
        <f aca="false">IF(BL52="","",IFERROR(VLOOKUP(BL52,'ТН ВЭД'!$A$4:$C$40,3,0),""))</f>
        <v/>
      </c>
      <c r="BN52" s="7" t="str">
        <f aca="false">IF(COUNTIF(ЗАКАЗЫ!$F$3:$F$500,$A52)=0,"",SUMIF(ЗАКАЗЫ!$F$3:$F$500,$A52,ЗАКАЗЫ!$J$3:$J$500))</f>
        <v/>
      </c>
      <c r="BO52" s="7" t="str">
        <f aca="false">IF(BN52="","",SUMIF(ЗАКАЗЫ!$F$3:$F$500,$A52,ЗАКАЗЫ!$AL$3:$AL$500))</f>
        <v/>
      </c>
      <c r="BP52" s="7" t="str">
        <f aca="false">IF(BN52="","",BN52-BO52)</f>
        <v/>
      </c>
      <c r="BQ52" s="55" t="str">
        <f aca="false">IF(BN52="","",IF(BO52&gt;=BN52,"На складе",IF(BO52&gt;0,"Частично","Ждём")))</f>
        <v/>
      </c>
      <c r="BR52" s="43"/>
      <c r="BS52" s="47" t="str">
        <f aca="false">IF(BN52="","",IF(_xlfn.MAXIFS(ЗАКАЗЫ!$AK$3:$AK$500,ЗАКАЗЫ!$F$3:$F$500,$A52)=0,"",_xlfn.MAXIFS(ЗАКАЗЫ!$AK$3:$AK$500,ЗАКАЗЫ!$F$3:$F$500,$A52)))</f>
        <v/>
      </c>
    </row>
    <row r="53" customFormat="false" ht="15.75" hidden="false" customHeight="true" outlineLevel="0" collapsed="false">
      <c r="A53" s="80" t="s">
        <v>2247</v>
      </c>
      <c r="B53" s="81"/>
      <c r="C53" s="81"/>
      <c r="D53" s="81"/>
      <c r="E53" s="83"/>
      <c r="F53" s="81"/>
      <c r="G53" s="83"/>
      <c r="H53" s="83"/>
      <c r="I53" s="84" t="str">
        <f aca="false">IF(E53="","",A53&amp;"_1.jpg")</f>
        <v/>
      </c>
      <c r="J53" s="84" t="str">
        <f aca="false">IF(E53="","",A53&amp;"_2.jpg; "&amp;A53&amp;"_3.jpg")</f>
        <v/>
      </c>
      <c r="K53" s="84" t="str">
        <f aca="false">IF(E53="","",A53&amp;"_schema.jpg")</f>
        <v/>
      </c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 t="s">
        <v>96</v>
      </c>
      <c r="W53" s="81"/>
      <c r="X53" s="81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6" t="str">
        <f aca="false">IF(SUM(Y53:AJ53)=0,"",SUM(Y53:AJ53))</f>
        <v/>
      </c>
      <c r="AL53" s="84" t="str">
        <f aca="false">MID(IF(N(Y53)&gt;0,", "&amp;Y$2,"")&amp;IF(N(Z53)&gt;0,", "&amp;Z$2,"")&amp;IF(N(AA53)&gt;0,", "&amp;AA$2,"")&amp;IF(N(AB53)&gt;0,", "&amp;AB$2,"")&amp;IF(N(AC53)&gt;0,", "&amp;AC$2,"")&amp;IF(N(AD53)&gt;0,", "&amp;AD$2,"")&amp;IF(N(AE53)&gt;0,", "&amp;AE$2,"")&amp;IF(N(AF53)&gt;0,", "&amp;AF$2,"")&amp;IF(N(AG53)&gt;0,", "&amp;AG$2,"")&amp;IF(N(AH53)&gt;0,", "&amp;AH$2,"")&amp;IF(N(AI53)&gt;0,", "&amp;AI$2,"")&amp;IF(N(AJ53)&gt;0,", "&amp;AJ$2,""),3,999)</f>
        <v/>
      </c>
      <c r="AM53" s="87" t="str">
        <f aca="false">IF(E53="","",MID(IF(N(Y53)&gt;0,", "&amp;A53&amp;"-"&amp;Y$2,"")&amp;IF(N(Z53)&gt;0,", "&amp;A53&amp;"-"&amp;Z$2,"")&amp;IF(N(AA53)&gt;0,", "&amp;A53&amp;"-"&amp;AA$2,"")&amp;IF(N(AB53)&gt;0,", "&amp;A53&amp;"-"&amp;AB$2,"")&amp;IF(N(AC53)&gt;0,", "&amp;A53&amp;"-"&amp;AC$2,"")&amp;IF(N(AD53)&gt;0,", "&amp;A53&amp;"-"&amp;AD$2,"")&amp;IF(N(AE53)&gt;0,", "&amp;A53&amp;"-"&amp;AE$2,"")&amp;IF(N(AF53)&gt;0,", "&amp;A53&amp;"-"&amp;AF$2,"")&amp;IF(N(AG53)&gt;0,", "&amp;A53&amp;"-"&amp;AG$2,"")&amp;IF(N(AH53)&gt;0,", "&amp;A53&amp;"-"&amp;AH$2,"")&amp;IF(N(AI53)&gt;0,", "&amp;A53&amp;"-"&amp;AI$2,"")&amp;IF(N(AJ53)&gt;0,", "&amp;A53&amp;"-"&amp;AJ$2,""),3,999))</f>
        <v/>
      </c>
      <c r="AN53" s="81"/>
      <c r="AO53" s="88"/>
      <c r="AP53" s="89" t="str">
        <f aca="false">IF(AO53="","",ROUND(AO53/(1+Справочники!$B$13),2))</f>
        <v/>
      </c>
      <c r="AQ53" s="90" t="str">
        <f aca="false" t="array" ref="AQ53:AQ53">IF(AP53="","",AP53*INDEX(Справочники!$B$4:$B$7,MATCH("RUB",Справочники!$A$4:$A$7,0)))</f>
        <v/>
      </c>
      <c r="AR53" s="90" t="str">
        <f aca="false">IF(AQ53="","",ROUND(AQ53*(1+Справочники!$B$12),0))</f>
        <v/>
      </c>
      <c r="AS53" s="90" t="str">
        <f aca="false">IF(AR53="","",ROUND(AR53*(1-Справочники!$B$11),0))</f>
        <v/>
      </c>
      <c r="AT53" s="88"/>
      <c r="AU53" s="90" t="str">
        <f aca="false">IF(AT53="","",ROUND(AT53/(1+Справочники!$B$12),0))</f>
        <v/>
      </c>
      <c r="AV53" s="90" t="str">
        <f aca="false">IF(AT53="","",ROUND(AT53*(1-Справочники!$B$15),0))</f>
        <v/>
      </c>
      <c r="AW53" s="90" t="str">
        <f aca="false">IF(AT53="","",ROUND(AT53*(1-Справочники!$B$16),0))</f>
        <v/>
      </c>
      <c r="AX53" s="90" t="str">
        <f aca="false">IF(AT53="","",ROUND(AT53*(1-Справочники!$B$17),0))</f>
        <v/>
      </c>
      <c r="AY53" s="90" t="str">
        <f aca="false">IF(AT53="","",ROUND(AT53*(1-Справочники!$B$18),0))</f>
        <v/>
      </c>
      <c r="AZ53" s="90" t="str">
        <f aca="false">IF(AT53="","",ROUND(AT53*(1-Справочники!$B$19),0))</f>
        <v/>
      </c>
      <c r="BA53" s="81"/>
      <c r="BB53" s="81"/>
      <c r="BC53" s="81"/>
      <c r="BD53" s="81"/>
      <c r="BE53" s="91"/>
      <c r="BF53" s="81" t="s">
        <v>103</v>
      </c>
      <c r="BG53" s="89" t="n">
        <f aca="false" t="array" ref="BG53:BG53">IF(BF53="","",IFERROR(INDEX(Справочники!$B$4:$B$7,MATCH(BF53,Справочники!$A$4:$A$7,0)),""))</f>
        <v>68.5</v>
      </c>
      <c r="BH53" s="90" t="str">
        <f aca="false">IF(N(BN53)&gt;0,ROUND(SUMIF(ЗАКАЗЫ!$F$3:$F$500,$A53,ЗАКАЗЫ!$Y$3:$Y$500)/BN53,0),IF(OR(BE53="",BG53=""),"",ROUND(BE53*BG53*(1+Справочники!$B$10),0)))</f>
        <v/>
      </c>
      <c r="BI53" s="92" t="str">
        <f aca="false">IF(OR(AU53="",BH53="",AU53=0),"",(AU53-BH53)/AU53)</f>
        <v/>
      </c>
      <c r="BJ53" s="81"/>
      <c r="BK53" s="83"/>
      <c r="BL53" s="43" t="str">
        <f aca="false">IFERROR(INDEX(ЗАКАЗЫ!$N$3:$N$500,MATCH($A53,ЗАКАЗЫ!$F$3:$F$500,0)),"")</f>
        <v/>
      </c>
      <c r="BM53" s="8" t="str">
        <f aca="false">IF(BL53="","",IFERROR(VLOOKUP(BL53,'ТН ВЭД'!$A$4:$C$40,3,0),""))</f>
        <v/>
      </c>
      <c r="BN53" s="7" t="str">
        <f aca="false">IF(COUNTIF(ЗАКАЗЫ!$F$3:$F$500,$A53)=0,"",SUMIF(ЗАКАЗЫ!$F$3:$F$500,$A53,ЗАКАЗЫ!$J$3:$J$500))</f>
        <v/>
      </c>
      <c r="BO53" s="7" t="str">
        <f aca="false">IF(BN53="","",SUMIF(ЗАКАЗЫ!$F$3:$F$500,$A53,ЗАКАЗЫ!$AL$3:$AL$500))</f>
        <v/>
      </c>
      <c r="BP53" s="7" t="str">
        <f aca="false">IF(BN53="","",BN53-BO53)</f>
        <v/>
      </c>
      <c r="BQ53" s="55" t="str">
        <f aca="false">IF(BN53="","",IF(BO53&gt;=BN53,"На складе",IF(BO53&gt;0,"Частично","Ждём")))</f>
        <v/>
      </c>
      <c r="BR53" s="43"/>
      <c r="BS53" s="47" t="str">
        <f aca="false">IF(BN53="","",IF(_xlfn.MAXIFS(ЗАКАЗЫ!$AK$3:$AK$500,ЗАКАЗЫ!$F$3:$F$500,$A53)=0,"",_xlfn.MAXIFS(ЗАКАЗЫ!$AK$3:$AK$500,ЗАКАЗЫ!$F$3:$F$500,$A53)))</f>
        <v/>
      </c>
    </row>
    <row r="54" customFormat="false" ht="15.75" hidden="false" customHeight="true" outlineLevel="0" collapsed="false">
      <c r="A54" s="80" t="s">
        <v>2248</v>
      </c>
      <c r="B54" s="81"/>
      <c r="C54" s="81"/>
      <c r="D54" s="81"/>
      <c r="E54" s="83"/>
      <c r="F54" s="81"/>
      <c r="G54" s="83"/>
      <c r="H54" s="83"/>
      <c r="I54" s="84" t="str">
        <f aca="false">IF(E54="","",A54&amp;"_1.jpg")</f>
        <v/>
      </c>
      <c r="J54" s="84" t="str">
        <f aca="false">IF(E54="","",A54&amp;"_2.jpg; "&amp;A54&amp;"_3.jpg")</f>
        <v/>
      </c>
      <c r="K54" s="84" t="str">
        <f aca="false">IF(E54="","",A54&amp;"_schema.jpg")</f>
        <v/>
      </c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 t="s">
        <v>96</v>
      </c>
      <c r="W54" s="81"/>
      <c r="X54" s="81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6" t="str">
        <f aca="false">IF(SUM(Y54:AJ54)=0,"",SUM(Y54:AJ54))</f>
        <v/>
      </c>
      <c r="AL54" s="84" t="str">
        <f aca="false">MID(IF(N(Y54)&gt;0,", "&amp;Y$2,"")&amp;IF(N(Z54)&gt;0,", "&amp;Z$2,"")&amp;IF(N(AA54)&gt;0,", "&amp;AA$2,"")&amp;IF(N(AB54)&gt;0,", "&amp;AB$2,"")&amp;IF(N(AC54)&gt;0,", "&amp;AC$2,"")&amp;IF(N(AD54)&gt;0,", "&amp;AD$2,"")&amp;IF(N(AE54)&gt;0,", "&amp;AE$2,"")&amp;IF(N(AF54)&gt;0,", "&amp;AF$2,"")&amp;IF(N(AG54)&gt;0,", "&amp;AG$2,"")&amp;IF(N(AH54)&gt;0,", "&amp;AH$2,"")&amp;IF(N(AI54)&gt;0,", "&amp;AI$2,"")&amp;IF(N(AJ54)&gt;0,", "&amp;AJ$2,""),3,999)</f>
        <v/>
      </c>
      <c r="AM54" s="87" t="str">
        <f aca="false">IF(E54="","",MID(IF(N(Y54)&gt;0,", "&amp;A54&amp;"-"&amp;Y$2,"")&amp;IF(N(Z54)&gt;0,", "&amp;A54&amp;"-"&amp;Z$2,"")&amp;IF(N(AA54)&gt;0,", "&amp;A54&amp;"-"&amp;AA$2,"")&amp;IF(N(AB54)&gt;0,", "&amp;A54&amp;"-"&amp;AB$2,"")&amp;IF(N(AC54)&gt;0,", "&amp;A54&amp;"-"&amp;AC$2,"")&amp;IF(N(AD54)&gt;0,", "&amp;A54&amp;"-"&amp;AD$2,"")&amp;IF(N(AE54)&gt;0,", "&amp;A54&amp;"-"&amp;AE$2,"")&amp;IF(N(AF54)&gt;0,", "&amp;A54&amp;"-"&amp;AF$2,"")&amp;IF(N(AG54)&gt;0,", "&amp;A54&amp;"-"&amp;AG$2,"")&amp;IF(N(AH54)&gt;0,", "&amp;A54&amp;"-"&amp;AH$2,"")&amp;IF(N(AI54)&gt;0,", "&amp;A54&amp;"-"&amp;AI$2,"")&amp;IF(N(AJ54)&gt;0,", "&amp;A54&amp;"-"&amp;AJ$2,""),3,999))</f>
        <v/>
      </c>
      <c r="AN54" s="81"/>
      <c r="AO54" s="88"/>
      <c r="AP54" s="89" t="str">
        <f aca="false">IF(AO54="","",ROUND(AO54/(1+Справочники!$B$13),2))</f>
        <v/>
      </c>
      <c r="AQ54" s="90" t="str">
        <f aca="false" t="array" ref="AQ54:AQ54">IF(AP54="","",AP54*INDEX(Справочники!$B$4:$B$7,MATCH("RUB",Справочники!$A$4:$A$7,0)))</f>
        <v/>
      </c>
      <c r="AR54" s="90" t="str">
        <f aca="false">IF(AQ54="","",ROUND(AQ54*(1+Справочники!$B$12),0))</f>
        <v/>
      </c>
      <c r="AS54" s="90" t="str">
        <f aca="false">IF(AR54="","",ROUND(AR54*(1-Справочники!$B$11),0))</f>
        <v/>
      </c>
      <c r="AT54" s="88"/>
      <c r="AU54" s="90" t="str">
        <f aca="false">IF(AT54="","",ROUND(AT54/(1+Справочники!$B$12),0))</f>
        <v/>
      </c>
      <c r="AV54" s="90" t="str">
        <f aca="false">IF(AT54="","",ROUND(AT54*(1-Справочники!$B$15),0))</f>
        <v/>
      </c>
      <c r="AW54" s="90" t="str">
        <f aca="false">IF(AT54="","",ROUND(AT54*(1-Справочники!$B$16),0))</f>
        <v/>
      </c>
      <c r="AX54" s="90" t="str">
        <f aca="false">IF(AT54="","",ROUND(AT54*(1-Справочники!$B$17),0))</f>
        <v/>
      </c>
      <c r="AY54" s="90" t="str">
        <f aca="false">IF(AT54="","",ROUND(AT54*(1-Справочники!$B$18),0))</f>
        <v/>
      </c>
      <c r="AZ54" s="90" t="str">
        <f aca="false">IF(AT54="","",ROUND(AT54*(1-Справочники!$B$19),0))</f>
        <v/>
      </c>
      <c r="BA54" s="81"/>
      <c r="BB54" s="81"/>
      <c r="BC54" s="81"/>
      <c r="BD54" s="81"/>
      <c r="BE54" s="91"/>
      <c r="BF54" s="81" t="s">
        <v>103</v>
      </c>
      <c r="BG54" s="89" t="n">
        <f aca="false" t="array" ref="BG54:BG54">IF(BF54="","",IFERROR(INDEX(Справочники!$B$4:$B$7,MATCH(BF54,Справочники!$A$4:$A$7,0)),""))</f>
        <v>68.5</v>
      </c>
      <c r="BH54" s="90" t="str">
        <f aca="false">IF(N(BN54)&gt;0,ROUND(SUMIF(ЗАКАЗЫ!$F$3:$F$500,$A54,ЗАКАЗЫ!$Y$3:$Y$500)/BN54,0),IF(OR(BE54="",BG54=""),"",ROUND(BE54*BG54*(1+Справочники!$B$10),0)))</f>
        <v/>
      </c>
      <c r="BI54" s="92" t="str">
        <f aca="false">IF(OR(AU54="",BH54="",AU54=0),"",(AU54-BH54)/AU54)</f>
        <v/>
      </c>
      <c r="BJ54" s="81"/>
      <c r="BK54" s="83"/>
      <c r="BL54" s="43" t="str">
        <f aca="false">IFERROR(INDEX(ЗАКАЗЫ!$N$3:$N$500,MATCH($A54,ЗАКАЗЫ!$F$3:$F$500,0)),"")</f>
        <v/>
      </c>
      <c r="BM54" s="8" t="str">
        <f aca="false">IF(BL54="","",IFERROR(VLOOKUP(BL54,'ТН ВЭД'!$A$4:$C$40,3,0),""))</f>
        <v/>
      </c>
      <c r="BN54" s="7" t="str">
        <f aca="false">IF(COUNTIF(ЗАКАЗЫ!$F$3:$F$500,$A54)=0,"",SUMIF(ЗАКАЗЫ!$F$3:$F$500,$A54,ЗАКАЗЫ!$J$3:$J$500))</f>
        <v/>
      </c>
      <c r="BO54" s="7" t="str">
        <f aca="false">IF(BN54="","",SUMIF(ЗАКАЗЫ!$F$3:$F$500,$A54,ЗАКАЗЫ!$AL$3:$AL$500))</f>
        <v/>
      </c>
      <c r="BP54" s="7" t="str">
        <f aca="false">IF(BN54="","",BN54-BO54)</f>
        <v/>
      </c>
      <c r="BQ54" s="55" t="str">
        <f aca="false">IF(BN54="","",IF(BO54&gt;=BN54,"На складе",IF(BO54&gt;0,"Частично","Ждём")))</f>
        <v/>
      </c>
      <c r="BR54" s="43"/>
      <c r="BS54" s="47" t="str">
        <f aca="false">IF(BN54="","",IF(_xlfn.MAXIFS(ЗАКАЗЫ!$AK$3:$AK$500,ЗАКАЗЫ!$F$3:$F$500,$A54)=0,"",_xlfn.MAXIFS(ЗАКАЗЫ!$AK$3:$AK$500,ЗАКАЗЫ!$F$3:$F$500,$A54)))</f>
        <v/>
      </c>
    </row>
    <row r="55" customFormat="false" ht="15.75" hidden="false" customHeight="true" outlineLevel="0" collapsed="false">
      <c r="A55" s="80" t="s">
        <v>2249</v>
      </c>
      <c r="B55" s="81"/>
      <c r="C55" s="81"/>
      <c r="D55" s="81"/>
      <c r="E55" s="83"/>
      <c r="F55" s="81"/>
      <c r="G55" s="83"/>
      <c r="H55" s="83"/>
      <c r="I55" s="84" t="str">
        <f aca="false">IF(E55="","",A55&amp;"_1.jpg")</f>
        <v/>
      </c>
      <c r="J55" s="84" t="str">
        <f aca="false">IF(E55="","",A55&amp;"_2.jpg; "&amp;A55&amp;"_3.jpg")</f>
        <v/>
      </c>
      <c r="K55" s="84" t="str">
        <f aca="false">IF(E55="","",A55&amp;"_schema.jpg")</f>
        <v/>
      </c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 t="s">
        <v>96</v>
      </c>
      <c r="W55" s="81"/>
      <c r="X55" s="81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6" t="str">
        <f aca="false">IF(SUM(Y55:AJ55)=0,"",SUM(Y55:AJ55))</f>
        <v/>
      </c>
      <c r="AL55" s="84" t="str">
        <f aca="false">MID(IF(N(Y55)&gt;0,", "&amp;Y$2,"")&amp;IF(N(Z55)&gt;0,", "&amp;Z$2,"")&amp;IF(N(AA55)&gt;0,", "&amp;AA$2,"")&amp;IF(N(AB55)&gt;0,", "&amp;AB$2,"")&amp;IF(N(AC55)&gt;0,", "&amp;AC$2,"")&amp;IF(N(AD55)&gt;0,", "&amp;AD$2,"")&amp;IF(N(AE55)&gt;0,", "&amp;AE$2,"")&amp;IF(N(AF55)&gt;0,", "&amp;AF$2,"")&amp;IF(N(AG55)&gt;0,", "&amp;AG$2,"")&amp;IF(N(AH55)&gt;0,", "&amp;AH$2,"")&amp;IF(N(AI55)&gt;0,", "&amp;AI$2,"")&amp;IF(N(AJ55)&gt;0,", "&amp;AJ$2,""),3,999)</f>
        <v/>
      </c>
      <c r="AM55" s="87" t="str">
        <f aca="false">IF(E55="","",MID(IF(N(Y55)&gt;0,", "&amp;A55&amp;"-"&amp;Y$2,"")&amp;IF(N(Z55)&gt;0,", "&amp;A55&amp;"-"&amp;Z$2,"")&amp;IF(N(AA55)&gt;0,", "&amp;A55&amp;"-"&amp;AA$2,"")&amp;IF(N(AB55)&gt;0,", "&amp;A55&amp;"-"&amp;AB$2,"")&amp;IF(N(AC55)&gt;0,", "&amp;A55&amp;"-"&amp;AC$2,"")&amp;IF(N(AD55)&gt;0,", "&amp;A55&amp;"-"&amp;AD$2,"")&amp;IF(N(AE55)&gt;0,", "&amp;A55&amp;"-"&amp;AE$2,"")&amp;IF(N(AF55)&gt;0,", "&amp;A55&amp;"-"&amp;AF$2,"")&amp;IF(N(AG55)&gt;0,", "&amp;A55&amp;"-"&amp;AG$2,"")&amp;IF(N(AH55)&gt;0,", "&amp;A55&amp;"-"&amp;AH$2,"")&amp;IF(N(AI55)&gt;0,", "&amp;A55&amp;"-"&amp;AI$2,"")&amp;IF(N(AJ55)&gt;0,", "&amp;A55&amp;"-"&amp;AJ$2,""),3,999))</f>
        <v/>
      </c>
      <c r="AN55" s="81"/>
      <c r="AO55" s="88"/>
      <c r="AP55" s="89" t="str">
        <f aca="false">IF(AO55="","",ROUND(AO55/(1+Справочники!$B$13),2))</f>
        <v/>
      </c>
      <c r="AQ55" s="90" t="str">
        <f aca="false" t="array" ref="AQ55:AQ55">IF(AP55="","",AP55*INDEX(Справочники!$B$4:$B$7,MATCH("RUB",Справочники!$A$4:$A$7,0)))</f>
        <v/>
      </c>
      <c r="AR55" s="90" t="str">
        <f aca="false">IF(AQ55="","",ROUND(AQ55*(1+Справочники!$B$12),0))</f>
        <v/>
      </c>
      <c r="AS55" s="90" t="str">
        <f aca="false">IF(AR55="","",ROUND(AR55*(1-Справочники!$B$11),0))</f>
        <v/>
      </c>
      <c r="AT55" s="88"/>
      <c r="AU55" s="90" t="str">
        <f aca="false">IF(AT55="","",ROUND(AT55/(1+Справочники!$B$12),0))</f>
        <v/>
      </c>
      <c r="AV55" s="90" t="str">
        <f aca="false">IF(AT55="","",ROUND(AT55*(1-Справочники!$B$15),0))</f>
        <v/>
      </c>
      <c r="AW55" s="90" t="str">
        <f aca="false">IF(AT55="","",ROUND(AT55*(1-Справочники!$B$16),0))</f>
        <v/>
      </c>
      <c r="AX55" s="90" t="str">
        <f aca="false">IF(AT55="","",ROUND(AT55*(1-Справочники!$B$17),0))</f>
        <v/>
      </c>
      <c r="AY55" s="90" t="str">
        <f aca="false">IF(AT55="","",ROUND(AT55*(1-Справочники!$B$18),0))</f>
        <v/>
      </c>
      <c r="AZ55" s="90" t="str">
        <f aca="false">IF(AT55="","",ROUND(AT55*(1-Справочники!$B$19),0))</f>
        <v/>
      </c>
      <c r="BA55" s="81"/>
      <c r="BB55" s="81"/>
      <c r="BC55" s="81"/>
      <c r="BD55" s="81"/>
      <c r="BE55" s="91"/>
      <c r="BF55" s="81" t="s">
        <v>103</v>
      </c>
      <c r="BG55" s="89" t="n">
        <f aca="false" t="array" ref="BG55:BG55">IF(BF55="","",IFERROR(INDEX(Справочники!$B$4:$B$7,MATCH(BF55,Справочники!$A$4:$A$7,0)),""))</f>
        <v>68.5</v>
      </c>
      <c r="BH55" s="90" t="str">
        <f aca="false">IF(N(BN55)&gt;0,ROUND(SUMIF(ЗАКАЗЫ!$F$3:$F$500,$A55,ЗАКАЗЫ!$Y$3:$Y$500)/BN55,0),IF(OR(BE55="",BG55=""),"",ROUND(BE55*BG55*(1+Справочники!$B$10),0)))</f>
        <v/>
      </c>
      <c r="BI55" s="92" t="str">
        <f aca="false">IF(OR(AU55="",BH55="",AU55=0),"",(AU55-BH55)/AU55)</f>
        <v/>
      </c>
      <c r="BJ55" s="81"/>
      <c r="BK55" s="83"/>
      <c r="BL55" s="43" t="str">
        <f aca="false">IFERROR(INDEX(ЗАКАЗЫ!$N$3:$N$500,MATCH($A55,ЗАКАЗЫ!$F$3:$F$500,0)),"")</f>
        <v/>
      </c>
      <c r="BM55" s="8" t="str">
        <f aca="false">IF(BL55="","",IFERROR(VLOOKUP(BL55,'ТН ВЭД'!$A$4:$C$40,3,0),""))</f>
        <v/>
      </c>
      <c r="BN55" s="7" t="str">
        <f aca="false">IF(COUNTIF(ЗАКАЗЫ!$F$3:$F$500,$A55)=0,"",SUMIF(ЗАКАЗЫ!$F$3:$F$500,$A55,ЗАКАЗЫ!$J$3:$J$500))</f>
        <v/>
      </c>
      <c r="BO55" s="7" t="str">
        <f aca="false">IF(BN55="","",SUMIF(ЗАКАЗЫ!$F$3:$F$500,$A55,ЗАКАЗЫ!$AL$3:$AL$500))</f>
        <v/>
      </c>
      <c r="BP55" s="7" t="str">
        <f aca="false">IF(BN55="","",BN55-BO55)</f>
        <v/>
      </c>
      <c r="BQ55" s="55" t="str">
        <f aca="false">IF(BN55="","",IF(BO55&gt;=BN55,"На складе",IF(BO55&gt;0,"Частично","Ждём")))</f>
        <v/>
      </c>
      <c r="BR55" s="43"/>
      <c r="BS55" s="47" t="str">
        <f aca="false">IF(BN55="","",IF(_xlfn.MAXIFS(ЗАКАЗЫ!$AK$3:$AK$500,ЗАКАЗЫ!$F$3:$F$500,$A55)=0,"",_xlfn.MAXIFS(ЗАКАЗЫ!$AK$3:$AK$500,ЗАКАЗЫ!$F$3:$F$500,$A55)))</f>
        <v/>
      </c>
    </row>
    <row r="56" customFormat="false" ht="15.75" hidden="false" customHeight="true" outlineLevel="0" collapsed="false">
      <c r="A56" s="80" t="s">
        <v>2250</v>
      </c>
      <c r="B56" s="81"/>
      <c r="C56" s="81"/>
      <c r="D56" s="81"/>
      <c r="E56" s="83"/>
      <c r="F56" s="81"/>
      <c r="G56" s="83"/>
      <c r="H56" s="83"/>
      <c r="I56" s="84" t="str">
        <f aca="false">IF(E56="","",A56&amp;"_1.jpg")</f>
        <v/>
      </c>
      <c r="J56" s="84" t="str">
        <f aca="false">IF(E56="","",A56&amp;"_2.jpg; "&amp;A56&amp;"_3.jpg")</f>
        <v/>
      </c>
      <c r="K56" s="84" t="str">
        <f aca="false">IF(E56="","",A56&amp;"_schema.jpg")</f>
        <v/>
      </c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 t="s">
        <v>96</v>
      </c>
      <c r="W56" s="81"/>
      <c r="X56" s="81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6" t="str">
        <f aca="false">IF(SUM(Y56:AJ56)=0,"",SUM(Y56:AJ56))</f>
        <v/>
      </c>
      <c r="AL56" s="84" t="str">
        <f aca="false">MID(IF(N(Y56)&gt;0,", "&amp;Y$2,"")&amp;IF(N(Z56)&gt;0,", "&amp;Z$2,"")&amp;IF(N(AA56)&gt;0,", "&amp;AA$2,"")&amp;IF(N(AB56)&gt;0,", "&amp;AB$2,"")&amp;IF(N(AC56)&gt;0,", "&amp;AC$2,"")&amp;IF(N(AD56)&gt;0,", "&amp;AD$2,"")&amp;IF(N(AE56)&gt;0,", "&amp;AE$2,"")&amp;IF(N(AF56)&gt;0,", "&amp;AF$2,"")&amp;IF(N(AG56)&gt;0,", "&amp;AG$2,"")&amp;IF(N(AH56)&gt;0,", "&amp;AH$2,"")&amp;IF(N(AI56)&gt;0,", "&amp;AI$2,"")&amp;IF(N(AJ56)&gt;0,", "&amp;AJ$2,""),3,999)</f>
        <v/>
      </c>
      <c r="AM56" s="87" t="str">
        <f aca="false">IF(E56="","",MID(IF(N(Y56)&gt;0,", "&amp;A56&amp;"-"&amp;Y$2,"")&amp;IF(N(Z56)&gt;0,", "&amp;A56&amp;"-"&amp;Z$2,"")&amp;IF(N(AA56)&gt;0,", "&amp;A56&amp;"-"&amp;AA$2,"")&amp;IF(N(AB56)&gt;0,", "&amp;A56&amp;"-"&amp;AB$2,"")&amp;IF(N(AC56)&gt;0,", "&amp;A56&amp;"-"&amp;AC$2,"")&amp;IF(N(AD56)&gt;0,", "&amp;A56&amp;"-"&amp;AD$2,"")&amp;IF(N(AE56)&gt;0,", "&amp;A56&amp;"-"&amp;AE$2,"")&amp;IF(N(AF56)&gt;0,", "&amp;A56&amp;"-"&amp;AF$2,"")&amp;IF(N(AG56)&gt;0,", "&amp;A56&amp;"-"&amp;AG$2,"")&amp;IF(N(AH56)&gt;0,", "&amp;A56&amp;"-"&amp;AH$2,"")&amp;IF(N(AI56)&gt;0,", "&amp;A56&amp;"-"&amp;AI$2,"")&amp;IF(N(AJ56)&gt;0,", "&amp;A56&amp;"-"&amp;AJ$2,""),3,999))</f>
        <v/>
      </c>
      <c r="AN56" s="81"/>
      <c r="AO56" s="88"/>
      <c r="AP56" s="89" t="str">
        <f aca="false">IF(AO56="","",ROUND(AO56/(1+Справочники!$B$13),2))</f>
        <v/>
      </c>
      <c r="AQ56" s="90" t="str">
        <f aca="false" t="array" ref="AQ56:AQ56">IF(AP56="","",AP56*INDEX(Справочники!$B$4:$B$7,MATCH("RUB",Справочники!$A$4:$A$7,0)))</f>
        <v/>
      </c>
      <c r="AR56" s="90" t="str">
        <f aca="false">IF(AQ56="","",ROUND(AQ56*(1+Справочники!$B$12),0))</f>
        <v/>
      </c>
      <c r="AS56" s="90" t="str">
        <f aca="false">IF(AR56="","",ROUND(AR56*(1-Справочники!$B$11),0))</f>
        <v/>
      </c>
      <c r="AT56" s="88"/>
      <c r="AU56" s="90" t="str">
        <f aca="false">IF(AT56="","",ROUND(AT56/(1+Справочники!$B$12),0))</f>
        <v/>
      </c>
      <c r="AV56" s="90" t="str">
        <f aca="false">IF(AT56="","",ROUND(AT56*(1-Справочники!$B$15),0))</f>
        <v/>
      </c>
      <c r="AW56" s="90" t="str">
        <f aca="false">IF(AT56="","",ROUND(AT56*(1-Справочники!$B$16),0))</f>
        <v/>
      </c>
      <c r="AX56" s="90" t="str">
        <f aca="false">IF(AT56="","",ROUND(AT56*(1-Справочники!$B$17),0))</f>
        <v/>
      </c>
      <c r="AY56" s="90" t="str">
        <f aca="false">IF(AT56="","",ROUND(AT56*(1-Справочники!$B$18),0))</f>
        <v/>
      </c>
      <c r="AZ56" s="90" t="str">
        <f aca="false">IF(AT56="","",ROUND(AT56*(1-Справочники!$B$19),0))</f>
        <v/>
      </c>
      <c r="BA56" s="81"/>
      <c r="BB56" s="81"/>
      <c r="BC56" s="81"/>
      <c r="BD56" s="81"/>
      <c r="BE56" s="91"/>
      <c r="BF56" s="81" t="s">
        <v>103</v>
      </c>
      <c r="BG56" s="89" t="n">
        <f aca="false" t="array" ref="BG56:BG56">IF(BF56="","",IFERROR(INDEX(Справочники!$B$4:$B$7,MATCH(BF56,Справочники!$A$4:$A$7,0)),""))</f>
        <v>68.5</v>
      </c>
      <c r="BH56" s="90" t="str">
        <f aca="false">IF(N(BN56)&gt;0,ROUND(SUMIF(ЗАКАЗЫ!$F$3:$F$500,$A56,ЗАКАЗЫ!$Y$3:$Y$500)/BN56,0),IF(OR(BE56="",BG56=""),"",ROUND(BE56*BG56*(1+Справочники!$B$10),0)))</f>
        <v/>
      </c>
      <c r="BI56" s="92" t="str">
        <f aca="false">IF(OR(AU56="",BH56="",AU56=0),"",(AU56-BH56)/AU56)</f>
        <v/>
      </c>
      <c r="BJ56" s="81"/>
      <c r="BK56" s="83"/>
      <c r="BL56" s="43" t="str">
        <f aca="false">IFERROR(INDEX(ЗАКАЗЫ!$N$3:$N$500,MATCH($A56,ЗАКАЗЫ!$F$3:$F$500,0)),"")</f>
        <v/>
      </c>
      <c r="BM56" s="8" t="str">
        <f aca="false">IF(BL56="","",IFERROR(VLOOKUP(BL56,'ТН ВЭД'!$A$4:$C$40,3,0),""))</f>
        <v/>
      </c>
      <c r="BN56" s="7" t="str">
        <f aca="false">IF(COUNTIF(ЗАКАЗЫ!$F$3:$F$500,$A56)=0,"",SUMIF(ЗАКАЗЫ!$F$3:$F$500,$A56,ЗАКАЗЫ!$J$3:$J$500))</f>
        <v/>
      </c>
      <c r="BO56" s="7" t="str">
        <f aca="false">IF(BN56="","",SUMIF(ЗАКАЗЫ!$F$3:$F$500,$A56,ЗАКАЗЫ!$AL$3:$AL$500))</f>
        <v/>
      </c>
      <c r="BP56" s="7" t="str">
        <f aca="false">IF(BN56="","",BN56-BO56)</f>
        <v/>
      </c>
      <c r="BQ56" s="55" t="str">
        <f aca="false">IF(BN56="","",IF(BO56&gt;=BN56,"На складе",IF(BO56&gt;0,"Частично","Ждём")))</f>
        <v/>
      </c>
      <c r="BR56" s="43"/>
      <c r="BS56" s="47" t="str">
        <f aca="false">IF(BN56="","",IF(_xlfn.MAXIFS(ЗАКАЗЫ!$AK$3:$AK$500,ЗАКАЗЫ!$F$3:$F$500,$A56)=0,"",_xlfn.MAXIFS(ЗАКАЗЫ!$AK$3:$AK$500,ЗАКАЗЫ!$F$3:$F$500,$A56)))</f>
        <v/>
      </c>
    </row>
    <row r="57" customFormat="false" ht="15.75" hidden="false" customHeight="true" outlineLevel="0" collapsed="false">
      <c r="A57" s="80" t="s">
        <v>2251</v>
      </c>
      <c r="B57" s="81"/>
      <c r="C57" s="81"/>
      <c r="D57" s="81"/>
      <c r="E57" s="83"/>
      <c r="F57" s="81"/>
      <c r="G57" s="83"/>
      <c r="H57" s="83"/>
      <c r="I57" s="84" t="str">
        <f aca="false">IF(E57="","",A57&amp;"_1.jpg")</f>
        <v/>
      </c>
      <c r="J57" s="84" t="str">
        <f aca="false">IF(E57="","",A57&amp;"_2.jpg; "&amp;A57&amp;"_3.jpg")</f>
        <v/>
      </c>
      <c r="K57" s="84" t="str">
        <f aca="false">IF(E57="","",A57&amp;"_schema.jpg")</f>
        <v/>
      </c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 t="s">
        <v>96</v>
      </c>
      <c r="W57" s="81"/>
      <c r="X57" s="81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6" t="str">
        <f aca="false">IF(SUM(Y57:AJ57)=0,"",SUM(Y57:AJ57))</f>
        <v/>
      </c>
      <c r="AL57" s="84" t="str">
        <f aca="false">MID(IF(N(Y57)&gt;0,", "&amp;Y$2,"")&amp;IF(N(Z57)&gt;0,", "&amp;Z$2,"")&amp;IF(N(AA57)&gt;0,", "&amp;AA$2,"")&amp;IF(N(AB57)&gt;0,", "&amp;AB$2,"")&amp;IF(N(AC57)&gt;0,", "&amp;AC$2,"")&amp;IF(N(AD57)&gt;0,", "&amp;AD$2,"")&amp;IF(N(AE57)&gt;0,", "&amp;AE$2,"")&amp;IF(N(AF57)&gt;0,", "&amp;AF$2,"")&amp;IF(N(AG57)&gt;0,", "&amp;AG$2,"")&amp;IF(N(AH57)&gt;0,", "&amp;AH$2,"")&amp;IF(N(AI57)&gt;0,", "&amp;AI$2,"")&amp;IF(N(AJ57)&gt;0,", "&amp;AJ$2,""),3,999)</f>
        <v/>
      </c>
      <c r="AM57" s="87" t="str">
        <f aca="false">IF(E57="","",MID(IF(N(Y57)&gt;0,", "&amp;A57&amp;"-"&amp;Y$2,"")&amp;IF(N(Z57)&gt;0,", "&amp;A57&amp;"-"&amp;Z$2,"")&amp;IF(N(AA57)&gt;0,", "&amp;A57&amp;"-"&amp;AA$2,"")&amp;IF(N(AB57)&gt;0,", "&amp;A57&amp;"-"&amp;AB$2,"")&amp;IF(N(AC57)&gt;0,", "&amp;A57&amp;"-"&amp;AC$2,"")&amp;IF(N(AD57)&gt;0,", "&amp;A57&amp;"-"&amp;AD$2,"")&amp;IF(N(AE57)&gt;0,", "&amp;A57&amp;"-"&amp;AE$2,"")&amp;IF(N(AF57)&gt;0,", "&amp;A57&amp;"-"&amp;AF$2,"")&amp;IF(N(AG57)&gt;0,", "&amp;A57&amp;"-"&amp;AG$2,"")&amp;IF(N(AH57)&gt;0,", "&amp;A57&amp;"-"&amp;AH$2,"")&amp;IF(N(AI57)&gt;0,", "&amp;A57&amp;"-"&amp;AI$2,"")&amp;IF(N(AJ57)&gt;0,", "&amp;A57&amp;"-"&amp;AJ$2,""),3,999))</f>
        <v/>
      </c>
      <c r="AN57" s="81"/>
      <c r="AO57" s="88"/>
      <c r="AP57" s="89" t="str">
        <f aca="false">IF(AO57="","",ROUND(AO57/(1+Справочники!$B$13),2))</f>
        <v/>
      </c>
      <c r="AQ57" s="90" t="str">
        <f aca="false" t="array" ref="AQ57:AQ57">IF(AP57="","",AP57*INDEX(Справочники!$B$4:$B$7,MATCH("RUB",Справочники!$A$4:$A$7,0)))</f>
        <v/>
      </c>
      <c r="AR57" s="90" t="str">
        <f aca="false">IF(AQ57="","",ROUND(AQ57*(1+Справочники!$B$12),0))</f>
        <v/>
      </c>
      <c r="AS57" s="90" t="str">
        <f aca="false">IF(AR57="","",ROUND(AR57*(1-Справочники!$B$11),0))</f>
        <v/>
      </c>
      <c r="AT57" s="88"/>
      <c r="AU57" s="90" t="str">
        <f aca="false">IF(AT57="","",ROUND(AT57/(1+Справочники!$B$12),0))</f>
        <v/>
      </c>
      <c r="AV57" s="90" t="str">
        <f aca="false">IF(AT57="","",ROUND(AT57*(1-Справочники!$B$15),0))</f>
        <v/>
      </c>
      <c r="AW57" s="90" t="str">
        <f aca="false">IF(AT57="","",ROUND(AT57*(1-Справочники!$B$16),0))</f>
        <v/>
      </c>
      <c r="AX57" s="90" t="str">
        <f aca="false">IF(AT57="","",ROUND(AT57*(1-Справочники!$B$17),0))</f>
        <v/>
      </c>
      <c r="AY57" s="90" t="str">
        <f aca="false">IF(AT57="","",ROUND(AT57*(1-Справочники!$B$18),0))</f>
        <v/>
      </c>
      <c r="AZ57" s="90" t="str">
        <f aca="false">IF(AT57="","",ROUND(AT57*(1-Справочники!$B$19),0))</f>
        <v/>
      </c>
      <c r="BA57" s="81"/>
      <c r="BB57" s="81"/>
      <c r="BC57" s="81"/>
      <c r="BD57" s="81"/>
      <c r="BE57" s="91"/>
      <c r="BF57" s="81" t="s">
        <v>103</v>
      </c>
      <c r="BG57" s="89" t="n">
        <f aca="false" t="array" ref="BG57:BG57">IF(BF57="","",IFERROR(INDEX(Справочники!$B$4:$B$7,MATCH(BF57,Справочники!$A$4:$A$7,0)),""))</f>
        <v>68.5</v>
      </c>
      <c r="BH57" s="90" t="str">
        <f aca="false">IF(N(BN57)&gt;0,ROUND(SUMIF(ЗАКАЗЫ!$F$3:$F$500,$A57,ЗАКАЗЫ!$Y$3:$Y$500)/BN57,0),IF(OR(BE57="",BG57=""),"",ROUND(BE57*BG57*(1+Справочники!$B$10),0)))</f>
        <v/>
      </c>
      <c r="BI57" s="92" t="str">
        <f aca="false">IF(OR(AU57="",BH57="",AU57=0),"",(AU57-BH57)/AU57)</f>
        <v/>
      </c>
      <c r="BJ57" s="81"/>
      <c r="BK57" s="83"/>
      <c r="BL57" s="43" t="str">
        <f aca="false">IFERROR(INDEX(ЗАКАЗЫ!$N$3:$N$500,MATCH($A57,ЗАКАЗЫ!$F$3:$F$500,0)),"")</f>
        <v/>
      </c>
      <c r="BM57" s="8" t="str">
        <f aca="false">IF(BL57="","",IFERROR(VLOOKUP(BL57,'ТН ВЭД'!$A$4:$C$40,3,0),""))</f>
        <v/>
      </c>
      <c r="BN57" s="7" t="str">
        <f aca="false">IF(COUNTIF(ЗАКАЗЫ!$F$3:$F$500,$A57)=0,"",SUMIF(ЗАКАЗЫ!$F$3:$F$500,$A57,ЗАКАЗЫ!$J$3:$J$500))</f>
        <v/>
      </c>
      <c r="BO57" s="7" t="str">
        <f aca="false">IF(BN57="","",SUMIF(ЗАКАЗЫ!$F$3:$F$500,$A57,ЗАКАЗЫ!$AL$3:$AL$500))</f>
        <v/>
      </c>
      <c r="BP57" s="7" t="str">
        <f aca="false">IF(BN57="","",BN57-BO57)</f>
        <v/>
      </c>
      <c r="BQ57" s="55" t="str">
        <f aca="false">IF(BN57="","",IF(BO57&gt;=BN57,"На складе",IF(BO57&gt;0,"Частично","Ждём")))</f>
        <v/>
      </c>
      <c r="BR57" s="43"/>
      <c r="BS57" s="47" t="str">
        <f aca="false">IF(BN57="","",IF(_xlfn.MAXIFS(ЗАКАЗЫ!$AK$3:$AK$500,ЗАКАЗЫ!$F$3:$F$500,$A57)=0,"",_xlfn.MAXIFS(ЗАКАЗЫ!$AK$3:$AK$500,ЗАКАЗЫ!$F$3:$F$500,$A57)))</f>
        <v/>
      </c>
    </row>
    <row r="58" customFormat="false" ht="15.75" hidden="false" customHeight="true" outlineLevel="0" collapsed="false">
      <c r="A58" s="80" t="s">
        <v>2252</v>
      </c>
      <c r="B58" s="81"/>
      <c r="C58" s="81"/>
      <c r="D58" s="81"/>
      <c r="E58" s="83"/>
      <c r="F58" s="81"/>
      <c r="G58" s="83"/>
      <c r="H58" s="83"/>
      <c r="I58" s="84" t="str">
        <f aca="false">IF(E58="","",A58&amp;"_1.jpg")</f>
        <v/>
      </c>
      <c r="J58" s="84" t="str">
        <f aca="false">IF(E58="","",A58&amp;"_2.jpg; "&amp;A58&amp;"_3.jpg")</f>
        <v/>
      </c>
      <c r="K58" s="84" t="str">
        <f aca="false">IF(E58="","",A58&amp;"_schema.jpg")</f>
        <v/>
      </c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 t="s">
        <v>96</v>
      </c>
      <c r="W58" s="81"/>
      <c r="X58" s="81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6" t="str">
        <f aca="false">IF(SUM(Y58:AJ58)=0,"",SUM(Y58:AJ58))</f>
        <v/>
      </c>
      <c r="AL58" s="84" t="str">
        <f aca="false">MID(IF(N(Y58)&gt;0,", "&amp;Y$2,"")&amp;IF(N(Z58)&gt;0,", "&amp;Z$2,"")&amp;IF(N(AA58)&gt;0,", "&amp;AA$2,"")&amp;IF(N(AB58)&gt;0,", "&amp;AB$2,"")&amp;IF(N(AC58)&gt;0,", "&amp;AC$2,"")&amp;IF(N(AD58)&gt;0,", "&amp;AD$2,"")&amp;IF(N(AE58)&gt;0,", "&amp;AE$2,"")&amp;IF(N(AF58)&gt;0,", "&amp;AF$2,"")&amp;IF(N(AG58)&gt;0,", "&amp;AG$2,"")&amp;IF(N(AH58)&gt;0,", "&amp;AH$2,"")&amp;IF(N(AI58)&gt;0,", "&amp;AI$2,"")&amp;IF(N(AJ58)&gt;0,", "&amp;AJ$2,""),3,999)</f>
        <v/>
      </c>
      <c r="AM58" s="87" t="str">
        <f aca="false">IF(E58="","",MID(IF(N(Y58)&gt;0,", "&amp;A58&amp;"-"&amp;Y$2,"")&amp;IF(N(Z58)&gt;0,", "&amp;A58&amp;"-"&amp;Z$2,"")&amp;IF(N(AA58)&gt;0,", "&amp;A58&amp;"-"&amp;AA$2,"")&amp;IF(N(AB58)&gt;0,", "&amp;A58&amp;"-"&amp;AB$2,"")&amp;IF(N(AC58)&gt;0,", "&amp;A58&amp;"-"&amp;AC$2,"")&amp;IF(N(AD58)&gt;0,", "&amp;A58&amp;"-"&amp;AD$2,"")&amp;IF(N(AE58)&gt;0,", "&amp;A58&amp;"-"&amp;AE$2,"")&amp;IF(N(AF58)&gt;0,", "&amp;A58&amp;"-"&amp;AF$2,"")&amp;IF(N(AG58)&gt;0,", "&amp;A58&amp;"-"&amp;AG$2,"")&amp;IF(N(AH58)&gt;0,", "&amp;A58&amp;"-"&amp;AH$2,"")&amp;IF(N(AI58)&gt;0,", "&amp;A58&amp;"-"&amp;AI$2,"")&amp;IF(N(AJ58)&gt;0,", "&amp;A58&amp;"-"&amp;AJ$2,""),3,999))</f>
        <v/>
      </c>
      <c r="AN58" s="81"/>
      <c r="AO58" s="88"/>
      <c r="AP58" s="89" t="str">
        <f aca="false">IF(AO58="","",ROUND(AO58/(1+Справочники!$B$13),2))</f>
        <v/>
      </c>
      <c r="AQ58" s="90" t="str">
        <f aca="false" t="array" ref="AQ58:AQ58">IF(AP58="","",AP58*INDEX(Справочники!$B$4:$B$7,MATCH("RUB",Справочники!$A$4:$A$7,0)))</f>
        <v/>
      </c>
      <c r="AR58" s="90" t="str">
        <f aca="false">IF(AQ58="","",ROUND(AQ58*(1+Справочники!$B$12),0))</f>
        <v/>
      </c>
      <c r="AS58" s="90" t="str">
        <f aca="false">IF(AR58="","",ROUND(AR58*(1-Справочники!$B$11),0))</f>
        <v/>
      </c>
      <c r="AT58" s="88"/>
      <c r="AU58" s="90" t="str">
        <f aca="false">IF(AT58="","",ROUND(AT58/(1+Справочники!$B$12),0))</f>
        <v/>
      </c>
      <c r="AV58" s="90" t="str">
        <f aca="false">IF(AT58="","",ROUND(AT58*(1-Справочники!$B$15),0))</f>
        <v/>
      </c>
      <c r="AW58" s="90" t="str">
        <f aca="false">IF(AT58="","",ROUND(AT58*(1-Справочники!$B$16),0))</f>
        <v/>
      </c>
      <c r="AX58" s="90" t="str">
        <f aca="false">IF(AT58="","",ROUND(AT58*(1-Справочники!$B$17),0))</f>
        <v/>
      </c>
      <c r="AY58" s="90" t="str">
        <f aca="false">IF(AT58="","",ROUND(AT58*(1-Справочники!$B$18),0))</f>
        <v/>
      </c>
      <c r="AZ58" s="90" t="str">
        <f aca="false">IF(AT58="","",ROUND(AT58*(1-Справочники!$B$19),0))</f>
        <v/>
      </c>
      <c r="BA58" s="81"/>
      <c r="BB58" s="81"/>
      <c r="BC58" s="81"/>
      <c r="BD58" s="81"/>
      <c r="BE58" s="91"/>
      <c r="BF58" s="81" t="s">
        <v>103</v>
      </c>
      <c r="BG58" s="89" t="n">
        <f aca="false" t="array" ref="BG58:BG58">IF(BF58="","",IFERROR(INDEX(Справочники!$B$4:$B$7,MATCH(BF58,Справочники!$A$4:$A$7,0)),""))</f>
        <v>68.5</v>
      </c>
      <c r="BH58" s="90" t="str">
        <f aca="false">IF(N(BN58)&gt;0,ROUND(SUMIF(ЗАКАЗЫ!$F$3:$F$500,$A58,ЗАКАЗЫ!$Y$3:$Y$500)/BN58,0),IF(OR(BE58="",BG58=""),"",ROUND(BE58*BG58*(1+Справочники!$B$10),0)))</f>
        <v/>
      </c>
      <c r="BI58" s="92" t="str">
        <f aca="false">IF(OR(AU58="",BH58="",AU58=0),"",(AU58-BH58)/AU58)</f>
        <v/>
      </c>
      <c r="BJ58" s="81"/>
      <c r="BK58" s="83"/>
      <c r="BL58" s="43" t="str">
        <f aca="false">IFERROR(INDEX(ЗАКАЗЫ!$N$3:$N$500,MATCH($A58,ЗАКАЗЫ!$F$3:$F$500,0)),"")</f>
        <v/>
      </c>
      <c r="BM58" s="8" t="str">
        <f aca="false">IF(BL58="","",IFERROR(VLOOKUP(BL58,'ТН ВЭД'!$A$4:$C$40,3,0),""))</f>
        <v/>
      </c>
      <c r="BN58" s="7" t="str">
        <f aca="false">IF(COUNTIF(ЗАКАЗЫ!$F$3:$F$500,$A58)=0,"",SUMIF(ЗАКАЗЫ!$F$3:$F$500,$A58,ЗАКАЗЫ!$J$3:$J$500))</f>
        <v/>
      </c>
      <c r="BO58" s="7" t="str">
        <f aca="false">IF(BN58="","",SUMIF(ЗАКАЗЫ!$F$3:$F$500,$A58,ЗАКАЗЫ!$AL$3:$AL$500))</f>
        <v/>
      </c>
      <c r="BP58" s="7" t="str">
        <f aca="false">IF(BN58="","",BN58-BO58)</f>
        <v/>
      </c>
      <c r="BQ58" s="55" t="str">
        <f aca="false">IF(BN58="","",IF(BO58&gt;=BN58,"На складе",IF(BO58&gt;0,"Частично","Ждём")))</f>
        <v/>
      </c>
      <c r="BR58" s="43"/>
      <c r="BS58" s="47" t="str">
        <f aca="false">IF(BN58="","",IF(_xlfn.MAXIFS(ЗАКАЗЫ!$AK$3:$AK$500,ЗАКАЗЫ!$F$3:$F$500,$A58)=0,"",_xlfn.MAXIFS(ЗАКАЗЫ!$AK$3:$AK$500,ЗАКАЗЫ!$F$3:$F$500,$A58)))</f>
        <v/>
      </c>
    </row>
    <row r="59" customFormat="false" ht="15.75" hidden="false" customHeight="true" outlineLevel="0" collapsed="false">
      <c r="A59" s="80" t="s">
        <v>2253</v>
      </c>
      <c r="B59" s="81"/>
      <c r="C59" s="81"/>
      <c r="D59" s="81"/>
      <c r="E59" s="83"/>
      <c r="F59" s="81"/>
      <c r="G59" s="83"/>
      <c r="H59" s="83"/>
      <c r="I59" s="84" t="str">
        <f aca="false">IF(E59="","",A59&amp;"_1.jpg")</f>
        <v/>
      </c>
      <c r="J59" s="84" t="str">
        <f aca="false">IF(E59="","",A59&amp;"_2.jpg; "&amp;A59&amp;"_3.jpg")</f>
        <v/>
      </c>
      <c r="K59" s="84" t="str">
        <f aca="false">IF(E59="","",A59&amp;"_schema.jpg")</f>
        <v/>
      </c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 t="s">
        <v>96</v>
      </c>
      <c r="W59" s="81"/>
      <c r="X59" s="81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6" t="str">
        <f aca="false">IF(SUM(Y59:AJ59)=0,"",SUM(Y59:AJ59))</f>
        <v/>
      </c>
      <c r="AL59" s="84" t="str">
        <f aca="false">MID(IF(N(Y59)&gt;0,", "&amp;Y$2,"")&amp;IF(N(Z59)&gt;0,", "&amp;Z$2,"")&amp;IF(N(AA59)&gt;0,", "&amp;AA$2,"")&amp;IF(N(AB59)&gt;0,", "&amp;AB$2,"")&amp;IF(N(AC59)&gt;0,", "&amp;AC$2,"")&amp;IF(N(AD59)&gt;0,", "&amp;AD$2,"")&amp;IF(N(AE59)&gt;0,", "&amp;AE$2,"")&amp;IF(N(AF59)&gt;0,", "&amp;AF$2,"")&amp;IF(N(AG59)&gt;0,", "&amp;AG$2,"")&amp;IF(N(AH59)&gt;0,", "&amp;AH$2,"")&amp;IF(N(AI59)&gt;0,", "&amp;AI$2,"")&amp;IF(N(AJ59)&gt;0,", "&amp;AJ$2,""),3,999)</f>
        <v/>
      </c>
      <c r="AM59" s="87" t="str">
        <f aca="false">IF(E59="","",MID(IF(N(Y59)&gt;0,", "&amp;A59&amp;"-"&amp;Y$2,"")&amp;IF(N(Z59)&gt;0,", "&amp;A59&amp;"-"&amp;Z$2,"")&amp;IF(N(AA59)&gt;0,", "&amp;A59&amp;"-"&amp;AA$2,"")&amp;IF(N(AB59)&gt;0,", "&amp;A59&amp;"-"&amp;AB$2,"")&amp;IF(N(AC59)&gt;0,", "&amp;A59&amp;"-"&amp;AC$2,"")&amp;IF(N(AD59)&gt;0,", "&amp;A59&amp;"-"&amp;AD$2,"")&amp;IF(N(AE59)&gt;0,", "&amp;A59&amp;"-"&amp;AE$2,"")&amp;IF(N(AF59)&gt;0,", "&amp;A59&amp;"-"&amp;AF$2,"")&amp;IF(N(AG59)&gt;0,", "&amp;A59&amp;"-"&amp;AG$2,"")&amp;IF(N(AH59)&gt;0,", "&amp;A59&amp;"-"&amp;AH$2,"")&amp;IF(N(AI59)&gt;0,", "&amp;A59&amp;"-"&amp;AI$2,"")&amp;IF(N(AJ59)&gt;0,", "&amp;A59&amp;"-"&amp;AJ$2,""),3,999))</f>
        <v/>
      </c>
      <c r="AN59" s="81"/>
      <c r="AO59" s="88"/>
      <c r="AP59" s="89" t="str">
        <f aca="false">IF(AO59="","",ROUND(AO59/(1+Справочники!$B$13),2))</f>
        <v/>
      </c>
      <c r="AQ59" s="90" t="str">
        <f aca="false" t="array" ref="AQ59:AQ59">IF(AP59="","",AP59*INDEX(Справочники!$B$4:$B$7,MATCH("RUB",Справочники!$A$4:$A$7,0)))</f>
        <v/>
      </c>
      <c r="AR59" s="90" t="str">
        <f aca="false">IF(AQ59="","",ROUND(AQ59*(1+Справочники!$B$12),0))</f>
        <v/>
      </c>
      <c r="AS59" s="90" t="str">
        <f aca="false">IF(AR59="","",ROUND(AR59*(1-Справочники!$B$11),0))</f>
        <v/>
      </c>
      <c r="AT59" s="88"/>
      <c r="AU59" s="90" t="str">
        <f aca="false">IF(AT59="","",ROUND(AT59/(1+Справочники!$B$12),0))</f>
        <v/>
      </c>
      <c r="AV59" s="90" t="str">
        <f aca="false">IF(AT59="","",ROUND(AT59*(1-Справочники!$B$15),0))</f>
        <v/>
      </c>
      <c r="AW59" s="90" t="str">
        <f aca="false">IF(AT59="","",ROUND(AT59*(1-Справочники!$B$16),0))</f>
        <v/>
      </c>
      <c r="AX59" s="90" t="str">
        <f aca="false">IF(AT59="","",ROUND(AT59*(1-Справочники!$B$17),0))</f>
        <v/>
      </c>
      <c r="AY59" s="90" t="str">
        <f aca="false">IF(AT59="","",ROUND(AT59*(1-Справочники!$B$18),0))</f>
        <v/>
      </c>
      <c r="AZ59" s="90" t="str">
        <f aca="false">IF(AT59="","",ROUND(AT59*(1-Справочники!$B$19),0))</f>
        <v/>
      </c>
      <c r="BA59" s="81"/>
      <c r="BB59" s="81"/>
      <c r="BC59" s="81"/>
      <c r="BD59" s="81"/>
      <c r="BE59" s="91"/>
      <c r="BF59" s="81" t="s">
        <v>103</v>
      </c>
      <c r="BG59" s="89" t="n">
        <f aca="false" t="array" ref="BG59:BG59">IF(BF59="","",IFERROR(INDEX(Справочники!$B$4:$B$7,MATCH(BF59,Справочники!$A$4:$A$7,0)),""))</f>
        <v>68.5</v>
      </c>
      <c r="BH59" s="90" t="str">
        <f aca="false">IF(N(BN59)&gt;0,ROUND(SUMIF(ЗАКАЗЫ!$F$3:$F$500,$A59,ЗАКАЗЫ!$Y$3:$Y$500)/BN59,0),IF(OR(BE59="",BG59=""),"",ROUND(BE59*BG59*(1+Справочники!$B$10),0)))</f>
        <v/>
      </c>
      <c r="BI59" s="92" t="str">
        <f aca="false">IF(OR(AU59="",BH59="",AU59=0),"",(AU59-BH59)/AU59)</f>
        <v/>
      </c>
      <c r="BJ59" s="81"/>
      <c r="BK59" s="83"/>
      <c r="BL59" s="43" t="str">
        <f aca="false">IFERROR(INDEX(ЗАКАЗЫ!$N$3:$N$500,MATCH($A59,ЗАКАЗЫ!$F$3:$F$500,0)),"")</f>
        <v/>
      </c>
      <c r="BM59" s="8" t="str">
        <f aca="false">IF(BL59="","",IFERROR(VLOOKUP(BL59,'ТН ВЭД'!$A$4:$C$40,3,0),""))</f>
        <v/>
      </c>
      <c r="BN59" s="7" t="str">
        <f aca="false">IF(COUNTIF(ЗАКАЗЫ!$F$3:$F$500,$A59)=0,"",SUMIF(ЗАКАЗЫ!$F$3:$F$500,$A59,ЗАКАЗЫ!$J$3:$J$500))</f>
        <v/>
      </c>
      <c r="BO59" s="7" t="str">
        <f aca="false">IF(BN59="","",SUMIF(ЗАКАЗЫ!$F$3:$F$500,$A59,ЗАКАЗЫ!$AL$3:$AL$500))</f>
        <v/>
      </c>
      <c r="BP59" s="7" t="str">
        <f aca="false">IF(BN59="","",BN59-BO59)</f>
        <v/>
      </c>
      <c r="BQ59" s="55" t="str">
        <f aca="false">IF(BN59="","",IF(BO59&gt;=BN59,"На складе",IF(BO59&gt;0,"Частично","Ждём")))</f>
        <v/>
      </c>
      <c r="BR59" s="43"/>
      <c r="BS59" s="47" t="str">
        <f aca="false">IF(BN59="","",IF(_xlfn.MAXIFS(ЗАКАЗЫ!$AK$3:$AK$500,ЗАКАЗЫ!$F$3:$F$500,$A59)=0,"",_xlfn.MAXIFS(ЗАКАЗЫ!$AK$3:$AK$500,ЗАКАЗЫ!$F$3:$F$500,$A59)))</f>
        <v/>
      </c>
    </row>
    <row r="60" customFormat="false" ht="15.75" hidden="false" customHeight="true" outlineLevel="0" collapsed="false">
      <c r="A60" s="80" t="s">
        <v>2254</v>
      </c>
      <c r="B60" s="81"/>
      <c r="C60" s="81"/>
      <c r="D60" s="81"/>
      <c r="E60" s="83"/>
      <c r="F60" s="81"/>
      <c r="G60" s="83"/>
      <c r="H60" s="83"/>
      <c r="I60" s="84" t="str">
        <f aca="false">IF(E60="","",A60&amp;"_1.jpg")</f>
        <v/>
      </c>
      <c r="J60" s="84" t="str">
        <f aca="false">IF(E60="","",A60&amp;"_2.jpg; "&amp;A60&amp;"_3.jpg")</f>
        <v/>
      </c>
      <c r="K60" s="84" t="str">
        <f aca="false">IF(E60="","",A60&amp;"_schema.jpg")</f>
        <v/>
      </c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 t="s">
        <v>96</v>
      </c>
      <c r="W60" s="81"/>
      <c r="X60" s="81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6" t="str">
        <f aca="false">IF(SUM(Y60:AJ60)=0,"",SUM(Y60:AJ60))</f>
        <v/>
      </c>
      <c r="AL60" s="84" t="str">
        <f aca="false">MID(IF(N(Y60)&gt;0,", "&amp;Y$2,"")&amp;IF(N(Z60)&gt;0,", "&amp;Z$2,"")&amp;IF(N(AA60)&gt;0,", "&amp;AA$2,"")&amp;IF(N(AB60)&gt;0,", "&amp;AB$2,"")&amp;IF(N(AC60)&gt;0,", "&amp;AC$2,"")&amp;IF(N(AD60)&gt;0,", "&amp;AD$2,"")&amp;IF(N(AE60)&gt;0,", "&amp;AE$2,"")&amp;IF(N(AF60)&gt;0,", "&amp;AF$2,"")&amp;IF(N(AG60)&gt;0,", "&amp;AG$2,"")&amp;IF(N(AH60)&gt;0,", "&amp;AH$2,"")&amp;IF(N(AI60)&gt;0,", "&amp;AI$2,"")&amp;IF(N(AJ60)&gt;0,", "&amp;AJ$2,""),3,999)</f>
        <v/>
      </c>
      <c r="AM60" s="87" t="str">
        <f aca="false">IF(E60="","",MID(IF(N(Y60)&gt;0,", "&amp;A60&amp;"-"&amp;Y$2,"")&amp;IF(N(Z60)&gt;0,", "&amp;A60&amp;"-"&amp;Z$2,"")&amp;IF(N(AA60)&gt;0,", "&amp;A60&amp;"-"&amp;AA$2,"")&amp;IF(N(AB60)&gt;0,", "&amp;A60&amp;"-"&amp;AB$2,"")&amp;IF(N(AC60)&gt;0,", "&amp;A60&amp;"-"&amp;AC$2,"")&amp;IF(N(AD60)&gt;0,", "&amp;A60&amp;"-"&amp;AD$2,"")&amp;IF(N(AE60)&gt;0,", "&amp;A60&amp;"-"&amp;AE$2,"")&amp;IF(N(AF60)&gt;0,", "&amp;A60&amp;"-"&amp;AF$2,"")&amp;IF(N(AG60)&gt;0,", "&amp;A60&amp;"-"&amp;AG$2,"")&amp;IF(N(AH60)&gt;0,", "&amp;A60&amp;"-"&amp;AH$2,"")&amp;IF(N(AI60)&gt;0,", "&amp;A60&amp;"-"&amp;AI$2,"")&amp;IF(N(AJ60)&gt;0,", "&amp;A60&amp;"-"&amp;AJ$2,""),3,999))</f>
        <v/>
      </c>
      <c r="AN60" s="81"/>
      <c r="AO60" s="88"/>
      <c r="AP60" s="89" t="str">
        <f aca="false">IF(AO60="","",ROUND(AO60/(1+Справочники!$B$13),2))</f>
        <v/>
      </c>
      <c r="AQ60" s="90" t="str">
        <f aca="false" t="array" ref="AQ60:AQ60">IF(AP60="","",AP60*INDEX(Справочники!$B$4:$B$7,MATCH("RUB",Справочники!$A$4:$A$7,0)))</f>
        <v/>
      </c>
      <c r="AR60" s="90" t="str">
        <f aca="false">IF(AQ60="","",ROUND(AQ60*(1+Справочники!$B$12),0))</f>
        <v/>
      </c>
      <c r="AS60" s="90" t="str">
        <f aca="false">IF(AR60="","",ROUND(AR60*(1-Справочники!$B$11),0))</f>
        <v/>
      </c>
      <c r="AT60" s="88"/>
      <c r="AU60" s="90" t="str">
        <f aca="false">IF(AT60="","",ROUND(AT60/(1+Справочники!$B$12),0))</f>
        <v/>
      </c>
      <c r="AV60" s="90" t="str">
        <f aca="false">IF(AT60="","",ROUND(AT60*(1-Справочники!$B$15),0))</f>
        <v/>
      </c>
      <c r="AW60" s="90" t="str">
        <f aca="false">IF(AT60="","",ROUND(AT60*(1-Справочники!$B$16),0))</f>
        <v/>
      </c>
      <c r="AX60" s="90" t="str">
        <f aca="false">IF(AT60="","",ROUND(AT60*(1-Справочники!$B$17),0))</f>
        <v/>
      </c>
      <c r="AY60" s="90" t="str">
        <f aca="false">IF(AT60="","",ROUND(AT60*(1-Справочники!$B$18),0))</f>
        <v/>
      </c>
      <c r="AZ60" s="90" t="str">
        <f aca="false">IF(AT60="","",ROUND(AT60*(1-Справочники!$B$19),0))</f>
        <v/>
      </c>
      <c r="BA60" s="81"/>
      <c r="BB60" s="81"/>
      <c r="BC60" s="81"/>
      <c r="BD60" s="81"/>
      <c r="BE60" s="91"/>
      <c r="BF60" s="81" t="s">
        <v>103</v>
      </c>
      <c r="BG60" s="89" t="n">
        <f aca="false" t="array" ref="BG60:BG60">IF(BF60="","",IFERROR(INDEX(Справочники!$B$4:$B$7,MATCH(BF60,Справочники!$A$4:$A$7,0)),""))</f>
        <v>68.5</v>
      </c>
      <c r="BH60" s="90" t="str">
        <f aca="false">IF(N(BN60)&gt;0,ROUND(SUMIF(ЗАКАЗЫ!$F$3:$F$500,$A60,ЗАКАЗЫ!$Y$3:$Y$500)/BN60,0),IF(OR(BE60="",BG60=""),"",ROUND(BE60*BG60*(1+Справочники!$B$10),0)))</f>
        <v/>
      </c>
      <c r="BI60" s="92" t="str">
        <f aca="false">IF(OR(AU60="",BH60="",AU60=0),"",(AU60-BH60)/AU60)</f>
        <v/>
      </c>
      <c r="BJ60" s="81"/>
      <c r="BK60" s="83"/>
      <c r="BL60" s="43" t="str">
        <f aca="false">IFERROR(INDEX(ЗАКАЗЫ!$N$3:$N$500,MATCH($A60,ЗАКАЗЫ!$F$3:$F$500,0)),"")</f>
        <v/>
      </c>
      <c r="BM60" s="8" t="str">
        <f aca="false">IF(BL60="","",IFERROR(VLOOKUP(BL60,'ТН ВЭД'!$A$4:$C$40,3,0),""))</f>
        <v/>
      </c>
      <c r="BN60" s="7" t="str">
        <f aca="false">IF(COUNTIF(ЗАКАЗЫ!$F$3:$F$500,$A60)=0,"",SUMIF(ЗАКАЗЫ!$F$3:$F$500,$A60,ЗАКАЗЫ!$J$3:$J$500))</f>
        <v/>
      </c>
      <c r="BO60" s="7" t="str">
        <f aca="false">IF(BN60="","",SUMIF(ЗАКАЗЫ!$F$3:$F$500,$A60,ЗАКАЗЫ!$AL$3:$AL$500))</f>
        <v/>
      </c>
      <c r="BP60" s="7" t="str">
        <f aca="false">IF(BN60="","",BN60-BO60)</f>
        <v/>
      </c>
      <c r="BQ60" s="55" t="str">
        <f aca="false">IF(BN60="","",IF(BO60&gt;=BN60,"На складе",IF(BO60&gt;0,"Частично","Ждём")))</f>
        <v/>
      </c>
      <c r="BR60" s="43"/>
      <c r="BS60" s="47" t="str">
        <f aca="false">IF(BN60="","",IF(_xlfn.MAXIFS(ЗАКАЗЫ!$AK$3:$AK$500,ЗАКАЗЫ!$F$3:$F$500,$A60)=0,"",_xlfn.MAXIFS(ЗАКАЗЫ!$AK$3:$AK$500,ЗАКАЗЫ!$F$3:$F$500,$A60)))</f>
        <v/>
      </c>
    </row>
    <row r="61" customFormat="false" ht="15.75" hidden="false" customHeight="true" outlineLevel="0" collapsed="false">
      <c r="A61" s="80" t="s">
        <v>2255</v>
      </c>
      <c r="B61" s="81"/>
      <c r="C61" s="81"/>
      <c r="D61" s="81"/>
      <c r="E61" s="83"/>
      <c r="F61" s="81"/>
      <c r="G61" s="83"/>
      <c r="H61" s="83"/>
      <c r="I61" s="84" t="str">
        <f aca="false">IF(E61="","",A61&amp;"_1.jpg")</f>
        <v/>
      </c>
      <c r="J61" s="84" t="str">
        <f aca="false">IF(E61="","",A61&amp;"_2.jpg; "&amp;A61&amp;"_3.jpg")</f>
        <v/>
      </c>
      <c r="K61" s="84" t="str">
        <f aca="false">IF(E61="","",A61&amp;"_schema.jpg")</f>
        <v/>
      </c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 t="s">
        <v>96</v>
      </c>
      <c r="W61" s="81"/>
      <c r="X61" s="81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6" t="str">
        <f aca="false">IF(SUM(Y61:AJ61)=0,"",SUM(Y61:AJ61))</f>
        <v/>
      </c>
      <c r="AL61" s="84" t="str">
        <f aca="false">MID(IF(N(Y61)&gt;0,", "&amp;Y$2,"")&amp;IF(N(Z61)&gt;0,", "&amp;Z$2,"")&amp;IF(N(AA61)&gt;0,", "&amp;AA$2,"")&amp;IF(N(AB61)&gt;0,", "&amp;AB$2,"")&amp;IF(N(AC61)&gt;0,", "&amp;AC$2,"")&amp;IF(N(AD61)&gt;0,", "&amp;AD$2,"")&amp;IF(N(AE61)&gt;0,", "&amp;AE$2,"")&amp;IF(N(AF61)&gt;0,", "&amp;AF$2,"")&amp;IF(N(AG61)&gt;0,", "&amp;AG$2,"")&amp;IF(N(AH61)&gt;0,", "&amp;AH$2,"")&amp;IF(N(AI61)&gt;0,", "&amp;AI$2,"")&amp;IF(N(AJ61)&gt;0,", "&amp;AJ$2,""),3,999)</f>
        <v/>
      </c>
      <c r="AM61" s="87" t="str">
        <f aca="false">IF(E61="","",MID(IF(N(Y61)&gt;0,", "&amp;A61&amp;"-"&amp;Y$2,"")&amp;IF(N(Z61)&gt;0,", "&amp;A61&amp;"-"&amp;Z$2,"")&amp;IF(N(AA61)&gt;0,", "&amp;A61&amp;"-"&amp;AA$2,"")&amp;IF(N(AB61)&gt;0,", "&amp;A61&amp;"-"&amp;AB$2,"")&amp;IF(N(AC61)&gt;0,", "&amp;A61&amp;"-"&amp;AC$2,"")&amp;IF(N(AD61)&gt;0,", "&amp;A61&amp;"-"&amp;AD$2,"")&amp;IF(N(AE61)&gt;0,", "&amp;A61&amp;"-"&amp;AE$2,"")&amp;IF(N(AF61)&gt;0,", "&amp;A61&amp;"-"&amp;AF$2,"")&amp;IF(N(AG61)&gt;0,", "&amp;A61&amp;"-"&amp;AG$2,"")&amp;IF(N(AH61)&gt;0,", "&amp;A61&amp;"-"&amp;AH$2,"")&amp;IF(N(AI61)&gt;0,", "&amp;A61&amp;"-"&amp;AI$2,"")&amp;IF(N(AJ61)&gt;0,", "&amp;A61&amp;"-"&amp;AJ$2,""),3,999))</f>
        <v/>
      </c>
      <c r="AN61" s="81"/>
      <c r="AO61" s="88"/>
      <c r="AP61" s="89" t="str">
        <f aca="false">IF(AO61="","",ROUND(AO61/(1+Справочники!$B$13),2))</f>
        <v/>
      </c>
      <c r="AQ61" s="90" t="str">
        <f aca="false" t="array" ref="AQ61:AQ61">IF(AP61="","",AP61*INDEX(Справочники!$B$4:$B$7,MATCH("RUB",Справочники!$A$4:$A$7,0)))</f>
        <v/>
      </c>
      <c r="AR61" s="90" t="str">
        <f aca="false">IF(AQ61="","",ROUND(AQ61*(1+Справочники!$B$12),0))</f>
        <v/>
      </c>
      <c r="AS61" s="90" t="str">
        <f aca="false">IF(AR61="","",ROUND(AR61*(1-Справочники!$B$11),0))</f>
        <v/>
      </c>
      <c r="AT61" s="88"/>
      <c r="AU61" s="90" t="str">
        <f aca="false">IF(AT61="","",ROUND(AT61/(1+Справочники!$B$12),0))</f>
        <v/>
      </c>
      <c r="AV61" s="90" t="str">
        <f aca="false">IF(AT61="","",ROUND(AT61*(1-Справочники!$B$15),0))</f>
        <v/>
      </c>
      <c r="AW61" s="90" t="str">
        <f aca="false">IF(AT61="","",ROUND(AT61*(1-Справочники!$B$16),0))</f>
        <v/>
      </c>
      <c r="AX61" s="90" t="str">
        <f aca="false">IF(AT61="","",ROUND(AT61*(1-Справочники!$B$17),0))</f>
        <v/>
      </c>
      <c r="AY61" s="90" t="str">
        <f aca="false">IF(AT61="","",ROUND(AT61*(1-Справочники!$B$18),0))</f>
        <v/>
      </c>
      <c r="AZ61" s="90" t="str">
        <f aca="false">IF(AT61="","",ROUND(AT61*(1-Справочники!$B$19),0))</f>
        <v/>
      </c>
      <c r="BA61" s="81"/>
      <c r="BB61" s="81"/>
      <c r="BC61" s="81"/>
      <c r="BD61" s="81"/>
      <c r="BE61" s="91"/>
      <c r="BF61" s="81" t="s">
        <v>103</v>
      </c>
      <c r="BG61" s="89" t="n">
        <f aca="false" t="array" ref="BG61:BG61">IF(BF61="","",IFERROR(INDEX(Справочники!$B$4:$B$7,MATCH(BF61,Справочники!$A$4:$A$7,0)),""))</f>
        <v>68.5</v>
      </c>
      <c r="BH61" s="90" t="str">
        <f aca="false">IF(N(BN61)&gt;0,ROUND(SUMIF(ЗАКАЗЫ!$F$3:$F$500,$A61,ЗАКАЗЫ!$Y$3:$Y$500)/BN61,0),IF(OR(BE61="",BG61=""),"",ROUND(BE61*BG61*(1+Справочники!$B$10),0)))</f>
        <v/>
      </c>
      <c r="BI61" s="92" t="str">
        <f aca="false">IF(OR(AU61="",BH61="",AU61=0),"",(AU61-BH61)/AU61)</f>
        <v/>
      </c>
      <c r="BJ61" s="81"/>
      <c r="BK61" s="83"/>
      <c r="BL61" s="43" t="str">
        <f aca="false">IFERROR(INDEX(ЗАКАЗЫ!$N$3:$N$500,MATCH($A61,ЗАКАЗЫ!$F$3:$F$500,0)),"")</f>
        <v/>
      </c>
      <c r="BM61" s="8" t="str">
        <f aca="false">IF(BL61="","",IFERROR(VLOOKUP(BL61,'ТН ВЭД'!$A$4:$C$40,3,0),""))</f>
        <v/>
      </c>
      <c r="BN61" s="7" t="str">
        <f aca="false">IF(COUNTIF(ЗАКАЗЫ!$F$3:$F$500,$A61)=0,"",SUMIF(ЗАКАЗЫ!$F$3:$F$500,$A61,ЗАКАЗЫ!$J$3:$J$500))</f>
        <v/>
      </c>
      <c r="BO61" s="7" t="str">
        <f aca="false">IF(BN61="","",SUMIF(ЗАКАЗЫ!$F$3:$F$500,$A61,ЗАКАЗЫ!$AL$3:$AL$500))</f>
        <v/>
      </c>
      <c r="BP61" s="7" t="str">
        <f aca="false">IF(BN61="","",BN61-BO61)</f>
        <v/>
      </c>
      <c r="BQ61" s="55" t="str">
        <f aca="false">IF(BN61="","",IF(BO61&gt;=BN61,"На складе",IF(BO61&gt;0,"Частично","Ждём")))</f>
        <v/>
      </c>
      <c r="BR61" s="43"/>
      <c r="BS61" s="47" t="str">
        <f aca="false">IF(BN61="","",IF(_xlfn.MAXIFS(ЗАКАЗЫ!$AK$3:$AK$500,ЗАКАЗЫ!$F$3:$F$500,$A61)=0,"",_xlfn.MAXIFS(ЗАКАЗЫ!$AK$3:$AK$500,ЗАКАЗЫ!$F$3:$F$500,$A61)))</f>
        <v/>
      </c>
    </row>
    <row r="62" customFormat="false" ht="15.75" hidden="false" customHeight="true" outlineLevel="0" collapsed="false">
      <c r="A62" s="80" t="s">
        <v>2256</v>
      </c>
      <c r="B62" s="81"/>
      <c r="C62" s="81"/>
      <c r="D62" s="81"/>
      <c r="E62" s="83"/>
      <c r="F62" s="81"/>
      <c r="G62" s="83"/>
      <c r="H62" s="83"/>
      <c r="I62" s="84" t="str">
        <f aca="false">IF(E62="","",A62&amp;"_1.jpg")</f>
        <v/>
      </c>
      <c r="J62" s="84" t="str">
        <f aca="false">IF(E62="","",A62&amp;"_2.jpg; "&amp;A62&amp;"_3.jpg")</f>
        <v/>
      </c>
      <c r="K62" s="84" t="str">
        <f aca="false">IF(E62="","",A62&amp;"_schema.jpg")</f>
        <v/>
      </c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 t="s">
        <v>96</v>
      </c>
      <c r="W62" s="81"/>
      <c r="X62" s="81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6" t="str">
        <f aca="false">IF(SUM(Y62:AJ62)=0,"",SUM(Y62:AJ62))</f>
        <v/>
      </c>
      <c r="AL62" s="84" t="str">
        <f aca="false">MID(IF(N(Y62)&gt;0,", "&amp;Y$2,"")&amp;IF(N(Z62)&gt;0,", "&amp;Z$2,"")&amp;IF(N(AA62)&gt;0,", "&amp;AA$2,"")&amp;IF(N(AB62)&gt;0,", "&amp;AB$2,"")&amp;IF(N(AC62)&gt;0,", "&amp;AC$2,"")&amp;IF(N(AD62)&gt;0,", "&amp;AD$2,"")&amp;IF(N(AE62)&gt;0,", "&amp;AE$2,"")&amp;IF(N(AF62)&gt;0,", "&amp;AF$2,"")&amp;IF(N(AG62)&gt;0,", "&amp;AG$2,"")&amp;IF(N(AH62)&gt;0,", "&amp;AH$2,"")&amp;IF(N(AI62)&gt;0,", "&amp;AI$2,"")&amp;IF(N(AJ62)&gt;0,", "&amp;AJ$2,""),3,999)</f>
        <v/>
      </c>
      <c r="AM62" s="87" t="str">
        <f aca="false">IF(E62="","",MID(IF(N(Y62)&gt;0,", "&amp;A62&amp;"-"&amp;Y$2,"")&amp;IF(N(Z62)&gt;0,", "&amp;A62&amp;"-"&amp;Z$2,"")&amp;IF(N(AA62)&gt;0,", "&amp;A62&amp;"-"&amp;AA$2,"")&amp;IF(N(AB62)&gt;0,", "&amp;A62&amp;"-"&amp;AB$2,"")&amp;IF(N(AC62)&gt;0,", "&amp;A62&amp;"-"&amp;AC$2,"")&amp;IF(N(AD62)&gt;0,", "&amp;A62&amp;"-"&amp;AD$2,"")&amp;IF(N(AE62)&gt;0,", "&amp;A62&amp;"-"&amp;AE$2,"")&amp;IF(N(AF62)&gt;0,", "&amp;A62&amp;"-"&amp;AF$2,"")&amp;IF(N(AG62)&gt;0,", "&amp;A62&amp;"-"&amp;AG$2,"")&amp;IF(N(AH62)&gt;0,", "&amp;A62&amp;"-"&amp;AH$2,"")&amp;IF(N(AI62)&gt;0,", "&amp;A62&amp;"-"&amp;AI$2,"")&amp;IF(N(AJ62)&gt;0,", "&amp;A62&amp;"-"&amp;AJ$2,""),3,999))</f>
        <v/>
      </c>
      <c r="AN62" s="81"/>
      <c r="AO62" s="88"/>
      <c r="AP62" s="89" t="str">
        <f aca="false">IF(AO62="","",ROUND(AO62/(1+Справочники!$B$13),2))</f>
        <v/>
      </c>
      <c r="AQ62" s="90" t="str">
        <f aca="false" t="array" ref="AQ62:AQ62">IF(AP62="","",AP62*INDEX(Справочники!$B$4:$B$7,MATCH("RUB",Справочники!$A$4:$A$7,0)))</f>
        <v/>
      </c>
      <c r="AR62" s="90" t="str">
        <f aca="false">IF(AQ62="","",ROUND(AQ62*(1+Справочники!$B$12),0))</f>
        <v/>
      </c>
      <c r="AS62" s="90" t="str">
        <f aca="false">IF(AR62="","",ROUND(AR62*(1-Справочники!$B$11),0))</f>
        <v/>
      </c>
      <c r="AT62" s="88"/>
      <c r="AU62" s="90" t="str">
        <f aca="false">IF(AT62="","",ROUND(AT62/(1+Справочники!$B$12),0))</f>
        <v/>
      </c>
      <c r="AV62" s="90" t="str">
        <f aca="false">IF(AT62="","",ROUND(AT62*(1-Справочники!$B$15),0))</f>
        <v/>
      </c>
      <c r="AW62" s="90" t="str">
        <f aca="false">IF(AT62="","",ROUND(AT62*(1-Справочники!$B$16),0))</f>
        <v/>
      </c>
      <c r="AX62" s="90" t="str">
        <f aca="false">IF(AT62="","",ROUND(AT62*(1-Справочники!$B$17),0))</f>
        <v/>
      </c>
      <c r="AY62" s="90" t="str">
        <f aca="false">IF(AT62="","",ROUND(AT62*(1-Справочники!$B$18),0))</f>
        <v/>
      </c>
      <c r="AZ62" s="90" t="str">
        <f aca="false">IF(AT62="","",ROUND(AT62*(1-Справочники!$B$19),0))</f>
        <v/>
      </c>
      <c r="BA62" s="81"/>
      <c r="BB62" s="81"/>
      <c r="BC62" s="81"/>
      <c r="BD62" s="81"/>
      <c r="BE62" s="91"/>
      <c r="BF62" s="81" t="s">
        <v>103</v>
      </c>
      <c r="BG62" s="89" t="n">
        <f aca="false" t="array" ref="BG62:BG62">IF(BF62="","",IFERROR(INDEX(Справочники!$B$4:$B$7,MATCH(BF62,Справочники!$A$4:$A$7,0)),""))</f>
        <v>68.5</v>
      </c>
      <c r="BH62" s="90" t="str">
        <f aca="false">IF(N(BN62)&gt;0,ROUND(SUMIF(ЗАКАЗЫ!$F$3:$F$500,$A62,ЗАКАЗЫ!$Y$3:$Y$500)/BN62,0),IF(OR(BE62="",BG62=""),"",ROUND(BE62*BG62*(1+Справочники!$B$10),0)))</f>
        <v/>
      </c>
      <c r="BI62" s="92" t="str">
        <f aca="false">IF(OR(AU62="",BH62="",AU62=0),"",(AU62-BH62)/AU62)</f>
        <v/>
      </c>
      <c r="BJ62" s="81"/>
      <c r="BK62" s="83"/>
      <c r="BL62" s="43" t="str">
        <f aca="false">IFERROR(INDEX(ЗАКАЗЫ!$N$3:$N$500,MATCH($A62,ЗАКАЗЫ!$F$3:$F$500,0)),"")</f>
        <v/>
      </c>
      <c r="BM62" s="8" t="str">
        <f aca="false">IF(BL62="","",IFERROR(VLOOKUP(BL62,'ТН ВЭД'!$A$4:$C$40,3,0),""))</f>
        <v/>
      </c>
      <c r="BN62" s="7" t="str">
        <f aca="false">IF(COUNTIF(ЗАКАЗЫ!$F$3:$F$500,$A62)=0,"",SUMIF(ЗАКАЗЫ!$F$3:$F$500,$A62,ЗАКАЗЫ!$J$3:$J$500))</f>
        <v/>
      </c>
      <c r="BO62" s="7" t="str">
        <f aca="false">IF(BN62="","",SUMIF(ЗАКАЗЫ!$F$3:$F$500,$A62,ЗАКАЗЫ!$AL$3:$AL$500))</f>
        <v/>
      </c>
      <c r="BP62" s="7" t="str">
        <f aca="false">IF(BN62="","",BN62-BO62)</f>
        <v/>
      </c>
      <c r="BQ62" s="55" t="str">
        <f aca="false">IF(BN62="","",IF(BO62&gt;=BN62,"На складе",IF(BO62&gt;0,"Частично","Ждём")))</f>
        <v/>
      </c>
      <c r="BR62" s="43"/>
      <c r="BS62" s="47" t="str">
        <f aca="false">IF(BN62="","",IF(_xlfn.MAXIFS(ЗАКАЗЫ!$AK$3:$AK$500,ЗАКАЗЫ!$F$3:$F$500,$A62)=0,"",_xlfn.MAXIFS(ЗАКАЗЫ!$AK$3:$AK$500,ЗАКАЗЫ!$F$3:$F$500,$A62)))</f>
        <v/>
      </c>
    </row>
    <row r="63" customFormat="false" ht="15.75" hidden="false" customHeight="true" outlineLevel="0" collapsed="false">
      <c r="A63" s="80" t="s">
        <v>2257</v>
      </c>
      <c r="B63" s="81"/>
      <c r="C63" s="81"/>
      <c r="D63" s="81"/>
      <c r="E63" s="83"/>
      <c r="F63" s="81"/>
      <c r="G63" s="83"/>
      <c r="H63" s="83"/>
      <c r="I63" s="84" t="str">
        <f aca="false">IF(E63="","",A63&amp;"_1.jpg")</f>
        <v/>
      </c>
      <c r="J63" s="84" t="str">
        <f aca="false">IF(E63="","",A63&amp;"_2.jpg; "&amp;A63&amp;"_3.jpg")</f>
        <v/>
      </c>
      <c r="K63" s="84" t="str">
        <f aca="false">IF(E63="","",A63&amp;"_schema.jpg")</f>
        <v/>
      </c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 t="s">
        <v>96</v>
      </c>
      <c r="W63" s="81"/>
      <c r="X63" s="81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6" t="str">
        <f aca="false">IF(SUM(Y63:AJ63)=0,"",SUM(Y63:AJ63))</f>
        <v/>
      </c>
      <c r="AL63" s="84" t="str">
        <f aca="false">MID(IF(N(Y63)&gt;0,", "&amp;Y$2,"")&amp;IF(N(Z63)&gt;0,", "&amp;Z$2,"")&amp;IF(N(AA63)&gt;0,", "&amp;AA$2,"")&amp;IF(N(AB63)&gt;0,", "&amp;AB$2,"")&amp;IF(N(AC63)&gt;0,", "&amp;AC$2,"")&amp;IF(N(AD63)&gt;0,", "&amp;AD$2,"")&amp;IF(N(AE63)&gt;0,", "&amp;AE$2,"")&amp;IF(N(AF63)&gt;0,", "&amp;AF$2,"")&amp;IF(N(AG63)&gt;0,", "&amp;AG$2,"")&amp;IF(N(AH63)&gt;0,", "&amp;AH$2,"")&amp;IF(N(AI63)&gt;0,", "&amp;AI$2,"")&amp;IF(N(AJ63)&gt;0,", "&amp;AJ$2,""),3,999)</f>
        <v/>
      </c>
      <c r="AM63" s="87" t="str">
        <f aca="false">IF(E63="","",MID(IF(N(Y63)&gt;0,", "&amp;A63&amp;"-"&amp;Y$2,"")&amp;IF(N(Z63)&gt;0,", "&amp;A63&amp;"-"&amp;Z$2,"")&amp;IF(N(AA63)&gt;0,", "&amp;A63&amp;"-"&amp;AA$2,"")&amp;IF(N(AB63)&gt;0,", "&amp;A63&amp;"-"&amp;AB$2,"")&amp;IF(N(AC63)&gt;0,", "&amp;A63&amp;"-"&amp;AC$2,"")&amp;IF(N(AD63)&gt;0,", "&amp;A63&amp;"-"&amp;AD$2,"")&amp;IF(N(AE63)&gt;0,", "&amp;A63&amp;"-"&amp;AE$2,"")&amp;IF(N(AF63)&gt;0,", "&amp;A63&amp;"-"&amp;AF$2,"")&amp;IF(N(AG63)&gt;0,", "&amp;A63&amp;"-"&amp;AG$2,"")&amp;IF(N(AH63)&gt;0,", "&amp;A63&amp;"-"&amp;AH$2,"")&amp;IF(N(AI63)&gt;0,", "&amp;A63&amp;"-"&amp;AI$2,"")&amp;IF(N(AJ63)&gt;0,", "&amp;A63&amp;"-"&amp;AJ$2,""),3,999))</f>
        <v/>
      </c>
      <c r="AN63" s="81"/>
      <c r="AO63" s="88"/>
      <c r="AP63" s="89" t="str">
        <f aca="false">IF(AO63="","",ROUND(AO63/(1+Справочники!$B$13),2))</f>
        <v/>
      </c>
      <c r="AQ63" s="90" t="str">
        <f aca="false" t="array" ref="AQ63:AQ63">IF(AP63="","",AP63*INDEX(Справочники!$B$4:$B$7,MATCH("RUB",Справочники!$A$4:$A$7,0)))</f>
        <v/>
      </c>
      <c r="AR63" s="90" t="str">
        <f aca="false">IF(AQ63="","",ROUND(AQ63*(1+Справочники!$B$12),0))</f>
        <v/>
      </c>
      <c r="AS63" s="90" t="str">
        <f aca="false">IF(AR63="","",ROUND(AR63*(1-Справочники!$B$11),0))</f>
        <v/>
      </c>
      <c r="AT63" s="88"/>
      <c r="AU63" s="90" t="str">
        <f aca="false">IF(AT63="","",ROUND(AT63/(1+Справочники!$B$12),0))</f>
        <v/>
      </c>
      <c r="AV63" s="90" t="str">
        <f aca="false">IF(AT63="","",ROUND(AT63*(1-Справочники!$B$15),0))</f>
        <v/>
      </c>
      <c r="AW63" s="90" t="str">
        <f aca="false">IF(AT63="","",ROUND(AT63*(1-Справочники!$B$16),0))</f>
        <v/>
      </c>
      <c r="AX63" s="90" t="str">
        <f aca="false">IF(AT63="","",ROUND(AT63*(1-Справочники!$B$17),0))</f>
        <v/>
      </c>
      <c r="AY63" s="90" t="str">
        <f aca="false">IF(AT63="","",ROUND(AT63*(1-Справочники!$B$18),0))</f>
        <v/>
      </c>
      <c r="AZ63" s="90" t="str">
        <f aca="false">IF(AT63="","",ROUND(AT63*(1-Справочники!$B$19),0))</f>
        <v/>
      </c>
      <c r="BA63" s="81"/>
      <c r="BB63" s="81"/>
      <c r="BC63" s="81"/>
      <c r="BD63" s="81"/>
      <c r="BE63" s="91"/>
      <c r="BF63" s="81" t="s">
        <v>103</v>
      </c>
      <c r="BG63" s="89" t="n">
        <f aca="false" t="array" ref="BG63:BG63">IF(BF63="","",IFERROR(INDEX(Справочники!$B$4:$B$7,MATCH(BF63,Справочники!$A$4:$A$7,0)),""))</f>
        <v>68.5</v>
      </c>
      <c r="BH63" s="90" t="str">
        <f aca="false">IF(N(BN63)&gt;0,ROUND(SUMIF(ЗАКАЗЫ!$F$3:$F$500,$A63,ЗАКАЗЫ!$Y$3:$Y$500)/BN63,0),IF(OR(BE63="",BG63=""),"",ROUND(BE63*BG63*(1+Справочники!$B$10),0)))</f>
        <v/>
      </c>
      <c r="BI63" s="92" t="str">
        <f aca="false">IF(OR(AU63="",BH63="",AU63=0),"",(AU63-BH63)/AU63)</f>
        <v/>
      </c>
      <c r="BJ63" s="81"/>
      <c r="BK63" s="83"/>
      <c r="BL63" s="43" t="str">
        <f aca="false">IFERROR(INDEX(ЗАКАЗЫ!$N$3:$N$500,MATCH($A63,ЗАКАЗЫ!$F$3:$F$500,0)),"")</f>
        <v/>
      </c>
      <c r="BM63" s="8" t="str">
        <f aca="false">IF(BL63="","",IFERROR(VLOOKUP(BL63,'ТН ВЭД'!$A$4:$C$40,3,0),""))</f>
        <v/>
      </c>
      <c r="BN63" s="7" t="str">
        <f aca="false">IF(COUNTIF(ЗАКАЗЫ!$F$3:$F$500,$A63)=0,"",SUMIF(ЗАКАЗЫ!$F$3:$F$500,$A63,ЗАКАЗЫ!$J$3:$J$500))</f>
        <v/>
      </c>
      <c r="BO63" s="7" t="str">
        <f aca="false">IF(BN63="","",SUMIF(ЗАКАЗЫ!$F$3:$F$500,$A63,ЗАКАЗЫ!$AL$3:$AL$500))</f>
        <v/>
      </c>
      <c r="BP63" s="7" t="str">
        <f aca="false">IF(BN63="","",BN63-BO63)</f>
        <v/>
      </c>
      <c r="BQ63" s="55" t="str">
        <f aca="false">IF(BN63="","",IF(BO63&gt;=BN63,"На складе",IF(BO63&gt;0,"Частично","Ждём")))</f>
        <v/>
      </c>
      <c r="BR63" s="43"/>
      <c r="BS63" s="47" t="str">
        <f aca="false">IF(BN63="","",IF(_xlfn.MAXIFS(ЗАКАЗЫ!$AK$3:$AK$500,ЗАКАЗЫ!$F$3:$F$500,$A63)=0,"",_xlfn.MAXIFS(ЗАКАЗЫ!$AK$3:$AK$500,ЗАКАЗЫ!$F$3:$F$500,$A63)))</f>
        <v/>
      </c>
    </row>
    <row r="64" customFormat="false" ht="15.75" hidden="false" customHeight="true" outlineLevel="0" collapsed="false">
      <c r="A64" s="80" t="s">
        <v>2258</v>
      </c>
      <c r="B64" s="81"/>
      <c r="C64" s="81"/>
      <c r="D64" s="81"/>
      <c r="E64" s="83"/>
      <c r="F64" s="81"/>
      <c r="G64" s="83"/>
      <c r="H64" s="83"/>
      <c r="I64" s="84" t="str">
        <f aca="false">IF(E64="","",A64&amp;"_1.jpg")</f>
        <v/>
      </c>
      <c r="J64" s="84" t="str">
        <f aca="false">IF(E64="","",A64&amp;"_2.jpg; "&amp;A64&amp;"_3.jpg")</f>
        <v/>
      </c>
      <c r="K64" s="84" t="str">
        <f aca="false">IF(E64="","",A64&amp;"_schema.jpg")</f>
        <v/>
      </c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 t="s">
        <v>96</v>
      </c>
      <c r="W64" s="81"/>
      <c r="X64" s="81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6" t="str">
        <f aca="false">IF(SUM(Y64:AJ64)=0,"",SUM(Y64:AJ64))</f>
        <v/>
      </c>
      <c r="AL64" s="84" t="str">
        <f aca="false">MID(IF(N(Y64)&gt;0,", "&amp;Y$2,"")&amp;IF(N(Z64)&gt;0,", "&amp;Z$2,"")&amp;IF(N(AA64)&gt;0,", "&amp;AA$2,"")&amp;IF(N(AB64)&gt;0,", "&amp;AB$2,"")&amp;IF(N(AC64)&gt;0,", "&amp;AC$2,"")&amp;IF(N(AD64)&gt;0,", "&amp;AD$2,"")&amp;IF(N(AE64)&gt;0,", "&amp;AE$2,"")&amp;IF(N(AF64)&gt;0,", "&amp;AF$2,"")&amp;IF(N(AG64)&gt;0,", "&amp;AG$2,"")&amp;IF(N(AH64)&gt;0,", "&amp;AH$2,"")&amp;IF(N(AI64)&gt;0,", "&amp;AI$2,"")&amp;IF(N(AJ64)&gt;0,", "&amp;AJ$2,""),3,999)</f>
        <v/>
      </c>
      <c r="AM64" s="87" t="str">
        <f aca="false">IF(E64="","",MID(IF(N(Y64)&gt;0,", "&amp;A64&amp;"-"&amp;Y$2,"")&amp;IF(N(Z64)&gt;0,", "&amp;A64&amp;"-"&amp;Z$2,"")&amp;IF(N(AA64)&gt;0,", "&amp;A64&amp;"-"&amp;AA$2,"")&amp;IF(N(AB64)&gt;0,", "&amp;A64&amp;"-"&amp;AB$2,"")&amp;IF(N(AC64)&gt;0,", "&amp;A64&amp;"-"&amp;AC$2,"")&amp;IF(N(AD64)&gt;0,", "&amp;A64&amp;"-"&amp;AD$2,"")&amp;IF(N(AE64)&gt;0,", "&amp;A64&amp;"-"&amp;AE$2,"")&amp;IF(N(AF64)&gt;0,", "&amp;A64&amp;"-"&amp;AF$2,"")&amp;IF(N(AG64)&gt;0,", "&amp;A64&amp;"-"&amp;AG$2,"")&amp;IF(N(AH64)&gt;0,", "&amp;A64&amp;"-"&amp;AH$2,"")&amp;IF(N(AI64)&gt;0,", "&amp;A64&amp;"-"&amp;AI$2,"")&amp;IF(N(AJ64)&gt;0,", "&amp;A64&amp;"-"&amp;AJ$2,""),3,999))</f>
        <v/>
      </c>
      <c r="AN64" s="81"/>
      <c r="AO64" s="88"/>
      <c r="AP64" s="89" t="str">
        <f aca="false">IF(AO64="","",ROUND(AO64/(1+Справочники!$B$13),2))</f>
        <v/>
      </c>
      <c r="AQ64" s="90" t="str">
        <f aca="false" t="array" ref="AQ64:AQ64">IF(AP64="","",AP64*INDEX(Справочники!$B$4:$B$7,MATCH("RUB",Справочники!$A$4:$A$7,0)))</f>
        <v/>
      </c>
      <c r="AR64" s="90" t="str">
        <f aca="false">IF(AQ64="","",ROUND(AQ64*(1+Справочники!$B$12),0))</f>
        <v/>
      </c>
      <c r="AS64" s="90" t="str">
        <f aca="false">IF(AR64="","",ROUND(AR64*(1-Справочники!$B$11),0))</f>
        <v/>
      </c>
      <c r="AT64" s="88"/>
      <c r="AU64" s="90" t="str">
        <f aca="false">IF(AT64="","",ROUND(AT64/(1+Справочники!$B$12),0))</f>
        <v/>
      </c>
      <c r="AV64" s="90" t="str">
        <f aca="false">IF(AT64="","",ROUND(AT64*(1-Справочники!$B$15),0))</f>
        <v/>
      </c>
      <c r="AW64" s="90" t="str">
        <f aca="false">IF(AT64="","",ROUND(AT64*(1-Справочники!$B$16),0))</f>
        <v/>
      </c>
      <c r="AX64" s="90" t="str">
        <f aca="false">IF(AT64="","",ROUND(AT64*(1-Справочники!$B$17),0))</f>
        <v/>
      </c>
      <c r="AY64" s="90" t="str">
        <f aca="false">IF(AT64="","",ROUND(AT64*(1-Справочники!$B$18),0))</f>
        <v/>
      </c>
      <c r="AZ64" s="90" t="str">
        <f aca="false">IF(AT64="","",ROUND(AT64*(1-Справочники!$B$19),0))</f>
        <v/>
      </c>
      <c r="BA64" s="81"/>
      <c r="BB64" s="81"/>
      <c r="BC64" s="81"/>
      <c r="BD64" s="81"/>
      <c r="BE64" s="91"/>
      <c r="BF64" s="81" t="s">
        <v>103</v>
      </c>
      <c r="BG64" s="89" t="n">
        <f aca="false" t="array" ref="BG64:BG64">IF(BF64="","",IFERROR(INDEX(Справочники!$B$4:$B$7,MATCH(BF64,Справочники!$A$4:$A$7,0)),""))</f>
        <v>68.5</v>
      </c>
      <c r="BH64" s="90" t="str">
        <f aca="false">IF(N(BN64)&gt;0,ROUND(SUMIF(ЗАКАЗЫ!$F$3:$F$500,$A64,ЗАКАЗЫ!$Y$3:$Y$500)/BN64,0),IF(OR(BE64="",BG64=""),"",ROUND(BE64*BG64*(1+Справочники!$B$10),0)))</f>
        <v/>
      </c>
      <c r="BI64" s="92" t="str">
        <f aca="false">IF(OR(AU64="",BH64="",AU64=0),"",(AU64-BH64)/AU64)</f>
        <v/>
      </c>
      <c r="BJ64" s="81"/>
      <c r="BK64" s="83"/>
      <c r="BL64" s="43" t="str">
        <f aca="false">IFERROR(INDEX(ЗАКАЗЫ!$N$3:$N$500,MATCH($A64,ЗАКАЗЫ!$F$3:$F$500,0)),"")</f>
        <v/>
      </c>
      <c r="BM64" s="8" t="str">
        <f aca="false">IF(BL64="","",IFERROR(VLOOKUP(BL64,'ТН ВЭД'!$A$4:$C$40,3,0),""))</f>
        <v/>
      </c>
      <c r="BN64" s="7" t="str">
        <f aca="false">IF(COUNTIF(ЗАКАЗЫ!$F$3:$F$500,$A64)=0,"",SUMIF(ЗАКАЗЫ!$F$3:$F$500,$A64,ЗАКАЗЫ!$J$3:$J$500))</f>
        <v/>
      </c>
      <c r="BO64" s="7" t="str">
        <f aca="false">IF(BN64="","",SUMIF(ЗАКАЗЫ!$F$3:$F$500,$A64,ЗАКАЗЫ!$AL$3:$AL$500))</f>
        <v/>
      </c>
      <c r="BP64" s="7" t="str">
        <f aca="false">IF(BN64="","",BN64-BO64)</f>
        <v/>
      </c>
      <c r="BQ64" s="55" t="str">
        <f aca="false">IF(BN64="","",IF(BO64&gt;=BN64,"На складе",IF(BO64&gt;0,"Частично","Ждём")))</f>
        <v/>
      </c>
      <c r="BR64" s="43"/>
      <c r="BS64" s="47" t="str">
        <f aca="false">IF(BN64="","",IF(_xlfn.MAXIFS(ЗАКАЗЫ!$AK$3:$AK$500,ЗАКАЗЫ!$F$3:$F$500,$A64)=0,"",_xlfn.MAXIFS(ЗАКАЗЫ!$AK$3:$AK$500,ЗАКАЗЫ!$F$3:$F$500,$A64)))</f>
        <v/>
      </c>
    </row>
    <row r="65" customFormat="false" ht="15.75" hidden="false" customHeight="true" outlineLevel="0" collapsed="false">
      <c r="A65" s="80" t="s">
        <v>2259</v>
      </c>
      <c r="B65" s="81"/>
      <c r="C65" s="81"/>
      <c r="D65" s="81"/>
      <c r="E65" s="83"/>
      <c r="F65" s="81"/>
      <c r="G65" s="83"/>
      <c r="H65" s="83"/>
      <c r="I65" s="84" t="str">
        <f aca="false">IF(E65="","",A65&amp;"_1.jpg")</f>
        <v/>
      </c>
      <c r="J65" s="84" t="str">
        <f aca="false">IF(E65="","",A65&amp;"_2.jpg; "&amp;A65&amp;"_3.jpg")</f>
        <v/>
      </c>
      <c r="K65" s="84" t="str">
        <f aca="false">IF(E65="","",A65&amp;"_schema.jpg")</f>
        <v/>
      </c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 t="s">
        <v>96</v>
      </c>
      <c r="W65" s="81"/>
      <c r="X65" s="81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6" t="str">
        <f aca="false">IF(SUM(Y65:AJ65)=0,"",SUM(Y65:AJ65))</f>
        <v/>
      </c>
      <c r="AL65" s="84" t="str">
        <f aca="false">MID(IF(N(Y65)&gt;0,", "&amp;Y$2,"")&amp;IF(N(Z65)&gt;0,", "&amp;Z$2,"")&amp;IF(N(AA65)&gt;0,", "&amp;AA$2,"")&amp;IF(N(AB65)&gt;0,", "&amp;AB$2,"")&amp;IF(N(AC65)&gt;0,", "&amp;AC$2,"")&amp;IF(N(AD65)&gt;0,", "&amp;AD$2,"")&amp;IF(N(AE65)&gt;0,", "&amp;AE$2,"")&amp;IF(N(AF65)&gt;0,", "&amp;AF$2,"")&amp;IF(N(AG65)&gt;0,", "&amp;AG$2,"")&amp;IF(N(AH65)&gt;0,", "&amp;AH$2,"")&amp;IF(N(AI65)&gt;0,", "&amp;AI$2,"")&amp;IF(N(AJ65)&gt;0,", "&amp;AJ$2,""),3,999)</f>
        <v/>
      </c>
      <c r="AM65" s="87" t="str">
        <f aca="false">IF(E65="","",MID(IF(N(Y65)&gt;0,", "&amp;A65&amp;"-"&amp;Y$2,"")&amp;IF(N(Z65)&gt;0,", "&amp;A65&amp;"-"&amp;Z$2,"")&amp;IF(N(AA65)&gt;0,", "&amp;A65&amp;"-"&amp;AA$2,"")&amp;IF(N(AB65)&gt;0,", "&amp;A65&amp;"-"&amp;AB$2,"")&amp;IF(N(AC65)&gt;0,", "&amp;A65&amp;"-"&amp;AC$2,"")&amp;IF(N(AD65)&gt;0,", "&amp;A65&amp;"-"&amp;AD$2,"")&amp;IF(N(AE65)&gt;0,", "&amp;A65&amp;"-"&amp;AE$2,"")&amp;IF(N(AF65)&gt;0,", "&amp;A65&amp;"-"&amp;AF$2,"")&amp;IF(N(AG65)&gt;0,", "&amp;A65&amp;"-"&amp;AG$2,"")&amp;IF(N(AH65)&gt;0,", "&amp;A65&amp;"-"&amp;AH$2,"")&amp;IF(N(AI65)&gt;0,", "&amp;A65&amp;"-"&amp;AI$2,"")&amp;IF(N(AJ65)&gt;0,", "&amp;A65&amp;"-"&amp;AJ$2,""),3,999))</f>
        <v/>
      </c>
      <c r="AN65" s="81"/>
      <c r="AO65" s="88"/>
      <c r="AP65" s="89" t="str">
        <f aca="false">IF(AO65="","",ROUND(AO65/(1+Справочники!$B$13),2))</f>
        <v/>
      </c>
      <c r="AQ65" s="90" t="str">
        <f aca="false" t="array" ref="AQ65:AQ65">IF(AP65="","",AP65*INDEX(Справочники!$B$4:$B$7,MATCH("RUB",Справочники!$A$4:$A$7,0)))</f>
        <v/>
      </c>
      <c r="AR65" s="90" t="str">
        <f aca="false">IF(AQ65="","",ROUND(AQ65*(1+Справочники!$B$12),0))</f>
        <v/>
      </c>
      <c r="AS65" s="90" t="str">
        <f aca="false">IF(AR65="","",ROUND(AR65*(1-Справочники!$B$11),0))</f>
        <v/>
      </c>
      <c r="AT65" s="88"/>
      <c r="AU65" s="90" t="str">
        <f aca="false">IF(AT65="","",ROUND(AT65/(1+Справочники!$B$12),0))</f>
        <v/>
      </c>
      <c r="AV65" s="90" t="str">
        <f aca="false">IF(AT65="","",ROUND(AT65*(1-Справочники!$B$15),0))</f>
        <v/>
      </c>
      <c r="AW65" s="90" t="str">
        <f aca="false">IF(AT65="","",ROUND(AT65*(1-Справочники!$B$16),0))</f>
        <v/>
      </c>
      <c r="AX65" s="90" t="str">
        <f aca="false">IF(AT65="","",ROUND(AT65*(1-Справочники!$B$17),0))</f>
        <v/>
      </c>
      <c r="AY65" s="90" t="str">
        <f aca="false">IF(AT65="","",ROUND(AT65*(1-Справочники!$B$18),0))</f>
        <v/>
      </c>
      <c r="AZ65" s="90" t="str">
        <f aca="false">IF(AT65="","",ROUND(AT65*(1-Справочники!$B$19),0))</f>
        <v/>
      </c>
      <c r="BA65" s="81"/>
      <c r="BB65" s="81"/>
      <c r="BC65" s="81"/>
      <c r="BD65" s="81"/>
      <c r="BE65" s="91"/>
      <c r="BF65" s="81" t="s">
        <v>103</v>
      </c>
      <c r="BG65" s="89" t="n">
        <f aca="false" t="array" ref="BG65:BG65">IF(BF65="","",IFERROR(INDEX(Справочники!$B$4:$B$7,MATCH(BF65,Справочники!$A$4:$A$7,0)),""))</f>
        <v>68.5</v>
      </c>
      <c r="BH65" s="90" t="str">
        <f aca="false">IF(N(BN65)&gt;0,ROUND(SUMIF(ЗАКАЗЫ!$F$3:$F$500,$A65,ЗАКАЗЫ!$Y$3:$Y$500)/BN65,0),IF(OR(BE65="",BG65=""),"",ROUND(BE65*BG65*(1+Справочники!$B$10),0)))</f>
        <v/>
      </c>
      <c r="BI65" s="92" t="str">
        <f aca="false">IF(OR(AU65="",BH65="",AU65=0),"",(AU65-BH65)/AU65)</f>
        <v/>
      </c>
      <c r="BJ65" s="81"/>
      <c r="BK65" s="83"/>
      <c r="BL65" s="43" t="str">
        <f aca="false">IFERROR(INDEX(ЗАКАЗЫ!$N$3:$N$500,MATCH($A65,ЗАКАЗЫ!$F$3:$F$500,0)),"")</f>
        <v/>
      </c>
      <c r="BM65" s="8" t="str">
        <f aca="false">IF(BL65="","",IFERROR(VLOOKUP(BL65,'ТН ВЭД'!$A$4:$C$40,3,0),""))</f>
        <v/>
      </c>
      <c r="BN65" s="7" t="str">
        <f aca="false">IF(COUNTIF(ЗАКАЗЫ!$F$3:$F$500,$A65)=0,"",SUMIF(ЗАКАЗЫ!$F$3:$F$500,$A65,ЗАКАЗЫ!$J$3:$J$500))</f>
        <v/>
      </c>
      <c r="BO65" s="7" t="str">
        <f aca="false">IF(BN65="","",SUMIF(ЗАКАЗЫ!$F$3:$F$500,$A65,ЗАКАЗЫ!$AL$3:$AL$500))</f>
        <v/>
      </c>
      <c r="BP65" s="7" t="str">
        <f aca="false">IF(BN65="","",BN65-BO65)</f>
        <v/>
      </c>
      <c r="BQ65" s="55" t="str">
        <f aca="false">IF(BN65="","",IF(BO65&gt;=BN65,"На складе",IF(BO65&gt;0,"Частично","Ждём")))</f>
        <v/>
      </c>
      <c r="BR65" s="43"/>
      <c r="BS65" s="47" t="str">
        <f aca="false">IF(BN65="","",IF(_xlfn.MAXIFS(ЗАКАЗЫ!$AK$3:$AK$500,ЗАКАЗЫ!$F$3:$F$500,$A65)=0,"",_xlfn.MAXIFS(ЗАКАЗЫ!$AK$3:$AK$500,ЗАКАЗЫ!$F$3:$F$500,$A65)))</f>
        <v/>
      </c>
    </row>
    <row r="66" customFormat="false" ht="15.75" hidden="false" customHeight="true" outlineLevel="0" collapsed="false">
      <c r="A66" s="80" t="s">
        <v>2260</v>
      </c>
      <c r="B66" s="81"/>
      <c r="C66" s="81"/>
      <c r="D66" s="81"/>
      <c r="E66" s="83"/>
      <c r="F66" s="81"/>
      <c r="G66" s="83"/>
      <c r="H66" s="83"/>
      <c r="I66" s="84" t="str">
        <f aca="false">IF(E66="","",A66&amp;"_1.jpg")</f>
        <v/>
      </c>
      <c r="J66" s="84" t="str">
        <f aca="false">IF(E66="","",A66&amp;"_2.jpg; "&amp;A66&amp;"_3.jpg")</f>
        <v/>
      </c>
      <c r="K66" s="84" t="str">
        <f aca="false">IF(E66="","",A66&amp;"_schema.jpg")</f>
        <v/>
      </c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 t="s">
        <v>96</v>
      </c>
      <c r="W66" s="81"/>
      <c r="X66" s="81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6" t="str">
        <f aca="false">IF(SUM(Y66:AJ66)=0,"",SUM(Y66:AJ66))</f>
        <v/>
      </c>
      <c r="AL66" s="84" t="str">
        <f aca="false">MID(IF(N(Y66)&gt;0,", "&amp;Y$2,"")&amp;IF(N(Z66)&gt;0,", "&amp;Z$2,"")&amp;IF(N(AA66)&gt;0,", "&amp;AA$2,"")&amp;IF(N(AB66)&gt;0,", "&amp;AB$2,"")&amp;IF(N(AC66)&gt;0,", "&amp;AC$2,"")&amp;IF(N(AD66)&gt;0,", "&amp;AD$2,"")&amp;IF(N(AE66)&gt;0,", "&amp;AE$2,"")&amp;IF(N(AF66)&gt;0,", "&amp;AF$2,"")&amp;IF(N(AG66)&gt;0,", "&amp;AG$2,"")&amp;IF(N(AH66)&gt;0,", "&amp;AH$2,"")&amp;IF(N(AI66)&gt;0,", "&amp;AI$2,"")&amp;IF(N(AJ66)&gt;0,", "&amp;AJ$2,""),3,999)</f>
        <v/>
      </c>
      <c r="AM66" s="87" t="str">
        <f aca="false">IF(E66="","",MID(IF(N(Y66)&gt;0,", "&amp;A66&amp;"-"&amp;Y$2,"")&amp;IF(N(Z66)&gt;0,", "&amp;A66&amp;"-"&amp;Z$2,"")&amp;IF(N(AA66)&gt;0,", "&amp;A66&amp;"-"&amp;AA$2,"")&amp;IF(N(AB66)&gt;0,", "&amp;A66&amp;"-"&amp;AB$2,"")&amp;IF(N(AC66)&gt;0,", "&amp;A66&amp;"-"&amp;AC$2,"")&amp;IF(N(AD66)&gt;0,", "&amp;A66&amp;"-"&amp;AD$2,"")&amp;IF(N(AE66)&gt;0,", "&amp;A66&amp;"-"&amp;AE$2,"")&amp;IF(N(AF66)&gt;0,", "&amp;A66&amp;"-"&amp;AF$2,"")&amp;IF(N(AG66)&gt;0,", "&amp;A66&amp;"-"&amp;AG$2,"")&amp;IF(N(AH66)&gt;0,", "&amp;A66&amp;"-"&amp;AH$2,"")&amp;IF(N(AI66)&gt;0,", "&amp;A66&amp;"-"&amp;AI$2,"")&amp;IF(N(AJ66)&gt;0,", "&amp;A66&amp;"-"&amp;AJ$2,""),3,999))</f>
        <v/>
      </c>
      <c r="AN66" s="81"/>
      <c r="AO66" s="88"/>
      <c r="AP66" s="89" t="str">
        <f aca="false">IF(AO66="","",ROUND(AO66/(1+Справочники!$B$13),2))</f>
        <v/>
      </c>
      <c r="AQ66" s="90" t="str">
        <f aca="false" t="array" ref="AQ66:AQ66">IF(AP66="","",AP66*INDEX(Справочники!$B$4:$B$7,MATCH("RUB",Справочники!$A$4:$A$7,0)))</f>
        <v/>
      </c>
      <c r="AR66" s="90" t="str">
        <f aca="false">IF(AQ66="","",ROUND(AQ66*(1+Справочники!$B$12),0))</f>
        <v/>
      </c>
      <c r="AS66" s="90" t="str">
        <f aca="false">IF(AR66="","",ROUND(AR66*(1-Справочники!$B$11),0))</f>
        <v/>
      </c>
      <c r="AT66" s="88"/>
      <c r="AU66" s="90" t="str">
        <f aca="false">IF(AT66="","",ROUND(AT66/(1+Справочники!$B$12),0))</f>
        <v/>
      </c>
      <c r="AV66" s="90" t="str">
        <f aca="false">IF(AT66="","",ROUND(AT66*(1-Справочники!$B$15),0))</f>
        <v/>
      </c>
      <c r="AW66" s="90" t="str">
        <f aca="false">IF(AT66="","",ROUND(AT66*(1-Справочники!$B$16),0))</f>
        <v/>
      </c>
      <c r="AX66" s="90" t="str">
        <f aca="false">IF(AT66="","",ROUND(AT66*(1-Справочники!$B$17),0))</f>
        <v/>
      </c>
      <c r="AY66" s="90" t="str">
        <f aca="false">IF(AT66="","",ROUND(AT66*(1-Справочники!$B$18),0))</f>
        <v/>
      </c>
      <c r="AZ66" s="90" t="str">
        <f aca="false">IF(AT66="","",ROUND(AT66*(1-Справочники!$B$19),0))</f>
        <v/>
      </c>
      <c r="BA66" s="81"/>
      <c r="BB66" s="81"/>
      <c r="BC66" s="81"/>
      <c r="BD66" s="81"/>
      <c r="BE66" s="91"/>
      <c r="BF66" s="81" t="s">
        <v>103</v>
      </c>
      <c r="BG66" s="89" t="n">
        <f aca="false" t="array" ref="BG66:BG66">IF(BF66="","",IFERROR(INDEX(Справочники!$B$4:$B$7,MATCH(BF66,Справочники!$A$4:$A$7,0)),""))</f>
        <v>68.5</v>
      </c>
      <c r="BH66" s="90" t="str">
        <f aca="false">IF(N(BN66)&gt;0,ROUND(SUMIF(ЗАКАЗЫ!$F$3:$F$500,$A66,ЗАКАЗЫ!$Y$3:$Y$500)/BN66,0),IF(OR(BE66="",BG66=""),"",ROUND(BE66*BG66*(1+Справочники!$B$10),0)))</f>
        <v/>
      </c>
      <c r="BI66" s="92" t="str">
        <f aca="false">IF(OR(AU66="",BH66="",AU66=0),"",(AU66-BH66)/AU66)</f>
        <v/>
      </c>
      <c r="BJ66" s="81"/>
      <c r="BK66" s="83"/>
      <c r="BL66" s="43" t="str">
        <f aca="false">IFERROR(INDEX(ЗАКАЗЫ!$N$3:$N$500,MATCH($A66,ЗАКАЗЫ!$F$3:$F$500,0)),"")</f>
        <v/>
      </c>
      <c r="BM66" s="8" t="str">
        <f aca="false">IF(BL66="","",IFERROR(VLOOKUP(BL66,'ТН ВЭД'!$A$4:$C$40,3,0),""))</f>
        <v/>
      </c>
      <c r="BN66" s="7" t="str">
        <f aca="false">IF(COUNTIF(ЗАКАЗЫ!$F$3:$F$500,$A66)=0,"",SUMIF(ЗАКАЗЫ!$F$3:$F$500,$A66,ЗАКАЗЫ!$J$3:$J$500))</f>
        <v/>
      </c>
      <c r="BO66" s="7" t="str">
        <f aca="false">IF(BN66="","",SUMIF(ЗАКАЗЫ!$F$3:$F$500,$A66,ЗАКАЗЫ!$AL$3:$AL$500))</f>
        <v/>
      </c>
      <c r="BP66" s="7" t="str">
        <f aca="false">IF(BN66="","",BN66-BO66)</f>
        <v/>
      </c>
      <c r="BQ66" s="55" t="str">
        <f aca="false">IF(BN66="","",IF(BO66&gt;=BN66,"На складе",IF(BO66&gt;0,"Частично","Ждём")))</f>
        <v/>
      </c>
      <c r="BR66" s="43"/>
      <c r="BS66" s="47" t="str">
        <f aca="false">IF(BN66="","",IF(_xlfn.MAXIFS(ЗАКАЗЫ!$AK$3:$AK$500,ЗАКАЗЫ!$F$3:$F$500,$A66)=0,"",_xlfn.MAXIFS(ЗАКАЗЫ!$AK$3:$AK$500,ЗАКАЗЫ!$F$3:$F$500,$A66)))</f>
        <v/>
      </c>
    </row>
    <row r="67" customFormat="false" ht="15.75" hidden="false" customHeight="true" outlineLevel="0" collapsed="false">
      <c r="A67" s="80" t="s">
        <v>2261</v>
      </c>
      <c r="B67" s="81"/>
      <c r="C67" s="81"/>
      <c r="D67" s="81"/>
      <c r="E67" s="83"/>
      <c r="F67" s="81"/>
      <c r="G67" s="83"/>
      <c r="H67" s="83"/>
      <c r="I67" s="84" t="str">
        <f aca="false">IF(E67="","",A67&amp;"_1.jpg")</f>
        <v/>
      </c>
      <c r="J67" s="84" t="str">
        <f aca="false">IF(E67="","",A67&amp;"_2.jpg; "&amp;A67&amp;"_3.jpg")</f>
        <v/>
      </c>
      <c r="K67" s="84" t="str">
        <f aca="false">IF(E67="","",A67&amp;"_schema.jpg")</f>
        <v/>
      </c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 t="s">
        <v>96</v>
      </c>
      <c r="W67" s="81"/>
      <c r="X67" s="81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6" t="str">
        <f aca="false">IF(SUM(Y67:AJ67)=0,"",SUM(Y67:AJ67))</f>
        <v/>
      </c>
      <c r="AL67" s="84" t="str">
        <f aca="false">MID(IF(N(Y67)&gt;0,", "&amp;Y$2,"")&amp;IF(N(Z67)&gt;0,", "&amp;Z$2,"")&amp;IF(N(AA67)&gt;0,", "&amp;AA$2,"")&amp;IF(N(AB67)&gt;0,", "&amp;AB$2,"")&amp;IF(N(AC67)&gt;0,", "&amp;AC$2,"")&amp;IF(N(AD67)&gt;0,", "&amp;AD$2,"")&amp;IF(N(AE67)&gt;0,", "&amp;AE$2,"")&amp;IF(N(AF67)&gt;0,", "&amp;AF$2,"")&amp;IF(N(AG67)&gt;0,", "&amp;AG$2,"")&amp;IF(N(AH67)&gt;0,", "&amp;AH$2,"")&amp;IF(N(AI67)&gt;0,", "&amp;AI$2,"")&amp;IF(N(AJ67)&gt;0,", "&amp;AJ$2,""),3,999)</f>
        <v/>
      </c>
      <c r="AM67" s="87" t="str">
        <f aca="false">IF(E67="","",MID(IF(N(Y67)&gt;0,", "&amp;A67&amp;"-"&amp;Y$2,"")&amp;IF(N(Z67)&gt;0,", "&amp;A67&amp;"-"&amp;Z$2,"")&amp;IF(N(AA67)&gt;0,", "&amp;A67&amp;"-"&amp;AA$2,"")&amp;IF(N(AB67)&gt;0,", "&amp;A67&amp;"-"&amp;AB$2,"")&amp;IF(N(AC67)&gt;0,", "&amp;A67&amp;"-"&amp;AC$2,"")&amp;IF(N(AD67)&gt;0,", "&amp;A67&amp;"-"&amp;AD$2,"")&amp;IF(N(AE67)&gt;0,", "&amp;A67&amp;"-"&amp;AE$2,"")&amp;IF(N(AF67)&gt;0,", "&amp;A67&amp;"-"&amp;AF$2,"")&amp;IF(N(AG67)&gt;0,", "&amp;A67&amp;"-"&amp;AG$2,"")&amp;IF(N(AH67)&gt;0,", "&amp;A67&amp;"-"&amp;AH$2,"")&amp;IF(N(AI67)&gt;0,", "&amp;A67&amp;"-"&amp;AI$2,"")&amp;IF(N(AJ67)&gt;0,", "&amp;A67&amp;"-"&amp;AJ$2,""),3,999))</f>
        <v/>
      </c>
      <c r="AN67" s="81"/>
      <c r="AO67" s="88"/>
      <c r="AP67" s="89" t="str">
        <f aca="false">IF(AO67="","",ROUND(AO67/(1+Справочники!$B$13),2))</f>
        <v/>
      </c>
      <c r="AQ67" s="90" t="str">
        <f aca="false" t="array" ref="AQ67:AQ67">IF(AP67="","",AP67*INDEX(Справочники!$B$4:$B$7,MATCH("RUB",Справочники!$A$4:$A$7,0)))</f>
        <v/>
      </c>
      <c r="AR67" s="90" t="str">
        <f aca="false">IF(AQ67="","",ROUND(AQ67*(1+Справочники!$B$12),0))</f>
        <v/>
      </c>
      <c r="AS67" s="90" t="str">
        <f aca="false">IF(AR67="","",ROUND(AR67*(1-Справочники!$B$11),0))</f>
        <v/>
      </c>
      <c r="AT67" s="88"/>
      <c r="AU67" s="90" t="str">
        <f aca="false">IF(AT67="","",ROUND(AT67/(1+Справочники!$B$12),0))</f>
        <v/>
      </c>
      <c r="AV67" s="90" t="str">
        <f aca="false">IF(AT67="","",ROUND(AT67*(1-Справочники!$B$15),0))</f>
        <v/>
      </c>
      <c r="AW67" s="90" t="str">
        <f aca="false">IF(AT67="","",ROUND(AT67*(1-Справочники!$B$16),0))</f>
        <v/>
      </c>
      <c r="AX67" s="90" t="str">
        <f aca="false">IF(AT67="","",ROUND(AT67*(1-Справочники!$B$17),0))</f>
        <v/>
      </c>
      <c r="AY67" s="90" t="str">
        <f aca="false">IF(AT67="","",ROUND(AT67*(1-Справочники!$B$18),0))</f>
        <v/>
      </c>
      <c r="AZ67" s="90" t="str">
        <f aca="false">IF(AT67="","",ROUND(AT67*(1-Справочники!$B$19),0))</f>
        <v/>
      </c>
      <c r="BA67" s="81"/>
      <c r="BB67" s="81"/>
      <c r="BC67" s="81"/>
      <c r="BD67" s="81"/>
      <c r="BE67" s="91"/>
      <c r="BF67" s="81" t="s">
        <v>103</v>
      </c>
      <c r="BG67" s="89" t="n">
        <f aca="false" t="array" ref="BG67:BG67">IF(BF67="","",IFERROR(INDEX(Справочники!$B$4:$B$7,MATCH(BF67,Справочники!$A$4:$A$7,0)),""))</f>
        <v>68.5</v>
      </c>
      <c r="BH67" s="90" t="str">
        <f aca="false">IF(N(BN67)&gt;0,ROUND(SUMIF(ЗАКАЗЫ!$F$3:$F$500,$A67,ЗАКАЗЫ!$Y$3:$Y$500)/BN67,0),IF(OR(BE67="",BG67=""),"",ROUND(BE67*BG67*(1+Справочники!$B$10),0)))</f>
        <v/>
      </c>
      <c r="BI67" s="92" t="str">
        <f aca="false">IF(OR(AU67="",BH67="",AU67=0),"",(AU67-BH67)/AU67)</f>
        <v/>
      </c>
      <c r="BJ67" s="81"/>
      <c r="BK67" s="83"/>
      <c r="BL67" s="43" t="str">
        <f aca="false">IFERROR(INDEX(ЗАКАЗЫ!$N$3:$N$500,MATCH($A67,ЗАКАЗЫ!$F$3:$F$500,0)),"")</f>
        <v/>
      </c>
      <c r="BM67" s="8" t="str">
        <f aca="false">IF(BL67="","",IFERROR(VLOOKUP(BL67,'ТН ВЭД'!$A$4:$C$40,3,0),""))</f>
        <v/>
      </c>
      <c r="BN67" s="7" t="str">
        <f aca="false">IF(COUNTIF(ЗАКАЗЫ!$F$3:$F$500,$A67)=0,"",SUMIF(ЗАКАЗЫ!$F$3:$F$500,$A67,ЗАКАЗЫ!$J$3:$J$500))</f>
        <v/>
      </c>
      <c r="BO67" s="7" t="str">
        <f aca="false">IF(BN67="","",SUMIF(ЗАКАЗЫ!$F$3:$F$500,$A67,ЗАКАЗЫ!$AL$3:$AL$500))</f>
        <v/>
      </c>
      <c r="BP67" s="7" t="str">
        <f aca="false">IF(BN67="","",BN67-BO67)</f>
        <v/>
      </c>
      <c r="BQ67" s="55" t="str">
        <f aca="false">IF(BN67="","",IF(BO67&gt;=BN67,"На складе",IF(BO67&gt;0,"Частично","Ждём")))</f>
        <v/>
      </c>
      <c r="BR67" s="43"/>
      <c r="BS67" s="47" t="str">
        <f aca="false">IF(BN67="","",IF(_xlfn.MAXIFS(ЗАКАЗЫ!$AK$3:$AK$500,ЗАКАЗЫ!$F$3:$F$500,$A67)=0,"",_xlfn.MAXIFS(ЗАКАЗЫ!$AK$3:$AK$500,ЗАКАЗЫ!$F$3:$F$500,$A67)))</f>
        <v/>
      </c>
    </row>
    <row r="68" customFormat="false" ht="15.75" hidden="false" customHeight="true" outlineLevel="0" collapsed="false">
      <c r="A68" s="80" t="s">
        <v>2262</v>
      </c>
      <c r="B68" s="81"/>
      <c r="C68" s="81"/>
      <c r="D68" s="81"/>
      <c r="E68" s="83"/>
      <c r="F68" s="81"/>
      <c r="G68" s="83"/>
      <c r="H68" s="83"/>
      <c r="I68" s="84" t="str">
        <f aca="false">IF(E68="","",A68&amp;"_1.jpg")</f>
        <v/>
      </c>
      <c r="J68" s="84" t="str">
        <f aca="false">IF(E68="","",A68&amp;"_2.jpg; "&amp;A68&amp;"_3.jpg")</f>
        <v/>
      </c>
      <c r="K68" s="84" t="str">
        <f aca="false">IF(E68="","",A68&amp;"_schema.jpg")</f>
        <v/>
      </c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 t="s">
        <v>96</v>
      </c>
      <c r="W68" s="81"/>
      <c r="X68" s="81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6" t="str">
        <f aca="false">IF(SUM(Y68:AJ68)=0,"",SUM(Y68:AJ68))</f>
        <v/>
      </c>
      <c r="AL68" s="84" t="str">
        <f aca="false">MID(IF(N(Y68)&gt;0,", "&amp;Y$2,"")&amp;IF(N(Z68)&gt;0,", "&amp;Z$2,"")&amp;IF(N(AA68)&gt;0,", "&amp;AA$2,"")&amp;IF(N(AB68)&gt;0,", "&amp;AB$2,"")&amp;IF(N(AC68)&gt;0,", "&amp;AC$2,"")&amp;IF(N(AD68)&gt;0,", "&amp;AD$2,"")&amp;IF(N(AE68)&gt;0,", "&amp;AE$2,"")&amp;IF(N(AF68)&gt;0,", "&amp;AF$2,"")&amp;IF(N(AG68)&gt;0,", "&amp;AG$2,"")&amp;IF(N(AH68)&gt;0,", "&amp;AH$2,"")&amp;IF(N(AI68)&gt;0,", "&amp;AI$2,"")&amp;IF(N(AJ68)&gt;0,", "&amp;AJ$2,""),3,999)</f>
        <v/>
      </c>
      <c r="AM68" s="87" t="str">
        <f aca="false">IF(E68="","",MID(IF(N(Y68)&gt;0,", "&amp;A68&amp;"-"&amp;Y$2,"")&amp;IF(N(Z68)&gt;0,", "&amp;A68&amp;"-"&amp;Z$2,"")&amp;IF(N(AA68)&gt;0,", "&amp;A68&amp;"-"&amp;AA$2,"")&amp;IF(N(AB68)&gt;0,", "&amp;A68&amp;"-"&amp;AB$2,"")&amp;IF(N(AC68)&gt;0,", "&amp;A68&amp;"-"&amp;AC$2,"")&amp;IF(N(AD68)&gt;0,", "&amp;A68&amp;"-"&amp;AD$2,"")&amp;IF(N(AE68)&gt;0,", "&amp;A68&amp;"-"&amp;AE$2,"")&amp;IF(N(AF68)&gt;0,", "&amp;A68&amp;"-"&amp;AF$2,"")&amp;IF(N(AG68)&gt;0,", "&amp;A68&amp;"-"&amp;AG$2,"")&amp;IF(N(AH68)&gt;0,", "&amp;A68&amp;"-"&amp;AH$2,"")&amp;IF(N(AI68)&gt;0,", "&amp;A68&amp;"-"&amp;AI$2,"")&amp;IF(N(AJ68)&gt;0,", "&amp;A68&amp;"-"&amp;AJ$2,""),3,999))</f>
        <v/>
      </c>
      <c r="AN68" s="81"/>
      <c r="AO68" s="88"/>
      <c r="AP68" s="89" t="str">
        <f aca="false">IF(AO68="","",ROUND(AO68/(1+Справочники!$B$13),2))</f>
        <v/>
      </c>
      <c r="AQ68" s="90" t="str">
        <f aca="false" t="array" ref="AQ68:AQ68">IF(AP68="","",AP68*INDEX(Справочники!$B$4:$B$7,MATCH("RUB",Справочники!$A$4:$A$7,0)))</f>
        <v/>
      </c>
      <c r="AR68" s="90" t="str">
        <f aca="false">IF(AQ68="","",ROUND(AQ68*(1+Справочники!$B$12),0))</f>
        <v/>
      </c>
      <c r="AS68" s="90" t="str">
        <f aca="false">IF(AR68="","",ROUND(AR68*(1-Справочники!$B$11),0))</f>
        <v/>
      </c>
      <c r="AT68" s="88"/>
      <c r="AU68" s="90" t="str">
        <f aca="false">IF(AT68="","",ROUND(AT68/(1+Справочники!$B$12),0))</f>
        <v/>
      </c>
      <c r="AV68" s="90" t="str">
        <f aca="false">IF(AT68="","",ROUND(AT68*(1-Справочники!$B$15),0))</f>
        <v/>
      </c>
      <c r="AW68" s="90" t="str">
        <f aca="false">IF(AT68="","",ROUND(AT68*(1-Справочники!$B$16),0))</f>
        <v/>
      </c>
      <c r="AX68" s="90" t="str">
        <f aca="false">IF(AT68="","",ROUND(AT68*(1-Справочники!$B$17),0))</f>
        <v/>
      </c>
      <c r="AY68" s="90" t="str">
        <f aca="false">IF(AT68="","",ROUND(AT68*(1-Справочники!$B$18),0))</f>
        <v/>
      </c>
      <c r="AZ68" s="90" t="str">
        <f aca="false">IF(AT68="","",ROUND(AT68*(1-Справочники!$B$19),0))</f>
        <v/>
      </c>
      <c r="BA68" s="81"/>
      <c r="BB68" s="81"/>
      <c r="BC68" s="81"/>
      <c r="BD68" s="81"/>
      <c r="BE68" s="91"/>
      <c r="BF68" s="81" t="s">
        <v>103</v>
      </c>
      <c r="BG68" s="89" t="n">
        <f aca="false" t="array" ref="BG68:BG68">IF(BF68="","",IFERROR(INDEX(Справочники!$B$4:$B$7,MATCH(BF68,Справочники!$A$4:$A$7,0)),""))</f>
        <v>68.5</v>
      </c>
      <c r="BH68" s="90" t="str">
        <f aca="false">IF(N(BN68)&gt;0,ROUND(SUMIF(ЗАКАЗЫ!$F$3:$F$500,$A68,ЗАКАЗЫ!$Y$3:$Y$500)/BN68,0),IF(OR(BE68="",BG68=""),"",ROUND(BE68*BG68*(1+Справочники!$B$10),0)))</f>
        <v/>
      </c>
      <c r="BI68" s="92" t="str">
        <f aca="false">IF(OR(AU68="",BH68="",AU68=0),"",(AU68-BH68)/AU68)</f>
        <v/>
      </c>
      <c r="BJ68" s="81"/>
      <c r="BK68" s="83"/>
      <c r="BL68" s="43" t="str">
        <f aca="false">IFERROR(INDEX(ЗАКАЗЫ!$N$3:$N$500,MATCH($A68,ЗАКАЗЫ!$F$3:$F$500,0)),"")</f>
        <v/>
      </c>
      <c r="BM68" s="8" t="str">
        <f aca="false">IF(BL68="","",IFERROR(VLOOKUP(BL68,'ТН ВЭД'!$A$4:$C$40,3,0),""))</f>
        <v/>
      </c>
      <c r="BN68" s="7" t="str">
        <f aca="false">IF(COUNTIF(ЗАКАЗЫ!$F$3:$F$500,$A68)=0,"",SUMIF(ЗАКАЗЫ!$F$3:$F$500,$A68,ЗАКАЗЫ!$J$3:$J$500))</f>
        <v/>
      </c>
      <c r="BO68" s="7" t="str">
        <f aca="false">IF(BN68="","",SUMIF(ЗАКАЗЫ!$F$3:$F$500,$A68,ЗАКАЗЫ!$AL$3:$AL$500))</f>
        <v/>
      </c>
      <c r="BP68" s="7" t="str">
        <f aca="false">IF(BN68="","",BN68-BO68)</f>
        <v/>
      </c>
      <c r="BQ68" s="55" t="str">
        <f aca="false">IF(BN68="","",IF(BO68&gt;=BN68,"На складе",IF(BO68&gt;0,"Частично","Ждём")))</f>
        <v/>
      </c>
      <c r="BR68" s="43"/>
      <c r="BS68" s="47" t="str">
        <f aca="false">IF(BN68="","",IF(_xlfn.MAXIFS(ЗАКАЗЫ!$AK$3:$AK$500,ЗАКАЗЫ!$F$3:$F$500,$A68)=0,"",_xlfn.MAXIFS(ЗАКАЗЫ!$AK$3:$AK$500,ЗАКАЗЫ!$F$3:$F$500,$A68)))</f>
        <v/>
      </c>
    </row>
    <row r="69" customFormat="false" ht="15.75" hidden="false" customHeight="true" outlineLevel="0" collapsed="false">
      <c r="A69" s="80" t="s">
        <v>2263</v>
      </c>
      <c r="B69" s="81"/>
      <c r="C69" s="81"/>
      <c r="D69" s="81"/>
      <c r="E69" s="83"/>
      <c r="F69" s="81"/>
      <c r="G69" s="83"/>
      <c r="H69" s="83"/>
      <c r="I69" s="84" t="str">
        <f aca="false">IF(E69="","",A69&amp;"_1.jpg")</f>
        <v/>
      </c>
      <c r="J69" s="84" t="str">
        <f aca="false">IF(E69="","",A69&amp;"_2.jpg; "&amp;A69&amp;"_3.jpg")</f>
        <v/>
      </c>
      <c r="K69" s="84" t="str">
        <f aca="false">IF(E69="","",A69&amp;"_schema.jpg")</f>
        <v/>
      </c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 t="s">
        <v>96</v>
      </c>
      <c r="W69" s="81"/>
      <c r="X69" s="81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6" t="str">
        <f aca="false">IF(SUM(Y69:AJ69)=0,"",SUM(Y69:AJ69))</f>
        <v/>
      </c>
      <c r="AL69" s="84" t="str">
        <f aca="false">MID(IF(N(Y69)&gt;0,", "&amp;Y$2,"")&amp;IF(N(Z69)&gt;0,", "&amp;Z$2,"")&amp;IF(N(AA69)&gt;0,", "&amp;AA$2,"")&amp;IF(N(AB69)&gt;0,", "&amp;AB$2,"")&amp;IF(N(AC69)&gt;0,", "&amp;AC$2,"")&amp;IF(N(AD69)&gt;0,", "&amp;AD$2,"")&amp;IF(N(AE69)&gt;0,", "&amp;AE$2,"")&amp;IF(N(AF69)&gt;0,", "&amp;AF$2,"")&amp;IF(N(AG69)&gt;0,", "&amp;AG$2,"")&amp;IF(N(AH69)&gt;0,", "&amp;AH$2,"")&amp;IF(N(AI69)&gt;0,", "&amp;AI$2,"")&amp;IF(N(AJ69)&gt;0,", "&amp;AJ$2,""),3,999)</f>
        <v/>
      </c>
      <c r="AM69" s="87" t="str">
        <f aca="false">IF(E69="","",MID(IF(N(Y69)&gt;0,", "&amp;A69&amp;"-"&amp;Y$2,"")&amp;IF(N(Z69)&gt;0,", "&amp;A69&amp;"-"&amp;Z$2,"")&amp;IF(N(AA69)&gt;0,", "&amp;A69&amp;"-"&amp;AA$2,"")&amp;IF(N(AB69)&gt;0,", "&amp;A69&amp;"-"&amp;AB$2,"")&amp;IF(N(AC69)&gt;0,", "&amp;A69&amp;"-"&amp;AC$2,"")&amp;IF(N(AD69)&gt;0,", "&amp;A69&amp;"-"&amp;AD$2,"")&amp;IF(N(AE69)&gt;0,", "&amp;A69&amp;"-"&amp;AE$2,"")&amp;IF(N(AF69)&gt;0,", "&amp;A69&amp;"-"&amp;AF$2,"")&amp;IF(N(AG69)&gt;0,", "&amp;A69&amp;"-"&amp;AG$2,"")&amp;IF(N(AH69)&gt;0,", "&amp;A69&amp;"-"&amp;AH$2,"")&amp;IF(N(AI69)&gt;0,", "&amp;A69&amp;"-"&amp;AI$2,"")&amp;IF(N(AJ69)&gt;0,", "&amp;A69&amp;"-"&amp;AJ$2,""),3,999))</f>
        <v/>
      </c>
      <c r="AN69" s="81"/>
      <c r="AO69" s="88"/>
      <c r="AP69" s="89" t="str">
        <f aca="false">IF(AO69="","",ROUND(AO69/(1+Справочники!$B$13),2))</f>
        <v/>
      </c>
      <c r="AQ69" s="90" t="str">
        <f aca="false" t="array" ref="AQ69:AQ69">IF(AP69="","",AP69*INDEX(Справочники!$B$4:$B$7,MATCH("RUB",Справочники!$A$4:$A$7,0)))</f>
        <v/>
      </c>
      <c r="AR69" s="90" t="str">
        <f aca="false">IF(AQ69="","",ROUND(AQ69*(1+Справочники!$B$12),0))</f>
        <v/>
      </c>
      <c r="AS69" s="90" t="str">
        <f aca="false">IF(AR69="","",ROUND(AR69*(1-Справочники!$B$11),0))</f>
        <v/>
      </c>
      <c r="AT69" s="88"/>
      <c r="AU69" s="90" t="str">
        <f aca="false">IF(AT69="","",ROUND(AT69/(1+Справочники!$B$12),0))</f>
        <v/>
      </c>
      <c r="AV69" s="90" t="str">
        <f aca="false">IF(AT69="","",ROUND(AT69*(1-Справочники!$B$15),0))</f>
        <v/>
      </c>
      <c r="AW69" s="90" t="str">
        <f aca="false">IF(AT69="","",ROUND(AT69*(1-Справочники!$B$16),0))</f>
        <v/>
      </c>
      <c r="AX69" s="90" t="str">
        <f aca="false">IF(AT69="","",ROUND(AT69*(1-Справочники!$B$17),0))</f>
        <v/>
      </c>
      <c r="AY69" s="90" t="str">
        <f aca="false">IF(AT69="","",ROUND(AT69*(1-Справочники!$B$18),0))</f>
        <v/>
      </c>
      <c r="AZ69" s="90" t="str">
        <f aca="false">IF(AT69="","",ROUND(AT69*(1-Справочники!$B$19),0))</f>
        <v/>
      </c>
      <c r="BA69" s="81"/>
      <c r="BB69" s="81"/>
      <c r="BC69" s="81"/>
      <c r="BD69" s="81"/>
      <c r="BE69" s="91"/>
      <c r="BF69" s="81" t="s">
        <v>103</v>
      </c>
      <c r="BG69" s="89" t="n">
        <f aca="false" t="array" ref="BG69:BG69">IF(BF69="","",IFERROR(INDEX(Справочники!$B$4:$B$7,MATCH(BF69,Справочники!$A$4:$A$7,0)),""))</f>
        <v>68.5</v>
      </c>
      <c r="BH69" s="90" t="str">
        <f aca="false">IF(N(BN69)&gt;0,ROUND(SUMIF(ЗАКАЗЫ!$F$3:$F$500,$A69,ЗАКАЗЫ!$Y$3:$Y$500)/BN69,0),IF(OR(BE69="",BG69=""),"",ROUND(BE69*BG69*(1+Справочники!$B$10),0)))</f>
        <v/>
      </c>
      <c r="BI69" s="92" t="str">
        <f aca="false">IF(OR(AU69="",BH69="",AU69=0),"",(AU69-BH69)/AU69)</f>
        <v/>
      </c>
      <c r="BJ69" s="81"/>
      <c r="BK69" s="83"/>
      <c r="BL69" s="43" t="str">
        <f aca="false">IFERROR(INDEX(ЗАКАЗЫ!$N$3:$N$500,MATCH($A69,ЗАКАЗЫ!$F$3:$F$500,0)),"")</f>
        <v/>
      </c>
      <c r="BM69" s="8" t="str">
        <f aca="false">IF(BL69="","",IFERROR(VLOOKUP(BL69,'ТН ВЭД'!$A$4:$C$40,3,0),""))</f>
        <v/>
      </c>
      <c r="BN69" s="7" t="str">
        <f aca="false">IF(COUNTIF(ЗАКАЗЫ!$F$3:$F$500,$A69)=0,"",SUMIF(ЗАКАЗЫ!$F$3:$F$500,$A69,ЗАКАЗЫ!$J$3:$J$500))</f>
        <v/>
      </c>
      <c r="BO69" s="7" t="str">
        <f aca="false">IF(BN69="","",SUMIF(ЗАКАЗЫ!$F$3:$F$500,$A69,ЗАКАЗЫ!$AL$3:$AL$500))</f>
        <v/>
      </c>
      <c r="BP69" s="7" t="str">
        <f aca="false">IF(BN69="","",BN69-BO69)</f>
        <v/>
      </c>
      <c r="BQ69" s="55" t="str">
        <f aca="false">IF(BN69="","",IF(BO69&gt;=BN69,"На складе",IF(BO69&gt;0,"Частично","Ждём")))</f>
        <v/>
      </c>
      <c r="BR69" s="43"/>
      <c r="BS69" s="47" t="str">
        <f aca="false">IF(BN69="","",IF(_xlfn.MAXIFS(ЗАКАЗЫ!$AK$3:$AK$500,ЗАКАЗЫ!$F$3:$F$500,$A69)=0,"",_xlfn.MAXIFS(ЗАКАЗЫ!$AK$3:$AK$500,ЗАКАЗЫ!$F$3:$F$500,$A69)))</f>
        <v/>
      </c>
    </row>
    <row r="70" customFormat="false" ht="15.75" hidden="false" customHeight="true" outlineLevel="0" collapsed="false">
      <c r="A70" s="80" t="s">
        <v>2264</v>
      </c>
      <c r="B70" s="81"/>
      <c r="C70" s="81"/>
      <c r="D70" s="81"/>
      <c r="E70" s="83"/>
      <c r="F70" s="81"/>
      <c r="G70" s="83"/>
      <c r="H70" s="83"/>
      <c r="I70" s="84" t="str">
        <f aca="false">IF(E70="","",A70&amp;"_1.jpg")</f>
        <v/>
      </c>
      <c r="J70" s="84" t="str">
        <f aca="false">IF(E70="","",A70&amp;"_2.jpg; "&amp;A70&amp;"_3.jpg")</f>
        <v/>
      </c>
      <c r="K70" s="84" t="str">
        <f aca="false">IF(E70="","",A70&amp;"_schema.jpg")</f>
        <v/>
      </c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 t="s">
        <v>96</v>
      </c>
      <c r="W70" s="81"/>
      <c r="X70" s="81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6" t="str">
        <f aca="false">IF(SUM(Y70:AJ70)=0,"",SUM(Y70:AJ70))</f>
        <v/>
      </c>
      <c r="AL70" s="84" t="str">
        <f aca="false">MID(IF(N(Y70)&gt;0,", "&amp;Y$2,"")&amp;IF(N(Z70)&gt;0,", "&amp;Z$2,"")&amp;IF(N(AA70)&gt;0,", "&amp;AA$2,"")&amp;IF(N(AB70)&gt;0,", "&amp;AB$2,"")&amp;IF(N(AC70)&gt;0,", "&amp;AC$2,"")&amp;IF(N(AD70)&gt;0,", "&amp;AD$2,"")&amp;IF(N(AE70)&gt;0,", "&amp;AE$2,"")&amp;IF(N(AF70)&gt;0,", "&amp;AF$2,"")&amp;IF(N(AG70)&gt;0,", "&amp;AG$2,"")&amp;IF(N(AH70)&gt;0,", "&amp;AH$2,"")&amp;IF(N(AI70)&gt;0,", "&amp;AI$2,"")&amp;IF(N(AJ70)&gt;0,", "&amp;AJ$2,""),3,999)</f>
        <v/>
      </c>
      <c r="AM70" s="87" t="str">
        <f aca="false">IF(E70="","",MID(IF(N(Y70)&gt;0,", "&amp;A70&amp;"-"&amp;Y$2,"")&amp;IF(N(Z70)&gt;0,", "&amp;A70&amp;"-"&amp;Z$2,"")&amp;IF(N(AA70)&gt;0,", "&amp;A70&amp;"-"&amp;AA$2,"")&amp;IF(N(AB70)&gt;0,", "&amp;A70&amp;"-"&amp;AB$2,"")&amp;IF(N(AC70)&gt;0,", "&amp;A70&amp;"-"&amp;AC$2,"")&amp;IF(N(AD70)&gt;0,", "&amp;A70&amp;"-"&amp;AD$2,"")&amp;IF(N(AE70)&gt;0,", "&amp;A70&amp;"-"&amp;AE$2,"")&amp;IF(N(AF70)&gt;0,", "&amp;A70&amp;"-"&amp;AF$2,"")&amp;IF(N(AG70)&gt;0,", "&amp;A70&amp;"-"&amp;AG$2,"")&amp;IF(N(AH70)&gt;0,", "&amp;A70&amp;"-"&amp;AH$2,"")&amp;IF(N(AI70)&gt;0,", "&amp;A70&amp;"-"&amp;AI$2,"")&amp;IF(N(AJ70)&gt;0,", "&amp;A70&amp;"-"&amp;AJ$2,""),3,999))</f>
        <v/>
      </c>
      <c r="AN70" s="81"/>
      <c r="AO70" s="88"/>
      <c r="AP70" s="89" t="str">
        <f aca="false">IF(AO70="","",ROUND(AO70/(1+Справочники!$B$13),2))</f>
        <v/>
      </c>
      <c r="AQ70" s="90" t="str">
        <f aca="false" t="array" ref="AQ70:AQ70">IF(AP70="","",AP70*INDEX(Справочники!$B$4:$B$7,MATCH("RUB",Справочники!$A$4:$A$7,0)))</f>
        <v/>
      </c>
      <c r="AR70" s="90" t="str">
        <f aca="false">IF(AQ70="","",ROUND(AQ70*(1+Справочники!$B$12),0))</f>
        <v/>
      </c>
      <c r="AS70" s="90" t="str">
        <f aca="false">IF(AR70="","",ROUND(AR70*(1-Справочники!$B$11),0))</f>
        <v/>
      </c>
      <c r="AT70" s="88"/>
      <c r="AU70" s="90" t="str">
        <f aca="false">IF(AT70="","",ROUND(AT70/(1+Справочники!$B$12),0))</f>
        <v/>
      </c>
      <c r="AV70" s="90" t="str">
        <f aca="false">IF(AT70="","",ROUND(AT70*(1-Справочники!$B$15),0))</f>
        <v/>
      </c>
      <c r="AW70" s="90" t="str">
        <f aca="false">IF(AT70="","",ROUND(AT70*(1-Справочники!$B$16),0))</f>
        <v/>
      </c>
      <c r="AX70" s="90" t="str">
        <f aca="false">IF(AT70="","",ROUND(AT70*(1-Справочники!$B$17),0))</f>
        <v/>
      </c>
      <c r="AY70" s="90" t="str">
        <f aca="false">IF(AT70="","",ROUND(AT70*(1-Справочники!$B$18),0))</f>
        <v/>
      </c>
      <c r="AZ70" s="90" t="str">
        <f aca="false">IF(AT70="","",ROUND(AT70*(1-Справочники!$B$19),0))</f>
        <v/>
      </c>
      <c r="BA70" s="81"/>
      <c r="BB70" s="81"/>
      <c r="BC70" s="81"/>
      <c r="BD70" s="81"/>
      <c r="BE70" s="91"/>
      <c r="BF70" s="81" t="s">
        <v>103</v>
      </c>
      <c r="BG70" s="89" t="n">
        <f aca="false" t="array" ref="BG70:BG70">IF(BF70="","",IFERROR(INDEX(Справочники!$B$4:$B$7,MATCH(BF70,Справочники!$A$4:$A$7,0)),""))</f>
        <v>68.5</v>
      </c>
      <c r="BH70" s="90" t="str">
        <f aca="false">IF(N(BN70)&gt;0,ROUND(SUMIF(ЗАКАЗЫ!$F$3:$F$500,$A70,ЗАКАЗЫ!$Y$3:$Y$500)/BN70,0),IF(OR(BE70="",BG70=""),"",ROUND(BE70*BG70*(1+Справочники!$B$10),0)))</f>
        <v/>
      </c>
      <c r="BI70" s="92" t="str">
        <f aca="false">IF(OR(AU70="",BH70="",AU70=0),"",(AU70-BH70)/AU70)</f>
        <v/>
      </c>
      <c r="BJ70" s="81"/>
      <c r="BK70" s="83"/>
      <c r="BL70" s="43" t="str">
        <f aca="false">IFERROR(INDEX(ЗАКАЗЫ!$N$3:$N$500,MATCH($A70,ЗАКАЗЫ!$F$3:$F$500,0)),"")</f>
        <v/>
      </c>
      <c r="BM70" s="8" t="str">
        <f aca="false">IF(BL70="","",IFERROR(VLOOKUP(BL70,'ТН ВЭД'!$A$4:$C$40,3,0),""))</f>
        <v/>
      </c>
      <c r="BN70" s="7" t="str">
        <f aca="false">IF(COUNTIF(ЗАКАЗЫ!$F$3:$F$500,$A70)=0,"",SUMIF(ЗАКАЗЫ!$F$3:$F$500,$A70,ЗАКАЗЫ!$J$3:$J$500))</f>
        <v/>
      </c>
      <c r="BO70" s="7" t="str">
        <f aca="false">IF(BN70="","",SUMIF(ЗАКАЗЫ!$F$3:$F$500,$A70,ЗАКАЗЫ!$AL$3:$AL$500))</f>
        <v/>
      </c>
      <c r="BP70" s="7" t="str">
        <f aca="false">IF(BN70="","",BN70-BO70)</f>
        <v/>
      </c>
      <c r="BQ70" s="55" t="str">
        <f aca="false">IF(BN70="","",IF(BO70&gt;=BN70,"На складе",IF(BO70&gt;0,"Частично","Ждём")))</f>
        <v/>
      </c>
      <c r="BR70" s="43"/>
      <c r="BS70" s="47" t="str">
        <f aca="false">IF(BN70="","",IF(_xlfn.MAXIFS(ЗАКАЗЫ!$AK$3:$AK$500,ЗАКАЗЫ!$F$3:$F$500,$A70)=0,"",_xlfn.MAXIFS(ЗАКАЗЫ!$AK$3:$AK$500,ЗАКАЗЫ!$F$3:$F$500,$A70)))</f>
        <v/>
      </c>
    </row>
    <row r="71" customFormat="false" ht="15.75" hidden="false" customHeight="true" outlineLevel="0" collapsed="false">
      <c r="A71" s="80" t="s">
        <v>2265</v>
      </c>
      <c r="B71" s="81"/>
      <c r="C71" s="81"/>
      <c r="D71" s="81"/>
      <c r="E71" s="83"/>
      <c r="F71" s="81"/>
      <c r="G71" s="83"/>
      <c r="H71" s="83"/>
      <c r="I71" s="84" t="str">
        <f aca="false">IF(E71="","",A71&amp;"_1.jpg")</f>
        <v/>
      </c>
      <c r="J71" s="84" t="str">
        <f aca="false">IF(E71="","",A71&amp;"_2.jpg; "&amp;A71&amp;"_3.jpg")</f>
        <v/>
      </c>
      <c r="K71" s="84" t="str">
        <f aca="false">IF(E71="","",A71&amp;"_schema.jpg")</f>
        <v/>
      </c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 t="s">
        <v>96</v>
      </c>
      <c r="W71" s="81"/>
      <c r="X71" s="81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6" t="str">
        <f aca="false">IF(SUM(Y71:AJ71)=0,"",SUM(Y71:AJ71))</f>
        <v/>
      </c>
      <c r="AL71" s="84" t="str">
        <f aca="false">MID(IF(N(Y71)&gt;0,", "&amp;Y$2,"")&amp;IF(N(Z71)&gt;0,", "&amp;Z$2,"")&amp;IF(N(AA71)&gt;0,", "&amp;AA$2,"")&amp;IF(N(AB71)&gt;0,", "&amp;AB$2,"")&amp;IF(N(AC71)&gt;0,", "&amp;AC$2,"")&amp;IF(N(AD71)&gt;0,", "&amp;AD$2,"")&amp;IF(N(AE71)&gt;0,", "&amp;AE$2,"")&amp;IF(N(AF71)&gt;0,", "&amp;AF$2,"")&amp;IF(N(AG71)&gt;0,", "&amp;AG$2,"")&amp;IF(N(AH71)&gt;0,", "&amp;AH$2,"")&amp;IF(N(AI71)&gt;0,", "&amp;AI$2,"")&amp;IF(N(AJ71)&gt;0,", "&amp;AJ$2,""),3,999)</f>
        <v/>
      </c>
      <c r="AM71" s="87" t="str">
        <f aca="false">IF(E71="","",MID(IF(N(Y71)&gt;0,", "&amp;A71&amp;"-"&amp;Y$2,"")&amp;IF(N(Z71)&gt;0,", "&amp;A71&amp;"-"&amp;Z$2,"")&amp;IF(N(AA71)&gt;0,", "&amp;A71&amp;"-"&amp;AA$2,"")&amp;IF(N(AB71)&gt;0,", "&amp;A71&amp;"-"&amp;AB$2,"")&amp;IF(N(AC71)&gt;0,", "&amp;A71&amp;"-"&amp;AC$2,"")&amp;IF(N(AD71)&gt;0,", "&amp;A71&amp;"-"&amp;AD$2,"")&amp;IF(N(AE71)&gt;0,", "&amp;A71&amp;"-"&amp;AE$2,"")&amp;IF(N(AF71)&gt;0,", "&amp;A71&amp;"-"&amp;AF$2,"")&amp;IF(N(AG71)&gt;0,", "&amp;A71&amp;"-"&amp;AG$2,"")&amp;IF(N(AH71)&gt;0,", "&amp;A71&amp;"-"&amp;AH$2,"")&amp;IF(N(AI71)&gt;0,", "&amp;A71&amp;"-"&amp;AI$2,"")&amp;IF(N(AJ71)&gt;0,", "&amp;A71&amp;"-"&amp;AJ$2,""),3,999))</f>
        <v/>
      </c>
      <c r="AN71" s="81"/>
      <c r="AO71" s="88"/>
      <c r="AP71" s="89" t="str">
        <f aca="false">IF(AO71="","",ROUND(AO71/(1+Справочники!$B$13),2))</f>
        <v/>
      </c>
      <c r="AQ71" s="90" t="str">
        <f aca="false" t="array" ref="AQ71:AQ71">IF(AP71="","",AP71*INDEX(Справочники!$B$4:$B$7,MATCH("RUB",Справочники!$A$4:$A$7,0)))</f>
        <v/>
      </c>
      <c r="AR71" s="90" t="str">
        <f aca="false">IF(AQ71="","",ROUND(AQ71*(1+Справочники!$B$12),0))</f>
        <v/>
      </c>
      <c r="AS71" s="90" t="str">
        <f aca="false">IF(AR71="","",ROUND(AR71*(1-Справочники!$B$11),0))</f>
        <v/>
      </c>
      <c r="AT71" s="88"/>
      <c r="AU71" s="90" t="str">
        <f aca="false">IF(AT71="","",ROUND(AT71/(1+Справочники!$B$12),0))</f>
        <v/>
      </c>
      <c r="AV71" s="90" t="str">
        <f aca="false">IF(AT71="","",ROUND(AT71*(1-Справочники!$B$15),0))</f>
        <v/>
      </c>
      <c r="AW71" s="90" t="str">
        <f aca="false">IF(AT71="","",ROUND(AT71*(1-Справочники!$B$16),0))</f>
        <v/>
      </c>
      <c r="AX71" s="90" t="str">
        <f aca="false">IF(AT71="","",ROUND(AT71*(1-Справочники!$B$17),0))</f>
        <v/>
      </c>
      <c r="AY71" s="90" t="str">
        <f aca="false">IF(AT71="","",ROUND(AT71*(1-Справочники!$B$18),0))</f>
        <v/>
      </c>
      <c r="AZ71" s="90" t="str">
        <f aca="false">IF(AT71="","",ROUND(AT71*(1-Справочники!$B$19),0))</f>
        <v/>
      </c>
      <c r="BA71" s="81"/>
      <c r="BB71" s="81"/>
      <c r="BC71" s="81"/>
      <c r="BD71" s="81"/>
      <c r="BE71" s="91"/>
      <c r="BF71" s="81" t="s">
        <v>103</v>
      </c>
      <c r="BG71" s="89" t="n">
        <f aca="false" t="array" ref="BG71:BG71">IF(BF71="","",IFERROR(INDEX(Справочники!$B$4:$B$7,MATCH(BF71,Справочники!$A$4:$A$7,0)),""))</f>
        <v>68.5</v>
      </c>
      <c r="BH71" s="90" t="str">
        <f aca="false">IF(N(BN71)&gt;0,ROUND(SUMIF(ЗАКАЗЫ!$F$3:$F$500,$A71,ЗАКАЗЫ!$Y$3:$Y$500)/BN71,0),IF(OR(BE71="",BG71=""),"",ROUND(BE71*BG71*(1+Справочники!$B$10),0)))</f>
        <v/>
      </c>
      <c r="BI71" s="92" t="str">
        <f aca="false">IF(OR(AU71="",BH71="",AU71=0),"",(AU71-BH71)/AU71)</f>
        <v/>
      </c>
      <c r="BJ71" s="81"/>
      <c r="BK71" s="83"/>
      <c r="BL71" s="43" t="str">
        <f aca="false">IFERROR(INDEX(ЗАКАЗЫ!$N$3:$N$500,MATCH($A71,ЗАКАЗЫ!$F$3:$F$500,0)),"")</f>
        <v/>
      </c>
      <c r="BM71" s="8" t="str">
        <f aca="false">IF(BL71="","",IFERROR(VLOOKUP(BL71,'ТН ВЭД'!$A$4:$C$40,3,0),""))</f>
        <v/>
      </c>
      <c r="BN71" s="7" t="str">
        <f aca="false">IF(COUNTIF(ЗАКАЗЫ!$F$3:$F$500,$A71)=0,"",SUMIF(ЗАКАЗЫ!$F$3:$F$500,$A71,ЗАКАЗЫ!$J$3:$J$500))</f>
        <v/>
      </c>
      <c r="BO71" s="7" t="str">
        <f aca="false">IF(BN71="","",SUMIF(ЗАКАЗЫ!$F$3:$F$500,$A71,ЗАКАЗЫ!$AL$3:$AL$500))</f>
        <v/>
      </c>
      <c r="BP71" s="7" t="str">
        <f aca="false">IF(BN71="","",BN71-BO71)</f>
        <v/>
      </c>
      <c r="BQ71" s="55" t="str">
        <f aca="false">IF(BN71="","",IF(BO71&gt;=BN71,"На складе",IF(BO71&gt;0,"Частично","Ждём")))</f>
        <v/>
      </c>
      <c r="BR71" s="43"/>
      <c r="BS71" s="47" t="str">
        <f aca="false">IF(BN71="","",IF(_xlfn.MAXIFS(ЗАКАЗЫ!$AK$3:$AK$500,ЗАКАЗЫ!$F$3:$F$500,$A71)=0,"",_xlfn.MAXIFS(ЗАКАЗЫ!$AK$3:$AK$500,ЗАКАЗЫ!$F$3:$F$500,$A71)))</f>
        <v/>
      </c>
    </row>
    <row r="72" customFormat="false" ht="15.75" hidden="false" customHeight="true" outlineLevel="0" collapsed="false">
      <c r="A72" s="80" t="s">
        <v>2266</v>
      </c>
      <c r="B72" s="81"/>
      <c r="C72" s="81"/>
      <c r="D72" s="81"/>
      <c r="E72" s="83"/>
      <c r="F72" s="81"/>
      <c r="G72" s="83"/>
      <c r="H72" s="83"/>
      <c r="I72" s="84" t="str">
        <f aca="false">IF(E72="","",A72&amp;"_1.jpg")</f>
        <v/>
      </c>
      <c r="J72" s="84" t="str">
        <f aca="false">IF(E72="","",A72&amp;"_2.jpg; "&amp;A72&amp;"_3.jpg")</f>
        <v/>
      </c>
      <c r="K72" s="84" t="str">
        <f aca="false">IF(E72="","",A72&amp;"_schema.jpg")</f>
        <v/>
      </c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 t="s">
        <v>96</v>
      </c>
      <c r="W72" s="81"/>
      <c r="X72" s="81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6" t="str">
        <f aca="false">IF(SUM(Y72:AJ72)=0,"",SUM(Y72:AJ72))</f>
        <v/>
      </c>
      <c r="AL72" s="84" t="str">
        <f aca="false">MID(IF(N(Y72)&gt;0,", "&amp;Y$2,"")&amp;IF(N(Z72)&gt;0,", "&amp;Z$2,"")&amp;IF(N(AA72)&gt;0,", "&amp;AA$2,"")&amp;IF(N(AB72)&gt;0,", "&amp;AB$2,"")&amp;IF(N(AC72)&gt;0,", "&amp;AC$2,"")&amp;IF(N(AD72)&gt;0,", "&amp;AD$2,"")&amp;IF(N(AE72)&gt;0,", "&amp;AE$2,"")&amp;IF(N(AF72)&gt;0,", "&amp;AF$2,"")&amp;IF(N(AG72)&gt;0,", "&amp;AG$2,"")&amp;IF(N(AH72)&gt;0,", "&amp;AH$2,"")&amp;IF(N(AI72)&gt;0,", "&amp;AI$2,"")&amp;IF(N(AJ72)&gt;0,", "&amp;AJ$2,""),3,999)</f>
        <v/>
      </c>
      <c r="AM72" s="87" t="str">
        <f aca="false">IF(E72="","",MID(IF(N(Y72)&gt;0,", "&amp;A72&amp;"-"&amp;Y$2,"")&amp;IF(N(Z72)&gt;0,", "&amp;A72&amp;"-"&amp;Z$2,"")&amp;IF(N(AA72)&gt;0,", "&amp;A72&amp;"-"&amp;AA$2,"")&amp;IF(N(AB72)&gt;0,", "&amp;A72&amp;"-"&amp;AB$2,"")&amp;IF(N(AC72)&gt;0,", "&amp;A72&amp;"-"&amp;AC$2,"")&amp;IF(N(AD72)&gt;0,", "&amp;A72&amp;"-"&amp;AD$2,"")&amp;IF(N(AE72)&gt;0,", "&amp;A72&amp;"-"&amp;AE$2,"")&amp;IF(N(AF72)&gt;0,", "&amp;A72&amp;"-"&amp;AF$2,"")&amp;IF(N(AG72)&gt;0,", "&amp;A72&amp;"-"&amp;AG$2,"")&amp;IF(N(AH72)&gt;0,", "&amp;A72&amp;"-"&amp;AH$2,"")&amp;IF(N(AI72)&gt;0,", "&amp;A72&amp;"-"&amp;AI$2,"")&amp;IF(N(AJ72)&gt;0,", "&amp;A72&amp;"-"&amp;AJ$2,""),3,999))</f>
        <v/>
      </c>
      <c r="AN72" s="81"/>
      <c r="AO72" s="88"/>
      <c r="AP72" s="89" t="str">
        <f aca="false">IF(AO72="","",ROUND(AO72/(1+Справочники!$B$13),2))</f>
        <v/>
      </c>
      <c r="AQ72" s="90" t="str">
        <f aca="false" t="array" ref="AQ72:AQ72">IF(AP72="","",AP72*INDEX(Справочники!$B$4:$B$7,MATCH("RUB",Справочники!$A$4:$A$7,0)))</f>
        <v/>
      </c>
      <c r="AR72" s="90" t="str">
        <f aca="false">IF(AQ72="","",ROUND(AQ72*(1+Справочники!$B$12),0))</f>
        <v/>
      </c>
      <c r="AS72" s="90" t="str">
        <f aca="false">IF(AR72="","",ROUND(AR72*(1-Справочники!$B$11),0))</f>
        <v/>
      </c>
      <c r="AT72" s="88"/>
      <c r="AU72" s="90" t="str">
        <f aca="false">IF(AT72="","",ROUND(AT72/(1+Справочники!$B$12),0))</f>
        <v/>
      </c>
      <c r="AV72" s="90" t="str">
        <f aca="false">IF(AT72="","",ROUND(AT72*(1-Справочники!$B$15),0))</f>
        <v/>
      </c>
      <c r="AW72" s="90" t="str">
        <f aca="false">IF(AT72="","",ROUND(AT72*(1-Справочники!$B$16),0))</f>
        <v/>
      </c>
      <c r="AX72" s="90" t="str">
        <f aca="false">IF(AT72="","",ROUND(AT72*(1-Справочники!$B$17),0))</f>
        <v/>
      </c>
      <c r="AY72" s="90" t="str">
        <f aca="false">IF(AT72="","",ROUND(AT72*(1-Справочники!$B$18),0))</f>
        <v/>
      </c>
      <c r="AZ72" s="90" t="str">
        <f aca="false">IF(AT72="","",ROUND(AT72*(1-Справочники!$B$19),0))</f>
        <v/>
      </c>
      <c r="BA72" s="81"/>
      <c r="BB72" s="81"/>
      <c r="BC72" s="81"/>
      <c r="BD72" s="81"/>
      <c r="BE72" s="91"/>
      <c r="BF72" s="81" t="s">
        <v>103</v>
      </c>
      <c r="BG72" s="89" t="n">
        <f aca="false" t="array" ref="BG72:BG72">IF(BF72="","",IFERROR(INDEX(Справочники!$B$4:$B$7,MATCH(BF72,Справочники!$A$4:$A$7,0)),""))</f>
        <v>68.5</v>
      </c>
      <c r="BH72" s="90" t="str">
        <f aca="false">IF(N(BN72)&gt;0,ROUND(SUMIF(ЗАКАЗЫ!$F$3:$F$500,$A72,ЗАКАЗЫ!$Y$3:$Y$500)/BN72,0),IF(OR(BE72="",BG72=""),"",ROUND(BE72*BG72*(1+Справочники!$B$10),0)))</f>
        <v/>
      </c>
      <c r="BI72" s="92" t="str">
        <f aca="false">IF(OR(AU72="",BH72="",AU72=0),"",(AU72-BH72)/AU72)</f>
        <v/>
      </c>
      <c r="BJ72" s="81"/>
      <c r="BK72" s="83"/>
      <c r="BL72" s="43" t="str">
        <f aca="false">IFERROR(INDEX(ЗАКАЗЫ!$N$3:$N$500,MATCH($A72,ЗАКАЗЫ!$F$3:$F$500,0)),"")</f>
        <v/>
      </c>
      <c r="BM72" s="8" t="str">
        <f aca="false">IF(BL72="","",IFERROR(VLOOKUP(BL72,'ТН ВЭД'!$A$4:$C$40,3,0),""))</f>
        <v/>
      </c>
      <c r="BN72" s="7" t="str">
        <f aca="false">IF(COUNTIF(ЗАКАЗЫ!$F$3:$F$500,$A72)=0,"",SUMIF(ЗАКАЗЫ!$F$3:$F$500,$A72,ЗАКАЗЫ!$J$3:$J$500))</f>
        <v/>
      </c>
      <c r="BO72" s="7" t="str">
        <f aca="false">IF(BN72="","",SUMIF(ЗАКАЗЫ!$F$3:$F$500,$A72,ЗАКАЗЫ!$AL$3:$AL$500))</f>
        <v/>
      </c>
      <c r="BP72" s="7" t="str">
        <f aca="false">IF(BN72="","",BN72-BO72)</f>
        <v/>
      </c>
      <c r="BQ72" s="55" t="str">
        <f aca="false">IF(BN72="","",IF(BO72&gt;=BN72,"На складе",IF(BO72&gt;0,"Частично","Ждём")))</f>
        <v/>
      </c>
      <c r="BR72" s="43"/>
      <c r="BS72" s="47" t="str">
        <f aca="false">IF(BN72="","",IF(_xlfn.MAXIFS(ЗАКАЗЫ!$AK$3:$AK$500,ЗАКАЗЫ!$F$3:$F$500,$A72)=0,"",_xlfn.MAXIFS(ЗАКАЗЫ!$AK$3:$AK$500,ЗАКАЗЫ!$F$3:$F$500,$A72)))</f>
        <v/>
      </c>
    </row>
    <row r="73" customFormat="false" ht="15.75" hidden="false" customHeight="true" outlineLevel="0" collapsed="false">
      <c r="A73" s="80" t="s">
        <v>2267</v>
      </c>
      <c r="B73" s="81"/>
      <c r="C73" s="81"/>
      <c r="D73" s="81"/>
      <c r="E73" s="83"/>
      <c r="F73" s="81"/>
      <c r="G73" s="83"/>
      <c r="H73" s="83"/>
      <c r="I73" s="84" t="str">
        <f aca="false">IF(E73="","",A73&amp;"_1.jpg")</f>
        <v/>
      </c>
      <c r="J73" s="84" t="str">
        <f aca="false">IF(E73="","",A73&amp;"_2.jpg; "&amp;A73&amp;"_3.jpg")</f>
        <v/>
      </c>
      <c r="K73" s="84" t="str">
        <f aca="false">IF(E73="","",A73&amp;"_schema.jpg")</f>
        <v/>
      </c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 t="s">
        <v>96</v>
      </c>
      <c r="W73" s="81"/>
      <c r="X73" s="81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6" t="str">
        <f aca="false">IF(SUM(Y73:AJ73)=0,"",SUM(Y73:AJ73))</f>
        <v/>
      </c>
      <c r="AL73" s="84" t="str">
        <f aca="false">MID(IF(N(Y73)&gt;0,", "&amp;Y$2,"")&amp;IF(N(Z73)&gt;0,", "&amp;Z$2,"")&amp;IF(N(AA73)&gt;0,", "&amp;AA$2,"")&amp;IF(N(AB73)&gt;0,", "&amp;AB$2,"")&amp;IF(N(AC73)&gt;0,", "&amp;AC$2,"")&amp;IF(N(AD73)&gt;0,", "&amp;AD$2,"")&amp;IF(N(AE73)&gt;0,", "&amp;AE$2,"")&amp;IF(N(AF73)&gt;0,", "&amp;AF$2,"")&amp;IF(N(AG73)&gt;0,", "&amp;AG$2,"")&amp;IF(N(AH73)&gt;0,", "&amp;AH$2,"")&amp;IF(N(AI73)&gt;0,", "&amp;AI$2,"")&amp;IF(N(AJ73)&gt;0,", "&amp;AJ$2,""),3,999)</f>
        <v/>
      </c>
      <c r="AM73" s="87" t="str">
        <f aca="false">IF(E73="","",MID(IF(N(Y73)&gt;0,", "&amp;A73&amp;"-"&amp;Y$2,"")&amp;IF(N(Z73)&gt;0,", "&amp;A73&amp;"-"&amp;Z$2,"")&amp;IF(N(AA73)&gt;0,", "&amp;A73&amp;"-"&amp;AA$2,"")&amp;IF(N(AB73)&gt;0,", "&amp;A73&amp;"-"&amp;AB$2,"")&amp;IF(N(AC73)&gt;0,", "&amp;A73&amp;"-"&amp;AC$2,"")&amp;IF(N(AD73)&gt;0,", "&amp;A73&amp;"-"&amp;AD$2,"")&amp;IF(N(AE73)&gt;0,", "&amp;A73&amp;"-"&amp;AE$2,"")&amp;IF(N(AF73)&gt;0,", "&amp;A73&amp;"-"&amp;AF$2,"")&amp;IF(N(AG73)&gt;0,", "&amp;A73&amp;"-"&amp;AG$2,"")&amp;IF(N(AH73)&gt;0,", "&amp;A73&amp;"-"&amp;AH$2,"")&amp;IF(N(AI73)&gt;0,", "&amp;A73&amp;"-"&amp;AI$2,"")&amp;IF(N(AJ73)&gt;0,", "&amp;A73&amp;"-"&amp;AJ$2,""),3,999))</f>
        <v/>
      </c>
      <c r="AN73" s="81"/>
      <c r="AO73" s="88"/>
      <c r="AP73" s="89" t="str">
        <f aca="false">IF(AO73="","",ROUND(AO73/(1+Справочники!$B$13),2))</f>
        <v/>
      </c>
      <c r="AQ73" s="90" t="str">
        <f aca="false" t="array" ref="AQ73:AQ73">IF(AP73="","",AP73*INDEX(Справочники!$B$4:$B$7,MATCH("RUB",Справочники!$A$4:$A$7,0)))</f>
        <v/>
      </c>
      <c r="AR73" s="90" t="str">
        <f aca="false">IF(AQ73="","",ROUND(AQ73*(1+Справочники!$B$12),0))</f>
        <v/>
      </c>
      <c r="AS73" s="90" t="str">
        <f aca="false">IF(AR73="","",ROUND(AR73*(1-Справочники!$B$11),0))</f>
        <v/>
      </c>
      <c r="AT73" s="88"/>
      <c r="AU73" s="90" t="str">
        <f aca="false">IF(AT73="","",ROUND(AT73/(1+Справочники!$B$12),0))</f>
        <v/>
      </c>
      <c r="AV73" s="90" t="str">
        <f aca="false">IF(AT73="","",ROUND(AT73*(1-Справочники!$B$15),0))</f>
        <v/>
      </c>
      <c r="AW73" s="90" t="str">
        <f aca="false">IF(AT73="","",ROUND(AT73*(1-Справочники!$B$16),0))</f>
        <v/>
      </c>
      <c r="AX73" s="90" t="str">
        <f aca="false">IF(AT73="","",ROUND(AT73*(1-Справочники!$B$17),0))</f>
        <v/>
      </c>
      <c r="AY73" s="90" t="str">
        <f aca="false">IF(AT73="","",ROUND(AT73*(1-Справочники!$B$18),0))</f>
        <v/>
      </c>
      <c r="AZ73" s="90" t="str">
        <f aca="false">IF(AT73="","",ROUND(AT73*(1-Справочники!$B$19),0))</f>
        <v/>
      </c>
      <c r="BA73" s="81"/>
      <c r="BB73" s="81"/>
      <c r="BC73" s="81"/>
      <c r="BD73" s="81"/>
      <c r="BE73" s="91"/>
      <c r="BF73" s="81" t="s">
        <v>103</v>
      </c>
      <c r="BG73" s="89" t="n">
        <f aca="false" t="array" ref="BG73:BG73">IF(BF73="","",IFERROR(INDEX(Справочники!$B$4:$B$7,MATCH(BF73,Справочники!$A$4:$A$7,0)),""))</f>
        <v>68.5</v>
      </c>
      <c r="BH73" s="90" t="str">
        <f aca="false">IF(N(BN73)&gt;0,ROUND(SUMIF(ЗАКАЗЫ!$F$3:$F$500,$A73,ЗАКАЗЫ!$Y$3:$Y$500)/BN73,0),IF(OR(BE73="",BG73=""),"",ROUND(BE73*BG73*(1+Справочники!$B$10),0)))</f>
        <v/>
      </c>
      <c r="BI73" s="92" t="str">
        <f aca="false">IF(OR(AU73="",BH73="",AU73=0),"",(AU73-BH73)/AU73)</f>
        <v/>
      </c>
      <c r="BJ73" s="81"/>
      <c r="BK73" s="83"/>
      <c r="BL73" s="43" t="str">
        <f aca="false">IFERROR(INDEX(ЗАКАЗЫ!$N$3:$N$500,MATCH($A73,ЗАКАЗЫ!$F$3:$F$500,0)),"")</f>
        <v/>
      </c>
      <c r="BM73" s="8" t="str">
        <f aca="false">IF(BL73="","",IFERROR(VLOOKUP(BL73,'ТН ВЭД'!$A$4:$C$40,3,0),""))</f>
        <v/>
      </c>
      <c r="BN73" s="7" t="str">
        <f aca="false">IF(COUNTIF(ЗАКАЗЫ!$F$3:$F$500,$A73)=0,"",SUMIF(ЗАКАЗЫ!$F$3:$F$500,$A73,ЗАКАЗЫ!$J$3:$J$500))</f>
        <v/>
      </c>
      <c r="BO73" s="7" t="str">
        <f aca="false">IF(BN73="","",SUMIF(ЗАКАЗЫ!$F$3:$F$500,$A73,ЗАКАЗЫ!$AL$3:$AL$500))</f>
        <v/>
      </c>
      <c r="BP73" s="7" t="str">
        <f aca="false">IF(BN73="","",BN73-BO73)</f>
        <v/>
      </c>
      <c r="BQ73" s="55" t="str">
        <f aca="false">IF(BN73="","",IF(BO73&gt;=BN73,"На складе",IF(BO73&gt;0,"Частично","Ждём")))</f>
        <v/>
      </c>
      <c r="BR73" s="43"/>
      <c r="BS73" s="47" t="str">
        <f aca="false">IF(BN73="","",IF(_xlfn.MAXIFS(ЗАКАЗЫ!$AK$3:$AK$500,ЗАКАЗЫ!$F$3:$F$500,$A73)=0,"",_xlfn.MAXIFS(ЗАКАЗЫ!$AK$3:$AK$500,ЗАКАЗЫ!$F$3:$F$500,$A73)))</f>
        <v/>
      </c>
    </row>
    <row r="74" customFormat="false" ht="15.75" hidden="false" customHeight="true" outlineLevel="0" collapsed="false">
      <c r="A74" s="80" t="s">
        <v>2268</v>
      </c>
      <c r="B74" s="81"/>
      <c r="C74" s="81"/>
      <c r="D74" s="81"/>
      <c r="E74" s="83"/>
      <c r="F74" s="81"/>
      <c r="G74" s="83"/>
      <c r="H74" s="83"/>
      <c r="I74" s="84" t="str">
        <f aca="false">IF(E74="","",A74&amp;"_1.jpg")</f>
        <v/>
      </c>
      <c r="J74" s="84" t="str">
        <f aca="false">IF(E74="","",A74&amp;"_2.jpg; "&amp;A74&amp;"_3.jpg")</f>
        <v/>
      </c>
      <c r="K74" s="84" t="str">
        <f aca="false">IF(E74="","",A74&amp;"_schema.jpg")</f>
        <v/>
      </c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 t="s">
        <v>96</v>
      </c>
      <c r="W74" s="81"/>
      <c r="X74" s="81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6" t="str">
        <f aca="false">IF(SUM(Y74:AJ74)=0,"",SUM(Y74:AJ74))</f>
        <v/>
      </c>
      <c r="AL74" s="84" t="str">
        <f aca="false">MID(IF(N(Y74)&gt;0,", "&amp;Y$2,"")&amp;IF(N(Z74)&gt;0,", "&amp;Z$2,"")&amp;IF(N(AA74)&gt;0,", "&amp;AA$2,"")&amp;IF(N(AB74)&gt;0,", "&amp;AB$2,"")&amp;IF(N(AC74)&gt;0,", "&amp;AC$2,"")&amp;IF(N(AD74)&gt;0,", "&amp;AD$2,"")&amp;IF(N(AE74)&gt;0,", "&amp;AE$2,"")&amp;IF(N(AF74)&gt;0,", "&amp;AF$2,"")&amp;IF(N(AG74)&gt;0,", "&amp;AG$2,"")&amp;IF(N(AH74)&gt;0,", "&amp;AH$2,"")&amp;IF(N(AI74)&gt;0,", "&amp;AI$2,"")&amp;IF(N(AJ74)&gt;0,", "&amp;AJ$2,""),3,999)</f>
        <v/>
      </c>
      <c r="AM74" s="87" t="str">
        <f aca="false">IF(E74="","",MID(IF(N(Y74)&gt;0,", "&amp;A74&amp;"-"&amp;Y$2,"")&amp;IF(N(Z74)&gt;0,", "&amp;A74&amp;"-"&amp;Z$2,"")&amp;IF(N(AA74)&gt;0,", "&amp;A74&amp;"-"&amp;AA$2,"")&amp;IF(N(AB74)&gt;0,", "&amp;A74&amp;"-"&amp;AB$2,"")&amp;IF(N(AC74)&gt;0,", "&amp;A74&amp;"-"&amp;AC$2,"")&amp;IF(N(AD74)&gt;0,", "&amp;A74&amp;"-"&amp;AD$2,"")&amp;IF(N(AE74)&gt;0,", "&amp;A74&amp;"-"&amp;AE$2,"")&amp;IF(N(AF74)&gt;0,", "&amp;A74&amp;"-"&amp;AF$2,"")&amp;IF(N(AG74)&gt;0,", "&amp;A74&amp;"-"&amp;AG$2,"")&amp;IF(N(AH74)&gt;0,", "&amp;A74&amp;"-"&amp;AH$2,"")&amp;IF(N(AI74)&gt;0,", "&amp;A74&amp;"-"&amp;AI$2,"")&amp;IF(N(AJ74)&gt;0,", "&amp;A74&amp;"-"&amp;AJ$2,""),3,999))</f>
        <v/>
      </c>
      <c r="AN74" s="81"/>
      <c r="AO74" s="88"/>
      <c r="AP74" s="89" t="str">
        <f aca="false">IF(AO74="","",ROUND(AO74/(1+Справочники!$B$13),2))</f>
        <v/>
      </c>
      <c r="AQ74" s="90" t="str">
        <f aca="false" t="array" ref="AQ74:AQ74">IF(AP74="","",AP74*INDEX(Справочники!$B$4:$B$7,MATCH("RUB",Справочники!$A$4:$A$7,0)))</f>
        <v/>
      </c>
      <c r="AR74" s="90" t="str">
        <f aca="false">IF(AQ74="","",ROUND(AQ74*(1+Справочники!$B$12),0))</f>
        <v/>
      </c>
      <c r="AS74" s="90" t="str">
        <f aca="false">IF(AR74="","",ROUND(AR74*(1-Справочники!$B$11),0))</f>
        <v/>
      </c>
      <c r="AT74" s="88"/>
      <c r="AU74" s="90" t="str">
        <f aca="false">IF(AT74="","",ROUND(AT74/(1+Справочники!$B$12),0))</f>
        <v/>
      </c>
      <c r="AV74" s="90" t="str">
        <f aca="false">IF(AT74="","",ROUND(AT74*(1-Справочники!$B$15),0))</f>
        <v/>
      </c>
      <c r="AW74" s="90" t="str">
        <f aca="false">IF(AT74="","",ROUND(AT74*(1-Справочники!$B$16),0))</f>
        <v/>
      </c>
      <c r="AX74" s="90" t="str">
        <f aca="false">IF(AT74="","",ROUND(AT74*(1-Справочники!$B$17),0))</f>
        <v/>
      </c>
      <c r="AY74" s="90" t="str">
        <f aca="false">IF(AT74="","",ROUND(AT74*(1-Справочники!$B$18),0))</f>
        <v/>
      </c>
      <c r="AZ74" s="90" t="str">
        <f aca="false">IF(AT74="","",ROUND(AT74*(1-Справочники!$B$19),0))</f>
        <v/>
      </c>
      <c r="BA74" s="81"/>
      <c r="BB74" s="81"/>
      <c r="BC74" s="81"/>
      <c r="BD74" s="81"/>
      <c r="BE74" s="91"/>
      <c r="BF74" s="81" t="s">
        <v>103</v>
      </c>
      <c r="BG74" s="89" t="n">
        <f aca="false" t="array" ref="BG74:BG74">IF(BF74="","",IFERROR(INDEX(Справочники!$B$4:$B$7,MATCH(BF74,Справочники!$A$4:$A$7,0)),""))</f>
        <v>68.5</v>
      </c>
      <c r="BH74" s="90" t="str">
        <f aca="false">IF(N(BN74)&gt;0,ROUND(SUMIF(ЗАКАЗЫ!$F$3:$F$500,$A74,ЗАКАЗЫ!$Y$3:$Y$500)/BN74,0),IF(OR(BE74="",BG74=""),"",ROUND(BE74*BG74*(1+Справочники!$B$10),0)))</f>
        <v/>
      </c>
      <c r="BI74" s="92" t="str">
        <f aca="false">IF(OR(AU74="",BH74="",AU74=0),"",(AU74-BH74)/AU74)</f>
        <v/>
      </c>
      <c r="BJ74" s="81"/>
      <c r="BK74" s="83"/>
      <c r="BL74" s="43" t="str">
        <f aca="false">IFERROR(INDEX(ЗАКАЗЫ!$N$3:$N$500,MATCH($A74,ЗАКАЗЫ!$F$3:$F$500,0)),"")</f>
        <v/>
      </c>
      <c r="BM74" s="8" t="str">
        <f aca="false">IF(BL74="","",IFERROR(VLOOKUP(BL74,'ТН ВЭД'!$A$4:$C$40,3,0),""))</f>
        <v/>
      </c>
      <c r="BN74" s="7" t="str">
        <f aca="false">IF(COUNTIF(ЗАКАЗЫ!$F$3:$F$500,$A74)=0,"",SUMIF(ЗАКАЗЫ!$F$3:$F$500,$A74,ЗАКАЗЫ!$J$3:$J$500))</f>
        <v/>
      </c>
      <c r="BO74" s="7" t="str">
        <f aca="false">IF(BN74="","",SUMIF(ЗАКАЗЫ!$F$3:$F$500,$A74,ЗАКАЗЫ!$AL$3:$AL$500))</f>
        <v/>
      </c>
      <c r="BP74" s="7" t="str">
        <f aca="false">IF(BN74="","",BN74-BO74)</f>
        <v/>
      </c>
      <c r="BQ74" s="55" t="str">
        <f aca="false">IF(BN74="","",IF(BO74&gt;=BN74,"На складе",IF(BO74&gt;0,"Частично","Ждём")))</f>
        <v/>
      </c>
      <c r="BR74" s="43"/>
      <c r="BS74" s="47" t="str">
        <f aca="false">IF(BN74="","",IF(_xlfn.MAXIFS(ЗАКАЗЫ!$AK$3:$AK$500,ЗАКАЗЫ!$F$3:$F$500,$A74)=0,"",_xlfn.MAXIFS(ЗАКАЗЫ!$AK$3:$AK$500,ЗАКАЗЫ!$F$3:$F$500,$A74)))</f>
        <v/>
      </c>
    </row>
    <row r="75" customFormat="false" ht="15.75" hidden="false" customHeight="true" outlineLevel="0" collapsed="false">
      <c r="A75" s="80" t="s">
        <v>2269</v>
      </c>
      <c r="B75" s="81"/>
      <c r="C75" s="81"/>
      <c r="D75" s="81"/>
      <c r="E75" s="83"/>
      <c r="F75" s="81"/>
      <c r="G75" s="83"/>
      <c r="H75" s="83"/>
      <c r="I75" s="84" t="str">
        <f aca="false">IF(E75="","",A75&amp;"_1.jpg")</f>
        <v/>
      </c>
      <c r="J75" s="84" t="str">
        <f aca="false">IF(E75="","",A75&amp;"_2.jpg; "&amp;A75&amp;"_3.jpg")</f>
        <v/>
      </c>
      <c r="K75" s="84" t="str">
        <f aca="false">IF(E75="","",A75&amp;"_schema.jpg")</f>
        <v/>
      </c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 t="s">
        <v>96</v>
      </c>
      <c r="W75" s="81"/>
      <c r="X75" s="81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6" t="str">
        <f aca="false">IF(SUM(Y75:AJ75)=0,"",SUM(Y75:AJ75))</f>
        <v/>
      </c>
      <c r="AL75" s="84" t="str">
        <f aca="false">MID(IF(N(Y75)&gt;0,", "&amp;Y$2,"")&amp;IF(N(Z75)&gt;0,", "&amp;Z$2,"")&amp;IF(N(AA75)&gt;0,", "&amp;AA$2,"")&amp;IF(N(AB75)&gt;0,", "&amp;AB$2,"")&amp;IF(N(AC75)&gt;0,", "&amp;AC$2,"")&amp;IF(N(AD75)&gt;0,", "&amp;AD$2,"")&amp;IF(N(AE75)&gt;0,", "&amp;AE$2,"")&amp;IF(N(AF75)&gt;0,", "&amp;AF$2,"")&amp;IF(N(AG75)&gt;0,", "&amp;AG$2,"")&amp;IF(N(AH75)&gt;0,", "&amp;AH$2,"")&amp;IF(N(AI75)&gt;0,", "&amp;AI$2,"")&amp;IF(N(AJ75)&gt;0,", "&amp;AJ$2,""),3,999)</f>
        <v/>
      </c>
      <c r="AM75" s="87" t="str">
        <f aca="false">IF(E75="","",MID(IF(N(Y75)&gt;0,", "&amp;A75&amp;"-"&amp;Y$2,"")&amp;IF(N(Z75)&gt;0,", "&amp;A75&amp;"-"&amp;Z$2,"")&amp;IF(N(AA75)&gt;0,", "&amp;A75&amp;"-"&amp;AA$2,"")&amp;IF(N(AB75)&gt;0,", "&amp;A75&amp;"-"&amp;AB$2,"")&amp;IF(N(AC75)&gt;0,", "&amp;A75&amp;"-"&amp;AC$2,"")&amp;IF(N(AD75)&gt;0,", "&amp;A75&amp;"-"&amp;AD$2,"")&amp;IF(N(AE75)&gt;0,", "&amp;A75&amp;"-"&amp;AE$2,"")&amp;IF(N(AF75)&gt;0,", "&amp;A75&amp;"-"&amp;AF$2,"")&amp;IF(N(AG75)&gt;0,", "&amp;A75&amp;"-"&amp;AG$2,"")&amp;IF(N(AH75)&gt;0,", "&amp;A75&amp;"-"&amp;AH$2,"")&amp;IF(N(AI75)&gt;0,", "&amp;A75&amp;"-"&amp;AI$2,"")&amp;IF(N(AJ75)&gt;0,", "&amp;A75&amp;"-"&amp;AJ$2,""),3,999))</f>
        <v/>
      </c>
      <c r="AN75" s="81"/>
      <c r="AO75" s="88"/>
      <c r="AP75" s="89" t="str">
        <f aca="false">IF(AO75="","",ROUND(AO75/(1+Справочники!$B$13),2))</f>
        <v/>
      </c>
      <c r="AQ75" s="90" t="str">
        <f aca="false" t="array" ref="AQ75:AQ75">IF(AP75="","",AP75*INDEX(Справочники!$B$4:$B$7,MATCH("RUB",Справочники!$A$4:$A$7,0)))</f>
        <v/>
      </c>
      <c r="AR75" s="90" t="str">
        <f aca="false">IF(AQ75="","",ROUND(AQ75*(1+Справочники!$B$12),0))</f>
        <v/>
      </c>
      <c r="AS75" s="90" t="str">
        <f aca="false">IF(AR75="","",ROUND(AR75*(1-Справочники!$B$11),0))</f>
        <v/>
      </c>
      <c r="AT75" s="88"/>
      <c r="AU75" s="90" t="str">
        <f aca="false">IF(AT75="","",ROUND(AT75/(1+Справочники!$B$12),0))</f>
        <v/>
      </c>
      <c r="AV75" s="90" t="str">
        <f aca="false">IF(AT75="","",ROUND(AT75*(1-Справочники!$B$15),0))</f>
        <v/>
      </c>
      <c r="AW75" s="90" t="str">
        <f aca="false">IF(AT75="","",ROUND(AT75*(1-Справочники!$B$16),0))</f>
        <v/>
      </c>
      <c r="AX75" s="90" t="str">
        <f aca="false">IF(AT75="","",ROUND(AT75*(1-Справочники!$B$17),0))</f>
        <v/>
      </c>
      <c r="AY75" s="90" t="str">
        <f aca="false">IF(AT75="","",ROUND(AT75*(1-Справочники!$B$18),0))</f>
        <v/>
      </c>
      <c r="AZ75" s="90" t="str">
        <f aca="false">IF(AT75="","",ROUND(AT75*(1-Справочники!$B$19),0))</f>
        <v/>
      </c>
      <c r="BA75" s="81"/>
      <c r="BB75" s="81"/>
      <c r="BC75" s="81"/>
      <c r="BD75" s="81"/>
      <c r="BE75" s="91"/>
      <c r="BF75" s="81" t="s">
        <v>103</v>
      </c>
      <c r="BG75" s="89" t="n">
        <f aca="false" t="array" ref="BG75:BG75">IF(BF75="","",IFERROR(INDEX(Справочники!$B$4:$B$7,MATCH(BF75,Справочники!$A$4:$A$7,0)),""))</f>
        <v>68.5</v>
      </c>
      <c r="BH75" s="90" t="str">
        <f aca="false">IF(N(BN75)&gt;0,ROUND(SUMIF(ЗАКАЗЫ!$F$3:$F$500,$A75,ЗАКАЗЫ!$Y$3:$Y$500)/BN75,0),IF(OR(BE75="",BG75=""),"",ROUND(BE75*BG75*(1+Справочники!$B$10),0)))</f>
        <v/>
      </c>
      <c r="BI75" s="92" t="str">
        <f aca="false">IF(OR(AU75="",BH75="",AU75=0),"",(AU75-BH75)/AU75)</f>
        <v/>
      </c>
      <c r="BJ75" s="81"/>
      <c r="BK75" s="83"/>
      <c r="BL75" s="43" t="str">
        <f aca="false">IFERROR(INDEX(ЗАКАЗЫ!$N$3:$N$500,MATCH($A75,ЗАКАЗЫ!$F$3:$F$500,0)),"")</f>
        <v/>
      </c>
      <c r="BM75" s="8" t="str">
        <f aca="false">IF(BL75="","",IFERROR(VLOOKUP(BL75,'ТН ВЭД'!$A$4:$C$40,3,0),""))</f>
        <v/>
      </c>
      <c r="BN75" s="7" t="str">
        <f aca="false">IF(COUNTIF(ЗАКАЗЫ!$F$3:$F$500,$A75)=0,"",SUMIF(ЗАКАЗЫ!$F$3:$F$500,$A75,ЗАКАЗЫ!$J$3:$J$500))</f>
        <v/>
      </c>
      <c r="BO75" s="7" t="str">
        <f aca="false">IF(BN75="","",SUMIF(ЗАКАЗЫ!$F$3:$F$500,$A75,ЗАКАЗЫ!$AL$3:$AL$500))</f>
        <v/>
      </c>
      <c r="BP75" s="7" t="str">
        <f aca="false">IF(BN75="","",BN75-BO75)</f>
        <v/>
      </c>
      <c r="BQ75" s="55" t="str">
        <f aca="false">IF(BN75="","",IF(BO75&gt;=BN75,"На складе",IF(BO75&gt;0,"Частично","Ждём")))</f>
        <v/>
      </c>
      <c r="BR75" s="43"/>
      <c r="BS75" s="47" t="str">
        <f aca="false">IF(BN75="","",IF(_xlfn.MAXIFS(ЗАКАЗЫ!$AK$3:$AK$500,ЗАКАЗЫ!$F$3:$F$500,$A75)=0,"",_xlfn.MAXIFS(ЗАКАЗЫ!$AK$3:$AK$500,ЗАКАЗЫ!$F$3:$F$500,$A75)))</f>
        <v/>
      </c>
    </row>
    <row r="76" customFormat="false" ht="15.75" hidden="false" customHeight="true" outlineLevel="0" collapsed="false">
      <c r="A76" s="80" t="s">
        <v>2270</v>
      </c>
      <c r="B76" s="81"/>
      <c r="C76" s="81"/>
      <c r="D76" s="81"/>
      <c r="E76" s="83"/>
      <c r="F76" s="81"/>
      <c r="G76" s="83"/>
      <c r="H76" s="83"/>
      <c r="I76" s="84" t="str">
        <f aca="false">IF(E76="","",A76&amp;"_1.jpg")</f>
        <v/>
      </c>
      <c r="J76" s="84" t="str">
        <f aca="false">IF(E76="","",A76&amp;"_2.jpg; "&amp;A76&amp;"_3.jpg")</f>
        <v/>
      </c>
      <c r="K76" s="84" t="str">
        <f aca="false">IF(E76="","",A76&amp;"_schema.jpg")</f>
        <v/>
      </c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 t="s">
        <v>96</v>
      </c>
      <c r="W76" s="81"/>
      <c r="X76" s="81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6" t="str">
        <f aca="false">IF(SUM(Y76:AJ76)=0,"",SUM(Y76:AJ76))</f>
        <v/>
      </c>
      <c r="AL76" s="84" t="str">
        <f aca="false">MID(IF(N(Y76)&gt;0,", "&amp;Y$2,"")&amp;IF(N(Z76)&gt;0,", "&amp;Z$2,"")&amp;IF(N(AA76)&gt;0,", "&amp;AA$2,"")&amp;IF(N(AB76)&gt;0,", "&amp;AB$2,"")&amp;IF(N(AC76)&gt;0,", "&amp;AC$2,"")&amp;IF(N(AD76)&gt;0,", "&amp;AD$2,"")&amp;IF(N(AE76)&gt;0,", "&amp;AE$2,"")&amp;IF(N(AF76)&gt;0,", "&amp;AF$2,"")&amp;IF(N(AG76)&gt;0,", "&amp;AG$2,"")&amp;IF(N(AH76)&gt;0,", "&amp;AH$2,"")&amp;IF(N(AI76)&gt;0,", "&amp;AI$2,"")&amp;IF(N(AJ76)&gt;0,", "&amp;AJ$2,""),3,999)</f>
        <v/>
      </c>
      <c r="AM76" s="87" t="str">
        <f aca="false">IF(E76="","",MID(IF(N(Y76)&gt;0,", "&amp;A76&amp;"-"&amp;Y$2,"")&amp;IF(N(Z76)&gt;0,", "&amp;A76&amp;"-"&amp;Z$2,"")&amp;IF(N(AA76)&gt;0,", "&amp;A76&amp;"-"&amp;AA$2,"")&amp;IF(N(AB76)&gt;0,", "&amp;A76&amp;"-"&amp;AB$2,"")&amp;IF(N(AC76)&gt;0,", "&amp;A76&amp;"-"&amp;AC$2,"")&amp;IF(N(AD76)&gt;0,", "&amp;A76&amp;"-"&amp;AD$2,"")&amp;IF(N(AE76)&gt;0,", "&amp;A76&amp;"-"&amp;AE$2,"")&amp;IF(N(AF76)&gt;0,", "&amp;A76&amp;"-"&amp;AF$2,"")&amp;IF(N(AG76)&gt;0,", "&amp;A76&amp;"-"&amp;AG$2,"")&amp;IF(N(AH76)&gt;0,", "&amp;A76&amp;"-"&amp;AH$2,"")&amp;IF(N(AI76)&gt;0,", "&amp;A76&amp;"-"&amp;AI$2,"")&amp;IF(N(AJ76)&gt;0,", "&amp;A76&amp;"-"&amp;AJ$2,""),3,999))</f>
        <v/>
      </c>
      <c r="AN76" s="81"/>
      <c r="AO76" s="88"/>
      <c r="AP76" s="89" t="str">
        <f aca="false">IF(AO76="","",ROUND(AO76/(1+Справочники!$B$13),2))</f>
        <v/>
      </c>
      <c r="AQ76" s="90" t="str">
        <f aca="false" t="array" ref="AQ76:AQ76">IF(AP76="","",AP76*INDEX(Справочники!$B$4:$B$7,MATCH("RUB",Справочники!$A$4:$A$7,0)))</f>
        <v/>
      </c>
      <c r="AR76" s="90" t="str">
        <f aca="false">IF(AQ76="","",ROUND(AQ76*(1+Справочники!$B$12),0))</f>
        <v/>
      </c>
      <c r="AS76" s="90" t="str">
        <f aca="false">IF(AR76="","",ROUND(AR76*(1-Справочники!$B$11),0))</f>
        <v/>
      </c>
      <c r="AT76" s="88"/>
      <c r="AU76" s="90" t="str">
        <f aca="false">IF(AT76="","",ROUND(AT76/(1+Справочники!$B$12),0))</f>
        <v/>
      </c>
      <c r="AV76" s="90" t="str">
        <f aca="false">IF(AT76="","",ROUND(AT76*(1-Справочники!$B$15),0))</f>
        <v/>
      </c>
      <c r="AW76" s="90" t="str">
        <f aca="false">IF(AT76="","",ROUND(AT76*(1-Справочники!$B$16),0))</f>
        <v/>
      </c>
      <c r="AX76" s="90" t="str">
        <f aca="false">IF(AT76="","",ROUND(AT76*(1-Справочники!$B$17),0))</f>
        <v/>
      </c>
      <c r="AY76" s="90" t="str">
        <f aca="false">IF(AT76="","",ROUND(AT76*(1-Справочники!$B$18),0))</f>
        <v/>
      </c>
      <c r="AZ76" s="90" t="str">
        <f aca="false">IF(AT76="","",ROUND(AT76*(1-Справочники!$B$19),0))</f>
        <v/>
      </c>
      <c r="BA76" s="81"/>
      <c r="BB76" s="81"/>
      <c r="BC76" s="81"/>
      <c r="BD76" s="81"/>
      <c r="BE76" s="91"/>
      <c r="BF76" s="81" t="s">
        <v>103</v>
      </c>
      <c r="BG76" s="89" t="n">
        <f aca="false" t="array" ref="BG76:BG76">IF(BF76="","",IFERROR(INDEX(Справочники!$B$4:$B$7,MATCH(BF76,Справочники!$A$4:$A$7,0)),""))</f>
        <v>68.5</v>
      </c>
      <c r="BH76" s="90" t="str">
        <f aca="false">IF(N(BN76)&gt;0,ROUND(SUMIF(ЗАКАЗЫ!$F$3:$F$500,$A76,ЗАКАЗЫ!$Y$3:$Y$500)/BN76,0),IF(OR(BE76="",BG76=""),"",ROUND(BE76*BG76*(1+Справочники!$B$10),0)))</f>
        <v/>
      </c>
      <c r="BI76" s="92" t="str">
        <f aca="false">IF(OR(AU76="",BH76="",AU76=0),"",(AU76-BH76)/AU76)</f>
        <v/>
      </c>
      <c r="BJ76" s="81"/>
      <c r="BK76" s="83"/>
      <c r="BL76" s="43" t="str">
        <f aca="false">IFERROR(INDEX(ЗАКАЗЫ!$N$3:$N$500,MATCH($A76,ЗАКАЗЫ!$F$3:$F$500,0)),"")</f>
        <v/>
      </c>
      <c r="BM76" s="8" t="str">
        <f aca="false">IF(BL76="","",IFERROR(VLOOKUP(BL76,'ТН ВЭД'!$A$4:$C$40,3,0),""))</f>
        <v/>
      </c>
      <c r="BN76" s="7" t="str">
        <f aca="false">IF(COUNTIF(ЗАКАЗЫ!$F$3:$F$500,$A76)=0,"",SUMIF(ЗАКАЗЫ!$F$3:$F$500,$A76,ЗАКАЗЫ!$J$3:$J$500))</f>
        <v/>
      </c>
      <c r="BO76" s="7" t="str">
        <f aca="false">IF(BN76="","",SUMIF(ЗАКАЗЫ!$F$3:$F$500,$A76,ЗАКАЗЫ!$AL$3:$AL$500))</f>
        <v/>
      </c>
      <c r="BP76" s="7" t="str">
        <f aca="false">IF(BN76="","",BN76-BO76)</f>
        <v/>
      </c>
      <c r="BQ76" s="55" t="str">
        <f aca="false">IF(BN76="","",IF(BO76&gt;=BN76,"На складе",IF(BO76&gt;0,"Частично","Ждём")))</f>
        <v/>
      </c>
      <c r="BR76" s="43"/>
      <c r="BS76" s="47" t="str">
        <f aca="false">IF(BN76="","",IF(_xlfn.MAXIFS(ЗАКАЗЫ!$AK$3:$AK$500,ЗАКАЗЫ!$F$3:$F$500,$A76)=0,"",_xlfn.MAXIFS(ЗАКАЗЫ!$AK$3:$AK$500,ЗАКАЗЫ!$F$3:$F$500,$A76)))</f>
        <v/>
      </c>
    </row>
    <row r="77" customFormat="false" ht="15.75" hidden="false" customHeight="true" outlineLevel="0" collapsed="false">
      <c r="A77" s="80" t="s">
        <v>2271</v>
      </c>
      <c r="B77" s="81"/>
      <c r="C77" s="81"/>
      <c r="D77" s="81"/>
      <c r="E77" s="83"/>
      <c r="F77" s="81"/>
      <c r="G77" s="83"/>
      <c r="H77" s="83"/>
      <c r="I77" s="84" t="str">
        <f aca="false">IF(E77="","",A77&amp;"_1.jpg")</f>
        <v/>
      </c>
      <c r="J77" s="84" t="str">
        <f aca="false">IF(E77="","",A77&amp;"_2.jpg; "&amp;A77&amp;"_3.jpg")</f>
        <v/>
      </c>
      <c r="K77" s="84" t="str">
        <f aca="false">IF(E77="","",A77&amp;"_schema.jpg")</f>
        <v/>
      </c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 t="s">
        <v>96</v>
      </c>
      <c r="W77" s="81"/>
      <c r="X77" s="81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6" t="str">
        <f aca="false">IF(SUM(Y77:AJ77)=0,"",SUM(Y77:AJ77))</f>
        <v/>
      </c>
      <c r="AL77" s="84" t="str">
        <f aca="false">MID(IF(N(Y77)&gt;0,", "&amp;Y$2,"")&amp;IF(N(Z77)&gt;0,", "&amp;Z$2,"")&amp;IF(N(AA77)&gt;0,", "&amp;AA$2,"")&amp;IF(N(AB77)&gt;0,", "&amp;AB$2,"")&amp;IF(N(AC77)&gt;0,", "&amp;AC$2,"")&amp;IF(N(AD77)&gt;0,", "&amp;AD$2,"")&amp;IF(N(AE77)&gt;0,", "&amp;AE$2,"")&amp;IF(N(AF77)&gt;0,", "&amp;AF$2,"")&amp;IF(N(AG77)&gt;0,", "&amp;AG$2,"")&amp;IF(N(AH77)&gt;0,", "&amp;AH$2,"")&amp;IF(N(AI77)&gt;0,", "&amp;AI$2,"")&amp;IF(N(AJ77)&gt;0,", "&amp;AJ$2,""),3,999)</f>
        <v/>
      </c>
      <c r="AM77" s="87" t="str">
        <f aca="false">IF(E77="","",MID(IF(N(Y77)&gt;0,", "&amp;A77&amp;"-"&amp;Y$2,"")&amp;IF(N(Z77)&gt;0,", "&amp;A77&amp;"-"&amp;Z$2,"")&amp;IF(N(AA77)&gt;0,", "&amp;A77&amp;"-"&amp;AA$2,"")&amp;IF(N(AB77)&gt;0,", "&amp;A77&amp;"-"&amp;AB$2,"")&amp;IF(N(AC77)&gt;0,", "&amp;A77&amp;"-"&amp;AC$2,"")&amp;IF(N(AD77)&gt;0,", "&amp;A77&amp;"-"&amp;AD$2,"")&amp;IF(N(AE77)&gt;0,", "&amp;A77&amp;"-"&amp;AE$2,"")&amp;IF(N(AF77)&gt;0,", "&amp;A77&amp;"-"&amp;AF$2,"")&amp;IF(N(AG77)&gt;0,", "&amp;A77&amp;"-"&amp;AG$2,"")&amp;IF(N(AH77)&gt;0,", "&amp;A77&amp;"-"&amp;AH$2,"")&amp;IF(N(AI77)&gt;0,", "&amp;A77&amp;"-"&amp;AI$2,"")&amp;IF(N(AJ77)&gt;0,", "&amp;A77&amp;"-"&amp;AJ$2,""),3,999))</f>
        <v/>
      </c>
      <c r="AN77" s="81"/>
      <c r="AO77" s="88"/>
      <c r="AP77" s="89" t="str">
        <f aca="false">IF(AO77="","",ROUND(AO77/(1+Справочники!$B$13),2))</f>
        <v/>
      </c>
      <c r="AQ77" s="90" t="str">
        <f aca="false" t="array" ref="AQ77:AQ77">IF(AP77="","",AP77*INDEX(Справочники!$B$4:$B$7,MATCH("RUB",Справочники!$A$4:$A$7,0)))</f>
        <v/>
      </c>
      <c r="AR77" s="90" t="str">
        <f aca="false">IF(AQ77="","",ROUND(AQ77*(1+Справочники!$B$12),0))</f>
        <v/>
      </c>
      <c r="AS77" s="90" t="str">
        <f aca="false">IF(AR77="","",ROUND(AR77*(1-Справочники!$B$11),0))</f>
        <v/>
      </c>
      <c r="AT77" s="88"/>
      <c r="AU77" s="90" t="str">
        <f aca="false">IF(AT77="","",ROUND(AT77/(1+Справочники!$B$12),0))</f>
        <v/>
      </c>
      <c r="AV77" s="90" t="str">
        <f aca="false">IF(AT77="","",ROUND(AT77*(1-Справочники!$B$15),0))</f>
        <v/>
      </c>
      <c r="AW77" s="90" t="str">
        <f aca="false">IF(AT77="","",ROUND(AT77*(1-Справочники!$B$16),0))</f>
        <v/>
      </c>
      <c r="AX77" s="90" t="str">
        <f aca="false">IF(AT77="","",ROUND(AT77*(1-Справочники!$B$17),0))</f>
        <v/>
      </c>
      <c r="AY77" s="90" t="str">
        <f aca="false">IF(AT77="","",ROUND(AT77*(1-Справочники!$B$18),0))</f>
        <v/>
      </c>
      <c r="AZ77" s="90" t="str">
        <f aca="false">IF(AT77="","",ROUND(AT77*(1-Справочники!$B$19),0))</f>
        <v/>
      </c>
      <c r="BA77" s="81"/>
      <c r="BB77" s="81"/>
      <c r="BC77" s="81"/>
      <c r="BD77" s="81"/>
      <c r="BE77" s="91"/>
      <c r="BF77" s="81" t="s">
        <v>103</v>
      </c>
      <c r="BG77" s="89" t="n">
        <f aca="false" t="array" ref="BG77:BG77">IF(BF77="","",IFERROR(INDEX(Справочники!$B$4:$B$7,MATCH(BF77,Справочники!$A$4:$A$7,0)),""))</f>
        <v>68.5</v>
      </c>
      <c r="BH77" s="90" t="str">
        <f aca="false">IF(N(BN77)&gt;0,ROUND(SUMIF(ЗАКАЗЫ!$F$3:$F$500,$A77,ЗАКАЗЫ!$Y$3:$Y$500)/BN77,0),IF(OR(BE77="",BG77=""),"",ROUND(BE77*BG77*(1+Справочники!$B$10),0)))</f>
        <v/>
      </c>
      <c r="BI77" s="92" t="str">
        <f aca="false">IF(OR(AU77="",BH77="",AU77=0),"",(AU77-BH77)/AU77)</f>
        <v/>
      </c>
      <c r="BJ77" s="81"/>
      <c r="BK77" s="83"/>
      <c r="BL77" s="43" t="str">
        <f aca="false">IFERROR(INDEX(ЗАКАЗЫ!$N$3:$N$500,MATCH($A77,ЗАКАЗЫ!$F$3:$F$500,0)),"")</f>
        <v/>
      </c>
      <c r="BM77" s="8" t="str">
        <f aca="false">IF(BL77="","",IFERROR(VLOOKUP(BL77,'ТН ВЭД'!$A$4:$C$40,3,0),""))</f>
        <v/>
      </c>
      <c r="BN77" s="7" t="str">
        <f aca="false">IF(COUNTIF(ЗАКАЗЫ!$F$3:$F$500,$A77)=0,"",SUMIF(ЗАКАЗЫ!$F$3:$F$500,$A77,ЗАКАЗЫ!$J$3:$J$500))</f>
        <v/>
      </c>
      <c r="BO77" s="7" t="str">
        <f aca="false">IF(BN77="","",SUMIF(ЗАКАЗЫ!$F$3:$F$500,$A77,ЗАКАЗЫ!$AL$3:$AL$500))</f>
        <v/>
      </c>
      <c r="BP77" s="7" t="str">
        <f aca="false">IF(BN77="","",BN77-BO77)</f>
        <v/>
      </c>
      <c r="BQ77" s="55" t="str">
        <f aca="false">IF(BN77="","",IF(BO77&gt;=BN77,"На складе",IF(BO77&gt;0,"Частично","Ждём")))</f>
        <v/>
      </c>
      <c r="BR77" s="43"/>
      <c r="BS77" s="47" t="str">
        <f aca="false">IF(BN77="","",IF(_xlfn.MAXIFS(ЗАКАЗЫ!$AK$3:$AK$500,ЗАКАЗЫ!$F$3:$F$500,$A77)=0,"",_xlfn.MAXIFS(ЗАКАЗЫ!$AK$3:$AK$500,ЗАКАЗЫ!$F$3:$F$500,$A77)))</f>
        <v/>
      </c>
    </row>
    <row r="78" customFormat="false" ht="15.75" hidden="false" customHeight="true" outlineLevel="0" collapsed="false">
      <c r="A78" s="80" t="s">
        <v>2272</v>
      </c>
      <c r="B78" s="81"/>
      <c r="C78" s="81"/>
      <c r="D78" s="81"/>
      <c r="E78" s="83"/>
      <c r="F78" s="81"/>
      <c r="G78" s="83"/>
      <c r="H78" s="83"/>
      <c r="I78" s="84" t="str">
        <f aca="false">IF(E78="","",A78&amp;"_1.jpg")</f>
        <v/>
      </c>
      <c r="J78" s="84" t="str">
        <f aca="false">IF(E78="","",A78&amp;"_2.jpg; "&amp;A78&amp;"_3.jpg")</f>
        <v/>
      </c>
      <c r="K78" s="84" t="str">
        <f aca="false">IF(E78="","",A78&amp;"_schema.jpg")</f>
        <v/>
      </c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 t="s">
        <v>96</v>
      </c>
      <c r="W78" s="81"/>
      <c r="X78" s="81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6" t="str">
        <f aca="false">IF(SUM(Y78:AJ78)=0,"",SUM(Y78:AJ78))</f>
        <v/>
      </c>
      <c r="AL78" s="84" t="str">
        <f aca="false">MID(IF(N(Y78)&gt;0,", "&amp;Y$2,"")&amp;IF(N(Z78)&gt;0,", "&amp;Z$2,"")&amp;IF(N(AA78)&gt;0,", "&amp;AA$2,"")&amp;IF(N(AB78)&gt;0,", "&amp;AB$2,"")&amp;IF(N(AC78)&gt;0,", "&amp;AC$2,"")&amp;IF(N(AD78)&gt;0,", "&amp;AD$2,"")&amp;IF(N(AE78)&gt;0,", "&amp;AE$2,"")&amp;IF(N(AF78)&gt;0,", "&amp;AF$2,"")&amp;IF(N(AG78)&gt;0,", "&amp;AG$2,"")&amp;IF(N(AH78)&gt;0,", "&amp;AH$2,"")&amp;IF(N(AI78)&gt;0,", "&amp;AI$2,"")&amp;IF(N(AJ78)&gt;0,", "&amp;AJ$2,""),3,999)</f>
        <v/>
      </c>
      <c r="AM78" s="87" t="str">
        <f aca="false">IF(E78="","",MID(IF(N(Y78)&gt;0,", "&amp;A78&amp;"-"&amp;Y$2,"")&amp;IF(N(Z78)&gt;0,", "&amp;A78&amp;"-"&amp;Z$2,"")&amp;IF(N(AA78)&gt;0,", "&amp;A78&amp;"-"&amp;AA$2,"")&amp;IF(N(AB78)&gt;0,", "&amp;A78&amp;"-"&amp;AB$2,"")&amp;IF(N(AC78)&gt;0,", "&amp;A78&amp;"-"&amp;AC$2,"")&amp;IF(N(AD78)&gt;0,", "&amp;A78&amp;"-"&amp;AD$2,"")&amp;IF(N(AE78)&gt;0,", "&amp;A78&amp;"-"&amp;AE$2,"")&amp;IF(N(AF78)&gt;0,", "&amp;A78&amp;"-"&amp;AF$2,"")&amp;IF(N(AG78)&gt;0,", "&amp;A78&amp;"-"&amp;AG$2,"")&amp;IF(N(AH78)&gt;0,", "&amp;A78&amp;"-"&amp;AH$2,"")&amp;IF(N(AI78)&gt;0,", "&amp;A78&amp;"-"&amp;AI$2,"")&amp;IF(N(AJ78)&gt;0,", "&amp;A78&amp;"-"&amp;AJ$2,""),3,999))</f>
        <v/>
      </c>
      <c r="AN78" s="81"/>
      <c r="AO78" s="88"/>
      <c r="AP78" s="89" t="str">
        <f aca="false">IF(AO78="","",ROUND(AO78/(1+Справочники!$B$13),2))</f>
        <v/>
      </c>
      <c r="AQ78" s="90" t="str">
        <f aca="false" t="array" ref="AQ78:AQ78">IF(AP78="","",AP78*INDEX(Справочники!$B$4:$B$7,MATCH("RUB",Справочники!$A$4:$A$7,0)))</f>
        <v/>
      </c>
      <c r="AR78" s="90" t="str">
        <f aca="false">IF(AQ78="","",ROUND(AQ78*(1+Справочники!$B$12),0))</f>
        <v/>
      </c>
      <c r="AS78" s="90" t="str">
        <f aca="false">IF(AR78="","",ROUND(AR78*(1-Справочники!$B$11),0))</f>
        <v/>
      </c>
      <c r="AT78" s="88"/>
      <c r="AU78" s="90" t="str">
        <f aca="false">IF(AT78="","",ROUND(AT78/(1+Справочники!$B$12),0))</f>
        <v/>
      </c>
      <c r="AV78" s="90" t="str">
        <f aca="false">IF(AT78="","",ROUND(AT78*(1-Справочники!$B$15),0))</f>
        <v/>
      </c>
      <c r="AW78" s="90" t="str">
        <f aca="false">IF(AT78="","",ROUND(AT78*(1-Справочники!$B$16),0))</f>
        <v/>
      </c>
      <c r="AX78" s="90" t="str">
        <f aca="false">IF(AT78="","",ROUND(AT78*(1-Справочники!$B$17),0))</f>
        <v/>
      </c>
      <c r="AY78" s="90" t="str">
        <f aca="false">IF(AT78="","",ROUND(AT78*(1-Справочники!$B$18),0))</f>
        <v/>
      </c>
      <c r="AZ78" s="90" t="str">
        <f aca="false">IF(AT78="","",ROUND(AT78*(1-Справочники!$B$19),0))</f>
        <v/>
      </c>
      <c r="BA78" s="81"/>
      <c r="BB78" s="81"/>
      <c r="BC78" s="81"/>
      <c r="BD78" s="81"/>
      <c r="BE78" s="91"/>
      <c r="BF78" s="81" t="s">
        <v>103</v>
      </c>
      <c r="BG78" s="89" t="n">
        <f aca="false" t="array" ref="BG78:BG78">IF(BF78="","",IFERROR(INDEX(Справочники!$B$4:$B$7,MATCH(BF78,Справочники!$A$4:$A$7,0)),""))</f>
        <v>68.5</v>
      </c>
      <c r="BH78" s="90" t="str">
        <f aca="false">IF(N(BN78)&gt;0,ROUND(SUMIF(ЗАКАЗЫ!$F$3:$F$500,$A78,ЗАКАЗЫ!$Y$3:$Y$500)/BN78,0),IF(OR(BE78="",BG78=""),"",ROUND(BE78*BG78*(1+Справочники!$B$10),0)))</f>
        <v/>
      </c>
      <c r="BI78" s="92" t="str">
        <f aca="false">IF(OR(AU78="",BH78="",AU78=0),"",(AU78-BH78)/AU78)</f>
        <v/>
      </c>
      <c r="BJ78" s="81"/>
      <c r="BK78" s="83"/>
      <c r="BL78" s="43" t="str">
        <f aca="false">IFERROR(INDEX(ЗАКАЗЫ!$N$3:$N$500,MATCH($A78,ЗАКАЗЫ!$F$3:$F$500,0)),"")</f>
        <v/>
      </c>
      <c r="BM78" s="8" t="str">
        <f aca="false">IF(BL78="","",IFERROR(VLOOKUP(BL78,'ТН ВЭД'!$A$4:$C$40,3,0),""))</f>
        <v/>
      </c>
      <c r="BN78" s="7" t="str">
        <f aca="false">IF(COUNTIF(ЗАКАЗЫ!$F$3:$F$500,$A78)=0,"",SUMIF(ЗАКАЗЫ!$F$3:$F$500,$A78,ЗАКАЗЫ!$J$3:$J$500))</f>
        <v/>
      </c>
      <c r="BO78" s="7" t="str">
        <f aca="false">IF(BN78="","",SUMIF(ЗАКАЗЫ!$F$3:$F$500,$A78,ЗАКАЗЫ!$AL$3:$AL$500))</f>
        <v/>
      </c>
      <c r="BP78" s="7" t="str">
        <f aca="false">IF(BN78="","",BN78-BO78)</f>
        <v/>
      </c>
      <c r="BQ78" s="55" t="str">
        <f aca="false">IF(BN78="","",IF(BO78&gt;=BN78,"На складе",IF(BO78&gt;0,"Частично","Ждём")))</f>
        <v/>
      </c>
      <c r="BR78" s="43"/>
      <c r="BS78" s="47" t="str">
        <f aca="false">IF(BN78="","",IF(_xlfn.MAXIFS(ЗАКАЗЫ!$AK$3:$AK$500,ЗАКАЗЫ!$F$3:$F$500,$A78)=0,"",_xlfn.MAXIFS(ЗАКАЗЫ!$AK$3:$AK$500,ЗАКАЗЫ!$F$3:$F$500,$A78)))</f>
        <v/>
      </c>
    </row>
    <row r="79" customFormat="false" ht="15.75" hidden="false" customHeight="true" outlineLevel="0" collapsed="false">
      <c r="A79" s="80" t="s">
        <v>2273</v>
      </c>
      <c r="B79" s="81"/>
      <c r="C79" s="81"/>
      <c r="D79" s="81"/>
      <c r="E79" s="83"/>
      <c r="F79" s="81"/>
      <c r="G79" s="83"/>
      <c r="H79" s="83"/>
      <c r="I79" s="84" t="str">
        <f aca="false">IF(E79="","",A79&amp;"_1.jpg")</f>
        <v/>
      </c>
      <c r="J79" s="84" t="str">
        <f aca="false">IF(E79="","",A79&amp;"_2.jpg; "&amp;A79&amp;"_3.jpg")</f>
        <v/>
      </c>
      <c r="K79" s="84" t="str">
        <f aca="false">IF(E79="","",A79&amp;"_schema.jpg")</f>
        <v/>
      </c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 t="s">
        <v>96</v>
      </c>
      <c r="W79" s="81"/>
      <c r="X79" s="81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6" t="str">
        <f aca="false">IF(SUM(Y79:AJ79)=0,"",SUM(Y79:AJ79))</f>
        <v/>
      </c>
      <c r="AL79" s="84" t="str">
        <f aca="false">MID(IF(N(Y79)&gt;0,", "&amp;Y$2,"")&amp;IF(N(Z79)&gt;0,", "&amp;Z$2,"")&amp;IF(N(AA79)&gt;0,", "&amp;AA$2,"")&amp;IF(N(AB79)&gt;0,", "&amp;AB$2,"")&amp;IF(N(AC79)&gt;0,", "&amp;AC$2,"")&amp;IF(N(AD79)&gt;0,", "&amp;AD$2,"")&amp;IF(N(AE79)&gt;0,", "&amp;AE$2,"")&amp;IF(N(AF79)&gt;0,", "&amp;AF$2,"")&amp;IF(N(AG79)&gt;0,", "&amp;AG$2,"")&amp;IF(N(AH79)&gt;0,", "&amp;AH$2,"")&amp;IF(N(AI79)&gt;0,", "&amp;AI$2,"")&amp;IF(N(AJ79)&gt;0,", "&amp;AJ$2,""),3,999)</f>
        <v/>
      </c>
      <c r="AM79" s="87" t="str">
        <f aca="false">IF(E79="","",MID(IF(N(Y79)&gt;0,", "&amp;A79&amp;"-"&amp;Y$2,"")&amp;IF(N(Z79)&gt;0,", "&amp;A79&amp;"-"&amp;Z$2,"")&amp;IF(N(AA79)&gt;0,", "&amp;A79&amp;"-"&amp;AA$2,"")&amp;IF(N(AB79)&gt;0,", "&amp;A79&amp;"-"&amp;AB$2,"")&amp;IF(N(AC79)&gt;0,", "&amp;A79&amp;"-"&amp;AC$2,"")&amp;IF(N(AD79)&gt;0,", "&amp;A79&amp;"-"&amp;AD$2,"")&amp;IF(N(AE79)&gt;0,", "&amp;A79&amp;"-"&amp;AE$2,"")&amp;IF(N(AF79)&gt;0,", "&amp;A79&amp;"-"&amp;AF$2,"")&amp;IF(N(AG79)&gt;0,", "&amp;A79&amp;"-"&amp;AG$2,"")&amp;IF(N(AH79)&gt;0,", "&amp;A79&amp;"-"&amp;AH$2,"")&amp;IF(N(AI79)&gt;0,", "&amp;A79&amp;"-"&amp;AI$2,"")&amp;IF(N(AJ79)&gt;0,", "&amp;A79&amp;"-"&amp;AJ$2,""),3,999))</f>
        <v/>
      </c>
      <c r="AN79" s="81"/>
      <c r="AO79" s="88"/>
      <c r="AP79" s="89" t="str">
        <f aca="false">IF(AO79="","",ROUND(AO79/(1+Справочники!$B$13),2))</f>
        <v/>
      </c>
      <c r="AQ79" s="90" t="str">
        <f aca="false" t="array" ref="AQ79:AQ79">IF(AP79="","",AP79*INDEX(Справочники!$B$4:$B$7,MATCH("RUB",Справочники!$A$4:$A$7,0)))</f>
        <v/>
      </c>
      <c r="AR79" s="90" t="str">
        <f aca="false">IF(AQ79="","",ROUND(AQ79*(1+Справочники!$B$12),0))</f>
        <v/>
      </c>
      <c r="AS79" s="90" t="str">
        <f aca="false">IF(AR79="","",ROUND(AR79*(1-Справочники!$B$11),0))</f>
        <v/>
      </c>
      <c r="AT79" s="88"/>
      <c r="AU79" s="90" t="str">
        <f aca="false">IF(AT79="","",ROUND(AT79/(1+Справочники!$B$12),0))</f>
        <v/>
      </c>
      <c r="AV79" s="90" t="str">
        <f aca="false">IF(AT79="","",ROUND(AT79*(1-Справочники!$B$15),0))</f>
        <v/>
      </c>
      <c r="AW79" s="90" t="str">
        <f aca="false">IF(AT79="","",ROUND(AT79*(1-Справочники!$B$16),0))</f>
        <v/>
      </c>
      <c r="AX79" s="90" t="str">
        <f aca="false">IF(AT79="","",ROUND(AT79*(1-Справочники!$B$17),0))</f>
        <v/>
      </c>
      <c r="AY79" s="90" t="str">
        <f aca="false">IF(AT79="","",ROUND(AT79*(1-Справочники!$B$18),0))</f>
        <v/>
      </c>
      <c r="AZ79" s="90" t="str">
        <f aca="false">IF(AT79="","",ROUND(AT79*(1-Справочники!$B$19),0))</f>
        <v/>
      </c>
      <c r="BA79" s="81"/>
      <c r="BB79" s="81"/>
      <c r="BC79" s="81"/>
      <c r="BD79" s="81"/>
      <c r="BE79" s="91"/>
      <c r="BF79" s="81" t="s">
        <v>103</v>
      </c>
      <c r="BG79" s="89" t="n">
        <f aca="false" t="array" ref="BG79:BG79">IF(BF79="","",IFERROR(INDEX(Справочники!$B$4:$B$7,MATCH(BF79,Справочники!$A$4:$A$7,0)),""))</f>
        <v>68.5</v>
      </c>
      <c r="BH79" s="90" t="str">
        <f aca="false">IF(N(BN79)&gt;0,ROUND(SUMIF(ЗАКАЗЫ!$F$3:$F$500,$A79,ЗАКАЗЫ!$Y$3:$Y$500)/BN79,0),IF(OR(BE79="",BG79=""),"",ROUND(BE79*BG79*(1+Справочники!$B$10),0)))</f>
        <v/>
      </c>
      <c r="BI79" s="92" t="str">
        <f aca="false">IF(OR(AU79="",BH79="",AU79=0),"",(AU79-BH79)/AU79)</f>
        <v/>
      </c>
      <c r="BJ79" s="81"/>
      <c r="BK79" s="83"/>
      <c r="BL79" s="43" t="str">
        <f aca="false">IFERROR(INDEX(ЗАКАЗЫ!$N$3:$N$500,MATCH($A79,ЗАКАЗЫ!$F$3:$F$500,0)),"")</f>
        <v/>
      </c>
      <c r="BM79" s="8" t="str">
        <f aca="false">IF(BL79="","",IFERROR(VLOOKUP(BL79,'ТН ВЭД'!$A$4:$C$40,3,0),""))</f>
        <v/>
      </c>
      <c r="BN79" s="7" t="str">
        <f aca="false">IF(COUNTIF(ЗАКАЗЫ!$F$3:$F$500,$A79)=0,"",SUMIF(ЗАКАЗЫ!$F$3:$F$500,$A79,ЗАКАЗЫ!$J$3:$J$500))</f>
        <v/>
      </c>
      <c r="BO79" s="7" t="str">
        <f aca="false">IF(BN79="","",SUMIF(ЗАКАЗЫ!$F$3:$F$500,$A79,ЗАКАЗЫ!$AL$3:$AL$500))</f>
        <v/>
      </c>
      <c r="BP79" s="7" t="str">
        <f aca="false">IF(BN79="","",BN79-BO79)</f>
        <v/>
      </c>
      <c r="BQ79" s="55" t="str">
        <f aca="false">IF(BN79="","",IF(BO79&gt;=BN79,"На складе",IF(BO79&gt;0,"Частично","Ждём")))</f>
        <v/>
      </c>
      <c r="BR79" s="43"/>
      <c r="BS79" s="47" t="str">
        <f aca="false">IF(BN79="","",IF(_xlfn.MAXIFS(ЗАКАЗЫ!$AK$3:$AK$500,ЗАКАЗЫ!$F$3:$F$500,$A79)=0,"",_xlfn.MAXIFS(ЗАКАЗЫ!$AK$3:$AK$500,ЗАКАЗЫ!$F$3:$F$500,$A79)))</f>
        <v/>
      </c>
    </row>
    <row r="80" customFormat="false" ht="15.75" hidden="false" customHeight="true" outlineLevel="0" collapsed="false">
      <c r="A80" s="80" t="s">
        <v>2274</v>
      </c>
      <c r="B80" s="81"/>
      <c r="C80" s="81"/>
      <c r="D80" s="81"/>
      <c r="E80" s="83"/>
      <c r="F80" s="81"/>
      <c r="G80" s="83"/>
      <c r="H80" s="83"/>
      <c r="I80" s="84" t="str">
        <f aca="false">IF(E80="","",A80&amp;"_1.jpg")</f>
        <v/>
      </c>
      <c r="J80" s="84" t="str">
        <f aca="false">IF(E80="","",A80&amp;"_2.jpg; "&amp;A80&amp;"_3.jpg")</f>
        <v/>
      </c>
      <c r="K80" s="84" t="str">
        <f aca="false">IF(E80="","",A80&amp;"_schema.jpg")</f>
        <v/>
      </c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 t="s">
        <v>96</v>
      </c>
      <c r="W80" s="81"/>
      <c r="X80" s="81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6" t="str">
        <f aca="false">IF(SUM(Y80:AJ80)=0,"",SUM(Y80:AJ80))</f>
        <v/>
      </c>
      <c r="AL80" s="84" t="str">
        <f aca="false">MID(IF(N(Y80)&gt;0,", "&amp;Y$2,"")&amp;IF(N(Z80)&gt;0,", "&amp;Z$2,"")&amp;IF(N(AA80)&gt;0,", "&amp;AA$2,"")&amp;IF(N(AB80)&gt;0,", "&amp;AB$2,"")&amp;IF(N(AC80)&gt;0,", "&amp;AC$2,"")&amp;IF(N(AD80)&gt;0,", "&amp;AD$2,"")&amp;IF(N(AE80)&gt;0,", "&amp;AE$2,"")&amp;IF(N(AF80)&gt;0,", "&amp;AF$2,"")&amp;IF(N(AG80)&gt;0,", "&amp;AG$2,"")&amp;IF(N(AH80)&gt;0,", "&amp;AH$2,"")&amp;IF(N(AI80)&gt;0,", "&amp;AI$2,"")&amp;IF(N(AJ80)&gt;0,", "&amp;AJ$2,""),3,999)</f>
        <v/>
      </c>
      <c r="AM80" s="87" t="str">
        <f aca="false">IF(E80="","",MID(IF(N(Y80)&gt;0,", "&amp;A80&amp;"-"&amp;Y$2,"")&amp;IF(N(Z80)&gt;0,", "&amp;A80&amp;"-"&amp;Z$2,"")&amp;IF(N(AA80)&gt;0,", "&amp;A80&amp;"-"&amp;AA$2,"")&amp;IF(N(AB80)&gt;0,", "&amp;A80&amp;"-"&amp;AB$2,"")&amp;IF(N(AC80)&gt;0,", "&amp;A80&amp;"-"&amp;AC$2,"")&amp;IF(N(AD80)&gt;0,", "&amp;A80&amp;"-"&amp;AD$2,"")&amp;IF(N(AE80)&gt;0,", "&amp;A80&amp;"-"&amp;AE$2,"")&amp;IF(N(AF80)&gt;0,", "&amp;A80&amp;"-"&amp;AF$2,"")&amp;IF(N(AG80)&gt;0,", "&amp;A80&amp;"-"&amp;AG$2,"")&amp;IF(N(AH80)&gt;0,", "&amp;A80&amp;"-"&amp;AH$2,"")&amp;IF(N(AI80)&gt;0,", "&amp;A80&amp;"-"&amp;AI$2,"")&amp;IF(N(AJ80)&gt;0,", "&amp;A80&amp;"-"&amp;AJ$2,""),3,999))</f>
        <v/>
      </c>
      <c r="AN80" s="81"/>
      <c r="AO80" s="88"/>
      <c r="AP80" s="89" t="str">
        <f aca="false">IF(AO80="","",ROUND(AO80/(1+Справочники!$B$13),2))</f>
        <v/>
      </c>
      <c r="AQ80" s="90" t="str">
        <f aca="false" t="array" ref="AQ80:AQ80">IF(AP80="","",AP80*INDEX(Справочники!$B$4:$B$7,MATCH("RUB",Справочники!$A$4:$A$7,0)))</f>
        <v/>
      </c>
      <c r="AR80" s="90" t="str">
        <f aca="false">IF(AQ80="","",ROUND(AQ80*(1+Справочники!$B$12),0))</f>
        <v/>
      </c>
      <c r="AS80" s="90" t="str">
        <f aca="false">IF(AR80="","",ROUND(AR80*(1-Справочники!$B$11),0))</f>
        <v/>
      </c>
      <c r="AT80" s="88"/>
      <c r="AU80" s="90" t="str">
        <f aca="false">IF(AT80="","",ROUND(AT80/(1+Справочники!$B$12),0))</f>
        <v/>
      </c>
      <c r="AV80" s="90" t="str">
        <f aca="false">IF(AT80="","",ROUND(AT80*(1-Справочники!$B$15),0))</f>
        <v/>
      </c>
      <c r="AW80" s="90" t="str">
        <f aca="false">IF(AT80="","",ROUND(AT80*(1-Справочники!$B$16),0))</f>
        <v/>
      </c>
      <c r="AX80" s="90" t="str">
        <f aca="false">IF(AT80="","",ROUND(AT80*(1-Справочники!$B$17),0))</f>
        <v/>
      </c>
      <c r="AY80" s="90" t="str">
        <f aca="false">IF(AT80="","",ROUND(AT80*(1-Справочники!$B$18),0))</f>
        <v/>
      </c>
      <c r="AZ80" s="90" t="str">
        <f aca="false">IF(AT80="","",ROUND(AT80*(1-Справочники!$B$19),0))</f>
        <v/>
      </c>
      <c r="BA80" s="81"/>
      <c r="BB80" s="81"/>
      <c r="BC80" s="81"/>
      <c r="BD80" s="81"/>
      <c r="BE80" s="91"/>
      <c r="BF80" s="81" t="s">
        <v>103</v>
      </c>
      <c r="BG80" s="89" t="n">
        <f aca="false" t="array" ref="BG80:BG80">IF(BF80="","",IFERROR(INDEX(Справочники!$B$4:$B$7,MATCH(BF80,Справочники!$A$4:$A$7,0)),""))</f>
        <v>68.5</v>
      </c>
      <c r="BH80" s="90" t="str">
        <f aca="false">IF(N(BN80)&gt;0,ROUND(SUMIF(ЗАКАЗЫ!$F$3:$F$500,$A80,ЗАКАЗЫ!$Y$3:$Y$500)/BN80,0),IF(OR(BE80="",BG80=""),"",ROUND(BE80*BG80*(1+Справочники!$B$10),0)))</f>
        <v/>
      </c>
      <c r="BI80" s="92" t="str">
        <f aca="false">IF(OR(AU80="",BH80="",AU80=0),"",(AU80-BH80)/AU80)</f>
        <v/>
      </c>
      <c r="BJ80" s="81"/>
      <c r="BK80" s="83"/>
      <c r="BL80" s="43" t="str">
        <f aca="false">IFERROR(INDEX(ЗАКАЗЫ!$N$3:$N$500,MATCH($A80,ЗАКАЗЫ!$F$3:$F$500,0)),"")</f>
        <v/>
      </c>
      <c r="BM80" s="8" t="str">
        <f aca="false">IF(BL80="","",IFERROR(VLOOKUP(BL80,'ТН ВЭД'!$A$4:$C$40,3,0),""))</f>
        <v/>
      </c>
      <c r="BN80" s="7" t="str">
        <f aca="false">IF(COUNTIF(ЗАКАЗЫ!$F$3:$F$500,$A80)=0,"",SUMIF(ЗАКАЗЫ!$F$3:$F$500,$A80,ЗАКАЗЫ!$J$3:$J$500))</f>
        <v/>
      </c>
      <c r="BO80" s="7" t="str">
        <f aca="false">IF(BN80="","",SUMIF(ЗАКАЗЫ!$F$3:$F$500,$A80,ЗАКАЗЫ!$AL$3:$AL$500))</f>
        <v/>
      </c>
      <c r="BP80" s="7" t="str">
        <f aca="false">IF(BN80="","",BN80-BO80)</f>
        <v/>
      </c>
      <c r="BQ80" s="55" t="str">
        <f aca="false">IF(BN80="","",IF(BO80&gt;=BN80,"На складе",IF(BO80&gt;0,"Частично","Ждём")))</f>
        <v/>
      </c>
      <c r="BR80" s="43"/>
      <c r="BS80" s="47" t="str">
        <f aca="false">IF(BN80="","",IF(_xlfn.MAXIFS(ЗАКАЗЫ!$AK$3:$AK$500,ЗАКАЗЫ!$F$3:$F$500,$A80)=0,"",_xlfn.MAXIFS(ЗАКАЗЫ!$AK$3:$AK$500,ЗАКАЗЫ!$F$3:$F$500,$A80)))</f>
        <v/>
      </c>
    </row>
    <row r="81" customFormat="false" ht="15.75" hidden="false" customHeight="true" outlineLevel="0" collapsed="false">
      <c r="A81" s="80" t="s">
        <v>2275</v>
      </c>
      <c r="B81" s="81"/>
      <c r="C81" s="81"/>
      <c r="D81" s="81"/>
      <c r="E81" s="83"/>
      <c r="F81" s="81"/>
      <c r="G81" s="83"/>
      <c r="H81" s="83"/>
      <c r="I81" s="84" t="str">
        <f aca="false">IF(E81="","",A81&amp;"_1.jpg")</f>
        <v/>
      </c>
      <c r="J81" s="84" t="str">
        <f aca="false">IF(E81="","",A81&amp;"_2.jpg; "&amp;A81&amp;"_3.jpg")</f>
        <v/>
      </c>
      <c r="K81" s="84" t="str">
        <f aca="false">IF(E81="","",A81&amp;"_schema.jpg")</f>
        <v/>
      </c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 t="s">
        <v>96</v>
      </c>
      <c r="W81" s="81"/>
      <c r="X81" s="81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6" t="str">
        <f aca="false">IF(SUM(Y81:AJ81)=0,"",SUM(Y81:AJ81))</f>
        <v/>
      </c>
      <c r="AL81" s="84" t="str">
        <f aca="false">MID(IF(N(Y81)&gt;0,", "&amp;Y$2,"")&amp;IF(N(Z81)&gt;0,", "&amp;Z$2,"")&amp;IF(N(AA81)&gt;0,", "&amp;AA$2,"")&amp;IF(N(AB81)&gt;0,", "&amp;AB$2,"")&amp;IF(N(AC81)&gt;0,", "&amp;AC$2,"")&amp;IF(N(AD81)&gt;0,", "&amp;AD$2,"")&amp;IF(N(AE81)&gt;0,", "&amp;AE$2,"")&amp;IF(N(AF81)&gt;0,", "&amp;AF$2,"")&amp;IF(N(AG81)&gt;0,", "&amp;AG$2,"")&amp;IF(N(AH81)&gt;0,", "&amp;AH$2,"")&amp;IF(N(AI81)&gt;0,", "&amp;AI$2,"")&amp;IF(N(AJ81)&gt;0,", "&amp;AJ$2,""),3,999)</f>
        <v/>
      </c>
      <c r="AM81" s="87" t="str">
        <f aca="false">IF(E81="","",MID(IF(N(Y81)&gt;0,", "&amp;A81&amp;"-"&amp;Y$2,"")&amp;IF(N(Z81)&gt;0,", "&amp;A81&amp;"-"&amp;Z$2,"")&amp;IF(N(AA81)&gt;0,", "&amp;A81&amp;"-"&amp;AA$2,"")&amp;IF(N(AB81)&gt;0,", "&amp;A81&amp;"-"&amp;AB$2,"")&amp;IF(N(AC81)&gt;0,", "&amp;A81&amp;"-"&amp;AC$2,"")&amp;IF(N(AD81)&gt;0,", "&amp;A81&amp;"-"&amp;AD$2,"")&amp;IF(N(AE81)&gt;0,", "&amp;A81&amp;"-"&amp;AE$2,"")&amp;IF(N(AF81)&gt;0,", "&amp;A81&amp;"-"&amp;AF$2,"")&amp;IF(N(AG81)&gt;0,", "&amp;A81&amp;"-"&amp;AG$2,"")&amp;IF(N(AH81)&gt;0,", "&amp;A81&amp;"-"&amp;AH$2,"")&amp;IF(N(AI81)&gt;0,", "&amp;A81&amp;"-"&amp;AI$2,"")&amp;IF(N(AJ81)&gt;0,", "&amp;A81&amp;"-"&amp;AJ$2,""),3,999))</f>
        <v/>
      </c>
      <c r="AN81" s="81"/>
      <c r="AO81" s="88"/>
      <c r="AP81" s="89" t="str">
        <f aca="false">IF(AO81="","",ROUND(AO81/(1+Справочники!$B$13),2))</f>
        <v/>
      </c>
      <c r="AQ81" s="90" t="str">
        <f aca="false" t="array" ref="AQ81:AQ81">IF(AP81="","",AP81*INDEX(Справочники!$B$4:$B$7,MATCH("RUB",Справочники!$A$4:$A$7,0)))</f>
        <v/>
      </c>
      <c r="AR81" s="90" t="str">
        <f aca="false">IF(AQ81="","",ROUND(AQ81*(1+Справочники!$B$12),0))</f>
        <v/>
      </c>
      <c r="AS81" s="90" t="str">
        <f aca="false">IF(AR81="","",ROUND(AR81*(1-Справочники!$B$11),0))</f>
        <v/>
      </c>
      <c r="AT81" s="88"/>
      <c r="AU81" s="90" t="str">
        <f aca="false">IF(AT81="","",ROUND(AT81/(1+Справочники!$B$12),0))</f>
        <v/>
      </c>
      <c r="AV81" s="90" t="str">
        <f aca="false">IF(AT81="","",ROUND(AT81*(1-Справочники!$B$15),0))</f>
        <v/>
      </c>
      <c r="AW81" s="90" t="str">
        <f aca="false">IF(AT81="","",ROUND(AT81*(1-Справочники!$B$16),0))</f>
        <v/>
      </c>
      <c r="AX81" s="90" t="str">
        <f aca="false">IF(AT81="","",ROUND(AT81*(1-Справочники!$B$17),0))</f>
        <v/>
      </c>
      <c r="AY81" s="90" t="str">
        <f aca="false">IF(AT81="","",ROUND(AT81*(1-Справочники!$B$18),0))</f>
        <v/>
      </c>
      <c r="AZ81" s="90" t="str">
        <f aca="false">IF(AT81="","",ROUND(AT81*(1-Справочники!$B$19),0))</f>
        <v/>
      </c>
      <c r="BA81" s="81"/>
      <c r="BB81" s="81"/>
      <c r="BC81" s="81"/>
      <c r="BD81" s="81"/>
      <c r="BE81" s="91"/>
      <c r="BF81" s="81" t="s">
        <v>103</v>
      </c>
      <c r="BG81" s="89" t="n">
        <f aca="false" t="array" ref="BG81:BG81">IF(BF81="","",IFERROR(INDEX(Справочники!$B$4:$B$7,MATCH(BF81,Справочники!$A$4:$A$7,0)),""))</f>
        <v>68.5</v>
      </c>
      <c r="BH81" s="90" t="str">
        <f aca="false">IF(N(BN81)&gt;0,ROUND(SUMIF(ЗАКАЗЫ!$F$3:$F$500,$A81,ЗАКАЗЫ!$Y$3:$Y$500)/BN81,0),IF(OR(BE81="",BG81=""),"",ROUND(BE81*BG81*(1+Справочники!$B$10),0)))</f>
        <v/>
      </c>
      <c r="BI81" s="92" t="str">
        <f aca="false">IF(OR(AU81="",BH81="",AU81=0),"",(AU81-BH81)/AU81)</f>
        <v/>
      </c>
      <c r="BJ81" s="81"/>
      <c r="BK81" s="83"/>
      <c r="BL81" s="43" t="str">
        <f aca="false">IFERROR(INDEX(ЗАКАЗЫ!$N$3:$N$500,MATCH($A81,ЗАКАЗЫ!$F$3:$F$500,0)),"")</f>
        <v/>
      </c>
      <c r="BM81" s="8" t="str">
        <f aca="false">IF(BL81="","",IFERROR(VLOOKUP(BL81,'ТН ВЭД'!$A$4:$C$40,3,0),""))</f>
        <v/>
      </c>
      <c r="BN81" s="7" t="str">
        <f aca="false">IF(COUNTIF(ЗАКАЗЫ!$F$3:$F$500,$A81)=0,"",SUMIF(ЗАКАЗЫ!$F$3:$F$500,$A81,ЗАКАЗЫ!$J$3:$J$500))</f>
        <v/>
      </c>
      <c r="BO81" s="7" t="str">
        <f aca="false">IF(BN81="","",SUMIF(ЗАКАЗЫ!$F$3:$F$500,$A81,ЗАКАЗЫ!$AL$3:$AL$500))</f>
        <v/>
      </c>
      <c r="BP81" s="7" t="str">
        <f aca="false">IF(BN81="","",BN81-BO81)</f>
        <v/>
      </c>
      <c r="BQ81" s="55" t="str">
        <f aca="false">IF(BN81="","",IF(BO81&gt;=BN81,"На складе",IF(BO81&gt;0,"Частично","Ждём")))</f>
        <v/>
      </c>
      <c r="BR81" s="43"/>
      <c r="BS81" s="47" t="str">
        <f aca="false">IF(BN81="","",IF(_xlfn.MAXIFS(ЗАКАЗЫ!$AK$3:$AK$500,ЗАКАЗЫ!$F$3:$F$500,$A81)=0,"",_xlfn.MAXIFS(ЗАКАЗЫ!$AK$3:$AK$500,ЗАКАЗЫ!$F$3:$F$500,$A81)))</f>
        <v/>
      </c>
    </row>
    <row r="82" customFormat="false" ht="15.75" hidden="false" customHeight="true" outlineLevel="0" collapsed="false">
      <c r="A82" s="80" t="s">
        <v>2276</v>
      </c>
      <c r="B82" s="81"/>
      <c r="C82" s="81"/>
      <c r="D82" s="81"/>
      <c r="E82" s="83"/>
      <c r="F82" s="81"/>
      <c r="G82" s="83"/>
      <c r="H82" s="83"/>
      <c r="I82" s="84" t="str">
        <f aca="false">IF(E82="","",A82&amp;"_1.jpg")</f>
        <v/>
      </c>
      <c r="J82" s="84" t="str">
        <f aca="false">IF(E82="","",A82&amp;"_2.jpg; "&amp;A82&amp;"_3.jpg")</f>
        <v/>
      </c>
      <c r="K82" s="84" t="str">
        <f aca="false">IF(E82="","",A82&amp;"_schema.jpg")</f>
        <v/>
      </c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 t="s">
        <v>96</v>
      </c>
      <c r="W82" s="81"/>
      <c r="X82" s="81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6" t="str">
        <f aca="false">IF(SUM(Y82:AJ82)=0,"",SUM(Y82:AJ82))</f>
        <v/>
      </c>
      <c r="AL82" s="84" t="str">
        <f aca="false">MID(IF(N(Y82)&gt;0,", "&amp;Y$2,"")&amp;IF(N(Z82)&gt;0,", "&amp;Z$2,"")&amp;IF(N(AA82)&gt;0,", "&amp;AA$2,"")&amp;IF(N(AB82)&gt;0,", "&amp;AB$2,"")&amp;IF(N(AC82)&gt;0,", "&amp;AC$2,"")&amp;IF(N(AD82)&gt;0,", "&amp;AD$2,"")&amp;IF(N(AE82)&gt;0,", "&amp;AE$2,"")&amp;IF(N(AF82)&gt;0,", "&amp;AF$2,"")&amp;IF(N(AG82)&gt;0,", "&amp;AG$2,"")&amp;IF(N(AH82)&gt;0,", "&amp;AH$2,"")&amp;IF(N(AI82)&gt;0,", "&amp;AI$2,"")&amp;IF(N(AJ82)&gt;0,", "&amp;AJ$2,""),3,999)</f>
        <v/>
      </c>
      <c r="AM82" s="87" t="str">
        <f aca="false">IF(E82="","",MID(IF(N(Y82)&gt;0,", "&amp;A82&amp;"-"&amp;Y$2,"")&amp;IF(N(Z82)&gt;0,", "&amp;A82&amp;"-"&amp;Z$2,"")&amp;IF(N(AA82)&gt;0,", "&amp;A82&amp;"-"&amp;AA$2,"")&amp;IF(N(AB82)&gt;0,", "&amp;A82&amp;"-"&amp;AB$2,"")&amp;IF(N(AC82)&gt;0,", "&amp;A82&amp;"-"&amp;AC$2,"")&amp;IF(N(AD82)&gt;0,", "&amp;A82&amp;"-"&amp;AD$2,"")&amp;IF(N(AE82)&gt;0,", "&amp;A82&amp;"-"&amp;AE$2,"")&amp;IF(N(AF82)&gt;0,", "&amp;A82&amp;"-"&amp;AF$2,"")&amp;IF(N(AG82)&gt;0,", "&amp;A82&amp;"-"&amp;AG$2,"")&amp;IF(N(AH82)&gt;0,", "&amp;A82&amp;"-"&amp;AH$2,"")&amp;IF(N(AI82)&gt;0,", "&amp;A82&amp;"-"&amp;AI$2,"")&amp;IF(N(AJ82)&gt;0,", "&amp;A82&amp;"-"&amp;AJ$2,""),3,999))</f>
        <v/>
      </c>
      <c r="AN82" s="81"/>
      <c r="AO82" s="88"/>
      <c r="AP82" s="89" t="str">
        <f aca="false">IF(AO82="","",ROUND(AO82/(1+Справочники!$B$13),2))</f>
        <v/>
      </c>
      <c r="AQ82" s="90" t="str">
        <f aca="false" t="array" ref="AQ82:AQ82">IF(AP82="","",AP82*INDEX(Справочники!$B$4:$B$7,MATCH("RUB",Справочники!$A$4:$A$7,0)))</f>
        <v/>
      </c>
      <c r="AR82" s="90" t="str">
        <f aca="false">IF(AQ82="","",ROUND(AQ82*(1+Справочники!$B$12),0))</f>
        <v/>
      </c>
      <c r="AS82" s="90" t="str">
        <f aca="false">IF(AR82="","",ROUND(AR82*(1-Справочники!$B$11),0))</f>
        <v/>
      </c>
      <c r="AT82" s="88"/>
      <c r="AU82" s="90" t="str">
        <f aca="false">IF(AT82="","",ROUND(AT82/(1+Справочники!$B$12),0))</f>
        <v/>
      </c>
      <c r="AV82" s="90" t="str">
        <f aca="false">IF(AT82="","",ROUND(AT82*(1-Справочники!$B$15),0))</f>
        <v/>
      </c>
      <c r="AW82" s="90" t="str">
        <f aca="false">IF(AT82="","",ROUND(AT82*(1-Справочники!$B$16),0))</f>
        <v/>
      </c>
      <c r="AX82" s="90" t="str">
        <f aca="false">IF(AT82="","",ROUND(AT82*(1-Справочники!$B$17),0))</f>
        <v/>
      </c>
      <c r="AY82" s="90" t="str">
        <f aca="false">IF(AT82="","",ROUND(AT82*(1-Справочники!$B$18),0))</f>
        <v/>
      </c>
      <c r="AZ82" s="90" t="str">
        <f aca="false">IF(AT82="","",ROUND(AT82*(1-Справочники!$B$19),0))</f>
        <v/>
      </c>
      <c r="BA82" s="81"/>
      <c r="BB82" s="81"/>
      <c r="BC82" s="81"/>
      <c r="BD82" s="81"/>
      <c r="BE82" s="91"/>
      <c r="BF82" s="81" t="s">
        <v>103</v>
      </c>
      <c r="BG82" s="89" t="n">
        <f aca="false" t="array" ref="BG82:BG82">IF(BF82="","",IFERROR(INDEX(Справочники!$B$4:$B$7,MATCH(BF82,Справочники!$A$4:$A$7,0)),""))</f>
        <v>68.5</v>
      </c>
      <c r="BH82" s="90" t="str">
        <f aca="false">IF(N(BN82)&gt;0,ROUND(SUMIF(ЗАКАЗЫ!$F$3:$F$500,$A82,ЗАКАЗЫ!$Y$3:$Y$500)/BN82,0),IF(OR(BE82="",BG82=""),"",ROUND(BE82*BG82*(1+Справочники!$B$10),0)))</f>
        <v/>
      </c>
      <c r="BI82" s="92" t="str">
        <f aca="false">IF(OR(AU82="",BH82="",AU82=0),"",(AU82-BH82)/AU82)</f>
        <v/>
      </c>
      <c r="BJ82" s="81"/>
      <c r="BK82" s="83"/>
      <c r="BL82" s="43" t="str">
        <f aca="false">IFERROR(INDEX(ЗАКАЗЫ!$N$3:$N$500,MATCH($A82,ЗАКАЗЫ!$F$3:$F$500,0)),"")</f>
        <v/>
      </c>
      <c r="BM82" s="8" t="str">
        <f aca="false">IF(BL82="","",IFERROR(VLOOKUP(BL82,'ТН ВЭД'!$A$4:$C$40,3,0),""))</f>
        <v/>
      </c>
      <c r="BN82" s="7" t="str">
        <f aca="false">IF(COUNTIF(ЗАКАЗЫ!$F$3:$F$500,$A82)=0,"",SUMIF(ЗАКАЗЫ!$F$3:$F$500,$A82,ЗАКАЗЫ!$J$3:$J$500))</f>
        <v/>
      </c>
      <c r="BO82" s="7" t="str">
        <f aca="false">IF(BN82="","",SUMIF(ЗАКАЗЫ!$F$3:$F$500,$A82,ЗАКАЗЫ!$AL$3:$AL$500))</f>
        <v/>
      </c>
      <c r="BP82" s="7" t="str">
        <f aca="false">IF(BN82="","",BN82-BO82)</f>
        <v/>
      </c>
      <c r="BQ82" s="55" t="str">
        <f aca="false">IF(BN82="","",IF(BO82&gt;=BN82,"На складе",IF(BO82&gt;0,"Частично","Ждём")))</f>
        <v/>
      </c>
      <c r="BR82" s="43"/>
      <c r="BS82" s="47" t="str">
        <f aca="false">IF(BN82="","",IF(_xlfn.MAXIFS(ЗАКАЗЫ!$AK$3:$AK$500,ЗАКАЗЫ!$F$3:$F$500,$A82)=0,"",_xlfn.MAXIFS(ЗАКАЗЫ!$AK$3:$AK$500,ЗАКАЗЫ!$F$3:$F$500,$A82)))</f>
        <v/>
      </c>
    </row>
    <row r="83" customFormat="false" ht="15.75" hidden="false" customHeight="true" outlineLevel="0" collapsed="false">
      <c r="A83" s="80" t="s">
        <v>2277</v>
      </c>
      <c r="B83" s="81"/>
      <c r="C83" s="81"/>
      <c r="D83" s="81"/>
      <c r="E83" s="83"/>
      <c r="F83" s="81"/>
      <c r="G83" s="83"/>
      <c r="H83" s="83"/>
      <c r="I83" s="84" t="str">
        <f aca="false">IF(E83="","",A83&amp;"_1.jpg")</f>
        <v/>
      </c>
      <c r="J83" s="84" t="str">
        <f aca="false">IF(E83="","",A83&amp;"_2.jpg; "&amp;A83&amp;"_3.jpg")</f>
        <v/>
      </c>
      <c r="K83" s="84" t="str">
        <f aca="false">IF(E83="","",A83&amp;"_schema.jpg")</f>
        <v/>
      </c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 t="s">
        <v>96</v>
      </c>
      <c r="W83" s="81"/>
      <c r="X83" s="81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6" t="str">
        <f aca="false">IF(SUM(Y83:AJ83)=0,"",SUM(Y83:AJ83))</f>
        <v/>
      </c>
      <c r="AL83" s="84" t="str">
        <f aca="false">MID(IF(N(Y83)&gt;0,", "&amp;Y$2,"")&amp;IF(N(Z83)&gt;0,", "&amp;Z$2,"")&amp;IF(N(AA83)&gt;0,", "&amp;AA$2,"")&amp;IF(N(AB83)&gt;0,", "&amp;AB$2,"")&amp;IF(N(AC83)&gt;0,", "&amp;AC$2,"")&amp;IF(N(AD83)&gt;0,", "&amp;AD$2,"")&amp;IF(N(AE83)&gt;0,", "&amp;AE$2,"")&amp;IF(N(AF83)&gt;0,", "&amp;AF$2,"")&amp;IF(N(AG83)&gt;0,", "&amp;AG$2,"")&amp;IF(N(AH83)&gt;0,", "&amp;AH$2,"")&amp;IF(N(AI83)&gt;0,", "&amp;AI$2,"")&amp;IF(N(AJ83)&gt;0,", "&amp;AJ$2,""),3,999)</f>
        <v/>
      </c>
      <c r="AM83" s="87" t="str">
        <f aca="false">IF(E83="","",MID(IF(N(Y83)&gt;0,", "&amp;A83&amp;"-"&amp;Y$2,"")&amp;IF(N(Z83)&gt;0,", "&amp;A83&amp;"-"&amp;Z$2,"")&amp;IF(N(AA83)&gt;0,", "&amp;A83&amp;"-"&amp;AA$2,"")&amp;IF(N(AB83)&gt;0,", "&amp;A83&amp;"-"&amp;AB$2,"")&amp;IF(N(AC83)&gt;0,", "&amp;A83&amp;"-"&amp;AC$2,"")&amp;IF(N(AD83)&gt;0,", "&amp;A83&amp;"-"&amp;AD$2,"")&amp;IF(N(AE83)&gt;0,", "&amp;A83&amp;"-"&amp;AE$2,"")&amp;IF(N(AF83)&gt;0,", "&amp;A83&amp;"-"&amp;AF$2,"")&amp;IF(N(AG83)&gt;0,", "&amp;A83&amp;"-"&amp;AG$2,"")&amp;IF(N(AH83)&gt;0,", "&amp;A83&amp;"-"&amp;AH$2,"")&amp;IF(N(AI83)&gt;0,", "&amp;A83&amp;"-"&amp;AI$2,"")&amp;IF(N(AJ83)&gt;0,", "&amp;A83&amp;"-"&amp;AJ$2,""),3,999))</f>
        <v/>
      </c>
      <c r="AN83" s="81"/>
      <c r="AO83" s="88"/>
      <c r="AP83" s="89" t="str">
        <f aca="false">IF(AO83="","",ROUND(AO83/(1+Справочники!$B$13),2))</f>
        <v/>
      </c>
      <c r="AQ83" s="90" t="str">
        <f aca="false" t="array" ref="AQ83:AQ83">IF(AP83="","",AP83*INDEX(Справочники!$B$4:$B$7,MATCH("RUB",Справочники!$A$4:$A$7,0)))</f>
        <v/>
      </c>
      <c r="AR83" s="90" t="str">
        <f aca="false">IF(AQ83="","",ROUND(AQ83*(1+Справочники!$B$12),0))</f>
        <v/>
      </c>
      <c r="AS83" s="90" t="str">
        <f aca="false">IF(AR83="","",ROUND(AR83*(1-Справочники!$B$11),0))</f>
        <v/>
      </c>
      <c r="AT83" s="88"/>
      <c r="AU83" s="90" t="str">
        <f aca="false">IF(AT83="","",ROUND(AT83/(1+Справочники!$B$12),0))</f>
        <v/>
      </c>
      <c r="AV83" s="90" t="str">
        <f aca="false">IF(AT83="","",ROUND(AT83*(1-Справочники!$B$15),0))</f>
        <v/>
      </c>
      <c r="AW83" s="90" t="str">
        <f aca="false">IF(AT83="","",ROUND(AT83*(1-Справочники!$B$16),0))</f>
        <v/>
      </c>
      <c r="AX83" s="90" t="str">
        <f aca="false">IF(AT83="","",ROUND(AT83*(1-Справочники!$B$17),0))</f>
        <v/>
      </c>
      <c r="AY83" s="90" t="str">
        <f aca="false">IF(AT83="","",ROUND(AT83*(1-Справочники!$B$18),0))</f>
        <v/>
      </c>
      <c r="AZ83" s="90" t="str">
        <f aca="false">IF(AT83="","",ROUND(AT83*(1-Справочники!$B$19),0))</f>
        <v/>
      </c>
      <c r="BA83" s="81"/>
      <c r="BB83" s="81"/>
      <c r="BC83" s="81"/>
      <c r="BD83" s="81"/>
      <c r="BE83" s="91"/>
      <c r="BF83" s="81" t="s">
        <v>103</v>
      </c>
      <c r="BG83" s="89" t="n">
        <f aca="false" t="array" ref="BG83:BG83">IF(BF83="","",IFERROR(INDEX(Справочники!$B$4:$B$7,MATCH(BF83,Справочники!$A$4:$A$7,0)),""))</f>
        <v>68.5</v>
      </c>
      <c r="BH83" s="90" t="str">
        <f aca="false">IF(N(BN83)&gt;0,ROUND(SUMIF(ЗАКАЗЫ!$F$3:$F$500,$A83,ЗАКАЗЫ!$Y$3:$Y$500)/BN83,0),IF(OR(BE83="",BG83=""),"",ROUND(BE83*BG83*(1+Справочники!$B$10),0)))</f>
        <v/>
      </c>
      <c r="BI83" s="92" t="str">
        <f aca="false">IF(OR(AU83="",BH83="",AU83=0),"",(AU83-BH83)/AU83)</f>
        <v/>
      </c>
      <c r="BJ83" s="81"/>
      <c r="BK83" s="83"/>
      <c r="BL83" s="43" t="str">
        <f aca="false">IFERROR(INDEX(ЗАКАЗЫ!$N$3:$N$500,MATCH($A83,ЗАКАЗЫ!$F$3:$F$500,0)),"")</f>
        <v/>
      </c>
      <c r="BM83" s="8" t="str">
        <f aca="false">IF(BL83="","",IFERROR(VLOOKUP(BL83,'ТН ВЭД'!$A$4:$C$40,3,0),""))</f>
        <v/>
      </c>
      <c r="BN83" s="7" t="str">
        <f aca="false">IF(COUNTIF(ЗАКАЗЫ!$F$3:$F$500,$A83)=0,"",SUMIF(ЗАКАЗЫ!$F$3:$F$500,$A83,ЗАКАЗЫ!$J$3:$J$500))</f>
        <v/>
      </c>
      <c r="BO83" s="7" t="str">
        <f aca="false">IF(BN83="","",SUMIF(ЗАКАЗЫ!$F$3:$F$500,$A83,ЗАКАЗЫ!$AL$3:$AL$500))</f>
        <v/>
      </c>
      <c r="BP83" s="7" t="str">
        <f aca="false">IF(BN83="","",BN83-BO83)</f>
        <v/>
      </c>
      <c r="BQ83" s="55" t="str">
        <f aca="false">IF(BN83="","",IF(BO83&gt;=BN83,"На складе",IF(BO83&gt;0,"Частично","Ждём")))</f>
        <v/>
      </c>
      <c r="BR83" s="43"/>
      <c r="BS83" s="47" t="str">
        <f aca="false">IF(BN83="","",IF(_xlfn.MAXIFS(ЗАКАЗЫ!$AK$3:$AK$500,ЗАКАЗЫ!$F$3:$F$500,$A83)=0,"",_xlfn.MAXIFS(ЗАКАЗЫ!$AK$3:$AK$500,ЗАКАЗЫ!$F$3:$F$500,$A83)))</f>
        <v/>
      </c>
    </row>
    <row r="84" customFormat="false" ht="15.75" hidden="false" customHeight="true" outlineLevel="0" collapsed="false">
      <c r="A84" s="80" t="s">
        <v>2278</v>
      </c>
      <c r="B84" s="81"/>
      <c r="C84" s="81"/>
      <c r="D84" s="81"/>
      <c r="E84" s="83"/>
      <c r="F84" s="81"/>
      <c r="G84" s="83"/>
      <c r="H84" s="83"/>
      <c r="I84" s="84" t="str">
        <f aca="false">IF(E84="","",A84&amp;"_1.jpg")</f>
        <v/>
      </c>
      <c r="J84" s="84" t="str">
        <f aca="false">IF(E84="","",A84&amp;"_2.jpg; "&amp;A84&amp;"_3.jpg")</f>
        <v/>
      </c>
      <c r="K84" s="84" t="str">
        <f aca="false">IF(E84="","",A84&amp;"_schema.jpg")</f>
        <v/>
      </c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 t="s">
        <v>96</v>
      </c>
      <c r="W84" s="81"/>
      <c r="X84" s="81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6" t="str">
        <f aca="false">IF(SUM(Y84:AJ84)=0,"",SUM(Y84:AJ84))</f>
        <v/>
      </c>
      <c r="AL84" s="84" t="str">
        <f aca="false">MID(IF(N(Y84)&gt;0,", "&amp;Y$2,"")&amp;IF(N(Z84)&gt;0,", "&amp;Z$2,"")&amp;IF(N(AA84)&gt;0,", "&amp;AA$2,"")&amp;IF(N(AB84)&gt;0,", "&amp;AB$2,"")&amp;IF(N(AC84)&gt;0,", "&amp;AC$2,"")&amp;IF(N(AD84)&gt;0,", "&amp;AD$2,"")&amp;IF(N(AE84)&gt;0,", "&amp;AE$2,"")&amp;IF(N(AF84)&gt;0,", "&amp;AF$2,"")&amp;IF(N(AG84)&gt;0,", "&amp;AG$2,"")&amp;IF(N(AH84)&gt;0,", "&amp;AH$2,"")&amp;IF(N(AI84)&gt;0,", "&amp;AI$2,"")&amp;IF(N(AJ84)&gt;0,", "&amp;AJ$2,""),3,999)</f>
        <v/>
      </c>
      <c r="AM84" s="87" t="str">
        <f aca="false">IF(E84="","",MID(IF(N(Y84)&gt;0,", "&amp;A84&amp;"-"&amp;Y$2,"")&amp;IF(N(Z84)&gt;0,", "&amp;A84&amp;"-"&amp;Z$2,"")&amp;IF(N(AA84)&gt;0,", "&amp;A84&amp;"-"&amp;AA$2,"")&amp;IF(N(AB84)&gt;0,", "&amp;A84&amp;"-"&amp;AB$2,"")&amp;IF(N(AC84)&gt;0,", "&amp;A84&amp;"-"&amp;AC$2,"")&amp;IF(N(AD84)&gt;0,", "&amp;A84&amp;"-"&amp;AD$2,"")&amp;IF(N(AE84)&gt;0,", "&amp;A84&amp;"-"&amp;AE$2,"")&amp;IF(N(AF84)&gt;0,", "&amp;A84&amp;"-"&amp;AF$2,"")&amp;IF(N(AG84)&gt;0,", "&amp;A84&amp;"-"&amp;AG$2,"")&amp;IF(N(AH84)&gt;0,", "&amp;A84&amp;"-"&amp;AH$2,"")&amp;IF(N(AI84)&gt;0,", "&amp;A84&amp;"-"&amp;AI$2,"")&amp;IF(N(AJ84)&gt;0,", "&amp;A84&amp;"-"&amp;AJ$2,""),3,999))</f>
        <v/>
      </c>
      <c r="AN84" s="81"/>
      <c r="AO84" s="88"/>
      <c r="AP84" s="89" t="str">
        <f aca="false">IF(AO84="","",ROUND(AO84/(1+Справочники!$B$13),2))</f>
        <v/>
      </c>
      <c r="AQ84" s="90" t="str">
        <f aca="false" t="array" ref="AQ84:AQ84">IF(AP84="","",AP84*INDEX(Справочники!$B$4:$B$7,MATCH("RUB",Справочники!$A$4:$A$7,0)))</f>
        <v/>
      </c>
      <c r="AR84" s="90" t="str">
        <f aca="false">IF(AQ84="","",ROUND(AQ84*(1+Справочники!$B$12),0))</f>
        <v/>
      </c>
      <c r="AS84" s="90" t="str">
        <f aca="false">IF(AR84="","",ROUND(AR84*(1-Справочники!$B$11),0))</f>
        <v/>
      </c>
      <c r="AT84" s="88"/>
      <c r="AU84" s="90" t="str">
        <f aca="false">IF(AT84="","",ROUND(AT84/(1+Справочники!$B$12),0))</f>
        <v/>
      </c>
      <c r="AV84" s="90" t="str">
        <f aca="false">IF(AT84="","",ROUND(AT84*(1-Справочники!$B$15),0))</f>
        <v/>
      </c>
      <c r="AW84" s="90" t="str">
        <f aca="false">IF(AT84="","",ROUND(AT84*(1-Справочники!$B$16),0))</f>
        <v/>
      </c>
      <c r="AX84" s="90" t="str">
        <f aca="false">IF(AT84="","",ROUND(AT84*(1-Справочники!$B$17),0))</f>
        <v/>
      </c>
      <c r="AY84" s="90" t="str">
        <f aca="false">IF(AT84="","",ROUND(AT84*(1-Справочники!$B$18),0))</f>
        <v/>
      </c>
      <c r="AZ84" s="90" t="str">
        <f aca="false">IF(AT84="","",ROUND(AT84*(1-Справочники!$B$19),0))</f>
        <v/>
      </c>
      <c r="BA84" s="81"/>
      <c r="BB84" s="81"/>
      <c r="BC84" s="81"/>
      <c r="BD84" s="81"/>
      <c r="BE84" s="91"/>
      <c r="BF84" s="81" t="s">
        <v>103</v>
      </c>
      <c r="BG84" s="89" t="n">
        <f aca="false" t="array" ref="BG84:BG84">IF(BF84="","",IFERROR(INDEX(Справочники!$B$4:$B$7,MATCH(BF84,Справочники!$A$4:$A$7,0)),""))</f>
        <v>68.5</v>
      </c>
      <c r="BH84" s="90" t="str">
        <f aca="false">IF(N(BN84)&gt;0,ROUND(SUMIF(ЗАКАЗЫ!$F$3:$F$500,$A84,ЗАКАЗЫ!$Y$3:$Y$500)/BN84,0),IF(OR(BE84="",BG84=""),"",ROUND(BE84*BG84*(1+Справочники!$B$10),0)))</f>
        <v/>
      </c>
      <c r="BI84" s="92" t="str">
        <f aca="false">IF(OR(AU84="",BH84="",AU84=0),"",(AU84-BH84)/AU84)</f>
        <v/>
      </c>
      <c r="BJ84" s="81"/>
      <c r="BK84" s="83"/>
      <c r="BL84" s="43" t="str">
        <f aca="false">IFERROR(INDEX(ЗАКАЗЫ!$N$3:$N$500,MATCH($A84,ЗАКАЗЫ!$F$3:$F$500,0)),"")</f>
        <v/>
      </c>
      <c r="BM84" s="8" t="str">
        <f aca="false">IF(BL84="","",IFERROR(VLOOKUP(BL84,'ТН ВЭД'!$A$4:$C$40,3,0),""))</f>
        <v/>
      </c>
      <c r="BN84" s="7" t="str">
        <f aca="false">IF(COUNTIF(ЗАКАЗЫ!$F$3:$F$500,$A84)=0,"",SUMIF(ЗАКАЗЫ!$F$3:$F$500,$A84,ЗАКАЗЫ!$J$3:$J$500))</f>
        <v/>
      </c>
      <c r="BO84" s="7" t="str">
        <f aca="false">IF(BN84="","",SUMIF(ЗАКАЗЫ!$F$3:$F$500,$A84,ЗАКАЗЫ!$AL$3:$AL$500))</f>
        <v/>
      </c>
      <c r="BP84" s="7" t="str">
        <f aca="false">IF(BN84="","",BN84-BO84)</f>
        <v/>
      </c>
      <c r="BQ84" s="55" t="str">
        <f aca="false">IF(BN84="","",IF(BO84&gt;=BN84,"На складе",IF(BO84&gt;0,"Частично","Ждём")))</f>
        <v/>
      </c>
      <c r="BR84" s="43"/>
      <c r="BS84" s="47" t="str">
        <f aca="false">IF(BN84="","",IF(_xlfn.MAXIFS(ЗАКАЗЫ!$AK$3:$AK$500,ЗАКАЗЫ!$F$3:$F$500,$A84)=0,"",_xlfn.MAXIFS(ЗАКАЗЫ!$AK$3:$AK$500,ЗАКАЗЫ!$F$3:$F$500,$A84)))</f>
        <v/>
      </c>
    </row>
    <row r="85" customFormat="false" ht="15.75" hidden="false" customHeight="true" outlineLevel="0" collapsed="false">
      <c r="A85" s="80" t="s">
        <v>2279</v>
      </c>
      <c r="B85" s="81"/>
      <c r="C85" s="81"/>
      <c r="D85" s="81"/>
      <c r="E85" s="83"/>
      <c r="F85" s="81"/>
      <c r="G85" s="83"/>
      <c r="H85" s="83"/>
      <c r="I85" s="84" t="str">
        <f aca="false">IF(E85="","",A85&amp;"_1.jpg")</f>
        <v/>
      </c>
      <c r="J85" s="84" t="str">
        <f aca="false">IF(E85="","",A85&amp;"_2.jpg; "&amp;A85&amp;"_3.jpg")</f>
        <v/>
      </c>
      <c r="K85" s="84" t="str">
        <f aca="false">IF(E85="","",A85&amp;"_schema.jpg")</f>
        <v/>
      </c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 t="s">
        <v>96</v>
      </c>
      <c r="W85" s="81"/>
      <c r="X85" s="81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6" t="str">
        <f aca="false">IF(SUM(Y85:AJ85)=0,"",SUM(Y85:AJ85))</f>
        <v/>
      </c>
      <c r="AL85" s="84" t="str">
        <f aca="false">MID(IF(N(Y85)&gt;0,", "&amp;Y$2,"")&amp;IF(N(Z85)&gt;0,", "&amp;Z$2,"")&amp;IF(N(AA85)&gt;0,", "&amp;AA$2,"")&amp;IF(N(AB85)&gt;0,", "&amp;AB$2,"")&amp;IF(N(AC85)&gt;0,", "&amp;AC$2,"")&amp;IF(N(AD85)&gt;0,", "&amp;AD$2,"")&amp;IF(N(AE85)&gt;0,", "&amp;AE$2,"")&amp;IF(N(AF85)&gt;0,", "&amp;AF$2,"")&amp;IF(N(AG85)&gt;0,", "&amp;AG$2,"")&amp;IF(N(AH85)&gt;0,", "&amp;AH$2,"")&amp;IF(N(AI85)&gt;0,", "&amp;AI$2,"")&amp;IF(N(AJ85)&gt;0,", "&amp;AJ$2,""),3,999)</f>
        <v/>
      </c>
      <c r="AM85" s="87" t="str">
        <f aca="false">IF(E85="","",MID(IF(N(Y85)&gt;0,", "&amp;A85&amp;"-"&amp;Y$2,"")&amp;IF(N(Z85)&gt;0,", "&amp;A85&amp;"-"&amp;Z$2,"")&amp;IF(N(AA85)&gt;0,", "&amp;A85&amp;"-"&amp;AA$2,"")&amp;IF(N(AB85)&gt;0,", "&amp;A85&amp;"-"&amp;AB$2,"")&amp;IF(N(AC85)&gt;0,", "&amp;A85&amp;"-"&amp;AC$2,"")&amp;IF(N(AD85)&gt;0,", "&amp;A85&amp;"-"&amp;AD$2,"")&amp;IF(N(AE85)&gt;0,", "&amp;A85&amp;"-"&amp;AE$2,"")&amp;IF(N(AF85)&gt;0,", "&amp;A85&amp;"-"&amp;AF$2,"")&amp;IF(N(AG85)&gt;0,", "&amp;A85&amp;"-"&amp;AG$2,"")&amp;IF(N(AH85)&gt;0,", "&amp;A85&amp;"-"&amp;AH$2,"")&amp;IF(N(AI85)&gt;0,", "&amp;A85&amp;"-"&amp;AI$2,"")&amp;IF(N(AJ85)&gt;0,", "&amp;A85&amp;"-"&amp;AJ$2,""),3,999))</f>
        <v/>
      </c>
      <c r="AN85" s="81"/>
      <c r="AO85" s="88"/>
      <c r="AP85" s="89" t="str">
        <f aca="false">IF(AO85="","",ROUND(AO85/(1+Справочники!$B$13),2))</f>
        <v/>
      </c>
      <c r="AQ85" s="90" t="str">
        <f aca="false" t="array" ref="AQ85:AQ85">IF(AP85="","",AP85*INDEX(Справочники!$B$4:$B$7,MATCH("RUB",Справочники!$A$4:$A$7,0)))</f>
        <v/>
      </c>
      <c r="AR85" s="90" t="str">
        <f aca="false">IF(AQ85="","",ROUND(AQ85*(1+Справочники!$B$12),0))</f>
        <v/>
      </c>
      <c r="AS85" s="90" t="str">
        <f aca="false">IF(AR85="","",ROUND(AR85*(1-Справочники!$B$11),0))</f>
        <v/>
      </c>
      <c r="AT85" s="88"/>
      <c r="AU85" s="90" t="str">
        <f aca="false">IF(AT85="","",ROUND(AT85/(1+Справочники!$B$12),0))</f>
        <v/>
      </c>
      <c r="AV85" s="90" t="str">
        <f aca="false">IF(AT85="","",ROUND(AT85*(1-Справочники!$B$15),0))</f>
        <v/>
      </c>
      <c r="AW85" s="90" t="str">
        <f aca="false">IF(AT85="","",ROUND(AT85*(1-Справочники!$B$16),0))</f>
        <v/>
      </c>
      <c r="AX85" s="90" t="str">
        <f aca="false">IF(AT85="","",ROUND(AT85*(1-Справочники!$B$17),0))</f>
        <v/>
      </c>
      <c r="AY85" s="90" t="str">
        <f aca="false">IF(AT85="","",ROUND(AT85*(1-Справочники!$B$18),0))</f>
        <v/>
      </c>
      <c r="AZ85" s="90" t="str">
        <f aca="false">IF(AT85="","",ROUND(AT85*(1-Справочники!$B$19),0))</f>
        <v/>
      </c>
      <c r="BA85" s="81"/>
      <c r="BB85" s="81"/>
      <c r="BC85" s="81"/>
      <c r="BD85" s="81"/>
      <c r="BE85" s="91"/>
      <c r="BF85" s="81" t="s">
        <v>103</v>
      </c>
      <c r="BG85" s="89" t="n">
        <f aca="false" t="array" ref="BG85:BG85">IF(BF85="","",IFERROR(INDEX(Справочники!$B$4:$B$7,MATCH(BF85,Справочники!$A$4:$A$7,0)),""))</f>
        <v>68.5</v>
      </c>
      <c r="BH85" s="90" t="str">
        <f aca="false">IF(N(BN85)&gt;0,ROUND(SUMIF(ЗАКАЗЫ!$F$3:$F$500,$A85,ЗАКАЗЫ!$Y$3:$Y$500)/BN85,0),IF(OR(BE85="",BG85=""),"",ROUND(BE85*BG85*(1+Справочники!$B$10),0)))</f>
        <v/>
      </c>
      <c r="BI85" s="92" t="str">
        <f aca="false">IF(OR(AU85="",BH85="",AU85=0),"",(AU85-BH85)/AU85)</f>
        <v/>
      </c>
      <c r="BJ85" s="81"/>
      <c r="BK85" s="83"/>
      <c r="BL85" s="43" t="str">
        <f aca="false">IFERROR(INDEX(ЗАКАЗЫ!$N$3:$N$500,MATCH($A85,ЗАКАЗЫ!$F$3:$F$500,0)),"")</f>
        <v/>
      </c>
      <c r="BM85" s="8" t="str">
        <f aca="false">IF(BL85="","",IFERROR(VLOOKUP(BL85,'ТН ВЭД'!$A$4:$C$40,3,0),""))</f>
        <v/>
      </c>
      <c r="BN85" s="7" t="str">
        <f aca="false">IF(COUNTIF(ЗАКАЗЫ!$F$3:$F$500,$A85)=0,"",SUMIF(ЗАКАЗЫ!$F$3:$F$500,$A85,ЗАКАЗЫ!$J$3:$J$500))</f>
        <v/>
      </c>
      <c r="BO85" s="7" t="str">
        <f aca="false">IF(BN85="","",SUMIF(ЗАКАЗЫ!$F$3:$F$500,$A85,ЗАКАЗЫ!$AL$3:$AL$500))</f>
        <v/>
      </c>
      <c r="BP85" s="7" t="str">
        <f aca="false">IF(BN85="","",BN85-BO85)</f>
        <v/>
      </c>
      <c r="BQ85" s="55" t="str">
        <f aca="false">IF(BN85="","",IF(BO85&gt;=BN85,"На складе",IF(BO85&gt;0,"Частично","Ждём")))</f>
        <v/>
      </c>
      <c r="BR85" s="43"/>
      <c r="BS85" s="47" t="str">
        <f aca="false">IF(BN85="","",IF(_xlfn.MAXIFS(ЗАКАЗЫ!$AK$3:$AK$500,ЗАКАЗЫ!$F$3:$F$500,$A85)=0,"",_xlfn.MAXIFS(ЗАКАЗЫ!$AK$3:$AK$500,ЗАКАЗЫ!$F$3:$F$500,$A85)))</f>
        <v/>
      </c>
    </row>
    <row r="86" customFormat="false" ht="15.75" hidden="false" customHeight="true" outlineLevel="0" collapsed="false">
      <c r="A86" s="80" t="s">
        <v>2280</v>
      </c>
      <c r="B86" s="81"/>
      <c r="C86" s="81"/>
      <c r="D86" s="81"/>
      <c r="E86" s="83"/>
      <c r="F86" s="81"/>
      <c r="G86" s="83"/>
      <c r="H86" s="83"/>
      <c r="I86" s="84" t="str">
        <f aca="false">IF(E86="","",A86&amp;"_1.jpg")</f>
        <v/>
      </c>
      <c r="J86" s="84" t="str">
        <f aca="false">IF(E86="","",A86&amp;"_2.jpg; "&amp;A86&amp;"_3.jpg")</f>
        <v/>
      </c>
      <c r="K86" s="84" t="str">
        <f aca="false">IF(E86="","",A86&amp;"_schema.jpg")</f>
        <v/>
      </c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 t="s">
        <v>96</v>
      </c>
      <c r="W86" s="81"/>
      <c r="X86" s="81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6" t="str">
        <f aca="false">IF(SUM(Y86:AJ86)=0,"",SUM(Y86:AJ86))</f>
        <v/>
      </c>
      <c r="AL86" s="84" t="str">
        <f aca="false">MID(IF(N(Y86)&gt;0,", "&amp;Y$2,"")&amp;IF(N(Z86)&gt;0,", "&amp;Z$2,"")&amp;IF(N(AA86)&gt;0,", "&amp;AA$2,"")&amp;IF(N(AB86)&gt;0,", "&amp;AB$2,"")&amp;IF(N(AC86)&gt;0,", "&amp;AC$2,"")&amp;IF(N(AD86)&gt;0,", "&amp;AD$2,"")&amp;IF(N(AE86)&gt;0,", "&amp;AE$2,"")&amp;IF(N(AF86)&gt;0,", "&amp;AF$2,"")&amp;IF(N(AG86)&gt;0,", "&amp;AG$2,"")&amp;IF(N(AH86)&gt;0,", "&amp;AH$2,"")&amp;IF(N(AI86)&gt;0,", "&amp;AI$2,"")&amp;IF(N(AJ86)&gt;0,", "&amp;AJ$2,""),3,999)</f>
        <v/>
      </c>
      <c r="AM86" s="87" t="str">
        <f aca="false">IF(E86="","",MID(IF(N(Y86)&gt;0,", "&amp;A86&amp;"-"&amp;Y$2,"")&amp;IF(N(Z86)&gt;0,", "&amp;A86&amp;"-"&amp;Z$2,"")&amp;IF(N(AA86)&gt;0,", "&amp;A86&amp;"-"&amp;AA$2,"")&amp;IF(N(AB86)&gt;0,", "&amp;A86&amp;"-"&amp;AB$2,"")&amp;IF(N(AC86)&gt;0,", "&amp;A86&amp;"-"&amp;AC$2,"")&amp;IF(N(AD86)&gt;0,", "&amp;A86&amp;"-"&amp;AD$2,"")&amp;IF(N(AE86)&gt;0,", "&amp;A86&amp;"-"&amp;AE$2,"")&amp;IF(N(AF86)&gt;0,", "&amp;A86&amp;"-"&amp;AF$2,"")&amp;IF(N(AG86)&gt;0,", "&amp;A86&amp;"-"&amp;AG$2,"")&amp;IF(N(AH86)&gt;0,", "&amp;A86&amp;"-"&amp;AH$2,"")&amp;IF(N(AI86)&gt;0,", "&amp;A86&amp;"-"&amp;AI$2,"")&amp;IF(N(AJ86)&gt;0,", "&amp;A86&amp;"-"&amp;AJ$2,""),3,999))</f>
        <v/>
      </c>
      <c r="AN86" s="81"/>
      <c r="AO86" s="88"/>
      <c r="AP86" s="89" t="str">
        <f aca="false">IF(AO86="","",ROUND(AO86/(1+Справочники!$B$13),2))</f>
        <v/>
      </c>
      <c r="AQ86" s="90" t="str">
        <f aca="false" t="array" ref="AQ86:AQ86">IF(AP86="","",AP86*INDEX(Справочники!$B$4:$B$7,MATCH("RUB",Справочники!$A$4:$A$7,0)))</f>
        <v/>
      </c>
      <c r="AR86" s="90" t="str">
        <f aca="false">IF(AQ86="","",ROUND(AQ86*(1+Справочники!$B$12),0))</f>
        <v/>
      </c>
      <c r="AS86" s="90" t="str">
        <f aca="false">IF(AR86="","",ROUND(AR86*(1-Справочники!$B$11),0))</f>
        <v/>
      </c>
      <c r="AT86" s="88"/>
      <c r="AU86" s="90" t="str">
        <f aca="false">IF(AT86="","",ROUND(AT86/(1+Справочники!$B$12),0))</f>
        <v/>
      </c>
      <c r="AV86" s="90" t="str">
        <f aca="false">IF(AT86="","",ROUND(AT86*(1-Справочники!$B$15),0))</f>
        <v/>
      </c>
      <c r="AW86" s="90" t="str">
        <f aca="false">IF(AT86="","",ROUND(AT86*(1-Справочники!$B$16),0))</f>
        <v/>
      </c>
      <c r="AX86" s="90" t="str">
        <f aca="false">IF(AT86="","",ROUND(AT86*(1-Справочники!$B$17),0))</f>
        <v/>
      </c>
      <c r="AY86" s="90" t="str">
        <f aca="false">IF(AT86="","",ROUND(AT86*(1-Справочники!$B$18),0))</f>
        <v/>
      </c>
      <c r="AZ86" s="90" t="str">
        <f aca="false">IF(AT86="","",ROUND(AT86*(1-Справочники!$B$19),0))</f>
        <v/>
      </c>
      <c r="BA86" s="81"/>
      <c r="BB86" s="81"/>
      <c r="BC86" s="81"/>
      <c r="BD86" s="81"/>
      <c r="BE86" s="91"/>
      <c r="BF86" s="81" t="s">
        <v>103</v>
      </c>
      <c r="BG86" s="89" t="n">
        <f aca="false" t="array" ref="BG86:BG86">IF(BF86="","",IFERROR(INDEX(Справочники!$B$4:$B$7,MATCH(BF86,Справочники!$A$4:$A$7,0)),""))</f>
        <v>68.5</v>
      </c>
      <c r="BH86" s="90" t="str">
        <f aca="false">IF(N(BN86)&gt;0,ROUND(SUMIF(ЗАКАЗЫ!$F$3:$F$500,$A86,ЗАКАЗЫ!$Y$3:$Y$500)/BN86,0),IF(OR(BE86="",BG86=""),"",ROUND(BE86*BG86*(1+Справочники!$B$10),0)))</f>
        <v/>
      </c>
      <c r="BI86" s="92" t="str">
        <f aca="false">IF(OR(AU86="",BH86="",AU86=0),"",(AU86-BH86)/AU86)</f>
        <v/>
      </c>
      <c r="BJ86" s="81"/>
      <c r="BK86" s="83"/>
      <c r="BL86" s="43" t="str">
        <f aca="false">IFERROR(INDEX(ЗАКАЗЫ!$N$3:$N$500,MATCH($A86,ЗАКАЗЫ!$F$3:$F$500,0)),"")</f>
        <v/>
      </c>
      <c r="BM86" s="8" t="str">
        <f aca="false">IF(BL86="","",IFERROR(VLOOKUP(BL86,'ТН ВЭД'!$A$4:$C$40,3,0),""))</f>
        <v/>
      </c>
      <c r="BN86" s="7" t="str">
        <f aca="false">IF(COUNTIF(ЗАКАЗЫ!$F$3:$F$500,$A86)=0,"",SUMIF(ЗАКАЗЫ!$F$3:$F$500,$A86,ЗАКАЗЫ!$J$3:$J$500))</f>
        <v/>
      </c>
      <c r="BO86" s="7" t="str">
        <f aca="false">IF(BN86="","",SUMIF(ЗАКАЗЫ!$F$3:$F$500,$A86,ЗАКАЗЫ!$AL$3:$AL$500))</f>
        <v/>
      </c>
      <c r="BP86" s="7" t="str">
        <f aca="false">IF(BN86="","",BN86-BO86)</f>
        <v/>
      </c>
      <c r="BQ86" s="55" t="str">
        <f aca="false">IF(BN86="","",IF(BO86&gt;=BN86,"На складе",IF(BO86&gt;0,"Частично","Ждём")))</f>
        <v/>
      </c>
      <c r="BR86" s="43"/>
      <c r="BS86" s="47" t="str">
        <f aca="false">IF(BN86="","",IF(_xlfn.MAXIFS(ЗАКАЗЫ!$AK$3:$AK$500,ЗАКАЗЫ!$F$3:$F$500,$A86)=0,"",_xlfn.MAXIFS(ЗАКАЗЫ!$AK$3:$AK$500,ЗАКАЗЫ!$F$3:$F$500,$A86)))</f>
        <v/>
      </c>
    </row>
    <row r="87" customFormat="false" ht="15.75" hidden="false" customHeight="true" outlineLevel="0" collapsed="false">
      <c r="A87" s="80" t="s">
        <v>2281</v>
      </c>
      <c r="B87" s="81"/>
      <c r="C87" s="81"/>
      <c r="D87" s="81"/>
      <c r="E87" s="83"/>
      <c r="F87" s="81"/>
      <c r="G87" s="83"/>
      <c r="H87" s="83"/>
      <c r="I87" s="84" t="str">
        <f aca="false">IF(E87="","",A87&amp;"_1.jpg")</f>
        <v/>
      </c>
      <c r="J87" s="84" t="str">
        <f aca="false">IF(E87="","",A87&amp;"_2.jpg; "&amp;A87&amp;"_3.jpg")</f>
        <v/>
      </c>
      <c r="K87" s="84" t="str">
        <f aca="false">IF(E87="","",A87&amp;"_schema.jpg")</f>
        <v/>
      </c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 t="s">
        <v>96</v>
      </c>
      <c r="W87" s="81"/>
      <c r="X87" s="81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6" t="str">
        <f aca="false">IF(SUM(Y87:AJ87)=0,"",SUM(Y87:AJ87))</f>
        <v/>
      </c>
      <c r="AL87" s="84" t="str">
        <f aca="false">MID(IF(N(Y87)&gt;0,", "&amp;Y$2,"")&amp;IF(N(Z87)&gt;0,", "&amp;Z$2,"")&amp;IF(N(AA87)&gt;0,", "&amp;AA$2,"")&amp;IF(N(AB87)&gt;0,", "&amp;AB$2,"")&amp;IF(N(AC87)&gt;0,", "&amp;AC$2,"")&amp;IF(N(AD87)&gt;0,", "&amp;AD$2,"")&amp;IF(N(AE87)&gt;0,", "&amp;AE$2,"")&amp;IF(N(AF87)&gt;0,", "&amp;AF$2,"")&amp;IF(N(AG87)&gt;0,", "&amp;AG$2,"")&amp;IF(N(AH87)&gt;0,", "&amp;AH$2,"")&amp;IF(N(AI87)&gt;0,", "&amp;AI$2,"")&amp;IF(N(AJ87)&gt;0,", "&amp;AJ$2,""),3,999)</f>
        <v/>
      </c>
      <c r="AM87" s="87" t="str">
        <f aca="false">IF(E87="","",MID(IF(N(Y87)&gt;0,", "&amp;A87&amp;"-"&amp;Y$2,"")&amp;IF(N(Z87)&gt;0,", "&amp;A87&amp;"-"&amp;Z$2,"")&amp;IF(N(AA87)&gt;0,", "&amp;A87&amp;"-"&amp;AA$2,"")&amp;IF(N(AB87)&gt;0,", "&amp;A87&amp;"-"&amp;AB$2,"")&amp;IF(N(AC87)&gt;0,", "&amp;A87&amp;"-"&amp;AC$2,"")&amp;IF(N(AD87)&gt;0,", "&amp;A87&amp;"-"&amp;AD$2,"")&amp;IF(N(AE87)&gt;0,", "&amp;A87&amp;"-"&amp;AE$2,"")&amp;IF(N(AF87)&gt;0,", "&amp;A87&amp;"-"&amp;AF$2,"")&amp;IF(N(AG87)&gt;0,", "&amp;A87&amp;"-"&amp;AG$2,"")&amp;IF(N(AH87)&gt;0,", "&amp;A87&amp;"-"&amp;AH$2,"")&amp;IF(N(AI87)&gt;0,", "&amp;A87&amp;"-"&amp;AI$2,"")&amp;IF(N(AJ87)&gt;0,", "&amp;A87&amp;"-"&amp;AJ$2,""),3,999))</f>
        <v/>
      </c>
      <c r="AN87" s="81"/>
      <c r="AO87" s="88"/>
      <c r="AP87" s="89" t="str">
        <f aca="false">IF(AO87="","",ROUND(AO87/(1+Справочники!$B$13),2))</f>
        <v/>
      </c>
      <c r="AQ87" s="90" t="str">
        <f aca="false" t="array" ref="AQ87:AQ87">IF(AP87="","",AP87*INDEX(Справочники!$B$4:$B$7,MATCH("RUB",Справочники!$A$4:$A$7,0)))</f>
        <v/>
      </c>
      <c r="AR87" s="90" t="str">
        <f aca="false">IF(AQ87="","",ROUND(AQ87*(1+Справочники!$B$12),0))</f>
        <v/>
      </c>
      <c r="AS87" s="90" t="str">
        <f aca="false">IF(AR87="","",ROUND(AR87*(1-Справочники!$B$11),0))</f>
        <v/>
      </c>
      <c r="AT87" s="88"/>
      <c r="AU87" s="90" t="str">
        <f aca="false">IF(AT87="","",ROUND(AT87/(1+Справочники!$B$12),0))</f>
        <v/>
      </c>
      <c r="AV87" s="90" t="str">
        <f aca="false">IF(AT87="","",ROUND(AT87*(1-Справочники!$B$15),0))</f>
        <v/>
      </c>
      <c r="AW87" s="90" t="str">
        <f aca="false">IF(AT87="","",ROUND(AT87*(1-Справочники!$B$16),0))</f>
        <v/>
      </c>
      <c r="AX87" s="90" t="str">
        <f aca="false">IF(AT87="","",ROUND(AT87*(1-Справочники!$B$17),0))</f>
        <v/>
      </c>
      <c r="AY87" s="90" t="str">
        <f aca="false">IF(AT87="","",ROUND(AT87*(1-Справочники!$B$18),0))</f>
        <v/>
      </c>
      <c r="AZ87" s="90" t="str">
        <f aca="false">IF(AT87="","",ROUND(AT87*(1-Справочники!$B$19),0))</f>
        <v/>
      </c>
      <c r="BA87" s="81"/>
      <c r="BB87" s="81"/>
      <c r="BC87" s="81"/>
      <c r="BD87" s="81"/>
      <c r="BE87" s="91"/>
      <c r="BF87" s="81" t="s">
        <v>103</v>
      </c>
      <c r="BG87" s="89" t="n">
        <f aca="false" t="array" ref="BG87:BG87">IF(BF87="","",IFERROR(INDEX(Справочники!$B$4:$B$7,MATCH(BF87,Справочники!$A$4:$A$7,0)),""))</f>
        <v>68.5</v>
      </c>
      <c r="BH87" s="90" t="str">
        <f aca="false">IF(N(BN87)&gt;0,ROUND(SUMIF(ЗАКАЗЫ!$F$3:$F$500,$A87,ЗАКАЗЫ!$Y$3:$Y$500)/BN87,0),IF(OR(BE87="",BG87=""),"",ROUND(BE87*BG87*(1+Справочники!$B$10),0)))</f>
        <v/>
      </c>
      <c r="BI87" s="92" t="str">
        <f aca="false">IF(OR(AU87="",BH87="",AU87=0),"",(AU87-BH87)/AU87)</f>
        <v/>
      </c>
      <c r="BJ87" s="81"/>
      <c r="BK87" s="83"/>
      <c r="BL87" s="43" t="str">
        <f aca="false">IFERROR(INDEX(ЗАКАЗЫ!$N$3:$N$500,MATCH($A87,ЗАКАЗЫ!$F$3:$F$500,0)),"")</f>
        <v/>
      </c>
      <c r="BM87" s="8" t="str">
        <f aca="false">IF(BL87="","",IFERROR(VLOOKUP(BL87,'ТН ВЭД'!$A$4:$C$40,3,0),""))</f>
        <v/>
      </c>
      <c r="BN87" s="7" t="str">
        <f aca="false">IF(COUNTIF(ЗАКАЗЫ!$F$3:$F$500,$A87)=0,"",SUMIF(ЗАКАЗЫ!$F$3:$F$500,$A87,ЗАКАЗЫ!$J$3:$J$500))</f>
        <v/>
      </c>
      <c r="BO87" s="7" t="str">
        <f aca="false">IF(BN87="","",SUMIF(ЗАКАЗЫ!$F$3:$F$500,$A87,ЗАКАЗЫ!$AL$3:$AL$500))</f>
        <v/>
      </c>
      <c r="BP87" s="7" t="str">
        <f aca="false">IF(BN87="","",BN87-BO87)</f>
        <v/>
      </c>
      <c r="BQ87" s="55" t="str">
        <f aca="false">IF(BN87="","",IF(BO87&gt;=BN87,"На складе",IF(BO87&gt;0,"Частично","Ждём")))</f>
        <v/>
      </c>
      <c r="BR87" s="43"/>
      <c r="BS87" s="47" t="str">
        <f aca="false">IF(BN87="","",IF(_xlfn.MAXIFS(ЗАКАЗЫ!$AK$3:$AK$500,ЗАКАЗЫ!$F$3:$F$500,$A87)=0,"",_xlfn.MAXIFS(ЗАКАЗЫ!$AK$3:$AK$500,ЗАКАЗЫ!$F$3:$F$500,$A87)))</f>
        <v/>
      </c>
    </row>
    <row r="88" customFormat="false" ht="15.75" hidden="false" customHeight="true" outlineLevel="0" collapsed="false">
      <c r="A88" s="80" t="s">
        <v>2282</v>
      </c>
      <c r="B88" s="81"/>
      <c r="C88" s="81"/>
      <c r="D88" s="81"/>
      <c r="E88" s="83"/>
      <c r="F88" s="81"/>
      <c r="G88" s="83"/>
      <c r="H88" s="83"/>
      <c r="I88" s="84" t="str">
        <f aca="false">IF(E88="","",A88&amp;"_1.jpg")</f>
        <v/>
      </c>
      <c r="J88" s="84" t="str">
        <f aca="false">IF(E88="","",A88&amp;"_2.jpg; "&amp;A88&amp;"_3.jpg")</f>
        <v/>
      </c>
      <c r="K88" s="84" t="str">
        <f aca="false">IF(E88="","",A88&amp;"_schema.jpg")</f>
        <v/>
      </c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 t="s">
        <v>96</v>
      </c>
      <c r="W88" s="81"/>
      <c r="X88" s="81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6" t="str">
        <f aca="false">IF(SUM(Y88:AJ88)=0,"",SUM(Y88:AJ88))</f>
        <v/>
      </c>
      <c r="AL88" s="84" t="str">
        <f aca="false">MID(IF(N(Y88)&gt;0,", "&amp;Y$2,"")&amp;IF(N(Z88)&gt;0,", "&amp;Z$2,"")&amp;IF(N(AA88)&gt;0,", "&amp;AA$2,"")&amp;IF(N(AB88)&gt;0,", "&amp;AB$2,"")&amp;IF(N(AC88)&gt;0,", "&amp;AC$2,"")&amp;IF(N(AD88)&gt;0,", "&amp;AD$2,"")&amp;IF(N(AE88)&gt;0,", "&amp;AE$2,"")&amp;IF(N(AF88)&gt;0,", "&amp;AF$2,"")&amp;IF(N(AG88)&gt;0,", "&amp;AG$2,"")&amp;IF(N(AH88)&gt;0,", "&amp;AH$2,"")&amp;IF(N(AI88)&gt;0,", "&amp;AI$2,"")&amp;IF(N(AJ88)&gt;0,", "&amp;AJ$2,""),3,999)</f>
        <v/>
      </c>
      <c r="AM88" s="87" t="str">
        <f aca="false">IF(E88="","",MID(IF(N(Y88)&gt;0,", "&amp;A88&amp;"-"&amp;Y$2,"")&amp;IF(N(Z88)&gt;0,", "&amp;A88&amp;"-"&amp;Z$2,"")&amp;IF(N(AA88)&gt;0,", "&amp;A88&amp;"-"&amp;AA$2,"")&amp;IF(N(AB88)&gt;0,", "&amp;A88&amp;"-"&amp;AB$2,"")&amp;IF(N(AC88)&gt;0,", "&amp;A88&amp;"-"&amp;AC$2,"")&amp;IF(N(AD88)&gt;0,", "&amp;A88&amp;"-"&amp;AD$2,"")&amp;IF(N(AE88)&gt;0,", "&amp;A88&amp;"-"&amp;AE$2,"")&amp;IF(N(AF88)&gt;0,", "&amp;A88&amp;"-"&amp;AF$2,"")&amp;IF(N(AG88)&gt;0,", "&amp;A88&amp;"-"&amp;AG$2,"")&amp;IF(N(AH88)&gt;0,", "&amp;A88&amp;"-"&amp;AH$2,"")&amp;IF(N(AI88)&gt;0,", "&amp;A88&amp;"-"&amp;AI$2,"")&amp;IF(N(AJ88)&gt;0,", "&amp;A88&amp;"-"&amp;AJ$2,""),3,999))</f>
        <v/>
      </c>
      <c r="AN88" s="81"/>
      <c r="AO88" s="88"/>
      <c r="AP88" s="89" t="str">
        <f aca="false">IF(AO88="","",ROUND(AO88/(1+Справочники!$B$13),2))</f>
        <v/>
      </c>
      <c r="AQ88" s="90" t="str">
        <f aca="false" t="array" ref="AQ88:AQ88">IF(AP88="","",AP88*INDEX(Справочники!$B$4:$B$7,MATCH("RUB",Справочники!$A$4:$A$7,0)))</f>
        <v/>
      </c>
      <c r="AR88" s="90" t="str">
        <f aca="false">IF(AQ88="","",ROUND(AQ88*(1+Справочники!$B$12),0))</f>
        <v/>
      </c>
      <c r="AS88" s="90" t="str">
        <f aca="false">IF(AR88="","",ROUND(AR88*(1-Справочники!$B$11),0))</f>
        <v/>
      </c>
      <c r="AT88" s="88"/>
      <c r="AU88" s="90" t="str">
        <f aca="false">IF(AT88="","",ROUND(AT88/(1+Справочники!$B$12),0))</f>
        <v/>
      </c>
      <c r="AV88" s="90" t="str">
        <f aca="false">IF(AT88="","",ROUND(AT88*(1-Справочники!$B$15),0))</f>
        <v/>
      </c>
      <c r="AW88" s="90" t="str">
        <f aca="false">IF(AT88="","",ROUND(AT88*(1-Справочники!$B$16),0))</f>
        <v/>
      </c>
      <c r="AX88" s="90" t="str">
        <f aca="false">IF(AT88="","",ROUND(AT88*(1-Справочники!$B$17),0))</f>
        <v/>
      </c>
      <c r="AY88" s="90" t="str">
        <f aca="false">IF(AT88="","",ROUND(AT88*(1-Справочники!$B$18),0))</f>
        <v/>
      </c>
      <c r="AZ88" s="90" t="str">
        <f aca="false">IF(AT88="","",ROUND(AT88*(1-Справочники!$B$19),0))</f>
        <v/>
      </c>
      <c r="BA88" s="81"/>
      <c r="BB88" s="81"/>
      <c r="BC88" s="81"/>
      <c r="BD88" s="81"/>
      <c r="BE88" s="91"/>
      <c r="BF88" s="81" t="s">
        <v>103</v>
      </c>
      <c r="BG88" s="89" t="n">
        <f aca="false" t="array" ref="BG88:BG88">IF(BF88="","",IFERROR(INDEX(Справочники!$B$4:$B$7,MATCH(BF88,Справочники!$A$4:$A$7,0)),""))</f>
        <v>68.5</v>
      </c>
      <c r="BH88" s="90" t="str">
        <f aca="false">IF(N(BN88)&gt;0,ROUND(SUMIF(ЗАКАЗЫ!$F$3:$F$500,$A88,ЗАКАЗЫ!$Y$3:$Y$500)/BN88,0),IF(OR(BE88="",BG88=""),"",ROUND(BE88*BG88*(1+Справочники!$B$10),0)))</f>
        <v/>
      </c>
      <c r="BI88" s="92" t="str">
        <f aca="false">IF(OR(AU88="",BH88="",AU88=0),"",(AU88-BH88)/AU88)</f>
        <v/>
      </c>
      <c r="BJ88" s="81"/>
      <c r="BK88" s="83"/>
      <c r="BL88" s="43" t="str">
        <f aca="false">IFERROR(INDEX(ЗАКАЗЫ!$N$3:$N$500,MATCH($A88,ЗАКАЗЫ!$F$3:$F$500,0)),"")</f>
        <v/>
      </c>
      <c r="BM88" s="8" t="str">
        <f aca="false">IF(BL88="","",IFERROR(VLOOKUP(BL88,'ТН ВЭД'!$A$4:$C$40,3,0),""))</f>
        <v/>
      </c>
      <c r="BN88" s="7" t="str">
        <f aca="false">IF(COUNTIF(ЗАКАЗЫ!$F$3:$F$500,$A88)=0,"",SUMIF(ЗАКАЗЫ!$F$3:$F$500,$A88,ЗАКАЗЫ!$J$3:$J$500))</f>
        <v/>
      </c>
      <c r="BO88" s="7" t="str">
        <f aca="false">IF(BN88="","",SUMIF(ЗАКАЗЫ!$F$3:$F$500,$A88,ЗАКАЗЫ!$AL$3:$AL$500))</f>
        <v/>
      </c>
      <c r="BP88" s="7" t="str">
        <f aca="false">IF(BN88="","",BN88-BO88)</f>
        <v/>
      </c>
      <c r="BQ88" s="55" t="str">
        <f aca="false">IF(BN88="","",IF(BO88&gt;=BN88,"На складе",IF(BO88&gt;0,"Частично","Ждём")))</f>
        <v/>
      </c>
      <c r="BR88" s="43"/>
      <c r="BS88" s="47" t="str">
        <f aca="false">IF(BN88="","",IF(_xlfn.MAXIFS(ЗАКАЗЫ!$AK$3:$AK$500,ЗАКАЗЫ!$F$3:$F$500,$A88)=0,"",_xlfn.MAXIFS(ЗАКАЗЫ!$AK$3:$AK$500,ЗАКАЗЫ!$F$3:$F$500,$A88)))</f>
        <v/>
      </c>
    </row>
    <row r="89" customFormat="false" ht="15.75" hidden="false" customHeight="true" outlineLevel="0" collapsed="false">
      <c r="A89" s="80" t="s">
        <v>2283</v>
      </c>
      <c r="B89" s="81"/>
      <c r="C89" s="81"/>
      <c r="D89" s="81"/>
      <c r="E89" s="83"/>
      <c r="F89" s="81"/>
      <c r="G89" s="83"/>
      <c r="H89" s="83"/>
      <c r="I89" s="84" t="str">
        <f aca="false">IF(E89="","",A89&amp;"_1.jpg")</f>
        <v/>
      </c>
      <c r="J89" s="84" t="str">
        <f aca="false">IF(E89="","",A89&amp;"_2.jpg; "&amp;A89&amp;"_3.jpg")</f>
        <v/>
      </c>
      <c r="K89" s="84" t="str">
        <f aca="false">IF(E89="","",A89&amp;"_schema.jpg")</f>
        <v/>
      </c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 t="s">
        <v>96</v>
      </c>
      <c r="W89" s="81"/>
      <c r="X89" s="81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6" t="str">
        <f aca="false">IF(SUM(Y89:AJ89)=0,"",SUM(Y89:AJ89))</f>
        <v/>
      </c>
      <c r="AL89" s="84" t="str">
        <f aca="false">MID(IF(N(Y89)&gt;0,", "&amp;Y$2,"")&amp;IF(N(Z89)&gt;0,", "&amp;Z$2,"")&amp;IF(N(AA89)&gt;0,", "&amp;AA$2,"")&amp;IF(N(AB89)&gt;0,", "&amp;AB$2,"")&amp;IF(N(AC89)&gt;0,", "&amp;AC$2,"")&amp;IF(N(AD89)&gt;0,", "&amp;AD$2,"")&amp;IF(N(AE89)&gt;0,", "&amp;AE$2,"")&amp;IF(N(AF89)&gt;0,", "&amp;AF$2,"")&amp;IF(N(AG89)&gt;0,", "&amp;AG$2,"")&amp;IF(N(AH89)&gt;0,", "&amp;AH$2,"")&amp;IF(N(AI89)&gt;0,", "&amp;AI$2,"")&amp;IF(N(AJ89)&gt;0,", "&amp;AJ$2,""),3,999)</f>
        <v/>
      </c>
      <c r="AM89" s="87" t="str">
        <f aca="false">IF(E89="","",MID(IF(N(Y89)&gt;0,", "&amp;A89&amp;"-"&amp;Y$2,"")&amp;IF(N(Z89)&gt;0,", "&amp;A89&amp;"-"&amp;Z$2,"")&amp;IF(N(AA89)&gt;0,", "&amp;A89&amp;"-"&amp;AA$2,"")&amp;IF(N(AB89)&gt;0,", "&amp;A89&amp;"-"&amp;AB$2,"")&amp;IF(N(AC89)&gt;0,", "&amp;A89&amp;"-"&amp;AC$2,"")&amp;IF(N(AD89)&gt;0,", "&amp;A89&amp;"-"&amp;AD$2,"")&amp;IF(N(AE89)&gt;0,", "&amp;A89&amp;"-"&amp;AE$2,"")&amp;IF(N(AF89)&gt;0,", "&amp;A89&amp;"-"&amp;AF$2,"")&amp;IF(N(AG89)&gt;0,", "&amp;A89&amp;"-"&amp;AG$2,"")&amp;IF(N(AH89)&gt;0,", "&amp;A89&amp;"-"&amp;AH$2,"")&amp;IF(N(AI89)&gt;0,", "&amp;A89&amp;"-"&amp;AI$2,"")&amp;IF(N(AJ89)&gt;0,", "&amp;A89&amp;"-"&amp;AJ$2,""),3,999))</f>
        <v/>
      </c>
      <c r="AN89" s="81"/>
      <c r="AO89" s="88"/>
      <c r="AP89" s="89" t="str">
        <f aca="false">IF(AO89="","",ROUND(AO89/(1+Справочники!$B$13),2))</f>
        <v/>
      </c>
      <c r="AQ89" s="90" t="str">
        <f aca="false" t="array" ref="AQ89:AQ89">IF(AP89="","",AP89*INDEX(Справочники!$B$4:$B$7,MATCH("RUB",Справочники!$A$4:$A$7,0)))</f>
        <v/>
      </c>
      <c r="AR89" s="90" t="str">
        <f aca="false">IF(AQ89="","",ROUND(AQ89*(1+Справочники!$B$12),0))</f>
        <v/>
      </c>
      <c r="AS89" s="90" t="str">
        <f aca="false">IF(AR89="","",ROUND(AR89*(1-Справочники!$B$11),0))</f>
        <v/>
      </c>
      <c r="AT89" s="88"/>
      <c r="AU89" s="90" t="str">
        <f aca="false">IF(AT89="","",ROUND(AT89/(1+Справочники!$B$12),0))</f>
        <v/>
      </c>
      <c r="AV89" s="90" t="str">
        <f aca="false">IF(AT89="","",ROUND(AT89*(1-Справочники!$B$15),0))</f>
        <v/>
      </c>
      <c r="AW89" s="90" t="str">
        <f aca="false">IF(AT89="","",ROUND(AT89*(1-Справочники!$B$16),0))</f>
        <v/>
      </c>
      <c r="AX89" s="90" t="str">
        <f aca="false">IF(AT89="","",ROUND(AT89*(1-Справочники!$B$17),0))</f>
        <v/>
      </c>
      <c r="AY89" s="90" t="str">
        <f aca="false">IF(AT89="","",ROUND(AT89*(1-Справочники!$B$18),0))</f>
        <v/>
      </c>
      <c r="AZ89" s="90" t="str">
        <f aca="false">IF(AT89="","",ROUND(AT89*(1-Справочники!$B$19),0))</f>
        <v/>
      </c>
      <c r="BA89" s="81"/>
      <c r="BB89" s="81"/>
      <c r="BC89" s="81"/>
      <c r="BD89" s="81"/>
      <c r="BE89" s="91"/>
      <c r="BF89" s="81" t="s">
        <v>103</v>
      </c>
      <c r="BG89" s="89" t="n">
        <f aca="false" t="array" ref="BG89:BG89">IF(BF89="","",IFERROR(INDEX(Справочники!$B$4:$B$7,MATCH(BF89,Справочники!$A$4:$A$7,0)),""))</f>
        <v>68.5</v>
      </c>
      <c r="BH89" s="90" t="str">
        <f aca="false">IF(N(BN89)&gt;0,ROUND(SUMIF(ЗАКАЗЫ!$F$3:$F$500,$A89,ЗАКАЗЫ!$Y$3:$Y$500)/BN89,0),IF(OR(BE89="",BG89=""),"",ROUND(BE89*BG89*(1+Справочники!$B$10),0)))</f>
        <v/>
      </c>
      <c r="BI89" s="92" t="str">
        <f aca="false">IF(OR(AU89="",BH89="",AU89=0),"",(AU89-BH89)/AU89)</f>
        <v/>
      </c>
      <c r="BJ89" s="81"/>
      <c r="BK89" s="83"/>
      <c r="BL89" s="43" t="str">
        <f aca="false">IFERROR(INDEX(ЗАКАЗЫ!$N$3:$N$500,MATCH($A89,ЗАКАЗЫ!$F$3:$F$500,0)),"")</f>
        <v/>
      </c>
      <c r="BM89" s="8" t="str">
        <f aca="false">IF(BL89="","",IFERROR(VLOOKUP(BL89,'ТН ВЭД'!$A$4:$C$40,3,0),""))</f>
        <v/>
      </c>
      <c r="BN89" s="7" t="str">
        <f aca="false">IF(COUNTIF(ЗАКАЗЫ!$F$3:$F$500,$A89)=0,"",SUMIF(ЗАКАЗЫ!$F$3:$F$500,$A89,ЗАКАЗЫ!$J$3:$J$500))</f>
        <v/>
      </c>
      <c r="BO89" s="7" t="str">
        <f aca="false">IF(BN89="","",SUMIF(ЗАКАЗЫ!$F$3:$F$500,$A89,ЗАКАЗЫ!$AL$3:$AL$500))</f>
        <v/>
      </c>
      <c r="BP89" s="7" t="str">
        <f aca="false">IF(BN89="","",BN89-BO89)</f>
        <v/>
      </c>
      <c r="BQ89" s="55" t="str">
        <f aca="false">IF(BN89="","",IF(BO89&gt;=BN89,"На складе",IF(BO89&gt;0,"Частично","Ждём")))</f>
        <v/>
      </c>
      <c r="BR89" s="43"/>
      <c r="BS89" s="47" t="str">
        <f aca="false">IF(BN89="","",IF(_xlfn.MAXIFS(ЗАКАЗЫ!$AK$3:$AK$500,ЗАКАЗЫ!$F$3:$F$500,$A89)=0,"",_xlfn.MAXIFS(ЗАКАЗЫ!$AK$3:$AK$500,ЗАКАЗЫ!$F$3:$F$500,$A89)))</f>
        <v/>
      </c>
    </row>
    <row r="90" customFormat="false" ht="15.75" hidden="false" customHeight="true" outlineLevel="0" collapsed="false">
      <c r="A90" s="80" t="s">
        <v>2284</v>
      </c>
      <c r="B90" s="81"/>
      <c r="C90" s="81"/>
      <c r="D90" s="81"/>
      <c r="E90" s="83"/>
      <c r="F90" s="81"/>
      <c r="G90" s="83"/>
      <c r="H90" s="83"/>
      <c r="I90" s="84" t="str">
        <f aca="false">IF(E90="","",A90&amp;"_1.jpg")</f>
        <v/>
      </c>
      <c r="J90" s="84" t="str">
        <f aca="false">IF(E90="","",A90&amp;"_2.jpg; "&amp;A90&amp;"_3.jpg")</f>
        <v/>
      </c>
      <c r="K90" s="84" t="str">
        <f aca="false">IF(E90="","",A90&amp;"_schema.jpg")</f>
        <v/>
      </c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 t="s">
        <v>96</v>
      </c>
      <c r="W90" s="81"/>
      <c r="X90" s="81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6" t="str">
        <f aca="false">IF(SUM(Y90:AJ90)=0,"",SUM(Y90:AJ90))</f>
        <v/>
      </c>
      <c r="AL90" s="84" t="str">
        <f aca="false">MID(IF(N(Y90)&gt;0,", "&amp;Y$2,"")&amp;IF(N(Z90)&gt;0,", "&amp;Z$2,"")&amp;IF(N(AA90)&gt;0,", "&amp;AA$2,"")&amp;IF(N(AB90)&gt;0,", "&amp;AB$2,"")&amp;IF(N(AC90)&gt;0,", "&amp;AC$2,"")&amp;IF(N(AD90)&gt;0,", "&amp;AD$2,"")&amp;IF(N(AE90)&gt;0,", "&amp;AE$2,"")&amp;IF(N(AF90)&gt;0,", "&amp;AF$2,"")&amp;IF(N(AG90)&gt;0,", "&amp;AG$2,"")&amp;IF(N(AH90)&gt;0,", "&amp;AH$2,"")&amp;IF(N(AI90)&gt;0,", "&amp;AI$2,"")&amp;IF(N(AJ90)&gt;0,", "&amp;AJ$2,""),3,999)</f>
        <v/>
      </c>
      <c r="AM90" s="87" t="str">
        <f aca="false">IF(E90="","",MID(IF(N(Y90)&gt;0,", "&amp;A90&amp;"-"&amp;Y$2,"")&amp;IF(N(Z90)&gt;0,", "&amp;A90&amp;"-"&amp;Z$2,"")&amp;IF(N(AA90)&gt;0,", "&amp;A90&amp;"-"&amp;AA$2,"")&amp;IF(N(AB90)&gt;0,", "&amp;A90&amp;"-"&amp;AB$2,"")&amp;IF(N(AC90)&gt;0,", "&amp;A90&amp;"-"&amp;AC$2,"")&amp;IF(N(AD90)&gt;0,", "&amp;A90&amp;"-"&amp;AD$2,"")&amp;IF(N(AE90)&gt;0,", "&amp;A90&amp;"-"&amp;AE$2,"")&amp;IF(N(AF90)&gt;0,", "&amp;A90&amp;"-"&amp;AF$2,"")&amp;IF(N(AG90)&gt;0,", "&amp;A90&amp;"-"&amp;AG$2,"")&amp;IF(N(AH90)&gt;0,", "&amp;A90&amp;"-"&amp;AH$2,"")&amp;IF(N(AI90)&gt;0,", "&amp;A90&amp;"-"&amp;AI$2,"")&amp;IF(N(AJ90)&gt;0,", "&amp;A90&amp;"-"&amp;AJ$2,""),3,999))</f>
        <v/>
      </c>
      <c r="AN90" s="81"/>
      <c r="AO90" s="88"/>
      <c r="AP90" s="89" t="str">
        <f aca="false">IF(AO90="","",ROUND(AO90/(1+Справочники!$B$13),2))</f>
        <v/>
      </c>
      <c r="AQ90" s="90" t="str">
        <f aca="false" t="array" ref="AQ90:AQ90">IF(AP90="","",AP90*INDEX(Справочники!$B$4:$B$7,MATCH("RUB",Справочники!$A$4:$A$7,0)))</f>
        <v/>
      </c>
      <c r="AR90" s="90" t="str">
        <f aca="false">IF(AQ90="","",ROUND(AQ90*(1+Справочники!$B$12),0))</f>
        <v/>
      </c>
      <c r="AS90" s="90" t="str">
        <f aca="false">IF(AR90="","",ROUND(AR90*(1-Справочники!$B$11),0))</f>
        <v/>
      </c>
      <c r="AT90" s="88"/>
      <c r="AU90" s="90" t="str">
        <f aca="false">IF(AT90="","",ROUND(AT90/(1+Справочники!$B$12),0))</f>
        <v/>
      </c>
      <c r="AV90" s="90" t="str">
        <f aca="false">IF(AT90="","",ROUND(AT90*(1-Справочники!$B$15),0))</f>
        <v/>
      </c>
      <c r="AW90" s="90" t="str">
        <f aca="false">IF(AT90="","",ROUND(AT90*(1-Справочники!$B$16),0))</f>
        <v/>
      </c>
      <c r="AX90" s="90" t="str">
        <f aca="false">IF(AT90="","",ROUND(AT90*(1-Справочники!$B$17),0))</f>
        <v/>
      </c>
      <c r="AY90" s="90" t="str">
        <f aca="false">IF(AT90="","",ROUND(AT90*(1-Справочники!$B$18),0))</f>
        <v/>
      </c>
      <c r="AZ90" s="90" t="str">
        <f aca="false">IF(AT90="","",ROUND(AT90*(1-Справочники!$B$19),0))</f>
        <v/>
      </c>
      <c r="BA90" s="81"/>
      <c r="BB90" s="81"/>
      <c r="BC90" s="81"/>
      <c r="BD90" s="81"/>
      <c r="BE90" s="91"/>
      <c r="BF90" s="81" t="s">
        <v>103</v>
      </c>
      <c r="BG90" s="89" t="n">
        <f aca="false" t="array" ref="BG90:BG90">IF(BF90="","",IFERROR(INDEX(Справочники!$B$4:$B$7,MATCH(BF90,Справочники!$A$4:$A$7,0)),""))</f>
        <v>68.5</v>
      </c>
      <c r="BH90" s="90" t="str">
        <f aca="false">IF(N(BN90)&gt;0,ROUND(SUMIF(ЗАКАЗЫ!$F$3:$F$500,$A90,ЗАКАЗЫ!$Y$3:$Y$500)/BN90,0),IF(OR(BE90="",BG90=""),"",ROUND(BE90*BG90*(1+Справочники!$B$10),0)))</f>
        <v/>
      </c>
      <c r="BI90" s="92" t="str">
        <f aca="false">IF(OR(AU90="",BH90="",AU90=0),"",(AU90-BH90)/AU90)</f>
        <v/>
      </c>
      <c r="BJ90" s="81"/>
      <c r="BK90" s="83"/>
      <c r="BL90" s="43" t="str">
        <f aca="false">IFERROR(INDEX(ЗАКАЗЫ!$N$3:$N$500,MATCH($A90,ЗАКАЗЫ!$F$3:$F$500,0)),"")</f>
        <v/>
      </c>
      <c r="BM90" s="8" t="str">
        <f aca="false">IF(BL90="","",IFERROR(VLOOKUP(BL90,'ТН ВЭД'!$A$4:$C$40,3,0),""))</f>
        <v/>
      </c>
      <c r="BN90" s="7" t="str">
        <f aca="false">IF(COUNTIF(ЗАКАЗЫ!$F$3:$F$500,$A90)=0,"",SUMIF(ЗАКАЗЫ!$F$3:$F$500,$A90,ЗАКАЗЫ!$J$3:$J$500))</f>
        <v/>
      </c>
      <c r="BO90" s="7" t="str">
        <f aca="false">IF(BN90="","",SUMIF(ЗАКАЗЫ!$F$3:$F$500,$A90,ЗАКАЗЫ!$AL$3:$AL$500))</f>
        <v/>
      </c>
      <c r="BP90" s="7" t="str">
        <f aca="false">IF(BN90="","",BN90-BO90)</f>
        <v/>
      </c>
      <c r="BQ90" s="55" t="str">
        <f aca="false">IF(BN90="","",IF(BO90&gt;=BN90,"На складе",IF(BO90&gt;0,"Частично","Ждём")))</f>
        <v/>
      </c>
      <c r="BR90" s="43"/>
      <c r="BS90" s="47" t="str">
        <f aca="false">IF(BN90="","",IF(_xlfn.MAXIFS(ЗАКАЗЫ!$AK$3:$AK$500,ЗАКАЗЫ!$F$3:$F$500,$A90)=0,"",_xlfn.MAXIFS(ЗАКАЗЫ!$AK$3:$AK$500,ЗАКАЗЫ!$F$3:$F$500,$A90)))</f>
        <v/>
      </c>
    </row>
    <row r="91" customFormat="false" ht="15.75" hidden="false" customHeight="true" outlineLevel="0" collapsed="false">
      <c r="A91" s="80" t="s">
        <v>2285</v>
      </c>
      <c r="B91" s="81"/>
      <c r="C91" s="81"/>
      <c r="D91" s="81"/>
      <c r="E91" s="83"/>
      <c r="F91" s="81"/>
      <c r="G91" s="83"/>
      <c r="H91" s="83"/>
      <c r="I91" s="84" t="str">
        <f aca="false">IF(E91="","",A91&amp;"_1.jpg")</f>
        <v/>
      </c>
      <c r="J91" s="84" t="str">
        <f aca="false">IF(E91="","",A91&amp;"_2.jpg; "&amp;A91&amp;"_3.jpg")</f>
        <v/>
      </c>
      <c r="K91" s="84" t="str">
        <f aca="false">IF(E91="","",A91&amp;"_schema.jpg")</f>
        <v/>
      </c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 t="s">
        <v>96</v>
      </c>
      <c r="W91" s="81"/>
      <c r="X91" s="81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6" t="str">
        <f aca="false">IF(SUM(Y91:AJ91)=0,"",SUM(Y91:AJ91))</f>
        <v/>
      </c>
      <c r="AL91" s="84" t="str">
        <f aca="false">MID(IF(N(Y91)&gt;0,", "&amp;Y$2,"")&amp;IF(N(Z91)&gt;0,", "&amp;Z$2,"")&amp;IF(N(AA91)&gt;0,", "&amp;AA$2,"")&amp;IF(N(AB91)&gt;0,", "&amp;AB$2,"")&amp;IF(N(AC91)&gt;0,", "&amp;AC$2,"")&amp;IF(N(AD91)&gt;0,", "&amp;AD$2,"")&amp;IF(N(AE91)&gt;0,", "&amp;AE$2,"")&amp;IF(N(AF91)&gt;0,", "&amp;AF$2,"")&amp;IF(N(AG91)&gt;0,", "&amp;AG$2,"")&amp;IF(N(AH91)&gt;0,", "&amp;AH$2,"")&amp;IF(N(AI91)&gt;0,", "&amp;AI$2,"")&amp;IF(N(AJ91)&gt;0,", "&amp;AJ$2,""),3,999)</f>
        <v/>
      </c>
      <c r="AM91" s="87" t="str">
        <f aca="false">IF(E91="","",MID(IF(N(Y91)&gt;0,", "&amp;A91&amp;"-"&amp;Y$2,"")&amp;IF(N(Z91)&gt;0,", "&amp;A91&amp;"-"&amp;Z$2,"")&amp;IF(N(AA91)&gt;0,", "&amp;A91&amp;"-"&amp;AA$2,"")&amp;IF(N(AB91)&gt;0,", "&amp;A91&amp;"-"&amp;AB$2,"")&amp;IF(N(AC91)&gt;0,", "&amp;A91&amp;"-"&amp;AC$2,"")&amp;IF(N(AD91)&gt;0,", "&amp;A91&amp;"-"&amp;AD$2,"")&amp;IF(N(AE91)&gt;0,", "&amp;A91&amp;"-"&amp;AE$2,"")&amp;IF(N(AF91)&gt;0,", "&amp;A91&amp;"-"&amp;AF$2,"")&amp;IF(N(AG91)&gt;0,", "&amp;A91&amp;"-"&amp;AG$2,"")&amp;IF(N(AH91)&gt;0,", "&amp;A91&amp;"-"&amp;AH$2,"")&amp;IF(N(AI91)&gt;0,", "&amp;A91&amp;"-"&amp;AI$2,"")&amp;IF(N(AJ91)&gt;0,", "&amp;A91&amp;"-"&amp;AJ$2,""),3,999))</f>
        <v/>
      </c>
      <c r="AN91" s="81"/>
      <c r="AO91" s="88"/>
      <c r="AP91" s="89" t="str">
        <f aca="false">IF(AO91="","",ROUND(AO91/(1+Справочники!$B$13),2))</f>
        <v/>
      </c>
      <c r="AQ91" s="90" t="str">
        <f aca="false" t="array" ref="AQ91:AQ91">IF(AP91="","",AP91*INDEX(Справочники!$B$4:$B$7,MATCH("RUB",Справочники!$A$4:$A$7,0)))</f>
        <v/>
      </c>
      <c r="AR91" s="90" t="str">
        <f aca="false">IF(AQ91="","",ROUND(AQ91*(1+Справочники!$B$12),0))</f>
        <v/>
      </c>
      <c r="AS91" s="90" t="str">
        <f aca="false">IF(AR91="","",ROUND(AR91*(1-Справочники!$B$11),0))</f>
        <v/>
      </c>
      <c r="AT91" s="88"/>
      <c r="AU91" s="90" t="str">
        <f aca="false">IF(AT91="","",ROUND(AT91/(1+Справочники!$B$12),0))</f>
        <v/>
      </c>
      <c r="AV91" s="90" t="str">
        <f aca="false">IF(AT91="","",ROUND(AT91*(1-Справочники!$B$15),0))</f>
        <v/>
      </c>
      <c r="AW91" s="90" t="str">
        <f aca="false">IF(AT91="","",ROUND(AT91*(1-Справочники!$B$16),0))</f>
        <v/>
      </c>
      <c r="AX91" s="90" t="str">
        <f aca="false">IF(AT91="","",ROUND(AT91*(1-Справочники!$B$17),0))</f>
        <v/>
      </c>
      <c r="AY91" s="90" t="str">
        <f aca="false">IF(AT91="","",ROUND(AT91*(1-Справочники!$B$18),0))</f>
        <v/>
      </c>
      <c r="AZ91" s="90" t="str">
        <f aca="false">IF(AT91="","",ROUND(AT91*(1-Справочники!$B$19),0))</f>
        <v/>
      </c>
      <c r="BA91" s="81"/>
      <c r="BB91" s="81"/>
      <c r="BC91" s="81"/>
      <c r="BD91" s="81"/>
      <c r="BE91" s="91"/>
      <c r="BF91" s="81" t="s">
        <v>103</v>
      </c>
      <c r="BG91" s="89" t="n">
        <f aca="false" t="array" ref="BG91:BG91">IF(BF91="","",IFERROR(INDEX(Справочники!$B$4:$B$7,MATCH(BF91,Справочники!$A$4:$A$7,0)),""))</f>
        <v>68.5</v>
      </c>
      <c r="BH91" s="90" t="str">
        <f aca="false">IF(N(BN91)&gt;0,ROUND(SUMIF(ЗАКАЗЫ!$F$3:$F$500,$A91,ЗАКАЗЫ!$Y$3:$Y$500)/BN91,0),IF(OR(BE91="",BG91=""),"",ROUND(BE91*BG91*(1+Справочники!$B$10),0)))</f>
        <v/>
      </c>
      <c r="BI91" s="92" t="str">
        <f aca="false">IF(OR(AU91="",BH91="",AU91=0),"",(AU91-BH91)/AU91)</f>
        <v/>
      </c>
      <c r="BJ91" s="81"/>
      <c r="BK91" s="83"/>
      <c r="BL91" s="43" t="str">
        <f aca="false">IFERROR(INDEX(ЗАКАЗЫ!$N$3:$N$500,MATCH($A91,ЗАКАЗЫ!$F$3:$F$500,0)),"")</f>
        <v/>
      </c>
      <c r="BM91" s="8" t="str">
        <f aca="false">IF(BL91="","",IFERROR(VLOOKUP(BL91,'ТН ВЭД'!$A$4:$C$40,3,0),""))</f>
        <v/>
      </c>
      <c r="BN91" s="7" t="str">
        <f aca="false">IF(COUNTIF(ЗАКАЗЫ!$F$3:$F$500,$A91)=0,"",SUMIF(ЗАКАЗЫ!$F$3:$F$500,$A91,ЗАКАЗЫ!$J$3:$J$500))</f>
        <v/>
      </c>
      <c r="BO91" s="7" t="str">
        <f aca="false">IF(BN91="","",SUMIF(ЗАКАЗЫ!$F$3:$F$500,$A91,ЗАКАЗЫ!$AL$3:$AL$500))</f>
        <v/>
      </c>
      <c r="BP91" s="7" t="str">
        <f aca="false">IF(BN91="","",BN91-BO91)</f>
        <v/>
      </c>
      <c r="BQ91" s="55" t="str">
        <f aca="false">IF(BN91="","",IF(BO91&gt;=BN91,"На складе",IF(BO91&gt;0,"Частично","Ждём")))</f>
        <v/>
      </c>
      <c r="BR91" s="43"/>
      <c r="BS91" s="47" t="str">
        <f aca="false">IF(BN91="","",IF(_xlfn.MAXIFS(ЗАКАЗЫ!$AK$3:$AK$500,ЗАКАЗЫ!$F$3:$F$500,$A91)=0,"",_xlfn.MAXIFS(ЗАКАЗЫ!$AK$3:$AK$500,ЗАКАЗЫ!$F$3:$F$500,$A91)))</f>
        <v/>
      </c>
    </row>
    <row r="92" customFormat="false" ht="15.75" hidden="false" customHeight="true" outlineLevel="0" collapsed="false">
      <c r="A92" s="80" t="s">
        <v>2286</v>
      </c>
      <c r="B92" s="81"/>
      <c r="C92" s="81"/>
      <c r="D92" s="81"/>
      <c r="E92" s="83"/>
      <c r="F92" s="81"/>
      <c r="G92" s="83"/>
      <c r="H92" s="83"/>
      <c r="I92" s="84" t="str">
        <f aca="false">IF(E92="","",A92&amp;"_1.jpg")</f>
        <v/>
      </c>
      <c r="J92" s="84" t="str">
        <f aca="false">IF(E92="","",A92&amp;"_2.jpg; "&amp;A92&amp;"_3.jpg")</f>
        <v/>
      </c>
      <c r="K92" s="84" t="str">
        <f aca="false">IF(E92="","",A92&amp;"_schema.jpg")</f>
        <v/>
      </c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 t="s">
        <v>96</v>
      </c>
      <c r="W92" s="81"/>
      <c r="X92" s="81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6" t="str">
        <f aca="false">IF(SUM(Y92:AJ92)=0,"",SUM(Y92:AJ92))</f>
        <v/>
      </c>
      <c r="AL92" s="84" t="str">
        <f aca="false">MID(IF(N(Y92)&gt;0,", "&amp;Y$2,"")&amp;IF(N(Z92)&gt;0,", "&amp;Z$2,"")&amp;IF(N(AA92)&gt;0,", "&amp;AA$2,"")&amp;IF(N(AB92)&gt;0,", "&amp;AB$2,"")&amp;IF(N(AC92)&gt;0,", "&amp;AC$2,"")&amp;IF(N(AD92)&gt;0,", "&amp;AD$2,"")&amp;IF(N(AE92)&gt;0,", "&amp;AE$2,"")&amp;IF(N(AF92)&gt;0,", "&amp;AF$2,"")&amp;IF(N(AG92)&gt;0,", "&amp;AG$2,"")&amp;IF(N(AH92)&gt;0,", "&amp;AH$2,"")&amp;IF(N(AI92)&gt;0,", "&amp;AI$2,"")&amp;IF(N(AJ92)&gt;0,", "&amp;AJ$2,""),3,999)</f>
        <v/>
      </c>
      <c r="AM92" s="87" t="str">
        <f aca="false">IF(E92="","",MID(IF(N(Y92)&gt;0,", "&amp;A92&amp;"-"&amp;Y$2,"")&amp;IF(N(Z92)&gt;0,", "&amp;A92&amp;"-"&amp;Z$2,"")&amp;IF(N(AA92)&gt;0,", "&amp;A92&amp;"-"&amp;AA$2,"")&amp;IF(N(AB92)&gt;0,", "&amp;A92&amp;"-"&amp;AB$2,"")&amp;IF(N(AC92)&gt;0,", "&amp;A92&amp;"-"&amp;AC$2,"")&amp;IF(N(AD92)&gt;0,", "&amp;A92&amp;"-"&amp;AD$2,"")&amp;IF(N(AE92)&gt;0,", "&amp;A92&amp;"-"&amp;AE$2,"")&amp;IF(N(AF92)&gt;0,", "&amp;A92&amp;"-"&amp;AF$2,"")&amp;IF(N(AG92)&gt;0,", "&amp;A92&amp;"-"&amp;AG$2,"")&amp;IF(N(AH92)&gt;0,", "&amp;A92&amp;"-"&amp;AH$2,"")&amp;IF(N(AI92)&gt;0,", "&amp;A92&amp;"-"&amp;AI$2,"")&amp;IF(N(AJ92)&gt;0,", "&amp;A92&amp;"-"&amp;AJ$2,""),3,999))</f>
        <v/>
      </c>
      <c r="AN92" s="81"/>
      <c r="AO92" s="88"/>
      <c r="AP92" s="89" t="str">
        <f aca="false">IF(AO92="","",ROUND(AO92/(1+Справочники!$B$13),2))</f>
        <v/>
      </c>
      <c r="AQ92" s="90" t="str">
        <f aca="false" t="array" ref="AQ92:AQ92">IF(AP92="","",AP92*INDEX(Справочники!$B$4:$B$7,MATCH("RUB",Справочники!$A$4:$A$7,0)))</f>
        <v/>
      </c>
      <c r="AR92" s="90" t="str">
        <f aca="false">IF(AQ92="","",ROUND(AQ92*(1+Справочники!$B$12),0))</f>
        <v/>
      </c>
      <c r="AS92" s="90" t="str">
        <f aca="false">IF(AR92="","",ROUND(AR92*(1-Справочники!$B$11),0))</f>
        <v/>
      </c>
      <c r="AT92" s="88"/>
      <c r="AU92" s="90" t="str">
        <f aca="false">IF(AT92="","",ROUND(AT92/(1+Справочники!$B$12),0))</f>
        <v/>
      </c>
      <c r="AV92" s="90" t="str">
        <f aca="false">IF(AT92="","",ROUND(AT92*(1-Справочники!$B$15),0))</f>
        <v/>
      </c>
      <c r="AW92" s="90" t="str">
        <f aca="false">IF(AT92="","",ROUND(AT92*(1-Справочники!$B$16),0))</f>
        <v/>
      </c>
      <c r="AX92" s="90" t="str">
        <f aca="false">IF(AT92="","",ROUND(AT92*(1-Справочники!$B$17),0))</f>
        <v/>
      </c>
      <c r="AY92" s="90" t="str">
        <f aca="false">IF(AT92="","",ROUND(AT92*(1-Справочники!$B$18),0))</f>
        <v/>
      </c>
      <c r="AZ92" s="90" t="str">
        <f aca="false">IF(AT92="","",ROUND(AT92*(1-Справочники!$B$19),0))</f>
        <v/>
      </c>
      <c r="BA92" s="81"/>
      <c r="BB92" s="81"/>
      <c r="BC92" s="81"/>
      <c r="BD92" s="81"/>
      <c r="BE92" s="91"/>
      <c r="BF92" s="81" t="s">
        <v>103</v>
      </c>
      <c r="BG92" s="89" t="n">
        <f aca="false" t="array" ref="BG92:BG92">IF(BF92="","",IFERROR(INDEX(Справочники!$B$4:$B$7,MATCH(BF92,Справочники!$A$4:$A$7,0)),""))</f>
        <v>68.5</v>
      </c>
      <c r="BH92" s="90" t="str">
        <f aca="false">IF(N(BN92)&gt;0,ROUND(SUMIF(ЗАКАЗЫ!$F$3:$F$500,$A92,ЗАКАЗЫ!$Y$3:$Y$500)/BN92,0),IF(OR(BE92="",BG92=""),"",ROUND(BE92*BG92*(1+Справочники!$B$10),0)))</f>
        <v/>
      </c>
      <c r="BI92" s="92" t="str">
        <f aca="false">IF(OR(AU92="",BH92="",AU92=0),"",(AU92-BH92)/AU92)</f>
        <v/>
      </c>
      <c r="BJ92" s="81"/>
      <c r="BK92" s="83"/>
      <c r="BL92" s="43" t="str">
        <f aca="false">IFERROR(INDEX(ЗАКАЗЫ!$N$3:$N$500,MATCH($A92,ЗАКАЗЫ!$F$3:$F$500,0)),"")</f>
        <v/>
      </c>
      <c r="BM92" s="8" t="str">
        <f aca="false">IF(BL92="","",IFERROR(VLOOKUP(BL92,'ТН ВЭД'!$A$4:$C$40,3,0),""))</f>
        <v/>
      </c>
      <c r="BN92" s="7" t="str">
        <f aca="false">IF(COUNTIF(ЗАКАЗЫ!$F$3:$F$500,$A92)=0,"",SUMIF(ЗАКАЗЫ!$F$3:$F$500,$A92,ЗАКАЗЫ!$J$3:$J$500))</f>
        <v/>
      </c>
      <c r="BO92" s="7" t="str">
        <f aca="false">IF(BN92="","",SUMIF(ЗАКАЗЫ!$F$3:$F$500,$A92,ЗАКАЗЫ!$AL$3:$AL$500))</f>
        <v/>
      </c>
      <c r="BP92" s="7" t="str">
        <f aca="false">IF(BN92="","",BN92-BO92)</f>
        <v/>
      </c>
      <c r="BQ92" s="55" t="str">
        <f aca="false">IF(BN92="","",IF(BO92&gt;=BN92,"На складе",IF(BO92&gt;0,"Частично","Ждём")))</f>
        <v/>
      </c>
      <c r="BR92" s="43"/>
      <c r="BS92" s="47" t="str">
        <f aca="false">IF(BN92="","",IF(_xlfn.MAXIFS(ЗАКАЗЫ!$AK$3:$AK$500,ЗАКАЗЫ!$F$3:$F$500,$A92)=0,"",_xlfn.MAXIFS(ЗАКАЗЫ!$AK$3:$AK$500,ЗАКАЗЫ!$F$3:$F$500,$A92)))</f>
        <v/>
      </c>
    </row>
    <row r="93" customFormat="false" ht="15.75" hidden="false" customHeight="true" outlineLevel="0" collapsed="false">
      <c r="A93" s="80" t="s">
        <v>2287</v>
      </c>
      <c r="B93" s="81"/>
      <c r="C93" s="81"/>
      <c r="D93" s="81"/>
      <c r="E93" s="83"/>
      <c r="F93" s="81"/>
      <c r="G93" s="83"/>
      <c r="H93" s="83"/>
      <c r="I93" s="84" t="str">
        <f aca="false">IF(E93="","",A93&amp;"_1.jpg")</f>
        <v/>
      </c>
      <c r="J93" s="84" t="str">
        <f aca="false">IF(E93="","",A93&amp;"_2.jpg; "&amp;A93&amp;"_3.jpg")</f>
        <v/>
      </c>
      <c r="K93" s="84" t="str">
        <f aca="false">IF(E93="","",A93&amp;"_schema.jpg")</f>
        <v/>
      </c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 t="s">
        <v>96</v>
      </c>
      <c r="W93" s="81"/>
      <c r="X93" s="81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6" t="str">
        <f aca="false">IF(SUM(Y93:AJ93)=0,"",SUM(Y93:AJ93))</f>
        <v/>
      </c>
      <c r="AL93" s="84" t="str">
        <f aca="false">MID(IF(N(Y93)&gt;0,", "&amp;Y$2,"")&amp;IF(N(Z93)&gt;0,", "&amp;Z$2,"")&amp;IF(N(AA93)&gt;0,", "&amp;AA$2,"")&amp;IF(N(AB93)&gt;0,", "&amp;AB$2,"")&amp;IF(N(AC93)&gt;0,", "&amp;AC$2,"")&amp;IF(N(AD93)&gt;0,", "&amp;AD$2,"")&amp;IF(N(AE93)&gt;0,", "&amp;AE$2,"")&amp;IF(N(AF93)&gt;0,", "&amp;AF$2,"")&amp;IF(N(AG93)&gt;0,", "&amp;AG$2,"")&amp;IF(N(AH93)&gt;0,", "&amp;AH$2,"")&amp;IF(N(AI93)&gt;0,", "&amp;AI$2,"")&amp;IF(N(AJ93)&gt;0,", "&amp;AJ$2,""),3,999)</f>
        <v/>
      </c>
      <c r="AM93" s="87" t="str">
        <f aca="false">IF(E93="","",MID(IF(N(Y93)&gt;0,", "&amp;A93&amp;"-"&amp;Y$2,"")&amp;IF(N(Z93)&gt;0,", "&amp;A93&amp;"-"&amp;Z$2,"")&amp;IF(N(AA93)&gt;0,", "&amp;A93&amp;"-"&amp;AA$2,"")&amp;IF(N(AB93)&gt;0,", "&amp;A93&amp;"-"&amp;AB$2,"")&amp;IF(N(AC93)&gt;0,", "&amp;A93&amp;"-"&amp;AC$2,"")&amp;IF(N(AD93)&gt;0,", "&amp;A93&amp;"-"&amp;AD$2,"")&amp;IF(N(AE93)&gt;0,", "&amp;A93&amp;"-"&amp;AE$2,"")&amp;IF(N(AF93)&gt;0,", "&amp;A93&amp;"-"&amp;AF$2,"")&amp;IF(N(AG93)&gt;0,", "&amp;A93&amp;"-"&amp;AG$2,"")&amp;IF(N(AH93)&gt;0,", "&amp;A93&amp;"-"&amp;AH$2,"")&amp;IF(N(AI93)&gt;0,", "&amp;A93&amp;"-"&amp;AI$2,"")&amp;IF(N(AJ93)&gt;0,", "&amp;A93&amp;"-"&amp;AJ$2,""),3,999))</f>
        <v/>
      </c>
      <c r="AN93" s="81"/>
      <c r="AO93" s="88"/>
      <c r="AP93" s="89" t="str">
        <f aca="false">IF(AO93="","",ROUND(AO93/(1+Справочники!$B$13),2))</f>
        <v/>
      </c>
      <c r="AQ93" s="90" t="str">
        <f aca="false" t="array" ref="AQ93:AQ93">IF(AP93="","",AP93*INDEX(Справочники!$B$4:$B$7,MATCH("RUB",Справочники!$A$4:$A$7,0)))</f>
        <v/>
      </c>
      <c r="AR93" s="90" t="str">
        <f aca="false">IF(AQ93="","",ROUND(AQ93*(1+Справочники!$B$12),0))</f>
        <v/>
      </c>
      <c r="AS93" s="90" t="str">
        <f aca="false">IF(AR93="","",ROUND(AR93*(1-Справочники!$B$11),0))</f>
        <v/>
      </c>
      <c r="AT93" s="88"/>
      <c r="AU93" s="90" t="str">
        <f aca="false">IF(AT93="","",ROUND(AT93/(1+Справочники!$B$12),0))</f>
        <v/>
      </c>
      <c r="AV93" s="90" t="str">
        <f aca="false">IF(AT93="","",ROUND(AT93*(1-Справочники!$B$15),0))</f>
        <v/>
      </c>
      <c r="AW93" s="90" t="str">
        <f aca="false">IF(AT93="","",ROUND(AT93*(1-Справочники!$B$16),0))</f>
        <v/>
      </c>
      <c r="AX93" s="90" t="str">
        <f aca="false">IF(AT93="","",ROUND(AT93*(1-Справочники!$B$17),0))</f>
        <v/>
      </c>
      <c r="AY93" s="90" t="str">
        <f aca="false">IF(AT93="","",ROUND(AT93*(1-Справочники!$B$18),0))</f>
        <v/>
      </c>
      <c r="AZ93" s="90" t="str">
        <f aca="false">IF(AT93="","",ROUND(AT93*(1-Справочники!$B$19),0))</f>
        <v/>
      </c>
      <c r="BA93" s="81"/>
      <c r="BB93" s="81"/>
      <c r="BC93" s="81"/>
      <c r="BD93" s="81"/>
      <c r="BE93" s="91"/>
      <c r="BF93" s="81" t="s">
        <v>103</v>
      </c>
      <c r="BG93" s="89" t="n">
        <f aca="false" t="array" ref="BG93:BG93">IF(BF93="","",IFERROR(INDEX(Справочники!$B$4:$B$7,MATCH(BF93,Справочники!$A$4:$A$7,0)),""))</f>
        <v>68.5</v>
      </c>
      <c r="BH93" s="90" t="str">
        <f aca="false">IF(N(BN93)&gt;0,ROUND(SUMIF(ЗАКАЗЫ!$F$3:$F$500,$A93,ЗАКАЗЫ!$Y$3:$Y$500)/BN93,0),IF(OR(BE93="",BG93=""),"",ROUND(BE93*BG93*(1+Справочники!$B$10),0)))</f>
        <v/>
      </c>
      <c r="BI93" s="92" t="str">
        <f aca="false">IF(OR(AU93="",BH93="",AU93=0),"",(AU93-BH93)/AU93)</f>
        <v/>
      </c>
      <c r="BJ93" s="81"/>
      <c r="BK93" s="83"/>
      <c r="BL93" s="43" t="str">
        <f aca="false">IFERROR(INDEX(ЗАКАЗЫ!$N$3:$N$500,MATCH($A93,ЗАКАЗЫ!$F$3:$F$500,0)),"")</f>
        <v/>
      </c>
      <c r="BM93" s="8" t="str">
        <f aca="false">IF(BL93="","",IFERROR(VLOOKUP(BL93,'ТН ВЭД'!$A$4:$C$40,3,0),""))</f>
        <v/>
      </c>
      <c r="BN93" s="7" t="str">
        <f aca="false">IF(COUNTIF(ЗАКАЗЫ!$F$3:$F$500,$A93)=0,"",SUMIF(ЗАКАЗЫ!$F$3:$F$500,$A93,ЗАКАЗЫ!$J$3:$J$500))</f>
        <v/>
      </c>
      <c r="BO93" s="7" t="str">
        <f aca="false">IF(BN93="","",SUMIF(ЗАКАЗЫ!$F$3:$F$500,$A93,ЗАКАЗЫ!$AL$3:$AL$500))</f>
        <v/>
      </c>
      <c r="BP93" s="7" t="str">
        <f aca="false">IF(BN93="","",BN93-BO93)</f>
        <v/>
      </c>
      <c r="BQ93" s="55" t="str">
        <f aca="false">IF(BN93="","",IF(BO93&gt;=BN93,"На складе",IF(BO93&gt;0,"Частично","Ждём")))</f>
        <v/>
      </c>
      <c r="BR93" s="43"/>
      <c r="BS93" s="47" t="str">
        <f aca="false">IF(BN93="","",IF(_xlfn.MAXIFS(ЗАКАЗЫ!$AK$3:$AK$500,ЗАКАЗЫ!$F$3:$F$500,$A93)=0,"",_xlfn.MAXIFS(ЗАКАЗЫ!$AK$3:$AK$500,ЗАКАЗЫ!$F$3:$F$500,$A93)))</f>
        <v/>
      </c>
    </row>
    <row r="94" customFormat="false" ht="15.75" hidden="false" customHeight="true" outlineLevel="0" collapsed="false">
      <c r="A94" s="80" t="s">
        <v>2288</v>
      </c>
      <c r="B94" s="81"/>
      <c r="C94" s="81"/>
      <c r="D94" s="81"/>
      <c r="E94" s="83"/>
      <c r="F94" s="81"/>
      <c r="G94" s="83"/>
      <c r="H94" s="83"/>
      <c r="I94" s="84" t="str">
        <f aca="false">IF(E94="","",A94&amp;"_1.jpg")</f>
        <v/>
      </c>
      <c r="J94" s="84" t="str">
        <f aca="false">IF(E94="","",A94&amp;"_2.jpg; "&amp;A94&amp;"_3.jpg")</f>
        <v/>
      </c>
      <c r="K94" s="84" t="str">
        <f aca="false">IF(E94="","",A94&amp;"_schema.jpg")</f>
        <v/>
      </c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 t="s">
        <v>96</v>
      </c>
      <c r="W94" s="81"/>
      <c r="X94" s="81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6" t="str">
        <f aca="false">IF(SUM(Y94:AJ94)=0,"",SUM(Y94:AJ94))</f>
        <v/>
      </c>
      <c r="AL94" s="84" t="str">
        <f aca="false">MID(IF(N(Y94)&gt;0,", "&amp;Y$2,"")&amp;IF(N(Z94)&gt;0,", "&amp;Z$2,"")&amp;IF(N(AA94)&gt;0,", "&amp;AA$2,"")&amp;IF(N(AB94)&gt;0,", "&amp;AB$2,"")&amp;IF(N(AC94)&gt;0,", "&amp;AC$2,"")&amp;IF(N(AD94)&gt;0,", "&amp;AD$2,"")&amp;IF(N(AE94)&gt;0,", "&amp;AE$2,"")&amp;IF(N(AF94)&gt;0,", "&amp;AF$2,"")&amp;IF(N(AG94)&gt;0,", "&amp;AG$2,"")&amp;IF(N(AH94)&gt;0,", "&amp;AH$2,"")&amp;IF(N(AI94)&gt;0,", "&amp;AI$2,"")&amp;IF(N(AJ94)&gt;0,", "&amp;AJ$2,""),3,999)</f>
        <v/>
      </c>
      <c r="AM94" s="87" t="str">
        <f aca="false">IF(E94="","",MID(IF(N(Y94)&gt;0,", "&amp;A94&amp;"-"&amp;Y$2,"")&amp;IF(N(Z94)&gt;0,", "&amp;A94&amp;"-"&amp;Z$2,"")&amp;IF(N(AA94)&gt;0,", "&amp;A94&amp;"-"&amp;AA$2,"")&amp;IF(N(AB94)&gt;0,", "&amp;A94&amp;"-"&amp;AB$2,"")&amp;IF(N(AC94)&gt;0,", "&amp;A94&amp;"-"&amp;AC$2,"")&amp;IF(N(AD94)&gt;0,", "&amp;A94&amp;"-"&amp;AD$2,"")&amp;IF(N(AE94)&gt;0,", "&amp;A94&amp;"-"&amp;AE$2,"")&amp;IF(N(AF94)&gt;0,", "&amp;A94&amp;"-"&amp;AF$2,"")&amp;IF(N(AG94)&gt;0,", "&amp;A94&amp;"-"&amp;AG$2,"")&amp;IF(N(AH94)&gt;0,", "&amp;A94&amp;"-"&amp;AH$2,"")&amp;IF(N(AI94)&gt;0,", "&amp;A94&amp;"-"&amp;AI$2,"")&amp;IF(N(AJ94)&gt;0,", "&amp;A94&amp;"-"&amp;AJ$2,""),3,999))</f>
        <v/>
      </c>
      <c r="AN94" s="81"/>
      <c r="AO94" s="88"/>
      <c r="AP94" s="89" t="str">
        <f aca="false">IF(AO94="","",ROUND(AO94/(1+Справочники!$B$13),2))</f>
        <v/>
      </c>
      <c r="AQ94" s="90" t="str">
        <f aca="false" t="array" ref="AQ94:AQ94">IF(AP94="","",AP94*INDEX(Справочники!$B$4:$B$7,MATCH("RUB",Справочники!$A$4:$A$7,0)))</f>
        <v/>
      </c>
      <c r="AR94" s="90" t="str">
        <f aca="false">IF(AQ94="","",ROUND(AQ94*(1+Справочники!$B$12),0))</f>
        <v/>
      </c>
      <c r="AS94" s="90" t="str">
        <f aca="false">IF(AR94="","",ROUND(AR94*(1-Справочники!$B$11),0))</f>
        <v/>
      </c>
      <c r="AT94" s="88"/>
      <c r="AU94" s="90" t="str">
        <f aca="false">IF(AT94="","",ROUND(AT94/(1+Справочники!$B$12),0))</f>
        <v/>
      </c>
      <c r="AV94" s="90" t="str">
        <f aca="false">IF(AT94="","",ROUND(AT94*(1-Справочники!$B$15),0))</f>
        <v/>
      </c>
      <c r="AW94" s="90" t="str">
        <f aca="false">IF(AT94="","",ROUND(AT94*(1-Справочники!$B$16),0))</f>
        <v/>
      </c>
      <c r="AX94" s="90" t="str">
        <f aca="false">IF(AT94="","",ROUND(AT94*(1-Справочники!$B$17),0))</f>
        <v/>
      </c>
      <c r="AY94" s="90" t="str">
        <f aca="false">IF(AT94="","",ROUND(AT94*(1-Справочники!$B$18),0))</f>
        <v/>
      </c>
      <c r="AZ94" s="90" t="str">
        <f aca="false">IF(AT94="","",ROUND(AT94*(1-Справочники!$B$19),0))</f>
        <v/>
      </c>
      <c r="BA94" s="81"/>
      <c r="BB94" s="81"/>
      <c r="BC94" s="81"/>
      <c r="BD94" s="81"/>
      <c r="BE94" s="91"/>
      <c r="BF94" s="81" t="s">
        <v>103</v>
      </c>
      <c r="BG94" s="89" t="n">
        <f aca="false" t="array" ref="BG94:BG94">IF(BF94="","",IFERROR(INDEX(Справочники!$B$4:$B$7,MATCH(BF94,Справочники!$A$4:$A$7,0)),""))</f>
        <v>68.5</v>
      </c>
      <c r="BH94" s="90" t="str">
        <f aca="false">IF(N(BN94)&gt;0,ROUND(SUMIF(ЗАКАЗЫ!$F$3:$F$500,$A94,ЗАКАЗЫ!$Y$3:$Y$500)/BN94,0),IF(OR(BE94="",BG94=""),"",ROUND(BE94*BG94*(1+Справочники!$B$10),0)))</f>
        <v/>
      </c>
      <c r="BI94" s="92" t="str">
        <f aca="false">IF(OR(AU94="",BH94="",AU94=0),"",(AU94-BH94)/AU94)</f>
        <v/>
      </c>
      <c r="BJ94" s="81"/>
      <c r="BK94" s="83"/>
      <c r="BL94" s="43" t="str">
        <f aca="false">IFERROR(INDEX(ЗАКАЗЫ!$N$3:$N$500,MATCH($A94,ЗАКАЗЫ!$F$3:$F$500,0)),"")</f>
        <v/>
      </c>
      <c r="BM94" s="8" t="str">
        <f aca="false">IF(BL94="","",IFERROR(VLOOKUP(BL94,'ТН ВЭД'!$A$4:$C$40,3,0),""))</f>
        <v/>
      </c>
      <c r="BN94" s="7" t="str">
        <f aca="false">IF(COUNTIF(ЗАКАЗЫ!$F$3:$F$500,$A94)=0,"",SUMIF(ЗАКАЗЫ!$F$3:$F$500,$A94,ЗАКАЗЫ!$J$3:$J$500))</f>
        <v/>
      </c>
      <c r="BO94" s="7" t="str">
        <f aca="false">IF(BN94="","",SUMIF(ЗАКАЗЫ!$F$3:$F$500,$A94,ЗАКАЗЫ!$AL$3:$AL$500))</f>
        <v/>
      </c>
      <c r="BP94" s="7" t="str">
        <f aca="false">IF(BN94="","",BN94-BO94)</f>
        <v/>
      </c>
      <c r="BQ94" s="55" t="str">
        <f aca="false">IF(BN94="","",IF(BO94&gt;=BN94,"На складе",IF(BO94&gt;0,"Частично","Ждём")))</f>
        <v/>
      </c>
      <c r="BR94" s="43"/>
      <c r="BS94" s="47" t="str">
        <f aca="false">IF(BN94="","",IF(_xlfn.MAXIFS(ЗАКАЗЫ!$AK$3:$AK$500,ЗАКАЗЫ!$F$3:$F$500,$A94)=0,"",_xlfn.MAXIFS(ЗАКАЗЫ!$AK$3:$AK$500,ЗАКАЗЫ!$F$3:$F$500,$A94)))</f>
        <v/>
      </c>
    </row>
    <row r="95" customFormat="false" ht="15.75" hidden="false" customHeight="true" outlineLevel="0" collapsed="false">
      <c r="A95" s="80" t="s">
        <v>2289</v>
      </c>
      <c r="B95" s="81"/>
      <c r="C95" s="81"/>
      <c r="D95" s="81"/>
      <c r="E95" s="83"/>
      <c r="F95" s="81"/>
      <c r="G95" s="83"/>
      <c r="H95" s="83"/>
      <c r="I95" s="84" t="str">
        <f aca="false">IF(E95="","",A95&amp;"_1.jpg")</f>
        <v/>
      </c>
      <c r="J95" s="84" t="str">
        <f aca="false">IF(E95="","",A95&amp;"_2.jpg; "&amp;A95&amp;"_3.jpg")</f>
        <v/>
      </c>
      <c r="K95" s="84" t="str">
        <f aca="false">IF(E95="","",A95&amp;"_schema.jpg")</f>
        <v/>
      </c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 t="s">
        <v>96</v>
      </c>
      <c r="W95" s="81"/>
      <c r="X95" s="81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6" t="str">
        <f aca="false">IF(SUM(Y95:AJ95)=0,"",SUM(Y95:AJ95))</f>
        <v/>
      </c>
      <c r="AL95" s="84" t="str">
        <f aca="false">MID(IF(N(Y95)&gt;0,", "&amp;Y$2,"")&amp;IF(N(Z95)&gt;0,", "&amp;Z$2,"")&amp;IF(N(AA95)&gt;0,", "&amp;AA$2,"")&amp;IF(N(AB95)&gt;0,", "&amp;AB$2,"")&amp;IF(N(AC95)&gt;0,", "&amp;AC$2,"")&amp;IF(N(AD95)&gt;0,", "&amp;AD$2,"")&amp;IF(N(AE95)&gt;0,", "&amp;AE$2,"")&amp;IF(N(AF95)&gt;0,", "&amp;AF$2,"")&amp;IF(N(AG95)&gt;0,", "&amp;AG$2,"")&amp;IF(N(AH95)&gt;0,", "&amp;AH$2,"")&amp;IF(N(AI95)&gt;0,", "&amp;AI$2,"")&amp;IF(N(AJ95)&gt;0,", "&amp;AJ$2,""),3,999)</f>
        <v/>
      </c>
      <c r="AM95" s="87" t="str">
        <f aca="false">IF(E95="","",MID(IF(N(Y95)&gt;0,", "&amp;A95&amp;"-"&amp;Y$2,"")&amp;IF(N(Z95)&gt;0,", "&amp;A95&amp;"-"&amp;Z$2,"")&amp;IF(N(AA95)&gt;0,", "&amp;A95&amp;"-"&amp;AA$2,"")&amp;IF(N(AB95)&gt;0,", "&amp;A95&amp;"-"&amp;AB$2,"")&amp;IF(N(AC95)&gt;0,", "&amp;A95&amp;"-"&amp;AC$2,"")&amp;IF(N(AD95)&gt;0,", "&amp;A95&amp;"-"&amp;AD$2,"")&amp;IF(N(AE95)&gt;0,", "&amp;A95&amp;"-"&amp;AE$2,"")&amp;IF(N(AF95)&gt;0,", "&amp;A95&amp;"-"&amp;AF$2,"")&amp;IF(N(AG95)&gt;0,", "&amp;A95&amp;"-"&amp;AG$2,"")&amp;IF(N(AH95)&gt;0,", "&amp;A95&amp;"-"&amp;AH$2,"")&amp;IF(N(AI95)&gt;0,", "&amp;A95&amp;"-"&amp;AI$2,"")&amp;IF(N(AJ95)&gt;0,", "&amp;A95&amp;"-"&amp;AJ$2,""),3,999))</f>
        <v/>
      </c>
      <c r="AN95" s="81"/>
      <c r="AO95" s="88"/>
      <c r="AP95" s="89" t="str">
        <f aca="false">IF(AO95="","",ROUND(AO95/(1+Справочники!$B$13),2))</f>
        <v/>
      </c>
      <c r="AQ95" s="90" t="str">
        <f aca="false" t="array" ref="AQ95:AQ95">IF(AP95="","",AP95*INDEX(Справочники!$B$4:$B$7,MATCH("RUB",Справочники!$A$4:$A$7,0)))</f>
        <v/>
      </c>
      <c r="AR95" s="90" t="str">
        <f aca="false">IF(AQ95="","",ROUND(AQ95*(1+Справочники!$B$12),0))</f>
        <v/>
      </c>
      <c r="AS95" s="90" t="str">
        <f aca="false">IF(AR95="","",ROUND(AR95*(1-Справочники!$B$11),0))</f>
        <v/>
      </c>
      <c r="AT95" s="88"/>
      <c r="AU95" s="90" t="str">
        <f aca="false">IF(AT95="","",ROUND(AT95/(1+Справочники!$B$12),0))</f>
        <v/>
      </c>
      <c r="AV95" s="90" t="str">
        <f aca="false">IF(AT95="","",ROUND(AT95*(1-Справочники!$B$15),0))</f>
        <v/>
      </c>
      <c r="AW95" s="90" t="str">
        <f aca="false">IF(AT95="","",ROUND(AT95*(1-Справочники!$B$16),0))</f>
        <v/>
      </c>
      <c r="AX95" s="90" t="str">
        <f aca="false">IF(AT95="","",ROUND(AT95*(1-Справочники!$B$17),0))</f>
        <v/>
      </c>
      <c r="AY95" s="90" t="str">
        <f aca="false">IF(AT95="","",ROUND(AT95*(1-Справочники!$B$18),0))</f>
        <v/>
      </c>
      <c r="AZ95" s="90" t="str">
        <f aca="false">IF(AT95="","",ROUND(AT95*(1-Справочники!$B$19),0))</f>
        <v/>
      </c>
      <c r="BA95" s="81"/>
      <c r="BB95" s="81"/>
      <c r="BC95" s="81"/>
      <c r="BD95" s="81"/>
      <c r="BE95" s="91"/>
      <c r="BF95" s="81" t="s">
        <v>103</v>
      </c>
      <c r="BG95" s="89" t="n">
        <f aca="false" t="array" ref="BG95:BG95">IF(BF95="","",IFERROR(INDEX(Справочники!$B$4:$B$7,MATCH(BF95,Справочники!$A$4:$A$7,0)),""))</f>
        <v>68.5</v>
      </c>
      <c r="BH95" s="90" t="str">
        <f aca="false">IF(N(BN95)&gt;0,ROUND(SUMIF(ЗАКАЗЫ!$F$3:$F$500,$A95,ЗАКАЗЫ!$Y$3:$Y$500)/BN95,0),IF(OR(BE95="",BG95=""),"",ROUND(BE95*BG95*(1+Справочники!$B$10),0)))</f>
        <v/>
      </c>
      <c r="BI95" s="92" t="str">
        <f aca="false">IF(OR(AU95="",BH95="",AU95=0),"",(AU95-BH95)/AU95)</f>
        <v/>
      </c>
      <c r="BJ95" s="81"/>
      <c r="BK95" s="83"/>
      <c r="BL95" s="43" t="str">
        <f aca="false">IFERROR(INDEX(ЗАКАЗЫ!$N$3:$N$500,MATCH($A95,ЗАКАЗЫ!$F$3:$F$500,0)),"")</f>
        <v/>
      </c>
      <c r="BM95" s="8" t="str">
        <f aca="false">IF(BL95="","",IFERROR(VLOOKUP(BL95,'ТН ВЭД'!$A$4:$C$40,3,0),""))</f>
        <v/>
      </c>
      <c r="BN95" s="7" t="str">
        <f aca="false">IF(COUNTIF(ЗАКАЗЫ!$F$3:$F$500,$A95)=0,"",SUMIF(ЗАКАЗЫ!$F$3:$F$500,$A95,ЗАКАЗЫ!$J$3:$J$500))</f>
        <v/>
      </c>
      <c r="BO95" s="7" t="str">
        <f aca="false">IF(BN95="","",SUMIF(ЗАКАЗЫ!$F$3:$F$500,$A95,ЗАКАЗЫ!$AL$3:$AL$500))</f>
        <v/>
      </c>
      <c r="BP95" s="7" t="str">
        <f aca="false">IF(BN95="","",BN95-BO95)</f>
        <v/>
      </c>
      <c r="BQ95" s="55" t="str">
        <f aca="false">IF(BN95="","",IF(BO95&gt;=BN95,"На складе",IF(BO95&gt;0,"Частично","Ждём")))</f>
        <v/>
      </c>
      <c r="BR95" s="43"/>
      <c r="BS95" s="47" t="str">
        <f aca="false">IF(BN95="","",IF(_xlfn.MAXIFS(ЗАКАЗЫ!$AK$3:$AK$500,ЗАКАЗЫ!$F$3:$F$500,$A95)=0,"",_xlfn.MAXIFS(ЗАКАЗЫ!$AK$3:$AK$500,ЗАКАЗЫ!$F$3:$F$500,$A95)))</f>
        <v/>
      </c>
    </row>
    <row r="96" customFormat="false" ht="15.75" hidden="false" customHeight="true" outlineLevel="0" collapsed="false">
      <c r="A96" s="80" t="s">
        <v>2290</v>
      </c>
      <c r="B96" s="81"/>
      <c r="C96" s="81"/>
      <c r="D96" s="81"/>
      <c r="E96" s="83"/>
      <c r="F96" s="81"/>
      <c r="G96" s="83"/>
      <c r="H96" s="83"/>
      <c r="I96" s="84" t="str">
        <f aca="false">IF(E96="","",A96&amp;"_1.jpg")</f>
        <v/>
      </c>
      <c r="J96" s="84" t="str">
        <f aca="false">IF(E96="","",A96&amp;"_2.jpg; "&amp;A96&amp;"_3.jpg")</f>
        <v/>
      </c>
      <c r="K96" s="84" t="str">
        <f aca="false">IF(E96="","",A96&amp;"_schema.jpg")</f>
        <v/>
      </c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 t="s">
        <v>96</v>
      </c>
      <c r="W96" s="81"/>
      <c r="X96" s="81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6" t="str">
        <f aca="false">IF(SUM(Y96:AJ96)=0,"",SUM(Y96:AJ96))</f>
        <v/>
      </c>
      <c r="AL96" s="84" t="str">
        <f aca="false">MID(IF(N(Y96)&gt;0,", "&amp;Y$2,"")&amp;IF(N(Z96)&gt;0,", "&amp;Z$2,"")&amp;IF(N(AA96)&gt;0,", "&amp;AA$2,"")&amp;IF(N(AB96)&gt;0,", "&amp;AB$2,"")&amp;IF(N(AC96)&gt;0,", "&amp;AC$2,"")&amp;IF(N(AD96)&gt;0,", "&amp;AD$2,"")&amp;IF(N(AE96)&gt;0,", "&amp;AE$2,"")&amp;IF(N(AF96)&gt;0,", "&amp;AF$2,"")&amp;IF(N(AG96)&gt;0,", "&amp;AG$2,"")&amp;IF(N(AH96)&gt;0,", "&amp;AH$2,"")&amp;IF(N(AI96)&gt;0,", "&amp;AI$2,"")&amp;IF(N(AJ96)&gt;0,", "&amp;AJ$2,""),3,999)</f>
        <v/>
      </c>
      <c r="AM96" s="87" t="str">
        <f aca="false">IF(E96="","",MID(IF(N(Y96)&gt;0,", "&amp;A96&amp;"-"&amp;Y$2,"")&amp;IF(N(Z96)&gt;0,", "&amp;A96&amp;"-"&amp;Z$2,"")&amp;IF(N(AA96)&gt;0,", "&amp;A96&amp;"-"&amp;AA$2,"")&amp;IF(N(AB96)&gt;0,", "&amp;A96&amp;"-"&amp;AB$2,"")&amp;IF(N(AC96)&gt;0,", "&amp;A96&amp;"-"&amp;AC$2,"")&amp;IF(N(AD96)&gt;0,", "&amp;A96&amp;"-"&amp;AD$2,"")&amp;IF(N(AE96)&gt;0,", "&amp;A96&amp;"-"&amp;AE$2,"")&amp;IF(N(AF96)&gt;0,", "&amp;A96&amp;"-"&amp;AF$2,"")&amp;IF(N(AG96)&gt;0,", "&amp;A96&amp;"-"&amp;AG$2,"")&amp;IF(N(AH96)&gt;0,", "&amp;A96&amp;"-"&amp;AH$2,"")&amp;IF(N(AI96)&gt;0,", "&amp;A96&amp;"-"&amp;AI$2,"")&amp;IF(N(AJ96)&gt;0,", "&amp;A96&amp;"-"&amp;AJ$2,""),3,999))</f>
        <v/>
      </c>
      <c r="AN96" s="81"/>
      <c r="AO96" s="88"/>
      <c r="AP96" s="89" t="str">
        <f aca="false">IF(AO96="","",ROUND(AO96/(1+Справочники!$B$13),2))</f>
        <v/>
      </c>
      <c r="AQ96" s="90" t="str">
        <f aca="false" t="array" ref="AQ96:AQ96">IF(AP96="","",AP96*INDEX(Справочники!$B$4:$B$7,MATCH("RUB",Справочники!$A$4:$A$7,0)))</f>
        <v/>
      </c>
      <c r="AR96" s="90" t="str">
        <f aca="false">IF(AQ96="","",ROUND(AQ96*(1+Справочники!$B$12),0))</f>
        <v/>
      </c>
      <c r="AS96" s="90" t="str">
        <f aca="false">IF(AR96="","",ROUND(AR96*(1-Справочники!$B$11),0))</f>
        <v/>
      </c>
      <c r="AT96" s="88"/>
      <c r="AU96" s="90" t="str">
        <f aca="false">IF(AT96="","",ROUND(AT96/(1+Справочники!$B$12),0))</f>
        <v/>
      </c>
      <c r="AV96" s="90" t="str">
        <f aca="false">IF(AT96="","",ROUND(AT96*(1-Справочники!$B$15),0))</f>
        <v/>
      </c>
      <c r="AW96" s="90" t="str">
        <f aca="false">IF(AT96="","",ROUND(AT96*(1-Справочники!$B$16),0))</f>
        <v/>
      </c>
      <c r="AX96" s="90" t="str">
        <f aca="false">IF(AT96="","",ROUND(AT96*(1-Справочники!$B$17),0))</f>
        <v/>
      </c>
      <c r="AY96" s="90" t="str">
        <f aca="false">IF(AT96="","",ROUND(AT96*(1-Справочники!$B$18),0))</f>
        <v/>
      </c>
      <c r="AZ96" s="90" t="str">
        <f aca="false">IF(AT96="","",ROUND(AT96*(1-Справочники!$B$19),0))</f>
        <v/>
      </c>
      <c r="BA96" s="81"/>
      <c r="BB96" s="81"/>
      <c r="BC96" s="81"/>
      <c r="BD96" s="81"/>
      <c r="BE96" s="91"/>
      <c r="BF96" s="81" t="s">
        <v>103</v>
      </c>
      <c r="BG96" s="89" t="n">
        <f aca="false" t="array" ref="BG96:BG96">IF(BF96="","",IFERROR(INDEX(Справочники!$B$4:$B$7,MATCH(BF96,Справочники!$A$4:$A$7,0)),""))</f>
        <v>68.5</v>
      </c>
      <c r="BH96" s="90" t="str">
        <f aca="false">IF(N(BN96)&gt;0,ROUND(SUMIF(ЗАКАЗЫ!$F$3:$F$500,$A96,ЗАКАЗЫ!$Y$3:$Y$500)/BN96,0),IF(OR(BE96="",BG96=""),"",ROUND(BE96*BG96*(1+Справочники!$B$10),0)))</f>
        <v/>
      </c>
      <c r="BI96" s="92" t="str">
        <f aca="false">IF(OR(AU96="",BH96="",AU96=0),"",(AU96-BH96)/AU96)</f>
        <v/>
      </c>
      <c r="BJ96" s="81"/>
      <c r="BK96" s="83"/>
      <c r="BL96" s="43" t="str">
        <f aca="false">IFERROR(INDEX(ЗАКАЗЫ!$N$3:$N$500,MATCH($A96,ЗАКАЗЫ!$F$3:$F$500,0)),"")</f>
        <v/>
      </c>
      <c r="BM96" s="8" t="str">
        <f aca="false">IF(BL96="","",IFERROR(VLOOKUP(BL96,'ТН ВЭД'!$A$4:$C$40,3,0),""))</f>
        <v/>
      </c>
      <c r="BN96" s="7" t="str">
        <f aca="false">IF(COUNTIF(ЗАКАЗЫ!$F$3:$F$500,$A96)=0,"",SUMIF(ЗАКАЗЫ!$F$3:$F$500,$A96,ЗАКАЗЫ!$J$3:$J$500))</f>
        <v/>
      </c>
      <c r="BO96" s="7" t="str">
        <f aca="false">IF(BN96="","",SUMIF(ЗАКАЗЫ!$F$3:$F$500,$A96,ЗАКАЗЫ!$AL$3:$AL$500))</f>
        <v/>
      </c>
      <c r="BP96" s="7" t="str">
        <f aca="false">IF(BN96="","",BN96-BO96)</f>
        <v/>
      </c>
      <c r="BQ96" s="55" t="str">
        <f aca="false">IF(BN96="","",IF(BO96&gt;=BN96,"На складе",IF(BO96&gt;0,"Частично","Ждём")))</f>
        <v/>
      </c>
      <c r="BR96" s="43"/>
      <c r="BS96" s="47" t="str">
        <f aca="false">IF(BN96="","",IF(_xlfn.MAXIFS(ЗАКАЗЫ!$AK$3:$AK$500,ЗАКАЗЫ!$F$3:$F$500,$A96)=0,"",_xlfn.MAXIFS(ЗАКАЗЫ!$AK$3:$AK$500,ЗАКАЗЫ!$F$3:$F$500,$A96)))</f>
        <v/>
      </c>
    </row>
    <row r="97" customFormat="false" ht="15.75" hidden="false" customHeight="true" outlineLevel="0" collapsed="false">
      <c r="A97" s="80" t="s">
        <v>2291</v>
      </c>
      <c r="B97" s="81"/>
      <c r="C97" s="81"/>
      <c r="D97" s="81"/>
      <c r="E97" s="83"/>
      <c r="F97" s="81"/>
      <c r="G97" s="83"/>
      <c r="H97" s="83"/>
      <c r="I97" s="84" t="str">
        <f aca="false">IF(E97="","",A97&amp;"_1.jpg")</f>
        <v/>
      </c>
      <c r="J97" s="84" t="str">
        <f aca="false">IF(E97="","",A97&amp;"_2.jpg; "&amp;A97&amp;"_3.jpg")</f>
        <v/>
      </c>
      <c r="K97" s="84" t="str">
        <f aca="false">IF(E97="","",A97&amp;"_schema.jpg")</f>
        <v/>
      </c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 t="s">
        <v>96</v>
      </c>
      <c r="W97" s="81"/>
      <c r="X97" s="81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6" t="str">
        <f aca="false">IF(SUM(Y97:AJ97)=0,"",SUM(Y97:AJ97))</f>
        <v/>
      </c>
      <c r="AL97" s="84" t="str">
        <f aca="false">MID(IF(N(Y97)&gt;0,", "&amp;Y$2,"")&amp;IF(N(Z97)&gt;0,", "&amp;Z$2,"")&amp;IF(N(AA97)&gt;0,", "&amp;AA$2,"")&amp;IF(N(AB97)&gt;0,", "&amp;AB$2,"")&amp;IF(N(AC97)&gt;0,", "&amp;AC$2,"")&amp;IF(N(AD97)&gt;0,", "&amp;AD$2,"")&amp;IF(N(AE97)&gt;0,", "&amp;AE$2,"")&amp;IF(N(AF97)&gt;0,", "&amp;AF$2,"")&amp;IF(N(AG97)&gt;0,", "&amp;AG$2,"")&amp;IF(N(AH97)&gt;0,", "&amp;AH$2,"")&amp;IF(N(AI97)&gt;0,", "&amp;AI$2,"")&amp;IF(N(AJ97)&gt;0,", "&amp;AJ$2,""),3,999)</f>
        <v/>
      </c>
      <c r="AM97" s="87" t="str">
        <f aca="false">IF(E97="","",MID(IF(N(Y97)&gt;0,", "&amp;A97&amp;"-"&amp;Y$2,"")&amp;IF(N(Z97)&gt;0,", "&amp;A97&amp;"-"&amp;Z$2,"")&amp;IF(N(AA97)&gt;0,", "&amp;A97&amp;"-"&amp;AA$2,"")&amp;IF(N(AB97)&gt;0,", "&amp;A97&amp;"-"&amp;AB$2,"")&amp;IF(N(AC97)&gt;0,", "&amp;A97&amp;"-"&amp;AC$2,"")&amp;IF(N(AD97)&gt;0,", "&amp;A97&amp;"-"&amp;AD$2,"")&amp;IF(N(AE97)&gt;0,", "&amp;A97&amp;"-"&amp;AE$2,"")&amp;IF(N(AF97)&gt;0,", "&amp;A97&amp;"-"&amp;AF$2,"")&amp;IF(N(AG97)&gt;0,", "&amp;A97&amp;"-"&amp;AG$2,"")&amp;IF(N(AH97)&gt;0,", "&amp;A97&amp;"-"&amp;AH$2,"")&amp;IF(N(AI97)&gt;0,", "&amp;A97&amp;"-"&amp;AI$2,"")&amp;IF(N(AJ97)&gt;0,", "&amp;A97&amp;"-"&amp;AJ$2,""),3,999))</f>
        <v/>
      </c>
      <c r="AN97" s="81"/>
      <c r="AO97" s="88"/>
      <c r="AP97" s="89" t="str">
        <f aca="false">IF(AO97="","",ROUND(AO97/(1+Справочники!$B$13),2))</f>
        <v/>
      </c>
      <c r="AQ97" s="90" t="str">
        <f aca="false" t="array" ref="AQ97:AQ97">IF(AP97="","",AP97*INDEX(Справочники!$B$4:$B$7,MATCH("RUB",Справочники!$A$4:$A$7,0)))</f>
        <v/>
      </c>
      <c r="AR97" s="90" t="str">
        <f aca="false">IF(AQ97="","",ROUND(AQ97*(1+Справочники!$B$12),0))</f>
        <v/>
      </c>
      <c r="AS97" s="90" t="str">
        <f aca="false">IF(AR97="","",ROUND(AR97*(1-Справочники!$B$11),0))</f>
        <v/>
      </c>
      <c r="AT97" s="88"/>
      <c r="AU97" s="90" t="str">
        <f aca="false">IF(AT97="","",ROUND(AT97/(1+Справочники!$B$12),0))</f>
        <v/>
      </c>
      <c r="AV97" s="90" t="str">
        <f aca="false">IF(AT97="","",ROUND(AT97*(1-Справочники!$B$15),0))</f>
        <v/>
      </c>
      <c r="AW97" s="90" t="str">
        <f aca="false">IF(AT97="","",ROUND(AT97*(1-Справочники!$B$16),0))</f>
        <v/>
      </c>
      <c r="AX97" s="90" t="str">
        <f aca="false">IF(AT97="","",ROUND(AT97*(1-Справочники!$B$17),0))</f>
        <v/>
      </c>
      <c r="AY97" s="90" t="str">
        <f aca="false">IF(AT97="","",ROUND(AT97*(1-Справочники!$B$18),0))</f>
        <v/>
      </c>
      <c r="AZ97" s="90" t="str">
        <f aca="false">IF(AT97="","",ROUND(AT97*(1-Справочники!$B$19),0))</f>
        <v/>
      </c>
      <c r="BA97" s="81"/>
      <c r="BB97" s="81"/>
      <c r="BC97" s="81"/>
      <c r="BD97" s="81"/>
      <c r="BE97" s="91"/>
      <c r="BF97" s="81" t="s">
        <v>103</v>
      </c>
      <c r="BG97" s="89" t="n">
        <f aca="false" t="array" ref="BG97:BG97">IF(BF97="","",IFERROR(INDEX(Справочники!$B$4:$B$7,MATCH(BF97,Справочники!$A$4:$A$7,0)),""))</f>
        <v>68.5</v>
      </c>
      <c r="BH97" s="90" t="str">
        <f aca="false">IF(N(BN97)&gt;0,ROUND(SUMIF(ЗАКАЗЫ!$F$3:$F$500,$A97,ЗАКАЗЫ!$Y$3:$Y$500)/BN97,0),IF(OR(BE97="",BG97=""),"",ROUND(BE97*BG97*(1+Справочники!$B$10),0)))</f>
        <v/>
      </c>
      <c r="BI97" s="92" t="str">
        <f aca="false">IF(OR(AU97="",BH97="",AU97=0),"",(AU97-BH97)/AU97)</f>
        <v/>
      </c>
      <c r="BJ97" s="81"/>
      <c r="BK97" s="83"/>
      <c r="BL97" s="43" t="str">
        <f aca="false">IFERROR(INDEX(ЗАКАЗЫ!$N$3:$N$500,MATCH($A97,ЗАКАЗЫ!$F$3:$F$500,0)),"")</f>
        <v/>
      </c>
      <c r="BM97" s="8" t="str">
        <f aca="false">IF(BL97="","",IFERROR(VLOOKUP(BL97,'ТН ВЭД'!$A$4:$C$40,3,0),""))</f>
        <v/>
      </c>
      <c r="BN97" s="7" t="str">
        <f aca="false">IF(COUNTIF(ЗАКАЗЫ!$F$3:$F$500,$A97)=0,"",SUMIF(ЗАКАЗЫ!$F$3:$F$500,$A97,ЗАКАЗЫ!$J$3:$J$500))</f>
        <v/>
      </c>
      <c r="BO97" s="7" t="str">
        <f aca="false">IF(BN97="","",SUMIF(ЗАКАЗЫ!$F$3:$F$500,$A97,ЗАКАЗЫ!$AL$3:$AL$500))</f>
        <v/>
      </c>
      <c r="BP97" s="7" t="str">
        <f aca="false">IF(BN97="","",BN97-BO97)</f>
        <v/>
      </c>
      <c r="BQ97" s="55" t="str">
        <f aca="false">IF(BN97="","",IF(BO97&gt;=BN97,"На складе",IF(BO97&gt;0,"Частично","Ждём")))</f>
        <v/>
      </c>
      <c r="BR97" s="43"/>
      <c r="BS97" s="47" t="str">
        <f aca="false">IF(BN97="","",IF(_xlfn.MAXIFS(ЗАКАЗЫ!$AK$3:$AK$500,ЗАКАЗЫ!$F$3:$F$500,$A97)=0,"",_xlfn.MAXIFS(ЗАКАЗЫ!$AK$3:$AK$500,ЗАКАЗЫ!$F$3:$F$500,$A97)))</f>
        <v/>
      </c>
    </row>
    <row r="98" customFormat="false" ht="15.75" hidden="false" customHeight="true" outlineLevel="0" collapsed="false">
      <c r="A98" s="80" t="s">
        <v>2292</v>
      </c>
      <c r="B98" s="81"/>
      <c r="C98" s="81"/>
      <c r="D98" s="81"/>
      <c r="E98" s="83"/>
      <c r="F98" s="81"/>
      <c r="G98" s="83"/>
      <c r="H98" s="83"/>
      <c r="I98" s="84" t="str">
        <f aca="false">IF(E98="","",A98&amp;"_1.jpg")</f>
        <v/>
      </c>
      <c r="J98" s="84" t="str">
        <f aca="false">IF(E98="","",A98&amp;"_2.jpg; "&amp;A98&amp;"_3.jpg")</f>
        <v/>
      </c>
      <c r="K98" s="84" t="str">
        <f aca="false">IF(E98="","",A98&amp;"_schema.jpg")</f>
        <v/>
      </c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 t="s">
        <v>96</v>
      </c>
      <c r="W98" s="81"/>
      <c r="X98" s="81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6" t="str">
        <f aca="false">IF(SUM(Y98:AJ98)=0,"",SUM(Y98:AJ98))</f>
        <v/>
      </c>
      <c r="AL98" s="84" t="str">
        <f aca="false">MID(IF(N(Y98)&gt;0,", "&amp;Y$2,"")&amp;IF(N(Z98)&gt;0,", "&amp;Z$2,"")&amp;IF(N(AA98)&gt;0,", "&amp;AA$2,"")&amp;IF(N(AB98)&gt;0,", "&amp;AB$2,"")&amp;IF(N(AC98)&gt;0,", "&amp;AC$2,"")&amp;IF(N(AD98)&gt;0,", "&amp;AD$2,"")&amp;IF(N(AE98)&gt;0,", "&amp;AE$2,"")&amp;IF(N(AF98)&gt;0,", "&amp;AF$2,"")&amp;IF(N(AG98)&gt;0,", "&amp;AG$2,"")&amp;IF(N(AH98)&gt;0,", "&amp;AH$2,"")&amp;IF(N(AI98)&gt;0,", "&amp;AI$2,"")&amp;IF(N(AJ98)&gt;0,", "&amp;AJ$2,""),3,999)</f>
        <v/>
      </c>
      <c r="AM98" s="87" t="str">
        <f aca="false">IF(E98="","",MID(IF(N(Y98)&gt;0,", "&amp;A98&amp;"-"&amp;Y$2,"")&amp;IF(N(Z98)&gt;0,", "&amp;A98&amp;"-"&amp;Z$2,"")&amp;IF(N(AA98)&gt;0,", "&amp;A98&amp;"-"&amp;AA$2,"")&amp;IF(N(AB98)&gt;0,", "&amp;A98&amp;"-"&amp;AB$2,"")&amp;IF(N(AC98)&gt;0,", "&amp;A98&amp;"-"&amp;AC$2,"")&amp;IF(N(AD98)&gt;0,", "&amp;A98&amp;"-"&amp;AD$2,"")&amp;IF(N(AE98)&gt;0,", "&amp;A98&amp;"-"&amp;AE$2,"")&amp;IF(N(AF98)&gt;0,", "&amp;A98&amp;"-"&amp;AF$2,"")&amp;IF(N(AG98)&gt;0,", "&amp;A98&amp;"-"&amp;AG$2,"")&amp;IF(N(AH98)&gt;0,", "&amp;A98&amp;"-"&amp;AH$2,"")&amp;IF(N(AI98)&gt;0,", "&amp;A98&amp;"-"&amp;AI$2,"")&amp;IF(N(AJ98)&gt;0,", "&amp;A98&amp;"-"&amp;AJ$2,""),3,999))</f>
        <v/>
      </c>
      <c r="AN98" s="81"/>
      <c r="AO98" s="88"/>
      <c r="AP98" s="89" t="str">
        <f aca="false">IF(AO98="","",ROUND(AO98/(1+Справочники!$B$13),2))</f>
        <v/>
      </c>
      <c r="AQ98" s="90" t="str">
        <f aca="false" t="array" ref="AQ98:AQ98">IF(AP98="","",AP98*INDEX(Справочники!$B$4:$B$7,MATCH("RUB",Справочники!$A$4:$A$7,0)))</f>
        <v/>
      </c>
      <c r="AR98" s="90" t="str">
        <f aca="false">IF(AQ98="","",ROUND(AQ98*(1+Справочники!$B$12),0))</f>
        <v/>
      </c>
      <c r="AS98" s="90" t="str">
        <f aca="false">IF(AR98="","",ROUND(AR98*(1-Справочники!$B$11),0))</f>
        <v/>
      </c>
      <c r="AT98" s="88"/>
      <c r="AU98" s="90" t="str">
        <f aca="false">IF(AT98="","",ROUND(AT98/(1+Справочники!$B$12),0))</f>
        <v/>
      </c>
      <c r="AV98" s="90" t="str">
        <f aca="false">IF(AT98="","",ROUND(AT98*(1-Справочники!$B$15),0))</f>
        <v/>
      </c>
      <c r="AW98" s="90" t="str">
        <f aca="false">IF(AT98="","",ROUND(AT98*(1-Справочники!$B$16),0))</f>
        <v/>
      </c>
      <c r="AX98" s="90" t="str">
        <f aca="false">IF(AT98="","",ROUND(AT98*(1-Справочники!$B$17),0))</f>
        <v/>
      </c>
      <c r="AY98" s="90" t="str">
        <f aca="false">IF(AT98="","",ROUND(AT98*(1-Справочники!$B$18),0))</f>
        <v/>
      </c>
      <c r="AZ98" s="90" t="str">
        <f aca="false">IF(AT98="","",ROUND(AT98*(1-Справочники!$B$19),0))</f>
        <v/>
      </c>
      <c r="BA98" s="81"/>
      <c r="BB98" s="81"/>
      <c r="BC98" s="81"/>
      <c r="BD98" s="81"/>
      <c r="BE98" s="91"/>
      <c r="BF98" s="81" t="s">
        <v>103</v>
      </c>
      <c r="BG98" s="89" t="n">
        <f aca="false" t="array" ref="BG98:BG98">IF(BF98="","",IFERROR(INDEX(Справочники!$B$4:$B$7,MATCH(BF98,Справочники!$A$4:$A$7,0)),""))</f>
        <v>68.5</v>
      </c>
      <c r="BH98" s="90" t="str">
        <f aca="false">IF(N(BN98)&gt;0,ROUND(SUMIF(ЗАКАЗЫ!$F$3:$F$500,$A98,ЗАКАЗЫ!$Y$3:$Y$500)/BN98,0),IF(OR(BE98="",BG98=""),"",ROUND(BE98*BG98*(1+Справочники!$B$10),0)))</f>
        <v/>
      </c>
      <c r="BI98" s="92" t="str">
        <f aca="false">IF(OR(AU98="",BH98="",AU98=0),"",(AU98-BH98)/AU98)</f>
        <v/>
      </c>
      <c r="BJ98" s="81"/>
      <c r="BK98" s="83"/>
      <c r="BL98" s="43" t="str">
        <f aca="false">IFERROR(INDEX(ЗАКАЗЫ!$N$3:$N$500,MATCH($A98,ЗАКАЗЫ!$F$3:$F$500,0)),"")</f>
        <v/>
      </c>
      <c r="BM98" s="8" t="str">
        <f aca="false">IF(BL98="","",IFERROR(VLOOKUP(BL98,'ТН ВЭД'!$A$4:$C$40,3,0),""))</f>
        <v/>
      </c>
      <c r="BN98" s="7" t="str">
        <f aca="false">IF(COUNTIF(ЗАКАЗЫ!$F$3:$F$500,$A98)=0,"",SUMIF(ЗАКАЗЫ!$F$3:$F$500,$A98,ЗАКАЗЫ!$J$3:$J$500))</f>
        <v/>
      </c>
      <c r="BO98" s="7" t="str">
        <f aca="false">IF(BN98="","",SUMIF(ЗАКАЗЫ!$F$3:$F$500,$A98,ЗАКАЗЫ!$AL$3:$AL$500))</f>
        <v/>
      </c>
      <c r="BP98" s="7" t="str">
        <f aca="false">IF(BN98="","",BN98-BO98)</f>
        <v/>
      </c>
      <c r="BQ98" s="55" t="str">
        <f aca="false">IF(BN98="","",IF(BO98&gt;=BN98,"На складе",IF(BO98&gt;0,"Частично","Ждём")))</f>
        <v/>
      </c>
      <c r="BR98" s="43"/>
      <c r="BS98" s="47" t="str">
        <f aca="false">IF(BN98="","",IF(_xlfn.MAXIFS(ЗАКАЗЫ!$AK$3:$AK$500,ЗАКАЗЫ!$F$3:$F$500,$A98)=0,"",_xlfn.MAXIFS(ЗАКАЗЫ!$AK$3:$AK$500,ЗАКАЗЫ!$F$3:$F$500,$A98)))</f>
        <v/>
      </c>
    </row>
    <row r="99" customFormat="false" ht="15.75" hidden="false" customHeight="true" outlineLevel="0" collapsed="false">
      <c r="A99" s="80" t="s">
        <v>2293</v>
      </c>
      <c r="B99" s="81"/>
      <c r="C99" s="81"/>
      <c r="D99" s="81"/>
      <c r="E99" s="83"/>
      <c r="F99" s="81"/>
      <c r="G99" s="83"/>
      <c r="H99" s="83"/>
      <c r="I99" s="84" t="str">
        <f aca="false">IF(E99="","",A99&amp;"_1.jpg")</f>
        <v/>
      </c>
      <c r="J99" s="84" t="str">
        <f aca="false">IF(E99="","",A99&amp;"_2.jpg; "&amp;A99&amp;"_3.jpg")</f>
        <v/>
      </c>
      <c r="K99" s="84" t="str">
        <f aca="false">IF(E99="","",A99&amp;"_schema.jpg")</f>
        <v/>
      </c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 t="s">
        <v>96</v>
      </c>
      <c r="W99" s="81"/>
      <c r="X99" s="81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6" t="str">
        <f aca="false">IF(SUM(Y99:AJ99)=0,"",SUM(Y99:AJ99))</f>
        <v/>
      </c>
      <c r="AL99" s="84" t="str">
        <f aca="false">MID(IF(N(Y99)&gt;0,", "&amp;Y$2,"")&amp;IF(N(Z99)&gt;0,", "&amp;Z$2,"")&amp;IF(N(AA99)&gt;0,", "&amp;AA$2,"")&amp;IF(N(AB99)&gt;0,", "&amp;AB$2,"")&amp;IF(N(AC99)&gt;0,", "&amp;AC$2,"")&amp;IF(N(AD99)&gt;0,", "&amp;AD$2,"")&amp;IF(N(AE99)&gt;0,", "&amp;AE$2,"")&amp;IF(N(AF99)&gt;0,", "&amp;AF$2,"")&amp;IF(N(AG99)&gt;0,", "&amp;AG$2,"")&amp;IF(N(AH99)&gt;0,", "&amp;AH$2,"")&amp;IF(N(AI99)&gt;0,", "&amp;AI$2,"")&amp;IF(N(AJ99)&gt;0,", "&amp;AJ$2,""),3,999)</f>
        <v/>
      </c>
      <c r="AM99" s="87" t="str">
        <f aca="false">IF(E99="","",MID(IF(N(Y99)&gt;0,", "&amp;A99&amp;"-"&amp;Y$2,"")&amp;IF(N(Z99)&gt;0,", "&amp;A99&amp;"-"&amp;Z$2,"")&amp;IF(N(AA99)&gt;0,", "&amp;A99&amp;"-"&amp;AA$2,"")&amp;IF(N(AB99)&gt;0,", "&amp;A99&amp;"-"&amp;AB$2,"")&amp;IF(N(AC99)&gt;0,", "&amp;A99&amp;"-"&amp;AC$2,"")&amp;IF(N(AD99)&gt;0,", "&amp;A99&amp;"-"&amp;AD$2,"")&amp;IF(N(AE99)&gt;0,", "&amp;A99&amp;"-"&amp;AE$2,"")&amp;IF(N(AF99)&gt;0,", "&amp;A99&amp;"-"&amp;AF$2,"")&amp;IF(N(AG99)&gt;0,", "&amp;A99&amp;"-"&amp;AG$2,"")&amp;IF(N(AH99)&gt;0,", "&amp;A99&amp;"-"&amp;AH$2,"")&amp;IF(N(AI99)&gt;0,", "&amp;A99&amp;"-"&amp;AI$2,"")&amp;IF(N(AJ99)&gt;0,", "&amp;A99&amp;"-"&amp;AJ$2,""),3,999))</f>
        <v/>
      </c>
      <c r="AN99" s="81"/>
      <c r="AO99" s="88"/>
      <c r="AP99" s="89" t="str">
        <f aca="false">IF(AO99="","",ROUND(AO99/(1+Справочники!$B$13),2))</f>
        <v/>
      </c>
      <c r="AQ99" s="90" t="str">
        <f aca="false" t="array" ref="AQ99:AQ99">IF(AP99="","",AP99*INDEX(Справочники!$B$4:$B$7,MATCH("RUB",Справочники!$A$4:$A$7,0)))</f>
        <v/>
      </c>
      <c r="AR99" s="90" t="str">
        <f aca="false">IF(AQ99="","",ROUND(AQ99*(1+Справочники!$B$12),0))</f>
        <v/>
      </c>
      <c r="AS99" s="90" t="str">
        <f aca="false">IF(AR99="","",ROUND(AR99*(1-Справочники!$B$11),0))</f>
        <v/>
      </c>
      <c r="AT99" s="88"/>
      <c r="AU99" s="90" t="str">
        <f aca="false">IF(AT99="","",ROUND(AT99/(1+Справочники!$B$12),0))</f>
        <v/>
      </c>
      <c r="AV99" s="90" t="str">
        <f aca="false">IF(AT99="","",ROUND(AT99*(1-Справочники!$B$15),0))</f>
        <v/>
      </c>
      <c r="AW99" s="90" t="str">
        <f aca="false">IF(AT99="","",ROUND(AT99*(1-Справочники!$B$16),0))</f>
        <v/>
      </c>
      <c r="AX99" s="90" t="str">
        <f aca="false">IF(AT99="","",ROUND(AT99*(1-Справочники!$B$17),0))</f>
        <v/>
      </c>
      <c r="AY99" s="90" t="str">
        <f aca="false">IF(AT99="","",ROUND(AT99*(1-Справочники!$B$18),0))</f>
        <v/>
      </c>
      <c r="AZ99" s="90" t="str">
        <f aca="false">IF(AT99="","",ROUND(AT99*(1-Справочники!$B$19),0))</f>
        <v/>
      </c>
      <c r="BA99" s="81"/>
      <c r="BB99" s="81"/>
      <c r="BC99" s="81"/>
      <c r="BD99" s="81"/>
      <c r="BE99" s="91"/>
      <c r="BF99" s="81" t="s">
        <v>103</v>
      </c>
      <c r="BG99" s="89" t="n">
        <f aca="false" t="array" ref="BG99:BG99">IF(BF99="","",IFERROR(INDEX(Справочники!$B$4:$B$7,MATCH(BF99,Справочники!$A$4:$A$7,0)),""))</f>
        <v>68.5</v>
      </c>
      <c r="BH99" s="90" t="str">
        <f aca="false">IF(N(BN99)&gt;0,ROUND(SUMIF(ЗАКАЗЫ!$F$3:$F$500,$A99,ЗАКАЗЫ!$Y$3:$Y$500)/BN99,0),IF(OR(BE99="",BG99=""),"",ROUND(BE99*BG99*(1+Справочники!$B$10),0)))</f>
        <v/>
      </c>
      <c r="BI99" s="92" t="str">
        <f aca="false">IF(OR(AU99="",BH99="",AU99=0),"",(AU99-BH99)/AU99)</f>
        <v/>
      </c>
      <c r="BJ99" s="81"/>
      <c r="BK99" s="83"/>
      <c r="BL99" s="43" t="str">
        <f aca="false">IFERROR(INDEX(ЗАКАЗЫ!$N$3:$N$500,MATCH($A99,ЗАКАЗЫ!$F$3:$F$500,0)),"")</f>
        <v/>
      </c>
      <c r="BM99" s="8" t="str">
        <f aca="false">IF(BL99="","",IFERROR(VLOOKUP(BL99,'ТН ВЭД'!$A$4:$C$40,3,0),""))</f>
        <v/>
      </c>
      <c r="BN99" s="7" t="str">
        <f aca="false">IF(COUNTIF(ЗАКАЗЫ!$F$3:$F$500,$A99)=0,"",SUMIF(ЗАКАЗЫ!$F$3:$F$500,$A99,ЗАКАЗЫ!$J$3:$J$500))</f>
        <v/>
      </c>
      <c r="BO99" s="7" t="str">
        <f aca="false">IF(BN99="","",SUMIF(ЗАКАЗЫ!$F$3:$F$500,$A99,ЗАКАЗЫ!$AL$3:$AL$500))</f>
        <v/>
      </c>
      <c r="BP99" s="7" t="str">
        <f aca="false">IF(BN99="","",BN99-BO99)</f>
        <v/>
      </c>
      <c r="BQ99" s="55" t="str">
        <f aca="false">IF(BN99="","",IF(BO99&gt;=BN99,"На складе",IF(BO99&gt;0,"Частично","Ждём")))</f>
        <v/>
      </c>
      <c r="BR99" s="43"/>
      <c r="BS99" s="47" t="str">
        <f aca="false">IF(BN99="","",IF(_xlfn.MAXIFS(ЗАКАЗЫ!$AK$3:$AK$500,ЗАКАЗЫ!$F$3:$F$500,$A99)=0,"",_xlfn.MAXIFS(ЗАКАЗЫ!$AK$3:$AK$500,ЗАКАЗЫ!$F$3:$F$500,$A99)))</f>
        <v/>
      </c>
    </row>
    <row r="100" customFormat="false" ht="15.75" hidden="false" customHeight="true" outlineLevel="0" collapsed="false">
      <c r="A100" s="80" t="s">
        <v>2294</v>
      </c>
      <c r="B100" s="81"/>
      <c r="C100" s="81"/>
      <c r="D100" s="81"/>
      <c r="E100" s="83"/>
      <c r="F100" s="81"/>
      <c r="G100" s="83"/>
      <c r="H100" s="83"/>
      <c r="I100" s="84" t="str">
        <f aca="false">IF(E100="","",A100&amp;"_1.jpg")</f>
        <v/>
      </c>
      <c r="J100" s="84" t="str">
        <f aca="false">IF(E100="","",A100&amp;"_2.jpg; "&amp;A100&amp;"_3.jpg")</f>
        <v/>
      </c>
      <c r="K100" s="84" t="str">
        <f aca="false">IF(E100="","",A100&amp;"_schema.jpg")</f>
        <v/>
      </c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 t="s">
        <v>96</v>
      </c>
      <c r="W100" s="81"/>
      <c r="X100" s="81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6" t="str">
        <f aca="false">IF(SUM(Y100:AJ100)=0,"",SUM(Y100:AJ100))</f>
        <v/>
      </c>
      <c r="AL100" s="84" t="str">
        <f aca="false">MID(IF(N(Y100)&gt;0,", "&amp;Y$2,"")&amp;IF(N(Z100)&gt;0,", "&amp;Z$2,"")&amp;IF(N(AA100)&gt;0,", "&amp;AA$2,"")&amp;IF(N(AB100)&gt;0,", "&amp;AB$2,"")&amp;IF(N(AC100)&gt;0,", "&amp;AC$2,"")&amp;IF(N(AD100)&gt;0,", "&amp;AD$2,"")&amp;IF(N(AE100)&gt;0,", "&amp;AE$2,"")&amp;IF(N(AF100)&gt;0,", "&amp;AF$2,"")&amp;IF(N(AG100)&gt;0,", "&amp;AG$2,"")&amp;IF(N(AH100)&gt;0,", "&amp;AH$2,"")&amp;IF(N(AI100)&gt;0,", "&amp;AI$2,"")&amp;IF(N(AJ100)&gt;0,", "&amp;AJ$2,""),3,999)</f>
        <v/>
      </c>
      <c r="AM100" s="87" t="str">
        <f aca="false">IF(E100="","",MID(IF(N(Y100)&gt;0,", "&amp;A100&amp;"-"&amp;Y$2,"")&amp;IF(N(Z100)&gt;0,", "&amp;A100&amp;"-"&amp;Z$2,"")&amp;IF(N(AA100)&gt;0,", "&amp;A100&amp;"-"&amp;AA$2,"")&amp;IF(N(AB100)&gt;0,", "&amp;A100&amp;"-"&amp;AB$2,"")&amp;IF(N(AC100)&gt;0,", "&amp;A100&amp;"-"&amp;AC$2,"")&amp;IF(N(AD100)&gt;0,", "&amp;A100&amp;"-"&amp;AD$2,"")&amp;IF(N(AE100)&gt;0,", "&amp;A100&amp;"-"&amp;AE$2,"")&amp;IF(N(AF100)&gt;0,", "&amp;A100&amp;"-"&amp;AF$2,"")&amp;IF(N(AG100)&gt;0,", "&amp;A100&amp;"-"&amp;AG$2,"")&amp;IF(N(AH100)&gt;0,", "&amp;A100&amp;"-"&amp;AH$2,"")&amp;IF(N(AI100)&gt;0,", "&amp;A100&amp;"-"&amp;AI$2,"")&amp;IF(N(AJ100)&gt;0,", "&amp;A100&amp;"-"&amp;AJ$2,""),3,999))</f>
        <v/>
      </c>
      <c r="AN100" s="81"/>
      <c r="AO100" s="88"/>
      <c r="AP100" s="89" t="str">
        <f aca="false">IF(AO100="","",ROUND(AO100/(1+Справочники!$B$13),2))</f>
        <v/>
      </c>
      <c r="AQ100" s="90" t="str">
        <f aca="false" t="array" ref="AQ100:AQ100">IF(AP100="","",AP100*INDEX(Справочники!$B$4:$B$7,MATCH("RUB",Справочники!$A$4:$A$7,0)))</f>
        <v/>
      </c>
      <c r="AR100" s="90" t="str">
        <f aca="false">IF(AQ100="","",ROUND(AQ100*(1+Справочники!$B$12),0))</f>
        <v/>
      </c>
      <c r="AS100" s="90" t="str">
        <f aca="false">IF(AR100="","",ROUND(AR100*(1-Справочники!$B$11),0))</f>
        <v/>
      </c>
      <c r="AT100" s="88"/>
      <c r="AU100" s="90" t="str">
        <f aca="false">IF(AT100="","",ROUND(AT100/(1+Справочники!$B$12),0))</f>
        <v/>
      </c>
      <c r="AV100" s="90" t="str">
        <f aca="false">IF(AT100="","",ROUND(AT100*(1-Справочники!$B$15),0))</f>
        <v/>
      </c>
      <c r="AW100" s="90" t="str">
        <f aca="false">IF(AT100="","",ROUND(AT100*(1-Справочники!$B$16),0))</f>
        <v/>
      </c>
      <c r="AX100" s="90" t="str">
        <f aca="false">IF(AT100="","",ROUND(AT100*(1-Справочники!$B$17),0))</f>
        <v/>
      </c>
      <c r="AY100" s="90" t="str">
        <f aca="false">IF(AT100="","",ROUND(AT100*(1-Справочники!$B$18),0))</f>
        <v/>
      </c>
      <c r="AZ100" s="90" t="str">
        <f aca="false">IF(AT100="","",ROUND(AT100*(1-Справочники!$B$19),0))</f>
        <v/>
      </c>
      <c r="BA100" s="81"/>
      <c r="BB100" s="81"/>
      <c r="BC100" s="81"/>
      <c r="BD100" s="81"/>
      <c r="BE100" s="91"/>
      <c r="BF100" s="81" t="s">
        <v>103</v>
      </c>
      <c r="BG100" s="89" t="n">
        <f aca="false" t="array" ref="BG100:BG100">IF(BF100="","",IFERROR(INDEX(Справочники!$B$4:$B$7,MATCH(BF100,Справочники!$A$4:$A$7,0)),""))</f>
        <v>68.5</v>
      </c>
      <c r="BH100" s="90" t="str">
        <f aca="false">IF(N(BN100)&gt;0,ROUND(SUMIF(ЗАКАЗЫ!$F$3:$F$500,$A100,ЗАКАЗЫ!$Y$3:$Y$500)/BN100,0),IF(OR(BE100="",BG100=""),"",ROUND(BE100*BG100*(1+Справочники!$B$10),0)))</f>
        <v/>
      </c>
      <c r="BI100" s="92" t="str">
        <f aca="false">IF(OR(AU100="",BH100="",AU100=0),"",(AU100-BH100)/AU100)</f>
        <v/>
      </c>
      <c r="BJ100" s="81"/>
      <c r="BK100" s="83"/>
      <c r="BL100" s="43" t="str">
        <f aca="false">IFERROR(INDEX(ЗАКАЗЫ!$N$3:$N$500,MATCH($A100,ЗАКАЗЫ!$F$3:$F$500,0)),"")</f>
        <v/>
      </c>
      <c r="BM100" s="8" t="str">
        <f aca="false">IF(BL100="","",IFERROR(VLOOKUP(BL100,'ТН ВЭД'!$A$4:$C$40,3,0),""))</f>
        <v/>
      </c>
      <c r="BN100" s="7" t="str">
        <f aca="false">IF(COUNTIF(ЗАКАЗЫ!$F$3:$F$500,$A100)=0,"",SUMIF(ЗАКАЗЫ!$F$3:$F$500,$A100,ЗАКАЗЫ!$J$3:$J$500))</f>
        <v/>
      </c>
      <c r="BO100" s="7" t="str">
        <f aca="false">IF(BN100="","",SUMIF(ЗАКАЗЫ!$F$3:$F$500,$A100,ЗАКАЗЫ!$AL$3:$AL$500))</f>
        <v/>
      </c>
      <c r="BP100" s="7" t="str">
        <f aca="false">IF(BN100="","",BN100-BO100)</f>
        <v/>
      </c>
      <c r="BQ100" s="55" t="str">
        <f aca="false">IF(BN100="","",IF(BO100&gt;=BN100,"На складе",IF(BO100&gt;0,"Частично","Ждём")))</f>
        <v/>
      </c>
      <c r="BR100" s="43"/>
      <c r="BS100" s="47" t="str">
        <f aca="false">IF(BN100="","",IF(_xlfn.MAXIFS(ЗАКАЗЫ!$AK$3:$AK$500,ЗАКАЗЫ!$F$3:$F$500,$A100)=0,"",_xlfn.MAXIFS(ЗАКАЗЫ!$AK$3:$AK$500,ЗАКАЗЫ!$F$3:$F$500,$A100)))</f>
        <v/>
      </c>
    </row>
    <row r="101" customFormat="false" ht="15.75" hidden="false" customHeight="true" outlineLevel="0" collapsed="false">
      <c r="A101" s="80" t="s">
        <v>2295</v>
      </c>
      <c r="B101" s="81"/>
      <c r="C101" s="81"/>
      <c r="D101" s="81"/>
      <c r="E101" s="83"/>
      <c r="F101" s="81"/>
      <c r="G101" s="83"/>
      <c r="H101" s="83"/>
      <c r="I101" s="84" t="str">
        <f aca="false">IF(E101="","",A101&amp;"_1.jpg")</f>
        <v/>
      </c>
      <c r="J101" s="84" t="str">
        <f aca="false">IF(E101="","",A101&amp;"_2.jpg; "&amp;A101&amp;"_3.jpg")</f>
        <v/>
      </c>
      <c r="K101" s="84" t="str">
        <f aca="false">IF(E101="","",A101&amp;"_schema.jpg")</f>
        <v/>
      </c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 t="s">
        <v>96</v>
      </c>
      <c r="W101" s="81"/>
      <c r="X101" s="81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6" t="str">
        <f aca="false">IF(SUM(Y101:AJ101)=0,"",SUM(Y101:AJ101))</f>
        <v/>
      </c>
      <c r="AL101" s="84" t="str">
        <f aca="false">MID(IF(N(Y101)&gt;0,", "&amp;Y$2,"")&amp;IF(N(Z101)&gt;0,", "&amp;Z$2,"")&amp;IF(N(AA101)&gt;0,", "&amp;AA$2,"")&amp;IF(N(AB101)&gt;0,", "&amp;AB$2,"")&amp;IF(N(AC101)&gt;0,", "&amp;AC$2,"")&amp;IF(N(AD101)&gt;0,", "&amp;AD$2,"")&amp;IF(N(AE101)&gt;0,", "&amp;AE$2,"")&amp;IF(N(AF101)&gt;0,", "&amp;AF$2,"")&amp;IF(N(AG101)&gt;0,", "&amp;AG$2,"")&amp;IF(N(AH101)&gt;0,", "&amp;AH$2,"")&amp;IF(N(AI101)&gt;0,", "&amp;AI$2,"")&amp;IF(N(AJ101)&gt;0,", "&amp;AJ$2,""),3,999)</f>
        <v/>
      </c>
      <c r="AM101" s="87" t="str">
        <f aca="false">IF(E101="","",MID(IF(N(Y101)&gt;0,", "&amp;A101&amp;"-"&amp;Y$2,"")&amp;IF(N(Z101)&gt;0,", "&amp;A101&amp;"-"&amp;Z$2,"")&amp;IF(N(AA101)&gt;0,", "&amp;A101&amp;"-"&amp;AA$2,"")&amp;IF(N(AB101)&gt;0,", "&amp;A101&amp;"-"&amp;AB$2,"")&amp;IF(N(AC101)&gt;0,", "&amp;A101&amp;"-"&amp;AC$2,"")&amp;IF(N(AD101)&gt;0,", "&amp;A101&amp;"-"&amp;AD$2,"")&amp;IF(N(AE101)&gt;0,", "&amp;A101&amp;"-"&amp;AE$2,"")&amp;IF(N(AF101)&gt;0,", "&amp;A101&amp;"-"&amp;AF$2,"")&amp;IF(N(AG101)&gt;0,", "&amp;A101&amp;"-"&amp;AG$2,"")&amp;IF(N(AH101)&gt;0,", "&amp;A101&amp;"-"&amp;AH$2,"")&amp;IF(N(AI101)&gt;0,", "&amp;A101&amp;"-"&amp;AI$2,"")&amp;IF(N(AJ101)&gt;0,", "&amp;A101&amp;"-"&amp;AJ$2,""),3,999))</f>
        <v/>
      </c>
      <c r="AN101" s="81"/>
      <c r="AO101" s="88"/>
      <c r="AP101" s="89" t="str">
        <f aca="false">IF(AO101="","",ROUND(AO101/(1+Справочники!$B$13),2))</f>
        <v/>
      </c>
      <c r="AQ101" s="90" t="str">
        <f aca="false" t="array" ref="AQ101:AQ101">IF(AP101="","",AP101*INDEX(Справочники!$B$4:$B$7,MATCH("RUB",Справочники!$A$4:$A$7,0)))</f>
        <v/>
      </c>
      <c r="AR101" s="90" t="str">
        <f aca="false">IF(AQ101="","",ROUND(AQ101*(1+Справочники!$B$12),0))</f>
        <v/>
      </c>
      <c r="AS101" s="90" t="str">
        <f aca="false">IF(AR101="","",ROUND(AR101*(1-Справочники!$B$11),0))</f>
        <v/>
      </c>
      <c r="AT101" s="88"/>
      <c r="AU101" s="90" t="str">
        <f aca="false">IF(AT101="","",ROUND(AT101/(1+Справочники!$B$12),0))</f>
        <v/>
      </c>
      <c r="AV101" s="90" t="str">
        <f aca="false">IF(AT101="","",ROUND(AT101*(1-Справочники!$B$15),0))</f>
        <v/>
      </c>
      <c r="AW101" s="90" t="str">
        <f aca="false">IF(AT101="","",ROUND(AT101*(1-Справочники!$B$16),0))</f>
        <v/>
      </c>
      <c r="AX101" s="90" t="str">
        <f aca="false">IF(AT101="","",ROUND(AT101*(1-Справочники!$B$17),0))</f>
        <v/>
      </c>
      <c r="AY101" s="90" t="str">
        <f aca="false">IF(AT101="","",ROUND(AT101*(1-Справочники!$B$18),0))</f>
        <v/>
      </c>
      <c r="AZ101" s="90" t="str">
        <f aca="false">IF(AT101="","",ROUND(AT101*(1-Справочники!$B$19),0))</f>
        <v/>
      </c>
      <c r="BA101" s="81"/>
      <c r="BB101" s="81"/>
      <c r="BC101" s="81"/>
      <c r="BD101" s="81"/>
      <c r="BE101" s="91"/>
      <c r="BF101" s="81" t="s">
        <v>103</v>
      </c>
      <c r="BG101" s="89" t="n">
        <f aca="false" t="array" ref="BG101:BG101">IF(BF101="","",IFERROR(INDEX(Справочники!$B$4:$B$7,MATCH(BF101,Справочники!$A$4:$A$7,0)),""))</f>
        <v>68.5</v>
      </c>
      <c r="BH101" s="90" t="str">
        <f aca="false">IF(N(BN101)&gt;0,ROUND(SUMIF(ЗАКАЗЫ!$F$3:$F$500,$A101,ЗАКАЗЫ!$Y$3:$Y$500)/BN101,0),IF(OR(BE101="",BG101=""),"",ROUND(BE101*BG101*(1+Справочники!$B$10),0)))</f>
        <v/>
      </c>
      <c r="BI101" s="92" t="str">
        <f aca="false">IF(OR(AU101="",BH101="",AU101=0),"",(AU101-BH101)/AU101)</f>
        <v/>
      </c>
      <c r="BJ101" s="81"/>
      <c r="BK101" s="83"/>
      <c r="BL101" s="43" t="str">
        <f aca="false">IFERROR(INDEX(ЗАКАЗЫ!$N$3:$N$500,MATCH($A101,ЗАКАЗЫ!$F$3:$F$500,0)),"")</f>
        <v/>
      </c>
      <c r="BM101" s="8" t="str">
        <f aca="false">IF(BL101="","",IFERROR(VLOOKUP(BL101,'ТН ВЭД'!$A$4:$C$40,3,0),""))</f>
        <v/>
      </c>
      <c r="BN101" s="7" t="str">
        <f aca="false">IF(COUNTIF(ЗАКАЗЫ!$F$3:$F$500,$A101)=0,"",SUMIF(ЗАКАЗЫ!$F$3:$F$500,$A101,ЗАКАЗЫ!$J$3:$J$500))</f>
        <v/>
      </c>
      <c r="BO101" s="7" t="str">
        <f aca="false">IF(BN101="","",SUMIF(ЗАКАЗЫ!$F$3:$F$500,$A101,ЗАКАЗЫ!$AL$3:$AL$500))</f>
        <v/>
      </c>
      <c r="BP101" s="7" t="str">
        <f aca="false">IF(BN101="","",BN101-BO101)</f>
        <v/>
      </c>
      <c r="BQ101" s="55" t="str">
        <f aca="false">IF(BN101="","",IF(BO101&gt;=BN101,"На складе",IF(BO101&gt;0,"Частично","Ждём")))</f>
        <v/>
      </c>
      <c r="BR101" s="43"/>
      <c r="BS101" s="47" t="str">
        <f aca="false">IF(BN101="","",IF(_xlfn.MAXIFS(ЗАКАЗЫ!$AK$3:$AK$500,ЗАКАЗЫ!$F$3:$F$500,$A101)=0,"",_xlfn.MAXIFS(ЗАКАЗЫ!$AK$3:$AK$500,ЗАКАЗЫ!$F$3:$F$500,$A101)))</f>
        <v/>
      </c>
    </row>
    <row r="102" customFormat="false" ht="15.75" hidden="false" customHeight="true" outlineLevel="0" collapsed="false">
      <c r="A102" s="80" t="s">
        <v>2296</v>
      </c>
      <c r="B102" s="81"/>
      <c r="C102" s="81"/>
      <c r="D102" s="81"/>
      <c r="E102" s="83"/>
      <c r="F102" s="81"/>
      <c r="G102" s="83"/>
      <c r="H102" s="83"/>
      <c r="I102" s="84" t="str">
        <f aca="false">IF(E102="","",A102&amp;"_1.jpg")</f>
        <v/>
      </c>
      <c r="J102" s="84" t="str">
        <f aca="false">IF(E102="","",A102&amp;"_2.jpg; "&amp;A102&amp;"_3.jpg")</f>
        <v/>
      </c>
      <c r="K102" s="84" t="str">
        <f aca="false">IF(E102="","",A102&amp;"_schema.jpg")</f>
        <v/>
      </c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 t="s">
        <v>96</v>
      </c>
      <c r="W102" s="81"/>
      <c r="X102" s="81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6" t="str">
        <f aca="false">IF(SUM(Y102:AJ102)=0,"",SUM(Y102:AJ102))</f>
        <v/>
      </c>
      <c r="AL102" s="84" t="str">
        <f aca="false">MID(IF(N(Y102)&gt;0,", "&amp;Y$2,"")&amp;IF(N(Z102)&gt;0,", "&amp;Z$2,"")&amp;IF(N(AA102)&gt;0,", "&amp;AA$2,"")&amp;IF(N(AB102)&gt;0,", "&amp;AB$2,"")&amp;IF(N(AC102)&gt;0,", "&amp;AC$2,"")&amp;IF(N(AD102)&gt;0,", "&amp;AD$2,"")&amp;IF(N(AE102)&gt;0,", "&amp;AE$2,"")&amp;IF(N(AF102)&gt;0,", "&amp;AF$2,"")&amp;IF(N(AG102)&gt;0,", "&amp;AG$2,"")&amp;IF(N(AH102)&gt;0,", "&amp;AH$2,"")&amp;IF(N(AI102)&gt;0,", "&amp;AI$2,"")&amp;IF(N(AJ102)&gt;0,", "&amp;AJ$2,""),3,999)</f>
        <v/>
      </c>
      <c r="AM102" s="87" t="str">
        <f aca="false">IF(E102="","",MID(IF(N(Y102)&gt;0,", "&amp;A102&amp;"-"&amp;Y$2,"")&amp;IF(N(Z102)&gt;0,", "&amp;A102&amp;"-"&amp;Z$2,"")&amp;IF(N(AA102)&gt;0,", "&amp;A102&amp;"-"&amp;AA$2,"")&amp;IF(N(AB102)&gt;0,", "&amp;A102&amp;"-"&amp;AB$2,"")&amp;IF(N(AC102)&gt;0,", "&amp;A102&amp;"-"&amp;AC$2,"")&amp;IF(N(AD102)&gt;0,", "&amp;A102&amp;"-"&amp;AD$2,"")&amp;IF(N(AE102)&gt;0,", "&amp;A102&amp;"-"&amp;AE$2,"")&amp;IF(N(AF102)&gt;0,", "&amp;A102&amp;"-"&amp;AF$2,"")&amp;IF(N(AG102)&gt;0,", "&amp;A102&amp;"-"&amp;AG$2,"")&amp;IF(N(AH102)&gt;0,", "&amp;A102&amp;"-"&amp;AH$2,"")&amp;IF(N(AI102)&gt;0,", "&amp;A102&amp;"-"&amp;AI$2,"")&amp;IF(N(AJ102)&gt;0,", "&amp;A102&amp;"-"&amp;AJ$2,""),3,999))</f>
        <v/>
      </c>
      <c r="AN102" s="81"/>
      <c r="AO102" s="88"/>
      <c r="AP102" s="89" t="str">
        <f aca="false">IF(AO102="","",ROUND(AO102/(1+Справочники!$B$13),2))</f>
        <v/>
      </c>
      <c r="AQ102" s="90" t="str">
        <f aca="false" t="array" ref="AQ102:AQ102">IF(AP102="","",AP102*INDEX(Справочники!$B$4:$B$7,MATCH("RUB",Справочники!$A$4:$A$7,0)))</f>
        <v/>
      </c>
      <c r="AR102" s="90" t="str">
        <f aca="false">IF(AQ102="","",ROUND(AQ102*(1+Справочники!$B$12),0))</f>
        <v/>
      </c>
      <c r="AS102" s="90" t="str">
        <f aca="false">IF(AR102="","",ROUND(AR102*(1-Справочники!$B$11),0))</f>
        <v/>
      </c>
      <c r="AT102" s="88"/>
      <c r="AU102" s="90" t="str">
        <f aca="false">IF(AT102="","",ROUND(AT102/(1+Справочники!$B$12),0))</f>
        <v/>
      </c>
      <c r="AV102" s="90" t="str">
        <f aca="false">IF(AT102="","",ROUND(AT102*(1-Справочники!$B$15),0))</f>
        <v/>
      </c>
      <c r="AW102" s="90" t="str">
        <f aca="false">IF(AT102="","",ROUND(AT102*(1-Справочники!$B$16),0))</f>
        <v/>
      </c>
      <c r="AX102" s="90" t="str">
        <f aca="false">IF(AT102="","",ROUND(AT102*(1-Справочники!$B$17),0))</f>
        <v/>
      </c>
      <c r="AY102" s="90" t="str">
        <f aca="false">IF(AT102="","",ROUND(AT102*(1-Справочники!$B$18),0))</f>
        <v/>
      </c>
      <c r="AZ102" s="90" t="str">
        <f aca="false">IF(AT102="","",ROUND(AT102*(1-Справочники!$B$19),0))</f>
        <v/>
      </c>
      <c r="BA102" s="81"/>
      <c r="BB102" s="81"/>
      <c r="BC102" s="81"/>
      <c r="BD102" s="81"/>
      <c r="BE102" s="91"/>
      <c r="BF102" s="81" t="s">
        <v>103</v>
      </c>
      <c r="BG102" s="89" t="n">
        <f aca="false" t="array" ref="BG102:BG102">IF(BF102="","",IFERROR(INDEX(Справочники!$B$4:$B$7,MATCH(BF102,Справочники!$A$4:$A$7,0)),""))</f>
        <v>68.5</v>
      </c>
      <c r="BH102" s="90" t="str">
        <f aca="false">IF(N(BN102)&gt;0,ROUND(SUMIF(ЗАКАЗЫ!$F$3:$F$500,$A102,ЗАКАЗЫ!$Y$3:$Y$500)/BN102,0),IF(OR(BE102="",BG102=""),"",ROUND(BE102*BG102*(1+Справочники!$B$10),0)))</f>
        <v/>
      </c>
      <c r="BI102" s="92" t="str">
        <f aca="false">IF(OR(AU102="",BH102="",AU102=0),"",(AU102-BH102)/AU102)</f>
        <v/>
      </c>
      <c r="BJ102" s="81"/>
      <c r="BK102" s="83"/>
      <c r="BL102" s="43" t="str">
        <f aca="false">IFERROR(INDEX(ЗАКАЗЫ!$N$3:$N$500,MATCH($A102,ЗАКАЗЫ!$F$3:$F$500,0)),"")</f>
        <v/>
      </c>
      <c r="BM102" s="8" t="str">
        <f aca="false">IF(BL102="","",IFERROR(VLOOKUP(BL102,'ТН ВЭД'!$A$4:$C$40,3,0),""))</f>
        <v/>
      </c>
      <c r="BN102" s="7" t="str">
        <f aca="false">IF(COUNTIF(ЗАКАЗЫ!$F$3:$F$500,$A102)=0,"",SUMIF(ЗАКАЗЫ!$F$3:$F$500,$A102,ЗАКАЗЫ!$J$3:$J$500))</f>
        <v/>
      </c>
      <c r="BO102" s="7" t="str">
        <f aca="false">IF(BN102="","",SUMIF(ЗАКАЗЫ!$F$3:$F$500,$A102,ЗАКАЗЫ!$AL$3:$AL$500))</f>
        <v/>
      </c>
      <c r="BP102" s="7" t="str">
        <f aca="false">IF(BN102="","",BN102-BO102)</f>
        <v/>
      </c>
      <c r="BQ102" s="55" t="str">
        <f aca="false">IF(BN102="","",IF(BO102&gt;=BN102,"На складе",IF(BO102&gt;0,"Частично","Ждём")))</f>
        <v/>
      </c>
      <c r="BR102" s="43"/>
      <c r="BS102" s="47" t="str">
        <f aca="false">IF(BN102="","",IF(_xlfn.MAXIFS(ЗАКАЗЫ!$AK$3:$AK$500,ЗАКАЗЫ!$F$3:$F$500,$A102)=0,"",_xlfn.MAXIFS(ЗАКАЗЫ!$AK$3:$AK$500,ЗАКАЗЫ!$F$3:$F$500,$A102)))</f>
        <v/>
      </c>
    </row>
    <row r="103" customFormat="false" ht="15.75" hidden="false" customHeight="true" outlineLevel="0" collapsed="false">
      <c r="A103" s="80" t="s">
        <v>2297</v>
      </c>
      <c r="B103" s="81"/>
      <c r="C103" s="81"/>
      <c r="D103" s="81"/>
      <c r="E103" s="83"/>
      <c r="F103" s="81"/>
      <c r="G103" s="83"/>
      <c r="H103" s="83"/>
      <c r="I103" s="84" t="str">
        <f aca="false">IF(E103="","",A103&amp;"_1.jpg")</f>
        <v/>
      </c>
      <c r="J103" s="84" t="str">
        <f aca="false">IF(E103="","",A103&amp;"_2.jpg; "&amp;A103&amp;"_3.jpg")</f>
        <v/>
      </c>
      <c r="K103" s="84" t="str">
        <f aca="false">IF(E103="","",A103&amp;"_schema.jpg")</f>
        <v/>
      </c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 t="s">
        <v>96</v>
      </c>
      <c r="W103" s="81"/>
      <c r="X103" s="81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6" t="str">
        <f aca="false">IF(SUM(Y103:AJ103)=0,"",SUM(Y103:AJ103))</f>
        <v/>
      </c>
      <c r="AL103" s="84" t="str">
        <f aca="false">MID(IF(N(Y103)&gt;0,", "&amp;Y$2,"")&amp;IF(N(Z103)&gt;0,", "&amp;Z$2,"")&amp;IF(N(AA103)&gt;0,", "&amp;AA$2,"")&amp;IF(N(AB103)&gt;0,", "&amp;AB$2,"")&amp;IF(N(AC103)&gt;0,", "&amp;AC$2,"")&amp;IF(N(AD103)&gt;0,", "&amp;AD$2,"")&amp;IF(N(AE103)&gt;0,", "&amp;AE$2,"")&amp;IF(N(AF103)&gt;0,", "&amp;AF$2,"")&amp;IF(N(AG103)&gt;0,", "&amp;AG$2,"")&amp;IF(N(AH103)&gt;0,", "&amp;AH$2,"")&amp;IF(N(AI103)&gt;0,", "&amp;AI$2,"")&amp;IF(N(AJ103)&gt;0,", "&amp;AJ$2,""),3,999)</f>
        <v/>
      </c>
      <c r="AM103" s="87" t="str">
        <f aca="false">IF(E103="","",MID(IF(N(Y103)&gt;0,", "&amp;A103&amp;"-"&amp;Y$2,"")&amp;IF(N(Z103)&gt;0,", "&amp;A103&amp;"-"&amp;Z$2,"")&amp;IF(N(AA103)&gt;0,", "&amp;A103&amp;"-"&amp;AA$2,"")&amp;IF(N(AB103)&gt;0,", "&amp;A103&amp;"-"&amp;AB$2,"")&amp;IF(N(AC103)&gt;0,", "&amp;A103&amp;"-"&amp;AC$2,"")&amp;IF(N(AD103)&gt;0,", "&amp;A103&amp;"-"&amp;AD$2,"")&amp;IF(N(AE103)&gt;0,", "&amp;A103&amp;"-"&amp;AE$2,"")&amp;IF(N(AF103)&gt;0,", "&amp;A103&amp;"-"&amp;AF$2,"")&amp;IF(N(AG103)&gt;0,", "&amp;A103&amp;"-"&amp;AG$2,"")&amp;IF(N(AH103)&gt;0,", "&amp;A103&amp;"-"&amp;AH$2,"")&amp;IF(N(AI103)&gt;0,", "&amp;A103&amp;"-"&amp;AI$2,"")&amp;IF(N(AJ103)&gt;0,", "&amp;A103&amp;"-"&amp;AJ$2,""),3,999))</f>
        <v/>
      </c>
      <c r="AN103" s="81"/>
      <c r="AO103" s="88"/>
      <c r="AP103" s="89" t="str">
        <f aca="false">IF(AO103="","",ROUND(AO103/(1+Справочники!$B$13),2))</f>
        <v/>
      </c>
      <c r="AQ103" s="90" t="str">
        <f aca="false" t="array" ref="AQ103:AQ103">IF(AP103="","",AP103*INDEX(Справочники!$B$4:$B$7,MATCH("RUB",Справочники!$A$4:$A$7,0)))</f>
        <v/>
      </c>
      <c r="AR103" s="90" t="str">
        <f aca="false">IF(AQ103="","",ROUND(AQ103*(1+Справочники!$B$12),0))</f>
        <v/>
      </c>
      <c r="AS103" s="90" t="str">
        <f aca="false">IF(AR103="","",ROUND(AR103*(1-Справочники!$B$11),0))</f>
        <v/>
      </c>
      <c r="AT103" s="88"/>
      <c r="AU103" s="90" t="str">
        <f aca="false">IF(AT103="","",ROUND(AT103/(1+Справочники!$B$12),0))</f>
        <v/>
      </c>
      <c r="AV103" s="90" t="str">
        <f aca="false">IF(AT103="","",ROUND(AT103*(1-Справочники!$B$15),0))</f>
        <v/>
      </c>
      <c r="AW103" s="90" t="str">
        <f aca="false">IF(AT103="","",ROUND(AT103*(1-Справочники!$B$16),0))</f>
        <v/>
      </c>
      <c r="AX103" s="90" t="str">
        <f aca="false">IF(AT103="","",ROUND(AT103*(1-Справочники!$B$17),0))</f>
        <v/>
      </c>
      <c r="AY103" s="90" t="str">
        <f aca="false">IF(AT103="","",ROUND(AT103*(1-Справочники!$B$18),0))</f>
        <v/>
      </c>
      <c r="AZ103" s="90" t="str">
        <f aca="false">IF(AT103="","",ROUND(AT103*(1-Справочники!$B$19),0))</f>
        <v/>
      </c>
      <c r="BA103" s="81"/>
      <c r="BB103" s="81"/>
      <c r="BC103" s="81"/>
      <c r="BD103" s="81"/>
      <c r="BE103" s="91"/>
      <c r="BF103" s="81" t="s">
        <v>103</v>
      </c>
      <c r="BG103" s="89" t="n">
        <f aca="false" t="array" ref="BG103:BG103">IF(BF103="","",IFERROR(INDEX(Справочники!$B$4:$B$7,MATCH(BF103,Справочники!$A$4:$A$7,0)),""))</f>
        <v>68.5</v>
      </c>
      <c r="BH103" s="90" t="str">
        <f aca="false">IF(N(BN103)&gt;0,ROUND(SUMIF(ЗАКАЗЫ!$F$3:$F$500,$A103,ЗАКАЗЫ!$Y$3:$Y$500)/BN103,0),IF(OR(BE103="",BG103=""),"",ROUND(BE103*BG103*(1+Справочники!$B$10),0)))</f>
        <v/>
      </c>
      <c r="BI103" s="92" t="str">
        <f aca="false">IF(OR(AU103="",BH103="",AU103=0),"",(AU103-BH103)/AU103)</f>
        <v/>
      </c>
      <c r="BJ103" s="81"/>
      <c r="BK103" s="83"/>
      <c r="BL103" s="43" t="str">
        <f aca="false">IFERROR(INDEX(ЗАКАЗЫ!$N$3:$N$500,MATCH($A103,ЗАКАЗЫ!$F$3:$F$500,0)),"")</f>
        <v/>
      </c>
      <c r="BM103" s="8" t="str">
        <f aca="false">IF(BL103="","",IFERROR(VLOOKUP(BL103,'ТН ВЭД'!$A$4:$C$40,3,0),""))</f>
        <v/>
      </c>
      <c r="BN103" s="7" t="str">
        <f aca="false">IF(COUNTIF(ЗАКАЗЫ!$F$3:$F$500,$A103)=0,"",SUMIF(ЗАКАЗЫ!$F$3:$F$500,$A103,ЗАКАЗЫ!$J$3:$J$500))</f>
        <v/>
      </c>
      <c r="BO103" s="7" t="str">
        <f aca="false">IF(BN103="","",SUMIF(ЗАКАЗЫ!$F$3:$F$500,$A103,ЗАКАЗЫ!$AL$3:$AL$500))</f>
        <v/>
      </c>
      <c r="BP103" s="7" t="str">
        <f aca="false">IF(BN103="","",BN103-BO103)</f>
        <v/>
      </c>
      <c r="BQ103" s="55" t="str">
        <f aca="false">IF(BN103="","",IF(BO103&gt;=BN103,"На складе",IF(BO103&gt;0,"Частично","Ждём")))</f>
        <v/>
      </c>
      <c r="BR103" s="43"/>
      <c r="BS103" s="47" t="str">
        <f aca="false">IF(BN103="","",IF(_xlfn.MAXIFS(ЗАКАЗЫ!$AK$3:$AK$500,ЗАКАЗЫ!$F$3:$F$500,$A103)=0,"",_xlfn.MAXIFS(ЗАКАЗЫ!$AK$3:$AK$500,ЗАКАЗЫ!$F$3:$F$500,$A103)))</f>
        <v/>
      </c>
    </row>
    <row r="104" customFormat="false" ht="15.75" hidden="false" customHeight="true" outlineLevel="0" collapsed="false">
      <c r="A104" s="80" t="s">
        <v>2298</v>
      </c>
      <c r="B104" s="81"/>
      <c r="C104" s="81"/>
      <c r="D104" s="81"/>
      <c r="E104" s="83"/>
      <c r="F104" s="81"/>
      <c r="G104" s="83"/>
      <c r="H104" s="83"/>
      <c r="I104" s="84" t="str">
        <f aca="false">IF(E104="","",A104&amp;"_1.jpg")</f>
        <v/>
      </c>
      <c r="J104" s="84" t="str">
        <f aca="false">IF(E104="","",A104&amp;"_2.jpg; "&amp;A104&amp;"_3.jpg")</f>
        <v/>
      </c>
      <c r="K104" s="84" t="str">
        <f aca="false">IF(E104="","",A104&amp;"_schema.jpg")</f>
        <v/>
      </c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 t="s">
        <v>96</v>
      </c>
      <c r="W104" s="81"/>
      <c r="X104" s="81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6" t="str">
        <f aca="false">IF(SUM(Y104:AJ104)=0,"",SUM(Y104:AJ104))</f>
        <v/>
      </c>
      <c r="AL104" s="84" t="str">
        <f aca="false">MID(IF(N(Y104)&gt;0,", "&amp;Y$2,"")&amp;IF(N(Z104)&gt;0,", "&amp;Z$2,"")&amp;IF(N(AA104)&gt;0,", "&amp;AA$2,"")&amp;IF(N(AB104)&gt;0,", "&amp;AB$2,"")&amp;IF(N(AC104)&gt;0,", "&amp;AC$2,"")&amp;IF(N(AD104)&gt;0,", "&amp;AD$2,"")&amp;IF(N(AE104)&gt;0,", "&amp;AE$2,"")&amp;IF(N(AF104)&gt;0,", "&amp;AF$2,"")&amp;IF(N(AG104)&gt;0,", "&amp;AG$2,"")&amp;IF(N(AH104)&gt;0,", "&amp;AH$2,"")&amp;IF(N(AI104)&gt;0,", "&amp;AI$2,"")&amp;IF(N(AJ104)&gt;0,", "&amp;AJ$2,""),3,999)</f>
        <v/>
      </c>
      <c r="AM104" s="87" t="str">
        <f aca="false">IF(E104="","",MID(IF(N(Y104)&gt;0,", "&amp;A104&amp;"-"&amp;Y$2,"")&amp;IF(N(Z104)&gt;0,", "&amp;A104&amp;"-"&amp;Z$2,"")&amp;IF(N(AA104)&gt;0,", "&amp;A104&amp;"-"&amp;AA$2,"")&amp;IF(N(AB104)&gt;0,", "&amp;A104&amp;"-"&amp;AB$2,"")&amp;IF(N(AC104)&gt;0,", "&amp;A104&amp;"-"&amp;AC$2,"")&amp;IF(N(AD104)&gt;0,", "&amp;A104&amp;"-"&amp;AD$2,"")&amp;IF(N(AE104)&gt;0,", "&amp;A104&amp;"-"&amp;AE$2,"")&amp;IF(N(AF104)&gt;0,", "&amp;A104&amp;"-"&amp;AF$2,"")&amp;IF(N(AG104)&gt;0,", "&amp;A104&amp;"-"&amp;AG$2,"")&amp;IF(N(AH104)&gt;0,", "&amp;A104&amp;"-"&amp;AH$2,"")&amp;IF(N(AI104)&gt;0,", "&amp;A104&amp;"-"&amp;AI$2,"")&amp;IF(N(AJ104)&gt;0,", "&amp;A104&amp;"-"&amp;AJ$2,""),3,999))</f>
        <v/>
      </c>
      <c r="AN104" s="81"/>
      <c r="AO104" s="88"/>
      <c r="AP104" s="89" t="str">
        <f aca="false">IF(AO104="","",ROUND(AO104/(1+Справочники!$B$13),2))</f>
        <v/>
      </c>
      <c r="AQ104" s="90" t="str">
        <f aca="false" t="array" ref="AQ104:AQ104">IF(AP104="","",AP104*INDEX(Справочники!$B$4:$B$7,MATCH("RUB",Справочники!$A$4:$A$7,0)))</f>
        <v/>
      </c>
      <c r="AR104" s="90" t="str">
        <f aca="false">IF(AQ104="","",ROUND(AQ104*(1+Справочники!$B$12),0))</f>
        <v/>
      </c>
      <c r="AS104" s="90" t="str">
        <f aca="false">IF(AR104="","",ROUND(AR104*(1-Справочники!$B$11),0))</f>
        <v/>
      </c>
      <c r="AT104" s="88"/>
      <c r="AU104" s="90" t="str">
        <f aca="false">IF(AT104="","",ROUND(AT104/(1+Справочники!$B$12),0))</f>
        <v/>
      </c>
      <c r="AV104" s="90" t="str">
        <f aca="false">IF(AT104="","",ROUND(AT104*(1-Справочники!$B$15),0))</f>
        <v/>
      </c>
      <c r="AW104" s="90" t="str">
        <f aca="false">IF(AT104="","",ROUND(AT104*(1-Справочники!$B$16),0))</f>
        <v/>
      </c>
      <c r="AX104" s="90" t="str">
        <f aca="false">IF(AT104="","",ROUND(AT104*(1-Справочники!$B$17),0))</f>
        <v/>
      </c>
      <c r="AY104" s="90" t="str">
        <f aca="false">IF(AT104="","",ROUND(AT104*(1-Справочники!$B$18),0))</f>
        <v/>
      </c>
      <c r="AZ104" s="90" t="str">
        <f aca="false">IF(AT104="","",ROUND(AT104*(1-Справочники!$B$19),0))</f>
        <v/>
      </c>
      <c r="BA104" s="81"/>
      <c r="BB104" s="81"/>
      <c r="BC104" s="81"/>
      <c r="BD104" s="81"/>
      <c r="BE104" s="91"/>
      <c r="BF104" s="81" t="s">
        <v>103</v>
      </c>
      <c r="BG104" s="89" t="n">
        <f aca="false" t="array" ref="BG104:BG104">IF(BF104="","",IFERROR(INDEX(Справочники!$B$4:$B$7,MATCH(BF104,Справочники!$A$4:$A$7,0)),""))</f>
        <v>68.5</v>
      </c>
      <c r="BH104" s="90" t="str">
        <f aca="false">IF(N(BN104)&gt;0,ROUND(SUMIF(ЗАКАЗЫ!$F$3:$F$500,$A104,ЗАКАЗЫ!$Y$3:$Y$500)/BN104,0),IF(OR(BE104="",BG104=""),"",ROUND(BE104*BG104*(1+Справочники!$B$10),0)))</f>
        <v/>
      </c>
      <c r="BI104" s="92" t="str">
        <f aca="false">IF(OR(AU104="",BH104="",AU104=0),"",(AU104-BH104)/AU104)</f>
        <v/>
      </c>
      <c r="BJ104" s="81"/>
      <c r="BK104" s="83"/>
      <c r="BL104" s="43" t="str">
        <f aca="false">IFERROR(INDEX(ЗАКАЗЫ!$N$3:$N$500,MATCH($A104,ЗАКАЗЫ!$F$3:$F$500,0)),"")</f>
        <v/>
      </c>
      <c r="BM104" s="8" t="str">
        <f aca="false">IF(BL104="","",IFERROR(VLOOKUP(BL104,'ТН ВЭД'!$A$4:$C$40,3,0),""))</f>
        <v/>
      </c>
      <c r="BN104" s="7" t="str">
        <f aca="false">IF(COUNTIF(ЗАКАЗЫ!$F$3:$F$500,$A104)=0,"",SUMIF(ЗАКАЗЫ!$F$3:$F$500,$A104,ЗАКАЗЫ!$J$3:$J$500))</f>
        <v/>
      </c>
      <c r="BO104" s="7" t="str">
        <f aca="false">IF(BN104="","",SUMIF(ЗАКАЗЫ!$F$3:$F$500,$A104,ЗАКАЗЫ!$AL$3:$AL$500))</f>
        <v/>
      </c>
      <c r="BP104" s="7" t="str">
        <f aca="false">IF(BN104="","",BN104-BO104)</f>
        <v/>
      </c>
      <c r="BQ104" s="55" t="str">
        <f aca="false">IF(BN104="","",IF(BO104&gt;=BN104,"На складе",IF(BO104&gt;0,"Частично","Ждём")))</f>
        <v/>
      </c>
      <c r="BR104" s="43"/>
      <c r="BS104" s="47" t="str">
        <f aca="false">IF(BN104="","",IF(_xlfn.MAXIFS(ЗАКАЗЫ!$AK$3:$AK$500,ЗАКАЗЫ!$F$3:$F$500,$A104)=0,"",_xlfn.MAXIFS(ЗАКАЗЫ!$AK$3:$AK$500,ЗАКАЗЫ!$F$3:$F$500,$A104)))</f>
        <v/>
      </c>
    </row>
    <row r="105" customFormat="false" ht="15.75" hidden="false" customHeight="true" outlineLevel="0" collapsed="false">
      <c r="A105" s="80" t="s">
        <v>2299</v>
      </c>
      <c r="B105" s="81"/>
      <c r="C105" s="81"/>
      <c r="D105" s="81"/>
      <c r="E105" s="83"/>
      <c r="F105" s="81"/>
      <c r="G105" s="83"/>
      <c r="H105" s="83"/>
      <c r="I105" s="84" t="str">
        <f aca="false">IF(E105="","",A105&amp;"_1.jpg")</f>
        <v/>
      </c>
      <c r="J105" s="84" t="str">
        <f aca="false">IF(E105="","",A105&amp;"_2.jpg; "&amp;A105&amp;"_3.jpg")</f>
        <v/>
      </c>
      <c r="K105" s="84" t="str">
        <f aca="false">IF(E105="","",A105&amp;"_schema.jpg")</f>
        <v/>
      </c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 t="s">
        <v>96</v>
      </c>
      <c r="W105" s="81"/>
      <c r="X105" s="81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6" t="str">
        <f aca="false">IF(SUM(Y105:AJ105)=0,"",SUM(Y105:AJ105))</f>
        <v/>
      </c>
      <c r="AL105" s="84" t="str">
        <f aca="false">MID(IF(N(Y105)&gt;0,", "&amp;Y$2,"")&amp;IF(N(Z105)&gt;0,", "&amp;Z$2,"")&amp;IF(N(AA105)&gt;0,", "&amp;AA$2,"")&amp;IF(N(AB105)&gt;0,", "&amp;AB$2,"")&amp;IF(N(AC105)&gt;0,", "&amp;AC$2,"")&amp;IF(N(AD105)&gt;0,", "&amp;AD$2,"")&amp;IF(N(AE105)&gt;0,", "&amp;AE$2,"")&amp;IF(N(AF105)&gt;0,", "&amp;AF$2,"")&amp;IF(N(AG105)&gt;0,", "&amp;AG$2,"")&amp;IF(N(AH105)&gt;0,", "&amp;AH$2,"")&amp;IF(N(AI105)&gt;0,", "&amp;AI$2,"")&amp;IF(N(AJ105)&gt;0,", "&amp;AJ$2,""),3,999)</f>
        <v/>
      </c>
      <c r="AM105" s="87" t="str">
        <f aca="false">IF(E105="","",MID(IF(N(Y105)&gt;0,", "&amp;A105&amp;"-"&amp;Y$2,"")&amp;IF(N(Z105)&gt;0,", "&amp;A105&amp;"-"&amp;Z$2,"")&amp;IF(N(AA105)&gt;0,", "&amp;A105&amp;"-"&amp;AA$2,"")&amp;IF(N(AB105)&gt;0,", "&amp;A105&amp;"-"&amp;AB$2,"")&amp;IF(N(AC105)&gt;0,", "&amp;A105&amp;"-"&amp;AC$2,"")&amp;IF(N(AD105)&gt;0,", "&amp;A105&amp;"-"&amp;AD$2,"")&amp;IF(N(AE105)&gt;0,", "&amp;A105&amp;"-"&amp;AE$2,"")&amp;IF(N(AF105)&gt;0,", "&amp;A105&amp;"-"&amp;AF$2,"")&amp;IF(N(AG105)&gt;0,", "&amp;A105&amp;"-"&amp;AG$2,"")&amp;IF(N(AH105)&gt;0,", "&amp;A105&amp;"-"&amp;AH$2,"")&amp;IF(N(AI105)&gt;0,", "&amp;A105&amp;"-"&amp;AI$2,"")&amp;IF(N(AJ105)&gt;0,", "&amp;A105&amp;"-"&amp;AJ$2,""),3,999))</f>
        <v/>
      </c>
      <c r="AN105" s="81"/>
      <c r="AO105" s="88"/>
      <c r="AP105" s="89" t="str">
        <f aca="false">IF(AO105="","",ROUND(AO105/(1+Справочники!$B$13),2))</f>
        <v/>
      </c>
      <c r="AQ105" s="90" t="str">
        <f aca="false" t="array" ref="AQ105:AQ105">IF(AP105="","",AP105*INDEX(Справочники!$B$4:$B$7,MATCH("RUB",Справочники!$A$4:$A$7,0)))</f>
        <v/>
      </c>
      <c r="AR105" s="90" t="str">
        <f aca="false">IF(AQ105="","",ROUND(AQ105*(1+Справочники!$B$12),0))</f>
        <v/>
      </c>
      <c r="AS105" s="90" t="str">
        <f aca="false">IF(AR105="","",ROUND(AR105*(1-Справочники!$B$11),0))</f>
        <v/>
      </c>
      <c r="AT105" s="88"/>
      <c r="AU105" s="90" t="str">
        <f aca="false">IF(AT105="","",ROUND(AT105/(1+Справочники!$B$12),0))</f>
        <v/>
      </c>
      <c r="AV105" s="90" t="str">
        <f aca="false">IF(AT105="","",ROUND(AT105*(1-Справочники!$B$15),0))</f>
        <v/>
      </c>
      <c r="AW105" s="90" t="str">
        <f aca="false">IF(AT105="","",ROUND(AT105*(1-Справочники!$B$16),0))</f>
        <v/>
      </c>
      <c r="AX105" s="90" t="str">
        <f aca="false">IF(AT105="","",ROUND(AT105*(1-Справочники!$B$17),0))</f>
        <v/>
      </c>
      <c r="AY105" s="90" t="str">
        <f aca="false">IF(AT105="","",ROUND(AT105*(1-Справочники!$B$18),0))</f>
        <v/>
      </c>
      <c r="AZ105" s="90" t="str">
        <f aca="false">IF(AT105="","",ROUND(AT105*(1-Справочники!$B$19),0))</f>
        <v/>
      </c>
      <c r="BA105" s="81"/>
      <c r="BB105" s="81"/>
      <c r="BC105" s="81"/>
      <c r="BD105" s="81"/>
      <c r="BE105" s="91"/>
      <c r="BF105" s="81" t="s">
        <v>103</v>
      </c>
      <c r="BG105" s="89" t="n">
        <f aca="false" t="array" ref="BG105:BG105">IF(BF105="","",IFERROR(INDEX(Справочники!$B$4:$B$7,MATCH(BF105,Справочники!$A$4:$A$7,0)),""))</f>
        <v>68.5</v>
      </c>
      <c r="BH105" s="90" t="str">
        <f aca="false">IF(N(BN105)&gt;0,ROUND(SUMIF(ЗАКАЗЫ!$F$3:$F$500,$A105,ЗАКАЗЫ!$Y$3:$Y$500)/BN105,0),IF(OR(BE105="",BG105=""),"",ROUND(BE105*BG105*(1+Справочники!$B$10),0)))</f>
        <v/>
      </c>
      <c r="BI105" s="92" t="str">
        <f aca="false">IF(OR(AU105="",BH105="",AU105=0),"",(AU105-BH105)/AU105)</f>
        <v/>
      </c>
      <c r="BJ105" s="81"/>
      <c r="BK105" s="83"/>
      <c r="BL105" s="43" t="str">
        <f aca="false">IFERROR(INDEX(ЗАКАЗЫ!$N$3:$N$500,MATCH($A105,ЗАКАЗЫ!$F$3:$F$500,0)),"")</f>
        <v/>
      </c>
      <c r="BM105" s="8" t="str">
        <f aca="false">IF(BL105="","",IFERROR(VLOOKUP(BL105,'ТН ВЭД'!$A$4:$C$40,3,0),""))</f>
        <v/>
      </c>
      <c r="BN105" s="7" t="str">
        <f aca="false">IF(COUNTIF(ЗАКАЗЫ!$F$3:$F$500,$A105)=0,"",SUMIF(ЗАКАЗЫ!$F$3:$F$500,$A105,ЗАКАЗЫ!$J$3:$J$500))</f>
        <v/>
      </c>
      <c r="BO105" s="7" t="str">
        <f aca="false">IF(BN105="","",SUMIF(ЗАКАЗЫ!$F$3:$F$500,$A105,ЗАКАЗЫ!$AL$3:$AL$500))</f>
        <v/>
      </c>
      <c r="BP105" s="7" t="str">
        <f aca="false">IF(BN105="","",BN105-BO105)</f>
        <v/>
      </c>
      <c r="BQ105" s="55" t="str">
        <f aca="false">IF(BN105="","",IF(BO105&gt;=BN105,"На складе",IF(BO105&gt;0,"Частично","Ждём")))</f>
        <v/>
      </c>
      <c r="BR105" s="43"/>
      <c r="BS105" s="47" t="str">
        <f aca="false">IF(BN105="","",IF(_xlfn.MAXIFS(ЗАКАЗЫ!$AK$3:$AK$500,ЗАКАЗЫ!$F$3:$F$500,$A105)=0,"",_xlfn.MAXIFS(ЗАКАЗЫ!$AK$3:$AK$500,ЗАКАЗЫ!$F$3:$F$500,$A105)))</f>
        <v/>
      </c>
    </row>
    <row r="106" customFormat="false" ht="15.75" hidden="false" customHeight="true" outlineLevel="0" collapsed="false">
      <c r="A106" s="80" t="s">
        <v>2300</v>
      </c>
      <c r="B106" s="81"/>
      <c r="C106" s="81"/>
      <c r="D106" s="81"/>
      <c r="E106" s="83"/>
      <c r="F106" s="81"/>
      <c r="G106" s="83"/>
      <c r="H106" s="83"/>
      <c r="I106" s="84" t="str">
        <f aca="false">IF(E106="","",A106&amp;"_1.jpg")</f>
        <v/>
      </c>
      <c r="J106" s="84" t="str">
        <f aca="false">IF(E106="","",A106&amp;"_2.jpg; "&amp;A106&amp;"_3.jpg")</f>
        <v/>
      </c>
      <c r="K106" s="84" t="str">
        <f aca="false">IF(E106="","",A106&amp;"_schema.jpg")</f>
        <v/>
      </c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 t="s">
        <v>96</v>
      </c>
      <c r="W106" s="81"/>
      <c r="X106" s="81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6" t="str">
        <f aca="false">IF(SUM(Y106:AJ106)=0,"",SUM(Y106:AJ106))</f>
        <v/>
      </c>
      <c r="AL106" s="84" t="str">
        <f aca="false">MID(IF(N(Y106)&gt;0,", "&amp;Y$2,"")&amp;IF(N(Z106)&gt;0,", "&amp;Z$2,"")&amp;IF(N(AA106)&gt;0,", "&amp;AA$2,"")&amp;IF(N(AB106)&gt;0,", "&amp;AB$2,"")&amp;IF(N(AC106)&gt;0,", "&amp;AC$2,"")&amp;IF(N(AD106)&gt;0,", "&amp;AD$2,"")&amp;IF(N(AE106)&gt;0,", "&amp;AE$2,"")&amp;IF(N(AF106)&gt;0,", "&amp;AF$2,"")&amp;IF(N(AG106)&gt;0,", "&amp;AG$2,"")&amp;IF(N(AH106)&gt;0,", "&amp;AH$2,"")&amp;IF(N(AI106)&gt;0,", "&amp;AI$2,"")&amp;IF(N(AJ106)&gt;0,", "&amp;AJ$2,""),3,999)</f>
        <v/>
      </c>
      <c r="AM106" s="87" t="str">
        <f aca="false">IF(E106="","",MID(IF(N(Y106)&gt;0,", "&amp;A106&amp;"-"&amp;Y$2,"")&amp;IF(N(Z106)&gt;0,", "&amp;A106&amp;"-"&amp;Z$2,"")&amp;IF(N(AA106)&gt;0,", "&amp;A106&amp;"-"&amp;AA$2,"")&amp;IF(N(AB106)&gt;0,", "&amp;A106&amp;"-"&amp;AB$2,"")&amp;IF(N(AC106)&gt;0,", "&amp;A106&amp;"-"&amp;AC$2,"")&amp;IF(N(AD106)&gt;0,", "&amp;A106&amp;"-"&amp;AD$2,"")&amp;IF(N(AE106)&gt;0,", "&amp;A106&amp;"-"&amp;AE$2,"")&amp;IF(N(AF106)&gt;0,", "&amp;A106&amp;"-"&amp;AF$2,"")&amp;IF(N(AG106)&gt;0,", "&amp;A106&amp;"-"&amp;AG$2,"")&amp;IF(N(AH106)&gt;0,", "&amp;A106&amp;"-"&amp;AH$2,"")&amp;IF(N(AI106)&gt;0,", "&amp;A106&amp;"-"&amp;AI$2,"")&amp;IF(N(AJ106)&gt;0,", "&amp;A106&amp;"-"&amp;AJ$2,""),3,999))</f>
        <v/>
      </c>
      <c r="AN106" s="81"/>
      <c r="AO106" s="88"/>
      <c r="AP106" s="89" t="str">
        <f aca="false">IF(AO106="","",ROUND(AO106/(1+Справочники!$B$13),2))</f>
        <v/>
      </c>
      <c r="AQ106" s="90" t="str">
        <f aca="false" t="array" ref="AQ106:AQ106">IF(AP106="","",AP106*INDEX(Справочники!$B$4:$B$7,MATCH("RUB",Справочники!$A$4:$A$7,0)))</f>
        <v/>
      </c>
      <c r="AR106" s="90" t="str">
        <f aca="false">IF(AQ106="","",ROUND(AQ106*(1+Справочники!$B$12),0))</f>
        <v/>
      </c>
      <c r="AS106" s="90" t="str">
        <f aca="false">IF(AR106="","",ROUND(AR106*(1-Справочники!$B$11),0))</f>
        <v/>
      </c>
      <c r="AT106" s="88"/>
      <c r="AU106" s="90" t="str">
        <f aca="false">IF(AT106="","",ROUND(AT106/(1+Справочники!$B$12),0))</f>
        <v/>
      </c>
      <c r="AV106" s="90" t="str">
        <f aca="false">IF(AT106="","",ROUND(AT106*(1-Справочники!$B$15),0))</f>
        <v/>
      </c>
      <c r="AW106" s="90" t="str">
        <f aca="false">IF(AT106="","",ROUND(AT106*(1-Справочники!$B$16),0))</f>
        <v/>
      </c>
      <c r="AX106" s="90" t="str">
        <f aca="false">IF(AT106="","",ROUND(AT106*(1-Справочники!$B$17),0))</f>
        <v/>
      </c>
      <c r="AY106" s="90" t="str">
        <f aca="false">IF(AT106="","",ROUND(AT106*(1-Справочники!$B$18),0))</f>
        <v/>
      </c>
      <c r="AZ106" s="90" t="str">
        <f aca="false">IF(AT106="","",ROUND(AT106*(1-Справочники!$B$19),0))</f>
        <v/>
      </c>
      <c r="BA106" s="81"/>
      <c r="BB106" s="81"/>
      <c r="BC106" s="81"/>
      <c r="BD106" s="81"/>
      <c r="BE106" s="91"/>
      <c r="BF106" s="81" t="s">
        <v>103</v>
      </c>
      <c r="BG106" s="89" t="n">
        <f aca="false" t="array" ref="BG106:BG106">IF(BF106="","",IFERROR(INDEX(Справочники!$B$4:$B$7,MATCH(BF106,Справочники!$A$4:$A$7,0)),""))</f>
        <v>68.5</v>
      </c>
      <c r="BH106" s="90" t="str">
        <f aca="false">IF(N(BN106)&gt;0,ROUND(SUMIF(ЗАКАЗЫ!$F$3:$F$500,$A106,ЗАКАЗЫ!$Y$3:$Y$500)/BN106,0),IF(OR(BE106="",BG106=""),"",ROUND(BE106*BG106*(1+Справочники!$B$10),0)))</f>
        <v/>
      </c>
      <c r="BI106" s="92" t="str">
        <f aca="false">IF(OR(AU106="",BH106="",AU106=0),"",(AU106-BH106)/AU106)</f>
        <v/>
      </c>
      <c r="BJ106" s="81"/>
      <c r="BK106" s="83"/>
      <c r="BL106" s="43" t="str">
        <f aca="false">IFERROR(INDEX(ЗАКАЗЫ!$N$3:$N$500,MATCH($A106,ЗАКАЗЫ!$F$3:$F$500,0)),"")</f>
        <v/>
      </c>
      <c r="BM106" s="8" t="str">
        <f aca="false">IF(BL106="","",IFERROR(VLOOKUP(BL106,'ТН ВЭД'!$A$4:$C$40,3,0),""))</f>
        <v/>
      </c>
      <c r="BN106" s="7" t="str">
        <f aca="false">IF(COUNTIF(ЗАКАЗЫ!$F$3:$F$500,$A106)=0,"",SUMIF(ЗАКАЗЫ!$F$3:$F$500,$A106,ЗАКАЗЫ!$J$3:$J$500))</f>
        <v/>
      </c>
      <c r="BO106" s="7" t="str">
        <f aca="false">IF(BN106="","",SUMIF(ЗАКАЗЫ!$F$3:$F$500,$A106,ЗАКАЗЫ!$AL$3:$AL$500))</f>
        <v/>
      </c>
      <c r="BP106" s="7" t="str">
        <f aca="false">IF(BN106="","",BN106-BO106)</f>
        <v/>
      </c>
      <c r="BQ106" s="55" t="str">
        <f aca="false">IF(BN106="","",IF(BO106&gt;=BN106,"На складе",IF(BO106&gt;0,"Частично","Ждём")))</f>
        <v/>
      </c>
      <c r="BR106" s="43"/>
      <c r="BS106" s="47" t="str">
        <f aca="false">IF(BN106="","",IF(_xlfn.MAXIFS(ЗАКАЗЫ!$AK$3:$AK$500,ЗАКАЗЫ!$F$3:$F$500,$A106)=0,"",_xlfn.MAXIFS(ЗАКАЗЫ!$AK$3:$AK$500,ЗАКАЗЫ!$F$3:$F$500,$A106)))</f>
        <v/>
      </c>
    </row>
    <row r="107" customFormat="false" ht="15.75" hidden="false" customHeight="true" outlineLevel="0" collapsed="false">
      <c r="A107" s="80" t="s">
        <v>2301</v>
      </c>
      <c r="B107" s="81"/>
      <c r="C107" s="81"/>
      <c r="D107" s="81"/>
      <c r="E107" s="83"/>
      <c r="F107" s="81"/>
      <c r="G107" s="83"/>
      <c r="H107" s="83"/>
      <c r="I107" s="84" t="str">
        <f aca="false">IF(E107="","",A107&amp;"_1.jpg")</f>
        <v/>
      </c>
      <c r="J107" s="84" t="str">
        <f aca="false">IF(E107="","",A107&amp;"_2.jpg; "&amp;A107&amp;"_3.jpg")</f>
        <v/>
      </c>
      <c r="K107" s="84" t="str">
        <f aca="false">IF(E107="","",A107&amp;"_schema.jpg")</f>
        <v/>
      </c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 t="s">
        <v>96</v>
      </c>
      <c r="W107" s="81"/>
      <c r="X107" s="81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6" t="str">
        <f aca="false">IF(SUM(Y107:AJ107)=0,"",SUM(Y107:AJ107))</f>
        <v/>
      </c>
      <c r="AL107" s="84" t="str">
        <f aca="false">MID(IF(N(Y107)&gt;0,", "&amp;Y$2,"")&amp;IF(N(Z107)&gt;0,", "&amp;Z$2,"")&amp;IF(N(AA107)&gt;0,", "&amp;AA$2,"")&amp;IF(N(AB107)&gt;0,", "&amp;AB$2,"")&amp;IF(N(AC107)&gt;0,", "&amp;AC$2,"")&amp;IF(N(AD107)&gt;0,", "&amp;AD$2,"")&amp;IF(N(AE107)&gt;0,", "&amp;AE$2,"")&amp;IF(N(AF107)&gt;0,", "&amp;AF$2,"")&amp;IF(N(AG107)&gt;0,", "&amp;AG$2,"")&amp;IF(N(AH107)&gt;0,", "&amp;AH$2,"")&amp;IF(N(AI107)&gt;0,", "&amp;AI$2,"")&amp;IF(N(AJ107)&gt;0,", "&amp;AJ$2,""),3,999)</f>
        <v/>
      </c>
      <c r="AM107" s="87" t="str">
        <f aca="false">IF(E107="","",MID(IF(N(Y107)&gt;0,", "&amp;A107&amp;"-"&amp;Y$2,"")&amp;IF(N(Z107)&gt;0,", "&amp;A107&amp;"-"&amp;Z$2,"")&amp;IF(N(AA107)&gt;0,", "&amp;A107&amp;"-"&amp;AA$2,"")&amp;IF(N(AB107)&gt;0,", "&amp;A107&amp;"-"&amp;AB$2,"")&amp;IF(N(AC107)&gt;0,", "&amp;A107&amp;"-"&amp;AC$2,"")&amp;IF(N(AD107)&gt;0,", "&amp;A107&amp;"-"&amp;AD$2,"")&amp;IF(N(AE107)&gt;0,", "&amp;A107&amp;"-"&amp;AE$2,"")&amp;IF(N(AF107)&gt;0,", "&amp;A107&amp;"-"&amp;AF$2,"")&amp;IF(N(AG107)&gt;0,", "&amp;A107&amp;"-"&amp;AG$2,"")&amp;IF(N(AH107)&gt;0,", "&amp;A107&amp;"-"&amp;AH$2,"")&amp;IF(N(AI107)&gt;0,", "&amp;A107&amp;"-"&amp;AI$2,"")&amp;IF(N(AJ107)&gt;0,", "&amp;A107&amp;"-"&amp;AJ$2,""),3,999))</f>
        <v/>
      </c>
      <c r="AN107" s="81"/>
      <c r="AO107" s="88"/>
      <c r="AP107" s="89" t="str">
        <f aca="false">IF(AO107="","",ROUND(AO107/(1+Справочники!$B$13),2))</f>
        <v/>
      </c>
      <c r="AQ107" s="90" t="str">
        <f aca="false" t="array" ref="AQ107:AQ107">IF(AP107="","",AP107*INDEX(Справочники!$B$4:$B$7,MATCH("RUB",Справочники!$A$4:$A$7,0)))</f>
        <v/>
      </c>
      <c r="AR107" s="90" t="str">
        <f aca="false">IF(AQ107="","",ROUND(AQ107*(1+Справочники!$B$12),0))</f>
        <v/>
      </c>
      <c r="AS107" s="90" t="str">
        <f aca="false">IF(AR107="","",ROUND(AR107*(1-Справочники!$B$11),0))</f>
        <v/>
      </c>
      <c r="AT107" s="88"/>
      <c r="AU107" s="90" t="str">
        <f aca="false">IF(AT107="","",ROUND(AT107/(1+Справочники!$B$12),0))</f>
        <v/>
      </c>
      <c r="AV107" s="90" t="str">
        <f aca="false">IF(AT107="","",ROUND(AT107*(1-Справочники!$B$15),0))</f>
        <v/>
      </c>
      <c r="AW107" s="90" t="str">
        <f aca="false">IF(AT107="","",ROUND(AT107*(1-Справочники!$B$16),0))</f>
        <v/>
      </c>
      <c r="AX107" s="90" t="str">
        <f aca="false">IF(AT107="","",ROUND(AT107*(1-Справочники!$B$17),0))</f>
        <v/>
      </c>
      <c r="AY107" s="90" t="str">
        <f aca="false">IF(AT107="","",ROUND(AT107*(1-Справочники!$B$18),0))</f>
        <v/>
      </c>
      <c r="AZ107" s="90" t="str">
        <f aca="false">IF(AT107="","",ROUND(AT107*(1-Справочники!$B$19),0))</f>
        <v/>
      </c>
      <c r="BA107" s="81"/>
      <c r="BB107" s="81"/>
      <c r="BC107" s="81"/>
      <c r="BD107" s="81"/>
      <c r="BE107" s="91"/>
      <c r="BF107" s="81" t="s">
        <v>103</v>
      </c>
      <c r="BG107" s="89" t="n">
        <f aca="false" t="array" ref="BG107:BG107">IF(BF107="","",IFERROR(INDEX(Справочники!$B$4:$B$7,MATCH(BF107,Справочники!$A$4:$A$7,0)),""))</f>
        <v>68.5</v>
      </c>
      <c r="BH107" s="90" t="str">
        <f aca="false">IF(N(BN107)&gt;0,ROUND(SUMIF(ЗАКАЗЫ!$F$3:$F$500,$A107,ЗАКАЗЫ!$Y$3:$Y$500)/BN107,0),IF(OR(BE107="",BG107=""),"",ROUND(BE107*BG107*(1+Справочники!$B$10),0)))</f>
        <v/>
      </c>
      <c r="BI107" s="92" t="str">
        <f aca="false">IF(OR(AU107="",BH107="",AU107=0),"",(AU107-BH107)/AU107)</f>
        <v/>
      </c>
      <c r="BJ107" s="81"/>
      <c r="BK107" s="83"/>
      <c r="BL107" s="43" t="str">
        <f aca="false">IFERROR(INDEX(ЗАКАЗЫ!$N$3:$N$500,MATCH($A107,ЗАКАЗЫ!$F$3:$F$500,0)),"")</f>
        <v/>
      </c>
      <c r="BM107" s="8" t="str">
        <f aca="false">IF(BL107="","",IFERROR(VLOOKUP(BL107,'ТН ВЭД'!$A$4:$C$40,3,0),""))</f>
        <v/>
      </c>
      <c r="BN107" s="7" t="str">
        <f aca="false">IF(COUNTIF(ЗАКАЗЫ!$F$3:$F$500,$A107)=0,"",SUMIF(ЗАКАЗЫ!$F$3:$F$500,$A107,ЗАКАЗЫ!$J$3:$J$500))</f>
        <v/>
      </c>
      <c r="BO107" s="7" t="str">
        <f aca="false">IF(BN107="","",SUMIF(ЗАКАЗЫ!$F$3:$F$500,$A107,ЗАКАЗЫ!$AL$3:$AL$500))</f>
        <v/>
      </c>
      <c r="BP107" s="7" t="str">
        <f aca="false">IF(BN107="","",BN107-BO107)</f>
        <v/>
      </c>
      <c r="BQ107" s="55" t="str">
        <f aca="false">IF(BN107="","",IF(BO107&gt;=BN107,"На складе",IF(BO107&gt;0,"Частично","Ждём")))</f>
        <v/>
      </c>
      <c r="BR107" s="43"/>
      <c r="BS107" s="47" t="str">
        <f aca="false">IF(BN107="","",IF(_xlfn.MAXIFS(ЗАКАЗЫ!$AK$3:$AK$500,ЗАКАЗЫ!$F$3:$F$500,$A107)=0,"",_xlfn.MAXIFS(ЗАКАЗЫ!$AK$3:$AK$500,ЗАКАЗЫ!$F$3:$F$500,$A107)))</f>
        <v/>
      </c>
    </row>
    <row r="108" customFormat="false" ht="15.75" hidden="false" customHeight="true" outlineLevel="0" collapsed="false">
      <c r="A108" s="80" t="s">
        <v>2302</v>
      </c>
      <c r="B108" s="81"/>
      <c r="C108" s="81"/>
      <c r="D108" s="81"/>
      <c r="E108" s="83"/>
      <c r="F108" s="81"/>
      <c r="G108" s="83"/>
      <c r="H108" s="83"/>
      <c r="I108" s="84" t="str">
        <f aca="false">IF(E108="","",A108&amp;"_1.jpg")</f>
        <v/>
      </c>
      <c r="J108" s="84" t="str">
        <f aca="false">IF(E108="","",A108&amp;"_2.jpg; "&amp;A108&amp;"_3.jpg")</f>
        <v/>
      </c>
      <c r="K108" s="84" t="str">
        <f aca="false">IF(E108="","",A108&amp;"_schema.jpg")</f>
        <v/>
      </c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 t="s">
        <v>96</v>
      </c>
      <c r="W108" s="81"/>
      <c r="X108" s="81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6" t="str">
        <f aca="false">IF(SUM(Y108:AJ108)=0,"",SUM(Y108:AJ108))</f>
        <v/>
      </c>
      <c r="AL108" s="84" t="str">
        <f aca="false">MID(IF(N(Y108)&gt;0,", "&amp;Y$2,"")&amp;IF(N(Z108)&gt;0,", "&amp;Z$2,"")&amp;IF(N(AA108)&gt;0,", "&amp;AA$2,"")&amp;IF(N(AB108)&gt;0,", "&amp;AB$2,"")&amp;IF(N(AC108)&gt;0,", "&amp;AC$2,"")&amp;IF(N(AD108)&gt;0,", "&amp;AD$2,"")&amp;IF(N(AE108)&gt;0,", "&amp;AE$2,"")&amp;IF(N(AF108)&gt;0,", "&amp;AF$2,"")&amp;IF(N(AG108)&gt;0,", "&amp;AG$2,"")&amp;IF(N(AH108)&gt;0,", "&amp;AH$2,"")&amp;IF(N(AI108)&gt;0,", "&amp;AI$2,"")&amp;IF(N(AJ108)&gt;0,", "&amp;AJ$2,""),3,999)</f>
        <v/>
      </c>
      <c r="AM108" s="87" t="str">
        <f aca="false">IF(E108="","",MID(IF(N(Y108)&gt;0,", "&amp;A108&amp;"-"&amp;Y$2,"")&amp;IF(N(Z108)&gt;0,", "&amp;A108&amp;"-"&amp;Z$2,"")&amp;IF(N(AA108)&gt;0,", "&amp;A108&amp;"-"&amp;AA$2,"")&amp;IF(N(AB108)&gt;0,", "&amp;A108&amp;"-"&amp;AB$2,"")&amp;IF(N(AC108)&gt;0,", "&amp;A108&amp;"-"&amp;AC$2,"")&amp;IF(N(AD108)&gt;0,", "&amp;A108&amp;"-"&amp;AD$2,"")&amp;IF(N(AE108)&gt;0,", "&amp;A108&amp;"-"&amp;AE$2,"")&amp;IF(N(AF108)&gt;0,", "&amp;A108&amp;"-"&amp;AF$2,"")&amp;IF(N(AG108)&gt;0,", "&amp;A108&amp;"-"&amp;AG$2,"")&amp;IF(N(AH108)&gt;0,", "&amp;A108&amp;"-"&amp;AH$2,"")&amp;IF(N(AI108)&gt;0,", "&amp;A108&amp;"-"&amp;AI$2,"")&amp;IF(N(AJ108)&gt;0,", "&amp;A108&amp;"-"&amp;AJ$2,""),3,999))</f>
        <v/>
      </c>
      <c r="AN108" s="81"/>
      <c r="AO108" s="88"/>
      <c r="AP108" s="89" t="str">
        <f aca="false">IF(AO108="","",ROUND(AO108/(1+Справочники!$B$13),2))</f>
        <v/>
      </c>
      <c r="AQ108" s="90" t="str">
        <f aca="false" t="array" ref="AQ108:AQ108">IF(AP108="","",AP108*INDEX(Справочники!$B$4:$B$7,MATCH("RUB",Справочники!$A$4:$A$7,0)))</f>
        <v/>
      </c>
      <c r="AR108" s="90" t="str">
        <f aca="false">IF(AQ108="","",ROUND(AQ108*(1+Справочники!$B$12),0))</f>
        <v/>
      </c>
      <c r="AS108" s="90" t="str">
        <f aca="false">IF(AR108="","",ROUND(AR108*(1-Справочники!$B$11),0))</f>
        <v/>
      </c>
      <c r="AT108" s="88"/>
      <c r="AU108" s="90" t="str">
        <f aca="false">IF(AT108="","",ROUND(AT108/(1+Справочники!$B$12),0))</f>
        <v/>
      </c>
      <c r="AV108" s="90" t="str">
        <f aca="false">IF(AT108="","",ROUND(AT108*(1-Справочники!$B$15),0))</f>
        <v/>
      </c>
      <c r="AW108" s="90" t="str">
        <f aca="false">IF(AT108="","",ROUND(AT108*(1-Справочники!$B$16),0))</f>
        <v/>
      </c>
      <c r="AX108" s="90" t="str">
        <f aca="false">IF(AT108="","",ROUND(AT108*(1-Справочники!$B$17),0))</f>
        <v/>
      </c>
      <c r="AY108" s="90" t="str">
        <f aca="false">IF(AT108="","",ROUND(AT108*(1-Справочники!$B$18),0))</f>
        <v/>
      </c>
      <c r="AZ108" s="90" t="str">
        <f aca="false">IF(AT108="","",ROUND(AT108*(1-Справочники!$B$19),0))</f>
        <v/>
      </c>
      <c r="BA108" s="81"/>
      <c r="BB108" s="81"/>
      <c r="BC108" s="81"/>
      <c r="BD108" s="81"/>
      <c r="BE108" s="91"/>
      <c r="BF108" s="81" t="s">
        <v>103</v>
      </c>
      <c r="BG108" s="89" t="n">
        <f aca="false" t="array" ref="BG108:BG108">IF(BF108="","",IFERROR(INDEX(Справочники!$B$4:$B$7,MATCH(BF108,Справочники!$A$4:$A$7,0)),""))</f>
        <v>68.5</v>
      </c>
      <c r="BH108" s="90" t="str">
        <f aca="false">IF(N(BN108)&gt;0,ROUND(SUMIF(ЗАКАЗЫ!$F$3:$F$500,$A108,ЗАКАЗЫ!$Y$3:$Y$500)/BN108,0),IF(OR(BE108="",BG108=""),"",ROUND(BE108*BG108*(1+Справочники!$B$10),0)))</f>
        <v/>
      </c>
      <c r="BI108" s="92" t="str">
        <f aca="false">IF(OR(AU108="",BH108="",AU108=0),"",(AU108-BH108)/AU108)</f>
        <v/>
      </c>
      <c r="BJ108" s="81"/>
      <c r="BK108" s="83"/>
      <c r="BL108" s="43" t="str">
        <f aca="false">IFERROR(INDEX(ЗАКАЗЫ!$N$3:$N$500,MATCH($A108,ЗАКАЗЫ!$F$3:$F$500,0)),"")</f>
        <v/>
      </c>
      <c r="BM108" s="8" t="str">
        <f aca="false">IF(BL108="","",IFERROR(VLOOKUP(BL108,'ТН ВЭД'!$A$4:$C$40,3,0),""))</f>
        <v/>
      </c>
      <c r="BN108" s="7" t="str">
        <f aca="false">IF(COUNTIF(ЗАКАЗЫ!$F$3:$F$500,$A108)=0,"",SUMIF(ЗАКАЗЫ!$F$3:$F$500,$A108,ЗАКАЗЫ!$J$3:$J$500))</f>
        <v/>
      </c>
      <c r="BO108" s="7" t="str">
        <f aca="false">IF(BN108="","",SUMIF(ЗАКАЗЫ!$F$3:$F$500,$A108,ЗАКАЗЫ!$AL$3:$AL$500))</f>
        <v/>
      </c>
      <c r="BP108" s="7" t="str">
        <f aca="false">IF(BN108="","",BN108-BO108)</f>
        <v/>
      </c>
      <c r="BQ108" s="55" t="str">
        <f aca="false">IF(BN108="","",IF(BO108&gt;=BN108,"На складе",IF(BO108&gt;0,"Частично","Ждём")))</f>
        <v/>
      </c>
      <c r="BR108" s="43"/>
      <c r="BS108" s="47" t="str">
        <f aca="false">IF(BN108="","",IF(_xlfn.MAXIFS(ЗАКАЗЫ!$AK$3:$AK$500,ЗАКАЗЫ!$F$3:$F$500,$A108)=0,"",_xlfn.MAXIFS(ЗАКАЗЫ!$AK$3:$AK$500,ЗАКАЗЫ!$F$3:$F$500,$A108)))</f>
        <v/>
      </c>
    </row>
    <row r="109" customFormat="false" ht="15.75" hidden="false" customHeight="true" outlineLevel="0" collapsed="false">
      <c r="A109" s="80" t="s">
        <v>2303</v>
      </c>
      <c r="B109" s="81"/>
      <c r="C109" s="81"/>
      <c r="D109" s="81"/>
      <c r="E109" s="83"/>
      <c r="F109" s="81"/>
      <c r="G109" s="83"/>
      <c r="H109" s="83"/>
      <c r="I109" s="84" t="str">
        <f aca="false">IF(E109="","",A109&amp;"_1.jpg")</f>
        <v/>
      </c>
      <c r="J109" s="84" t="str">
        <f aca="false">IF(E109="","",A109&amp;"_2.jpg; "&amp;A109&amp;"_3.jpg")</f>
        <v/>
      </c>
      <c r="K109" s="84" t="str">
        <f aca="false">IF(E109="","",A109&amp;"_schema.jpg")</f>
        <v/>
      </c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 t="s">
        <v>96</v>
      </c>
      <c r="W109" s="81"/>
      <c r="X109" s="81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6" t="str">
        <f aca="false">IF(SUM(Y109:AJ109)=0,"",SUM(Y109:AJ109))</f>
        <v/>
      </c>
      <c r="AL109" s="84" t="str">
        <f aca="false">MID(IF(N(Y109)&gt;0,", "&amp;Y$2,"")&amp;IF(N(Z109)&gt;0,", "&amp;Z$2,"")&amp;IF(N(AA109)&gt;0,", "&amp;AA$2,"")&amp;IF(N(AB109)&gt;0,", "&amp;AB$2,"")&amp;IF(N(AC109)&gt;0,", "&amp;AC$2,"")&amp;IF(N(AD109)&gt;0,", "&amp;AD$2,"")&amp;IF(N(AE109)&gt;0,", "&amp;AE$2,"")&amp;IF(N(AF109)&gt;0,", "&amp;AF$2,"")&amp;IF(N(AG109)&gt;0,", "&amp;AG$2,"")&amp;IF(N(AH109)&gt;0,", "&amp;AH$2,"")&amp;IF(N(AI109)&gt;0,", "&amp;AI$2,"")&amp;IF(N(AJ109)&gt;0,", "&amp;AJ$2,""),3,999)</f>
        <v/>
      </c>
      <c r="AM109" s="87" t="str">
        <f aca="false">IF(E109="","",MID(IF(N(Y109)&gt;0,", "&amp;A109&amp;"-"&amp;Y$2,"")&amp;IF(N(Z109)&gt;0,", "&amp;A109&amp;"-"&amp;Z$2,"")&amp;IF(N(AA109)&gt;0,", "&amp;A109&amp;"-"&amp;AA$2,"")&amp;IF(N(AB109)&gt;0,", "&amp;A109&amp;"-"&amp;AB$2,"")&amp;IF(N(AC109)&gt;0,", "&amp;A109&amp;"-"&amp;AC$2,"")&amp;IF(N(AD109)&gt;0,", "&amp;A109&amp;"-"&amp;AD$2,"")&amp;IF(N(AE109)&gt;0,", "&amp;A109&amp;"-"&amp;AE$2,"")&amp;IF(N(AF109)&gt;0,", "&amp;A109&amp;"-"&amp;AF$2,"")&amp;IF(N(AG109)&gt;0,", "&amp;A109&amp;"-"&amp;AG$2,"")&amp;IF(N(AH109)&gt;0,", "&amp;A109&amp;"-"&amp;AH$2,"")&amp;IF(N(AI109)&gt;0,", "&amp;A109&amp;"-"&amp;AI$2,"")&amp;IF(N(AJ109)&gt;0,", "&amp;A109&amp;"-"&amp;AJ$2,""),3,999))</f>
        <v/>
      </c>
      <c r="AN109" s="81"/>
      <c r="AO109" s="88"/>
      <c r="AP109" s="89" t="str">
        <f aca="false">IF(AO109="","",ROUND(AO109/(1+Справочники!$B$13),2))</f>
        <v/>
      </c>
      <c r="AQ109" s="90" t="str">
        <f aca="false" t="array" ref="AQ109:AQ109">IF(AP109="","",AP109*INDEX(Справочники!$B$4:$B$7,MATCH("RUB",Справочники!$A$4:$A$7,0)))</f>
        <v/>
      </c>
      <c r="AR109" s="90" t="str">
        <f aca="false">IF(AQ109="","",ROUND(AQ109*(1+Справочники!$B$12),0))</f>
        <v/>
      </c>
      <c r="AS109" s="90" t="str">
        <f aca="false">IF(AR109="","",ROUND(AR109*(1-Справочники!$B$11),0))</f>
        <v/>
      </c>
      <c r="AT109" s="88"/>
      <c r="AU109" s="90" t="str">
        <f aca="false">IF(AT109="","",ROUND(AT109/(1+Справочники!$B$12),0))</f>
        <v/>
      </c>
      <c r="AV109" s="90" t="str">
        <f aca="false">IF(AT109="","",ROUND(AT109*(1-Справочники!$B$15),0))</f>
        <v/>
      </c>
      <c r="AW109" s="90" t="str">
        <f aca="false">IF(AT109="","",ROUND(AT109*(1-Справочники!$B$16),0))</f>
        <v/>
      </c>
      <c r="AX109" s="90" t="str">
        <f aca="false">IF(AT109="","",ROUND(AT109*(1-Справочники!$B$17),0))</f>
        <v/>
      </c>
      <c r="AY109" s="90" t="str">
        <f aca="false">IF(AT109="","",ROUND(AT109*(1-Справочники!$B$18),0))</f>
        <v/>
      </c>
      <c r="AZ109" s="90" t="str">
        <f aca="false">IF(AT109="","",ROUND(AT109*(1-Справочники!$B$19),0))</f>
        <v/>
      </c>
      <c r="BA109" s="81"/>
      <c r="BB109" s="81"/>
      <c r="BC109" s="81"/>
      <c r="BD109" s="81"/>
      <c r="BE109" s="91"/>
      <c r="BF109" s="81" t="s">
        <v>103</v>
      </c>
      <c r="BG109" s="89" t="n">
        <f aca="false" t="array" ref="BG109:BG109">IF(BF109="","",IFERROR(INDEX(Справочники!$B$4:$B$7,MATCH(BF109,Справочники!$A$4:$A$7,0)),""))</f>
        <v>68.5</v>
      </c>
      <c r="BH109" s="90" t="str">
        <f aca="false">IF(N(BN109)&gt;0,ROUND(SUMIF(ЗАКАЗЫ!$F$3:$F$500,$A109,ЗАКАЗЫ!$Y$3:$Y$500)/BN109,0),IF(OR(BE109="",BG109=""),"",ROUND(BE109*BG109*(1+Справочники!$B$10),0)))</f>
        <v/>
      </c>
      <c r="BI109" s="92" t="str">
        <f aca="false">IF(OR(AU109="",BH109="",AU109=0),"",(AU109-BH109)/AU109)</f>
        <v/>
      </c>
      <c r="BJ109" s="81"/>
      <c r="BK109" s="83"/>
      <c r="BL109" s="43" t="str">
        <f aca="false">IFERROR(INDEX(ЗАКАЗЫ!$N$3:$N$500,MATCH($A109,ЗАКАЗЫ!$F$3:$F$500,0)),"")</f>
        <v/>
      </c>
      <c r="BM109" s="8" t="str">
        <f aca="false">IF(BL109="","",IFERROR(VLOOKUP(BL109,'ТН ВЭД'!$A$4:$C$40,3,0),""))</f>
        <v/>
      </c>
      <c r="BN109" s="7" t="str">
        <f aca="false">IF(COUNTIF(ЗАКАЗЫ!$F$3:$F$500,$A109)=0,"",SUMIF(ЗАКАЗЫ!$F$3:$F$500,$A109,ЗАКАЗЫ!$J$3:$J$500))</f>
        <v/>
      </c>
      <c r="BO109" s="7" t="str">
        <f aca="false">IF(BN109="","",SUMIF(ЗАКАЗЫ!$F$3:$F$500,$A109,ЗАКАЗЫ!$AL$3:$AL$500))</f>
        <v/>
      </c>
      <c r="BP109" s="7" t="str">
        <f aca="false">IF(BN109="","",BN109-BO109)</f>
        <v/>
      </c>
      <c r="BQ109" s="55" t="str">
        <f aca="false">IF(BN109="","",IF(BO109&gt;=BN109,"На складе",IF(BO109&gt;0,"Частично","Ждём")))</f>
        <v/>
      </c>
      <c r="BR109" s="43"/>
      <c r="BS109" s="47" t="str">
        <f aca="false">IF(BN109="","",IF(_xlfn.MAXIFS(ЗАКАЗЫ!$AK$3:$AK$500,ЗАКАЗЫ!$F$3:$F$500,$A109)=0,"",_xlfn.MAXIFS(ЗАКАЗЫ!$AK$3:$AK$500,ЗАКАЗЫ!$F$3:$F$500,$A109)))</f>
        <v/>
      </c>
    </row>
    <row r="110" customFormat="false" ht="15.75" hidden="false" customHeight="true" outlineLevel="0" collapsed="false">
      <c r="A110" s="80" t="s">
        <v>2304</v>
      </c>
      <c r="B110" s="81"/>
      <c r="C110" s="81"/>
      <c r="D110" s="81"/>
      <c r="E110" s="83"/>
      <c r="F110" s="81"/>
      <c r="G110" s="83"/>
      <c r="H110" s="83"/>
      <c r="I110" s="84" t="str">
        <f aca="false">IF(E110="","",A110&amp;"_1.jpg")</f>
        <v/>
      </c>
      <c r="J110" s="84" t="str">
        <f aca="false">IF(E110="","",A110&amp;"_2.jpg; "&amp;A110&amp;"_3.jpg")</f>
        <v/>
      </c>
      <c r="K110" s="84" t="str">
        <f aca="false">IF(E110="","",A110&amp;"_schema.jpg")</f>
        <v/>
      </c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 t="s">
        <v>96</v>
      </c>
      <c r="W110" s="81"/>
      <c r="X110" s="81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6" t="str">
        <f aca="false">IF(SUM(Y110:AJ110)=0,"",SUM(Y110:AJ110))</f>
        <v/>
      </c>
      <c r="AL110" s="84" t="str">
        <f aca="false">MID(IF(N(Y110)&gt;0,", "&amp;Y$2,"")&amp;IF(N(Z110)&gt;0,", "&amp;Z$2,"")&amp;IF(N(AA110)&gt;0,", "&amp;AA$2,"")&amp;IF(N(AB110)&gt;0,", "&amp;AB$2,"")&amp;IF(N(AC110)&gt;0,", "&amp;AC$2,"")&amp;IF(N(AD110)&gt;0,", "&amp;AD$2,"")&amp;IF(N(AE110)&gt;0,", "&amp;AE$2,"")&amp;IF(N(AF110)&gt;0,", "&amp;AF$2,"")&amp;IF(N(AG110)&gt;0,", "&amp;AG$2,"")&amp;IF(N(AH110)&gt;0,", "&amp;AH$2,"")&amp;IF(N(AI110)&gt;0,", "&amp;AI$2,"")&amp;IF(N(AJ110)&gt;0,", "&amp;AJ$2,""),3,999)</f>
        <v/>
      </c>
      <c r="AM110" s="87" t="str">
        <f aca="false">IF(E110="","",MID(IF(N(Y110)&gt;0,", "&amp;A110&amp;"-"&amp;Y$2,"")&amp;IF(N(Z110)&gt;0,", "&amp;A110&amp;"-"&amp;Z$2,"")&amp;IF(N(AA110)&gt;0,", "&amp;A110&amp;"-"&amp;AA$2,"")&amp;IF(N(AB110)&gt;0,", "&amp;A110&amp;"-"&amp;AB$2,"")&amp;IF(N(AC110)&gt;0,", "&amp;A110&amp;"-"&amp;AC$2,"")&amp;IF(N(AD110)&gt;0,", "&amp;A110&amp;"-"&amp;AD$2,"")&amp;IF(N(AE110)&gt;0,", "&amp;A110&amp;"-"&amp;AE$2,"")&amp;IF(N(AF110)&gt;0,", "&amp;A110&amp;"-"&amp;AF$2,"")&amp;IF(N(AG110)&gt;0,", "&amp;A110&amp;"-"&amp;AG$2,"")&amp;IF(N(AH110)&gt;0,", "&amp;A110&amp;"-"&amp;AH$2,"")&amp;IF(N(AI110)&gt;0,", "&amp;A110&amp;"-"&amp;AI$2,"")&amp;IF(N(AJ110)&gt;0,", "&amp;A110&amp;"-"&amp;AJ$2,""),3,999))</f>
        <v/>
      </c>
      <c r="AN110" s="81"/>
      <c r="AO110" s="88"/>
      <c r="AP110" s="89" t="str">
        <f aca="false">IF(AO110="","",ROUND(AO110/(1+Справочники!$B$13),2))</f>
        <v/>
      </c>
      <c r="AQ110" s="90" t="str">
        <f aca="false" t="array" ref="AQ110:AQ110">IF(AP110="","",AP110*INDEX(Справочники!$B$4:$B$7,MATCH("RUB",Справочники!$A$4:$A$7,0)))</f>
        <v/>
      </c>
      <c r="AR110" s="90" t="str">
        <f aca="false">IF(AQ110="","",ROUND(AQ110*(1+Справочники!$B$12),0))</f>
        <v/>
      </c>
      <c r="AS110" s="90" t="str">
        <f aca="false">IF(AR110="","",ROUND(AR110*(1-Справочники!$B$11),0))</f>
        <v/>
      </c>
      <c r="AT110" s="88"/>
      <c r="AU110" s="90" t="str">
        <f aca="false">IF(AT110="","",ROUND(AT110/(1+Справочники!$B$12),0))</f>
        <v/>
      </c>
      <c r="AV110" s="90" t="str">
        <f aca="false">IF(AT110="","",ROUND(AT110*(1-Справочники!$B$15),0))</f>
        <v/>
      </c>
      <c r="AW110" s="90" t="str">
        <f aca="false">IF(AT110="","",ROUND(AT110*(1-Справочники!$B$16),0))</f>
        <v/>
      </c>
      <c r="AX110" s="90" t="str">
        <f aca="false">IF(AT110="","",ROUND(AT110*(1-Справочники!$B$17),0))</f>
        <v/>
      </c>
      <c r="AY110" s="90" t="str">
        <f aca="false">IF(AT110="","",ROUND(AT110*(1-Справочники!$B$18),0))</f>
        <v/>
      </c>
      <c r="AZ110" s="90" t="str">
        <f aca="false">IF(AT110="","",ROUND(AT110*(1-Справочники!$B$19),0))</f>
        <v/>
      </c>
      <c r="BA110" s="81"/>
      <c r="BB110" s="81"/>
      <c r="BC110" s="81"/>
      <c r="BD110" s="81"/>
      <c r="BE110" s="91"/>
      <c r="BF110" s="81" t="s">
        <v>103</v>
      </c>
      <c r="BG110" s="89" t="n">
        <f aca="false" t="array" ref="BG110:BG110">IF(BF110="","",IFERROR(INDEX(Справочники!$B$4:$B$7,MATCH(BF110,Справочники!$A$4:$A$7,0)),""))</f>
        <v>68.5</v>
      </c>
      <c r="BH110" s="90" t="str">
        <f aca="false">IF(N(BN110)&gt;0,ROUND(SUMIF(ЗАКАЗЫ!$F$3:$F$500,$A110,ЗАКАЗЫ!$Y$3:$Y$500)/BN110,0),IF(OR(BE110="",BG110=""),"",ROUND(BE110*BG110*(1+Справочники!$B$10),0)))</f>
        <v/>
      </c>
      <c r="BI110" s="92" t="str">
        <f aca="false">IF(OR(AU110="",BH110="",AU110=0),"",(AU110-BH110)/AU110)</f>
        <v/>
      </c>
      <c r="BJ110" s="81"/>
      <c r="BK110" s="83"/>
      <c r="BL110" s="43" t="str">
        <f aca="false">IFERROR(INDEX(ЗАКАЗЫ!$N$3:$N$500,MATCH($A110,ЗАКАЗЫ!$F$3:$F$500,0)),"")</f>
        <v/>
      </c>
      <c r="BM110" s="8" t="str">
        <f aca="false">IF(BL110="","",IFERROR(VLOOKUP(BL110,'ТН ВЭД'!$A$4:$C$40,3,0),""))</f>
        <v/>
      </c>
      <c r="BN110" s="7" t="str">
        <f aca="false">IF(COUNTIF(ЗАКАЗЫ!$F$3:$F$500,$A110)=0,"",SUMIF(ЗАКАЗЫ!$F$3:$F$500,$A110,ЗАКАЗЫ!$J$3:$J$500))</f>
        <v/>
      </c>
      <c r="BO110" s="7" t="str">
        <f aca="false">IF(BN110="","",SUMIF(ЗАКАЗЫ!$F$3:$F$500,$A110,ЗАКАЗЫ!$AL$3:$AL$500))</f>
        <v/>
      </c>
      <c r="BP110" s="7" t="str">
        <f aca="false">IF(BN110="","",BN110-BO110)</f>
        <v/>
      </c>
      <c r="BQ110" s="55" t="str">
        <f aca="false">IF(BN110="","",IF(BO110&gt;=BN110,"На складе",IF(BO110&gt;0,"Частично","Ждём")))</f>
        <v/>
      </c>
      <c r="BR110" s="43"/>
      <c r="BS110" s="47" t="str">
        <f aca="false">IF(BN110="","",IF(_xlfn.MAXIFS(ЗАКАЗЫ!$AK$3:$AK$500,ЗАКАЗЫ!$F$3:$F$500,$A110)=0,"",_xlfn.MAXIFS(ЗАКАЗЫ!$AK$3:$AK$500,ЗАКАЗЫ!$F$3:$F$500,$A110)))</f>
        <v/>
      </c>
    </row>
    <row r="111" customFormat="false" ht="15.75" hidden="false" customHeight="true" outlineLevel="0" collapsed="false">
      <c r="A111" s="80" t="s">
        <v>2305</v>
      </c>
      <c r="B111" s="81"/>
      <c r="C111" s="81"/>
      <c r="D111" s="81"/>
      <c r="E111" s="83"/>
      <c r="F111" s="81"/>
      <c r="G111" s="83"/>
      <c r="H111" s="83"/>
      <c r="I111" s="84" t="str">
        <f aca="false">IF(E111="","",A111&amp;"_1.jpg")</f>
        <v/>
      </c>
      <c r="J111" s="84" t="str">
        <f aca="false">IF(E111="","",A111&amp;"_2.jpg; "&amp;A111&amp;"_3.jpg")</f>
        <v/>
      </c>
      <c r="K111" s="84" t="str">
        <f aca="false">IF(E111="","",A111&amp;"_schema.jpg")</f>
        <v/>
      </c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 t="s">
        <v>96</v>
      </c>
      <c r="W111" s="81"/>
      <c r="X111" s="81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6" t="str">
        <f aca="false">IF(SUM(Y111:AJ111)=0,"",SUM(Y111:AJ111))</f>
        <v/>
      </c>
      <c r="AL111" s="84" t="str">
        <f aca="false">MID(IF(N(Y111)&gt;0,", "&amp;Y$2,"")&amp;IF(N(Z111)&gt;0,", "&amp;Z$2,"")&amp;IF(N(AA111)&gt;0,", "&amp;AA$2,"")&amp;IF(N(AB111)&gt;0,", "&amp;AB$2,"")&amp;IF(N(AC111)&gt;0,", "&amp;AC$2,"")&amp;IF(N(AD111)&gt;0,", "&amp;AD$2,"")&amp;IF(N(AE111)&gt;0,", "&amp;AE$2,"")&amp;IF(N(AF111)&gt;0,", "&amp;AF$2,"")&amp;IF(N(AG111)&gt;0,", "&amp;AG$2,"")&amp;IF(N(AH111)&gt;0,", "&amp;AH$2,"")&amp;IF(N(AI111)&gt;0,", "&amp;AI$2,"")&amp;IF(N(AJ111)&gt;0,", "&amp;AJ$2,""),3,999)</f>
        <v/>
      </c>
      <c r="AM111" s="87" t="str">
        <f aca="false">IF(E111="","",MID(IF(N(Y111)&gt;0,", "&amp;A111&amp;"-"&amp;Y$2,"")&amp;IF(N(Z111)&gt;0,", "&amp;A111&amp;"-"&amp;Z$2,"")&amp;IF(N(AA111)&gt;0,", "&amp;A111&amp;"-"&amp;AA$2,"")&amp;IF(N(AB111)&gt;0,", "&amp;A111&amp;"-"&amp;AB$2,"")&amp;IF(N(AC111)&gt;0,", "&amp;A111&amp;"-"&amp;AC$2,"")&amp;IF(N(AD111)&gt;0,", "&amp;A111&amp;"-"&amp;AD$2,"")&amp;IF(N(AE111)&gt;0,", "&amp;A111&amp;"-"&amp;AE$2,"")&amp;IF(N(AF111)&gt;0,", "&amp;A111&amp;"-"&amp;AF$2,"")&amp;IF(N(AG111)&gt;0,", "&amp;A111&amp;"-"&amp;AG$2,"")&amp;IF(N(AH111)&gt;0,", "&amp;A111&amp;"-"&amp;AH$2,"")&amp;IF(N(AI111)&gt;0,", "&amp;A111&amp;"-"&amp;AI$2,"")&amp;IF(N(AJ111)&gt;0,", "&amp;A111&amp;"-"&amp;AJ$2,""),3,999))</f>
        <v/>
      </c>
      <c r="AN111" s="81"/>
      <c r="AO111" s="88"/>
      <c r="AP111" s="89" t="str">
        <f aca="false">IF(AO111="","",ROUND(AO111/(1+Справочники!$B$13),2))</f>
        <v/>
      </c>
      <c r="AQ111" s="90" t="str">
        <f aca="false" t="array" ref="AQ111:AQ111">IF(AP111="","",AP111*INDEX(Справочники!$B$4:$B$7,MATCH("RUB",Справочники!$A$4:$A$7,0)))</f>
        <v/>
      </c>
      <c r="AR111" s="90" t="str">
        <f aca="false">IF(AQ111="","",ROUND(AQ111*(1+Справочники!$B$12),0))</f>
        <v/>
      </c>
      <c r="AS111" s="90" t="str">
        <f aca="false">IF(AR111="","",ROUND(AR111*(1-Справочники!$B$11),0))</f>
        <v/>
      </c>
      <c r="AT111" s="88"/>
      <c r="AU111" s="90" t="str">
        <f aca="false">IF(AT111="","",ROUND(AT111/(1+Справочники!$B$12),0))</f>
        <v/>
      </c>
      <c r="AV111" s="90" t="str">
        <f aca="false">IF(AT111="","",ROUND(AT111*(1-Справочники!$B$15),0))</f>
        <v/>
      </c>
      <c r="AW111" s="90" t="str">
        <f aca="false">IF(AT111="","",ROUND(AT111*(1-Справочники!$B$16),0))</f>
        <v/>
      </c>
      <c r="AX111" s="90" t="str">
        <f aca="false">IF(AT111="","",ROUND(AT111*(1-Справочники!$B$17),0))</f>
        <v/>
      </c>
      <c r="AY111" s="90" t="str">
        <f aca="false">IF(AT111="","",ROUND(AT111*(1-Справочники!$B$18),0))</f>
        <v/>
      </c>
      <c r="AZ111" s="90" t="str">
        <f aca="false">IF(AT111="","",ROUND(AT111*(1-Справочники!$B$19),0))</f>
        <v/>
      </c>
      <c r="BA111" s="81"/>
      <c r="BB111" s="81"/>
      <c r="BC111" s="81"/>
      <c r="BD111" s="81"/>
      <c r="BE111" s="91"/>
      <c r="BF111" s="81" t="s">
        <v>103</v>
      </c>
      <c r="BG111" s="89" t="n">
        <f aca="false" t="array" ref="BG111:BG111">IF(BF111="","",IFERROR(INDEX(Справочники!$B$4:$B$7,MATCH(BF111,Справочники!$A$4:$A$7,0)),""))</f>
        <v>68.5</v>
      </c>
      <c r="BH111" s="90" t="str">
        <f aca="false">IF(N(BN111)&gt;0,ROUND(SUMIF(ЗАКАЗЫ!$F$3:$F$500,$A111,ЗАКАЗЫ!$Y$3:$Y$500)/BN111,0),IF(OR(BE111="",BG111=""),"",ROUND(BE111*BG111*(1+Справочники!$B$10),0)))</f>
        <v/>
      </c>
      <c r="BI111" s="92" t="str">
        <f aca="false">IF(OR(AU111="",BH111="",AU111=0),"",(AU111-BH111)/AU111)</f>
        <v/>
      </c>
      <c r="BJ111" s="81"/>
      <c r="BK111" s="83"/>
      <c r="BL111" s="43" t="str">
        <f aca="false">IFERROR(INDEX(ЗАКАЗЫ!$N$3:$N$500,MATCH($A111,ЗАКАЗЫ!$F$3:$F$500,0)),"")</f>
        <v/>
      </c>
      <c r="BM111" s="8" t="str">
        <f aca="false">IF(BL111="","",IFERROR(VLOOKUP(BL111,'ТН ВЭД'!$A$4:$C$40,3,0),""))</f>
        <v/>
      </c>
      <c r="BN111" s="7" t="str">
        <f aca="false">IF(COUNTIF(ЗАКАЗЫ!$F$3:$F$500,$A111)=0,"",SUMIF(ЗАКАЗЫ!$F$3:$F$500,$A111,ЗАКАЗЫ!$J$3:$J$500))</f>
        <v/>
      </c>
      <c r="BO111" s="7" t="str">
        <f aca="false">IF(BN111="","",SUMIF(ЗАКАЗЫ!$F$3:$F$500,$A111,ЗАКАЗЫ!$AL$3:$AL$500))</f>
        <v/>
      </c>
      <c r="BP111" s="7" t="str">
        <f aca="false">IF(BN111="","",BN111-BO111)</f>
        <v/>
      </c>
      <c r="BQ111" s="55" t="str">
        <f aca="false">IF(BN111="","",IF(BO111&gt;=BN111,"На складе",IF(BO111&gt;0,"Частично","Ждём")))</f>
        <v/>
      </c>
      <c r="BR111" s="43"/>
      <c r="BS111" s="47" t="str">
        <f aca="false">IF(BN111="","",IF(_xlfn.MAXIFS(ЗАКАЗЫ!$AK$3:$AK$500,ЗАКАЗЫ!$F$3:$F$500,$A111)=0,"",_xlfn.MAXIFS(ЗАКАЗЫ!$AK$3:$AK$500,ЗАКАЗЫ!$F$3:$F$500,$A111)))</f>
        <v/>
      </c>
    </row>
    <row r="112" customFormat="false" ht="15.75" hidden="false" customHeight="true" outlineLevel="0" collapsed="false">
      <c r="A112" s="80" t="s">
        <v>2306</v>
      </c>
      <c r="B112" s="81"/>
      <c r="C112" s="81"/>
      <c r="D112" s="81"/>
      <c r="E112" s="83"/>
      <c r="F112" s="81"/>
      <c r="G112" s="83"/>
      <c r="H112" s="83"/>
      <c r="I112" s="84" t="str">
        <f aca="false">IF(E112="","",A112&amp;"_1.jpg")</f>
        <v/>
      </c>
      <c r="J112" s="84" t="str">
        <f aca="false">IF(E112="","",A112&amp;"_2.jpg; "&amp;A112&amp;"_3.jpg")</f>
        <v/>
      </c>
      <c r="K112" s="84" t="str">
        <f aca="false">IF(E112="","",A112&amp;"_schema.jpg")</f>
        <v/>
      </c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 t="s">
        <v>96</v>
      </c>
      <c r="W112" s="81"/>
      <c r="X112" s="81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6" t="str">
        <f aca="false">IF(SUM(Y112:AJ112)=0,"",SUM(Y112:AJ112))</f>
        <v/>
      </c>
      <c r="AL112" s="84" t="str">
        <f aca="false">MID(IF(N(Y112)&gt;0,", "&amp;Y$2,"")&amp;IF(N(Z112)&gt;0,", "&amp;Z$2,"")&amp;IF(N(AA112)&gt;0,", "&amp;AA$2,"")&amp;IF(N(AB112)&gt;0,", "&amp;AB$2,"")&amp;IF(N(AC112)&gt;0,", "&amp;AC$2,"")&amp;IF(N(AD112)&gt;0,", "&amp;AD$2,"")&amp;IF(N(AE112)&gt;0,", "&amp;AE$2,"")&amp;IF(N(AF112)&gt;0,", "&amp;AF$2,"")&amp;IF(N(AG112)&gt;0,", "&amp;AG$2,"")&amp;IF(N(AH112)&gt;0,", "&amp;AH$2,"")&amp;IF(N(AI112)&gt;0,", "&amp;AI$2,"")&amp;IF(N(AJ112)&gt;0,", "&amp;AJ$2,""),3,999)</f>
        <v/>
      </c>
      <c r="AM112" s="87" t="str">
        <f aca="false">IF(E112="","",MID(IF(N(Y112)&gt;0,", "&amp;A112&amp;"-"&amp;Y$2,"")&amp;IF(N(Z112)&gt;0,", "&amp;A112&amp;"-"&amp;Z$2,"")&amp;IF(N(AA112)&gt;0,", "&amp;A112&amp;"-"&amp;AA$2,"")&amp;IF(N(AB112)&gt;0,", "&amp;A112&amp;"-"&amp;AB$2,"")&amp;IF(N(AC112)&gt;0,", "&amp;A112&amp;"-"&amp;AC$2,"")&amp;IF(N(AD112)&gt;0,", "&amp;A112&amp;"-"&amp;AD$2,"")&amp;IF(N(AE112)&gt;0,", "&amp;A112&amp;"-"&amp;AE$2,"")&amp;IF(N(AF112)&gt;0,", "&amp;A112&amp;"-"&amp;AF$2,"")&amp;IF(N(AG112)&gt;0,", "&amp;A112&amp;"-"&amp;AG$2,"")&amp;IF(N(AH112)&gt;0,", "&amp;A112&amp;"-"&amp;AH$2,"")&amp;IF(N(AI112)&gt;0,", "&amp;A112&amp;"-"&amp;AI$2,"")&amp;IF(N(AJ112)&gt;0,", "&amp;A112&amp;"-"&amp;AJ$2,""),3,999))</f>
        <v/>
      </c>
      <c r="AN112" s="81"/>
      <c r="AO112" s="88"/>
      <c r="AP112" s="89" t="str">
        <f aca="false">IF(AO112="","",ROUND(AO112/(1+Справочники!$B$13),2))</f>
        <v/>
      </c>
      <c r="AQ112" s="90" t="str">
        <f aca="false" t="array" ref="AQ112:AQ112">IF(AP112="","",AP112*INDEX(Справочники!$B$4:$B$7,MATCH("RUB",Справочники!$A$4:$A$7,0)))</f>
        <v/>
      </c>
      <c r="AR112" s="90" t="str">
        <f aca="false">IF(AQ112="","",ROUND(AQ112*(1+Справочники!$B$12),0))</f>
        <v/>
      </c>
      <c r="AS112" s="90" t="str">
        <f aca="false">IF(AR112="","",ROUND(AR112*(1-Справочники!$B$11),0))</f>
        <v/>
      </c>
      <c r="AT112" s="88"/>
      <c r="AU112" s="90" t="str">
        <f aca="false">IF(AT112="","",ROUND(AT112/(1+Справочники!$B$12),0))</f>
        <v/>
      </c>
      <c r="AV112" s="90" t="str">
        <f aca="false">IF(AT112="","",ROUND(AT112*(1-Справочники!$B$15),0))</f>
        <v/>
      </c>
      <c r="AW112" s="90" t="str">
        <f aca="false">IF(AT112="","",ROUND(AT112*(1-Справочники!$B$16),0))</f>
        <v/>
      </c>
      <c r="AX112" s="90" t="str">
        <f aca="false">IF(AT112="","",ROUND(AT112*(1-Справочники!$B$17),0))</f>
        <v/>
      </c>
      <c r="AY112" s="90" t="str">
        <f aca="false">IF(AT112="","",ROUND(AT112*(1-Справочники!$B$18),0))</f>
        <v/>
      </c>
      <c r="AZ112" s="90" t="str">
        <f aca="false">IF(AT112="","",ROUND(AT112*(1-Справочники!$B$19),0))</f>
        <v/>
      </c>
      <c r="BA112" s="81"/>
      <c r="BB112" s="81"/>
      <c r="BC112" s="81"/>
      <c r="BD112" s="81"/>
      <c r="BE112" s="91"/>
      <c r="BF112" s="81" t="s">
        <v>103</v>
      </c>
      <c r="BG112" s="89" t="n">
        <f aca="false" t="array" ref="BG112:BG112">IF(BF112="","",IFERROR(INDEX(Справочники!$B$4:$B$7,MATCH(BF112,Справочники!$A$4:$A$7,0)),""))</f>
        <v>68.5</v>
      </c>
      <c r="BH112" s="90" t="str">
        <f aca="false">IF(N(BN112)&gt;0,ROUND(SUMIF(ЗАКАЗЫ!$F$3:$F$500,$A112,ЗАКАЗЫ!$Y$3:$Y$500)/BN112,0),IF(OR(BE112="",BG112=""),"",ROUND(BE112*BG112*(1+Справочники!$B$10),0)))</f>
        <v/>
      </c>
      <c r="BI112" s="92" t="str">
        <f aca="false">IF(OR(AU112="",BH112="",AU112=0),"",(AU112-BH112)/AU112)</f>
        <v/>
      </c>
      <c r="BJ112" s="81"/>
      <c r="BK112" s="83"/>
      <c r="BL112" s="43" t="str">
        <f aca="false">IFERROR(INDEX(ЗАКАЗЫ!$N$3:$N$500,MATCH($A112,ЗАКАЗЫ!$F$3:$F$500,0)),"")</f>
        <v/>
      </c>
      <c r="BM112" s="8" t="str">
        <f aca="false">IF(BL112="","",IFERROR(VLOOKUP(BL112,'ТН ВЭД'!$A$4:$C$40,3,0),""))</f>
        <v/>
      </c>
      <c r="BN112" s="7" t="str">
        <f aca="false">IF(COUNTIF(ЗАКАЗЫ!$F$3:$F$500,$A112)=0,"",SUMIF(ЗАКАЗЫ!$F$3:$F$500,$A112,ЗАКАЗЫ!$J$3:$J$500))</f>
        <v/>
      </c>
      <c r="BO112" s="7" t="str">
        <f aca="false">IF(BN112="","",SUMIF(ЗАКАЗЫ!$F$3:$F$500,$A112,ЗАКАЗЫ!$AL$3:$AL$500))</f>
        <v/>
      </c>
      <c r="BP112" s="7" t="str">
        <f aca="false">IF(BN112="","",BN112-BO112)</f>
        <v/>
      </c>
      <c r="BQ112" s="55" t="str">
        <f aca="false">IF(BN112="","",IF(BO112&gt;=BN112,"На складе",IF(BO112&gt;0,"Частично","Ждём")))</f>
        <v/>
      </c>
      <c r="BR112" s="43"/>
      <c r="BS112" s="47" t="str">
        <f aca="false">IF(BN112="","",IF(_xlfn.MAXIFS(ЗАКАЗЫ!$AK$3:$AK$500,ЗАКАЗЫ!$F$3:$F$500,$A112)=0,"",_xlfn.MAXIFS(ЗАКАЗЫ!$AK$3:$AK$500,ЗАКАЗЫ!$F$3:$F$500,$A112)))</f>
        <v/>
      </c>
    </row>
    <row r="113" customFormat="false" ht="15.75" hidden="false" customHeight="true" outlineLevel="0" collapsed="false">
      <c r="A113" s="80" t="s">
        <v>2307</v>
      </c>
      <c r="B113" s="81"/>
      <c r="C113" s="81"/>
      <c r="D113" s="81"/>
      <c r="E113" s="83"/>
      <c r="F113" s="81"/>
      <c r="G113" s="83"/>
      <c r="H113" s="83"/>
      <c r="I113" s="84" t="str">
        <f aca="false">IF(E113="","",A113&amp;"_1.jpg")</f>
        <v/>
      </c>
      <c r="J113" s="84" t="str">
        <f aca="false">IF(E113="","",A113&amp;"_2.jpg; "&amp;A113&amp;"_3.jpg")</f>
        <v/>
      </c>
      <c r="K113" s="84" t="str">
        <f aca="false">IF(E113="","",A113&amp;"_schema.jpg")</f>
        <v/>
      </c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 t="s">
        <v>96</v>
      </c>
      <c r="W113" s="81"/>
      <c r="X113" s="81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6" t="str">
        <f aca="false">IF(SUM(Y113:AJ113)=0,"",SUM(Y113:AJ113))</f>
        <v/>
      </c>
      <c r="AL113" s="84" t="str">
        <f aca="false">MID(IF(N(Y113)&gt;0,", "&amp;Y$2,"")&amp;IF(N(Z113)&gt;0,", "&amp;Z$2,"")&amp;IF(N(AA113)&gt;0,", "&amp;AA$2,"")&amp;IF(N(AB113)&gt;0,", "&amp;AB$2,"")&amp;IF(N(AC113)&gt;0,", "&amp;AC$2,"")&amp;IF(N(AD113)&gt;0,", "&amp;AD$2,"")&amp;IF(N(AE113)&gt;0,", "&amp;AE$2,"")&amp;IF(N(AF113)&gt;0,", "&amp;AF$2,"")&amp;IF(N(AG113)&gt;0,", "&amp;AG$2,"")&amp;IF(N(AH113)&gt;0,", "&amp;AH$2,"")&amp;IF(N(AI113)&gt;0,", "&amp;AI$2,"")&amp;IF(N(AJ113)&gt;0,", "&amp;AJ$2,""),3,999)</f>
        <v/>
      </c>
      <c r="AM113" s="87" t="str">
        <f aca="false">IF(E113="","",MID(IF(N(Y113)&gt;0,", "&amp;A113&amp;"-"&amp;Y$2,"")&amp;IF(N(Z113)&gt;0,", "&amp;A113&amp;"-"&amp;Z$2,"")&amp;IF(N(AA113)&gt;0,", "&amp;A113&amp;"-"&amp;AA$2,"")&amp;IF(N(AB113)&gt;0,", "&amp;A113&amp;"-"&amp;AB$2,"")&amp;IF(N(AC113)&gt;0,", "&amp;A113&amp;"-"&amp;AC$2,"")&amp;IF(N(AD113)&gt;0,", "&amp;A113&amp;"-"&amp;AD$2,"")&amp;IF(N(AE113)&gt;0,", "&amp;A113&amp;"-"&amp;AE$2,"")&amp;IF(N(AF113)&gt;0,", "&amp;A113&amp;"-"&amp;AF$2,"")&amp;IF(N(AG113)&gt;0,", "&amp;A113&amp;"-"&amp;AG$2,"")&amp;IF(N(AH113)&gt;0,", "&amp;A113&amp;"-"&amp;AH$2,"")&amp;IF(N(AI113)&gt;0,", "&amp;A113&amp;"-"&amp;AI$2,"")&amp;IF(N(AJ113)&gt;0,", "&amp;A113&amp;"-"&amp;AJ$2,""),3,999))</f>
        <v/>
      </c>
      <c r="AN113" s="81"/>
      <c r="AO113" s="88"/>
      <c r="AP113" s="89" t="str">
        <f aca="false">IF(AO113="","",ROUND(AO113/(1+Справочники!$B$13),2))</f>
        <v/>
      </c>
      <c r="AQ113" s="90" t="str">
        <f aca="false" t="array" ref="AQ113:AQ113">IF(AP113="","",AP113*INDEX(Справочники!$B$4:$B$7,MATCH("RUB",Справочники!$A$4:$A$7,0)))</f>
        <v/>
      </c>
      <c r="AR113" s="90" t="str">
        <f aca="false">IF(AQ113="","",ROUND(AQ113*(1+Справочники!$B$12),0))</f>
        <v/>
      </c>
      <c r="AS113" s="90" t="str">
        <f aca="false">IF(AR113="","",ROUND(AR113*(1-Справочники!$B$11),0))</f>
        <v/>
      </c>
      <c r="AT113" s="88"/>
      <c r="AU113" s="90" t="str">
        <f aca="false">IF(AT113="","",ROUND(AT113/(1+Справочники!$B$12),0))</f>
        <v/>
      </c>
      <c r="AV113" s="90" t="str">
        <f aca="false">IF(AT113="","",ROUND(AT113*(1-Справочники!$B$15),0))</f>
        <v/>
      </c>
      <c r="AW113" s="90" t="str">
        <f aca="false">IF(AT113="","",ROUND(AT113*(1-Справочники!$B$16),0))</f>
        <v/>
      </c>
      <c r="AX113" s="90" t="str">
        <f aca="false">IF(AT113="","",ROUND(AT113*(1-Справочники!$B$17),0))</f>
        <v/>
      </c>
      <c r="AY113" s="90" t="str">
        <f aca="false">IF(AT113="","",ROUND(AT113*(1-Справочники!$B$18),0))</f>
        <v/>
      </c>
      <c r="AZ113" s="90" t="str">
        <f aca="false">IF(AT113="","",ROUND(AT113*(1-Справочники!$B$19),0))</f>
        <v/>
      </c>
      <c r="BA113" s="81"/>
      <c r="BB113" s="81"/>
      <c r="BC113" s="81"/>
      <c r="BD113" s="81"/>
      <c r="BE113" s="91"/>
      <c r="BF113" s="81" t="s">
        <v>103</v>
      </c>
      <c r="BG113" s="89" t="n">
        <f aca="false" t="array" ref="BG113:BG113">IF(BF113="","",IFERROR(INDEX(Справочники!$B$4:$B$7,MATCH(BF113,Справочники!$A$4:$A$7,0)),""))</f>
        <v>68.5</v>
      </c>
      <c r="BH113" s="90" t="str">
        <f aca="false">IF(N(BN113)&gt;0,ROUND(SUMIF(ЗАКАЗЫ!$F$3:$F$500,$A113,ЗАКАЗЫ!$Y$3:$Y$500)/BN113,0),IF(OR(BE113="",BG113=""),"",ROUND(BE113*BG113*(1+Справочники!$B$10),0)))</f>
        <v/>
      </c>
      <c r="BI113" s="92" t="str">
        <f aca="false">IF(OR(AU113="",BH113="",AU113=0),"",(AU113-BH113)/AU113)</f>
        <v/>
      </c>
      <c r="BJ113" s="81"/>
      <c r="BK113" s="83"/>
      <c r="BL113" s="43" t="str">
        <f aca="false">IFERROR(INDEX(ЗАКАЗЫ!$N$3:$N$500,MATCH($A113,ЗАКАЗЫ!$F$3:$F$500,0)),"")</f>
        <v/>
      </c>
      <c r="BM113" s="8" t="str">
        <f aca="false">IF(BL113="","",IFERROR(VLOOKUP(BL113,'ТН ВЭД'!$A$4:$C$40,3,0),""))</f>
        <v/>
      </c>
      <c r="BN113" s="7" t="str">
        <f aca="false">IF(COUNTIF(ЗАКАЗЫ!$F$3:$F$500,$A113)=0,"",SUMIF(ЗАКАЗЫ!$F$3:$F$500,$A113,ЗАКАЗЫ!$J$3:$J$500))</f>
        <v/>
      </c>
      <c r="BO113" s="7" t="str">
        <f aca="false">IF(BN113="","",SUMIF(ЗАКАЗЫ!$F$3:$F$500,$A113,ЗАКАЗЫ!$AL$3:$AL$500))</f>
        <v/>
      </c>
      <c r="BP113" s="7" t="str">
        <f aca="false">IF(BN113="","",BN113-BO113)</f>
        <v/>
      </c>
      <c r="BQ113" s="55" t="str">
        <f aca="false">IF(BN113="","",IF(BO113&gt;=BN113,"На складе",IF(BO113&gt;0,"Частично","Ждём")))</f>
        <v/>
      </c>
      <c r="BR113" s="43"/>
      <c r="BS113" s="47" t="str">
        <f aca="false">IF(BN113="","",IF(_xlfn.MAXIFS(ЗАКАЗЫ!$AK$3:$AK$500,ЗАКАЗЫ!$F$3:$F$500,$A113)=0,"",_xlfn.MAXIFS(ЗАКАЗЫ!$AK$3:$AK$500,ЗАКАЗЫ!$F$3:$F$500,$A113)))</f>
        <v/>
      </c>
    </row>
    <row r="114" customFormat="false" ht="15.75" hidden="false" customHeight="true" outlineLevel="0" collapsed="false">
      <c r="A114" s="80" t="s">
        <v>2308</v>
      </c>
      <c r="B114" s="81"/>
      <c r="C114" s="81"/>
      <c r="D114" s="81"/>
      <c r="E114" s="83"/>
      <c r="F114" s="81"/>
      <c r="G114" s="83"/>
      <c r="H114" s="83"/>
      <c r="I114" s="84" t="str">
        <f aca="false">IF(E114="","",A114&amp;"_1.jpg")</f>
        <v/>
      </c>
      <c r="J114" s="84" t="str">
        <f aca="false">IF(E114="","",A114&amp;"_2.jpg; "&amp;A114&amp;"_3.jpg")</f>
        <v/>
      </c>
      <c r="K114" s="84" t="str">
        <f aca="false">IF(E114="","",A114&amp;"_schema.jpg")</f>
        <v/>
      </c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 t="s">
        <v>96</v>
      </c>
      <c r="W114" s="81"/>
      <c r="X114" s="81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6" t="str">
        <f aca="false">IF(SUM(Y114:AJ114)=0,"",SUM(Y114:AJ114))</f>
        <v/>
      </c>
      <c r="AL114" s="84" t="str">
        <f aca="false">MID(IF(N(Y114)&gt;0,", "&amp;Y$2,"")&amp;IF(N(Z114)&gt;0,", "&amp;Z$2,"")&amp;IF(N(AA114)&gt;0,", "&amp;AA$2,"")&amp;IF(N(AB114)&gt;0,", "&amp;AB$2,"")&amp;IF(N(AC114)&gt;0,", "&amp;AC$2,"")&amp;IF(N(AD114)&gt;0,", "&amp;AD$2,"")&amp;IF(N(AE114)&gt;0,", "&amp;AE$2,"")&amp;IF(N(AF114)&gt;0,", "&amp;AF$2,"")&amp;IF(N(AG114)&gt;0,", "&amp;AG$2,"")&amp;IF(N(AH114)&gt;0,", "&amp;AH$2,"")&amp;IF(N(AI114)&gt;0,", "&amp;AI$2,"")&amp;IF(N(AJ114)&gt;0,", "&amp;AJ$2,""),3,999)</f>
        <v/>
      </c>
      <c r="AM114" s="87" t="str">
        <f aca="false">IF(E114="","",MID(IF(N(Y114)&gt;0,", "&amp;A114&amp;"-"&amp;Y$2,"")&amp;IF(N(Z114)&gt;0,", "&amp;A114&amp;"-"&amp;Z$2,"")&amp;IF(N(AA114)&gt;0,", "&amp;A114&amp;"-"&amp;AA$2,"")&amp;IF(N(AB114)&gt;0,", "&amp;A114&amp;"-"&amp;AB$2,"")&amp;IF(N(AC114)&gt;0,", "&amp;A114&amp;"-"&amp;AC$2,"")&amp;IF(N(AD114)&gt;0,", "&amp;A114&amp;"-"&amp;AD$2,"")&amp;IF(N(AE114)&gt;0,", "&amp;A114&amp;"-"&amp;AE$2,"")&amp;IF(N(AF114)&gt;0,", "&amp;A114&amp;"-"&amp;AF$2,"")&amp;IF(N(AG114)&gt;0,", "&amp;A114&amp;"-"&amp;AG$2,"")&amp;IF(N(AH114)&gt;0,", "&amp;A114&amp;"-"&amp;AH$2,"")&amp;IF(N(AI114)&gt;0,", "&amp;A114&amp;"-"&amp;AI$2,"")&amp;IF(N(AJ114)&gt;0,", "&amp;A114&amp;"-"&amp;AJ$2,""),3,999))</f>
        <v/>
      </c>
      <c r="AN114" s="81"/>
      <c r="AO114" s="88"/>
      <c r="AP114" s="89" t="str">
        <f aca="false">IF(AO114="","",ROUND(AO114/(1+Справочники!$B$13),2))</f>
        <v/>
      </c>
      <c r="AQ114" s="90" t="str">
        <f aca="false" t="array" ref="AQ114:AQ114">IF(AP114="","",AP114*INDEX(Справочники!$B$4:$B$7,MATCH("RUB",Справочники!$A$4:$A$7,0)))</f>
        <v/>
      </c>
      <c r="AR114" s="90" t="str">
        <f aca="false">IF(AQ114="","",ROUND(AQ114*(1+Справочники!$B$12),0))</f>
        <v/>
      </c>
      <c r="AS114" s="90" t="str">
        <f aca="false">IF(AR114="","",ROUND(AR114*(1-Справочники!$B$11),0))</f>
        <v/>
      </c>
      <c r="AT114" s="88"/>
      <c r="AU114" s="90" t="str">
        <f aca="false">IF(AT114="","",ROUND(AT114/(1+Справочники!$B$12),0))</f>
        <v/>
      </c>
      <c r="AV114" s="90" t="str">
        <f aca="false">IF(AT114="","",ROUND(AT114*(1-Справочники!$B$15),0))</f>
        <v/>
      </c>
      <c r="AW114" s="90" t="str">
        <f aca="false">IF(AT114="","",ROUND(AT114*(1-Справочники!$B$16),0))</f>
        <v/>
      </c>
      <c r="AX114" s="90" t="str">
        <f aca="false">IF(AT114="","",ROUND(AT114*(1-Справочники!$B$17),0))</f>
        <v/>
      </c>
      <c r="AY114" s="90" t="str">
        <f aca="false">IF(AT114="","",ROUND(AT114*(1-Справочники!$B$18),0))</f>
        <v/>
      </c>
      <c r="AZ114" s="90" t="str">
        <f aca="false">IF(AT114="","",ROUND(AT114*(1-Справочники!$B$19),0))</f>
        <v/>
      </c>
      <c r="BA114" s="81"/>
      <c r="BB114" s="81"/>
      <c r="BC114" s="81"/>
      <c r="BD114" s="81"/>
      <c r="BE114" s="91"/>
      <c r="BF114" s="81" t="s">
        <v>103</v>
      </c>
      <c r="BG114" s="89" t="n">
        <f aca="false" t="array" ref="BG114:BG114">IF(BF114="","",IFERROR(INDEX(Справочники!$B$4:$B$7,MATCH(BF114,Справочники!$A$4:$A$7,0)),""))</f>
        <v>68.5</v>
      </c>
      <c r="BH114" s="90" t="str">
        <f aca="false">IF(N(BN114)&gt;0,ROUND(SUMIF(ЗАКАЗЫ!$F$3:$F$500,$A114,ЗАКАЗЫ!$Y$3:$Y$500)/BN114,0),IF(OR(BE114="",BG114=""),"",ROUND(BE114*BG114*(1+Справочники!$B$10),0)))</f>
        <v/>
      </c>
      <c r="BI114" s="92" t="str">
        <f aca="false">IF(OR(AU114="",BH114="",AU114=0),"",(AU114-BH114)/AU114)</f>
        <v/>
      </c>
      <c r="BJ114" s="81"/>
      <c r="BK114" s="83"/>
      <c r="BL114" s="43" t="str">
        <f aca="false">IFERROR(INDEX(ЗАКАЗЫ!$N$3:$N$500,MATCH($A114,ЗАКАЗЫ!$F$3:$F$500,0)),"")</f>
        <v/>
      </c>
      <c r="BM114" s="8" t="str">
        <f aca="false">IF(BL114="","",IFERROR(VLOOKUP(BL114,'ТН ВЭД'!$A$4:$C$40,3,0),""))</f>
        <v/>
      </c>
      <c r="BN114" s="7" t="str">
        <f aca="false">IF(COUNTIF(ЗАКАЗЫ!$F$3:$F$500,$A114)=0,"",SUMIF(ЗАКАЗЫ!$F$3:$F$500,$A114,ЗАКАЗЫ!$J$3:$J$500))</f>
        <v/>
      </c>
      <c r="BO114" s="7" t="str">
        <f aca="false">IF(BN114="","",SUMIF(ЗАКАЗЫ!$F$3:$F$500,$A114,ЗАКАЗЫ!$AL$3:$AL$500))</f>
        <v/>
      </c>
      <c r="BP114" s="7" t="str">
        <f aca="false">IF(BN114="","",BN114-BO114)</f>
        <v/>
      </c>
      <c r="BQ114" s="55" t="str">
        <f aca="false">IF(BN114="","",IF(BO114&gt;=BN114,"На складе",IF(BO114&gt;0,"Частично","Ждём")))</f>
        <v/>
      </c>
      <c r="BR114" s="43"/>
      <c r="BS114" s="47" t="str">
        <f aca="false">IF(BN114="","",IF(_xlfn.MAXIFS(ЗАКАЗЫ!$AK$3:$AK$500,ЗАКАЗЫ!$F$3:$F$500,$A114)=0,"",_xlfn.MAXIFS(ЗАКАЗЫ!$AK$3:$AK$500,ЗАКАЗЫ!$F$3:$F$500,$A114)))</f>
        <v/>
      </c>
    </row>
    <row r="115" customFormat="false" ht="15.75" hidden="false" customHeight="true" outlineLevel="0" collapsed="false">
      <c r="A115" s="80" t="s">
        <v>2309</v>
      </c>
      <c r="B115" s="81"/>
      <c r="C115" s="81"/>
      <c r="D115" s="81"/>
      <c r="E115" s="83"/>
      <c r="F115" s="81"/>
      <c r="G115" s="83"/>
      <c r="H115" s="83"/>
      <c r="I115" s="84" t="str">
        <f aca="false">IF(E115="","",A115&amp;"_1.jpg")</f>
        <v/>
      </c>
      <c r="J115" s="84" t="str">
        <f aca="false">IF(E115="","",A115&amp;"_2.jpg; "&amp;A115&amp;"_3.jpg")</f>
        <v/>
      </c>
      <c r="K115" s="84" t="str">
        <f aca="false">IF(E115="","",A115&amp;"_schema.jpg")</f>
        <v/>
      </c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 t="s">
        <v>96</v>
      </c>
      <c r="W115" s="81"/>
      <c r="X115" s="81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6" t="str">
        <f aca="false">IF(SUM(Y115:AJ115)=0,"",SUM(Y115:AJ115))</f>
        <v/>
      </c>
      <c r="AL115" s="84" t="str">
        <f aca="false">MID(IF(N(Y115)&gt;0,", "&amp;Y$2,"")&amp;IF(N(Z115)&gt;0,", "&amp;Z$2,"")&amp;IF(N(AA115)&gt;0,", "&amp;AA$2,"")&amp;IF(N(AB115)&gt;0,", "&amp;AB$2,"")&amp;IF(N(AC115)&gt;0,", "&amp;AC$2,"")&amp;IF(N(AD115)&gt;0,", "&amp;AD$2,"")&amp;IF(N(AE115)&gt;0,", "&amp;AE$2,"")&amp;IF(N(AF115)&gt;0,", "&amp;AF$2,"")&amp;IF(N(AG115)&gt;0,", "&amp;AG$2,"")&amp;IF(N(AH115)&gt;0,", "&amp;AH$2,"")&amp;IF(N(AI115)&gt;0,", "&amp;AI$2,"")&amp;IF(N(AJ115)&gt;0,", "&amp;AJ$2,""),3,999)</f>
        <v/>
      </c>
      <c r="AM115" s="87" t="str">
        <f aca="false">IF(E115="","",MID(IF(N(Y115)&gt;0,", "&amp;A115&amp;"-"&amp;Y$2,"")&amp;IF(N(Z115)&gt;0,", "&amp;A115&amp;"-"&amp;Z$2,"")&amp;IF(N(AA115)&gt;0,", "&amp;A115&amp;"-"&amp;AA$2,"")&amp;IF(N(AB115)&gt;0,", "&amp;A115&amp;"-"&amp;AB$2,"")&amp;IF(N(AC115)&gt;0,", "&amp;A115&amp;"-"&amp;AC$2,"")&amp;IF(N(AD115)&gt;0,", "&amp;A115&amp;"-"&amp;AD$2,"")&amp;IF(N(AE115)&gt;0,", "&amp;A115&amp;"-"&amp;AE$2,"")&amp;IF(N(AF115)&gt;0,", "&amp;A115&amp;"-"&amp;AF$2,"")&amp;IF(N(AG115)&gt;0,", "&amp;A115&amp;"-"&amp;AG$2,"")&amp;IF(N(AH115)&gt;0,", "&amp;A115&amp;"-"&amp;AH$2,"")&amp;IF(N(AI115)&gt;0,", "&amp;A115&amp;"-"&amp;AI$2,"")&amp;IF(N(AJ115)&gt;0,", "&amp;A115&amp;"-"&amp;AJ$2,""),3,999))</f>
        <v/>
      </c>
      <c r="AN115" s="81"/>
      <c r="AO115" s="88"/>
      <c r="AP115" s="89" t="str">
        <f aca="false">IF(AO115="","",ROUND(AO115/(1+Справочники!$B$13),2))</f>
        <v/>
      </c>
      <c r="AQ115" s="90" t="str">
        <f aca="false" t="array" ref="AQ115:AQ115">IF(AP115="","",AP115*INDEX(Справочники!$B$4:$B$7,MATCH("RUB",Справочники!$A$4:$A$7,0)))</f>
        <v/>
      </c>
      <c r="AR115" s="90" t="str">
        <f aca="false">IF(AQ115="","",ROUND(AQ115*(1+Справочники!$B$12),0))</f>
        <v/>
      </c>
      <c r="AS115" s="90" t="str">
        <f aca="false">IF(AR115="","",ROUND(AR115*(1-Справочники!$B$11),0))</f>
        <v/>
      </c>
      <c r="AT115" s="88"/>
      <c r="AU115" s="90" t="str">
        <f aca="false">IF(AT115="","",ROUND(AT115/(1+Справочники!$B$12),0))</f>
        <v/>
      </c>
      <c r="AV115" s="90" t="str">
        <f aca="false">IF(AT115="","",ROUND(AT115*(1-Справочники!$B$15),0))</f>
        <v/>
      </c>
      <c r="AW115" s="90" t="str">
        <f aca="false">IF(AT115="","",ROUND(AT115*(1-Справочники!$B$16),0))</f>
        <v/>
      </c>
      <c r="AX115" s="90" t="str">
        <f aca="false">IF(AT115="","",ROUND(AT115*(1-Справочники!$B$17),0))</f>
        <v/>
      </c>
      <c r="AY115" s="90" t="str">
        <f aca="false">IF(AT115="","",ROUND(AT115*(1-Справочники!$B$18),0))</f>
        <v/>
      </c>
      <c r="AZ115" s="90" t="str">
        <f aca="false">IF(AT115="","",ROUND(AT115*(1-Справочники!$B$19),0))</f>
        <v/>
      </c>
      <c r="BA115" s="81"/>
      <c r="BB115" s="81"/>
      <c r="BC115" s="81"/>
      <c r="BD115" s="81"/>
      <c r="BE115" s="91"/>
      <c r="BF115" s="81" t="s">
        <v>103</v>
      </c>
      <c r="BG115" s="89" t="n">
        <f aca="false" t="array" ref="BG115:BG115">IF(BF115="","",IFERROR(INDEX(Справочники!$B$4:$B$7,MATCH(BF115,Справочники!$A$4:$A$7,0)),""))</f>
        <v>68.5</v>
      </c>
      <c r="BH115" s="90" t="str">
        <f aca="false">IF(N(BN115)&gt;0,ROUND(SUMIF(ЗАКАЗЫ!$F$3:$F$500,$A115,ЗАКАЗЫ!$Y$3:$Y$500)/BN115,0),IF(OR(BE115="",BG115=""),"",ROUND(BE115*BG115*(1+Справочники!$B$10),0)))</f>
        <v/>
      </c>
      <c r="BI115" s="92" t="str">
        <f aca="false">IF(OR(AU115="",BH115="",AU115=0),"",(AU115-BH115)/AU115)</f>
        <v/>
      </c>
      <c r="BJ115" s="81"/>
      <c r="BK115" s="83"/>
      <c r="BL115" s="43" t="str">
        <f aca="false">IFERROR(INDEX(ЗАКАЗЫ!$N$3:$N$500,MATCH($A115,ЗАКАЗЫ!$F$3:$F$500,0)),"")</f>
        <v/>
      </c>
      <c r="BM115" s="8" t="str">
        <f aca="false">IF(BL115="","",IFERROR(VLOOKUP(BL115,'ТН ВЭД'!$A$4:$C$40,3,0),""))</f>
        <v/>
      </c>
      <c r="BN115" s="7" t="str">
        <f aca="false">IF(COUNTIF(ЗАКАЗЫ!$F$3:$F$500,$A115)=0,"",SUMIF(ЗАКАЗЫ!$F$3:$F$500,$A115,ЗАКАЗЫ!$J$3:$J$500))</f>
        <v/>
      </c>
      <c r="BO115" s="7" t="str">
        <f aca="false">IF(BN115="","",SUMIF(ЗАКАЗЫ!$F$3:$F$500,$A115,ЗАКАЗЫ!$AL$3:$AL$500))</f>
        <v/>
      </c>
      <c r="BP115" s="7" t="str">
        <f aca="false">IF(BN115="","",BN115-BO115)</f>
        <v/>
      </c>
      <c r="BQ115" s="55" t="str">
        <f aca="false">IF(BN115="","",IF(BO115&gt;=BN115,"На складе",IF(BO115&gt;0,"Частично","Ждём")))</f>
        <v/>
      </c>
      <c r="BR115" s="43"/>
      <c r="BS115" s="47" t="str">
        <f aca="false">IF(BN115="","",IF(_xlfn.MAXIFS(ЗАКАЗЫ!$AK$3:$AK$500,ЗАКАЗЫ!$F$3:$F$500,$A115)=0,"",_xlfn.MAXIFS(ЗАКАЗЫ!$AK$3:$AK$500,ЗАКАЗЫ!$F$3:$F$500,$A115)))</f>
        <v/>
      </c>
    </row>
    <row r="116" customFormat="false" ht="15.75" hidden="false" customHeight="true" outlineLevel="0" collapsed="false">
      <c r="A116" s="80" t="s">
        <v>2310</v>
      </c>
      <c r="B116" s="81"/>
      <c r="C116" s="81"/>
      <c r="D116" s="81"/>
      <c r="E116" s="83"/>
      <c r="F116" s="81"/>
      <c r="G116" s="83"/>
      <c r="H116" s="83"/>
      <c r="I116" s="84" t="str">
        <f aca="false">IF(E116="","",A116&amp;"_1.jpg")</f>
        <v/>
      </c>
      <c r="J116" s="84" t="str">
        <f aca="false">IF(E116="","",A116&amp;"_2.jpg; "&amp;A116&amp;"_3.jpg")</f>
        <v/>
      </c>
      <c r="K116" s="84" t="str">
        <f aca="false">IF(E116="","",A116&amp;"_schema.jpg")</f>
        <v/>
      </c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 t="s">
        <v>96</v>
      </c>
      <c r="W116" s="81"/>
      <c r="X116" s="81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6" t="str">
        <f aca="false">IF(SUM(Y116:AJ116)=0,"",SUM(Y116:AJ116))</f>
        <v/>
      </c>
      <c r="AL116" s="84" t="str">
        <f aca="false">MID(IF(N(Y116)&gt;0,", "&amp;Y$2,"")&amp;IF(N(Z116)&gt;0,", "&amp;Z$2,"")&amp;IF(N(AA116)&gt;0,", "&amp;AA$2,"")&amp;IF(N(AB116)&gt;0,", "&amp;AB$2,"")&amp;IF(N(AC116)&gt;0,", "&amp;AC$2,"")&amp;IF(N(AD116)&gt;0,", "&amp;AD$2,"")&amp;IF(N(AE116)&gt;0,", "&amp;AE$2,"")&amp;IF(N(AF116)&gt;0,", "&amp;AF$2,"")&amp;IF(N(AG116)&gt;0,", "&amp;AG$2,"")&amp;IF(N(AH116)&gt;0,", "&amp;AH$2,"")&amp;IF(N(AI116)&gt;0,", "&amp;AI$2,"")&amp;IF(N(AJ116)&gt;0,", "&amp;AJ$2,""),3,999)</f>
        <v/>
      </c>
      <c r="AM116" s="87" t="str">
        <f aca="false">IF(E116="","",MID(IF(N(Y116)&gt;0,", "&amp;A116&amp;"-"&amp;Y$2,"")&amp;IF(N(Z116)&gt;0,", "&amp;A116&amp;"-"&amp;Z$2,"")&amp;IF(N(AA116)&gt;0,", "&amp;A116&amp;"-"&amp;AA$2,"")&amp;IF(N(AB116)&gt;0,", "&amp;A116&amp;"-"&amp;AB$2,"")&amp;IF(N(AC116)&gt;0,", "&amp;A116&amp;"-"&amp;AC$2,"")&amp;IF(N(AD116)&gt;0,", "&amp;A116&amp;"-"&amp;AD$2,"")&amp;IF(N(AE116)&gt;0,", "&amp;A116&amp;"-"&amp;AE$2,"")&amp;IF(N(AF116)&gt;0,", "&amp;A116&amp;"-"&amp;AF$2,"")&amp;IF(N(AG116)&gt;0,", "&amp;A116&amp;"-"&amp;AG$2,"")&amp;IF(N(AH116)&gt;0,", "&amp;A116&amp;"-"&amp;AH$2,"")&amp;IF(N(AI116)&gt;0,", "&amp;A116&amp;"-"&amp;AI$2,"")&amp;IF(N(AJ116)&gt;0,", "&amp;A116&amp;"-"&amp;AJ$2,""),3,999))</f>
        <v/>
      </c>
      <c r="AN116" s="81"/>
      <c r="AO116" s="88"/>
      <c r="AP116" s="89" t="str">
        <f aca="false">IF(AO116="","",ROUND(AO116/(1+Справочники!$B$13),2))</f>
        <v/>
      </c>
      <c r="AQ116" s="90" t="str">
        <f aca="false" t="array" ref="AQ116:AQ116">IF(AP116="","",AP116*INDEX(Справочники!$B$4:$B$7,MATCH("RUB",Справочники!$A$4:$A$7,0)))</f>
        <v/>
      </c>
      <c r="AR116" s="90" t="str">
        <f aca="false">IF(AQ116="","",ROUND(AQ116*(1+Справочники!$B$12),0))</f>
        <v/>
      </c>
      <c r="AS116" s="90" t="str">
        <f aca="false">IF(AR116="","",ROUND(AR116*(1-Справочники!$B$11),0))</f>
        <v/>
      </c>
      <c r="AT116" s="88"/>
      <c r="AU116" s="90" t="str">
        <f aca="false">IF(AT116="","",ROUND(AT116/(1+Справочники!$B$12),0))</f>
        <v/>
      </c>
      <c r="AV116" s="90" t="str">
        <f aca="false">IF(AT116="","",ROUND(AT116*(1-Справочники!$B$15),0))</f>
        <v/>
      </c>
      <c r="AW116" s="90" t="str">
        <f aca="false">IF(AT116="","",ROUND(AT116*(1-Справочники!$B$16),0))</f>
        <v/>
      </c>
      <c r="AX116" s="90" t="str">
        <f aca="false">IF(AT116="","",ROUND(AT116*(1-Справочники!$B$17),0))</f>
        <v/>
      </c>
      <c r="AY116" s="90" t="str">
        <f aca="false">IF(AT116="","",ROUND(AT116*(1-Справочники!$B$18),0))</f>
        <v/>
      </c>
      <c r="AZ116" s="90" t="str">
        <f aca="false">IF(AT116="","",ROUND(AT116*(1-Справочники!$B$19),0))</f>
        <v/>
      </c>
      <c r="BA116" s="81"/>
      <c r="BB116" s="81"/>
      <c r="BC116" s="81"/>
      <c r="BD116" s="81"/>
      <c r="BE116" s="91"/>
      <c r="BF116" s="81" t="s">
        <v>103</v>
      </c>
      <c r="BG116" s="89" t="n">
        <f aca="false" t="array" ref="BG116:BG116">IF(BF116="","",IFERROR(INDEX(Справочники!$B$4:$B$7,MATCH(BF116,Справочники!$A$4:$A$7,0)),""))</f>
        <v>68.5</v>
      </c>
      <c r="BH116" s="90" t="str">
        <f aca="false">IF(N(BN116)&gt;0,ROUND(SUMIF(ЗАКАЗЫ!$F$3:$F$500,$A116,ЗАКАЗЫ!$Y$3:$Y$500)/BN116,0),IF(OR(BE116="",BG116=""),"",ROUND(BE116*BG116*(1+Справочники!$B$10),0)))</f>
        <v/>
      </c>
      <c r="BI116" s="92" t="str">
        <f aca="false">IF(OR(AU116="",BH116="",AU116=0),"",(AU116-BH116)/AU116)</f>
        <v/>
      </c>
      <c r="BJ116" s="81"/>
      <c r="BK116" s="83"/>
      <c r="BL116" s="43" t="str">
        <f aca="false">IFERROR(INDEX(ЗАКАЗЫ!$N$3:$N$500,MATCH($A116,ЗАКАЗЫ!$F$3:$F$500,0)),"")</f>
        <v/>
      </c>
      <c r="BM116" s="8" t="str">
        <f aca="false">IF(BL116="","",IFERROR(VLOOKUP(BL116,'ТН ВЭД'!$A$4:$C$40,3,0),""))</f>
        <v/>
      </c>
      <c r="BN116" s="7" t="str">
        <f aca="false">IF(COUNTIF(ЗАКАЗЫ!$F$3:$F$500,$A116)=0,"",SUMIF(ЗАКАЗЫ!$F$3:$F$500,$A116,ЗАКАЗЫ!$J$3:$J$500))</f>
        <v/>
      </c>
      <c r="BO116" s="7" t="str">
        <f aca="false">IF(BN116="","",SUMIF(ЗАКАЗЫ!$F$3:$F$500,$A116,ЗАКАЗЫ!$AL$3:$AL$500))</f>
        <v/>
      </c>
      <c r="BP116" s="7" t="str">
        <f aca="false">IF(BN116="","",BN116-BO116)</f>
        <v/>
      </c>
      <c r="BQ116" s="55" t="str">
        <f aca="false">IF(BN116="","",IF(BO116&gt;=BN116,"На складе",IF(BO116&gt;0,"Частично","Ждём")))</f>
        <v/>
      </c>
      <c r="BR116" s="43"/>
      <c r="BS116" s="47" t="str">
        <f aca="false">IF(BN116="","",IF(_xlfn.MAXIFS(ЗАКАЗЫ!$AK$3:$AK$500,ЗАКАЗЫ!$F$3:$F$500,$A116)=0,"",_xlfn.MAXIFS(ЗАКАЗЫ!$AK$3:$AK$500,ЗАКАЗЫ!$F$3:$F$500,$A116)))</f>
        <v/>
      </c>
    </row>
    <row r="117" customFormat="false" ht="15.75" hidden="false" customHeight="true" outlineLevel="0" collapsed="false">
      <c r="A117" s="80" t="s">
        <v>2311</v>
      </c>
      <c r="B117" s="81"/>
      <c r="C117" s="81"/>
      <c r="D117" s="81"/>
      <c r="E117" s="83"/>
      <c r="F117" s="81"/>
      <c r="G117" s="83"/>
      <c r="H117" s="83"/>
      <c r="I117" s="84" t="str">
        <f aca="false">IF(E117="","",A117&amp;"_1.jpg")</f>
        <v/>
      </c>
      <c r="J117" s="84" t="str">
        <f aca="false">IF(E117="","",A117&amp;"_2.jpg; "&amp;A117&amp;"_3.jpg")</f>
        <v/>
      </c>
      <c r="K117" s="84" t="str">
        <f aca="false">IF(E117="","",A117&amp;"_schema.jpg")</f>
        <v/>
      </c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 t="s">
        <v>96</v>
      </c>
      <c r="W117" s="81"/>
      <c r="X117" s="81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6" t="str">
        <f aca="false">IF(SUM(Y117:AJ117)=0,"",SUM(Y117:AJ117))</f>
        <v/>
      </c>
      <c r="AL117" s="84" t="str">
        <f aca="false">MID(IF(N(Y117)&gt;0,", "&amp;Y$2,"")&amp;IF(N(Z117)&gt;0,", "&amp;Z$2,"")&amp;IF(N(AA117)&gt;0,", "&amp;AA$2,"")&amp;IF(N(AB117)&gt;0,", "&amp;AB$2,"")&amp;IF(N(AC117)&gt;0,", "&amp;AC$2,"")&amp;IF(N(AD117)&gt;0,", "&amp;AD$2,"")&amp;IF(N(AE117)&gt;0,", "&amp;AE$2,"")&amp;IF(N(AF117)&gt;0,", "&amp;AF$2,"")&amp;IF(N(AG117)&gt;0,", "&amp;AG$2,"")&amp;IF(N(AH117)&gt;0,", "&amp;AH$2,"")&amp;IF(N(AI117)&gt;0,", "&amp;AI$2,"")&amp;IF(N(AJ117)&gt;0,", "&amp;AJ$2,""),3,999)</f>
        <v/>
      </c>
      <c r="AM117" s="87" t="str">
        <f aca="false">IF(E117="","",MID(IF(N(Y117)&gt;0,", "&amp;A117&amp;"-"&amp;Y$2,"")&amp;IF(N(Z117)&gt;0,", "&amp;A117&amp;"-"&amp;Z$2,"")&amp;IF(N(AA117)&gt;0,", "&amp;A117&amp;"-"&amp;AA$2,"")&amp;IF(N(AB117)&gt;0,", "&amp;A117&amp;"-"&amp;AB$2,"")&amp;IF(N(AC117)&gt;0,", "&amp;A117&amp;"-"&amp;AC$2,"")&amp;IF(N(AD117)&gt;0,", "&amp;A117&amp;"-"&amp;AD$2,"")&amp;IF(N(AE117)&gt;0,", "&amp;A117&amp;"-"&amp;AE$2,"")&amp;IF(N(AF117)&gt;0,", "&amp;A117&amp;"-"&amp;AF$2,"")&amp;IF(N(AG117)&gt;0,", "&amp;A117&amp;"-"&amp;AG$2,"")&amp;IF(N(AH117)&gt;0,", "&amp;A117&amp;"-"&amp;AH$2,"")&amp;IF(N(AI117)&gt;0,", "&amp;A117&amp;"-"&amp;AI$2,"")&amp;IF(N(AJ117)&gt;0,", "&amp;A117&amp;"-"&amp;AJ$2,""),3,999))</f>
        <v/>
      </c>
      <c r="AN117" s="81"/>
      <c r="AO117" s="88"/>
      <c r="AP117" s="89" t="str">
        <f aca="false">IF(AO117="","",ROUND(AO117/(1+Справочники!$B$13),2))</f>
        <v/>
      </c>
      <c r="AQ117" s="90" t="str">
        <f aca="false" t="array" ref="AQ117:AQ117">IF(AP117="","",AP117*INDEX(Справочники!$B$4:$B$7,MATCH("RUB",Справочники!$A$4:$A$7,0)))</f>
        <v/>
      </c>
      <c r="AR117" s="90" t="str">
        <f aca="false">IF(AQ117="","",ROUND(AQ117*(1+Справочники!$B$12),0))</f>
        <v/>
      </c>
      <c r="AS117" s="90" t="str">
        <f aca="false">IF(AR117="","",ROUND(AR117*(1-Справочники!$B$11),0))</f>
        <v/>
      </c>
      <c r="AT117" s="88"/>
      <c r="AU117" s="90" t="str">
        <f aca="false">IF(AT117="","",ROUND(AT117/(1+Справочники!$B$12),0))</f>
        <v/>
      </c>
      <c r="AV117" s="90" t="str">
        <f aca="false">IF(AT117="","",ROUND(AT117*(1-Справочники!$B$15),0))</f>
        <v/>
      </c>
      <c r="AW117" s="90" t="str">
        <f aca="false">IF(AT117="","",ROUND(AT117*(1-Справочники!$B$16),0))</f>
        <v/>
      </c>
      <c r="AX117" s="90" t="str">
        <f aca="false">IF(AT117="","",ROUND(AT117*(1-Справочники!$B$17),0))</f>
        <v/>
      </c>
      <c r="AY117" s="90" t="str">
        <f aca="false">IF(AT117="","",ROUND(AT117*(1-Справочники!$B$18),0))</f>
        <v/>
      </c>
      <c r="AZ117" s="90" t="str">
        <f aca="false">IF(AT117="","",ROUND(AT117*(1-Справочники!$B$19),0))</f>
        <v/>
      </c>
      <c r="BA117" s="81"/>
      <c r="BB117" s="81"/>
      <c r="BC117" s="81"/>
      <c r="BD117" s="81"/>
      <c r="BE117" s="91"/>
      <c r="BF117" s="81" t="s">
        <v>103</v>
      </c>
      <c r="BG117" s="89" t="n">
        <f aca="false" t="array" ref="BG117:BG117">IF(BF117="","",IFERROR(INDEX(Справочники!$B$4:$B$7,MATCH(BF117,Справочники!$A$4:$A$7,0)),""))</f>
        <v>68.5</v>
      </c>
      <c r="BH117" s="90" t="str">
        <f aca="false">IF(N(BN117)&gt;0,ROUND(SUMIF(ЗАКАЗЫ!$F$3:$F$500,$A117,ЗАКАЗЫ!$Y$3:$Y$500)/BN117,0),IF(OR(BE117="",BG117=""),"",ROUND(BE117*BG117*(1+Справочники!$B$10),0)))</f>
        <v/>
      </c>
      <c r="BI117" s="92" t="str">
        <f aca="false">IF(OR(AU117="",BH117="",AU117=0),"",(AU117-BH117)/AU117)</f>
        <v/>
      </c>
      <c r="BJ117" s="81"/>
      <c r="BK117" s="83"/>
      <c r="BL117" s="43" t="str">
        <f aca="false">IFERROR(INDEX(ЗАКАЗЫ!$N$3:$N$500,MATCH($A117,ЗАКАЗЫ!$F$3:$F$500,0)),"")</f>
        <v/>
      </c>
      <c r="BM117" s="8" t="str">
        <f aca="false">IF(BL117="","",IFERROR(VLOOKUP(BL117,'ТН ВЭД'!$A$4:$C$40,3,0),""))</f>
        <v/>
      </c>
      <c r="BN117" s="7" t="str">
        <f aca="false">IF(COUNTIF(ЗАКАЗЫ!$F$3:$F$500,$A117)=0,"",SUMIF(ЗАКАЗЫ!$F$3:$F$500,$A117,ЗАКАЗЫ!$J$3:$J$500))</f>
        <v/>
      </c>
      <c r="BO117" s="7" t="str">
        <f aca="false">IF(BN117="","",SUMIF(ЗАКАЗЫ!$F$3:$F$500,$A117,ЗАКАЗЫ!$AL$3:$AL$500))</f>
        <v/>
      </c>
      <c r="BP117" s="7" t="str">
        <f aca="false">IF(BN117="","",BN117-BO117)</f>
        <v/>
      </c>
      <c r="BQ117" s="55" t="str">
        <f aca="false">IF(BN117="","",IF(BO117&gt;=BN117,"На складе",IF(BO117&gt;0,"Частично","Ждём")))</f>
        <v/>
      </c>
      <c r="BR117" s="43"/>
      <c r="BS117" s="47" t="str">
        <f aca="false">IF(BN117="","",IF(_xlfn.MAXIFS(ЗАКАЗЫ!$AK$3:$AK$500,ЗАКАЗЫ!$F$3:$F$500,$A117)=0,"",_xlfn.MAXIFS(ЗАКАЗЫ!$AK$3:$AK$500,ЗАКАЗЫ!$F$3:$F$500,$A117)))</f>
        <v/>
      </c>
    </row>
    <row r="118" customFormat="false" ht="15.75" hidden="false" customHeight="true" outlineLevel="0" collapsed="false">
      <c r="A118" s="80" t="s">
        <v>2312</v>
      </c>
      <c r="B118" s="81"/>
      <c r="C118" s="81"/>
      <c r="D118" s="81"/>
      <c r="E118" s="83"/>
      <c r="F118" s="81"/>
      <c r="G118" s="83"/>
      <c r="H118" s="83"/>
      <c r="I118" s="84" t="str">
        <f aca="false">IF(E118="","",A118&amp;"_1.jpg")</f>
        <v/>
      </c>
      <c r="J118" s="84" t="str">
        <f aca="false">IF(E118="","",A118&amp;"_2.jpg; "&amp;A118&amp;"_3.jpg")</f>
        <v/>
      </c>
      <c r="K118" s="84" t="str">
        <f aca="false">IF(E118="","",A118&amp;"_schema.jpg")</f>
        <v/>
      </c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 t="s">
        <v>96</v>
      </c>
      <c r="W118" s="81"/>
      <c r="X118" s="81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6" t="str">
        <f aca="false">IF(SUM(Y118:AJ118)=0,"",SUM(Y118:AJ118))</f>
        <v/>
      </c>
      <c r="AL118" s="84" t="str">
        <f aca="false">MID(IF(N(Y118)&gt;0,", "&amp;Y$2,"")&amp;IF(N(Z118)&gt;0,", "&amp;Z$2,"")&amp;IF(N(AA118)&gt;0,", "&amp;AA$2,"")&amp;IF(N(AB118)&gt;0,", "&amp;AB$2,"")&amp;IF(N(AC118)&gt;0,", "&amp;AC$2,"")&amp;IF(N(AD118)&gt;0,", "&amp;AD$2,"")&amp;IF(N(AE118)&gt;0,", "&amp;AE$2,"")&amp;IF(N(AF118)&gt;0,", "&amp;AF$2,"")&amp;IF(N(AG118)&gt;0,", "&amp;AG$2,"")&amp;IF(N(AH118)&gt;0,", "&amp;AH$2,"")&amp;IF(N(AI118)&gt;0,", "&amp;AI$2,"")&amp;IF(N(AJ118)&gt;0,", "&amp;AJ$2,""),3,999)</f>
        <v/>
      </c>
      <c r="AM118" s="87" t="str">
        <f aca="false">IF(E118="","",MID(IF(N(Y118)&gt;0,", "&amp;A118&amp;"-"&amp;Y$2,"")&amp;IF(N(Z118)&gt;0,", "&amp;A118&amp;"-"&amp;Z$2,"")&amp;IF(N(AA118)&gt;0,", "&amp;A118&amp;"-"&amp;AA$2,"")&amp;IF(N(AB118)&gt;0,", "&amp;A118&amp;"-"&amp;AB$2,"")&amp;IF(N(AC118)&gt;0,", "&amp;A118&amp;"-"&amp;AC$2,"")&amp;IF(N(AD118)&gt;0,", "&amp;A118&amp;"-"&amp;AD$2,"")&amp;IF(N(AE118)&gt;0,", "&amp;A118&amp;"-"&amp;AE$2,"")&amp;IF(N(AF118)&gt;0,", "&amp;A118&amp;"-"&amp;AF$2,"")&amp;IF(N(AG118)&gt;0,", "&amp;A118&amp;"-"&amp;AG$2,"")&amp;IF(N(AH118)&gt;0,", "&amp;A118&amp;"-"&amp;AH$2,"")&amp;IF(N(AI118)&gt;0,", "&amp;A118&amp;"-"&amp;AI$2,"")&amp;IF(N(AJ118)&gt;0,", "&amp;A118&amp;"-"&amp;AJ$2,""),3,999))</f>
        <v/>
      </c>
      <c r="AN118" s="81"/>
      <c r="AO118" s="88"/>
      <c r="AP118" s="89" t="str">
        <f aca="false">IF(AO118="","",ROUND(AO118/(1+Справочники!$B$13),2))</f>
        <v/>
      </c>
      <c r="AQ118" s="90" t="str">
        <f aca="false" t="array" ref="AQ118:AQ118">IF(AP118="","",AP118*INDEX(Справочники!$B$4:$B$7,MATCH("RUB",Справочники!$A$4:$A$7,0)))</f>
        <v/>
      </c>
      <c r="AR118" s="90" t="str">
        <f aca="false">IF(AQ118="","",ROUND(AQ118*(1+Справочники!$B$12),0))</f>
        <v/>
      </c>
      <c r="AS118" s="90" t="str">
        <f aca="false">IF(AR118="","",ROUND(AR118*(1-Справочники!$B$11),0))</f>
        <v/>
      </c>
      <c r="AT118" s="88"/>
      <c r="AU118" s="90" t="str">
        <f aca="false">IF(AT118="","",ROUND(AT118/(1+Справочники!$B$12),0))</f>
        <v/>
      </c>
      <c r="AV118" s="90" t="str">
        <f aca="false">IF(AT118="","",ROUND(AT118*(1-Справочники!$B$15),0))</f>
        <v/>
      </c>
      <c r="AW118" s="90" t="str">
        <f aca="false">IF(AT118="","",ROUND(AT118*(1-Справочники!$B$16),0))</f>
        <v/>
      </c>
      <c r="AX118" s="90" t="str">
        <f aca="false">IF(AT118="","",ROUND(AT118*(1-Справочники!$B$17),0))</f>
        <v/>
      </c>
      <c r="AY118" s="90" t="str">
        <f aca="false">IF(AT118="","",ROUND(AT118*(1-Справочники!$B$18),0))</f>
        <v/>
      </c>
      <c r="AZ118" s="90" t="str">
        <f aca="false">IF(AT118="","",ROUND(AT118*(1-Справочники!$B$19),0))</f>
        <v/>
      </c>
      <c r="BA118" s="81"/>
      <c r="BB118" s="81"/>
      <c r="BC118" s="81"/>
      <c r="BD118" s="81"/>
      <c r="BE118" s="91"/>
      <c r="BF118" s="81" t="s">
        <v>103</v>
      </c>
      <c r="BG118" s="89" t="n">
        <f aca="false" t="array" ref="BG118:BG118">IF(BF118="","",IFERROR(INDEX(Справочники!$B$4:$B$7,MATCH(BF118,Справочники!$A$4:$A$7,0)),""))</f>
        <v>68.5</v>
      </c>
      <c r="BH118" s="90" t="str">
        <f aca="false">IF(N(BN118)&gt;0,ROUND(SUMIF(ЗАКАЗЫ!$F$3:$F$500,$A118,ЗАКАЗЫ!$Y$3:$Y$500)/BN118,0),IF(OR(BE118="",BG118=""),"",ROUND(BE118*BG118*(1+Справочники!$B$10),0)))</f>
        <v/>
      </c>
      <c r="BI118" s="92" t="str">
        <f aca="false">IF(OR(AU118="",BH118="",AU118=0),"",(AU118-BH118)/AU118)</f>
        <v/>
      </c>
      <c r="BJ118" s="81"/>
      <c r="BK118" s="83"/>
      <c r="BL118" s="43" t="str">
        <f aca="false">IFERROR(INDEX(ЗАКАЗЫ!$N$3:$N$500,MATCH($A118,ЗАКАЗЫ!$F$3:$F$500,0)),"")</f>
        <v/>
      </c>
      <c r="BM118" s="8" t="str">
        <f aca="false">IF(BL118="","",IFERROR(VLOOKUP(BL118,'ТН ВЭД'!$A$4:$C$40,3,0),""))</f>
        <v/>
      </c>
      <c r="BN118" s="7" t="str">
        <f aca="false">IF(COUNTIF(ЗАКАЗЫ!$F$3:$F$500,$A118)=0,"",SUMIF(ЗАКАЗЫ!$F$3:$F$500,$A118,ЗАКАЗЫ!$J$3:$J$500))</f>
        <v/>
      </c>
      <c r="BO118" s="7" t="str">
        <f aca="false">IF(BN118="","",SUMIF(ЗАКАЗЫ!$F$3:$F$500,$A118,ЗАКАЗЫ!$AL$3:$AL$500))</f>
        <v/>
      </c>
      <c r="BP118" s="7" t="str">
        <f aca="false">IF(BN118="","",BN118-BO118)</f>
        <v/>
      </c>
      <c r="BQ118" s="55" t="str">
        <f aca="false">IF(BN118="","",IF(BO118&gt;=BN118,"На складе",IF(BO118&gt;0,"Частично","Ждём")))</f>
        <v/>
      </c>
      <c r="BR118" s="43"/>
      <c r="BS118" s="47" t="str">
        <f aca="false">IF(BN118="","",IF(_xlfn.MAXIFS(ЗАКАЗЫ!$AK$3:$AK$500,ЗАКАЗЫ!$F$3:$F$500,$A118)=0,"",_xlfn.MAXIFS(ЗАКАЗЫ!$AK$3:$AK$500,ЗАКАЗЫ!$F$3:$F$500,$A118)))</f>
        <v/>
      </c>
    </row>
    <row r="119" customFormat="false" ht="15.75" hidden="false" customHeight="true" outlineLevel="0" collapsed="false">
      <c r="A119" s="80" t="s">
        <v>2313</v>
      </c>
      <c r="B119" s="81"/>
      <c r="C119" s="81"/>
      <c r="D119" s="81"/>
      <c r="E119" s="83"/>
      <c r="F119" s="81"/>
      <c r="G119" s="83"/>
      <c r="H119" s="83"/>
      <c r="I119" s="84" t="str">
        <f aca="false">IF(E119="","",A119&amp;"_1.jpg")</f>
        <v/>
      </c>
      <c r="J119" s="84" t="str">
        <f aca="false">IF(E119="","",A119&amp;"_2.jpg; "&amp;A119&amp;"_3.jpg")</f>
        <v/>
      </c>
      <c r="K119" s="84" t="str">
        <f aca="false">IF(E119="","",A119&amp;"_schema.jpg")</f>
        <v/>
      </c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 t="s">
        <v>96</v>
      </c>
      <c r="W119" s="81"/>
      <c r="X119" s="81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6" t="str">
        <f aca="false">IF(SUM(Y119:AJ119)=0,"",SUM(Y119:AJ119))</f>
        <v/>
      </c>
      <c r="AL119" s="84" t="str">
        <f aca="false">MID(IF(N(Y119)&gt;0,", "&amp;Y$2,"")&amp;IF(N(Z119)&gt;0,", "&amp;Z$2,"")&amp;IF(N(AA119)&gt;0,", "&amp;AA$2,"")&amp;IF(N(AB119)&gt;0,", "&amp;AB$2,"")&amp;IF(N(AC119)&gt;0,", "&amp;AC$2,"")&amp;IF(N(AD119)&gt;0,", "&amp;AD$2,"")&amp;IF(N(AE119)&gt;0,", "&amp;AE$2,"")&amp;IF(N(AF119)&gt;0,", "&amp;AF$2,"")&amp;IF(N(AG119)&gt;0,", "&amp;AG$2,"")&amp;IF(N(AH119)&gt;0,", "&amp;AH$2,"")&amp;IF(N(AI119)&gt;0,", "&amp;AI$2,"")&amp;IF(N(AJ119)&gt;0,", "&amp;AJ$2,""),3,999)</f>
        <v/>
      </c>
      <c r="AM119" s="87" t="str">
        <f aca="false">IF(E119="","",MID(IF(N(Y119)&gt;0,", "&amp;A119&amp;"-"&amp;Y$2,"")&amp;IF(N(Z119)&gt;0,", "&amp;A119&amp;"-"&amp;Z$2,"")&amp;IF(N(AA119)&gt;0,", "&amp;A119&amp;"-"&amp;AA$2,"")&amp;IF(N(AB119)&gt;0,", "&amp;A119&amp;"-"&amp;AB$2,"")&amp;IF(N(AC119)&gt;0,", "&amp;A119&amp;"-"&amp;AC$2,"")&amp;IF(N(AD119)&gt;0,", "&amp;A119&amp;"-"&amp;AD$2,"")&amp;IF(N(AE119)&gt;0,", "&amp;A119&amp;"-"&amp;AE$2,"")&amp;IF(N(AF119)&gt;0,", "&amp;A119&amp;"-"&amp;AF$2,"")&amp;IF(N(AG119)&gt;0,", "&amp;A119&amp;"-"&amp;AG$2,"")&amp;IF(N(AH119)&gt;0,", "&amp;A119&amp;"-"&amp;AH$2,"")&amp;IF(N(AI119)&gt;0,", "&amp;A119&amp;"-"&amp;AI$2,"")&amp;IF(N(AJ119)&gt;0,", "&amp;A119&amp;"-"&amp;AJ$2,""),3,999))</f>
        <v/>
      </c>
      <c r="AN119" s="81"/>
      <c r="AO119" s="88"/>
      <c r="AP119" s="89" t="str">
        <f aca="false">IF(AO119="","",ROUND(AO119/(1+Справочники!$B$13),2))</f>
        <v/>
      </c>
      <c r="AQ119" s="90" t="str">
        <f aca="false" t="array" ref="AQ119:AQ119">IF(AP119="","",AP119*INDEX(Справочники!$B$4:$B$7,MATCH("RUB",Справочники!$A$4:$A$7,0)))</f>
        <v/>
      </c>
      <c r="AR119" s="90" t="str">
        <f aca="false">IF(AQ119="","",ROUND(AQ119*(1+Справочники!$B$12),0))</f>
        <v/>
      </c>
      <c r="AS119" s="90" t="str">
        <f aca="false">IF(AR119="","",ROUND(AR119*(1-Справочники!$B$11),0))</f>
        <v/>
      </c>
      <c r="AT119" s="88"/>
      <c r="AU119" s="90" t="str">
        <f aca="false">IF(AT119="","",ROUND(AT119/(1+Справочники!$B$12),0))</f>
        <v/>
      </c>
      <c r="AV119" s="90" t="str">
        <f aca="false">IF(AT119="","",ROUND(AT119*(1-Справочники!$B$15),0))</f>
        <v/>
      </c>
      <c r="AW119" s="90" t="str">
        <f aca="false">IF(AT119="","",ROUND(AT119*(1-Справочники!$B$16),0))</f>
        <v/>
      </c>
      <c r="AX119" s="90" t="str">
        <f aca="false">IF(AT119="","",ROUND(AT119*(1-Справочники!$B$17),0))</f>
        <v/>
      </c>
      <c r="AY119" s="90" t="str">
        <f aca="false">IF(AT119="","",ROUND(AT119*(1-Справочники!$B$18),0))</f>
        <v/>
      </c>
      <c r="AZ119" s="90" t="str">
        <f aca="false">IF(AT119="","",ROUND(AT119*(1-Справочники!$B$19),0))</f>
        <v/>
      </c>
      <c r="BA119" s="81"/>
      <c r="BB119" s="81"/>
      <c r="BC119" s="81"/>
      <c r="BD119" s="81"/>
      <c r="BE119" s="91"/>
      <c r="BF119" s="81" t="s">
        <v>103</v>
      </c>
      <c r="BG119" s="89" t="n">
        <f aca="false" t="array" ref="BG119:BG119">IF(BF119="","",IFERROR(INDEX(Справочники!$B$4:$B$7,MATCH(BF119,Справочники!$A$4:$A$7,0)),""))</f>
        <v>68.5</v>
      </c>
      <c r="BH119" s="90" t="str">
        <f aca="false">IF(N(BN119)&gt;0,ROUND(SUMIF(ЗАКАЗЫ!$F$3:$F$500,$A119,ЗАКАЗЫ!$Y$3:$Y$500)/BN119,0),IF(OR(BE119="",BG119=""),"",ROUND(BE119*BG119*(1+Справочники!$B$10),0)))</f>
        <v/>
      </c>
      <c r="BI119" s="92" t="str">
        <f aca="false">IF(OR(AU119="",BH119="",AU119=0),"",(AU119-BH119)/AU119)</f>
        <v/>
      </c>
      <c r="BJ119" s="81"/>
      <c r="BK119" s="83"/>
      <c r="BL119" s="43" t="str">
        <f aca="false">IFERROR(INDEX(ЗАКАЗЫ!$N$3:$N$500,MATCH($A119,ЗАКАЗЫ!$F$3:$F$500,0)),"")</f>
        <v/>
      </c>
      <c r="BM119" s="8" t="str">
        <f aca="false">IF(BL119="","",IFERROR(VLOOKUP(BL119,'ТН ВЭД'!$A$4:$C$40,3,0),""))</f>
        <v/>
      </c>
      <c r="BN119" s="7" t="str">
        <f aca="false">IF(COUNTIF(ЗАКАЗЫ!$F$3:$F$500,$A119)=0,"",SUMIF(ЗАКАЗЫ!$F$3:$F$500,$A119,ЗАКАЗЫ!$J$3:$J$500))</f>
        <v/>
      </c>
      <c r="BO119" s="7" t="str">
        <f aca="false">IF(BN119="","",SUMIF(ЗАКАЗЫ!$F$3:$F$500,$A119,ЗАКАЗЫ!$AL$3:$AL$500))</f>
        <v/>
      </c>
      <c r="BP119" s="7" t="str">
        <f aca="false">IF(BN119="","",BN119-BO119)</f>
        <v/>
      </c>
      <c r="BQ119" s="55" t="str">
        <f aca="false">IF(BN119="","",IF(BO119&gt;=BN119,"На складе",IF(BO119&gt;0,"Частично","Ждём")))</f>
        <v/>
      </c>
      <c r="BR119" s="43"/>
      <c r="BS119" s="47" t="str">
        <f aca="false">IF(BN119="","",IF(_xlfn.MAXIFS(ЗАКАЗЫ!$AK$3:$AK$500,ЗАКАЗЫ!$F$3:$F$500,$A119)=0,"",_xlfn.MAXIFS(ЗАКАЗЫ!$AK$3:$AK$500,ЗАКАЗЫ!$F$3:$F$500,$A119)))</f>
        <v/>
      </c>
    </row>
    <row r="120" customFormat="false" ht="15.75" hidden="false" customHeight="true" outlineLevel="0" collapsed="false">
      <c r="A120" s="80" t="s">
        <v>2314</v>
      </c>
      <c r="B120" s="81"/>
      <c r="C120" s="81"/>
      <c r="D120" s="81"/>
      <c r="E120" s="83"/>
      <c r="F120" s="81"/>
      <c r="G120" s="83"/>
      <c r="H120" s="83"/>
      <c r="I120" s="84" t="str">
        <f aca="false">IF(E120="","",A120&amp;"_1.jpg")</f>
        <v/>
      </c>
      <c r="J120" s="84" t="str">
        <f aca="false">IF(E120="","",A120&amp;"_2.jpg; "&amp;A120&amp;"_3.jpg")</f>
        <v/>
      </c>
      <c r="K120" s="84" t="str">
        <f aca="false">IF(E120="","",A120&amp;"_schema.jpg")</f>
        <v/>
      </c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 t="s">
        <v>96</v>
      </c>
      <c r="W120" s="81"/>
      <c r="X120" s="81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6" t="str">
        <f aca="false">IF(SUM(Y120:AJ120)=0,"",SUM(Y120:AJ120))</f>
        <v/>
      </c>
      <c r="AL120" s="84" t="str">
        <f aca="false">MID(IF(N(Y120)&gt;0,", "&amp;Y$2,"")&amp;IF(N(Z120)&gt;0,", "&amp;Z$2,"")&amp;IF(N(AA120)&gt;0,", "&amp;AA$2,"")&amp;IF(N(AB120)&gt;0,", "&amp;AB$2,"")&amp;IF(N(AC120)&gt;0,", "&amp;AC$2,"")&amp;IF(N(AD120)&gt;0,", "&amp;AD$2,"")&amp;IF(N(AE120)&gt;0,", "&amp;AE$2,"")&amp;IF(N(AF120)&gt;0,", "&amp;AF$2,"")&amp;IF(N(AG120)&gt;0,", "&amp;AG$2,"")&amp;IF(N(AH120)&gt;0,", "&amp;AH$2,"")&amp;IF(N(AI120)&gt;0,", "&amp;AI$2,"")&amp;IF(N(AJ120)&gt;0,", "&amp;AJ$2,""),3,999)</f>
        <v/>
      </c>
      <c r="AM120" s="87" t="str">
        <f aca="false">IF(E120="","",MID(IF(N(Y120)&gt;0,", "&amp;A120&amp;"-"&amp;Y$2,"")&amp;IF(N(Z120)&gt;0,", "&amp;A120&amp;"-"&amp;Z$2,"")&amp;IF(N(AA120)&gt;0,", "&amp;A120&amp;"-"&amp;AA$2,"")&amp;IF(N(AB120)&gt;0,", "&amp;A120&amp;"-"&amp;AB$2,"")&amp;IF(N(AC120)&gt;0,", "&amp;A120&amp;"-"&amp;AC$2,"")&amp;IF(N(AD120)&gt;0,", "&amp;A120&amp;"-"&amp;AD$2,"")&amp;IF(N(AE120)&gt;0,", "&amp;A120&amp;"-"&amp;AE$2,"")&amp;IF(N(AF120)&gt;0,", "&amp;A120&amp;"-"&amp;AF$2,"")&amp;IF(N(AG120)&gt;0,", "&amp;A120&amp;"-"&amp;AG$2,"")&amp;IF(N(AH120)&gt;0,", "&amp;A120&amp;"-"&amp;AH$2,"")&amp;IF(N(AI120)&gt;0,", "&amp;A120&amp;"-"&amp;AI$2,"")&amp;IF(N(AJ120)&gt;0,", "&amp;A120&amp;"-"&amp;AJ$2,""),3,999))</f>
        <v/>
      </c>
      <c r="AN120" s="81"/>
      <c r="AO120" s="88"/>
      <c r="AP120" s="89" t="str">
        <f aca="false">IF(AO120="","",ROUND(AO120/(1+Справочники!$B$13),2))</f>
        <v/>
      </c>
      <c r="AQ120" s="90" t="str">
        <f aca="false" t="array" ref="AQ120:AQ120">IF(AP120="","",AP120*INDEX(Справочники!$B$4:$B$7,MATCH("RUB",Справочники!$A$4:$A$7,0)))</f>
        <v/>
      </c>
      <c r="AR120" s="90" t="str">
        <f aca="false">IF(AQ120="","",ROUND(AQ120*(1+Справочники!$B$12),0))</f>
        <v/>
      </c>
      <c r="AS120" s="90" t="str">
        <f aca="false">IF(AR120="","",ROUND(AR120*(1-Справочники!$B$11),0))</f>
        <v/>
      </c>
      <c r="AT120" s="88"/>
      <c r="AU120" s="90" t="str">
        <f aca="false">IF(AT120="","",ROUND(AT120/(1+Справочники!$B$12),0))</f>
        <v/>
      </c>
      <c r="AV120" s="90" t="str">
        <f aca="false">IF(AT120="","",ROUND(AT120*(1-Справочники!$B$15),0))</f>
        <v/>
      </c>
      <c r="AW120" s="90" t="str">
        <f aca="false">IF(AT120="","",ROUND(AT120*(1-Справочники!$B$16),0))</f>
        <v/>
      </c>
      <c r="AX120" s="90" t="str">
        <f aca="false">IF(AT120="","",ROUND(AT120*(1-Справочники!$B$17),0))</f>
        <v/>
      </c>
      <c r="AY120" s="90" t="str">
        <f aca="false">IF(AT120="","",ROUND(AT120*(1-Справочники!$B$18),0))</f>
        <v/>
      </c>
      <c r="AZ120" s="90" t="str">
        <f aca="false">IF(AT120="","",ROUND(AT120*(1-Справочники!$B$19),0))</f>
        <v/>
      </c>
      <c r="BA120" s="81"/>
      <c r="BB120" s="81"/>
      <c r="BC120" s="81"/>
      <c r="BD120" s="81"/>
      <c r="BE120" s="91"/>
      <c r="BF120" s="81" t="s">
        <v>103</v>
      </c>
      <c r="BG120" s="89" t="n">
        <f aca="false" t="array" ref="BG120:BG120">IF(BF120="","",IFERROR(INDEX(Справочники!$B$4:$B$7,MATCH(BF120,Справочники!$A$4:$A$7,0)),""))</f>
        <v>68.5</v>
      </c>
      <c r="BH120" s="90" t="str">
        <f aca="false">IF(N(BN120)&gt;0,ROUND(SUMIF(ЗАКАЗЫ!$F$3:$F$500,$A120,ЗАКАЗЫ!$Y$3:$Y$500)/BN120,0),IF(OR(BE120="",BG120=""),"",ROUND(BE120*BG120*(1+Справочники!$B$10),0)))</f>
        <v/>
      </c>
      <c r="BI120" s="92" t="str">
        <f aca="false">IF(OR(AU120="",BH120="",AU120=0),"",(AU120-BH120)/AU120)</f>
        <v/>
      </c>
      <c r="BJ120" s="81"/>
      <c r="BK120" s="83"/>
      <c r="BL120" s="43" t="str">
        <f aca="false">IFERROR(INDEX(ЗАКАЗЫ!$N$3:$N$500,MATCH($A120,ЗАКАЗЫ!$F$3:$F$500,0)),"")</f>
        <v/>
      </c>
      <c r="BM120" s="8" t="str">
        <f aca="false">IF(BL120="","",IFERROR(VLOOKUP(BL120,'ТН ВЭД'!$A$4:$C$40,3,0),""))</f>
        <v/>
      </c>
      <c r="BN120" s="7" t="str">
        <f aca="false">IF(COUNTIF(ЗАКАЗЫ!$F$3:$F$500,$A120)=0,"",SUMIF(ЗАКАЗЫ!$F$3:$F$500,$A120,ЗАКАЗЫ!$J$3:$J$500))</f>
        <v/>
      </c>
      <c r="BO120" s="7" t="str">
        <f aca="false">IF(BN120="","",SUMIF(ЗАКАЗЫ!$F$3:$F$500,$A120,ЗАКАЗЫ!$AL$3:$AL$500))</f>
        <v/>
      </c>
      <c r="BP120" s="7" t="str">
        <f aca="false">IF(BN120="","",BN120-BO120)</f>
        <v/>
      </c>
      <c r="BQ120" s="55" t="str">
        <f aca="false">IF(BN120="","",IF(BO120&gt;=BN120,"На складе",IF(BO120&gt;0,"Частично","Ждём")))</f>
        <v/>
      </c>
      <c r="BR120" s="43"/>
      <c r="BS120" s="47" t="str">
        <f aca="false">IF(BN120="","",IF(_xlfn.MAXIFS(ЗАКАЗЫ!$AK$3:$AK$500,ЗАКАЗЫ!$F$3:$F$500,$A120)=0,"",_xlfn.MAXIFS(ЗАКАЗЫ!$AK$3:$AK$500,ЗАКАЗЫ!$F$3:$F$500,$A120)))</f>
        <v/>
      </c>
    </row>
    <row r="121" customFormat="false" ht="15.75" hidden="false" customHeight="true" outlineLevel="0" collapsed="false">
      <c r="A121" s="80" t="s">
        <v>2315</v>
      </c>
      <c r="B121" s="81"/>
      <c r="C121" s="81"/>
      <c r="D121" s="81"/>
      <c r="E121" s="83"/>
      <c r="F121" s="81"/>
      <c r="G121" s="83"/>
      <c r="H121" s="83"/>
      <c r="I121" s="84" t="str">
        <f aca="false">IF(E121="","",A121&amp;"_1.jpg")</f>
        <v/>
      </c>
      <c r="J121" s="84" t="str">
        <f aca="false">IF(E121="","",A121&amp;"_2.jpg; "&amp;A121&amp;"_3.jpg")</f>
        <v/>
      </c>
      <c r="K121" s="84" t="str">
        <f aca="false">IF(E121="","",A121&amp;"_schema.jpg")</f>
        <v/>
      </c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 t="s">
        <v>96</v>
      </c>
      <c r="W121" s="81"/>
      <c r="X121" s="81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6" t="str">
        <f aca="false">IF(SUM(Y121:AJ121)=0,"",SUM(Y121:AJ121))</f>
        <v/>
      </c>
      <c r="AL121" s="84" t="str">
        <f aca="false">MID(IF(N(Y121)&gt;0,", "&amp;Y$2,"")&amp;IF(N(Z121)&gt;0,", "&amp;Z$2,"")&amp;IF(N(AA121)&gt;0,", "&amp;AA$2,"")&amp;IF(N(AB121)&gt;0,", "&amp;AB$2,"")&amp;IF(N(AC121)&gt;0,", "&amp;AC$2,"")&amp;IF(N(AD121)&gt;0,", "&amp;AD$2,"")&amp;IF(N(AE121)&gt;0,", "&amp;AE$2,"")&amp;IF(N(AF121)&gt;0,", "&amp;AF$2,"")&amp;IF(N(AG121)&gt;0,", "&amp;AG$2,"")&amp;IF(N(AH121)&gt;0,", "&amp;AH$2,"")&amp;IF(N(AI121)&gt;0,", "&amp;AI$2,"")&amp;IF(N(AJ121)&gt;0,", "&amp;AJ$2,""),3,999)</f>
        <v/>
      </c>
      <c r="AM121" s="87" t="str">
        <f aca="false">IF(E121="","",MID(IF(N(Y121)&gt;0,", "&amp;A121&amp;"-"&amp;Y$2,"")&amp;IF(N(Z121)&gt;0,", "&amp;A121&amp;"-"&amp;Z$2,"")&amp;IF(N(AA121)&gt;0,", "&amp;A121&amp;"-"&amp;AA$2,"")&amp;IF(N(AB121)&gt;0,", "&amp;A121&amp;"-"&amp;AB$2,"")&amp;IF(N(AC121)&gt;0,", "&amp;A121&amp;"-"&amp;AC$2,"")&amp;IF(N(AD121)&gt;0,", "&amp;A121&amp;"-"&amp;AD$2,"")&amp;IF(N(AE121)&gt;0,", "&amp;A121&amp;"-"&amp;AE$2,"")&amp;IF(N(AF121)&gt;0,", "&amp;A121&amp;"-"&amp;AF$2,"")&amp;IF(N(AG121)&gt;0,", "&amp;A121&amp;"-"&amp;AG$2,"")&amp;IF(N(AH121)&gt;0,", "&amp;A121&amp;"-"&amp;AH$2,"")&amp;IF(N(AI121)&gt;0,", "&amp;A121&amp;"-"&amp;AI$2,"")&amp;IF(N(AJ121)&gt;0,", "&amp;A121&amp;"-"&amp;AJ$2,""),3,999))</f>
        <v/>
      </c>
      <c r="AN121" s="81"/>
      <c r="AO121" s="88"/>
      <c r="AP121" s="89" t="str">
        <f aca="false">IF(AO121="","",ROUND(AO121/(1+Справочники!$B$13),2))</f>
        <v/>
      </c>
      <c r="AQ121" s="90" t="str">
        <f aca="false" t="array" ref="AQ121:AQ121">IF(AP121="","",AP121*INDEX(Справочники!$B$4:$B$7,MATCH("RUB",Справочники!$A$4:$A$7,0)))</f>
        <v/>
      </c>
      <c r="AR121" s="90" t="str">
        <f aca="false">IF(AQ121="","",ROUND(AQ121*(1+Справочники!$B$12),0))</f>
        <v/>
      </c>
      <c r="AS121" s="90" t="str">
        <f aca="false">IF(AR121="","",ROUND(AR121*(1-Справочники!$B$11),0))</f>
        <v/>
      </c>
      <c r="AT121" s="88"/>
      <c r="AU121" s="90" t="str">
        <f aca="false">IF(AT121="","",ROUND(AT121/(1+Справочники!$B$12),0))</f>
        <v/>
      </c>
      <c r="AV121" s="90" t="str">
        <f aca="false">IF(AT121="","",ROUND(AT121*(1-Справочники!$B$15),0))</f>
        <v/>
      </c>
      <c r="AW121" s="90" t="str">
        <f aca="false">IF(AT121="","",ROUND(AT121*(1-Справочники!$B$16),0))</f>
        <v/>
      </c>
      <c r="AX121" s="90" t="str">
        <f aca="false">IF(AT121="","",ROUND(AT121*(1-Справочники!$B$17),0))</f>
        <v/>
      </c>
      <c r="AY121" s="90" t="str">
        <f aca="false">IF(AT121="","",ROUND(AT121*(1-Справочники!$B$18),0))</f>
        <v/>
      </c>
      <c r="AZ121" s="90" t="str">
        <f aca="false">IF(AT121="","",ROUND(AT121*(1-Справочники!$B$19),0))</f>
        <v/>
      </c>
      <c r="BA121" s="81"/>
      <c r="BB121" s="81"/>
      <c r="BC121" s="81"/>
      <c r="BD121" s="81"/>
      <c r="BE121" s="91"/>
      <c r="BF121" s="81" t="s">
        <v>103</v>
      </c>
      <c r="BG121" s="89" t="n">
        <f aca="false" t="array" ref="BG121:BG121">IF(BF121="","",IFERROR(INDEX(Справочники!$B$4:$B$7,MATCH(BF121,Справочники!$A$4:$A$7,0)),""))</f>
        <v>68.5</v>
      </c>
      <c r="BH121" s="90" t="str">
        <f aca="false">IF(N(BN121)&gt;0,ROUND(SUMIF(ЗАКАЗЫ!$F$3:$F$500,$A121,ЗАКАЗЫ!$Y$3:$Y$500)/BN121,0),IF(OR(BE121="",BG121=""),"",ROUND(BE121*BG121*(1+Справочники!$B$10),0)))</f>
        <v/>
      </c>
      <c r="BI121" s="92" t="str">
        <f aca="false">IF(OR(AU121="",BH121="",AU121=0),"",(AU121-BH121)/AU121)</f>
        <v/>
      </c>
      <c r="BJ121" s="81"/>
      <c r="BK121" s="83"/>
      <c r="BL121" s="43" t="str">
        <f aca="false">IFERROR(INDEX(ЗАКАЗЫ!$N$3:$N$500,MATCH($A121,ЗАКАЗЫ!$F$3:$F$500,0)),"")</f>
        <v/>
      </c>
      <c r="BM121" s="8" t="str">
        <f aca="false">IF(BL121="","",IFERROR(VLOOKUP(BL121,'ТН ВЭД'!$A$4:$C$40,3,0),""))</f>
        <v/>
      </c>
      <c r="BN121" s="7" t="str">
        <f aca="false">IF(COUNTIF(ЗАКАЗЫ!$F$3:$F$500,$A121)=0,"",SUMIF(ЗАКАЗЫ!$F$3:$F$500,$A121,ЗАКАЗЫ!$J$3:$J$500))</f>
        <v/>
      </c>
      <c r="BO121" s="7" t="str">
        <f aca="false">IF(BN121="","",SUMIF(ЗАКАЗЫ!$F$3:$F$500,$A121,ЗАКАЗЫ!$AL$3:$AL$500))</f>
        <v/>
      </c>
      <c r="BP121" s="7" t="str">
        <f aca="false">IF(BN121="","",BN121-BO121)</f>
        <v/>
      </c>
      <c r="BQ121" s="55" t="str">
        <f aca="false">IF(BN121="","",IF(BO121&gt;=BN121,"На складе",IF(BO121&gt;0,"Частично","Ждём")))</f>
        <v/>
      </c>
      <c r="BR121" s="43"/>
      <c r="BS121" s="47" t="str">
        <f aca="false">IF(BN121="","",IF(_xlfn.MAXIFS(ЗАКАЗЫ!$AK$3:$AK$500,ЗАКАЗЫ!$F$3:$F$500,$A121)=0,"",_xlfn.MAXIFS(ЗАКАЗЫ!$AK$3:$AK$500,ЗАКАЗЫ!$F$3:$F$500,$A121)))</f>
        <v/>
      </c>
    </row>
    <row r="122" customFormat="false" ht="15.75" hidden="false" customHeight="true" outlineLevel="0" collapsed="false">
      <c r="A122" s="80" t="s">
        <v>2316</v>
      </c>
      <c r="B122" s="81"/>
      <c r="C122" s="81"/>
      <c r="D122" s="81"/>
      <c r="E122" s="83"/>
      <c r="F122" s="81"/>
      <c r="G122" s="83"/>
      <c r="H122" s="83"/>
      <c r="I122" s="84" t="str">
        <f aca="false">IF(E122="","",A122&amp;"_1.jpg")</f>
        <v/>
      </c>
      <c r="J122" s="84" t="str">
        <f aca="false">IF(E122="","",A122&amp;"_2.jpg; "&amp;A122&amp;"_3.jpg")</f>
        <v/>
      </c>
      <c r="K122" s="84" t="str">
        <f aca="false">IF(E122="","",A122&amp;"_schema.jpg")</f>
        <v/>
      </c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 t="s">
        <v>96</v>
      </c>
      <c r="W122" s="81"/>
      <c r="X122" s="81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6" t="str">
        <f aca="false">IF(SUM(Y122:AJ122)=0,"",SUM(Y122:AJ122))</f>
        <v/>
      </c>
      <c r="AL122" s="84" t="str">
        <f aca="false">MID(IF(N(Y122)&gt;0,", "&amp;Y$2,"")&amp;IF(N(Z122)&gt;0,", "&amp;Z$2,"")&amp;IF(N(AA122)&gt;0,", "&amp;AA$2,"")&amp;IF(N(AB122)&gt;0,", "&amp;AB$2,"")&amp;IF(N(AC122)&gt;0,", "&amp;AC$2,"")&amp;IF(N(AD122)&gt;0,", "&amp;AD$2,"")&amp;IF(N(AE122)&gt;0,", "&amp;AE$2,"")&amp;IF(N(AF122)&gt;0,", "&amp;AF$2,"")&amp;IF(N(AG122)&gt;0,", "&amp;AG$2,"")&amp;IF(N(AH122)&gt;0,", "&amp;AH$2,"")&amp;IF(N(AI122)&gt;0,", "&amp;AI$2,"")&amp;IF(N(AJ122)&gt;0,", "&amp;AJ$2,""),3,999)</f>
        <v/>
      </c>
      <c r="AM122" s="87" t="str">
        <f aca="false">IF(E122="","",MID(IF(N(Y122)&gt;0,", "&amp;A122&amp;"-"&amp;Y$2,"")&amp;IF(N(Z122)&gt;0,", "&amp;A122&amp;"-"&amp;Z$2,"")&amp;IF(N(AA122)&gt;0,", "&amp;A122&amp;"-"&amp;AA$2,"")&amp;IF(N(AB122)&gt;0,", "&amp;A122&amp;"-"&amp;AB$2,"")&amp;IF(N(AC122)&gt;0,", "&amp;A122&amp;"-"&amp;AC$2,"")&amp;IF(N(AD122)&gt;0,", "&amp;A122&amp;"-"&amp;AD$2,"")&amp;IF(N(AE122)&gt;0,", "&amp;A122&amp;"-"&amp;AE$2,"")&amp;IF(N(AF122)&gt;0,", "&amp;A122&amp;"-"&amp;AF$2,"")&amp;IF(N(AG122)&gt;0,", "&amp;A122&amp;"-"&amp;AG$2,"")&amp;IF(N(AH122)&gt;0,", "&amp;A122&amp;"-"&amp;AH$2,"")&amp;IF(N(AI122)&gt;0,", "&amp;A122&amp;"-"&amp;AI$2,"")&amp;IF(N(AJ122)&gt;0,", "&amp;A122&amp;"-"&amp;AJ$2,""),3,999))</f>
        <v/>
      </c>
      <c r="AN122" s="81"/>
      <c r="AO122" s="88"/>
      <c r="AP122" s="89" t="str">
        <f aca="false">IF(AO122="","",ROUND(AO122/(1+Справочники!$B$13),2))</f>
        <v/>
      </c>
      <c r="AQ122" s="90" t="str">
        <f aca="false" t="array" ref="AQ122:AQ122">IF(AP122="","",AP122*INDEX(Справочники!$B$4:$B$7,MATCH("RUB",Справочники!$A$4:$A$7,0)))</f>
        <v/>
      </c>
      <c r="AR122" s="90" t="str">
        <f aca="false">IF(AQ122="","",ROUND(AQ122*(1+Справочники!$B$12),0))</f>
        <v/>
      </c>
      <c r="AS122" s="90" t="str">
        <f aca="false">IF(AR122="","",ROUND(AR122*(1-Справочники!$B$11),0))</f>
        <v/>
      </c>
      <c r="AT122" s="88"/>
      <c r="AU122" s="90" t="str">
        <f aca="false">IF(AT122="","",ROUND(AT122/(1+Справочники!$B$12),0))</f>
        <v/>
      </c>
      <c r="AV122" s="90" t="str">
        <f aca="false">IF(AT122="","",ROUND(AT122*(1-Справочники!$B$15),0))</f>
        <v/>
      </c>
      <c r="AW122" s="90" t="str">
        <f aca="false">IF(AT122="","",ROUND(AT122*(1-Справочники!$B$16),0))</f>
        <v/>
      </c>
      <c r="AX122" s="90" t="str">
        <f aca="false">IF(AT122="","",ROUND(AT122*(1-Справочники!$B$17),0))</f>
        <v/>
      </c>
      <c r="AY122" s="90" t="str">
        <f aca="false">IF(AT122="","",ROUND(AT122*(1-Справочники!$B$18),0))</f>
        <v/>
      </c>
      <c r="AZ122" s="90" t="str">
        <f aca="false">IF(AT122="","",ROUND(AT122*(1-Справочники!$B$19),0))</f>
        <v/>
      </c>
      <c r="BA122" s="81"/>
      <c r="BB122" s="81"/>
      <c r="BC122" s="81"/>
      <c r="BD122" s="81"/>
      <c r="BE122" s="91"/>
      <c r="BF122" s="81" t="s">
        <v>103</v>
      </c>
      <c r="BG122" s="89" t="n">
        <f aca="false" t="array" ref="BG122:BG122">IF(BF122="","",IFERROR(INDEX(Справочники!$B$4:$B$7,MATCH(BF122,Справочники!$A$4:$A$7,0)),""))</f>
        <v>68.5</v>
      </c>
      <c r="BH122" s="90" t="str">
        <f aca="false">IF(N(BN122)&gt;0,ROUND(SUMIF(ЗАКАЗЫ!$F$3:$F$500,$A122,ЗАКАЗЫ!$Y$3:$Y$500)/BN122,0),IF(OR(BE122="",BG122=""),"",ROUND(BE122*BG122*(1+Справочники!$B$10),0)))</f>
        <v/>
      </c>
      <c r="BI122" s="92" t="str">
        <f aca="false">IF(OR(AU122="",BH122="",AU122=0),"",(AU122-BH122)/AU122)</f>
        <v/>
      </c>
      <c r="BJ122" s="81"/>
      <c r="BK122" s="83"/>
      <c r="BL122" s="43" t="str">
        <f aca="false">IFERROR(INDEX(ЗАКАЗЫ!$N$3:$N$500,MATCH($A122,ЗАКАЗЫ!$F$3:$F$500,0)),"")</f>
        <v/>
      </c>
      <c r="BM122" s="8" t="str">
        <f aca="false">IF(BL122="","",IFERROR(VLOOKUP(BL122,'ТН ВЭД'!$A$4:$C$40,3,0),""))</f>
        <v/>
      </c>
      <c r="BN122" s="7" t="str">
        <f aca="false">IF(COUNTIF(ЗАКАЗЫ!$F$3:$F$500,$A122)=0,"",SUMIF(ЗАКАЗЫ!$F$3:$F$500,$A122,ЗАКАЗЫ!$J$3:$J$500))</f>
        <v/>
      </c>
      <c r="BO122" s="7" t="str">
        <f aca="false">IF(BN122="","",SUMIF(ЗАКАЗЫ!$F$3:$F$500,$A122,ЗАКАЗЫ!$AL$3:$AL$500))</f>
        <v/>
      </c>
      <c r="BP122" s="7" t="str">
        <f aca="false">IF(BN122="","",BN122-BO122)</f>
        <v/>
      </c>
      <c r="BQ122" s="55" t="str">
        <f aca="false">IF(BN122="","",IF(BO122&gt;=BN122,"На складе",IF(BO122&gt;0,"Частично","Ждём")))</f>
        <v/>
      </c>
      <c r="BR122" s="43"/>
      <c r="BS122" s="47" t="str">
        <f aca="false">IF(BN122="","",IF(_xlfn.MAXIFS(ЗАКАЗЫ!$AK$3:$AK$500,ЗАКАЗЫ!$F$3:$F$500,$A122)=0,"",_xlfn.MAXIFS(ЗАКАЗЫ!$AK$3:$AK$500,ЗАКАЗЫ!$F$3:$F$500,$A122)))</f>
        <v/>
      </c>
    </row>
    <row r="123" customFormat="false" ht="15.75" hidden="false" customHeight="true" outlineLevel="0" collapsed="false">
      <c r="A123" s="80" t="s">
        <v>2317</v>
      </c>
      <c r="B123" s="81"/>
      <c r="C123" s="81"/>
      <c r="D123" s="81"/>
      <c r="E123" s="83"/>
      <c r="F123" s="81"/>
      <c r="G123" s="83"/>
      <c r="H123" s="83"/>
      <c r="I123" s="84" t="str">
        <f aca="false">IF(E123="","",A123&amp;"_1.jpg")</f>
        <v/>
      </c>
      <c r="J123" s="84" t="str">
        <f aca="false">IF(E123="","",A123&amp;"_2.jpg; "&amp;A123&amp;"_3.jpg")</f>
        <v/>
      </c>
      <c r="K123" s="84" t="str">
        <f aca="false">IF(E123="","",A123&amp;"_schema.jpg")</f>
        <v/>
      </c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 t="s">
        <v>96</v>
      </c>
      <c r="W123" s="81"/>
      <c r="X123" s="81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6" t="str">
        <f aca="false">IF(SUM(Y123:AJ123)=0,"",SUM(Y123:AJ123))</f>
        <v/>
      </c>
      <c r="AL123" s="84" t="str">
        <f aca="false">MID(IF(N(Y123)&gt;0,", "&amp;Y$2,"")&amp;IF(N(Z123)&gt;0,", "&amp;Z$2,"")&amp;IF(N(AA123)&gt;0,", "&amp;AA$2,"")&amp;IF(N(AB123)&gt;0,", "&amp;AB$2,"")&amp;IF(N(AC123)&gt;0,", "&amp;AC$2,"")&amp;IF(N(AD123)&gt;0,", "&amp;AD$2,"")&amp;IF(N(AE123)&gt;0,", "&amp;AE$2,"")&amp;IF(N(AF123)&gt;0,", "&amp;AF$2,"")&amp;IF(N(AG123)&gt;0,", "&amp;AG$2,"")&amp;IF(N(AH123)&gt;0,", "&amp;AH$2,"")&amp;IF(N(AI123)&gt;0,", "&amp;AI$2,"")&amp;IF(N(AJ123)&gt;0,", "&amp;AJ$2,""),3,999)</f>
        <v/>
      </c>
      <c r="AM123" s="87" t="str">
        <f aca="false">IF(E123="","",MID(IF(N(Y123)&gt;0,", "&amp;A123&amp;"-"&amp;Y$2,"")&amp;IF(N(Z123)&gt;0,", "&amp;A123&amp;"-"&amp;Z$2,"")&amp;IF(N(AA123)&gt;0,", "&amp;A123&amp;"-"&amp;AA$2,"")&amp;IF(N(AB123)&gt;0,", "&amp;A123&amp;"-"&amp;AB$2,"")&amp;IF(N(AC123)&gt;0,", "&amp;A123&amp;"-"&amp;AC$2,"")&amp;IF(N(AD123)&gt;0,", "&amp;A123&amp;"-"&amp;AD$2,"")&amp;IF(N(AE123)&gt;0,", "&amp;A123&amp;"-"&amp;AE$2,"")&amp;IF(N(AF123)&gt;0,", "&amp;A123&amp;"-"&amp;AF$2,"")&amp;IF(N(AG123)&gt;0,", "&amp;A123&amp;"-"&amp;AG$2,"")&amp;IF(N(AH123)&gt;0,", "&amp;A123&amp;"-"&amp;AH$2,"")&amp;IF(N(AI123)&gt;0,", "&amp;A123&amp;"-"&amp;AI$2,"")&amp;IF(N(AJ123)&gt;0,", "&amp;A123&amp;"-"&amp;AJ$2,""),3,999))</f>
        <v/>
      </c>
      <c r="AN123" s="81"/>
      <c r="AO123" s="88"/>
      <c r="AP123" s="89" t="str">
        <f aca="false">IF(AO123="","",ROUND(AO123/(1+Справочники!$B$13),2))</f>
        <v/>
      </c>
      <c r="AQ123" s="90" t="str">
        <f aca="false" t="array" ref="AQ123:AQ123">IF(AP123="","",AP123*INDEX(Справочники!$B$4:$B$7,MATCH("RUB",Справочники!$A$4:$A$7,0)))</f>
        <v/>
      </c>
      <c r="AR123" s="90" t="str">
        <f aca="false">IF(AQ123="","",ROUND(AQ123*(1+Справочники!$B$12),0))</f>
        <v/>
      </c>
      <c r="AS123" s="90" t="str">
        <f aca="false">IF(AR123="","",ROUND(AR123*(1-Справочники!$B$11),0))</f>
        <v/>
      </c>
      <c r="AT123" s="88"/>
      <c r="AU123" s="90" t="str">
        <f aca="false">IF(AT123="","",ROUND(AT123/(1+Справочники!$B$12),0))</f>
        <v/>
      </c>
      <c r="AV123" s="90" t="str">
        <f aca="false">IF(AT123="","",ROUND(AT123*(1-Справочники!$B$15),0))</f>
        <v/>
      </c>
      <c r="AW123" s="90" t="str">
        <f aca="false">IF(AT123="","",ROUND(AT123*(1-Справочники!$B$16),0))</f>
        <v/>
      </c>
      <c r="AX123" s="90" t="str">
        <f aca="false">IF(AT123="","",ROUND(AT123*(1-Справочники!$B$17),0))</f>
        <v/>
      </c>
      <c r="AY123" s="90" t="str">
        <f aca="false">IF(AT123="","",ROUND(AT123*(1-Справочники!$B$18),0))</f>
        <v/>
      </c>
      <c r="AZ123" s="90" t="str">
        <f aca="false">IF(AT123="","",ROUND(AT123*(1-Справочники!$B$19),0))</f>
        <v/>
      </c>
      <c r="BA123" s="81"/>
      <c r="BB123" s="81"/>
      <c r="BC123" s="81"/>
      <c r="BD123" s="81"/>
      <c r="BE123" s="91"/>
      <c r="BF123" s="81" t="s">
        <v>103</v>
      </c>
      <c r="BG123" s="89" t="n">
        <f aca="false" t="array" ref="BG123:BG123">IF(BF123="","",IFERROR(INDEX(Справочники!$B$4:$B$7,MATCH(BF123,Справочники!$A$4:$A$7,0)),""))</f>
        <v>68.5</v>
      </c>
      <c r="BH123" s="90" t="str">
        <f aca="false">IF(N(BN123)&gt;0,ROUND(SUMIF(ЗАКАЗЫ!$F$3:$F$500,$A123,ЗАКАЗЫ!$Y$3:$Y$500)/BN123,0),IF(OR(BE123="",BG123=""),"",ROUND(BE123*BG123*(1+Справочники!$B$10),0)))</f>
        <v/>
      </c>
      <c r="BI123" s="92" t="str">
        <f aca="false">IF(OR(AU123="",BH123="",AU123=0),"",(AU123-BH123)/AU123)</f>
        <v/>
      </c>
      <c r="BJ123" s="81"/>
      <c r="BK123" s="83"/>
      <c r="BL123" s="43" t="str">
        <f aca="false">IFERROR(INDEX(ЗАКАЗЫ!$N$3:$N$500,MATCH($A123,ЗАКАЗЫ!$F$3:$F$500,0)),"")</f>
        <v/>
      </c>
      <c r="BM123" s="8" t="str">
        <f aca="false">IF(BL123="","",IFERROR(VLOOKUP(BL123,'ТН ВЭД'!$A$4:$C$40,3,0),""))</f>
        <v/>
      </c>
      <c r="BN123" s="7" t="str">
        <f aca="false">IF(COUNTIF(ЗАКАЗЫ!$F$3:$F$500,$A123)=0,"",SUMIF(ЗАКАЗЫ!$F$3:$F$500,$A123,ЗАКАЗЫ!$J$3:$J$500))</f>
        <v/>
      </c>
      <c r="BO123" s="7" t="str">
        <f aca="false">IF(BN123="","",SUMIF(ЗАКАЗЫ!$F$3:$F$500,$A123,ЗАКАЗЫ!$AL$3:$AL$500))</f>
        <v/>
      </c>
      <c r="BP123" s="7" t="str">
        <f aca="false">IF(BN123="","",BN123-BO123)</f>
        <v/>
      </c>
      <c r="BQ123" s="55" t="str">
        <f aca="false">IF(BN123="","",IF(BO123&gt;=BN123,"На складе",IF(BO123&gt;0,"Частично","Ждём")))</f>
        <v/>
      </c>
      <c r="BR123" s="43"/>
      <c r="BS123" s="47" t="str">
        <f aca="false">IF(BN123="","",IF(_xlfn.MAXIFS(ЗАКАЗЫ!$AK$3:$AK$500,ЗАКАЗЫ!$F$3:$F$500,$A123)=0,"",_xlfn.MAXIFS(ЗАКАЗЫ!$AK$3:$AK$500,ЗАКАЗЫ!$F$3:$F$500,$A123)))</f>
        <v/>
      </c>
    </row>
    <row r="124" customFormat="false" ht="15.75" hidden="false" customHeight="true" outlineLevel="0" collapsed="false">
      <c r="A124" s="80" t="s">
        <v>2318</v>
      </c>
      <c r="B124" s="81"/>
      <c r="C124" s="81"/>
      <c r="D124" s="81"/>
      <c r="E124" s="83"/>
      <c r="F124" s="81"/>
      <c r="G124" s="83"/>
      <c r="H124" s="83"/>
      <c r="I124" s="84" t="str">
        <f aca="false">IF(E124="","",A124&amp;"_1.jpg")</f>
        <v/>
      </c>
      <c r="J124" s="84" t="str">
        <f aca="false">IF(E124="","",A124&amp;"_2.jpg; "&amp;A124&amp;"_3.jpg")</f>
        <v/>
      </c>
      <c r="K124" s="84" t="str">
        <f aca="false">IF(E124="","",A124&amp;"_schema.jpg")</f>
        <v/>
      </c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 t="s">
        <v>96</v>
      </c>
      <c r="W124" s="81"/>
      <c r="X124" s="81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6" t="str">
        <f aca="false">IF(SUM(Y124:AJ124)=0,"",SUM(Y124:AJ124))</f>
        <v/>
      </c>
      <c r="AL124" s="84" t="str">
        <f aca="false">MID(IF(N(Y124)&gt;0,", "&amp;Y$2,"")&amp;IF(N(Z124)&gt;0,", "&amp;Z$2,"")&amp;IF(N(AA124)&gt;0,", "&amp;AA$2,"")&amp;IF(N(AB124)&gt;0,", "&amp;AB$2,"")&amp;IF(N(AC124)&gt;0,", "&amp;AC$2,"")&amp;IF(N(AD124)&gt;0,", "&amp;AD$2,"")&amp;IF(N(AE124)&gt;0,", "&amp;AE$2,"")&amp;IF(N(AF124)&gt;0,", "&amp;AF$2,"")&amp;IF(N(AG124)&gt;0,", "&amp;AG$2,"")&amp;IF(N(AH124)&gt;0,", "&amp;AH$2,"")&amp;IF(N(AI124)&gt;0,", "&amp;AI$2,"")&amp;IF(N(AJ124)&gt;0,", "&amp;AJ$2,""),3,999)</f>
        <v/>
      </c>
      <c r="AM124" s="87" t="str">
        <f aca="false">IF(E124="","",MID(IF(N(Y124)&gt;0,", "&amp;A124&amp;"-"&amp;Y$2,"")&amp;IF(N(Z124)&gt;0,", "&amp;A124&amp;"-"&amp;Z$2,"")&amp;IF(N(AA124)&gt;0,", "&amp;A124&amp;"-"&amp;AA$2,"")&amp;IF(N(AB124)&gt;0,", "&amp;A124&amp;"-"&amp;AB$2,"")&amp;IF(N(AC124)&gt;0,", "&amp;A124&amp;"-"&amp;AC$2,"")&amp;IF(N(AD124)&gt;0,", "&amp;A124&amp;"-"&amp;AD$2,"")&amp;IF(N(AE124)&gt;0,", "&amp;A124&amp;"-"&amp;AE$2,"")&amp;IF(N(AF124)&gt;0,", "&amp;A124&amp;"-"&amp;AF$2,"")&amp;IF(N(AG124)&gt;0,", "&amp;A124&amp;"-"&amp;AG$2,"")&amp;IF(N(AH124)&gt;0,", "&amp;A124&amp;"-"&amp;AH$2,"")&amp;IF(N(AI124)&gt;0,", "&amp;A124&amp;"-"&amp;AI$2,"")&amp;IF(N(AJ124)&gt;0,", "&amp;A124&amp;"-"&amp;AJ$2,""),3,999))</f>
        <v/>
      </c>
      <c r="AN124" s="81"/>
      <c r="AO124" s="88"/>
      <c r="AP124" s="89" t="str">
        <f aca="false">IF(AO124="","",ROUND(AO124/(1+Справочники!$B$13),2))</f>
        <v/>
      </c>
      <c r="AQ124" s="90" t="str">
        <f aca="false" t="array" ref="AQ124:AQ124">IF(AP124="","",AP124*INDEX(Справочники!$B$4:$B$7,MATCH("RUB",Справочники!$A$4:$A$7,0)))</f>
        <v/>
      </c>
      <c r="AR124" s="90" t="str">
        <f aca="false">IF(AQ124="","",ROUND(AQ124*(1+Справочники!$B$12),0))</f>
        <v/>
      </c>
      <c r="AS124" s="90" t="str">
        <f aca="false">IF(AR124="","",ROUND(AR124*(1-Справочники!$B$11),0))</f>
        <v/>
      </c>
      <c r="AT124" s="88"/>
      <c r="AU124" s="90" t="str">
        <f aca="false">IF(AT124="","",ROUND(AT124/(1+Справочники!$B$12),0))</f>
        <v/>
      </c>
      <c r="AV124" s="90" t="str">
        <f aca="false">IF(AT124="","",ROUND(AT124*(1-Справочники!$B$15),0))</f>
        <v/>
      </c>
      <c r="AW124" s="90" t="str">
        <f aca="false">IF(AT124="","",ROUND(AT124*(1-Справочники!$B$16),0))</f>
        <v/>
      </c>
      <c r="AX124" s="90" t="str">
        <f aca="false">IF(AT124="","",ROUND(AT124*(1-Справочники!$B$17),0))</f>
        <v/>
      </c>
      <c r="AY124" s="90" t="str">
        <f aca="false">IF(AT124="","",ROUND(AT124*(1-Справочники!$B$18),0))</f>
        <v/>
      </c>
      <c r="AZ124" s="90" t="str">
        <f aca="false">IF(AT124="","",ROUND(AT124*(1-Справочники!$B$19),0))</f>
        <v/>
      </c>
      <c r="BA124" s="81"/>
      <c r="BB124" s="81"/>
      <c r="BC124" s="81"/>
      <c r="BD124" s="81"/>
      <c r="BE124" s="91"/>
      <c r="BF124" s="81" t="s">
        <v>103</v>
      </c>
      <c r="BG124" s="89" t="n">
        <f aca="false" t="array" ref="BG124:BG124">IF(BF124="","",IFERROR(INDEX(Справочники!$B$4:$B$7,MATCH(BF124,Справочники!$A$4:$A$7,0)),""))</f>
        <v>68.5</v>
      </c>
      <c r="BH124" s="90" t="str">
        <f aca="false">IF(N(BN124)&gt;0,ROUND(SUMIF(ЗАКАЗЫ!$F$3:$F$500,$A124,ЗАКАЗЫ!$Y$3:$Y$500)/BN124,0),IF(OR(BE124="",BG124=""),"",ROUND(BE124*BG124*(1+Справочники!$B$10),0)))</f>
        <v/>
      </c>
      <c r="BI124" s="92" t="str">
        <f aca="false">IF(OR(AU124="",BH124="",AU124=0),"",(AU124-BH124)/AU124)</f>
        <v/>
      </c>
      <c r="BJ124" s="81"/>
      <c r="BK124" s="83"/>
      <c r="BL124" s="43" t="str">
        <f aca="false">IFERROR(INDEX(ЗАКАЗЫ!$N$3:$N$500,MATCH($A124,ЗАКАЗЫ!$F$3:$F$500,0)),"")</f>
        <v/>
      </c>
      <c r="BM124" s="8" t="str">
        <f aca="false">IF(BL124="","",IFERROR(VLOOKUP(BL124,'ТН ВЭД'!$A$4:$C$40,3,0),""))</f>
        <v/>
      </c>
      <c r="BN124" s="7" t="str">
        <f aca="false">IF(COUNTIF(ЗАКАЗЫ!$F$3:$F$500,$A124)=0,"",SUMIF(ЗАКАЗЫ!$F$3:$F$500,$A124,ЗАКАЗЫ!$J$3:$J$500))</f>
        <v/>
      </c>
      <c r="BO124" s="7" t="str">
        <f aca="false">IF(BN124="","",SUMIF(ЗАКАЗЫ!$F$3:$F$500,$A124,ЗАКАЗЫ!$AL$3:$AL$500))</f>
        <v/>
      </c>
      <c r="BP124" s="7" t="str">
        <f aca="false">IF(BN124="","",BN124-BO124)</f>
        <v/>
      </c>
      <c r="BQ124" s="55" t="str">
        <f aca="false">IF(BN124="","",IF(BO124&gt;=BN124,"На складе",IF(BO124&gt;0,"Частично","Ждём")))</f>
        <v/>
      </c>
      <c r="BR124" s="43"/>
      <c r="BS124" s="47" t="str">
        <f aca="false">IF(BN124="","",IF(_xlfn.MAXIFS(ЗАКАЗЫ!$AK$3:$AK$500,ЗАКАЗЫ!$F$3:$F$500,$A124)=0,"",_xlfn.MAXIFS(ЗАКАЗЫ!$AK$3:$AK$500,ЗАКАЗЫ!$F$3:$F$500,$A124)))</f>
        <v/>
      </c>
    </row>
    <row r="125" customFormat="false" ht="15.75" hidden="false" customHeight="true" outlineLevel="0" collapsed="false">
      <c r="A125" s="80" t="s">
        <v>2319</v>
      </c>
      <c r="B125" s="81"/>
      <c r="C125" s="81"/>
      <c r="D125" s="81"/>
      <c r="E125" s="83"/>
      <c r="F125" s="81"/>
      <c r="G125" s="83"/>
      <c r="H125" s="83"/>
      <c r="I125" s="84" t="str">
        <f aca="false">IF(E125="","",A125&amp;"_1.jpg")</f>
        <v/>
      </c>
      <c r="J125" s="84" t="str">
        <f aca="false">IF(E125="","",A125&amp;"_2.jpg; "&amp;A125&amp;"_3.jpg")</f>
        <v/>
      </c>
      <c r="K125" s="84" t="str">
        <f aca="false">IF(E125="","",A125&amp;"_schema.jpg")</f>
        <v/>
      </c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 t="s">
        <v>96</v>
      </c>
      <c r="W125" s="81"/>
      <c r="X125" s="81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6" t="str">
        <f aca="false">IF(SUM(Y125:AJ125)=0,"",SUM(Y125:AJ125))</f>
        <v/>
      </c>
      <c r="AL125" s="84" t="str">
        <f aca="false">MID(IF(N(Y125)&gt;0,", "&amp;Y$2,"")&amp;IF(N(Z125)&gt;0,", "&amp;Z$2,"")&amp;IF(N(AA125)&gt;0,", "&amp;AA$2,"")&amp;IF(N(AB125)&gt;0,", "&amp;AB$2,"")&amp;IF(N(AC125)&gt;0,", "&amp;AC$2,"")&amp;IF(N(AD125)&gt;0,", "&amp;AD$2,"")&amp;IF(N(AE125)&gt;0,", "&amp;AE$2,"")&amp;IF(N(AF125)&gt;0,", "&amp;AF$2,"")&amp;IF(N(AG125)&gt;0,", "&amp;AG$2,"")&amp;IF(N(AH125)&gt;0,", "&amp;AH$2,"")&amp;IF(N(AI125)&gt;0,", "&amp;AI$2,"")&amp;IF(N(AJ125)&gt;0,", "&amp;AJ$2,""),3,999)</f>
        <v/>
      </c>
      <c r="AM125" s="87" t="str">
        <f aca="false">IF(E125="","",MID(IF(N(Y125)&gt;0,", "&amp;A125&amp;"-"&amp;Y$2,"")&amp;IF(N(Z125)&gt;0,", "&amp;A125&amp;"-"&amp;Z$2,"")&amp;IF(N(AA125)&gt;0,", "&amp;A125&amp;"-"&amp;AA$2,"")&amp;IF(N(AB125)&gt;0,", "&amp;A125&amp;"-"&amp;AB$2,"")&amp;IF(N(AC125)&gt;0,", "&amp;A125&amp;"-"&amp;AC$2,"")&amp;IF(N(AD125)&gt;0,", "&amp;A125&amp;"-"&amp;AD$2,"")&amp;IF(N(AE125)&gt;0,", "&amp;A125&amp;"-"&amp;AE$2,"")&amp;IF(N(AF125)&gt;0,", "&amp;A125&amp;"-"&amp;AF$2,"")&amp;IF(N(AG125)&gt;0,", "&amp;A125&amp;"-"&amp;AG$2,"")&amp;IF(N(AH125)&gt;0,", "&amp;A125&amp;"-"&amp;AH$2,"")&amp;IF(N(AI125)&gt;0,", "&amp;A125&amp;"-"&amp;AI$2,"")&amp;IF(N(AJ125)&gt;0,", "&amp;A125&amp;"-"&amp;AJ$2,""),3,999))</f>
        <v/>
      </c>
      <c r="AN125" s="81"/>
      <c r="AO125" s="88"/>
      <c r="AP125" s="89" t="str">
        <f aca="false">IF(AO125="","",ROUND(AO125/(1+Справочники!$B$13),2))</f>
        <v/>
      </c>
      <c r="AQ125" s="90" t="str">
        <f aca="false" t="array" ref="AQ125:AQ125">IF(AP125="","",AP125*INDEX(Справочники!$B$4:$B$7,MATCH("RUB",Справочники!$A$4:$A$7,0)))</f>
        <v/>
      </c>
      <c r="AR125" s="90" t="str">
        <f aca="false">IF(AQ125="","",ROUND(AQ125*(1+Справочники!$B$12),0))</f>
        <v/>
      </c>
      <c r="AS125" s="90" t="str">
        <f aca="false">IF(AR125="","",ROUND(AR125*(1-Справочники!$B$11),0))</f>
        <v/>
      </c>
      <c r="AT125" s="88"/>
      <c r="AU125" s="90" t="str">
        <f aca="false">IF(AT125="","",ROUND(AT125/(1+Справочники!$B$12),0))</f>
        <v/>
      </c>
      <c r="AV125" s="90" t="str">
        <f aca="false">IF(AT125="","",ROUND(AT125*(1-Справочники!$B$15),0))</f>
        <v/>
      </c>
      <c r="AW125" s="90" t="str">
        <f aca="false">IF(AT125="","",ROUND(AT125*(1-Справочники!$B$16),0))</f>
        <v/>
      </c>
      <c r="AX125" s="90" t="str">
        <f aca="false">IF(AT125="","",ROUND(AT125*(1-Справочники!$B$17),0))</f>
        <v/>
      </c>
      <c r="AY125" s="90" t="str">
        <f aca="false">IF(AT125="","",ROUND(AT125*(1-Справочники!$B$18),0))</f>
        <v/>
      </c>
      <c r="AZ125" s="90" t="str">
        <f aca="false">IF(AT125="","",ROUND(AT125*(1-Справочники!$B$19),0))</f>
        <v/>
      </c>
      <c r="BA125" s="81"/>
      <c r="BB125" s="81"/>
      <c r="BC125" s="81"/>
      <c r="BD125" s="81"/>
      <c r="BE125" s="91"/>
      <c r="BF125" s="81" t="s">
        <v>103</v>
      </c>
      <c r="BG125" s="89" t="n">
        <f aca="false" t="array" ref="BG125:BG125">IF(BF125="","",IFERROR(INDEX(Справочники!$B$4:$B$7,MATCH(BF125,Справочники!$A$4:$A$7,0)),""))</f>
        <v>68.5</v>
      </c>
      <c r="BH125" s="90" t="str">
        <f aca="false">IF(N(BN125)&gt;0,ROUND(SUMIF(ЗАКАЗЫ!$F$3:$F$500,$A125,ЗАКАЗЫ!$Y$3:$Y$500)/BN125,0),IF(OR(BE125="",BG125=""),"",ROUND(BE125*BG125*(1+Справочники!$B$10),0)))</f>
        <v/>
      </c>
      <c r="BI125" s="92" t="str">
        <f aca="false">IF(OR(AU125="",BH125="",AU125=0),"",(AU125-BH125)/AU125)</f>
        <v/>
      </c>
      <c r="BJ125" s="81"/>
      <c r="BK125" s="83"/>
      <c r="BL125" s="43" t="str">
        <f aca="false">IFERROR(INDEX(ЗАКАЗЫ!$N$3:$N$500,MATCH($A125,ЗАКАЗЫ!$F$3:$F$500,0)),"")</f>
        <v/>
      </c>
      <c r="BM125" s="8" t="str">
        <f aca="false">IF(BL125="","",IFERROR(VLOOKUP(BL125,'ТН ВЭД'!$A$4:$C$40,3,0),""))</f>
        <v/>
      </c>
      <c r="BN125" s="7" t="str">
        <f aca="false">IF(COUNTIF(ЗАКАЗЫ!$F$3:$F$500,$A125)=0,"",SUMIF(ЗАКАЗЫ!$F$3:$F$500,$A125,ЗАКАЗЫ!$J$3:$J$500))</f>
        <v/>
      </c>
      <c r="BO125" s="7" t="str">
        <f aca="false">IF(BN125="","",SUMIF(ЗАКАЗЫ!$F$3:$F$500,$A125,ЗАКАЗЫ!$AL$3:$AL$500))</f>
        <v/>
      </c>
      <c r="BP125" s="7" t="str">
        <f aca="false">IF(BN125="","",BN125-BO125)</f>
        <v/>
      </c>
      <c r="BQ125" s="55" t="str">
        <f aca="false">IF(BN125="","",IF(BO125&gt;=BN125,"На складе",IF(BO125&gt;0,"Частично","Ждём")))</f>
        <v/>
      </c>
      <c r="BR125" s="43"/>
      <c r="BS125" s="47" t="str">
        <f aca="false">IF(BN125="","",IF(_xlfn.MAXIFS(ЗАКАЗЫ!$AK$3:$AK$500,ЗАКАЗЫ!$F$3:$F$500,$A125)=0,"",_xlfn.MAXIFS(ЗАКАЗЫ!$AK$3:$AK$500,ЗАКАЗЫ!$F$3:$F$500,$A125)))</f>
        <v/>
      </c>
    </row>
    <row r="126" customFormat="false" ht="15.75" hidden="false" customHeight="true" outlineLevel="0" collapsed="false">
      <c r="A126" s="80" t="s">
        <v>2320</v>
      </c>
      <c r="B126" s="81"/>
      <c r="C126" s="81"/>
      <c r="D126" s="81"/>
      <c r="E126" s="83"/>
      <c r="F126" s="81"/>
      <c r="G126" s="83"/>
      <c r="H126" s="83"/>
      <c r="I126" s="84" t="str">
        <f aca="false">IF(E126="","",A126&amp;"_1.jpg")</f>
        <v/>
      </c>
      <c r="J126" s="84" t="str">
        <f aca="false">IF(E126="","",A126&amp;"_2.jpg; "&amp;A126&amp;"_3.jpg")</f>
        <v/>
      </c>
      <c r="K126" s="84" t="str">
        <f aca="false">IF(E126="","",A126&amp;"_schema.jpg")</f>
        <v/>
      </c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 t="s">
        <v>96</v>
      </c>
      <c r="W126" s="81"/>
      <c r="X126" s="81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6" t="str">
        <f aca="false">IF(SUM(Y126:AJ126)=0,"",SUM(Y126:AJ126))</f>
        <v/>
      </c>
      <c r="AL126" s="84" t="str">
        <f aca="false">MID(IF(N(Y126)&gt;0,", "&amp;Y$2,"")&amp;IF(N(Z126)&gt;0,", "&amp;Z$2,"")&amp;IF(N(AA126)&gt;0,", "&amp;AA$2,"")&amp;IF(N(AB126)&gt;0,", "&amp;AB$2,"")&amp;IF(N(AC126)&gt;0,", "&amp;AC$2,"")&amp;IF(N(AD126)&gt;0,", "&amp;AD$2,"")&amp;IF(N(AE126)&gt;0,", "&amp;AE$2,"")&amp;IF(N(AF126)&gt;0,", "&amp;AF$2,"")&amp;IF(N(AG126)&gt;0,", "&amp;AG$2,"")&amp;IF(N(AH126)&gt;0,", "&amp;AH$2,"")&amp;IF(N(AI126)&gt;0,", "&amp;AI$2,"")&amp;IF(N(AJ126)&gt;0,", "&amp;AJ$2,""),3,999)</f>
        <v/>
      </c>
      <c r="AM126" s="87" t="str">
        <f aca="false">IF(E126="","",MID(IF(N(Y126)&gt;0,", "&amp;A126&amp;"-"&amp;Y$2,"")&amp;IF(N(Z126)&gt;0,", "&amp;A126&amp;"-"&amp;Z$2,"")&amp;IF(N(AA126)&gt;0,", "&amp;A126&amp;"-"&amp;AA$2,"")&amp;IF(N(AB126)&gt;0,", "&amp;A126&amp;"-"&amp;AB$2,"")&amp;IF(N(AC126)&gt;0,", "&amp;A126&amp;"-"&amp;AC$2,"")&amp;IF(N(AD126)&gt;0,", "&amp;A126&amp;"-"&amp;AD$2,"")&amp;IF(N(AE126)&gt;0,", "&amp;A126&amp;"-"&amp;AE$2,"")&amp;IF(N(AF126)&gt;0,", "&amp;A126&amp;"-"&amp;AF$2,"")&amp;IF(N(AG126)&gt;0,", "&amp;A126&amp;"-"&amp;AG$2,"")&amp;IF(N(AH126)&gt;0,", "&amp;A126&amp;"-"&amp;AH$2,"")&amp;IF(N(AI126)&gt;0,", "&amp;A126&amp;"-"&amp;AI$2,"")&amp;IF(N(AJ126)&gt;0,", "&amp;A126&amp;"-"&amp;AJ$2,""),3,999))</f>
        <v/>
      </c>
      <c r="AN126" s="81"/>
      <c r="AO126" s="88"/>
      <c r="AP126" s="89" t="str">
        <f aca="false">IF(AO126="","",ROUND(AO126/(1+Справочники!$B$13),2))</f>
        <v/>
      </c>
      <c r="AQ126" s="90" t="str">
        <f aca="false" t="array" ref="AQ126:AQ126">IF(AP126="","",AP126*INDEX(Справочники!$B$4:$B$7,MATCH("RUB",Справочники!$A$4:$A$7,0)))</f>
        <v/>
      </c>
      <c r="AR126" s="90" t="str">
        <f aca="false">IF(AQ126="","",ROUND(AQ126*(1+Справочники!$B$12),0))</f>
        <v/>
      </c>
      <c r="AS126" s="90" t="str">
        <f aca="false">IF(AR126="","",ROUND(AR126*(1-Справочники!$B$11),0))</f>
        <v/>
      </c>
      <c r="AT126" s="88"/>
      <c r="AU126" s="90" t="str">
        <f aca="false">IF(AT126="","",ROUND(AT126/(1+Справочники!$B$12),0))</f>
        <v/>
      </c>
      <c r="AV126" s="90" t="str">
        <f aca="false">IF(AT126="","",ROUND(AT126*(1-Справочники!$B$15),0))</f>
        <v/>
      </c>
      <c r="AW126" s="90" t="str">
        <f aca="false">IF(AT126="","",ROUND(AT126*(1-Справочники!$B$16),0))</f>
        <v/>
      </c>
      <c r="AX126" s="90" t="str">
        <f aca="false">IF(AT126="","",ROUND(AT126*(1-Справочники!$B$17),0))</f>
        <v/>
      </c>
      <c r="AY126" s="90" t="str">
        <f aca="false">IF(AT126="","",ROUND(AT126*(1-Справочники!$B$18),0))</f>
        <v/>
      </c>
      <c r="AZ126" s="90" t="str">
        <f aca="false">IF(AT126="","",ROUND(AT126*(1-Справочники!$B$19),0))</f>
        <v/>
      </c>
      <c r="BA126" s="81"/>
      <c r="BB126" s="81"/>
      <c r="BC126" s="81"/>
      <c r="BD126" s="81"/>
      <c r="BE126" s="91"/>
      <c r="BF126" s="81" t="s">
        <v>103</v>
      </c>
      <c r="BG126" s="89" t="n">
        <f aca="false" t="array" ref="BG126:BG126">IF(BF126="","",IFERROR(INDEX(Справочники!$B$4:$B$7,MATCH(BF126,Справочники!$A$4:$A$7,0)),""))</f>
        <v>68.5</v>
      </c>
      <c r="BH126" s="90" t="str">
        <f aca="false">IF(N(BN126)&gt;0,ROUND(SUMIF(ЗАКАЗЫ!$F$3:$F$500,$A126,ЗАКАЗЫ!$Y$3:$Y$500)/BN126,0),IF(OR(BE126="",BG126=""),"",ROUND(BE126*BG126*(1+Справочники!$B$10),0)))</f>
        <v/>
      </c>
      <c r="BI126" s="92" t="str">
        <f aca="false">IF(OR(AU126="",BH126="",AU126=0),"",(AU126-BH126)/AU126)</f>
        <v/>
      </c>
      <c r="BJ126" s="81"/>
      <c r="BK126" s="83"/>
      <c r="BL126" s="43" t="str">
        <f aca="false">IFERROR(INDEX(ЗАКАЗЫ!$N$3:$N$500,MATCH($A126,ЗАКАЗЫ!$F$3:$F$500,0)),"")</f>
        <v/>
      </c>
      <c r="BM126" s="8" t="str">
        <f aca="false">IF(BL126="","",IFERROR(VLOOKUP(BL126,'ТН ВЭД'!$A$4:$C$40,3,0),""))</f>
        <v/>
      </c>
      <c r="BN126" s="7" t="str">
        <f aca="false">IF(COUNTIF(ЗАКАЗЫ!$F$3:$F$500,$A126)=0,"",SUMIF(ЗАКАЗЫ!$F$3:$F$500,$A126,ЗАКАЗЫ!$J$3:$J$500))</f>
        <v/>
      </c>
      <c r="BO126" s="7" t="str">
        <f aca="false">IF(BN126="","",SUMIF(ЗАКАЗЫ!$F$3:$F$500,$A126,ЗАКАЗЫ!$AL$3:$AL$500))</f>
        <v/>
      </c>
      <c r="BP126" s="7" t="str">
        <f aca="false">IF(BN126="","",BN126-BO126)</f>
        <v/>
      </c>
      <c r="BQ126" s="55" t="str">
        <f aca="false">IF(BN126="","",IF(BO126&gt;=BN126,"На складе",IF(BO126&gt;0,"Частично","Ждём")))</f>
        <v/>
      </c>
      <c r="BR126" s="43"/>
      <c r="BS126" s="47" t="str">
        <f aca="false">IF(BN126="","",IF(_xlfn.MAXIFS(ЗАКАЗЫ!$AK$3:$AK$500,ЗАКАЗЫ!$F$3:$F$500,$A126)=0,"",_xlfn.MAXIFS(ЗАКАЗЫ!$AK$3:$AK$500,ЗАКАЗЫ!$F$3:$F$500,$A126)))</f>
        <v/>
      </c>
    </row>
    <row r="127" customFormat="false" ht="15.75" hidden="false" customHeight="true" outlineLevel="0" collapsed="false">
      <c r="A127" s="80" t="s">
        <v>2321</v>
      </c>
      <c r="B127" s="81"/>
      <c r="C127" s="81"/>
      <c r="D127" s="81"/>
      <c r="E127" s="83"/>
      <c r="F127" s="81"/>
      <c r="G127" s="83"/>
      <c r="H127" s="83"/>
      <c r="I127" s="84" t="str">
        <f aca="false">IF(E127="","",A127&amp;"_1.jpg")</f>
        <v/>
      </c>
      <c r="J127" s="84" t="str">
        <f aca="false">IF(E127="","",A127&amp;"_2.jpg; "&amp;A127&amp;"_3.jpg")</f>
        <v/>
      </c>
      <c r="K127" s="84" t="str">
        <f aca="false">IF(E127="","",A127&amp;"_schema.jpg")</f>
        <v/>
      </c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 t="s">
        <v>96</v>
      </c>
      <c r="W127" s="81"/>
      <c r="X127" s="81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6" t="str">
        <f aca="false">IF(SUM(Y127:AJ127)=0,"",SUM(Y127:AJ127))</f>
        <v/>
      </c>
      <c r="AL127" s="84" t="str">
        <f aca="false">MID(IF(N(Y127)&gt;0,", "&amp;Y$2,"")&amp;IF(N(Z127)&gt;0,", "&amp;Z$2,"")&amp;IF(N(AA127)&gt;0,", "&amp;AA$2,"")&amp;IF(N(AB127)&gt;0,", "&amp;AB$2,"")&amp;IF(N(AC127)&gt;0,", "&amp;AC$2,"")&amp;IF(N(AD127)&gt;0,", "&amp;AD$2,"")&amp;IF(N(AE127)&gt;0,", "&amp;AE$2,"")&amp;IF(N(AF127)&gt;0,", "&amp;AF$2,"")&amp;IF(N(AG127)&gt;0,", "&amp;AG$2,"")&amp;IF(N(AH127)&gt;0,", "&amp;AH$2,"")&amp;IF(N(AI127)&gt;0,", "&amp;AI$2,"")&amp;IF(N(AJ127)&gt;0,", "&amp;AJ$2,""),3,999)</f>
        <v/>
      </c>
      <c r="AM127" s="87" t="str">
        <f aca="false">IF(E127="","",MID(IF(N(Y127)&gt;0,", "&amp;A127&amp;"-"&amp;Y$2,"")&amp;IF(N(Z127)&gt;0,", "&amp;A127&amp;"-"&amp;Z$2,"")&amp;IF(N(AA127)&gt;0,", "&amp;A127&amp;"-"&amp;AA$2,"")&amp;IF(N(AB127)&gt;0,", "&amp;A127&amp;"-"&amp;AB$2,"")&amp;IF(N(AC127)&gt;0,", "&amp;A127&amp;"-"&amp;AC$2,"")&amp;IF(N(AD127)&gt;0,", "&amp;A127&amp;"-"&amp;AD$2,"")&amp;IF(N(AE127)&gt;0,", "&amp;A127&amp;"-"&amp;AE$2,"")&amp;IF(N(AF127)&gt;0,", "&amp;A127&amp;"-"&amp;AF$2,"")&amp;IF(N(AG127)&gt;0,", "&amp;A127&amp;"-"&amp;AG$2,"")&amp;IF(N(AH127)&gt;0,", "&amp;A127&amp;"-"&amp;AH$2,"")&amp;IF(N(AI127)&gt;0,", "&amp;A127&amp;"-"&amp;AI$2,"")&amp;IF(N(AJ127)&gt;0,", "&amp;A127&amp;"-"&amp;AJ$2,""),3,999))</f>
        <v/>
      </c>
      <c r="AN127" s="81"/>
      <c r="AO127" s="88"/>
      <c r="AP127" s="89" t="str">
        <f aca="false">IF(AO127="","",ROUND(AO127/(1+Справочники!$B$13),2))</f>
        <v/>
      </c>
      <c r="AQ127" s="90" t="str">
        <f aca="false" t="array" ref="AQ127:AQ127">IF(AP127="","",AP127*INDEX(Справочники!$B$4:$B$7,MATCH("RUB",Справочники!$A$4:$A$7,0)))</f>
        <v/>
      </c>
      <c r="AR127" s="90" t="str">
        <f aca="false">IF(AQ127="","",ROUND(AQ127*(1+Справочники!$B$12),0))</f>
        <v/>
      </c>
      <c r="AS127" s="90" t="str">
        <f aca="false">IF(AR127="","",ROUND(AR127*(1-Справочники!$B$11),0))</f>
        <v/>
      </c>
      <c r="AT127" s="88"/>
      <c r="AU127" s="90" t="str">
        <f aca="false">IF(AT127="","",ROUND(AT127/(1+Справочники!$B$12),0))</f>
        <v/>
      </c>
      <c r="AV127" s="90" t="str">
        <f aca="false">IF(AT127="","",ROUND(AT127*(1-Справочники!$B$15),0))</f>
        <v/>
      </c>
      <c r="AW127" s="90" t="str">
        <f aca="false">IF(AT127="","",ROUND(AT127*(1-Справочники!$B$16),0))</f>
        <v/>
      </c>
      <c r="AX127" s="90" t="str">
        <f aca="false">IF(AT127="","",ROUND(AT127*(1-Справочники!$B$17),0))</f>
        <v/>
      </c>
      <c r="AY127" s="90" t="str">
        <f aca="false">IF(AT127="","",ROUND(AT127*(1-Справочники!$B$18),0))</f>
        <v/>
      </c>
      <c r="AZ127" s="90" t="str">
        <f aca="false">IF(AT127="","",ROUND(AT127*(1-Справочники!$B$19),0))</f>
        <v/>
      </c>
      <c r="BA127" s="81"/>
      <c r="BB127" s="81"/>
      <c r="BC127" s="81"/>
      <c r="BD127" s="81"/>
      <c r="BE127" s="91"/>
      <c r="BF127" s="81" t="s">
        <v>103</v>
      </c>
      <c r="BG127" s="89" t="n">
        <f aca="false" t="array" ref="BG127:BG127">IF(BF127="","",IFERROR(INDEX(Справочники!$B$4:$B$7,MATCH(BF127,Справочники!$A$4:$A$7,0)),""))</f>
        <v>68.5</v>
      </c>
      <c r="BH127" s="90" t="str">
        <f aca="false">IF(N(BN127)&gt;0,ROUND(SUMIF(ЗАКАЗЫ!$F$3:$F$500,$A127,ЗАКАЗЫ!$Y$3:$Y$500)/BN127,0),IF(OR(BE127="",BG127=""),"",ROUND(BE127*BG127*(1+Справочники!$B$10),0)))</f>
        <v/>
      </c>
      <c r="BI127" s="92" t="str">
        <f aca="false">IF(OR(AU127="",BH127="",AU127=0),"",(AU127-BH127)/AU127)</f>
        <v/>
      </c>
      <c r="BJ127" s="81"/>
      <c r="BK127" s="83"/>
      <c r="BL127" s="43" t="str">
        <f aca="false">IFERROR(INDEX(ЗАКАЗЫ!$N$3:$N$500,MATCH($A127,ЗАКАЗЫ!$F$3:$F$500,0)),"")</f>
        <v/>
      </c>
      <c r="BM127" s="8" t="str">
        <f aca="false">IF(BL127="","",IFERROR(VLOOKUP(BL127,'ТН ВЭД'!$A$4:$C$40,3,0),""))</f>
        <v/>
      </c>
      <c r="BN127" s="7" t="str">
        <f aca="false">IF(COUNTIF(ЗАКАЗЫ!$F$3:$F$500,$A127)=0,"",SUMIF(ЗАКАЗЫ!$F$3:$F$500,$A127,ЗАКАЗЫ!$J$3:$J$500))</f>
        <v/>
      </c>
      <c r="BO127" s="7" t="str">
        <f aca="false">IF(BN127="","",SUMIF(ЗАКАЗЫ!$F$3:$F$500,$A127,ЗАКАЗЫ!$AL$3:$AL$500))</f>
        <v/>
      </c>
      <c r="BP127" s="7" t="str">
        <f aca="false">IF(BN127="","",BN127-BO127)</f>
        <v/>
      </c>
      <c r="BQ127" s="55" t="str">
        <f aca="false">IF(BN127="","",IF(BO127&gt;=BN127,"На складе",IF(BO127&gt;0,"Частично","Ждём")))</f>
        <v/>
      </c>
      <c r="BR127" s="43"/>
      <c r="BS127" s="47" t="str">
        <f aca="false">IF(BN127="","",IF(_xlfn.MAXIFS(ЗАКАЗЫ!$AK$3:$AK$500,ЗАКАЗЫ!$F$3:$F$500,$A127)=0,"",_xlfn.MAXIFS(ЗАКАЗЫ!$AK$3:$AK$500,ЗАКАЗЫ!$F$3:$F$500,$A127)))</f>
        <v/>
      </c>
    </row>
    <row r="128" customFormat="false" ht="15.75" hidden="false" customHeight="true" outlineLevel="0" collapsed="false">
      <c r="A128" s="80" t="s">
        <v>2322</v>
      </c>
      <c r="B128" s="81"/>
      <c r="C128" s="81"/>
      <c r="D128" s="81"/>
      <c r="E128" s="83"/>
      <c r="F128" s="81"/>
      <c r="G128" s="83"/>
      <c r="H128" s="83"/>
      <c r="I128" s="84" t="str">
        <f aca="false">IF(E128="","",A128&amp;"_1.jpg")</f>
        <v/>
      </c>
      <c r="J128" s="84" t="str">
        <f aca="false">IF(E128="","",A128&amp;"_2.jpg; "&amp;A128&amp;"_3.jpg")</f>
        <v/>
      </c>
      <c r="K128" s="84" t="str">
        <f aca="false">IF(E128="","",A128&amp;"_schema.jpg")</f>
        <v/>
      </c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 t="s">
        <v>96</v>
      </c>
      <c r="W128" s="81"/>
      <c r="X128" s="81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6" t="str">
        <f aca="false">IF(SUM(Y128:AJ128)=0,"",SUM(Y128:AJ128))</f>
        <v/>
      </c>
      <c r="AL128" s="84" t="str">
        <f aca="false">MID(IF(N(Y128)&gt;0,", "&amp;Y$2,"")&amp;IF(N(Z128)&gt;0,", "&amp;Z$2,"")&amp;IF(N(AA128)&gt;0,", "&amp;AA$2,"")&amp;IF(N(AB128)&gt;0,", "&amp;AB$2,"")&amp;IF(N(AC128)&gt;0,", "&amp;AC$2,"")&amp;IF(N(AD128)&gt;0,", "&amp;AD$2,"")&amp;IF(N(AE128)&gt;0,", "&amp;AE$2,"")&amp;IF(N(AF128)&gt;0,", "&amp;AF$2,"")&amp;IF(N(AG128)&gt;0,", "&amp;AG$2,"")&amp;IF(N(AH128)&gt;0,", "&amp;AH$2,"")&amp;IF(N(AI128)&gt;0,", "&amp;AI$2,"")&amp;IF(N(AJ128)&gt;0,", "&amp;AJ$2,""),3,999)</f>
        <v/>
      </c>
      <c r="AM128" s="87" t="str">
        <f aca="false">IF(E128="","",MID(IF(N(Y128)&gt;0,", "&amp;A128&amp;"-"&amp;Y$2,"")&amp;IF(N(Z128)&gt;0,", "&amp;A128&amp;"-"&amp;Z$2,"")&amp;IF(N(AA128)&gt;0,", "&amp;A128&amp;"-"&amp;AA$2,"")&amp;IF(N(AB128)&gt;0,", "&amp;A128&amp;"-"&amp;AB$2,"")&amp;IF(N(AC128)&gt;0,", "&amp;A128&amp;"-"&amp;AC$2,"")&amp;IF(N(AD128)&gt;0,", "&amp;A128&amp;"-"&amp;AD$2,"")&amp;IF(N(AE128)&gt;0,", "&amp;A128&amp;"-"&amp;AE$2,"")&amp;IF(N(AF128)&gt;0,", "&amp;A128&amp;"-"&amp;AF$2,"")&amp;IF(N(AG128)&gt;0,", "&amp;A128&amp;"-"&amp;AG$2,"")&amp;IF(N(AH128)&gt;0,", "&amp;A128&amp;"-"&amp;AH$2,"")&amp;IF(N(AI128)&gt;0,", "&amp;A128&amp;"-"&amp;AI$2,"")&amp;IF(N(AJ128)&gt;0,", "&amp;A128&amp;"-"&amp;AJ$2,""),3,999))</f>
        <v/>
      </c>
      <c r="AN128" s="81"/>
      <c r="AO128" s="88"/>
      <c r="AP128" s="89" t="str">
        <f aca="false">IF(AO128="","",ROUND(AO128/(1+Справочники!$B$13),2))</f>
        <v/>
      </c>
      <c r="AQ128" s="90" t="str">
        <f aca="false" t="array" ref="AQ128:AQ128">IF(AP128="","",AP128*INDEX(Справочники!$B$4:$B$7,MATCH("RUB",Справочники!$A$4:$A$7,0)))</f>
        <v/>
      </c>
      <c r="AR128" s="90" t="str">
        <f aca="false">IF(AQ128="","",ROUND(AQ128*(1+Справочники!$B$12),0))</f>
        <v/>
      </c>
      <c r="AS128" s="90" t="str">
        <f aca="false">IF(AR128="","",ROUND(AR128*(1-Справочники!$B$11),0))</f>
        <v/>
      </c>
      <c r="AT128" s="88"/>
      <c r="AU128" s="90" t="str">
        <f aca="false">IF(AT128="","",ROUND(AT128/(1+Справочники!$B$12),0))</f>
        <v/>
      </c>
      <c r="AV128" s="90" t="str">
        <f aca="false">IF(AT128="","",ROUND(AT128*(1-Справочники!$B$15),0))</f>
        <v/>
      </c>
      <c r="AW128" s="90" t="str">
        <f aca="false">IF(AT128="","",ROUND(AT128*(1-Справочники!$B$16),0))</f>
        <v/>
      </c>
      <c r="AX128" s="90" t="str">
        <f aca="false">IF(AT128="","",ROUND(AT128*(1-Справочники!$B$17),0))</f>
        <v/>
      </c>
      <c r="AY128" s="90" t="str">
        <f aca="false">IF(AT128="","",ROUND(AT128*(1-Справочники!$B$18),0))</f>
        <v/>
      </c>
      <c r="AZ128" s="90" t="str">
        <f aca="false">IF(AT128="","",ROUND(AT128*(1-Справочники!$B$19),0))</f>
        <v/>
      </c>
      <c r="BA128" s="81"/>
      <c r="BB128" s="81"/>
      <c r="BC128" s="81"/>
      <c r="BD128" s="81"/>
      <c r="BE128" s="91"/>
      <c r="BF128" s="81" t="s">
        <v>103</v>
      </c>
      <c r="BG128" s="89" t="n">
        <f aca="false" t="array" ref="BG128:BG128">IF(BF128="","",IFERROR(INDEX(Справочники!$B$4:$B$7,MATCH(BF128,Справочники!$A$4:$A$7,0)),""))</f>
        <v>68.5</v>
      </c>
      <c r="BH128" s="90" t="str">
        <f aca="false">IF(N(BN128)&gt;0,ROUND(SUMIF(ЗАКАЗЫ!$F$3:$F$500,$A128,ЗАКАЗЫ!$Y$3:$Y$500)/BN128,0),IF(OR(BE128="",BG128=""),"",ROUND(BE128*BG128*(1+Справочники!$B$10),0)))</f>
        <v/>
      </c>
      <c r="BI128" s="92" t="str">
        <f aca="false">IF(OR(AU128="",BH128="",AU128=0),"",(AU128-BH128)/AU128)</f>
        <v/>
      </c>
      <c r="BJ128" s="81"/>
      <c r="BK128" s="83"/>
      <c r="BL128" s="43" t="str">
        <f aca="false">IFERROR(INDEX(ЗАКАЗЫ!$N$3:$N$500,MATCH($A128,ЗАКАЗЫ!$F$3:$F$500,0)),"")</f>
        <v/>
      </c>
      <c r="BM128" s="8" t="str">
        <f aca="false">IF(BL128="","",IFERROR(VLOOKUP(BL128,'ТН ВЭД'!$A$4:$C$40,3,0),""))</f>
        <v/>
      </c>
      <c r="BN128" s="7" t="str">
        <f aca="false">IF(COUNTIF(ЗАКАЗЫ!$F$3:$F$500,$A128)=0,"",SUMIF(ЗАКАЗЫ!$F$3:$F$500,$A128,ЗАКАЗЫ!$J$3:$J$500))</f>
        <v/>
      </c>
      <c r="BO128" s="7" t="str">
        <f aca="false">IF(BN128="","",SUMIF(ЗАКАЗЫ!$F$3:$F$500,$A128,ЗАКАЗЫ!$AL$3:$AL$500))</f>
        <v/>
      </c>
      <c r="BP128" s="7" t="str">
        <f aca="false">IF(BN128="","",BN128-BO128)</f>
        <v/>
      </c>
      <c r="BQ128" s="55" t="str">
        <f aca="false">IF(BN128="","",IF(BO128&gt;=BN128,"На складе",IF(BO128&gt;0,"Частично","Ждём")))</f>
        <v/>
      </c>
      <c r="BR128" s="43"/>
      <c r="BS128" s="47" t="str">
        <f aca="false">IF(BN128="","",IF(_xlfn.MAXIFS(ЗАКАЗЫ!$AK$3:$AK$500,ЗАКАЗЫ!$F$3:$F$500,$A128)=0,"",_xlfn.MAXIFS(ЗАКАЗЫ!$AK$3:$AK$500,ЗАКАЗЫ!$F$3:$F$500,$A128)))</f>
        <v/>
      </c>
    </row>
    <row r="129" customFormat="false" ht="15.75" hidden="false" customHeight="true" outlineLevel="0" collapsed="false">
      <c r="A129" s="80" t="s">
        <v>2323</v>
      </c>
      <c r="B129" s="81"/>
      <c r="C129" s="81"/>
      <c r="D129" s="81"/>
      <c r="E129" s="83"/>
      <c r="F129" s="81"/>
      <c r="G129" s="83"/>
      <c r="H129" s="83"/>
      <c r="I129" s="84" t="str">
        <f aca="false">IF(E129="","",A129&amp;"_1.jpg")</f>
        <v/>
      </c>
      <c r="J129" s="84" t="str">
        <f aca="false">IF(E129="","",A129&amp;"_2.jpg; "&amp;A129&amp;"_3.jpg")</f>
        <v/>
      </c>
      <c r="K129" s="84" t="str">
        <f aca="false">IF(E129="","",A129&amp;"_schema.jpg")</f>
        <v/>
      </c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 t="s">
        <v>96</v>
      </c>
      <c r="W129" s="81"/>
      <c r="X129" s="81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6" t="str">
        <f aca="false">IF(SUM(Y129:AJ129)=0,"",SUM(Y129:AJ129))</f>
        <v/>
      </c>
      <c r="AL129" s="84" t="str">
        <f aca="false">MID(IF(N(Y129)&gt;0,", "&amp;Y$2,"")&amp;IF(N(Z129)&gt;0,", "&amp;Z$2,"")&amp;IF(N(AA129)&gt;0,", "&amp;AA$2,"")&amp;IF(N(AB129)&gt;0,", "&amp;AB$2,"")&amp;IF(N(AC129)&gt;0,", "&amp;AC$2,"")&amp;IF(N(AD129)&gt;0,", "&amp;AD$2,"")&amp;IF(N(AE129)&gt;0,", "&amp;AE$2,"")&amp;IF(N(AF129)&gt;0,", "&amp;AF$2,"")&amp;IF(N(AG129)&gt;0,", "&amp;AG$2,"")&amp;IF(N(AH129)&gt;0,", "&amp;AH$2,"")&amp;IF(N(AI129)&gt;0,", "&amp;AI$2,"")&amp;IF(N(AJ129)&gt;0,", "&amp;AJ$2,""),3,999)</f>
        <v/>
      </c>
      <c r="AM129" s="87" t="str">
        <f aca="false">IF(E129="","",MID(IF(N(Y129)&gt;0,", "&amp;A129&amp;"-"&amp;Y$2,"")&amp;IF(N(Z129)&gt;0,", "&amp;A129&amp;"-"&amp;Z$2,"")&amp;IF(N(AA129)&gt;0,", "&amp;A129&amp;"-"&amp;AA$2,"")&amp;IF(N(AB129)&gt;0,", "&amp;A129&amp;"-"&amp;AB$2,"")&amp;IF(N(AC129)&gt;0,", "&amp;A129&amp;"-"&amp;AC$2,"")&amp;IF(N(AD129)&gt;0,", "&amp;A129&amp;"-"&amp;AD$2,"")&amp;IF(N(AE129)&gt;0,", "&amp;A129&amp;"-"&amp;AE$2,"")&amp;IF(N(AF129)&gt;0,", "&amp;A129&amp;"-"&amp;AF$2,"")&amp;IF(N(AG129)&gt;0,", "&amp;A129&amp;"-"&amp;AG$2,"")&amp;IF(N(AH129)&gt;0,", "&amp;A129&amp;"-"&amp;AH$2,"")&amp;IF(N(AI129)&gt;0,", "&amp;A129&amp;"-"&amp;AI$2,"")&amp;IF(N(AJ129)&gt;0,", "&amp;A129&amp;"-"&amp;AJ$2,""),3,999))</f>
        <v/>
      </c>
      <c r="AN129" s="81"/>
      <c r="AO129" s="88"/>
      <c r="AP129" s="89" t="str">
        <f aca="false">IF(AO129="","",ROUND(AO129/(1+Справочники!$B$13),2))</f>
        <v/>
      </c>
      <c r="AQ129" s="90" t="str">
        <f aca="false" t="array" ref="AQ129:AQ129">IF(AP129="","",AP129*INDEX(Справочники!$B$4:$B$7,MATCH("RUB",Справочники!$A$4:$A$7,0)))</f>
        <v/>
      </c>
      <c r="AR129" s="90" t="str">
        <f aca="false">IF(AQ129="","",ROUND(AQ129*(1+Справочники!$B$12),0))</f>
        <v/>
      </c>
      <c r="AS129" s="90" t="str">
        <f aca="false">IF(AR129="","",ROUND(AR129*(1-Справочники!$B$11),0))</f>
        <v/>
      </c>
      <c r="AT129" s="88"/>
      <c r="AU129" s="90" t="str">
        <f aca="false">IF(AT129="","",ROUND(AT129/(1+Справочники!$B$12),0))</f>
        <v/>
      </c>
      <c r="AV129" s="90" t="str">
        <f aca="false">IF(AT129="","",ROUND(AT129*(1-Справочники!$B$15),0))</f>
        <v/>
      </c>
      <c r="AW129" s="90" t="str">
        <f aca="false">IF(AT129="","",ROUND(AT129*(1-Справочники!$B$16),0))</f>
        <v/>
      </c>
      <c r="AX129" s="90" t="str">
        <f aca="false">IF(AT129="","",ROUND(AT129*(1-Справочники!$B$17),0))</f>
        <v/>
      </c>
      <c r="AY129" s="90" t="str">
        <f aca="false">IF(AT129="","",ROUND(AT129*(1-Справочники!$B$18),0))</f>
        <v/>
      </c>
      <c r="AZ129" s="90" t="str">
        <f aca="false">IF(AT129="","",ROUND(AT129*(1-Справочники!$B$19),0))</f>
        <v/>
      </c>
      <c r="BA129" s="81"/>
      <c r="BB129" s="81"/>
      <c r="BC129" s="81"/>
      <c r="BD129" s="81"/>
      <c r="BE129" s="91"/>
      <c r="BF129" s="81" t="s">
        <v>103</v>
      </c>
      <c r="BG129" s="89" t="n">
        <f aca="false" t="array" ref="BG129:BG129">IF(BF129="","",IFERROR(INDEX(Справочники!$B$4:$B$7,MATCH(BF129,Справочники!$A$4:$A$7,0)),""))</f>
        <v>68.5</v>
      </c>
      <c r="BH129" s="90" t="str">
        <f aca="false">IF(N(BN129)&gt;0,ROUND(SUMIF(ЗАКАЗЫ!$F$3:$F$500,$A129,ЗАКАЗЫ!$Y$3:$Y$500)/BN129,0),IF(OR(BE129="",BG129=""),"",ROUND(BE129*BG129*(1+Справочники!$B$10),0)))</f>
        <v/>
      </c>
      <c r="BI129" s="92" t="str">
        <f aca="false">IF(OR(AU129="",BH129="",AU129=0),"",(AU129-BH129)/AU129)</f>
        <v/>
      </c>
      <c r="BJ129" s="81"/>
      <c r="BK129" s="83"/>
      <c r="BL129" s="43" t="str">
        <f aca="false">IFERROR(INDEX(ЗАКАЗЫ!$N$3:$N$500,MATCH($A129,ЗАКАЗЫ!$F$3:$F$500,0)),"")</f>
        <v/>
      </c>
      <c r="BM129" s="8" t="str">
        <f aca="false">IF(BL129="","",IFERROR(VLOOKUP(BL129,'ТН ВЭД'!$A$4:$C$40,3,0),""))</f>
        <v/>
      </c>
      <c r="BN129" s="7" t="str">
        <f aca="false">IF(COUNTIF(ЗАКАЗЫ!$F$3:$F$500,$A129)=0,"",SUMIF(ЗАКАЗЫ!$F$3:$F$500,$A129,ЗАКАЗЫ!$J$3:$J$500))</f>
        <v/>
      </c>
      <c r="BO129" s="7" t="str">
        <f aca="false">IF(BN129="","",SUMIF(ЗАКАЗЫ!$F$3:$F$500,$A129,ЗАКАЗЫ!$AL$3:$AL$500))</f>
        <v/>
      </c>
      <c r="BP129" s="7" t="str">
        <f aca="false">IF(BN129="","",BN129-BO129)</f>
        <v/>
      </c>
      <c r="BQ129" s="55" t="str">
        <f aca="false">IF(BN129="","",IF(BO129&gt;=BN129,"На складе",IF(BO129&gt;0,"Частично","Ждём")))</f>
        <v/>
      </c>
      <c r="BR129" s="43"/>
      <c r="BS129" s="47" t="str">
        <f aca="false">IF(BN129="","",IF(_xlfn.MAXIFS(ЗАКАЗЫ!$AK$3:$AK$500,ЗАКАЗЫ!$F$3:$F$500,$A129)=0,"",_xlfn.MAXIFS(ЗАКАЗЫ!$AK$3:$AK$500,ЗАКАЗЫ!$F$3:$F$500,$A129)))</f>
        <v/>
      </c>
    </row>
    <row r="130" customFormat="false" ht="15.75" hidden="false" customHeight="true" outlineLevel="0" collapsed="false">
      <c r="A130" s="80" t="s">
        <v>2324</v>
      </c>
      <c r="B130" s="81"/>
      <c r="C130" s="81"/>
      <c r="D130" s="81"/>
      <c r="E130" s="83"/>
      <c r="F130" s="81"/>
      <c r="G130" s="83"/>
      <c r="H130" s="83"/>
      <c r="I130" s="84" t="str">
        <f aca="false">IF(E130="","",A130&amp;"_1.jpg")</f>
        <v/>
      </c>
      <c r="J130" s="84" t="str">
        <f aca="false">IF(E130="","",A130&amp;"_2.jpg; "&amp;A130&amp;"_3.jpg")</f>
        <v/>
      </c>
      <c r="K130" s="84" t="str">
        <f aca="false">IF(E130="","",A130&amp;"_schema.jpg")</f>
        <v/>
      </c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 t="s">
        <v>96</v>
      </c>
      <c r="W130" s="81"/>
      <c r="X130" s="81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6" t="str">
        <f aca="false">IF(SUM(Y130:AJ130)=0,"",SUM(Y130:AJ130))</f>
        <v/>
      </c>
      <c r="AL130" s="84" t="str">
        <f aca="false">MID(IF(N(Y130)&gt;0,", "&amp;Y$2,"")&amp;IF(N(Z130)&gt;0,", "&amp;Z$2,"")&amp;IF(N(AA130)&gt;0,", "&amp;AA$2,"")&amp;IF(N(AB130)&gt;0,", "&amp;AB$2,"")&amp;IF(N(AC130)&gt;0,", "&amp;AC$2,"")&amp;IF(N(AD130)&gt;0,", "&amp;AD$2,"")&amp;IF(N(AE130)&gt;0,", "&amp;AE$2,"")&amp;IF(N(AF130)&gt;0,", "&amp;AF$2,"")&amp;IF(N(AG130)&gt;0,", "&amp;AG$2,"")&amp;IF(N(AH130)&gt;0,", "&amp;AH$2,"")&amp;IF(N(AI130)&gt;0,", "&amp;AI$2,"")&amp;IF(N(AJ130)&gt;0,", "&amp;AJ$2,""),3,999)</f>
        <v/>
      </c>
      <c r="AM130" s="87" t="str">
        <f aca="false">IF(E130="","",MID(IF(N(Y130)&gt;0,", "&amp;A130&amp;"-"&amp;Y$2,"")&amp;IF(N(Z130)&gt;0,", "&amp;A130&amp;"-"&amp;Z$2,"")&amp;IF(N(AA130)&gt;0,", "&amp;A130&amp;"-"&amp;AA$2,"")&amp;IF(N(AB130)&gt;0,", "&amp;A130&amp;"-"&amp;AB$2,"")&amp;IF(N(AC130)&gt;0,", "&amp;A130&amp;"-"&amp;AC$2,"")&amp;IF(N(AD130)&gt;0,", "&amp;A130&amp;"-"&amp;AD$2,"")&amp;IF(N(AE130)&gt;0,", "&amp;A130&amp;"-"&amp;AE$2,"")&amp;IF(N(AF130)&gt;0,", "&amp;A130&amp;"-"&amp;AF$2,"")&amp;IF(N(AG130)&gt;0,", "&amp;A130&amp;"-"&amp;AG$2,"")&amp;IF(N(AH130)&gt;0,", "&amp;A130&amp;"-"&amp;AH$2,"")&amp;IF(N(AI130)&gt;0,", "&amp;A130&amp;"-"&amp;AI$2,"")&amp;IF(N(AJ130)&gt;0,", "&amp;A130&amp;"-"&amp;AJ$2,""),3,999))</f>
        <v/>
      </c>
      <c r="AN130" s="81"/>
      <c r="AO130" s="88"/>
      <c r="AP130" s="89" t="str">
        <f aca="false">IF(AO130="","",ROUND(AO130/(1+Справочники!$B$13),2))</f>
        <v/>
      </c>
      <c r="AQ130" s="90" t="str">
        <f aca="false" t="array" ref="AQ130:AQ130">IF(AP130="","",AP130*INDEX(Справочники!$B$4:$B$7,MATCH("RUB",Справочники!$A$4:$A$7,0)))</f>
        <v/>
      </c>
      <c r="AR130" s="90" t="str">
        <f aca="false">IF(AQ130="","",ROUND(AQ130*(1+Справочники!$B$12),0))</f>
        <v/>
      </c>
      <c r="AS130" s="90" t="str">
        <f aca="false">IF(AR130="","",ROUND(AR130*(1-Справочники!$B$11),0))</f>
        <v/>
      </c>
      <c r="AT130" s="88"/>
      <c r="AU130" s="90" t="str">
        <f aca="false">IF(AT130="","",ROUND(AT130/(1+Справочники!$B$12),0))</f>
        <v/>
      </c>
      <c r="AV130" s="90" t="str">
        <f aca="false">IF(AT130="","",ROUND(AT130*(1-Справочники!$B$15),0))</f>
        <v/>
      </c>
      <c r="AW130" s="90" t="str">
        <f aca="false">IF(AT130="","",ROUND(AT130*(1-Справочники!$B$16),0))</f>
        <v/>
      </c>
      <c r="AX130" s="90" t="str">
        <f aca="false">IF(AT130="","",ROUND(AT130*(1-Справочники!$B$17),0))</f>
        <v/>
      </c>
      <c r="AY130" s="90" t="str">
        <f aca="false">IF(AT130="","",ROUND(AT130*(1-Справочники!$B$18),0))</f>
        <v/>
      </c>
      <c r="AZ130" s="90" t="str">
        <f aca="false">IF(AT130="","",ROUND(AT130*(1-Справочники!$B$19),0))</f>
        <v/>
      </c>
      <c r="BA130" s="81"/>
      <c r="BB130" s="81"/>
      <c r="BC130" s="81"/>
      <c r="BD130" s="81"/>
      <c r="BE130" s="91"/>
      <c r="BF130" s="81" t="s">
        <v>103</v>
      </c>
      <c r="BG130" s="89" t="n">
        <f aca="false" t="array" ref="BG130:BG130">IF(BF130="","",IFERROR(INDEX(Справочники!$B$4:$B$7,MATCH(BF130,Справочники!$A$4:$A$7,0)),""))</f>
        <v>68.5</v>
      </c>
      <c r="BH130" s="90" t="str">
        <f aca="false">IF(N(BN130)&gt;0,ROUND(SUMIF(ЗАКАЗЫ!$F$3:$F$500,$A130,ЗАКАЗЫ!$Y$3:$Y$500)/BN130,0),IF(OR(BE130="",BG130=""),"",ROUND(BE130*BG130*(1+Справочники!$B$10),0)))</f>
        <v/>
      </c>
      <c r="BI130" s="92" t="str">
        <f aca="false">IF(OR(AU130="",BH130="",AU130=0),"",(AU130-BH130)/AU130)</f>
        <v/>
      </c>
      <c r="BJ130" s="81"/>
      <c r="BK130" s="83"/>
      <c r="BL130" s="43" t="str">
        <f aca="false">IFERROR(INDEX(ЗАКАЗЫ!$N$3:$N$500,MATCH($A130,ЗАКАЗЫ!$F$3:$F$500,0)),"")</f>
        <v/>
      </c>
      <c r="BM130" s="8" t="str">
        <f aca="false">IF(BL130="","",IFERROR(VLOOKUP(BL130,'ТН ВЭД'!$A$4:$C$40,3,0),""))</f>
        <v/>
      </c>
      <c r="BN130" s="7" t="str">
        <f aca="false">IF(COUNTIF(ЗАКАЗЫ!$F$3:$F$500,$A130)=0,"",SUMIF(ЗАКАЗЫ!$F$3:$F$500,$A130,ЗАКАЗЫ!$J$3:$J$500))</f>
        <v/>
      </c>
      <c r="BO130" s="7" t="str">
        <f aca="false">IF(BN130="","",SUMIF(ЗАКАЗЫ!$F$3:$F$500,$A130,ЗАКАЗЫ!$AL$3:$AL$500))</f>
        <v/>
      </c>
      <c r="BP130" s="7" t="str">
        <f aca="false">IF(BN130="","",BN130-BO130)</f>
        <v/>
      </c>
      <c r="BQ130" s="55" t="str">
        <f aca="false">IF(BN130="","",IF(BO130&gt;=BN130,"На складе",IF(BO130&gt;0,"Частично","Ждём")))</f>
        <v/>
      </c>
      <c r="BR130" s="43"/>
      <c r="BS130" s="47" t="str">
        <f aca="false">IF(BN130="","",IF(_xlfn.MAXIFS(ЗАКАЗЫ!$AK$3:$AK$500,ЗАКАЗЫ!$F$3:$F$500,$A130)=0,"",_xlfn.MAXIFS(ЗАКАЗЫ!$AK$3:$AK$500,ЗАКАЗЫ!$F$3:$F$500,$A130)))</f>
        <v/>
      </c>
    </row>
    <row r="131" customFormat="false" ht="15.75" hidden="false" customHeight="true" outlineLevel="0" collapsed="false">
      <c r="A131" s="80" t="s">
        <v>2325</v>
      </c>
      <c r="B131" s="81"/>
      <c r="C131" s="81"/>
      <c r="D131" s="81"/>
      <c r="E131" s="83"/>
      <c r="F131" s="81"/>
      <c r="G131" s="83"/>
      <c r="H131" s="83"/>
      <c r="I131" s="84" t="str">
        <f aca="false">IF(E131="","",A131&amp;"_1.jpg")</f>
        <v/>
      </c>
      <c r="J131" s="84" t="str">
        <f aca="false">IF(E131="","",A131&amp;"_2.jpg; "&amp;A131&amp;"_3.jpg")</f>
        <v/>
      </c>
      <c r="K131" s="84" t="str">
        <f aca="false">IF(E131="","",A131&amp;"_schema.jpg")</f>
        <v/>
      </c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 t="s">
        <v>96</v>
      </c>
      <c r="W131" s="81"/>
      <c r="X131" s="81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6" t="str">
        <f aca="false">IF(SUM(Y131:AJ131)=0,"",SUM(Y131:AJ131))</f>
        <v/>
      </c>
      <c r="AL131" s="84" t="str">
        <f aca="false">MID(IF(N(Y131)&gt;0,", "&amp;Y$2,"")&amp;IF(N(Z131)&gt;0,", "&amp;Z$2,"")&amp;IF(N(AA131)&gt;0,", "&amp;AA$2,"")&amp;IF(N(AB131)&gt;0,", "&amp;AB$2,"")&amp;IF(N(AC131)&gt;0,", "&amp;AC$2,"")&amp;IF(N(AD131)&gt;0,", "&amp;AD$2,"")&amp;IF(N(AE131)&gt;0,", "&amp;AE$2,"")&amp;IF(N(AF131)&gt;0,", "&amp;AF$2,"")&amp;IF(N(AG131)&gt;0,", "&amp;AG$2,"")&amp;IF(N(AH131)&gt;0,", "&amp;AH$2,"")&amp;IF(N(AI131)&gt;0,", "&amp;AI$2,"")&amp;IF(N(AJ131)&gt;0,", "&amp;AJ$2,""),3,999)</f>
        <v/>
      </c>
      <c r="AM131" s="87" t="str">
        <f aca="false">IF(E131="","",MID(IF(N(Y131)&gt;0,", "&amp;A131&amp;"-"&amp;Y$2,"")&amp;IF(N(Z131)&gt;0,", "&amp;A131&amp;"-"&amp;Z$2,"")&amp;IF(N(AA131)&gt;0,", "&amp;A131&amp;"-"&amp;AA$2,"")&amp;IF(N(AB131)&gt;0,", "&amp;A131&amp;"-"&amp;AB$2,"")&amp;IF(N(AC131)&gt;0,", "&amp;A131&amp;"-"&amp;AC$2,"")&amp;IF(N(AD131)&gt;0,", "&amp;A131&amp;"-"&amp;AD$2,"")&amp;IF(N(AE131)&gt;0,", "&amp;A131&amp;"-"&amp;AE$2,"")&amp;IF(N(AF131)&gt;0,", "&amp;A131&amp;"-"&amp;AF$2,"")&amp;IF(N(AG131)&gt;0,", "&amp;A131&amp;"-"&amp;AG$2,"")&amp;IF(N(AH131)&gt;0,", "&amp;A131&amp;"-"&amp;AH$2,"")&amp;IF(N(AI131)&gt;0,", "&amp;A131&amp;"-"&amp;AI$2,"")&amp;IF(N(AJ131)&gt;0,", "&amp;A131&amp;"-"&amp;AJ$2,""),3,999))</f>
        <v/>
      </c>
      <c r="AN131" s="81"/>
      <c r="AO131" s="88"/>
      <c r="AP131" s="89" t="str">
        <f aca="false">IF(AO131="","",ROUND(AO131/(1+Справочники!$B$13),2))</f>
        <v/>
      </c>
      <c r="AQ131" s="90" t="str">
        <f aca="false" t="array" ref="AQ131:AQ131">IF(AP131="","",AP131*INDEX(Справочники!$B$4:$B$7,MATCH("RUB",Справочники!$A$4:$A$7,0)))</f>
        <v/>
      </c>
      <c r="AR131" s="90" t="str">
        <f aca="false">IF(AQ131="","",ROUND(AQ131*(1+Справочники!$B$12),0))</f>
        <v/>
      </c>
      <c r="AS131" s="90" t="str">
        <f aca="false">IF(AR131="","",ROUND(AR131*(1-Справочники!$B$11),0))</f>
        <v/>
      </c>
      <c r="AT131" s="88"/>
      <c r="AU131" s="90" t="str">
        <f aca="false">IF(AT131="","",ROUND(AT131/(1+Справочники!$B$12),0))</f>
        <v/>
      </c>
      <c r="AV131" s="90" t="str">
        <f aca="false">IF(AT131="","",ROUND(AT131*(1-Справочники!$B$15),0))</f>
        <v/>
      </c>
      <c r="AW131" s="90" t="str">
        <f aca="false">IF(AT131="","",ROUND(AT131*(1-Справочники!$B$16),0))</f>
        <v/>
      </c>
      <c r="AX131" s="90" t="str">
        <f aca="false">IF(AT131="","",ROUND(AT131*(1-Справочники!$B$17),0))</f>
        <v/>
      </c>
      <c r="AY131" s="90" t="str">
        <f aca="false">IF(AT131="","",ROUND(AT131*(1-Справочники!$B$18),0))</f>
        <v/>
      </c>
      <c r="AZ131" s="90" t="str">
        <f aca="false">IF(AT131="","",ROUND(AT131*(1-Справочники!$B$19),0))</f>
        <v/>
      </c>
      <c r="BA131" s="81"/>
      <c r="BB131" s="81"/>
      <c r="BC131" s="81"/>
      <c r="BD131" s="81"/>
      <c r="BE131" s="91"/>
      <c r="BF131" s="81" t="s">
        <v>103</v>
      </c>
      <c r="BG131" s="89" t="n">
        <f aca="false" t="array" ref="BG131:BG131">IF(BF131="","",IFERROR(INDEX(Справочники!$B$4:$B$7,MATCH(BF131,Справочники!$A$4:$A$7,0)),""))</f>
        <v>68.5</v>
      </c>
      <c r="BH131" s="90" t="str">
        <f aca="false">IF(N(BN131)&gt;0,ROUND(SUMIF(ЗАКАЗЫ!$F$3:$F$500,$A131,ЗАКАЗЫ!$Y$3:$Y$500)/BN131,0),IF(OR(BE131="",BG131=""),"",ROUND(BE131*BG131*(1+Справочники!$B$10),0)))</f>
        <v/>
      </c>
      <c r="BI131" s="92" t="str">
        <f aca="false">IF(OR(AU131="",BH131="",AU131=0),"",(AU131-BH131)/AU131)</f>
        <v/>
      </c>
      <c r="BJ131" s="81"/>
      <c r="BK131" s="83"/>
      <c r="BL131" s="43" t="str">
        <f aca="false">IFERROR(INDEX(ЗАКАЗЫ!$N$3:$N$500,MATCH($A131,ЗАКАЗЫ!$F$3:$F$500,0)),"")</f>
        <v/>
      </c>
      <c r="BM131" s="8" t="str">
        <f aca="false">IF(BL131="","",IFERROR(VLOOKUP(BL131,'ТН ВЭД'!$A$4:$C$40,3,0),""))</f>
        <v/>
      </c>
      <c r="BN131" s="7" t="str">
        <f aca="false">IF(COUNTIF(ЗАКАЗЫ!$F$3:$F$500,$A131)=0,"",SUMIF(ЗАКАЗЫ!$F$3:$F$500,$A131,ЗАКАЗЫ!$J$3:$J$500))</f>
        <v/>
      </c>
      <c r="BO131" s="7" t="str">
        <f aca="false">IF(BN131="","",SUMIF(ЗАКАЗЫ!$F$3:$F$500,$A131,ЗАКАЗЫ!$AL$3:$AL$500))</f>
        <v/>
      </c>
      <c r="BP131" s="7" t="str">
        <f aca="false">IF(BN131="","",BN131-BO131)</f>
        <v/>
      </c>
      <c r="BQ131" s="55" t="str">
        <f aca="false">IF(BN131="","",IF(BO131&gt;=BN131,"На складе",IF(BO131&gt;0,"Частично","Ждём")))</f>
        <v/>
      </c>
      <c r="BR131" s="43"/>
      <c r="BS131" s="47" t="str">
        <f aca="false">IF(BN131="","",IF(_xlfn.MAXIFS(ЗАКАЗЫ!$AK$3:$AK$500,ЗАКАЗЫ!$F$3:$F$500,$A131)=0,"",_xlfn.MAXIFS(ЗАКАЗЫ!$AK$3:$AK$500,ЗАКАЗЫ!$F$3:$F$500,$A131)))</f>
        <v/>
      </c>
    </row>
    <row r="132" customFormat="false" ht="15.75" hidden="false" customHeight="true" outlineLevel="0" collapsed="false">
      <c r="A132" s="80" t="s">
        <v>2326</v>
      </c>
      <c r="B132" s="81"/>
      <c r="C132" s="81"/>
      <c r="D132" s="81"/>
      <c r="E132" s="83"/>
      <c r="F132" s="81"/>
      <c r="G132" s="83"/>
      <c r="H132" s="83"/>
      <c r="I132" s="84" t="str">
        <f aca="false">IF(E132="","",A132&amp;"_1.jpg")</f>
        <v/>
      </c>
      <c r="J132" s="84" t="str">
        <f aca="false">IF(E132="","",A132&amp;"_2.jpg; "&amp;A132&amp;"_3.jpg")</f>
        <v/>
      </c>
      <c r="K132" s="84" t="str">
        <f aca="false">IF(E132="","",A132&amp;"_schema.jpg")</f>
        <v/>
      </c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 t="s">
        <v>96</v>
      </c>
      <c r="W132" s="81"/>
      <c r="X132" s="81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6" t="str">
        <f aca="false">IF(SUM(Y132:AJ132)=0,"",SUM(Y132:AJ132))</f>
        <v/>
      </c>
      <c r="AL132" s="84" t="str">
        <f aca="false">MID(IF(N(Y132)&gt;0,", "&amp;Y$2,"")&amp;IF(N(Z132)&gt;0,", "&amp;Z$2,"")&amp;IF(N(AA132)&gt;0,", "&amp;AA$2,"")&amp;IF(N(AB132)&gt;0,", "&amp;AB$2,"")&amp;IF(N(AC132)&gt;0,", "&amp;AC$2,"")&amp;IF(N(AD132)&gt;0,", "&amp;AD$2,"")&amp;IF(N(AE132)&gt;0,", "&amp;AE$2,"")&amp;IF(N(AF132)&gt;0,", "&amp;AF$2,"")&amp;IF(N(AG132)&gt;0,", "&amp;AG$2,"")&amp;IF(N(AH132)&gt;0,", "&amp;AH$2,"")&amp;IF(N(AI132)&gt;0,", "&amp;AI$2,"")&amp;IF(N(AJ132)&gt;0,", "&amp;AJ$2,""),3,999)</f>
        <v/>
      </c>
      <c r="AM132" s="87" t="str">
        <f aca="false">IF(E132="","",MID(IF(N(Y132)&gt;0,", "&amp;A132&amp;"-"&amp;Y$2,"")&amp;IF(N(Z132)&gt;0,", "&amp;A132&amp;"-"&amp;Z$2,"")&amp;IF(N(AA132)&gt;0,", "&amp;A132&amp;"-"&amp;AA$2,"")&amp;IF(N(AB132)&gt;0,", "&amp;A132&amp;"-"&amp;AB$2,"")&amp;IF(N(AC132)&gt;0,", "&amp;A132&amp;"-"&amp;AC$2,"")&amp;IF(N(AD132)&gt;0,", "&amp;A132&amp;"-"&amp;AD$2,"")&amp;IF(N(AE132)&gt;0,", "&amp;A132&amp;"-"&amp;AE$2,"")&amp;IF(N(AF132)&gt;0,", "&amp;A132&amp;"-"&amp;AF$2,"")&amp;IF(N(AG132)&gt;0,", "&amp;A132&amp;"-"&amp;AG$2,"")&amp;IF(N(AH132)&gt;0,", "&amp;A132&amp;"-"&amp;AH$2,"")&amp;IF(N(AI132)&gt;0,", "&amp;A132&amp;"-"&amp;AI$2,"")&amp;IF(N(AJ132)&gt;0,", "&amp;A132&amp;"-"&amp;AJ$2,""),3,999))</f>
        <v/>
      </c>
      <c r="AN132" s="81"/>
      <c r="AO132" s="88"/>
      <c r="AP132" s="89" t="str">
        <f aca="false">IF(AO132="","",ROUND(AO132/(1+Справочники!$B$13),2))</f>
        <v/>
      </c>
      <c r="AQ132" s="90" t="str">
        <f aca="false" t="array" ref="AQ132:AQ132">IF(AP132="","",AP132*INDEX(Справочники!$B$4:$B$7,MATCH("RUB",Справочники!$A$4:$A$7,0)))</f>
        <v/>
      </c>
      <c r="AR132" s="90" t="str">
        <f aca="false">IF(AQ132="","",ROUND(AQ132*(1+Справочники!$B$12),0))</f>
        <v/>
      </c>
      <c r="AS132" s="90" t="str">
        <f aca="false">IF(AR132="","",ROUND(AR132*(1-Справочники!$B$11),0))</f>
        <v/>
      </c>
      <c r="AT132" s="88"/>
      <c r="AU132" s="90" t="str">
        <f aca="false">IF(AT132="","",ROUND(AT132/(1+Справочники!$B$12),0))</f>
        <v/>
      </c>
      <c r="AV132" s="90" t="str">
        <f aca="false">IF(AT132="","",ROUND(AT132*(1-Справочники!$B$15),0))</f>
        <v/>
      </c>
      <c r="AW132" s="90" t="str">
        <f aca="false">IF(AT132="","",ROUND(AT132*(1-Справочники!$B$16),0))</f>
        <v/>
      </c>
      <c r="AX132" s="90" t="str">
        <f aca="false">IF(AT132="","",ROUND(AT132*(1-Справочники!$B$17),0))</f>
        <v/>
      </c>
      <c r="AY132" s="90" t="str">
        <f aca="false">IF(AT132="","",ROUND(AT132*(1-Справочники!$B$18),0))</f>
        <v/>
      </c>
      <c r="AZ132" s="90" t="str">
        <f aca="false">IF(AT132="","",ROUND(AT132*(1-Справочники!$B$19),0))</f>
        <v/>
      </c>
      <c r="BA132" s="81"/>
      <c r="BB132" s="81"/>
      <c r="BC132" s="81"/>
      <c r="BD132" s="81"/>
      <c r="BE132" s="91"/>
      <c r="BF132" s="81" t="s">
        <v>103</v>
      </c>
      <c r="BG132" s="89" t="n">
        <f aca="false" t="array" ref="BG132:BG132">IF(BF132="","",IFERROR(INDEX(Справочники!$B$4:$B$7,MATCH(BF132,Справочники!$A$4:$A$7,0)),""))</f>
        <v>68.5</v>
      </c>
      <c r="BH132" s="90" t="str">
        <f aca="false">IF(N(BN132)&gt;0,ROUND(SUMIF(ЗАКАЗЫ!$F$3:$F$500,$A132,ЗАКАЗЫ!$Y$3:$Y$500)/BN132,0),IF(OR(BE132="",BG132=""),"",ROUND(BE132*BG132*(1+Справочники!$B$10),0)))</f>
        <v/>
      </c>
      <c r="BI132" s="92" t="str">
        <f aca="false">IF(OR(AU132="",BH132="",AU132=0),"",(AU132-BH132)/AU132)</f>
        <v/>
      </c>
      <c r="BJ132" s="81"/>
      <c r="BK132" s="83"/>
      <c r="BL132" s="43" t="str">
        <f aca="false">IFERROR(INDEX(ЗАКАЗЫ!$N$3:$N$500,MATCH($A132,ЗАКАЗЫ!$F$3:$F$500,0)),"")</f>
        <v/>
      </c>
      <c r="BM132" s="8" t="str">
        <f aca="false">IF(BL132="","",IFERROR(VLOOKUP(BL132,'ТН ВЭД'!$A$4:$C$40,3,0),""))</f>
        <v/>
      </c>
      <c r="BN132" s="7" t="str">
        <f aca="false">IF(COUNTIF(ЗАКАЗЫ!$F$3:$F$500,$A132)=0,"",SUMIF(ЗАКАЗЫ!$F$3:$F$500,$A132,ЗАКАЗЫ!$J$3:$J$500))</f>
        <v/>
      </c>
      <c r="BO132" s="7" t="str">
        <f aca="false">IF(BN132="","",SUMIF(ЗАКАЗЫ!$F$3:$F$500,$A132,ЗАКАЗЫ!$AL$3:$AL$500))</f>
        <v/>
      </c>
      <c r="BP132" s="7" t="str">
        <f aca="false">IF(BN132="","",BN132-BO132)</f>
        <v/>
      </c>
      <c r="BQ132" s="55" t="str">
        <f aca="false">IF(BN132="","",IF(BO132&gt;=BN132,"На складе",IF(BO132&gt;0,"Частично","Ждём")))</f>
        <v/>
      </c>
      <c r="BR132" s="43"/>
      <c r="BS132" s="47" t="str">
        <f aca="false">IF(BN132="","",IF(_xlfn.MAXIFS(ЗАКАЗЫ!$AK$3:$AK$500,ЗАКАЗЫ!$F$3:$F$500,$A132)=0,"",_xlfn.MAXIFS(ЗАКАЗЫ!$AK$3:$AK$500,ЗАКАЗЫ!$F$3:$F$500,$A132)))</f>
        <v/>
      </c>
    </row>
    <row r="133" customFormat="false" ht="15.75" hidden="false" customHeight="true" outlineLevel="0" collapsed="false">
      <c r="A133" s="80" t="s">
        <v>2327</v>
      </c>
      <c r="B133" s="81"/>
      <c r="C133" s="81"/>
      <c r="D133" s="81"/>
      <c r="E133" s="83"/>
      <c r="F133" s="81"/>
      <c r="G133" s="83"/>
      <c r="H133" s="83"/>
      <c r="I133" s="84" t="str">
        <f aca="false">IF(E133="","",A133&amp;"_1.jpg")</f>
        <v/>
      </c>
      <c r="J133" s="84" t="str">
        <f aca="false">IF(E133="","",A133&amp;"_2.jpg; "&amp;A133&amp;"_3.jpg")</f>
        <v/>
      </c>
      <c r="K133" s="84" t="str">
        <f aca="false">IF(E133="","",A133&amp;"_schema.jpg")</f>
        <v/>
      </c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 t="s">
        <v>96</v>
      </c>
      <c r="W133" s="81"/>
      <c r="X133" s="81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6" t="str">
        <f aca="false">IF(SUM(Y133:AJ133)=0,"",SUM(Y133:AJ133))</f>
        <v/>
      </c>
      <c r="AL133" s="84" t="str">
        <f aca="false">MID(IF(N(Y133)&gt;0,", "&amp;Y$2,"")&amp;IF(N(Z133)&gt;0,", "&amp;Z$2,"")&amp;IF(N(AA133)&gt;0,", "&amp;AA$2,"")&amp;IF(N(AB133)&gt;0,", "&amp;AB$2,"")&amp;IF(N(AC133)&gt;0,", "&amp;AC$2,"")&amp;IF(N(AD133)&gt;0,", "&amp;AD$2,"")&amp;IF(N(AE133)&gt;0,", "&amp;AE$2,"")&amp;IF(N(AF133)&gt;0,", "&amp;AF$2,"")&amp;IF(N(AG133)&gt;0,", "&amp;AG$2,"")&amp;IF(N(AH133)&gt;0,", "&amp;AH$2,"")&amp;IF(N(AI133)&gt;0,", "&amp;AI$2,"")&amp;IF(N(AJ133)&gt;0,", "&amp;AJ$2,""),3,999)</f>
        <v/>
      </c>
      <c r="AM133" s="87" t="str">
        <f aca="false">IF(E133="","",MID(IF(N(Y133)&gt;0,", "&amp;A133&amp;"-"&amp;Y$2,"")&amp;IF(N(Z133)&gt;0,", "&amp;A133&amp;"-"&amp;Z$2,"")&amp;IF(N(AA133)&gt;0,", "&amp;A133&amp;"-"&amp;AA$2,"")&amp;IF(N(AB133)&gt;0,", "&amp;A133&amp;"-"&amp;AB$2,"")&amp;IF(N(AC133)&gt;0,", "&amp;A133&amp;"-"&amp;AC$2,"")&amp;IF(N(AD133)&gt;0,", "&amp;A133&amp;"-"&amp;AD$2,"")&amp;IF(N(AE133)&gt;0,", "&amp;A133&amp;"-"&amp;AE$2,"")&amp;IF(N(AF133)&gt;0,", "&amp;A133&amp;"-"&amp;AF$2,"")&amp;IF(N(AG133)&gt;0,", "&amp;A133&amp;"-"&amp;AG$2,"")&amp;IF(N(AH133)&gt;0,", "&amp;A133&amp;"-"&amp;AH$2,"")&amp;IF(N(AI133)&gt;0,", "&amp;A133&amp;"-"&amp;AI$2,"")&amp;IF(N(AJ133)&gt;0,", "&amp;A133&amp;"-"&amp;AJ$2,""),3,999))</f>
        <v/>
      </c>
      <c r="AN133" s="81"/>
      <c r="AO133" s="88"/>
      <c r="AP133" s="89" t="str">
        <f aca="false">IF(AO133="","",ROUND(AO133/(1+Справочники!$B$13),2))</f>
        <v/>
      </c>
      <c r="AQ133" s="90" t="str">
        <f aca="false" t="array" ref="AQ133:AQ133">IF(AP133="","",AP133*INDEX(Справочники!$B$4:$B$7,MATCH("RUB",Справочники!$A$4:$A$7,0)))</f>
        <v/>
      </c>
      <c r="AR133" s="90" t="str">
        <f aca="false">IF(AQ133="","",ROUND(AQ133*(1+Справочники!$B$12),0))</f>
        <v/>
      </c>
      <c r="AS133" s="90" t="str">
        <f aca="false">IF(AR133="","",ROUND(AR133*(1-Справочники!$B$11),0))</f>
        <v/>
      </c>
      <c r="AT133" s="88"/>
      <c r="AU133" s="90" t="str">
        <f aca="false">IF(AT133="","",ROUND(AT133/(1+Справочники!$B$12),0))</f>
        <v/>
      </c>
      <c r="AV133" s="90" t="str">
        <f aca="false">IF(AT133="","",ROUND(AT133*(1-Справочники!$B$15),0))</f>
        <v/>
      </c>
      <c r="AW133" s="90" t="str">
        <f aca="false">IF(AT133="","",ROUND(AT133*(1-Справочники!$B$16),0))</f>
        <v/>
      </c>
      <c r="AX133" s="90" t="str">
        <f aca="false">IF(AT133="","",ROUND(AT133*(1-Справочники!$B$17),0))</f>
        <v/>
      </c>
      <c r="AY133" s="90" t="str">
        <f aca="false">IF(AT133="","",ROUND(AT133*(1-Справочники!$B$18),0))</f>
        <v/>
      </c>
      <c r="AZ133" s="90" t="str">
        <f aca="false">IF(AT133="","",ROUND(AT133*(1-Справочники!$B$19),0))</f>
        <v/>
      </c>
      <c r="BA133" s="81"/>
      <c r="BB133" s="81"/>
      <c r="BC133" s="81"/>
      <c r="BD133" s="81"/>
      <c r="BE133" s="91"/>
      <c r="BF133" s="81" t="s">
        <v>103</v>
      </c>
      <c r="BG133" s="89" t="n">
        <f aca="false" t="array" ref="BG133:BG133">IF(BF133="","",IFERROR(INDEX(Справочники!$B$4:$B$7,MATCH(BF133,Справочники!$A$4:$A$7,0)),""))</f>
        <v>68.5</v>
      </c>
      <c r="BH133" s="90" t="str">
        <f aca="false">IF(N(BN133)&gt;0,ROUND(SUMIF(ЗАКАЗЫ!$F$3:$F$500,$A133,ЗАКАЗЫ!$Y$3:$Y$500)/BN133,0),IF(OR(BE133="",BG133=""),"",ROUND(BE133*BG133*(1+Справочники!$B$10),0)))</f>
        <v/>
      </c>
      <c r="BI133" s="92" t="str">
        <f aca="false">IF(OR(AU133="",BH133="",AU133=0),"",(AU133-BH133)/AU133)</f>
        <v/>
      </c>
      <c r="BJ133" s="81"/>
      <c r="BK133" s="83"/>
      <c r="BL133" s="43" t="str">
        <f aca="false">IFERROR(INDEX(ЗАКАЗЫ!$N$3:$N$500,MATCH($A133,ЗАКАЗЫ!$F$3:$F$500,0)),"")</f>
        <v/>
      </c>
      <c r="BM133" s="8" t="str">
        <f aca="false">IF(BL133="","",IFERROR(VLOOKUP(BL133,'ТН ВЭД'!$A$4:$C$40,3,0),""))</f>
        <v/>
      </c>
      <c r="BN133" s="7" t="str">
        <f aca="false">IF(COUNTIF(ЗАКАЗЫ!$F$3:$F$500,$A133)=0,"",SUMIF(ЗАКАЗЫ!$F$3:$F$500,$A133,ЗАКАЗЫ!$J$3:$J$500))</f>
        <v/>
      </c>
      <c r="BO133" s="7" t="str">
        <f aca="false">IF(BN133="","",SUMIF(ЗАКАЗЫ!$F$3:$F$500,$A133,ЗАКАЗЫ!$AL$3:$AL$500))</f>
        <v/>
      </c>
      <c r="BP133" s="7" t="str">
        <f aca="false">IF(BN133="","",BN133-BO133)</f>
        <v/>
      </c>
      <c r="BQ133" s="55" t="str">
        <f aca="false">IF(BN133="","",IF(BO133&gt;=BN133,"На складе",IF(BO133&gt;0,"Частично","Ждём")))</f>
        <v/>
      </c>
      <c r="BR133" s="43"/>
      <c r="BS133" s="47" t="str">
        <f aca="false">IF(BN133="","",IF(_xlfn.MAXIFS(ЗАКАЗЫ!$AK$3:$AK$500,ЗАКАЗЫ!$F$3:$F$500,$A133)=0,"",_xlfn.MAXIFS(ЗАКАЗЫ!$AK$3:$AK$500,ЗАКАЗЫ!$F$3:$F$500,$A133)))</f>
        <v/>
      </c>
    </row>
    <row r="134" customFormat="false" ht="15.75" hidden="false" customHeight="true" outlineLevel="0" collapsed="false">
      <c r="A134" s="80" t="s">
        <v>2328</v>
      </c>
      <c r="B134" s="81"/>
      <c r="C134" s="81"/>
      <c r="D134" s="81"/>
      <c r="E134" s="83"/>
      <c r="F134" s="81"/>
      <c r="G134" s="83"/>
      <c r="H134" s="83"/>
      <c r="I134" s="84" t="str">
        <f aca="false">IF(E134="","",A134&amp;"_1.jpg")</f>
        <v/>
      </c>
      <c r="J134" s="84" t="str">
        <f aca="false">IF(E134="","",A134&amp;"_2.jpg; "&amp;A134&amp;"_3.jpg")</f>
        <v/>
      </c>
      <c r="K134" s="84" t="str">
        <f aca="false">IF(E134="","",A134&amp;"_schema.jpg")</f>
        <v/>
      </c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 t="s">
        <v>96</v>
      </c>
      <c r="W134" s="81"/>
      <c r="X134" s="81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6" t="str">
        <f aca="false">IF(SUM(Y134:AJ134)=0,"",SUM(Y134:AJ134))</f>
        <v/>
      </c>
      <c r="AL134" s="84" t="str">
        <f aca="false">MID(IF(N(Y134)&gt;0,", "&amp;Y$2,"")&amp;IF(N(Z134)&gt;0,", "&amp;Z$2,"")&amp;IF(N(AA134)&gt;0,", "&amp;AA$2,"")&amp;IF(N(AB134)&gt;0,", "&amp;AB$2,"")&amp;IF(N(AC134)&gt;0,", "&amp;AC$2,"")&amp;IF(N(AD134)&gt;0,", "&amp;AD$2,"")&amp;IF(N(AE134)&gt;0,", "&amp;AE$2,"")&amp;IF(N(AF134)&gt;0,", "&amp;AF$2,"")&amp;IF(N(AG134)&gt;0,", "&amp;AG$2,"")&amp;IF(N(AH134)&gt;0,", "&amp;AH$2,"")&amp;IF(N(AI134)&gt;0,", "&amp;AI$2,"")&amp;IF(N(AJ134)&gt;0,", "&amp;AJ$2,""),3,999)</f>
        <v/>
      </c>
      <c r="AM134" s="87" t="str">
        <f aca="false">IF(E134="","",MID(IF(N(Y134)&gt;0,", "&amp;A134&amp;"-"&amp;Y$2,"")&amp;IF(N(Z134)&gt;0,", "&amp;A134&amp;"-"&amp;Z$2,"")&amp;IF(N(AA134)&gt;0,", "&amp;A134&amp;"-"&amp;AA$2,"")&amp;IF(N(AB134)&gt;0,", "&amp;A134&amp;"-"&amp;AB$2,"")&amp;IF(N(AC134)&gt;0,", "&amp;A134&amp;"-"&amp;AC$2,"")&amp;IF(N(AD134)&gt;0,", "&amp;A134&amp;"-"&amp;AD$2,"")&amp;IF(N(AE134)&gt;0,", "&amp;A134&amp;"-"&amp;AE$2,"")&amp;IF(N(AF134)&gt;0,", "&amp;A134&amp;"-"&amp;AF$2,"")&amp;IF(N(AG134)&gt;0,", "&amp;A134&amp;"-"&amp;AG$2,"")&amp;IF(N(AH134)&gt;0,", "&amp;A134&amp;"-"&amp;AH$2,"")&amp;IF(N(AI134)&gt;0,", "&amp;A134&amp;"-"&amp;AI$2,"")&amp;IF(N(AJ134)&gt;0,", "&amp;A134&amp;"-"&amp;AJ$2,""),3,999))</f>
        <v/>
      </c>
      <c r="AN134" s="81"/>
      <c r="AO134" s="88"/>
      <c r="AP134" s="89" t="str">
        <f aca="false">IF(AO134="","",ROUND(AO134/(1+Справочники!$B$13),2))</f>
        <v/>
      </c>
      <c r="AQ134" s="90" t="str">
        <f aca="false" t="array" ref="AQ134:AQ134">IF(AP134="","",AP134*INDEX(Справочники!$B$4:$B$7,MATCH("RUB",Справочники!$A$4:$A$7,0)))</f>
        <v/>
      </c>
      <c r="AR134" s="90" t="str">
        <f aca="false">IF(AQ134="","",ROUND(AQ134*(1+Справочники!$B$12),0))</f>
        <v/>
      </c>
      <c r="AS134" s="90" t="str">
        <f aca="false">IF(AR134="","",ROUND(AR134*(1-Справочники!$B$11),0))</f>
        <v/>
      </c>
      <c r="AT134" s="88"/>
      <c r="AU134" s="90" t="str">
        <f aca="false">IF(AT134="","",ROUND(AT134/(1+Справочники!$B$12),0))</f>
        <v/>
      </c>
      <c r="AV134" s="90" t="str">
        <f aca="false">IF(AT134="","",ROUND(AT134*(1-Справочники!$B$15),0))</f>
        <v/>
      </c>
      <c r="AW134" s="90" t="str">
        <f aca="false">IF(AT134="","",ROUND(AT134*(1-Справочники!$B$16),0))</f>
        <v/>
      </c>
      <c r="AX134" s="90" t="str">
        <f aca="false">IF(AT134="","",ROUND(AT134*(1-Справочники!$B$17),0))</f>
        <v/>
      </c>
      <c r="AY134" s="90" t="str">
        <f aca="false">IF(AT134="","",ROUND(AT134*(1-Справочники!$B$18),0))</f>
        <v/>
      </c>
      <c r="AZ134" s="90" t="str">
        <f aca="false">IF(AT134="","",ROUND(AT134*(1-Справочники!$B$19),0))</f>
        <v/>
      </c>
      <c r="BA134" s="81"/>
      <c r="BB134" s="81"/>
      <c r="BC134" s="81"/>
      <c r="BD134" s="81"/>
      <c r="BE134" s="91"/>
      <c r="BF134" s="81" t="s">
        <v>103</v>
      </c>
      <c r="BG134" s="89" t="n">
        <f aca="false" t="array" ref="BG134:BG134">IF(BF134="","",IFERROR(INDEX(Справочники!$B$4:$B$7,MATCH(BF134,Справочники!$A$4:$A$7,0)),""))</f>
        <v>68.5</v>
      </c>
      <c r="BH134" s="90" t="str">
        <f aca="false">IF(N(BN134)&gt;0,ROUND(SUMIF(ЗАКАЗЫ!$F$3:$F$500,$A134,ЗАКАЗЫ!$Y$3:$Y$500)/BN134,0),IF(OR(BE134="",BG134=""),"",ROUND(BE134*BG134*(1+Справочники!$B$10),0)))</f>
        <v/>
      </c>
      <c r="BI134" s="92" t="str">
        <f aca="false">IF(OR(AU134="",BH134="",AU134=0),"",(AU134-BH134)/AU134)</f>
        <v/>
      </c>
      <c r="BJ134" s="81"/>
      <c r="BK134" s="83"/>
      <c r="BL134" s="43" t="str">
        <f aca="false">IFERROR(INDEX(ЗАКАЗЫ!$N$3:$N$500,MATCH($A134,ЗАКАЗЫ!$F$3:$F$500,0)),"")</f>
        <v/>
      </c>
      <c r="BM134" s="8" t="str">
        <f aca="false">IF(BL134="","",IFERROR(VLOOKUP(BL134,'ТН ВЭД'!$A$4:$C$40,3,0),""))</f>
        <v/>
      </c>
      <c r="BN134" s="7" t="str">
        <f aca="false">IF(COUNTIF(ЗАКАЗЫ!$F$3:$F$500,$A134)=0,"",SUMIF(ЗАКАЗЫ!$F$3:$F$500,$A134,ЗАКАЗЫ!$J$3:$J$500))</f>
        <v/>
      </c>
      <c r="BO134" s="7" t="str">
        <f aca="false">IF(BN134="","",SUMIF(ЗАКАЗЫ!$F$3:$F$500,$A134,ЗАКАЗЫ!$AL$3:$AL$500))</f>
        <v/>
      </c>
      <c r="BP134" s="7" t="str">
        <f aca="false">IF(BN134="","",BN134-BO134)</f>
        <v/>
      </c>
      <c r="BQ134" s="55" t="str">
        <f aca="false">IF(BN134="","",IF(BO134&gt;=BN134,"На складе",IF(BO134&gt;0,"Частично","Ждём")))</f>
        <v/>
      </c>
      <c r="BR134" s="43"/>
      <c r="BS134" s="47" t="str">
        <f aca="false">IF(BN134="","",IF(_xlfn.MAXIFS(ЗАКАЗЫ!$AK$3:$AK$500,ЗАКАЗЫ!$F$3:$F$500,$A134)=0,"",_xlfn.MAXIFS(ЗАКАЗЫ!$AK$3:$AK$500,ЗАКАЗЫ!$F$3:$F$500,$A134)))</f>
        <v/>
      </c>
    </row>
    <row r="135" customFormat="false" ht="15.75" hidden="false" customHeight="true" outlineLevel="0" collapsed="false">
      <c r="A135" s="80" t="s">
        <v>2329</v>
      </c>
      <c r="B135" s="81"/>
      <c r="C135" s="81"/>
      <c r="D135" s="81"/>
      <c r="E135" s="83"/>
      <c r="F135" s="81"/>
      <c r="G135" s="83"/>
      <c r="H135" s="83"/>
      <c r="I135" s="84" t="str">
        <f aca="false">IF(E135="","",A135&amp;"_1.jpg")</f>
        <v/>
      </c>
      <c r="J135" s="84" t="str">
        <f aca="false">IF(E135="","",A135&amp;"_2.jpg; "&amp;A135&amp;"_3.jpg")</f>
        <v/>
      </c>
      <c r="K135" s="84" t="str">
        <f aca="false">IF(E135="","",A135&amp;"_schema.jpg")</f>
        <v/>
      </c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 t="s">
        <v>96</v>
      </c>
      <c r="W135" s="81"/>
      <c r="X135" s="81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6" t="str">
        <f aca="false">IF(SUM(Y135:AJ135)=0,"",SUM(Y135:AJ135))</f>
        <v/>
      </c>
      <c r="AL135" s="84" t="str">
        <f aca="false">MID(IF(N(Y135)&gt;0,", "&amp;Y$2,"")&amp;IF(N(Z135)&gt;0,", "&amp;Z$2,"")&amp;IF(N(AA135)&gt;0,", "&amp;AA$2,"")&amp;IF(N(AB135)&gt;0,", "&amp;AB$2,"")&amp;IF(N(AC135)&gt;0,", "&amp;AC$2,"")&amp;IF(N(AD135)&gt;0,", "&amp;AD$2,"")&amp;IF(N(AE135)&gt;0,", "&amp;AE$2,"")&amp;IF(N(AF135)&gt;0,", "&amp;AF$2,"")&amp;IF(N(AG135)&gt;0,", "&amp;AG$2,"")&amp;IF(N(AH135)&gt;0,", "&amp;AH$2,"")&amp;IF(N(AI135)&gt;0,", "&amp;AI$2,"")&amp;IF(N(AJ135)&gt;0,", "&amp;AJ$2,""),3,999)</f>
        <v/>
      </c>
      <c r="AM135" s="87" t="str">
        <f aca="false">IF(E135="","",MID(IF(N(Y135)&gt;0,", "&amp;A135&amp;"-"&amp;Y$2,"")&amp;IF(N(Z135)&gt;0,", "&amp;A135&amp;"-"&amp;Z$2,"")&amp;IF(N(AA135)&gt;0,", "&amp;A135&amp;"-"&amp;AA$2,"")&amp;IF(N(AB135)&gt;0,", "&amp;A135&amp;"-"&amp;AB$2,"")&amp;IF(N(AC135)&gt;0,", "&amp;A135&amp;"-"&amp;AC$2,"")&amp;IF(N(AD135)&gt;0,", "&amp;A135&amp;"-"&amp;AD$2,"")&amp;IF(N(AE135)&gt;0,", "&amp;A135&amp;"-"&amp;AE$2,"")&amp;IF(N(AF135)&gt;0,", "&amp;A135&amp;"-"&amp;AF$2,"")&amp;IF(N(AG135)&gt;0,", "&amp;A135&amp;"-"&amp;AG$2,"")&amp;IF(N(AH135)&gt;0,", "&amp;A135&amp;"-"&amp;AH$2,"")&amp;IF(N(AI135)&gt;0,", "&amp;A135&amp;"-"&amp;AI$2,"")&amp;IF(N(AJ135)&gt;0,", "&amp;A135&amp;"-"&amp;AJ$2,""),3,999))</f>
        <v/>
      </c>
      <c r="AN135" s="81"/>
      <c r="AO135" s="88"/>
      <c r="AP135" s="89" t="str">
        <f aca="false">IF(AO135="","",ROUND(AO135/(1+Справочники!$B$13),2))</f>
        <v/>
      </c>
      <c r="AQ135" s="90" t="str">
        <f aca="false" t="array" ref="AQ135:AQ135">IF(AP135="","",AP135*INDEX(Справочники!$B$4:$B$7,MATCH("RUB",Справочники!$A$4:$A$7,0)))</f>
        <v/>
      </c>
      <c r="AR135" s="90" t="str">
        <f aca="false">IF(AQ135="","",ROUND(AQ135*(1+Справочники!$B$12),0))</f>
        <v/>
      </c>
      <c r="AS135" s="90" t="str">
        <f aca="false">IF(AR135="","",ROUND(AR135*(1-Справочники!$B$11),0))</f>
        <v/>
      </c>
      <c r="AT135" s="88"/>
      <c r="AU135" s="90" t="str">
        <f aca="false">IF(AT135="","",ROUND(AT135/(1+Справочники!$B$12),0))</f>
        <v/>
      </c>
      <c r="AV135" s="90" t="str">
        <f aca="false">IF(AT135="","",ROUND(AT135*(1-Справочники!$B$15),0))</f>
        <v/>
      </c>
      <c r="AW135" s="90" t="str">
        <f aca="false">IF(AT135="","",ROUND(AT135*(1-Справочники!$B$16),0))</f>
        <v/>
      </c>
      <c r="AX135" s="90" t="str">
        <f aca="false">IF(AT135="","",ROUND(AT135*(1-Справочники!$B$17),0))</f>
        <v/>
      </c>
      <c r="AY135" s="90" t="str">
        <f aca="false">IF(AT135="","",ROUND(AT135*(1-Справочники!$B$18),0))</f>
        <v/>
      </c>
      <c r="AZ135" s="90" t="str">
        <f aca="false">IF(AT135="","",ROUND(AT135*(1-Справочники!$B$19),0))</f>
        <v/>
      </c>
      <c r="BA135" s="81"/>
      <c r="BB135" s="81"/>
      <c r="BC135" s="81"/>
      <c r="BD135" s="81"/>
      <c r="BE135" s="91"/>
      <c r="BF135" s="81" t="s">
        <v>103</v>
      </c>
      <c r="BG135" s="89" t="n">
        <f aca="false" t="array" ref="BG135:BG135">IF(BF135="","",IFERROR(INDEX(Справочники!$B$4:$B$7,MATCH(BF135,Справочники!$A$4:$A$7,0)),""))</f>
        <v>68.5</v>
      </c>
      <c r="BH135" s="90" t="str">
        <f aca="false">IF(N(BN135)&gt;0,ROUND(SUMIF(ЗАКАЗЫ!$F$3:$F$500,$A135,ЗАКАЗЫ!$Y$3:$Y$500)/BN135,0),IF(OR(BE135="",BG135=""),"",ROUND(BE135*BG135*(1+Справочники!$B$10),0)))</f>
        <v/>
      </c>
      <c r="BI135" s="92" t="str">
        <f aca="false">IF(OR(AU135="",BH135="",AU135=0),"",(AU135-BH135)/AU135)</f>
        <v/>
      </c>
      <c r="BJ135" s="81"/>
      <c r="BK135" s="83"/>
      <c r="BL135" s="43" t="str">
        <f aca="false">IFERROR(INDEX(ЗАКАЗЫ!$N$3:$N$500,MATCH($A135,ЗАКАЗЫ!$F$3:$F$500,0)),"")</f>
        <v/>
      </c>
      <c r="BM135" s="8" t="str">
        <f aca="false">IF(BL135="","",IFERROR(VLOOKUP(BL135,'ТН ВЭД'!$A$4:$C$40,3,0),""))</f>
        <v/>
      </c>
      <c r="BN135" s="7" t="str">
        <f aca="false">IF(COUNTIF(ЗАКАЗЫ!$F$3:$F$500,$A135)=0,"",SUMIF(ЗАКАЗЫ!$F$3:$F$500,$A135,ЗАКАЗЫ!$J$3:$J$500))</f>
        <v/>
      </c>
      <c r="BO135" s="7" t="str">
        <f aca="false">IF(BN135="","",SUMIF(ЗАКАЗЫ!$F$3:$F$500,$A135,ЗАКАЗЫ!$AL$3:$AL$500))</f>
        <v/>
      </c>
      <c r="BP135" s="7" t="str">
        <f aca="false">IF(BN135="","",BN135-BO135)</f>
        <v/>
      </c>
      <c r="BQ135" s="55" t="str">
        <f aca="false">IF(BN135="","",IF(BO135&gt;=BN135,"На складе",IF(BO135&gt;0,"Частично","Ждём")))</f>
        <v/>
      </c>
      <c r="BR135" s="43"/>
      <c r="BS135" s="47" t="str">
        <f aca="false">IF(BN135="","",IF(_xlfn.MAXIFS(ЗАКАЗЫ!$AK$3:$AK$500,ЗАКАЗЫ!$F$3:$F$500,$A135)=0,"",_xlfn.MAXIFS(ЗАКАЗЫ!$AK$3:$AK$500,ЗАКАЗЫ!$F$3:$F$500,$A135)))</f>
        <v/>
      </c>
    </row>
    <row r="136" customFormat="false" ht="15.75" hidden="false" customHeight="true" outlineLevel="0" collapsed="false">
      <c r="A136" s="80" t="s">
        <v>2330</v>
      </c>
      <c r="B136" s="81"/>
      <c r="C136" s="81"/>
      <c r="D136" s="81"/>
      <c r="E136" s="83"/>
      <c r="F136" s="81"/>
      <c r="G136" s="83"/>
      <c r="H136" s="83"/>
      <c r="I136" s="84" t="str">
        <f aca="false">IF(E136="","",A136&amp;"_1.jpg")</f>
        <v/>
      </c>
      <c r="J136" s="84" t="str">
        <f aca="false">IF(E136="","",A136&amp;"_2.jpg; "&amp;A136&amp;"_3.jpg")</f>
        <v/>
      </c>
      <c r="K136" s="84" t="str">
        <f aca="false">IF(E136="","",A136&amp;"_schema.jpg")</f>
        <v/>
      </c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 t="s">
        <v>96</v>
      </c>
      <c r="W136" s="81"/>
      <c r="X136" s="81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6" t="str">
        <f aca="false">IF(SUM(Y136:AJ136)=0,"",SUM(Y136:AJ136))</f>
        <v/>
      </c>
      <c r="AL136" s="84" t="str">
        <f aca="false">MID(IF(N(Y136)&gt;0,", "&amp;Y$2,"")&amp;IF(N(Z136)&gt;0,", "&amp;Z$2,"")&amp;IF(N(AA136)&gt;0,", "&amp;AA$2,"")&amp;IF(N(AB136)&gt;0,", "&amp;AB$2,"")&amp;IF(N(AC136)&gt;0,", "&amp;AC$2,"")&amp;IF(N(AD136)&gt;0,", "&amp;AD$2,"")&amp;IF(N(AE136)&gt;0,", "&amp;AE$2,"")&amp;IF(N(AF136)&gt;0,", "&amp;AF$2,"")&amp;IF(N(AG136)&gt;0,", "&amp;AG$2,"")&amp;IF(N(AH136)&gt;0,", "&amp;AH$2,"")&amp;IF(N(AI136)&gt;0,", "&amp;AI$2,"")&amp;IF(N(AJ136)&gt;0,", "&amp;AJ$2,""),3,999)</f>
        <v/>
      </c>
      <c r="AM136" s="87" t="str">
        <f aca="false">IF(E136="","",MID(IF(N(Y136)&gt;0,", "&amp;A136&amp;"-"&amp;Y$2,"")&amp;IF(N(Z136)&gt;0,", "&amp;A136&amp;"-"&amp;Z$2,"")&amp;IF(N(AA136)&gt;0,", "&amp;A136&amp;"-"&amp;AA$2,"")&amp;IF(N(AB136)&gt;0,", "&amp;A136&amp;"-"&amp;AB$2,"")&amp;IF(N(AC136)&gt;0,", "&amp;A136&amp;"-"&amp;AC$2,"")&amp;IF(N(AD136)&gt;0,", "&amp;A136&amp;"-"&amp;AD$2,"")&amp;IF(N(AE136)&gt;0,", "&amp;A136&amp;"-"&amp;AE$2,"")&amp;IF(N(AF136)&gt;0,", "&amp;A136&amp;"-"&amp;AF$2,"")&amp;IF(N(AG136)&gt;0,", "&amp;A136&amp;"-"&amp;AG$2,"")&amp;IF(N(AH136)&gt;0,", "&amp;A136&amp;"-"&amp;AH$2,"")&amp;IF(N(AI136)&gt;0,", "&amp;A136&amp;"-"&amp;AI$2,"")&amp;IF(N(AJ136)&gt;0,", "&amp;A136&amp;"-"&amp;AJ$2,""),3,999))</f>
        <v/>
      </c>
      <c r="AN136" s="81"/>
      <c r="AO136" s="88"/>
      <c r="AP136" s="89" t="str">
        <f aca="false">IF(AO136="","",ROUND(AO136/(1+Справочники!$B$13),2))</f>
        <v/>
      </c>
      <c r="AQ136" s="90" t="str">
        <f aca="false" t="array" ref="AQ136:AQ136">IF(AP136="","",AP136*INDEX(Справочники!$B$4:$B$7,MATCH("RUB",Справочники!$A$4:$A$7,0)))</f>
        <v/>
      </c>
      <c r="AR136" s="90" t="str">
        <f aca="false">IF(AQ136="","",ROUND(AQ136*(1+Справочники!$B$12),0))</f>
        <v/>
      </c>
      <c r="AS136" s="90" t="str">
        <f aca="false">IF(AR136="","",ROUND(AR136*(1-Справочники!$B$11),0))</f>
        <v/>
      </c>
      <c r="AT136" s="88"/>
      <c r="AU136" s="90" t="str">
        <f aca="false">IF(AT136="","",ROUND(AT136/(1+Справочники!$B$12),0))</f>
        <v/>
      </c>
      <c r="AV136" s="90" t="str">
        <f aca="false">IF(AT136="","",ROUND(AT136*(1-Справочники!$B$15),0))</f>
        <v/>
      </c>
      <c r="AW136" s="90" t="str">
        <f aca="false">IF(AT136="","",ROUND(AT136*(1-Справочники!$B$16),0))</f>
        <v/>
      </c>
      <c r="AX136" s="90" t="str">
        <f aca="false">IF(AT136="","",ROUND(AT136*(1-Справочники!$B$17),0))</f>
        <v/>
      </c>
      <c r="AY136" s="90" t="str">
        <f aca="false">IF(AT136="","",ROUND(AT136*(1-Справочники!$B$18),0))</f>
        <v/>
      </c>
      <c r="AZ136" s="90" t="str">
        <f aca="false">IF(AT136="","",ROUND(AT136*(1-Справочники!$B$19),0))</f>
        <v/>
      </c>
      <c r="BA136" s="81"/>
      <c r="BB136" s="81"/>
      <c r="BC136" s="81"/>
      <c r="BD136" s="81"/>
      <c r="BE136" s="91"/>
      <c r="BF136" s="81" t="s">
        <v>103</v>
      </c>
      <c r="BG136" s="89" t="n">
        <f aca="false" t="array" ref="BG136:BG136">IF(BF136="","",IFERROR(INDEX(Справочники!$B$4:$B$7,MATCH(BF136,Справочники!$A$4:$A$7,0)),""))</f>
        <v>68.5</v>
      </c>
      <c r="BH136" s="90" t="str">
        <f aca="false">IF(N(BN136)&gt;0,ROUND(SUMIF(ЗАКАЗЫ!$F$3:$F$500,$A136,ЗАКАЗЫ!$Y$3:$Y$500)/BN136,0),IF(OR(BE136="",BG136=""),"",ROUND(BE136*BG136*(1+Справочники!$B$10),0)))</f>
        <v/>
      </c>
      <c r="BI136" s="92" t="str">
        <f aca="false">IF(OR(AU136="",BH136="",AU136=0),"",(AU136-BH136)/AU136)</f>
        <v/>
      </c>
      <c r="BJ136" s="81"/>
      <c r="BK136" s="83"/>
      <c r="BL136" s="43" t="str">
        <f aca="false">IFERROR(INDEX(ЗАКАЗЫ!$N$3:$N$500,MATCH($A136,ЗАКАЗЫ!$F$3:$F$500,0)),"")</f>
        <v/>
      </c>
      <c r="BM136" s="8" t="str">
        <f aca="false">IF(BL136="","",IFERROR(VLOOKUP(BL136,'ТН ВЭД'!$A$4:$C$40,3,0),""))</f>
        <v/>
      </c>
      <c r="BN136" s="7" t="str">
        <f aca="false">IF(COUNTIF(ЗАКАЗЫ!$F$3:$F$500,$A136)=0,"",SUMIF(ЗАКАЗЫ!$F$3:$F$500,$A136,ЗАКАЗЫ!$J$3:$J$500))</f>
        <v/>
      </c>
      <c r="BO136" s="7" t="str">
        <f aca="false">IF(BN136="","",SUMIF(ЗАКАЗЫ!$F$3:$F$500,$A136,ЗАКАЗЫ!$AL$3:$AL$500))</f>
        <v/>
      </c>
      <c r="BP136" s="7" t="str">
        <f aca="false">IF(BN136="","",BN136-BO136)</f>
        <v/>
      </c>
      <c r="BQ136" s="55" t="str">
        <f aca="false">IF(BN136="","",IF(BO136&gt;=BN136,"На складе",IF(BO136&gt;0,"Частично","Ждём")))</f>
        <v/>
      </c>
      <c r="BR136" s="43"/>
      <c r="BS136" s="47" t="str">
        <f aca="false">IF(BN136="","",IF(_xlfn.MAXIFS(ЗАКАЗЫ!$AK$3:$AK$500,ЗАКАЗЫ!$F$3:$F$500,$A136)=0,"",_xlfn.MAXIFS(ЗАКАЗЫ!$AK$3:$AK$500,ЗАКАЗЫ!$F$3:$F$500,$A136)))</f>
        <v/>
      </c>
    </row>
    <row r="137" customFormat="false" ht="15.75" hidden="false" customHeight="true" outlineLevel="0" collapsed="false">
      <c r="A137" s="80" t="s">
        <v>2331</v>
      </c>
      <c r="B137" s="81"/>
      <c r="C137" s="81"/>
      <c r="D137" s="81"/>
      <c r="E137" s="83"/>
      <c r="F137" s="81"/>
      <c r="G137" s="83"/>
      <c r="H137" s="83"/>
      <c r="I137" s="84" t="str">
        <f aca="false">IF(E137="","",A137&amp;"_1.jpg")</f>
        <v/>
      </c>
      <c r="J137" s="84" t="str">
        <f aca="false">IF(E137="","",A137&amp;"_2.jpg; "&amp;A137&amp;"_3.jpg")</f>
        <v/>
      </c>
      <c r="K137" s="84" t="str">
        <f aca="false">IF(E137="","",A137&amp;"_schema.jpg")</f>
        <v/>
      </c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 t="s">
        <v>96</v>
      </c>
      <c r="W137" s="81"/>
      <c r="X137" s="81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6" t="str">
        <f aca="false">IF(SUM(Y137:AJ137)=0,"",SUM(Y137:AJ137))</f>
        <v/>
      </c>
      <c r="AL137" s="84" t="str">
        <f aca="false">MID(IF(N(Y137)&gt;0,", "&amp;Y$2,"")&amp;IF(N(Z137)&gt;0,", "&amp;Z$2,"")&amp;IF(N(AA137)&gt;0,", "&amp;AA$2,"")&amp;IF(N(AB137)&gt;0,", "&amp;AB$2,"")&amp;IF(N(AC137)&gt;0,", "&amp;AC$2,"")&amp;IF(N(AD137)&gt;0,", "&amp;AD$2,"")&amp;IF(N(AE137)&gt;0,", "&amp;AE$2,"")&amp;IF(N(AF137)&gt;0,", "&amp;AF$2,"")&amp;IF(N(AG137)&gt;0,", "&amp;AG$2,"")&amp;IF(N(AH137)&gt;0,", "&amp;AH$2,"")&amp;IF(N(AI137)&gt;0,", "&amp;AI$2,"")&amp;IF(N(AJ137)&gt;0,", "&amp;AJ$2,""),3,999)</f>
        <v/>
      </c>
      <c r="AM137" s="87" t="str">
        <f aca="false">IF(E137="","",MID(IF(N(Y137)&gt;0,", "&amp;A137&amp;"-"&amp;Y$2,"")&amp;IF(N(Z137)&gt;0,", "&amp;A137&amp;"-"&amp;Z$2,"")&amp;IF(N(AA137)&gt;0,", "&amp;A137&amp;"-"&amp;AA$2,"")&amp;IF(N(AB137)&gt;0,", "&amp;A137&amp;"-"&amp;AB$2,"")&amp;IF(N(AC137)&gt;0,", "&amp;A137&amp;"-"&amp;AC$2,"")&amp;IF(N(AD137)&gt;0,", "&amp;A137&amp;"-"&amp;AD$2,"")&amp;IF(N(AE137)&gt;0,", "&amp;A137&amp;"-"&amp;AE$2,"")&amp;IF(N(AF137)&gt;0,", "&amp;A137&amp;"-"&amp;AF$2,"")&amp;IF(N(AG137)&gt;0,", "&amp;A137&amp;"-"&amp;AG$2,"")&amp;IF(N(AH137)&gt;0,", "&amp;A137&amp;"-"&amp;AH$2,"")&amp;IF(N(AI137)&gt;0,", "&amp;A137&amp;"-"&amp;AI$2,"")&amp;IF(N(AJ137)&gt;0,", "&amp;A137&amp;"-"&amp;AJ$2,""),3,999))</f>
        <v/>
      </c>
      <c r="AN137" s="81"/>
      <c r="AO137" s="88"/>
      <c r="AP137" s="89" t="str">
        <f aca="false">IF(AO137="","",ROUND(AO137/(1+Справочники!$B$13),2))</f>
        <v/>
      </c>
      <c r="AQ137" s="90" t="str">
        <f aca="false" t="array" ref="AQ137:AQ137">IF(AP137="","",AP137*INDEX(Справочники!$B$4:$B$7,MATCH("RUB",Справочники!$A$4:$A$7,0)))</f>
        <v/>
      </c>
      <c r="AR137" s="90" t="str">
        <f aca="false">IF(AQ137="","",ROUND(AQ137*(1+Справочники!$B$12),0))</f>
        <v/>
      </c>
      <c r="AS137" s="90" t="str">
        <f aca="false">IF(AR137="","",ROUND(AR137*(1-Справочники!$B$11),0))</f>
        <v/>
      </c>
      <c r="AT137" s="88"/>
      <c r="AU137" s="90" t="str">
        <f aca="false">IF(AT137="","",ROUND(AT137/(1+Справочники!$B$12),0))</f>
        <v/>
      </c>
      <c r="AV137" s="90" t="str">
        <f aca="false">IF(AT137="","",ROUND(AT137*(1-Справочники!$B$15),0))</f>
        <v/>
      </c>
      <c r="AW137" s="90" t="str">
        <f aca="false">IF(AT137="","",ROUND(AT137*(1-Справочники!$B$16),0))</f>
        <v/>
      </c>
      <c r="AX137" s="90" t="str">
        <f aca="false">IF(AT137="","",ROUND(AT137*(1-Справочники!$B$17),0))</f>
        <v/>
      </c>
      <c r="AY137" s="90" t="str">
        <f aca="false">IF(AT137="","",ROUND(AT137*(1-Справочники!$B$18),0))</f>
        <v/>
      </c>
      <c r="AZ137" s="90" t="str">
        <f aca="false">IF(AT137="","",ROUND(AT137*(1-Справочники!$B$19),0))</f>
        <v/>
      </c>
      <c r="BA137" s="81"/>
      <c r="BB137" s="81"/>
      <c r="BC137" s="81"/>
      <c r="BD137" s="81"/>
      <c r="BE137" s="91"/>
      <c r="BF137" s="81" t="s">
        <v>103</v>
      </c>
      <c r="BG137" s="89" t="n">
        <f aca="false" t="array" ref="BG137:BG137">IF(BF137="","",IFERROR(INDEX(Справочники!$B$4:$B$7,MATCH(BF137,Справочники!$A$4:$A$7,0)),""))</f>
        <v>68.5</v>
      </c>
      <c r="BH137" s="90" t="str">
        <f aca="false">IF(N(BN137)&gt;0,ROUND(SUMIF(ЗАКАЗЫ!$F$3:$F$500,$A137,ЗАКАЗЫ!$Y$3:$Y$500)/BN137,0),IF(OR(BE137="",BG137=""),"",ROUND(BE137*BG137*(1+Справочники!$B$10),0)))</f>
        <v/>
      </c>
      <c r="BI137" s="92" t="str">
        <f aca="false">IF(OR(AU137="",BH137="",AU137=0),"",(AU137-BH137)/AU137)</f>
        <v/>
      </c>
      <c r="BJ137" s="81"/>
      <c r="BK137" s="83"/>
      <c r="BL137" s="43" t="str">
        <f aca="false">IFERROR(INDEX(ЗАКАЗЫ!$N$3:$N$500,MATCH($A137,ЗАКАЗЫ!$F$3:$F$500,0)),"")</f>
        <v/>
      </c>
      <c r="BM137" s="8" t="str">
        <f aca="false">IF(BL137="","",IFERROR(VLOOKUP(BL137,'ТН ВЭД'!$A$4:$C$40,3,0),""))</f>
        <v/>
      </c>
      <c r="BN137" s="7" t="str">
        <f aca="false">IF(COUNTIF(ЗАКАЗЫ!$F$3:$F$500,$A137)=0,"",SUMIF(ЗАКАЗЫ!$F$3:$F$500,$A137,ЗАКАЗЫ!$J$3:$J$500))</f>
        <v/>
      </c>
      <c r="BO137" s="7" t="str">
        <f aca="false">IF(BN137="","",SUMIF(ЗАКАЗЫ!$F$3:$F$500,$A137,ЗАКАЗЫ!$AL$3:$AL$500))</f>
        <v/>
      </c>
      <c r="BP137" s="7" t="str">
        <f aca="false">IF(BN137="","",BN137-BO137)</f>
        <v/>
      </c>
      <c r="BQ137" s="55" t="str">
        <f aca="false">IF(BN137="","",IF(BO137&gt;=BN137,"На складе",IF(BO137&gt;0,"Частично","Ждём")))</f>
        <v/>
      </c>
      <c r="BR137" s="43"/>
      <c r="BS137" s="47" t="str">
        <f aca="false">IF(BN137="","",IF(_xlfn.MAXIFS(ЗАКАЗЫ!$AK$3:$AK$500,ЗАКАЗЫ!$F$3:$F$500,$A137)=0,"",_xlfn.MAXIFS(ЗАКАЗЫ!$AK$3:$AK$500,ЗАКАЗЫ!$F$3:$F$500,$A137)))</f>
        <v/>
      </c>
    </row>
    <row r="138" customFormat="false" ht="15.75" hidden="false" customHeight="true" outlineLevel="0" collapsed="false">
      <c r="A138" s="80" t="s">
        <v>2332</v>
      </c>
      <c r="B138" s="81"/>
      <c r="C138" s="81"/>
      <c r="D138" s="81"/>
      <c r="E138" s="83"/>
      <c r="F138" s="81"/>
      <c r="G138" s="83"/>
      <c r="H138" s="83"/>
      <c r="I138" s="84" t="str">
        <f aca="false">IF(E138="","",A138&amp;"_1.jpg")</f>
        <v/>
      </c>
      <c r="J138" s="84" t="str">
        <f aca="false">IF(E138="","",A138&amp;"_2.jpg; "&amp;A138&amp;"_3.jpg")</f>
        <v/>
      </c>
      <c r="K138" s="84" t="str">
        <f aca="false">IF(E138="","",A138&amp;"_schema.jpg")</f>
        <v/>
      </c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 t="s">
        <v>96</v>
      </c>
      <c r="W138" s="81"/>
      <c r="X138" s="81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6" t="str">
        <f aca="false">IF(SUM(Y138:AJ138)=0,"",SUM(Y138:AJ138))</f>
        <v/>
      </c>
      <c r="AL138" s="84" t="str">
        <f aca="false">MID(IF(N(Y138)&gt;0,", "&amp;Y$2,"")&amp;IF(N(Z138)&gt;0,", "&amp;Z$2,"")&amp;IF(N(AA138)&gt;0,", "&amp;AA$2,"")&amp;IF(N(AB138)&gt;0,", "&amp;AB$2,"")&amp;IF(N(AC138)&gt;0,", "&amp;AC$2,"")&amp;IF(N(AD138)&gt;0,", "&amp;AD$2,"")&amp;IF(N(AE138)&gt;0,", "&amp;AE$2,"")&amp;IF(N(AF138)&gt;0,", "&amp;AF$2,"")&amp;IF(N(AG138)&gt;0,", "&amp;AG$2,"")&amp;IF(N(AH138)&gt;0,", "&amp;AH$2,"")&amp;IF(N(AI138)&gt;0,", "&amp;AI$2,"")&amp;IF(N(AJ138)&gt;0,", "&amp;AJ$2,""),3,999)</f>
        <v/>
      </c>
      <c r="AM138" s="87" t="str">
        <f aca="false">IF(E138="","",MID(IF(N(Y138)&gt;0,", "&amp;A138&amp;"-"&amp;Y$2,"")&amp;IF(N(Z138)&gt;0,", "&amp;A138&amp;"-"&amp;Z$2,"")&amp;IF(N(AA138)&gt;0,", "&amp;A138&amp;"-"&amp;AA$2,"")&amp;IF(N(AB138)&gt;0,", "&amp;A138&amp;"-"&amp;AB$2,"")&amp;IF(N(AC138)&gt;0,", "&amp;A138&amp;"-"&amp;AC$2,"")&amp;IF(N(AD138)&gt;0,", "&amp;A138&amp;"-"&amp;AD$2,"")&amp;IF(N(AE138)&gt;0,", "&amp;A138&amp;"-"&amp;AE$2,"")&amp;IF(N(AF138)&gt;0,", "&amp;A138&amp;"-"&amp;AF$2,"")&amp;IF(N(AG138)&gt;0,", "&amp;A138&amp;"-"&amp;AG$2,"")&amp;IF(N(AH138)&gt;0,", "&amp;A138&amp;"-"&amp;AH$2,"")&amp;IF(N(AI138)&gt;0,", "&amp;A138&amp;"-"&amp;AI$2,"")&amp;IF(N(AJ138)&gt;0,", "&amp;A138&amp;"-"&amp;AJ$2,""),3,999))</f>
        <v/>
      </c>
      <c r="AN138" s="81"/>
      <c r="AO138" s="88"/>
      <c r="AP138" s="89" t="str">
        <f aca="false">IF(AO138="","",ROUND(AO138/(1+Справочники!$B$13),2))</f>
        <v/>
      </c>
      <c r="AQ138" s="90" t="str">
        <f aca="false" t="array" ref="AQ138:AQ138">IF(AP138="","",AP138*INDEX(Справочники!$B$4:$B$7,MATCH("RUB",Справочники!$A$4:$A$7,0)))</f>
        <v/>
      </c>
      <c r="AR138" s="90" t="str">
        <f aca="false">IF(AQ138="","",ROUND(AQ138*(1+Справочники!$B$12),0))</f>
        <v/>
      </c>
      <c r="AS138" s="90" t="str">
        <f aca="false">IF(AR138="","",ROUND(AR138*(1-Справочники!$B$11),0))</f>
        <v/>
      </c>
      <c r="AT138" s="88"/>
      <c r="AU138" s="90" t="str">
        <f aca="false">IF(AT138="","",ROUND(AT138/(1+Справочники!$B$12),0))</f>
        <v/>
      </c>
      <c r="AV138" s="90" t="str">
        <f aca="false">IF(AT138="","",ROUND(AT138*(1-Справочники!$B$15),0))</f>
        <v/>
      </c>
      <c r="AW138" s="90" t="str">
        <f aca="false">IF(AT138="","",ROUND(AT138*(1-Справочники!$B$16),0))</f>
        <v/>
      </c>
      <c r="AX138" s="90" t="str">
        <f aca="false">IF(AT138="","",ROUND(AT138*(1-Справочники!$B$17),0))</f>
        <v/>
      </c>
      <c r="AY138" s="90" t="str">
        <f aca="false">IF(AT138="","",ROUND(AT138*(1-Справочники!$B$18),0))</f>
        <v/>
      </c>
      <c r="AZ138" s="90" t="str">
        <f aca="false">IF(AT138="","",ROUND(AT138*(1-Справочники!$B$19),0))</f>
        <v/>
      </c>
      <c r="BA138" s="81"/>
      <c r="BB138" s="81"/>
      <c r="BC138" s="81"/>
      <c r="BD138" s="81"/>
      <c r="BE138" s="91"/>
      <c r="BF138" s="81" t="s">
        <v>103</v>
      </c>
      <c r="BG138" s="89" t="n">
        <f aca="false" t="array" ref="BG138:BG138">IF(BF138="","",IFERROR(INDEX(Справочники!$B$4:$B$7,MATCH(BF138,Справочники!$A$4:$A$7,0)),""))</f>
        <v>68.5</v>
      </c>
      <c r="BH138" s="90" t="str">
        <f aca="false">IF(N(BN138)&gt;0,ROUND(SUMIF(ЗАКАЗЫ!$F$3:$F$500,$A138,ЗАКАЗЫ!$Y$3:$Y$500)/BN138,0),IF(OR(BE138="",BG138=""),"",ROUND(BE138*BG138*(1+Справочники!$B$10),0)))</f>
        <v/>
      </c>
      <c r="BI138" s="92" t="str">
        <f aca="false">IF(OR(AU138="",BH138="",AU138=0),"",(AU138-BH138)/AU138)</f>
        <v/>
      </c>
      <c r="BJ138" s="81"/>
      <c r="BK138" s="83"/>
      <c r="BL138" s="43" t="str">
        <f aca="false">IFERROR(INDEX(ЗАКАЗЫ!$N$3:$N$500,MATCH($A138,ЗАКАЗЫ!$F$3:$F$500,0)),"")</f>
        <v/>
      </c>
      <c r="BM138" s="8" t="str">
        <f aca="false">IF(BL138="","",IFERROR(VLOOKUP(BL138,'ТН ВЭД'!$A$4:$C$40,3,0),""))</f>
        <v/>
      </c>
      <c r="BN138" s="7" t="str">
        <f aca="false">IF(COUNTIF(ЗАКАЗЫ!$F$3:$F$500,$A138)=0,"",SUMIF(ЗАКАЗЫ!$F$3:$F$500,$A138,ЗАКАЗЫ!$J$3:$J$500))</f>
        <v/>
      </c>
      <c r="BO138" s="7" t="str">
        <f aca="false">IF(BN138="","",SUMIF(ЗАКАЗЫ!$F$3:$F$500,$A138,ЗАКАЗЫ!$AL$3:$AL$500))</f>
        <v/>
      </c>
      <c r="BP138" s="7" t="str">
        <f aca="false">IF(BN138="","",BN138-BO138)</f>
        <v/>
      </c>
      <c r="BQ138" s="55" t="str">
        <f aca="false">IF(BN138="","",IF(BO138&gt;=BN138,"На складе",IF(BO138&gt;0,"Частично","Ждём")))</f>
        <v/>
      </c>
      <c r="BR138" s="43"/>
      <c r="BS138" s="47" t="str">
        <f aca="false">IF(BN138="","",IF(_xlfn.MAXIFS(ЗАКАЗЫ!$AK$3:$AK$500,ЗАКАЗЫ!$F$3:$F$500,$A138)=0,"",_xlfn.MAXIFS(ЗАКАЗЫ!$AK$3:$AK$500,ЗАКАЗЫ!$F$3:$F$500,$A138)))</f>
        <v/>
      </c>
    </row>
    <row r="139" customFormat="false" ht="15.75" hidden="false" customHeight="true" outlineLevel="0" collapsed="false">
      <c r="A139" s="80" t="s">
        <v>2333</v>
      </c>
      <c r="B139" s="81"/>
      <c r="C139" s="81"/>
      <c r="D139" s="81"/>
      <c r="E139" s="83"/>
      <c r="F139" s="81"/>
      <c r="G139" s="83"/>
      <c r="H139" s="83"/>
      <c r="I139" s="84" t="str">
        <f aca="false">IF(E139="","",A139&amp;"_1.jpg")</f>
        <v/>
      </c>
      <c r="J139" s="84" t="str">
        <f aca="false">IF(E139="","",A139&amp;"_2.jpg; "&amp;A139&amp;"_3.jpg")</f>
        <v/>
      </c>
      <c r="K139" s="84" t="str">
        <f aca="false">IF(E139="","",A139&amp;"_schema.jpg")</f>
        <v/>
      </c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 t="s">
        <v>96</v>
      </c>
      <c r="W139" s="81"/>
      <c r="X139" s="81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6" t="str">
        <f aca="false">IF(SUM(Y139:AJ139)=0,"",SUM(Y139:AJ139))</f>
        <v/>
      </c>
      <c r="AL139" s="84" t="str">
        <f aca="false">MID(IF(N(Y139)&gt;0,", "&amp;Y$2,"")&amp;IF(N(Z139)&gt;0,", "&amp;Z$2,"")&amp;IF(N(AA139)&gt;0,", "&amp;AA$2,"")&amp;IF(N(AB139)&gt;0,", "&amp;AB$2,"")&amp;IF(N(AC139)&gt;0,", "&amp;AC$2,"")&amp;IF(N(AD139)&gt;0,", "&amp;AD$2,"")&amp;IF(N(AE139)&gt;0,", "&amp;AE$2,"")&amp;IF(N(AF139)&gt;0,", "&amp;AF$2,"")&amp;IF(N(AG139)&gt;0,", "&amp;AG$2,"")&amp;IF(N(AH139)&gt;0,", "&amp;AH$2,"")&amp;IF(N(AI139)&gt;0,", "&amp;AI$2,"")&amp;IF(N(AJ139)&gt;0,", "&amp;AJ$2,""),3,999)</f>
        <v/>
      </c>
      <c r="AM139" s="87" t="str">
        <f aca="false">IF(E139="","",MID(IF(N(Y139)&gt;0,", "&amp;A139&amp;"-"&amp;Y$2,"")&amp;IF(N(Z139)&gt;0,", "&amp;A139&amp;"-"&amp;Z$2,"")&amp;IF(N(AA139)&gt;0,", "&amp;A139&amp;"-"&amp;AA$2,"")&amp;IF(N(AB139)&gt;0,", "&amp;A139&amp;"-"&amp;AB$2,"")&amp;IF(N(AC139)&gt;0,", "&amp;A139&amp;"-"&amp;AC$2,"")&amp;IF(N(AD139)&gt;0,", "&amp;A139&amp;"-"&amp;AD$2,"")&amp;IF(N(AE139)&gt;0,", "&amp;A139&amp;"-"&amp;AE$2,"")&amp;IF(N(AF139)&gt;0,", "&amp;A139&amp;"-"&amp;AF$2,"")&amp;IF(N(AG139)&gt;0,", "&amp;A139&amp;"-"&amp;AG$2,"")&amp;IF(N(AH139)&gt;0,", "&amp;A139&amp;"-"&amp;AH$2,"")&amp;IF(N(AI139)&gt;0,", "&amp;A139&amp;"-"&amp;AI$2,"")&amp;IF(N(AJ139)&gt;0,", "&amp;A139&amp;"-"&amp;AJ$2,""),3,999))</f>
        <v/>
      </c>
      <c r="AN139" s="81"/>
      <c r="AO139" s="88"/>
      <c r="AP139" s="89" t="str">
        <f aca="false">IF(AO139="","",ROUND(AO139/(1+Справочники!$B$13),2))</f>
        <v/>
      </c>
      <c r="AQ139" s="90" t="str">
        <f aca="false" t="array" ref="AQ139:AQ139">IF(AP139="","",AP139*INDEX(Справочники!$B$4:$B$7,MATCH("RUB",Справочники!$A$4:$A$7,0)))</f>
        <v/>
      </c>
      <c r="AR139" s="90" t="str">
        <f aca="false">IF(AQ139="","",ROUND(AQ139*(1+Справочники!$B$12),0))</f>
        <v/>
      </c>
      <c r="AS139" s="90" t="str">
        <f aca="false">IF(AR139="","",ROUND(AR139*(1-Справочники!$B$11),0))</f>
        <v/>
      </c>
      <c r="AT139" s="88"/>
      <c r="AU139" s="90" t="str">
        <f aca="false">IF(AT139="","",ROUND(AT139/(1+Справочники!$B$12),0))</f>
        <v/>
      </c>
      <c r="AV139" s="90" t="str">
        <f aca="false">IF(AT139="","",ROUND(AT139*(1-Справочники!$B$15),0))</f>
        <v/>
      </c>
      <c r="AW139" s="90" t="str">
        <f aca="false">IF(AT139="","",ROUND(AT139*(1-Справочники!$B$16),0))</f>
        <v/>
      </c>
      <c r="AX139" s="90" t="str">
        <f aca="false">IF(AT139="","",ROUND(AT139*(1-Справочники!$B$17),0))</f>
        <v/>
      </c>
      <c r="AY139" s="90" t="str">
        <f aca="false">IF(AT139="","",ROUND(AT139*(1-Справочники!$B$18),0))</f>
        <v/>
      </c>
      <c r="AZ139" s="90" t="str">
        <f aca="false">IF(AT139="","",ROUND(AT139*(1-Справочники!$B$19),0))</f>
        <v/>
      </c>
      <c r="BA139" s="81"/>
      <c r="BB139" s="81"/>
      <c r="BC139" s="81"/>
      <c r="BD139" s="81"/>
      <c r="BE139" s="91"/>
      <c r="BF139" s="81" t="s">
        <v>103</v>
      </c>
      <c r="BG139" s="89" t="n">
        <f aca="false" t="array" ref="BG139:BG139">IF(BF139="","",IFERROR(INDEX(Справочники!$B$4:$B$7,MATCH(BF139,Справочники!$A$4:$A$7,0)),""))</f>
        <v>68.5</v>
      </c>
      <c r="BH139" s="90" t="str">
        <f aca="false">IF(N(BN139)&gt;0,ROUND(SUMIF(ЗАКАЗЫ!$F$3:$F$500,$A139,ЗАКАЗЫ!$Y$3:$Y$500)/BN139,0),IF(OR(BE139="",BG139=""),"",ROUND(BE139*BG139*(1+Справочники!$B$10),0)))</f>
        <v/>
      </c>
      <c r="BI139" s="92" t="str">
        <f aca="false">IF(OR(AU139="",BH139="",AU139=0),"",(AU139-BH139)/AU139)</f>
        <v/>
      </c>
      <c r="BJ139" s="81"/>
      <c r="BK139" s="83"/>
      <c r="BL139" s="43" t="str">
        <f aca="false">IFERROR(INDEX(ЗАКАЗЫ!$N$3:$N$500,MATCH($A139,ЗАКАЗЫ!$F$3:$F$500,0)),"")</f>
        <v/>
      </c>
      <c r="BM139" s="8" t="str">
        <f aca="false">IF(BL139="","",IFERROR(VLOOKUP(BL139,'ТН ВЭД'!$A$4:$C$40,3,0),""))</f>
        <v/>
      </c>
      <c r="BN139" s="7" t="str">
        <f aca="false">IF(COUNTIF(ЗАКАЗЫ!$F$3:$F$500,$A139)=0,"",SUMIF(ЗАКАЗЫ!$F$3:$F$500,$A139,ЗАКАЗЫ!$J$3:$J$500))</f>
        <v/>
      </c>
      <c r="BO139" s="7" t="str">
        <f aca="false">IF(BN139="","",SUMIF(ЗАКАЗЫ!$F$3:$F$500,$A139,ЗАКАЗЫ!$AL$3:$AL$500))</f>
        <v/>
      </c>
      <c r="BP139" s="7" t="str">
        <f aca="false">IF(BN139="","",BN139-BO139)</f>
        <v/>
      </c>
      <c r="BQ139" s="55" t="str">
        <f aca="false">IF(BN139="","",IF(BO139&gt;=BN139,"На складе",IF(BO139&gt;0,"Частично","Ждём")))</f>
        <v/>
      </c>
      <c r="BR139" s="43"/>
      <c r="BS139" s="47" t="str">
        <f aca="false">IF(BN139="","",IF(_xlfn.MAXIFS(ЗАКАЗЫ!$AK$3:$AK$500,ЗАКАЗЫ!$F$3:$F$500,$A139)=0,"",_xlfn.MAXIFS(ЗАКАЗЫ!$AK$3:$AK$500,ЗАКАЗЫ!$F$3:$F$500,$A139)))</f>
        <v/>
      </c>
    </row>
    <row r="140" customFormat="false" ht="15.75" hidden="false" customHeight="true" outlineLevel="0" collapsed="false">
      <c r="A140" s="80" t="s">
        <v>2334</v>
      </c>
      <c r="B140" s="81"/>
      <c r="C140" s="81"/>
      <c r="D140" s="81"/>
      <c r="E140" s="83"/>
      <c r="F140" s="81"/>
      <c r="G140" s="83"/>
      <c r="H140" s="83"/>
      <c r="I140" s="84" t="str">
        <f aca="false">IF(E140="","",A140&amp;"_1.jpg")</f>
        <v/>
      </c>
      <c r="J140" s="84" t="str">
        <f aca="false">IF(E140="","",A140&amp;"_2.jpg; "&amp;A140&amp;"_3.jpg")</f>
        <v/>
      </c>
      <c r="K140" s="84" t="str">
        <f aca="false">IF(E140="","",A140&amp;"_schema.jpg")</f>
        <v/>
      </c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 t="s">
        <v>96</v>
      </c>
      <c r="W140" s="81"/>
      <c r="X140" s="81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6" t="str">
        <f aca="false">IF(SUM(Y140:AJ140)=0,"",SUM(Y140:AJ140))</f>
        <v/>
      </c>
      <c r="AL140" s="84" t="str">
        <f aca="false">MID(IF(N(Y140)&gt;0,", "&amp;Y$2,"")&amp;IF(N(Z140)&gt;0,", "&amp;Z$2,"")&amp;IF(N(AA140)&gt;0,", "&amp;AA$2,"")&amp;IF(N(AB140)&gt;0,", "&amp;AB$2,"")&amp;IF(N(AC140)&gt;0,", "&amp;AC$2,"")&amp;IF(N(AD140)&gt;0,", "&amp;AD$2,"")&amp;IF(N(AE140)&gt;0,", "&amp;AE$2,"")&amp;IF(N(AF140)&gt;0,", "&amp;AF$2,"")&amp;IF(N(AG140)&gt;0,", "&amp;AG$2,"")&amp;IF(N(AH140)&gt;0,", "&amp;AH$2,"")&amp;IF(N(AI140)&gt;0,", "&amp;AI$2,"")&amp;IF(N(AJ140)&gt;0,", "&amp;AJ$2,""),3,999)</f>
        <v/>
      </c>
      <c r="AM140" s="87" t="str">
        <f aca="false">IF(E140="","",MID(IF(N(Y140)&gt;0,", "&amp;A140&amp;"-"&amp;Y$2,"")&amp;IF(N(Z140)&gt;0,", "&amp;A140&amp;"-"&amp;Z$2,"")&amp;IF(N(AA140)&gt;0,", "&amp;A140&amp;"-"&amp;AA$2,"")&amp;IF(N(AB140)&gt;0,", "&amp;A140&amp;"-"&amp;AB$2,"")&amp;IF(N(AC140)&gt;0,", "&amp;A140&amp;"-"&amp;AC$2,"")&amp;IF(N(AD140)&gt;0,", "&amp;A140&amp;"-"&amp;AD$2,"")&amp;IF(N(AE140)&gt;0,", "&amp;A140&amp;"-"&amp;AE$2,"")&amp;IF(N(AF140)&gt;0,", "&amp;A140&amp;"-"&amp;AF$2,"")&amp;IF(N(AG140)&gt;0,", "&amp;A140&amp;"-"&amp;AG$2,"")&amp;IF(N(AH140)&gt;0,", "&amp;A140&amp;"-"&amp;AH$2,"")&amp;IF(N(AI140)&gt;0,", "&amp;A140&amp;"-"&amp;AI$2,"")&amp;IF(N(AJ140)&gt;0,", "&amp;A140&amp;"-"&amp;AJ$2,""),3,999))</f>
        <v/>
      </c>
      <c r="AN140" s="81"/>
      <c r="AO140" s="88"/>
      <c r="AP140" s="89" t="str">
        <f aca="false">IF(AO140="","",ROUND(AO140/(1+Справочники!$B$13),2))</f>
        <v/>
      </c>
      <c r="AQ140" s="90" t="str">
        <f aca="false" t="array" ref="AQ140:AQ140">IF(AP140="","",AP140*INDEX(Справочники!$B$4:$B$7,MATCH("RUB",Справочники!$A$4:$A$7,0)))</f>
        <v/>
      </c>
      <c r="AR140" s="90" t="str">
        <f aca="false">IF(AQ140="","",ROUND(AQ140*(1+Справочники!$B$12),0))</f>
        <v/>
      </c>
      <c r="AS140" s="90" t="str">
        <f aca="false">IF(AR140="","",ROUND(AR140*(1-Справочники!$B$11),0))</f>
        <v/>
      </c>
      <c r="AT140" s="88"/>
      <c r="AU140" s="90" t="str">
        <f aca="false">IF(AT140="","",ROUND(AT140/(1+Справочники!$B$12),0))</f>
        <v/>
      </c>
      <c r="AV140" s="90" t="str">
        <f aca="false">IF(AT140="","",ROUND(AT140*(1-Справочники!$B$15),0))</f>
        <v/>
      </c>
      <c r="AW140" s="90" t="str">
        <f aca="false">IF(AT140="","",ROUND(AT140*(1-Справочники!$B$16),0))</f>
        <v/>
      </c>
      <c r="AX140" s="90" t="str">
        <f aca="false">IF(AT140="","",ROUND(AT140*(1-Справочники!$B$17),0))</f>
        <v/>
      </c>
      <c r="AY140" s="90" t="str">
        <f aca="false">IF(AT140="","",ROUND(AT140*(1-Справочники!$B$18),0))</f>
        <v/>
      </c>
      <c r="AZ140" s="90" t="str">
        <f aca="false">IF(AT140="","",ROUND(AT140*(1-Справочники!$B$19),0))</f>
        <v/>
      </c>
      <c r="BA140" s="81"/>
      <c r="BB140" s="81"/>
      <c r="BC140" s="81"/>
      <c r="BD140" s="81"/>
      <c r="BE140" s="91"/>
      <c r="BF140" s="81" t="s">
        <v>103</v>
      </c>
      <c r="BG140" s="89" t="n">
        <f aca="false" t="array" ref="BG140:BG140">IF(BF140="","",IFERROR(INDEX(Справочники!$B$4:$B$7,MATCH(BF140,Справочники!$A$4:$A$7,0)),""))</f>
        <v>68.5</v>
      </c>
      <c r="BH140" s="90" t="str">
        <f aca="false">IF(N(BN140)&gt;0,ROUND(SUMIF(ЗАКАЗЫ!$F$3:$F$500,$A140,ЗАКАЗЫ!$Y$3:$Y$500)/BN140,0),IF(OR(BE140="",BG140=""),"",ROUND(BE140*BG140*(1+Справочники!$B$10),0)))</f>
        <v/>
      </c>
      <c r="BI140" s="92" t="str">
        <f aca="false">IF(OR(AU140="",BH140="",AU140=0),"",(AU140-BH140)/AU140)</f>
        <v/>
      </c>
      <c r="BJ140" s="81"/>
      <c r="BK140" s="83"/>
      <c r="BL140" s="43" t="str">
        <f aca="false">IFERROR(INDEX(ЗАКАЗЫ!$N$3:$N$500,MATCH($A140,ЗАКАЗЫ!$F$3:$F$500,0)),"")</f>
        <v/>
      </c>
      <c r="BM140" s="8" t="str">
        <f aca="false">IF(BL140="","",IFERROR(VLOOKUP(BL140,'ТН ВЭД'!$A$4:$C$40,3,0),""))</f>
        <v/>
      </c>
      <c r="BN140" s="7" t="str">
        <f aca="false">IF(COUNTIF(ЗАКАЗЫ!$F$3:$F$500,$A140)=0,"",SUMIF(ЗАКАЗЫ!$F$3:$F$500,$A140,ЗАКАЗЫ!$J$3:$J$500))</f>
        <v/>
      </c>
      <c r="BO140" s="7" t="str">
        <f aca="false">IF(BN140="","",SUMIF(ЗАКАЗЫ!$F$3:$F$500,$A140,ЗАКАЗЫ!$AL$3:$AL$500))</f>
        <v/>
      </c>
      <c r="BP140" s="7" t="str">
        <f aca="false">IF(BN140="","",BN140-BO140)</f>
        <v/>
      </c>
      <c r="BQ140" s="55" t="str">
        <f aca="false">IF(BN140="","",IF(BO140&gt;=BN140,"На складе",IF(BO140&gt;0,"Частично","Ждём")))</f>
        <v/>
      </c>
      <c r="BR140" s="43"/>
      <c r="BS140" s="47" t="str">
        <f aca="false">IF(BN140="","",IF(_xlfn.MAXIFS(ЗАКАЗЫ!$AK$3:$AK$500,ЗАКАЗЫ!$F$3:$F$500,$A140)=0,"",_xlfn.MAXIFS(ЗАКАЗЫ!$AK$3:$AK$500,ЗАКАЗЫ!$F$3:$F$500,$A140)))</f>
        <v/>
      </c>
    </row>
    <row r="141" customFormat="false" ht="15.75" hidden="false" customHeight="true" outlineLevel="0" collapsed="false">
      <c r="A141" s="80" t="s">
        <v>2335</v>
      </c>
      <c r="B141" s="81"/>
      <c r="C141" s="81"/>
      <c r="D141" s="81"/>
      <c r="E141" s="83"/>
      <c r="F141" s="81"/>
      <c r="G141" s="83"/>
      <c r="H141" s="83"/>
      <c r="I141" s="84" t="str">
        <f aca="false">IF(E141="","",A141&amp;"_1.jpg")</f>
        <v/>
      </c>
      <c r="J141" s="84" t="str">
        <f aca="false">IF(E141="","",A141&amp;"_2.jpg; "&amp;A141&amp;"_3.jpg")</f>
        <v/>
      </c>
      <c r="K141" s="84" t="str">
        <f aca="false">IF(E141="","",A141&amp;"_schema.jpg")</f>
        <v/>
      </c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 t="s">
        <v>96</v>
      </c>
      <c r="W141" s="81"/>
      <c r="X141" s="81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6" t="str">
        <f aca="false">IF(SUM(Y141:AJ141)=0,"",SUM(Y141:AJ141))</f>
        <v/>
      </c>
      <c r="AL141" s="84" t="str">
        <f aca="false">MID(IF(N(Y141)&gt;0,", "&amp;Y$2,"")&amp;IF(N(Z141)&gt;0,", "&amp;Z$2,"")&amp;IF(N(AA141)&gt;0,", "&amp;AA$2,"")&amp;IF(N(AB141)&gt;0,", "&amp;AB$2,"")&amp;IF(N(AC141)&gt;0,", "&amp;AC$2,"")&amp;IF(N(AD141)&gt;0,", "&amp;AD$2,"")&amp;IF(N(AE141)&gt;0,", "&amp;AE$2,"")&amp;IF(N(AF141)&gt;0,", "&amp;AF$2,"")&amp;IF(N(AG141)&gt;0,", "&amp;AG$2,"")&amp;IF(N(AH141)&gt;0,", "&amp;AH$2,"")&amp;IF(N(AI141)&gt;0,", "&amp;AI$2,"")&amp;IF(N(AJ141)&gt;0,", "&amp;AJ$2,""),3,999)</f>
        <v/>
      </c>
      <c r="AM141" s="87" t="str">
        <f aca="false">IF(E141="","",MID(IF(N(Y141)&gt;0,", "&amp;A141&amp;"-"&amp;Y$2,"")&amp;IF(N(Z141)&gt;0,", "&amp;A141&amp;"-"&amp;Z$2,"")&amp;IF(N(AA141)&gt;0,", "&amp;A141&amp;"-"&amp;AA$2,"")&amp;IF(N(AB141)&gt;0,", "&amp;A141&amp;"-"&amp;AB$2,"")&amp;IF(N(AC141)&gt;0,", "&amp;A141&amp;"-"&amp;AC$2,"")&amp;IF(N(AD141)&gt;0,", "&amp;A141&amp;"-"&amp;AD$2,"")&amp;IF(N(AE141)&gt;0,", "&amp;A141&amp;"-"&amp;AE$2,"")&amp;IF(N(AF141)&gt;0,", "&amp;A141&amp;"-"&amp;AF$2,"")&amp;IF(N(AG141)&gt;0,", "&amp;A141&amp;"-"&amp;AG$2,"")&amp;IF(N(AH141)&gt;0,", "&amp;A141&amp;"-"&amp;AH$2,"")&amp;IF(N(AI141)&gt;0,", "&amp;A141&amp;"-"&amp;AI$2,"")&amp;IF(N(AJ141)&gt;0,", "&amp;A141&amp;"-"&amp;AJ$2,""),3,999))</f>
        <v/>
      </c>
      <c r="AN141" s="81"/>
      <c r="AO141" s="88"/>
      <c r="AP141" s="89" t="str">
        <f aca="false">IF(AO141="","",ROUND(AO141/(1+Справочники!$B$13),2))</f>
        <v/>
      </c>
      <c r="AQ141" s="90" t="str">
        <f aca="false" t="array" ref="AQ141:AQ141">IF(AP141="","",AP141*INDEX(Справочники!$B$4:$B$7,MATCH("RUB",Справочники!$A$4:$A$7,0)))</f>
        <v/>
      </c>
      <c r="AR141" s="90" t="str">
        <f aca="false">IF(AQ141="","",ROUND(AQ141*(1+Справочники!$B$12),0))</f>
        <v/>
      </c>
      <c r="AS141" s="90" t="str">
        <f aca="false">IF(AR141="","",ROUND(AR141*(1-Справочники!$B$11),0))</f>
        <v/>
      </c>
      <c r="AT141" s="88"/>
      <c r="AU141" s="90" t="str">
        <f aca="false">IF(AT141="","",ROUND(AT141/(1+Справочники!$B$12),0))</f>
        <v/>
      </c>
      <c r="AV141" s="90" t="str">
        <f aca="false">IF(AT141="","",ROUND(AT141*(1-Справочники!$B$15),0))</f>
        <v/>
      </c>
      <c r="AW141" s="90" t="str">
        <f aca="false">IF(AT141="","",ROUND(AT141*(1-Справочники!$B$16),0))</f>
        <v/>
      </c>
      <c r="AX141" s="90" t="str">
        <f aca="false">IF(AT141="","",ROUND(AT141*(1-Справочники!$B$17),0))</f>
        <v/>
      </c>
      <c r="AY141" s="90" t="str">
        <f aca="false">IF(AT141="","",ROUND(AT141*(1-Справочники!$B$18),0))</f>
        <v/>
      </c>
      <c r="AZ141" s="90" t="str">
        <f aca="false">IF(AT141="","",ROUND(AT141*(1-Справочники!$B$19),0))</f>
        <v/>
      </c>
      <c r="BA141" s="81"/>
      <c r="BB141" s="81"/>
      <c r="BC141" s="81"/>
      <c r="BD141" s="81"/>
      <c r="BE141" s="91"/>
      <c r="BF141" s="81" t="s">
        <v>103</v>
      </c>
      <c r="BG141" s="89" t="n">
        <f aca="false" t="array" ref="BG141:BG141">IF(BF141="","",IFERROR(INDEX(Справочники!$B$4:$B$7,MATCH(BF141,Справочники!$A$4:$A$7,0)),""))</f>
        <v>68.5</v>
      </c>
      <c r="BH141" s="90" t="str">
        <f aca="false">IF(N(BN141)&gt;0,ROUND(SUMIF(ЗАКАЗЫ!$F$3:$F$500,$A141,ЗАКАЗЫ!$Y$3:$Y$500)/BN141,0),IF(OR(BE141="",BG141=""),"",ROUND(BE141*BG141*(1+Справочники!$B$10),0)))</f>
        <v/>
      </c>
      <c r="BI141" s="92" t="str">
        <f aca="false">IF(OR(AU141="",BH141="",AU141=0),"",(AU141-BH141)/AU141)</f>
        <v/>
      </c>
      <c r="BJ141" s="81"/>
      <c r="BK141" s="83"/>
      <c r="BL141" s="43" t="str">
        <f aca="false">IFERROR(INDEX(ЗАКАЗЫ!$N$3:$N$500,MATCH($A141,ЗАКАЗЫ!$F$3:$F$500,0)),"")</f>
        <v/>
      </c>
      <c r="BM141" s="8" t="str">
        <f aca="false">IF(BL141="","",IFERROR(VLOOKUP(BL141,'ТН ВЭД'!$A$4:$C$40,3,0),""))</f>
        <v/>
      </c>
      <c r="BN141" s="7" t="str">
        <f aca="false">IF(COUNTIF(ЗАКАЗЫ!$F$3:$F$500,$A141)=0,"",SUMIF(ЗАКАЗЫ!$F$3:$F$500,$A141,ЗАКАЗЫ!$J$3:$J$500))</f>
        <v/>
      </c>
      <c r="BO141" s="7" t="str">
        <f aca="false">IF(BN141="","",SUMIF(ЗАКАЗЫ!$F$3:$F$500,$A141,ЗАКАЗЫ!$AL$3:$AL$500))</f>
        <v/>
      </c>
      <c r="BP141" s="7" t="str">
        <f aca="false">IF(BN141="","",BN141-BO141)</f>
        <v/>
      </c>
      <c r="BQ141" s="55" t="str">
        <f aca="false">IF(BN141="","",IF(BO141&gt;=BN141,"На складе",IF(BO141&gt;0,"Частично","Ждём")))</f>
        <v/>
      </c>
      <c r="BR141" s="43"/>
      <c r="BS141" s="47" t="str">
        <f aca="false">IF(BN141="","",IF(_xlfn.MAXIFS(ЗАКАЗЫ!$AK$3:$AK$500,ЗАКАЗЫ!$F$3:$F$500,$A141)=0,"",_xlfn.MAXIFS(ЗАКАЗЫ!$AK$3:$AK$500,ЗАКАЗЫ!$F$3:$F$500,$A141)))</f>
        <v/>
      </c>
    </row>
    <row r="142" customFormat="false" ht="15.75" hidden="false" customHeight="true" outlineLevel="0" collapsed="false">
      <c r="A142" s="80" t="s">
        <v>2336</v>
      </c>
      <c r="B142" s="81"/>
      <c r="C142" s="81"/>
      <c r="D142" s="81"/>
      <c r="E142" s="83"/>
      <c r="F142" s="81"/>
      <c r="G142" s="83"/>
      <c r="H142" s="83"/>
      <c r="I142" s="84" t="str">
        <f aca="false">IF(E142="","",A142&amp;"_1.jpg")</f>
        <v/>
      </c>
      <c r="J142" s="84" t="str">
        <f aca="false">IF(E142="","",A142&amp;"_2.jpg; "&amp;A142&amp;"_3.jpg")</f>
        <v/>
      </c>
      <c r="K142" s="84" t="str">
        <f aca="false">IF(E142="","",A142&amp;"_schema.jpg")</f>
        <v/>
      </c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 t="s">
        <v>96</v>
      </c>
      <c r="W142" s="81"/>
      <c r="X142" s="81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6" t="str">
        <f aca="false">IF(SUM(Y142:AJ142)=0,"",SUM(Y142:AJ142))</f>
        <v/>
      </c>
      <c r="AL142" s="84" t="str">
        <f aca="false">MID(IF(N(Y142)&gt;0,", "&amp;Y$2,"")&amp;IF(N(Z142)&gt;0,", "&amp;Z$2,"")&amp;IF(N(AA142)&gt;0,", "&amp;AA$2,"")&amp;IF(N(AB142)&gt;0,", "&amp;AB$2,"")&amp;IF(N(AC142)&gt;0,", "&amp;AC$2,"")&amp;IF(N(AD142)&gt;0,", "&amp;AD$2,"")&amp;IF(N(AE142)&gt;0,", "&amp;AE$2,"")&amp;IF(N(AF142)&gt;0,", "&amp;AF$2,"")&amp;IF(N(AG142)&gt;0,", "&amp;AG$2,"")&amp;IF(N(AH142)&gt;0,", "&amp;AH$2,"")&amp;IF(N(AI142)&gt;0,", "&amp;AI$2,"")&amp;IF(N(AJ142)&gt;0,", "&amp;AJ$2,""),3,999)</f>
        <v/>
      </c>
      <c r="AM142" s="87" t="str">
        <f aca="false">IF(E142="","",MID(IF(N(Y142)&gt;0,", "&amp;A142&amp;"-"&amp;Y$2,"")&amp;IF(N(Z142)&gt;0,", "&amp;A142&amp;"-"&amp;Z$2,"")&amp;IF(N(AA142)&gt;0,", "&amp;A142&amp;"-"&amp;AA$2,"")&amp;IF(N(AB142)&gt;0,", "&amp;A142&amp;"-"&amp;AB$2,"")&amp;IF(N(AC142)&gt;0,", "&amp;A142&amp;"-"&amp;AC$2,"")&amp;IF(N(AD142)&gt;0,", "&amp;A142&amp;"-"&amp;AD$2,"")&amp;IF(N(AE142)&gt;0,", "&amp;A142&amp;"-"&amp;AE$2,"")&amp;IF(N(AF142)&gt;0,", "&amp;A142&amp;"-"&amp;AF$2,"")&amp;IF(N(AG142)&gt;0,", "&amp;A142&amp;"-"&amp;AG$2,"")&amp;IF(N(AH142)&gt;0,", "&amp;A142&amp;"-"&amp;AH$2,"")&amp;IF(N(AI142)&gt;0,", "&amp;A142&amp;"-"&amp;AI$2,"")&amp;IF(N(AJ142)&gt;0,", "&amp;A142&amp;"-"&amp;AJ$2,""),3,999))</f>
        <v/>
      </c>
      <c r="AN142" s="81"/>
      <c r="AO142" s="88"/>
      <c r="AP142" s="89" t="str">
        <f aca="false">IF(AO142="","",ROUND(AO142/(1+Справочники!$B$13),2))</f>
        <v/>
      </c>
      <c r="AQ142" s="90" t="str">
        <f aca="false" t="array" ref="AQ142:AQ142">IF(AP142="","",AP142*INDEX(Справочники!$B$4:$B$7,MATCH("RUB",Справочники!$A$4:$A$7,0)))</f>
        <v/>
      </c>
      <c r="AR142" s="90" t="str">
        <f aca="false">IF(AQ142="","",ROUND(AQ142*(1+Справочники!$B$12),0))</f>
        <v/>
      </c>
      <c r="AS142" s="90" t="str">
        <f aca="false">IF(AR142="","",ROUND(AR142*(1-Справочники!$B$11),0))</f>
        <v/>
      </c>
      <c r="AT142" s="88"/>
      <c r="AU142" s="90" t="str">
        <f aca="false">IF(AT142="","",ROUND(AT142/(1+Справочники!$B$12),0))</f>
        <v/>
      </c>
      <c r="AV142" s="90" t="str">
        <f aca="false">IF(AT142="","",ROUND(AT142*(1-Справочники!$B$15),0))</f>
        <v/>
      </c>
      <c r="AW142" s="90" t="str">
        <f aca="false">IF(AT142="","",ROUND(AT142*(1-Справочники!$B$16),0))</f>
        <v/>
      </c>
      <c r="AX142" s="90" t="str">
        <f aca="false">IF(AT142="","",ROUND(AT142*(1-Справочники!$B$17),0))</f>
        <v/>
      </c>
      <c r="AY142" s="90" t="str">
        <f aca="false">IF(AT142="","",ROUND(AT142*(1-Справочники!$B$18),0))</f>
        <v/>
      </c>
      <c r="AZ142" s="90" t="str">
        <f aca="false">IF(AT142="","",ROUND(AT142*(1-Справочники!$B$19),0))</f>
        <v/>
      </c>
      <c r="BA142" s="81"/>
      <c r="BB142" s="81"/>
      <c r="BC142" s="81"/>
      <c r="BD142" s="81"/>
      <c r="BE142" s="91"/>
      <c r="BF142" s="81" t="s">
        <v>103</v>
      </c>
      <c r="BG142" s="89" t="n">
        <f aca="false" t="array" ref="BG142:BG142">IF(BF142="","",IFERROR(INDEX(Справочники!$B$4:$B$7,MATCH(BF142,Справочники!$A$4:$A$7,0)),""))</f>
        <v>68.5</v>
      </c>
      <c r="BH142" s="90" t="str">
        <f aca="false">IF(N(BN142)&gt;0,ROUND(SUMIF(ЗАКАЗЫ!$F$3:$F$500,$A142,ЗАКАЗЫ!$Y$3:$Y$500)/BN142,0),IF(OR(BE142="",BG142=""),"",ROUND(BE142*BG142*(1+Справочники!$B$10),0)))</f>
        <v/>
      </c>
      <c r="BI142" s="92" t="str">
        <f aca="false">IF(OR(AU142="",BH142="",AU142=0),"",(AU142-BH142)/AU142)</f>
        <v/>
      </c>
      <c r="BJ142" s="81"/>
      <c r="BK142" s="83"/>
      <c r="BL142" s="43" t="str">
        <f aca="false">IFERROR(INDEX(ЗАКАЗЫ!$N$3:$N$500,MATCH($A142,ЗАКАЗЫ!$F$3:$F$500,0)),"")</f>
        <v/>
      </c>
      <c r="BM142" s="8" t="str">
        <f aca="false">IF(BL142="","",IFERROR(VLOOKUP(BL142,'ТН ВЭД'!$A$4:$C$40,3,0),""))</f>
        <v/>
      </c>
      <c r="BN142" s="7" t="str">
        <f aca="false">IF(COUNTIF(ЗАКАЗЫ!$F$3:$F$500,$A142)=0,"",SUMIF(ЗАКАЗЫ!$F$3:$F$500,$A142,ЗАКАЗЫ!$J$3:$J$500))</f>
        <v/>
      </c>
      <c r="BO142" s="7" t="str">
        <f aca="false">IF(BN142="","",SUMIF(ЗАКАЗЫ!$F$3:$F$500,$A142,ЗАКАЗЫ!$AL$3:$AL$500))</f>
        <v/>
      </c>
      <c r="BP142" s="7" t="str">
        <f aca="false">IF(BN142="","",BN142-BO142)</f>
        <v/>
      </c>
      <c r="BQ142" s="55" t="str">
        <f aca="false">IF(BN142="","",IF(BO142&gt;=BN142,"На складе",IF(BO142&gt;0,"Частично","Ждём")))</f>
        <v/>
      </c>
      <c r="BR142" s="43"/>
      <c r="BS142" s="47" t="str">
        <f aca="false">IF(BN142="","",IF(_xlfn.MAXIFS(ЗАКАЗЫ!$AK$3:$AK$500,ЗАКАЗЫ!$F$3:$F$500,$A142)=0,"",_xlfn.MAXIFS(ЗАКАЗЫ!$AK$3:$AK$500,ЗАКАЗЫ!$F$3:$F$500,$A142)))</f>
        <v/>
      </c>
    </row>
    <row r="143" customFormat="false" ht="15.75" hidden="false" customHeight="true" outlineLevel="0" collapsed="false">
      <c r="A143" s="80" t="s">
        <v>2337</v>
      </c>
      <c r="B143" s="81"/>
      <c r="C143" s="81"/>
      <c r="D143" s="81"/>
      <c r="E143" s="83"/>
      <c r="F143" s="81"/>
      <c r="G143" s="83"/>
      <c r="H143" s="83"/>
      <c r="I143" s="84" t="str">
        <f aca="false">IF(E143="","",A143&amp;"_1.jpg")</f>
        <v/>
      </c>
      <c r="J143" s="84" t="str">
        <f aca="false">IF(E143="","",A143&amp;"_2.jpg; "&amp;A143&amp;"_3.jpg")</f>
        <v/>
      </c>
      <c r="K143" s="84" t="str">
        <f aca="false">IF(E143="","",A143&amp;"_schema.jpg")</f>
        <v/>
      </c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 t="s">
        <v>96</v>
      </c>
      <c r="W143" s="81"/>
      <c r="X143" s="81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6" t="str">
        <f aca="false">IF(SUM(Y143:AJ143)=0,"",SUM(Y143:AJ143))</f>
        <v/>
      </c>
      <c r="AL143" s="84" t="str">
        <f aca="false">MID(IF(N(Y143)&gt;0,", "&amp;Y$2,"")&amp;IF(N(Z143)&gt;0,", "&amp;Z$2,"")&amp;IF(N(AA143)&gt;0,", "&amp;AA$2,"")&amp;IF(N(AB143)&gt;0,", "&amp;AB$2,"")&amp;IF(N(AC143)&gt;0,", "&amp;AC$2,"")&amp;IF(N(AD143)&gt;0,", "&amp;AD$2,"")&amp;IF(N(AE143)&gt;0,", "&amp;AE$2,"")&amp;IF(N(AF143)&gt;0,", "&amp;AF$2,"")&amp;IF(N(AG143)&gt;0,", "&amp;AG$2,"")&amp;IF(N(AH143)&gt;0,", "&amp;AH$2,"")&amp;IF(N(AI143)&gt;0,", "&amp;AI$2,"")&amp;IF(N(AJ143)&gt;0,", "&amp;AJ$2,""),3,999)</f>
        <v/>
      </c>
      <c r="AM143" s="87" t="str">
        <f aca="false">IF(E143="","",MID(IF(N(Y143)&gt;0,", "&amp;A143&amp;"-"&amp;Y$2,"")&amp;IF(N(Z143)&gt;0,", "&amp;A143&amp;"-"&amp;Z$2,"")&amp;IF(N(AA143)&gt;0,", "&amp;A143&amp;"-"&amp;AA$2,"")&amp;IF(N(AB143)&gt;0,", "&amp;A143&amp;"-"&amp;AB$2,"")&amp;IF(N(AC143)&gt;0,", "&amp;A143&amp;"-"&amp;AC$2,"")&amp;IF(N(AD143)&gt;0,", "&amp;A143&amp;"-"&amp;AD$2,"")&amp;IF(N(AE143)&gt;0,", "&amp;A143&amp;"-"&amp;AE$2,"")&amp;IF(N(AF143)&gt;0,", "&amp;A143&amp;"-"&amp;AF$2,"")&amp;IF(N(AG143)&gt;0,", "&amp;A143&amp;"-"&amp;AG$2,"")&amp;IF(N(AH143)&gt;0,", "&amp;A143&amp;"-"&amp;AH$2,"")&amp;IF(N(AI143)&gt;0,", "&amp;A143&amp;"-"&amp;AI$2,"")&amp;IF(N(AJ143)&gt;0,", "&amp;A143&amp;"-"&amp;AJ$2,""),3,999))</f>
        <v/>
      </c>
      <c r="AN143" s="81"/>
      <c r="AO143" s="88"/>
      <c r="AP143" s="89" t="str">
        <f aca="false">IF(AO143="","",ROUND(AO143/(1+Справочники!$B$13),2))</f>
        <v/>
      </c>
      <c r="AQ143" s="90" t="str">
        <f aca="false" t="array" ref="AQ143:AQ143">IF(AP143="","",AP143*INDEX(Справочники!$B$4:$B$7,MATCH("RUB",Справочники!$A$4:$A$7,0)))</f>
        <v/>
      </c>
      <c r="AR143" s="90" t="str">
        <f aca="false">IF(AQ143="","",ROUND(AQ143*(1+Справочники!$B$12),0))</f>
        <v/>
      </c>
      <c r="AS143" s="90" t="str">
        <f aca="false">IF(AR143="","",ROUND(AR143*(1-Справочники!$B$11),0))</f>
        <v/>
      </c>
      <c r="AT143" s="88"/>
      <c r="AU143" s="90" t="str">
        <f aca="false">IF(AT143="","",ROUND(AT143/(1+Справочники!$B$12),0))</f>
        <v/>
      </c>
      <c r="AV143" s="90" t="str">
        <f aca="false">IF(AT143="","",ROUND(AT143*(1-Справочники!$B$15),0))</f>
        <v/>
      </c>
      <c r="AW143" s="90" t="str">
        <f aca="false">IF(AT143="","",ROUND(AT143*(1-Справочники!$B$16),0))</f>
        <v/>
      </c>
      <c r="AX143" s="90" t="str">
        <f aca="false">IF(AT143="","",ROUND(AT143*(1-Справочники!$B$17),0))</f>
        <v/>
      </c>
      <c r="AY143" s="90" t="str">
        <f aca="false">IF(AT143="","",ROUND(AT143*(1-Справочники!$B$18),0))</f>
        <v/>
      </c>
      <c r="AZ143" s="90" t="str">
        <f aca="false">IF(AT143="","",ROUND(AT143*(1-Справочники!$B$19),0))</f>
        <v/>
      </c>
      <c r="BA143" s="81"/>
      <c r="BB143" s="81"/>
      <c r="BC143" s="81"/>
      <c r="BD143" s="81"/>
      <c r="BE143" s="91"/>
      <c r="BF143" s="81" t="s">
        <v>103</v>
      </c>
      <c r="BG143" s="89" t="n">
        <f aca="false" t="array" ref="BG143:BG143">IF(BF143="","",IFERROR(INDEX(Справочники!$B$4:$B$7,MATCH(BF143,Справочники!$A$4:$A$7,0)),""))</f>
        <v>68.5</v>
      </c>
      <c r="BH143" s="90" t="str">
        <f aca="false">IF(N(BN143)&gt;0,ROUND(SUMIF(ЗАКАЗЫ!$F$3:$F$500,$A143,ЗАКАЗЫ!$Y$3:$Y$500)/BN143,0),IF(OR(BE143="",BG143=""),"",ROUND(BE143*BG143*(1+Справочники!$B$10),0)))</f>
        <v/>
      </c>
      <c r="BI143" s="92" t="str">
        <f aca="false">IF(OR(AU143="",BH143="",AU143=0),"",(AU143-BH143)/AU143)</f>
        <v/>
      </c>
      <c r="BJ143" s="81"/>
      <c r="BK143" s="83"/>
      <c r="BL143" s="43" t="str">
        <f aca="false">IFERROR(INDEX(ЗАКАЗЫ!$N$3:$N$500,MATCH($A143,ЗАКАЗЫ!$F$3:$F$500,0)),"")</f>
        <v/>
      </c>
      <c r="BM143" s="8" t="str">
        <f aca="false">IF(BL143="","",IFERROR(VLOOKUP(BL143,'ТН ВЭД'!$A$4:$C$40,3,0),""))</f>
        <v/>
      </c>
      <c r="BN143" s="7" t="str">
        <f aca="false">IF(COUNTIF(ЗАКАЗЫ!$F$3:$F$500,$A143)=0,"",SUMIF(ЗАКАЗЫ!$F$3:$F$500,$A143,ЗАКАЗЫ!$J$3:$J$500))</f>
        <v/>
      </c>
      <c r="BO143" s="7" t="str">
        <f aca="false">IF(BN143="","",SUMIF(ЗАКАЗЫ!$F$3:$F$500,$A143,ЗАКАЗЫ!$AL$3:$AL$500))</f>
        <v/>
      </c>
      <c r="BP143" s="7" t="str">
        <f aca="false">IF(BN143="","",BN143-BO143)</f>
        <v/>
      </c>
      <c r="BQ143" s="55" t="str">
        <f aca="false">IF(BN143="","",IF(BO143&gt;=BN143,"На складе",IF(BO143&gt;0,"Частично","Ждём")))</f>
        <v/>
      </c>
      <c r="BR143" s="43"/>
      <c r="BS143" s="47" t="str">
        <f aca="false">IF(BN143="","",IF(_xlfn.MAXIFS(ЗАКАЗЫ!$AK$3:$AK$500,ЗАКАЗЫ!$F$3:$F$500,$A143)=0,"",_xlfn.MAXIFS(ЗАКАЗЫ!$AK$3:$AK$500,ЗАКАЗЫ!$F$3:$F$500,$A143)))</f>
        <v/>
      </c>
    </row>
    <row r="144" customFormat="false" ht="15.75" hidden="false" customHeight="true" outlineLevel="0" collapsed="false">
      <c r="A144" s="80" t="s">
        <v>2338</v>
      </c>
      <c r="B144" s="81"/>
      <c r="C144" s="81"/>
      <c r="D144" s="81"/>
      <c r="E144" s="83"/>
      <c r="F144" s="81"/>
      <c r="G144" s="83"/>
      <c r="H144" s="83"/>
      <c r="I144" s="84" t="str">
        <f aca="false">IF(E144="","",A144&amp;"_1.jpg")</f>
        <v/>
      </c>
      <c r="J144" s="84" t="str">
        <f aca="false">IF(E144="","",A144&amp;"_2.jpg; "&amp;A144&amp;"_3.jpg")</f>
        <v/>
      </c>
      <c r="K144" s="84" t="str">
        <f aca="false">IF(E144="","",A144&amp;"_schema.jpg")</f>
        <v/>
      </c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 t="s">
        <v>96</v>
      </c>
      <c r="W144" s="81"/>
      <c r="X144" s="81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6" t="str">
        <f aca="false">IF(SUM(Y144:AJ144)=0,"",SUM(Y144:AJ144))</f>
        <v/>
      </c>
      <c r="AL144" s="84" t="str">
        <f aca="false">MID(IF(N(Y144)&gt;0,", "&amp;Y$2,"")&amp;IF(N(Z144)&gt;0,", "&amp;Z$2,"")&amp;IF(N(AA144)&gt;0,", "&amp;AA$2,"")&amp;IF(N(AB144)&gt;0,", "&amp;AB$2,"")&amp;IF(N(AC144)&gt;0,", "&amp;AC$2,"")&amp;IF(N(AD144)&gt;0,", "&amp;AD$2,"")&amp;IF(N(AE144)&gt;0,", "&amp;AE$2,"")&amp;IF(N(AF144)&gt;0,", "&amp;AF$2,"")&amp;IF(N(AG144)&gt;0,", "&amp;AG$2,"")&amp;IF(N(AH144)&gt;0,", "&amp;AH$2,"")&amp;IF(N(AI144)&gt;0,", "&amp;AI$2,"")&amp;IF(N(AJ144)&gt;0,", "&amp;AJ$2,""),3,999)</f>
        <v/>
      </c>
      <c r="AM144" s="87" t="str">
        <f aca="false">IF(E144="","",MID(IF(N(Y144)&gt;0,", "&amp;A144&amp;"-"&amp;Y$2,"")&amp;IF(N(Z144)&gt;0,", "&amp;A144&amp;"-"&amp;Z$2,"")&amp;IF(N(AA144)&gt;0,", "&amp;A144&amp;"-"&amp;AA$2,"")&amp;IF(N(AB144)&gt;0,", "&amp;A144&amp;"-"&amp;AB$2,"")&amp;IF(N(AC144)&gt;0,", "&amp;A144&amp;"-"&amp;AC$2,"")&amp;IF(N(AD144)&gt;0,", "&amp;A144&amp;"-"&amp;AD$2,"")&amp;IF(N(AE144)&gt;0,", "&amp;A144&amp;"-"&amp;AE$2,"")&amp;IF(N(AF144)&gt;0,", "&amp;A144&amp;"-"&amp;AF$2,"")&amp;IF(N(AG144)&gt;0,", "&amp;A144&amp;"-"&amp;AG$2,"")&amp;IF(N(AH144)&gt;0,", "&amp;A144&amp;"-"&amp;AH$2,"")&amp;IF(N(AI144)&gt;0,", "&amp;A144&amp;"-"&amp;AI$2,"")&amp;IF(N(AJ144)&gt;0,", "&amp;A144&amp;"-"&amp;AJ$2,""),3,999))</f>
        <v/>
      </c>
      <c r="AN144" s="81"/>
      <c r="AO144" s="88"/>
      <c r="AP144" s="89" t="str">
        <f aca="false">IF(AO144="","",ROUND(AO144/(1+Справочники!$B$13),2))</f>
        <v/>
      </c>
      <c r="AQ144" s="90" t="str">
        <f aca="false" t="array" ref="AQ144:AQ144">IF(AP144="","",AP144*INDEX(Справочники!$B$4:$B$7,MATCH("RUB",Справочники!$A$4:$A$7,0)))</f>
        <v/>
      </c>
      <c r="AR144" s="90" t="str">
        <f aca="false">IF(AQ144="","",ROUND(AQ144*(1+Справочники!$B$12),0))</f>
        <v/>
      </c>
      <c r="AS144" s="90" t="str">
        <f aca="false">IF(AR144="","",ROUND(AR144*(1-Справочники!$B$11),0))</f>
        <v/>
      </c>
      <c r="AT144" s="88"/>
      <c r="AU144" s="90" t="str">
        <f aca="false">IF(AT144="","",ROUND(AT144/(1+Справочники!$B$12),0))</f>
        <v/>
      </c>
      <c r="AV144" s="90" t="str">
        <f aca="false">IF(AT144="","",ROUND(AT144*(1-Справочники!$B$15),0))</f>
        <v/>
      </c>
      <c r="AW144" s="90" t="str">
        <f aca="false">IF(AT144="","",ROUND(AT144*(1-Справочники!$B$16),0))</f>
        <v/>
      </c>
      <c r="AX144" s="90" t="str">
        <f aca="false">IF(AT144="","",ROUND(AT144*(1-Справочники!$B$17),0))</f>
        <v/>
      </c>
      <c r="AY144" s="90" t="str">
        <f aca="false">IF(AT144="","",ROUND(AT144*(1-Справочники!$B$18),0))</f>
        <v/>
      </c>
      <c r="AZ144" s="90" t="str">
        <f aca="false">IF(AT144="","",ROUND(AT144*(1-Справочники!$B$19),0))</f>
        <v/>
      </c>
      <c r="BA144" s="81"/>
      <c r="BB144" s="81"/>
      <c r="BC144" s="81"/>
      <c r="BD144" s="81"/>
      <c r="BE144" s="91"/>
      <c r="BF144" s="81" t="s">
        <v>103</v>
      </c>
      <c r="BG144" s="89" t="n">
        <f aca="false" t="array" ref="BG144:BG144">IF(BF144="","",IFERROR(INDEX(Справочники!$B$4:$B$7,MATCH(BF144,Справочники!$A$4:$A$7,0)),""))</f>
        <v>68.5</v>
      </c>
      <c r="BH144" s="90" t="str">
        <f aca="false">IF(N(BN144)&gt;0,ROUND(SUMIF(ЗАКАЗЫ!$F$3:$F$500,$A144,ЗАКАЗЫ!$Y$3:$Y$500)/BN144,0),IF(OR(BE144="",BG144=""),"",ROUND(BE144*BG144*(1+Справочники!$B$10),0)))</f>
        <v/>
      </c>
      <c r="BI144" s="92" t="str">
        <f aca="false">IF(OR(AU144="",BH144="",AU144=0),"",(AU144-BH144)/AU144)</f>
        <v/>
      </c>
      <c r="BJ144" s="81"/>
      <c r="BK144" s="83"/>
      <c r="BL144" s="43" t="str">
        <f aca="false">IFERROR(INDEX(ЗАКАЗЫ!$N$3:$N$500,MATCH($A144,ЗАКАЗЫ!$F$3:$F$500,0)),"")</f>
        <v/>
      </c>
      <c r="BM144" s="8" t="str">
        <f aca="false">IF(BL144="","",IFERROR(VLOOKUP(BL144,'ТН ВЭД'!$A$4:$C$40,3,0),""))</f>
        <v/>
      </c>
      <c r="BN144" s="7" t="str">
        <f aca="false">IF(COUNTIF(ЗАКАЗЫ!$F$3:$F$500,$A144)=0,"",SUMIF(ЗАКАЗЫ!$F$3:$F$500,$A144,ЗАКАЗЫ!$J$3:$J$500))</f>
        <v/>
      </c>
      <c r="BO144" s="7" t="str">
        <f aca="false">IF(BN144="","",SUMIF(ЗАКАЗЫ!$F$3:$F$500,$A144,ЗАКАЗЫ!$AL$3:$AL$500))</f>
        <v/>
      </c>
      <c r="BP144" s="7" t="str">
        <f aca="false">IF(BN144="","",BN144-BO144)</f>
        <v/>
      </c>
      <c r="BQ144" s="55" t="str">
        <f aca="false">IF(BN144="","",IF(BO144&gt;=BN144,"На складе",IF(BO144&gt;0,"Частично","Ждём")))</f>
        <v/>
      </c>
      <c r="BR144" s="43"/>
      <c r="BS144" s="47" t="str">
        <f aca="false">IF(BN144="","",IF(_xlfn.MAXIFS(ЗАКАЗЫ!$AK$3:$AK$500,ЗАКАЗЫ!$F$3:$F$500,$A144)=0,"",_xlfn.MAXIFS(ЗАКАЗЫ!$AK$3:$AK$500,ЗАКАЗЫ!$F$3:$F$500,$A144)))</f>
        <v/>
      </c>
    </row>
    <row r="145" customFormat="false" ht="15.75" hidden="false" customHeight="true" outlineLevel="0" collapsed="false">
      <c r="A145" s="80" t="s">
        <v>2339</v>
      </c>
      <c r="B145" s="81"/>
      <c r="C145" s="81"/>
      <c r="D145" s="81"/>
      <c r="E145" s="83"/>
      <c r="F145" s="81"/>
      <c r="G145" s="83"/>
      <c r="H145" s="83"/>
      <c r="I145" s="84" t="str">
        <f aca="false">IF(E145="","",A145&amp;"_1.jpg")</f>
        <v/>
      </c>
      <c r="J145" s="84" t="str">
        <f aca="false">IF(E145="","",A145&amp;"_2.jpg; "&amp;A145&amp;"_3.jpg")</f>
        <v/>
      </c>
      <c r="K145" s="84" t="str">
        <f aca="false">IF(E145="","",A145&amp;"_schema.jpg")</f>
        <v/>
      </c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 t="s">
        <v>96</v>
      </c>
      <c r="W145" s="81"/>
      <c r="X145" s="81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6" t="str">
        <f aca="false">IF(SUM(Y145:AJ145)=0,"",SUM(Y145:AJ145))</f>
        <v/>
      </c>
      <c r="AL145" s="84" t="str">
        <f aca="false">MID(IF(N(Y145)&gt;0,", "&amp;Y$2,"")&amp;IF(N(Z145)&gt;0,", "&amp;Z$2,"")&amp;IF(N(AA145)&gt;0,", "&amp;AA$2,"")&amp;IF(N(AB145)&gt;0,", "&amp;AB$2,"")&amp;IF(N(AC145)&gt;0,", "&amp;AC$2,"")&amp;IF(N(AD145)&gt;0,", "&amp;AD$2,"")&amp;IF(N(AE145)&gt;0,", "&amp;AE$2,"")&amp;IF(N(AF145)&gt;0,", "&amp;AF$2,"")&amp;IF(N(AG145)&gt;0,", "&amp;AG$2,"")&amp;IF(N(AH145)&gt;0,", "&amp;AH$2,"")&amp;IF(N(AI145)&gt;0,", "&amp;AI$2,"")&amp;IF(N(AJ145)&gt;0,", "&amp;AJ$2,""),3,999)</f>
        <v/>
      </c>
      <c r="AM145" s="87" t="str">
        <f aca="false">IF(E145="","",MID(IF(N(Y145)&gt;0,", "&amp;A145&amp;"-"&amp;Y$2,"")&amp;IF(N(Z145)&gt;0,", "&amp;A145&amp;"-"&amp;Z$2,"")&amp;IF(N(AA145)&gt;0,", "&amp;A145&amp;"-"&amp;AA$2,"")&amp;IF(N(AB145)&gt;0,", "&amp;A145&amp;"-"&amp;AB$2,"")&amp;IF(N(AC145)&gt;0,", "&amp;A145&amp;"-"&amp;AC$2,"")&amp;IF(N(AD145)&gt;0,", "&amp;A145&amp;"-"&amp;AD$2,"")&amp;IF(N(AE145)&gt;0,", "&amp;A145&amp;"-"&amp;AE$2,"")&amp;IF(N(AF145)&gt;0,", "&amp;A145&amp;"-"&amp;AF$2,"")&amp;IF(N(AG145)&gt;0,", "&amp;A145&amp;"-"&amp;AG$2,"")&amp;IF(N(AH145)&gt;0,", "&amp;A145&amp;"-"&amp;AH$2,"")&amp;IF(N(AI145)&gt;0,", "&amp;A145&amp;"-"&amp;AI$2,"")&amp;IF(N(AJ145)&gt;0,", "&amp;A145&amp;"-"&amp;AJ$2,""),3,999))</f>
        <v/>
      </c>
      <c r="AN145" s="81"/>
      <c r="AO145" s="88"/>
      <c r="AP145" s="89" t="str">
        <f aca="false">IF(AO145="","",ROUND(AO145/(1+Справочники!$B$13),2))</f>
        <v/>
      </c>
      <c r="AQ145" s="90" t="str">
        <f aca="false" t="array" ref="AQ145:AQ145">IF(AP145="","",AP145*INDEX(Справочники!$B$4:$B$7,MATCH("RUB",Справочники!$A$4:$A$7,0)))</f>
        <v/>
      </c>
      <c r="AR145" s="90" t="str">
        <f aca="false">IF(AQ145="","",ROUND(AQ145*(1+Справочники!$B$12),0))</f>
        <v/>
      </c>
      <c r="AS145" s="90" t="str">
        <f aca="false">IF(AR145="","",ROUND(AR145*(1-Справочники!$B$11),0))</f>
        <v/>
      </c>
      <c r="AT145" s="88"/>
      <c r="AU145" s="90" t="str">
        <f aca="false">IF(AT145="","",ROUND(AT145/(1+Справочники!$B$12),0))</f>
        <v/>
      </c>
      <c r="AV145" s="90" t="str">
        <f aca="false">IF(AT145="","",ROUND(AT145*(1-Справочники!$B$15),0))</f>
        <v/>
      </c>
      <c r="AW145" s="90" t="str">
        <f aca="false">IF(AT145="","",ROUND(AT145*(1-Справочники!$B$16),0))</f>
        <v/>
      </c>
      <c r="AX145" s="90" t="str">
        <f aca="false">IF(AT145="","",ROUND(AT145*(1-Справочники!$B$17),0))</f>
        <v/>
      </c>
      <c r="AY145" s="90" t="str">
        <f aca="false">IF(AT145="","",ROUND(AT145*(1-Справочники!$B$18),0))</f>
        <v/>
      </c>
      <c r="AZ145" s="90" t="str">
        <f aca="false">IF(AT145="","",ROUND(AT145*(1-Справочники!$B$19),0))</f>
        <v/>
      </c>
      <c r="BA145" s="81"/>
      <c r="BB145" s="81"/>
      <c r="BC145" s="81"/>
      <c r="BD145" s="81"/>
      <c r="BE145" s="91"/>
      <c r="BF145" s="81" t="s">
        <v>103</v>
      </c>
      <c r="BG145" s="89" t="n">
        <f aca="false" t="array" ref="BG145:BG145">IF(BF145="","",IFERROR(INDEX(Справочники!$B$4:$B$7,MATCH(BF145,Справочники!$A$4:$A$7,0)),""))</f>
        <v>68.5</v>
      </c>
      <c r="BH145" s="90" t="str">
        <f aca="false">IF(N(BN145)&gt;0,ROUND(SUMIF(ЗАКАЗЫ!$F$3:$F$500,$A145,ЗАКАЗЫ!$Y$3:$Y$500)/BN145,0),IF(OR(BE145="",BG145=""),"",ROUND(BE145*BG145*(1+Справочники!$B$10),0)))</f>
        <v/>
      </c>
      <c r="BI145" s="92" t="str">
        <f aca="false">IF(OR(AU145="",BH145="",AU145=0),"",(AU145-BH145)/AU145)</f>
        <v/>
      </c>
      <c r="BJ145" s="81"/>
      <c r="BK145" s="83"/>
      <c r="BL145" s="43" t="str">
        <f aca="false">IFERROR(INDEX(ЗАКАЗЫ!$N$3:$N$500,MATCH($A145,ЗАКАЗЫ!$F$3:$F$500,0)),"")</f>
        <v/>
      </c>
      <c r="BM145" s="8" t="str">
        <f aca="false">IF(BL145="","",IFERROR(VLOOKUP(BL145,'ТН ВЭД'!$A$4:$C$40,3,0),""))</f>
        <v/>
      </c>
      <c r="BN145" s="7" t="str">
        <f aca="false">IF(COUNTIF(ЗАКАЗЫ!$F$3:$F$500,$A145)=0,"",SUMIF(ЗАКАЗЫ!$F$3:$F$500,$A145,ЗАКАЗЫ!$J$3:$J$500))</f>
        <v/>
      </c>
      <c r="BO145" s="7" t="str">
        <f aca="false">IF(BN145="","",SUMIF(ЗАКАЗЫ!$F$3:$F$500,$A145,ЗАКАЗЫ!$AL$3:$AL$500))</f>
        <v/>
      </c>
      <c r="BP145" s="7" t="str">
        <f aca="false">IF(BN145="","",BN145-BO145)</f>
        <v/>
      </c>
      <c r="BQ145" s="55" t="str">
        <f aca="false">IF(BN145="","",IF(BO145&gt;=BN145,"На складе",IF(BO145&gt;0,"Частично","Ждём")))</f>
        <v/>
      </c>
      <c r="BR145" s="43"/>
      <c r="BS145" s="47" t="str">
        <f aca="false">IF(BN145="","",IF(_xlfn.MAXIFS(ЗАКАЗЫ!$AK$3:$AK$500,ЗАКАЗЫ!$F$3:$F$500,$A145)=0,"",_xlfn.MAXIFS(ЗАКАЗЫ!$AK$3:$AK$500,ЗАКАЗЫ!$F$3:$F$500,$A145)))</f>
        <v/>
      </c>
    </row>
    <row r="146" customFormat="false" ht="15.75" hidden="false" customHeight="true" outlineLevel="0" collapsed="false">
      <c r="A146" s="80" t="s">
        <v>2340</v>
      </c>
      <c r="B146" s="81"/>
      <c r="C146" s="81"/>
      <c r="D146" s="81"/>
      <c r="E146" s="83"/>
      <c r="F146" s="81"/>
      <c r="G146" s="83"/>
      <c r="H146" s="83"/>
      <c r="I146" s="84" t="str">
        <f aca="false">IF(E146="","",A146&amp;"_1.jpg")</f>
        <v/>
      </c>
      <c r="J146" s="84" t="str">
        <f aca="false">IF(E146="","",A146&amp;"_2.jpg; "&amp;A146&amp;"_3.jpg")</f>
        <v/>
      </c>
      <c r="K146" s="84" t="str">
        <f aca="false">IF(E146="","",A146&amp;"_schema.jpg")</f>
        <v/>
      </c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 t="s">
        <v>96</v>
      </c>
      <c r="W146" s="81"/>
      <c r="X146" s="81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6" t="str">
        <f aca="false">IF(SUM(Y146:AJ146)=0,"",SUM(Y146:AJ146))</f>
        <v/>
      </c>
      <c r="AL146" s="84" t="str">
        <f aca="false">MID(IF(N(Y146)&gt;0,", "&amp;Y$2,"")&amp;IF(N(Z146)&gt;0,", "&amp;Z$2,"")&amp;IF(N(AA146)&gt;0,", "&amp;AA$2,"")&amp;IF(N(AB146)&gt;0,", "&amp;AB$2,"")&amp;IF(N(AC146)&gt;0,", "&amp;AC$2,"")&amp;IF(N(AD146)&gt;0,", "&amp;AD$2,"")&amp;IF(N(AE146)&gt;0,", "&amp;AE$2,"")&amp;IF(N(AF146)&gt;0,", "&amp;AF$2,"")&amp;IF(N(AG146)&gt;0,", "&amp;AG$2,"")&amp;IF(N(AH146)&gt;0,", "&amp;AH$2,"")&amp;IF(N(AI146)&gt;0,", "&amp;AI$2,"")&amp;IF(N(AJ146)&gt;0,", "&amp;AJ$2,""),3,999)</f>
        <v/>
      </c>
      <c r="AM146" s="87" t="str">
        <f aca="false">IF(E146="","",MID(IF(N(Y146)&gt;0,", "&amp;A146&amp;"-"&amp;Y$2,"")&amp;IF(N(Z146)&gt;0,", "&amp;A146&amp;"-"&amp;Z$2,"")&amp;IF(N(AA146)&gt;0,", "&amp;A146&amp;"-"&amp;AA$2,"")&amp;IF(N(AB146)&gt;0,", "&amp;A146&amp;"-"&amp;AB$2,"")&amp;IF(N(AC146)&gt;0,", "&amp;A146&amp;"-"&amp;AC$2,"")&amp;IF(N(AD146)&gt;0,", "&amp;A146&amp;"-"&amp;AD$2,"")&amp;IF(N(AE146)&gt;0,", "&amp;A146&amp;"-"&amp;AE$2,"")&amp;IF(N(AF146)&gt;0,", "&amp;A146&amp;"-"&amp;AF$2,"")&amp;IF(N(AG146)&gt;0,", "&amp;A146&amp;"-"&amp;AG$2,"")&amp;IF(N(AH146)&gt;0,", "&amp;A146&amp;"-"&amp;AH$2,"")&amp;IF(N(AI146)&gt;0,", "&amp;A146&amp;"-"&amp;AI$2,"")&amp;IF(N(AJ146)&gt;0,", "&amp;A146&amp;"-"&amp;AJ$2,""),3,999))</f>
        <v/>
      </c>
      <c r="AN146" s="81"/>
      <c r="AO146" s="88"/>
      <c r="AP146" s="89" t="str">
        <f aca="false">IF(AO146="","",ROUND(AO146/(1+Справочники!$B$13),2))</f>
        <v/>
      </c>
      <c r="AQ146" s="90" t="str">
        <f aca="false" t="array" ref="AQ146:AQ146">IF(AP146="","",AP146*INDEX(Справочники!$B$4:$B$7,MATCH("RUB",Справочники!$A$4:$A$7,0)))</f>
        <v/>
      </c>
      <c r="AR146" s="90" t="str">
        <f aca="false">IF(AQ146="","",ROUND(AQ146*(1+Справочники!$B$12),0))</f>
        <v/>
      </c>
      <c r="AS146" s="90" t="str">
        <f aca="false">IF(AR146="","",ROUND(AR146*(1-Справочники!$B$11),0))</f>
        <v/>
      </c>
      <c r="AT146" s="88"/>
      <c r="AU146" s="90" t="str">
        <f aca="false">IF(AT146="","",ROUND(AT146/(1+Справочники!$B$12),0))</f>
        <v/>
      </c>
      <c r="AV146" s="90" t="str">
        <f aca="false">IF(AT146="","",ROUND(AT146*(1-Справочники!$B$15),0))</f>
        <v/>
      </c>
      <c r="AW146" s="90" t="str">
        <f aca="false">IF(AT146="","",ROUND(AT146*(1-Справочники!$B$16),0))</f>
        <v/>
      </c>
      <c r="AX146" s="90" t="str">
        <f aca="false">IF(AT146="","",ROUND(AT146*(1-Справочники!$B$17),0))</f>
        <v/>
      </c>
      <c r="AY146" s="90" t="str">
        <f aca="false">IF(AT146="","",ROUND(AT146*(1-Справочники!$B$18),0))</f>
        <v/>
      </c>
      <c r="AZ146" s="90" t="str">
        <f aca="false">IF(AT146="","",ROUND(AT146*(1-Справочники!$B$19),0))</f>
        <v/>
      </c>
      <c r="BA146" s="81"/>
      <c r="BB146" s="81"/>
      <c r="BC146" s="81"/>
      <c r="BD146" s="81"/>
      <c r="BE146" s="91"/>
      <c r="BF146" s="81" t="s">
        <v>103</v>
      </c>
      <c r="BG146" s="89" t="n">
        <f aca="false" t="array" ref="BG146:BG146">IF(BF146="","",IFERROR(INDEX(Справочники!$B$4:$B$7,MATCH(BF146,Справочники!$A$4:$A$7,0)),""))</f>
        <v>68.5</v>
      </c>
      <c r="BH146" s="90" t="str">
        <f aca="false">IF(N(BN146)&gt;0,ROUND(SUMIF(ЗАКАЗЫ!$F$3:$F$500,$A146,ЗАКАЗЫ!$Y$3:$Y$500)/BN146,0),IF(OR(BE146="",BG146=""),"",ROUND(BE146*BG146*(1+Справочники!$B$10),0)))</f>
        <v/>
      </c>
      <c r="BI146" s="92" t="str">
        <f aca="false">IF(OR(AU146="",BH146="",AU146=0),"",(AU146-BH146)/AU146)</f>
        <v/>
      </c>
      <c r="BJ146" s="81"/>
      <c r="BK146" s="83"/>
      <c r="BL146" s="43" t="str">
        <f aca="false">IFERROR(INDEX(ЗАКАЗЫ!$N$3:$N$500,MATCH($A146,ЗАКАЗЫ!$F$3:$F$500,0)),"")</f>
        <v/>
      </c>
      <c r="BM146" s="8" t="str">
        <f aca="false">IF(BL146="","",IFERROR(VLOOKUP(BL146,'ТН ВЭД'!$A$4:$C$40,3,0),""))</f>
        <v/>
      </c>
      <c r="BN146" s="7" t="str">
        <f aca="false">IF(COUNTIF(ЗАКАЗЫ!$F$3:$F$500,$A146)=0,"",SUMIF(ЗАКАЗЫ!$F$3:$F$500,$A146,ЗАКАЗЫ!$J$3:$J$500))</f>
        <v/>
      </c>
      <c r="BO146" s="7" t="str">
        <f aca="false">IF(BN146="","",SUMIF(ЗАКАЗЫ!$F$3:$F$500,$A146,ЗАКАЗЫ!$AL$3:$AL$500))</f>
        <v/>
      </c>
      <c r="BP146" s="7" t="str">
        <f aca="false">IF(BN146="","",BN146-BO146)</f>
        <v/>
      </c>
      <c r="BQ146" s="55" t="str">
        <f aca="false">IF(BN146="","",IF(BO146&gt;=BN146,"На складе",IF(BO146&gt;0,"Частично","Ждём")))</f>
        <v/>
      </c>
      <c r="BR146" s="43"/>
      <c r="BS146" s="47" t="str">
        <f aca="false">IF(BN146="","",IF(_xlfn.MAXIFS(ЗАКАЗЫ!$AK$3:$AK$500,ЗАКАЗЫ!$F$3:$F$500,$A146)=0,"",_xlfn.MAXIFS(ЗАКАЗЫ!$AK$3:$AK$500,ЗАКАЗЫ!$F$3:$F$500,$A146)))</f>
        <v/>
      </c>
    </row>
    <row r="147" customFormat="false" ht="15.75" hidden="false" customHeight="true" outlineLevel="0" collapsed="false">
      <c r="A147" s="80" t="s">
        <v>2341</v>
      </c>
      <c r="B147" s="81"/>
      <c r="C147" s="81"/>
      <c r="D147" s="81"/>
      <c r="E147" s="83"/>
      <c r="F147" s="81"/>
      <c r="G147" s="83"/>
      <c r="H147" s="83"/>
      <c r="I147" s="84" t="str">
        <f aca="false">IF(E147="","",A147&amp;"_1.jpg")</f>
        <v/>
      </c>
      <c r="J147" s="84" t="str">
        <f aca="false">IF(E147="","",A147&amp;"_2.jpg; "&amp;A147&amp;"_3.jpg")</f>
        <v/>
      </c>
      <c r="K147" s="84" t="str">
        <f aca="false">IF(E147="","",A147&amp;"_schema.jpg")</f>
        <v/>
      </c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 t="s">
        <v>96</v>
      </c>
      <c r="W147" s="81"/>
      <c r="X147" s="81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6" t="str">
        <f aca="false">IF(SUM(Y147:AJ147)=0,"",SUM(Y147:AJ147))</f>
        <v/>
      </c>
      <c r="AL147" s="84" t="str">
        <f aca="false">MID(IF(N(Y147)&gt;0,", "&amp;Y$2,"")&amp;IF(N(Z147)&gt;0,", "&amp;Z$2,"")&amp;IF(N(AA147)&gt;0,", "&amp;AA$2,"")&amp;IF(N(AB147)&gt;0,", "&amp;AB$2,"")&amp;IF(N(AC147)&gt;0,", "&amp;AC$2,"")&amp;IF(N(AD147)&gt;0,", "&amp;AD$2,"")&amp;IF(N(AE147)&gt;0,", "&amp;AE$2,"")&amp;IF(N(AF147)&gt;0,", "&amp;AF$2,"")&amp;IF(N(AG147)&gt;0,", "&amp;AG$2,"")&amp;IF(N(AH147)&gt;0,", "&amp;AH$2,"")&amp;IF(N(AI147)&gt;0,", "&amp;AI$2,"")&amp;IF(N(AJ147)&gt;0,", "&amp;AJ$2,""),3,999)</f>
        <v/>
      </c>
      <c r="AM147" s="87" t="str">
        <f aca="false">IF(E147="","",MID(IF(N(Y147)&gt;0,", "&amp;A147&amp;"-"&amp;Y$2,"")&amp;IF(N(Z147)&gt;0,", "&amp;A147&amp;"-"&amp;Z$2,"")&amp;IF(N(AA147)&gt;0,", "&amp;A147&amp;"-"&amp;AA$2,"")&amp;IF(N(AB147)&gt;0,", "&amp;A147&amp;"-"&amp;AB$2,"")&amp;IF(N(AC147)&gt;0,", "&amp;A147&amp;"-"&amp;AC$2,"")&amp;IF(N(AD147)&gt;0,", "&amp;A147&amp;"-"&amp;AD$2,"")&amp;IF(N(AE147)&gt;0,", "&amp;A147&amp;"-"&amp;AE$2,"")&amp;IF(N(AF147)&gt;0,", "&amp;A147&amp;"-"&amp;AF$2,"")&amp;IF(N(AG147)&gt;0,", "&amp;A147&amp;"-"&amp;AG$2,"")&amp;IF(N(AH147)&gt;0,", "&amp;A147&amp;"-"&amp;AH$2,"")&amp;IF(N(AI147)&gt;0,", "&amp;A147&amp;"-"&amp;AI$2,"")&amp;IF(N(AJ147)&gt;0,", "&amp;A147&amp;"-"&amp;AJ$2,""),3,999))</f>
        <v/>
      </c>
      <c r="AN147" s="81"/>
      <c r="AO147" s="88"/>
      <c r="AP147" s="89" t="str">
        <f aca="false">IF(AO147="","",ROUND(AO147/(1+Справочники!$B$13),2))</f>
        <v/>
      </c>
      <c r="AQ147" s="90" t="str">
        <f aca="false" t="array" ref="AQ147:AQ147">IF(AP147="","",AP147*INDEX(Справочники!$B$4:$B$7,MATCH("RUB",Справочники!$A$4:$A$7,0)))</f>
        <v/>
      </c>
      <c r="AR147" s="90" t="str">
        <f aca="false">IF(AQ147="","",ROUND(AQ147*(1+Справочники!$B$12),0))</f>
        <v/>
      </c>
      <c r="AS147" s="90" t="str">
        <f aca="false">IF(AR147="","",ROUND(AR147*(1-Справочники!$B$11),0))</f>
        <v/>
      </c>
      <c r="AT147" s="88"/>
      <c r="AU147" s="90" t="str">
        <f aca="false">IF(AT147="","",ROUND(AT147/(1+Справочники!$B$12),0))</f>
        <v/>
      </c>
      <c r="AV147" s="90" t="str">
        <f aca="false">IF(AT147="","",ROUND(AT147*(1-Справочники!$B$15),0))</f>
        <v/>
      </c>
      <c r="AW147" s="90" t="str">
        <f aca="false">IF(AT147="","",ROUND(AT147*(1-Справочники!$B$16),0))</f>
        <v/>
      </c>
      <c r="AX147" s="90" t="str">
        <f aca="false">IF(AT147="","",ROUND(AT147*(1-Справочники!$B$17),0))</f>
        <v/>
      </c>
      <c r="AY147" s="90" t="str">
        <f aca="false">IF(AT147="","",ROUND(AT147*(1-Справочники!$B$18),0))</f>
        <v/>
      </c>
      <c r="AZ147" s="90" t="str">
        <f aca="false">IF(AT147="","",ROUND(AT147*(1-Справочники!$B$19),0))</f>
        <v/>
      </c>
      <c r="BA147" s="81"/>
      <c r="BB147" s="81"/>
      <c r="BC147" s="81"/>
      <c r="BD147" s="81"/>
      <c r="BE147" s="91"/>
      <c r="BF147" s="81" t="s">
        <v>103</v>
      </c>
      <c r="BG147" s="89" t="n">
        <f aca="false" t="array" ref="BG147:BG147">IF(BF147="","",IFERROR(INDEX(Справочники!$B$4:$B$7,MATCH(BF147,Справочники!$A$4:$A$7,0)),""))</f>
        <v>68.5</v>
      </c>
      <c r="BH147" s="90" t="str">
        <f aca="false">IF(N(BN147)&gt;0,ROUND(SUMIF(ЗАКАЗЫ!$F$3:$F$500,$A147,ЗАКАЗЫ!$Y$3:$Y$500)/BN147,0),IF(OR(BE147="",BG147=""),"",ROUND(BE147*BG147*(1+Справочники!$B$10),0)))</f>
        <v/>
      </c>
      <c r="BI147" s="92" t="str">
        <f aca="false">IF(OR(AU147="",BH147="",AU147=0),"",(AU147-BH147)/AU147)</f>
        <v/>
      </c>
      <c r="BJ147" s="81"/>
      <c r="BK147" s="83"/>
      <c r="BL147" s="43" t="str">
        <f aca="false">IFERROR(INDEX(ЗАКАЗЫ!$N$3:$N$500,MATCH($A147,ЗАКАЗЫ!$F$3:$F$500,0)),"")</f>
        <v/>
      </c>
      <c r="BM147" s="8" t="str">
        <f aca="false">IF(BL147="","",IFERROR(VLOOKUP(BL147,'ТН ВЭД'!$A$4:$C$40,3,0),""))</f>
        <v/>
      </c>
      <c r="BN147" s="7" t="str">
        <f aca="false">IF(COUNTIF(ЗАКАЗЫ!$F$3:$F$500,$A147)=0,"",SUMIF(ЗАКАЗЫ!$F$3:$F$500,$A147,ЗАКАЗЫ!$J$3:$J$500))</f>
        <v/>
      </c>
      <c r="BO147" s="7" t="str">
        <f aca="false">IF(BN147="","",SUMIF(ЗАКАЗЫ!$F$3:$F$500,$A147,ЗАКАЗЫ!$AL$3:$AL$500))</f>
        <v/>
      </c>
      <c r="BP147" s="7" t="str">
        <f aca="false">IF(BN147="","",BN147-BO147)</f>
        <v/>
      </c>
      <c r="BQ147" s="55" t="str">
        <f aca="false">IF(BN147="","",IF(BO147&gt;=BN147,"На складе",IF(BO147&gt;0,"Частично","Ждём")))</f>
        <v/>
      </c>
      <c r="BR147" s="43"/>
      <c r="BS147" s="47" t="str">
        <f aca="false">IF(BN147="","",IF(_xlfn.MAXIFS(ЗАКАЗЫ!$AK$3:$AK$500,ЗАКАЗЫ!$F$3:$F$500,$A147)=0,"",_xlfn.MAXIFS(ЗАКАЗЫ!$AK$3:$AK$500,ЗАКАЗЫ!$F$3:$F$500,$A147)))</f>
        <v/>
      </c>
    </row>
    <row r="148" customFormat="false" ht="15.75" hidden="false" customHeight="true" outlineLevel="0" collapsed="false">
      <c r="A148" s="80" t="s">
        <v>2342</v>
      </c>
      <c r="B148" s="81"/>
      <c r="C148" s="81"/>
      <c r="D148" s="81"/>
      <c r="E148" s="83"/>
      <c r="F148" s="81"/>
      <c r="G148" s="83"/>
      <c r="H148" s="83"/>
      <c r="I148" s="84" t="str">
        <f aca="false">IF(E148="","",A148&amp;"_1.jpg")</f>
        <v/>
      </c>
      <c r="J148" s="84" t="str">
        <f aca="false">IF(E148="","",A148&amp;"_2.jpg; "&amp;A148&amp;"_3.jpg")</f>
        <v/>
      </c>
      <c r="K148" s="84" t="str">
        <f aca="false">IF(E148="","",A148&amp;"_schema.jpg")</f>
        <v/>
      </c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 t="s">
        <v>96</v>
      </c>
      <c r="W148" s="81"/>
      <c r="X148" s="81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6" t="str">
        <f aca="false">IF(SUM(Y148:AJ148)=0,"",SUM(Y148:AJ148))</f>
        <v/>
      </c>
      <c r="AL148" s="84" t="str">
        <f aca="false">MID(IF(N(Y148)&gt;0,", "&amp;Y$2,"")&amp;IF(N(Z148)&gt;0,", "&amp;Z$2,"")&amp;IF(N(AA148)&gt;0,", "&amp;AA$2,"")&amp;IF(N(AB148)&gt;0,", "&amp;AB$2,"")&amp;IF(N(AC148)&gt;0,", "&amp;AC$2,"")&amp;IF(N(AD148)&gt;0,", "&amp;AD$2,"")&amp;IF(N(AE148)&gt;0,", "&amp;AE$2,"")&amp;IF(N(AF148)&gt;0,", "&amp;AF$2,"")&amp;IF(N(AG148)&gt;0,", "&amp;AG$2,"")&amp;IF(N(AH148)&gt;0,", "&amp;AH$2,"")&amp;IF(N(AI148)&gt;0,", "&amp;AI$2,"")&amp;IF(N(AJ148)&gt;0,", "&amp;AJ$2,""),3,999)</f>
        <v/>
      </c>
      <c r="AM148" s="87" t="str">
        <f aca="false">IF(E148="","",MID(IF(N(Y148)&gt;0,", "&amp;A148&amp;"-"&amp;Y$2,"")&amp;IF(N(Z148)&gt;0,", "&amp;A148&amp;"-"&amp;Z$2,"")&amp;IF(N(AA148)&gt;0,", "&amp;A148&amp;"-"&amp;AA$2,"")&amp;IF(N(AB148)&gt;0,", "&amp;A148&amp;"-"&amp;AB$2,"")&amp;IF(N(AC148)&gt;0,", "&amp;A148&amp;"-"&amp;AC$2,"")&amp;IF(N(AD148)&gt;0,", "&amp;A148&amp;"-"&amp;AD$2,"")&amp;IF(N(AE148)&gt;0,", "&amp;A148&amp;"-"&amp;AE$2,"")&amp;IF(N(AF148)&gt;0,", "&amp;A148&amp;"-"&amp;AF$2,"")&amp;IF(N(AG148)&gt;0,", "&amp;A148&amp;"-"&amp;AG$2,"")&amp;IF(N(AH148)&gt;0,", "&amp;A148&amp;"-"&amp;AH$2,"")&amp;IF(N(AI148)&gt;0,", "&amp;A148&amp;"-"&amp;AI$2,"")&amp;IF(N(AJ148)&gt;0,", "&amp;A148&amp;"-"&amp;AJ$2,""),3,999))</f>
        <v/>
      </c>
      <c r="AN148" s="81"/>
      <c r="AO148" s="88"/>
      <c r="AP148" s="89" t="str">
        <f aca="false">IF(AO148="","",ROUND(AO148/(1+Справочники!$B$13),2))</f>
        <v/>
      </c>
      <c r="AQ148" s="90" t="str">
        <f aca="false" t="array" ref="AQ148:AQ148">IF(AP148="","",AP148*INDEX(Справочники!$B$4:$B$7,MATCH("RUB",Справочники!$A$4:$A$7,0)))</f>
        <v/>
      </c>
      <c r="AR148" s="90" t="str">
        <f aca="false">IF(AQ148="","",ROUND(AQ148*(1+Справочники!$B$12),0))</f>
        <v/>
      </c>
      <c r="AS148" s="90" t="str">
        <f aca="false">IF(AR148="","",ROUND(AR148*(1-Справочники!$B$11),0))</f>
        <v/>
      </c>
      <c r="AT148" s="88"/>
      <c r="AU148" s="90" t="str">
        <f aca="false">IF(AT148="","",ROUND(AT148/(1+Справочники!$B$12),0))</f>
        <v/>
      </c>
      <c r="AV148" s="90" t="str">
        <f aca="false">IF(AT148="","",ROUND(AT148*(1-Справочники!$B$15),0))</f>
        <v/>
      </c>
      <c r="AW148" s="90" t="str">
        <f aca="false">IF(AT148="","",ROUND(AT148*(1-Справочники!$B$16),0))</f>
        <v/>
      </c>
      <c r="AX148" s="90" t="str">
        <f aca="false">IF(AT148="","",ROUND(AT148*(1-Справочники!$B$17),0))</f>
        <v/>
      </c>
      <c r="AY148" s="90" t="str">
        <f aca="false">IF(AT148="","",ROUND(AT148*(1-Справочники!$B$18),0))</f>
        <v/>
      </c>
      <c r="AZ148" s="90" t="str">
        <f aca="false">IF(AT148="","",ROUND(AT148*(1-Справочники!$B$19),0))</f>
        <v/>
      </c>
      <c r="BA148" s="81"/>
      <c r="BB148" s="81"/>
      <c r="BC148" s="81"/>
      <c r="BD148" s="81"/>
      <c r="BE148" s="91"/>
      <c r="BF148" s="81" t="s">
        <v>103</v>
      </c>
      <c r="BG148" s="89" t="n">
        <f aca="false" t="array" ref="BG148:BG148">IF(BF148="","",IFERROR(INDEX(Справочники!$B$4:$B$7,MATCH(BF148,Справочники!$A$4:$A$7,0)),""))</f>
        <v>68.5</v>
      </c>
      <c r="BH148" s="90" t="str">
        <f aca="false">IF(N(BN148)&gt;0,ROUND(SUMIF(ЗАКАЗЫ!$F$3:$F$500,$A148,ЗАКАЗЫ!$Y$3:$Y$500)/BN148,0),IF(OR(BE148="",BG148=""),"",ROUND(BE148*BG148*(1+Справочники!$B$10),0)))</f>
        <v/>
      </c>
      <c r="BI148" s="92" t="str">
        <f aca="false">IF(OR(AU148="",BH148="",AU148=0),"",(AU148-BH148)/AU148)</f>
        <v/>
      </c>
      <c r="BJ148" s="81"/>
      <c r="BK148" s="83"/>
      <c r="BL148" s="43" t="str">
        <f aca="false">IFERROR(INDEX(ЗАКАЗЫ!$N$3:$N$500,MATCH($A148,ЗАКАЗЫ!$F$3:$F$500,0)),"")</f>
        <v/>
      </c>
      <c r="BM148" s="8" t="str">
        <f aca="false">IF(BL148="","",IFERROR(VLOOKUP(BL148,'ТН ВЭД'!$A$4:$C$40,3,0),""))</f>
        <v/>
      </c>
      <c r="BN148" s="7" t="str">
        <f aca="false">IF(COUNTIF(ЗАКАЗЫ!$F$3:$F$500,$A148)=0,"",SUMIF(ЗАКАЗЫ!$F$3:$F$500,$A148,ЗАКАЗЫ!$J$3:$J$500))</f>
        <v/>
      </c>
      <c r="BO148" s="7" t="str">
        <f aca="false">IF(BN148="","",SUMIF(ЗАКАЗЫ!$F$3:$F$500,$A148,ЗАКАЗЫ!$AL$3:$AL$500))</f>
        <v/>
      </c>
      <c r="BP148" s="7" t="str">
        <f aca="false">IF(BN148="","",BN148-BO148)</f>
        <v/>
      </c>
      <c r="BQ148" s="55" t="str">
        <f aca="false">IF(BN148="","",IF(BO148&gt;=BN148,"На складе",IF(BO148&gt;0,"Частично","Ждём")))</f>
        <v/>
      </c>
      <c r="BR148" s="43"/>
      <c r="BS148" s="47" t="str">
        <f aca="false">IF(BN148="","",IF(_xlfn.MAXIFS(ЗАКАЗЫ!$AK$3:$AK$500,ЗАКАЗЫ!$F$3:$F$500,$A148)=0,"",_xlfn.MAXIFS(ЗАКАЗЫ!$AK$3:$AK$500,ЗАКАЗЫ!$F$3:$F$500,$A148)))</f>
        <v/>
      </c>
    </row>
    <row r="149" customFormat="false" ht="15.75" hidden="false" customHeight="true" outlineLevel="0" collapsed="false">
      <c r="A149" s="80" t="s">
        <v>2343</v>
      </c>
      <c r="B149" s="81"/>
      <c r="C149" s="81"/>
      <c r="D149" s="81"/>
      <c r="E149" s="83"/>
      <c r="F149" s="81"/>
      <c r="G149" s="83"/>
      <c r="H149" s="83"/>
      <c r="I149" s="84" t="str">
        <f aca="false">IF(E149="","",A149&amp;"_1.jpg")</f>
        <v/>
      </c>
      <c r="J149" s="84" t="str">
        <f aca="false">IF(E149="","",A149&amp;"_2.jpg; "&amp;A149&amp;"_3.jpg")</f>
        <v/>
      </c>
      <c r="K149" s="84" t="str">
        <f aca="false">IF(E149="","",A149&amp;"_schema.jpg")</f>
        <v/>
      </c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 t="s">
        <v>96</v>
      </c>
      <c r="W149" s="81"/>
      <c r="X149" s="81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6" t="str">
        <f aca="false">IF(SUM(Y149:AJ149)=0,"",SUM(Y149:AJ149))</f>
        <v/>
      </c>
      <c r="AL149" s="84" t="str">
        <f aca="false">MID(IF(N(Y149)&gt;0,", "&amp;Y$2,"")&amp;IF(N(Z149)&gt;0,", "&amp;Z$2,"")&amp;IF(N(AA149)&gt;0,", "&amp;AA$2,"")&amp;IF(N(AB149)&gt;0,", "&amp;AB$2,"")&amp;IF(N(AC149)&gt;0,", "&amp;AC$2,"")&amp;IF(N(AD149)&gt;0,", "&amp;AD$2,"")&amp;IF(N(AE149)&gt;0,", "&amp;AE$2,"")&amp;IF(N(AF149)&gt;0,", "&amp;AF$2,"")&amp;IF(N(AG149)&gt;0,", "&amp;AG$2,"")&amp;IF(N(AH149)&gt;0,", "&amp;AH$2,"")&amp;IF(N(AI149)&gt;0,", "&amp;AI$2,"")&amp;IF(N(AJ149)&gt;0,", "&amp;AJ$2,""),3,999)</f>
        <v/>
      </c>
      <c r="AM149" s="87" t="str">
        <f aca="false">IF(E149="","",MID(IF(N(Y149)&gt;0,", "&amp;A149&amp;"-"&amp;Y$2,"")&amp;IF(N(Z149)&gt;0,", "&amp;A149&amp;"-"&amp;Z$2,"")&amp;IF(N(AA149)&gt;0,", "&amp;A149&amp;"-"&amp;AA$2,"")&amp;IF(N(AB149)&gt;0,", "&amp;A149&amp;"-"&amp;AB$2,"")&amp;IF(N(AC149)&gt;0,", "&amp;A149&amp;"-"&amp;AC$2,"")&amp;IF(N(AD149)&gt;0,", "&amp;A149&amp;"-"&amp;AD$2,"")&amp;IF(N(AE149)&gt;0,", "&amp;A149&amp;"-"&amp;AE$2,"")&amp;IF(N(AF149)&gt;0,", "&amp;A149&amp;"-"&amp;AF$2,"")&amp;IF(N(AG149)&gt;0,", "&amp;A149&amp;"-"&amp;AG$2,"")&amp;IF(N(AH149)&gt;0,", "&amp;A149&amp;"-"&amp;AH$2,"")&amp;IF(N(AI149)&gt;0,", "&amp;A149&amp;"-"&amp;AI$2,"")&amp;IF(N(AJ149)&gt;0,", "&amp;A149&amp;"-"&amp;AJ$2,""),3,999))</f>
        <v/>
      </c>
      <c r="AN149" s="81"/>
      <c r="AO149" s="88"/>
      <c r="AP149" s="89" t="str">
        <f aca="false">IF(AO149="","",ROUND(AO149/(1+Справочники!$B$13),2))</f>
        <v/>
      </c>
      <c r="AQ149" s="90" t="str">
        <f aca="false" t="array" ref="AQ149:AQ149">IF(AP149="","",AP149*INDEX(Справочники!$B$4:$B$7,MATCH("RUB",Справочники!$A$4:$A$7,0)))</f>
        <v/>
      </c>
      <c r="AR149" s="90" t="str">
        <f aca="false">IF(AQ149="","",ROUND(AQ149*(1+Справочники!$B$12),0))</f>
        <v/>
      </c>
      <c r="AS149" s="90" t="str">
        <f aca="false">IF(AR149="","",ROUND(AR149*(1-Справочники!$B$11),0))</f>
        <v/>
      </c>
      <c r="AT149" s="88"/>
      <c r="AU149" s="90" t="str">
        <f aca="false">IF(AT149="","",ROUND(AT149/(1+Справочники!$B$12),0))</f>
        <v/>
      </c>
      <c r="AV149" s="90" t="str">
        <f aca="false">IF(AT149="","",ROUND(AT149*(1-Справочники!$B$15),0))</f>
        <v/>
      </c>
      <c r="AW149" s="90" t="str">
        <f aca="false">IF(AT149="","",ROUND(AT149*(1-Справочники!$B$16),0))</f>
        <v/>
      </c>
      <c r="AX149" s="90" t="str">
        <f aca="false">IF(AT149="","",ROUND(AT149*(1-Справочники!$B$17),0))</f>
        <v/>
      </c>
      <c r="AY149" s="90" t="str">
        <f aca="false">IF(AT149="","",ROUND(AT149*(1-Справочники!$B$18),0))</f>
        <v/>
      </c>
      <c r="AZ149" s="90" t="str">
        <f aca="false">IF(AT149="","",ROUND(AT149*(1-Справочники!$B$19),0))</f>
        <v/>
      </c>
      <c r="BA149" s="81"/>
      <c r="BB149" s="81"/>
      <c r="BC149" s="81"/>
      <c r="BD149" s="81"/>
      <c r="BE149" s="91"/>
      <c r="BF149" s="81" t="s">
        <v>103</v>
      </c>
      <c r="BG149" s="89" t="n">
        <f aca="false" t="array" ref="BG149:BG149">IF(BF149="","",IFERROR(INDEX(Справочники!$B$4:$B$7,MATCH(BF149,Справочники!$A$4:$A$7,0)),""))</f>
        <v>68.5</v>
      </c>
      <c r="BH149" s="90" t="str">
        <f aca="false">IF(N(BN149)&gt;0,ROUND(SUMIF(ЗАКАЗЫ!$F$3:$F$500,$A149,ЗАКАЗЫ!$Y$3:$Y$500)/BN149,0),IF(OR(BE149="",BG149=""),"",ROUND(BE149*BG149*(1+Справочники!$B$10),0)))</f>
        <v/>
      </c>
      <c r="BI149" s="92" t="str">
        <f aca="false">IF(OR(AU149="",BH149="",AU149=0),"",(AU149-BH149)/AU149)</f>
        <v/>
      </c>
      <c r="BJ149" s="81"/>
      <c r="BK149" s="83"/>
      <c r="BL149" s="43" t="str">
        <f aca="false">IFERROR(INDEX(ЗАКАЗЫ!$N$3:$N$500,MATCH($A149,ЗАКАЗЫ!$F$3:$F$500,0)),"")</f>
        <v/>
      </c>
      <c r="BM149" s="8" t="str">
        <f aca="false">IF(BL149="","",IFERROR(VLOOKUP(BL149,'ТН ВЭД'!$A$4:$C$40,3,0),""))</f>
        <v/>
      </c>
      <c r="BN149" s="7" t="str">
        <f aca="false">IF(COUNTIF(ЗАКАЗЫ!$F$3:$F$500,$A149)=0,"",SUMIF(ЗАКАЗЫ!$F$3:$F$500,$A149,ЗАКАЗЫ!$J$3:$J$500))</f>
        <v/>
      </c>
      <c r="BO149" s="7" t="str">
        <f aca="false">IF(BN149="","",SUMIF(ЗАКАЗЫ!$F$3:$F$500,$A149,ЗАКАЗЫ!$AL$3:$AL$500))</f>
        <v/>
      </c>
      <c r="BP149" s="7" t="str">
        <f aca="false">IF(BN149="","",BN149-BO149)</f>
        <v/>
      </c>
      <c r="BQ149" s="55" t="str">
        <f aca="false">IF(BN149="","",IF(BO149&gt;=BN149,"На складе",IF(BO149&gt;0,"Частично","Ждём")))</f>
        <v/>
      </c>
      <c r="BR149" s="43"/>
      <c r="BS149" s="47" t="str">
        <f aca="false">IF(BN149="","",IF(_xlfn.MAXIFS(ЗАКАЗЫ!$AK$3:$AK$500,ЗАКАЗЫ!$F$3:$F$500,$A149)=0,"",_xlfn.MAXIFS(ЗАКАЗЫ!$AK$3:$AK$500,ЗАКАЗЫ!$F$3:$F$500,$A149)))</f>
        <v/>
      </c>
    </row>
    <row r="150" customFormat="false" ht="15.75" hidden="false" customHeight="true" outlineLevel="0" collapsed="false">
      <c r="A150" s="80" t="s">
        <v>2344</v>
      </c>
      <c r="B150" s="81"/>
      <c r="C150" s="81"/>
      <c r="D150" s="81"/>
      <c r="E150" s="83"/>
      <c r="F150" s="81"/>
      <c r="G150" s="83"/>
      <c r="H150" s="83"/>
      <c r="I150" s="84" t="str">
        <f aca="false">IF(E150="","",A150&amp;"_1.jpg")</f>
        <v/>
      </c>
      <c r="J150" s="84" t="str">
        <f aca="false">IF(E150="","",A150&amp;"_2.jpg; "&amp;A150&amp;"_3.jpg")</f>
        <v/>
      </c>
      <c r="K150" s="84" t="str">
        <f aca="false">IF(E150="","",A150&amp;"_schema.jpg")</f>
        <v/>
      </c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 t="s">
        <v>96</v>
      </c>
      <c r="W150" s="81"/>
      <c r="X150" s="81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6" t="str">
        <f aca="false">IF(SUM(Y150:AJ150)=0,"",SUM(Y150:AJ150))</f>
        <v/>
      </c>
      <c r="AL150" s="84" t="str">
        <f aca="false">MID(IF(N(Y150)&gt;0,", "&amp;Y$2,"")&amp;IF(N(Z150)&gt;0,", "&amp;Z$2,"")&amp;IF(N(AA150)&gt;0,", "&amp;AA$2,"")&amp;IF(N(AB150)&gt;0,", "&amp;AB$2,"")&amp;IF(N(AC150)&gt;0,", "&amp;AC$2,"")&amp;IF(N(AD150)&gt;0,", "&amp;AD$2,"")&amp;IF(N(AE150)&gt;0,", "&amp;AE$2,"")&amp;IF(N(AF150)&gt;0,", "&amp;AF$2,"")&amp;IF(N(AG150)&gt;0,", "&amp;AG$2,"")&amp;IF(N(AH150)&gt;0,", "&amp;AH$2,"")&amp;IF(N(AI150)&gt;0,", "&amp;AI$2,"")&amp;IF(N(AJ150)&gt;0,", "&amp;AJ$2,""),3,999)</f>
        <v/>
      </c>
      <c r="AM150" s="87" t="str">
        <f aca="false">IF(E150="","",MID(IF(N(Y150)&gt;0,", "&amp;A150&amp;"-"&amp;Y$2,"")&amp;IF(N(Z150)&gt;0,", "&amp;A150&amp;"-"&amp;Z$2,"")&amp;IF(N(AA150)&gt;0,", "&amp;A150&amp;"-"&amp;AA$2,"")&amp;IF(N(AB150)&gt;0,", "&amp;A150&amp;"-"&amp;AB$2,"")&amp;IF(N(AC150)&gt;0,", "&amp;A150&amp;"-"&amp;AC$2,"")&amp;IF(N(AD150)&gt;0,", "&amp;A150&amp;"-"&amp;AD$2,"")&amp;IF(N(AE150)&gt;0,", "&amp;A150&amp;"-"&amp;AE$2,"")&amp;IF(N(AF150)&gt;0,", "&amp;A150&amp;"-"&amp;AF$2,"")&amp;IF(N(AG150)&gt;0,", "&amp;A150&amp;"-"&amp;AG$2,"")&amp;IF(N(AH150)&gt;0,", "&amp;A150&amp;"-"&amp;AH$2,"")&amp;IF(N(AI150)&gt;0,", "&amp;A150&amp;"-"&amp;AI$2,"")&amp;IF(N(AJ150)&gt;0,", "&amp;A150&amp;"-"&amp;AJ$2,""),3,999))</f>
        <v/>
      </c>
      <c r="AN150" s="81"/>
      <c r="AO150" s="88"/>
      <c r="AP150" s="89" t="str">
        <f aca="false">IF(AO150="","",ROUND(AO150/(1+Справочники!$B$13),2))</f>
        <v/>
      </c>
      <c r="AQ150" s="90" t="str">
        <f aca="false" t="array" ref="AQ150:AQ150">IF(AP150="","",AP150*INDEX(Справочники!$B$4:$B$7,MATCH("RUB",Справочники!$A$4:$A$7,0)))</f>
        <v/>
      </c>
      <c r="AR150" s="90" t="str">
        <f aca="false">IF(AQ150="","",ROUND(AQ150*(1+Справочники!$B$12),0))</f>
        <v/>
      </c>
      <c r="AS150" s="90" t="str">
        <f aca="false">IF(AR150="","",ROUND(AR150*(1-Справочники!$B$11),0))</f>
        <v/>
      </c>
      <c r="AT150" s="88"/>
      <c r="AU150" s="90" t="str">
        <f aca="false">IF(AT150="","",ROUND(AT150/(1+Справочники!$B$12),0))</f>
        <v/>
      </c>
      <c r="AV150" s="90" t="str">
        <f aca="false">IF(AT150="","",ROUND(AT150*(1-Справочники!$B$15),0))</f>
        <v/>
      </c>
      <c r="AW150" s="90" t="str">
        <f aca="false">IF(AT150="","",ROUND(AT150*(1-Справочники!$B$16),0))</f>
        <v/>
      </c>
      <c r="AX150" s="90" t="str">
        <f aca="false">IF(AT150="","",ROUND(AT150*(1-Справочники!$B$17),0))</f>
        <v/>
      </c>
      <c r="AY150" s="90" t="str">
        <f aca="false">IF(AT150="","",ROUND(AT150*(1-Справочники!$B$18),0))</f>
        <v/>
      </c>
      <c r="AZ150" s="90" t="str">
        <f aca="false">IF(AT150="","",ROUND(AT150*(1-Справочники!$B$19),0))</f>
        <v/>
      </c>
      <c r="BA150" s="81"/>
      <c r="BB150" s="81"/>
      <c r="BC150" s="81"/>
      <c r="BD150" s="81"/>
      <c r="BE150" s="91"/>
      <c r="BF150" s="81" t="s">
        <v>103</v>
      </c>
      <c r="BG150" s="89" t="n">
        <f aca="false" t="array" ref="BG150:BG150">IF(BF150="","",IFERROR(INDEX(Справочники!$B$4:$B$7,MATCH(BF150,Справочники!$A$4:$A$7,0)),""))</f>
        <v>68.5</v>
      </c>
      <c r="BH150" s="90" t="str">
        <f aca="false">IF(N(BN150)&gt;0,ROUND(SUMIF(ЗАКАЗЫ!$F$3:$F$500,$A150,ЗАКАЗЫ!$Y$3:$Y$500)/BN150,0),IF(OR(BE150="",BG150=""),"",ROUND(BE150*BG150*(1+Справочники!$B$10),0)))</f>
        <v/>
      </c>
      <c r="BI150" s="92" t="str">
        <f aca="false">IF(OR(AU150="",BH150="",AU150=0),"",(AU150-BH150)/AU150)</f>
        <v/>
      </c>
      <c r="BJ150" s="81"/>
      <c r="BK150" s="83"/>
      <c r="BL150" s="43" t="str">
        <f aca="false">IFERROR(INDEX(ЗАКАЗЫ!$N$3:$N$500,MATCH($A150,ЗАКАЗЫ!$F$3:$F$500,0)),"")</f>
        <v/>
      </c>
      <c r="BM150" s="8" t="str">
        <f aca="false">IF(BL150="","",IFERROR(VLOOKUP(BL150,'ТН ВЭД'!$A$4:$C$40,3,0),""))</f>
        <v/>
      </c>
      <c r="BN150" s="7" t="str">
        <f aca="false">IF(COUNTIF(ЗАКАЗЫ!$F$3:$F$500,$A150)=0,"",SUMIF(ЗАКАЗЫ!$F$3:$F$500,$A150,ЗАКАЗЫ!$J$3:$J$500))</f>
        <v/>
      </c>
      <c r="BO150" s="7" t="str">
        <f aca="false">IF(BN150="","",SUMIF(ЗАКАЗЫ!$F$3:$F$500,$A150,ЗАКАЗЫ!$AL$3:$AL$500))</f>
        <v/>
      </c>
      <c r="BP150" s="7" t="str">
        <f aca="false">IF(BN150="","",BN150-BO150)</f>
        <v/>
      </c>
      <c r="BQ150" s="55" t="str">
        <f aca="false">IF(BN150="","",IF(BO150&gt;=BN150,"На складе",IF(BO150&gt;0,"Частично","Ждём")))</f>
        <v/>
      </c>
      <c r="BR150" s="43"/>
      <c r="BS150" s="47" t="str">
        <f aca="false">IF(BN150="","",IF(_xlfn.MAXIFS(ЗАКАЗЫ!$AK$3:$AK$500,ЗАКАЗЫ!$F$3:$F$500,$A150)=0,"",_xlfn.MAXIFS(ЗАКАЗЫ!$AK$3:$AK$500,ЗАКАЗЫ!$F$3:$F$500,$A150)))</f>
        <v/>
      </c>
    </row>
    <row r="151" customFormat="false" ht="15.75" hidden="false" customHeight="true" outlineLevel="0" collapsed="false">
      <c r="A151" s="80" t="s">
        <v>2345</v>
      </c>
      <c r="B151" s="81"/>
      <c r="C151" s="81"/>
      <c r="D151" s="81"/>
      <c r="E151" s="83"/>
      <c r="F151" s="81"/>
      <c r="G151" s="83"/>
      <c r="H151" s="83"/>
      <c r="I151" s="84" t="str">
        <f aca="false">IF(E151="","",A151&amp;"_1.jpg")</f>
        <v/>
      </c>
      <c r="J151" s="84" t="str">
        <f aca="false">IF(E151="","",A151&amp;"_2.jpg; "&amp;A151&amp;"_3.jpg")</f>
        <v/>
      </c>
      <c r="K151" s="84" t="str">
        <f aca="false">IF(E151="","",A151&amp;"_schema.jpg")</f>
        <v/>
      </c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 t="s">
        <v>96</v>
      </c>
      <c r="W151" s="81"/>
      <c r="X151" s="81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6" t="str">
        <f aca="false">IF(SUM(Y151:AJ151)=0,"",SUM(Y151:AJ151))</f>
        <v/>
      </c>
      <c r="AL151" s="84" t="str">
        <f aca="false">MID(IF(N(Y151)&gt;0,", "&amp;Y$2,"")&amp;IF(N(Z151)&gt;0,", "&amp;Z$2,"")&amp;IF(N(AA151)&gt;0,", "&amp;AA$2,"")&amp;IF(N(AB151)&gt;0,", "&amp;AB$2,"")&amp;IF(N(AC151)&gt;0,", "&amp;AC$2,"")&amp;IF(N(AD151)&gt;0,", "&amp;AD$2,"")&amp;IF(N(AE151)&gt;0,", "&amp;AE$2,"")&amp;IF(N(AF151)&gt;0,", "&amp;AF$2,"")&amp;IF(N(AG151)&gt;0,", "&amp;AG$2,"")&amp;IF(N(AH151)&gt;0,", "&amp;AH$2,"")&amp;IF(N(AI151)&gt;0,", "&amp;AI$2,"")&amp;IF(N(AJ151)&gt;0,", "&amp;AJ$2,""),3,999)</f>
        <v/>
      </c>
      <c r="AM151" s="87" t="str">
        <f aca="false">IF(E151="","",MID(IF(N(Y151)&gt;0,", "&amp;A151&amp;"-"&amp;Y$2,"")&amp;IF(N(Z151)&gt;0,", "&amp;A151&amp;"-"&amp;Z$2,"")&amp;IF(N(AA151)&gt;0,", "&amp;A151&amp;"-"&amp;AA$2,"")&amp;IF(N(AB151)&gt;0,", "&amp;A151&amp;"-"&amp;AB$2,"")&amp;IF(N(AC151)&gt;0,", "&amp;A151&amp;"-"&amp;AC$2,"")&amp;IF(N(AD151)&gt;0,", "&amp;A151&amp;"-"&amp;AD$2,"")&amp;IF(N(AE151)&gt;0,", "&amp;A151&amp;"-"&amp;AE$2,"")&amp;IF(N(AF151)&gt;0,", "&amp;A151&amp;"-"&amp;AF$2,"")&amp;IF(N(AG151)&gt;0,", "&amp;A151&amp;"-"&amp;AG$2,"")&amp;IF(N(AH151)&gt;0,", "&amp;A151&amp;"-"&amp;AH$2,"")&amp;IF(N(AI151)&gt;0,", "&amp;A151&amp;"-"&amp;AI$2,"")&amp;IF(N(AJ151)&gt;0,", "&amp;A151&amp;"-"&amp;AJ$2,""),3,999))</f>
        <v/>
      </c>
      <c r="AN151" s="81"/>
      <c r="AO151" s="88"/>
      <c r="AP151" s="89" t="str">
        <f aca="false">IF(AO151="","",ROUND(AO151/(1+Справочники!$B$13),2))</f>
        <v/>
      </c>
      <c r="AQ151" s="90" t="str">
        <f aca="false" t="array" ref="AQ151:AQ151">IF(AP151="","",AP151*INDEX(Справочники!$B$4:$B$7,MATCH("RUB",Справочники!$A$4:$A$7,0)))</f>
        <v/>
      </c>
      <c r="AR151" s="90" t="str">
        <f aca="false">IF(AQ151="","",ROUND(AQ151*(1+Справочники!$B$12),0))</f>
        <v/>
      </c>
      <c r="AS151" s="90" t="str">
        <f aca="false">IF(AR151="","",ROUND(AR151*(1-Справочники!$B$11),0))</f>
        <v/>
      </c>
      <c r="AT151" s="88"/>
      <c r="AU151" s="90" t="str">
        <f aca="false">IF(AT151="","",ROUND(AT151/(1+Справочники!$B$12),0))</f>
        <v/>
      </c>
      <c r="AV151" s="90" t="str">
        <f aca="false">IF(AT151="","",ROUND(AT151*(1-Справочники!$B$15),0))</f>
        <v/>
      </c>
      <c r="AW151" s="90" t="str">
        <f aca="false">IF(AT151="","",ROUND(AT151*(1-Справочники!$B$16),0))</f>
        <v/>
      </c>
      <c r="AX151" s="90" t="str">
        <f aca="false">IF(AT151="","",ROUND(AT151*(1-Справочники!$B$17),0))</f>
        <v/>
      </c>
      <c r="AY151" s="90" t="str">
        <f aca="false">IF(AT151="","",ROUND(AT151*(1-Справочники!$B$18),0))</f>
        <v/>
      </c>
      <c r="AZ151" s="90" t="str">
        <f aca="false">IF(AT151="","",ROUND(AT151*(1-Справочники!$B$19),0))</f>
        <v/>
      </c>
      <c r="BA151" s="81"/>
      <c r="BB151" s="81"/>
      <c r="BC151" s="81"/>
      <c r="BD151" s="81"/>
      <c r="BE151" s="91"/>
      <c r="BF151" s="81" t="s">
        <v>103</v>
      </c>
      <c r="BG151" s="89" t="n">
        <f aca="false" t="array" ref="BG151:BG151">IF(BF151="","",IFERROR(INDEX(Справочники!$B$4:$B$7,MATCH(BF151,Справочники!$A$4:$A$7,0)),""))</f>
        <v>68.5</v>
      </c>
      <c r="BH151" s="90" t="str">
        <f aca="false">IF(N(BN151)&gt;0,ROUND(SUMIF(ЗАКАЗЫ!$F$3:$F$500,$A151,ЗАКАЗЫ!$Y$3:$Y$500)/BN151,0),IF(OR(BE151="",BG151=""),"",ROUND(BE151*BG151*(1+Справочники!$B$10),0)))</f>
        <v/>
      </c>
      <c r="BI151" s="92" t="str">
        <f aca="false">IF(OR(AU151="",BH151="",AU151=0),"",(AU151-BH151)/AU151)</f>
        <v/>
      </c>
      <c r="BJ151" s="81"/>
      <c r="BK151" s="83"/>
      <c r="BL151" s="43" t="str">
        <f aca="false">IFERROR(INDEX(ЗАКАЗЫ!$N$3:$N$500,MATCH($A151,ЗАКАЗЫ!$F$3:$F$500,0)),"")</f>
        <v/>
      </c>
      <c r="BM151" s="8" t="str">
        <f aca="false">IF(BL151="","",IFERROR(VLOOKUP(BL151,'ТН ВЭД'!$A$4:$C$40,3,0),""))</f>
        <v/>
      </c>
      <c r="BN151" s="7" t="str">
        <f aca="false">IF(COUNTIF(ЗАКАЗЫ!$F$3:$F$500,$A151)=0,"",SUMIF(ЗАКАЗЫ!$F$3:$F$500,$A151,ЗАКАЗЫ!$J$3:$J$500))</f>
        <v/>
      </c>
      <c r="BO151" s="7" t="str">
        <f aca="false">IF(BN151="","",SUMIF(ЗАКАЗЫ!$F$3:$F$500,$A151,ЗАКАЗЫ!$AL$3:$AL$500))</f>
        <v/>
      </c>
      <c r="BP151" s="7" t="str">
        <f aca="false">IF(BN151="","",BN151-BO151)</f>
        <v/>
      </c>
      <c r="BQ151" s="55" t="str">
        <f aca="false">IF(BN151="","",IF(BO151&gt;=BN151,"На складе",IF(BO151&gt;0,"Частично","Ждём")))</f>
        <v/>
      </c>
      <c r="BR151" s="43"/>
      <c r="BS151" s="47" t="str">
        <f aca="false">IF(BN151="","",IF(_xlfn.MAXIFS(ЗАКАЗЫ!$AK$3:$AK$500,ЗАКАЗЫ!$F$3:$F$500,$A151)=0,"",_xlfn.MAXIFS(ЗАКАЗЫ!$AK$3:$AK$500,ЗАКАЗЫ!$F$3:$F$500,$A151)))</f>
        <v/>
      </c>
    </row>
    <row r="152" customFormat="false" ht="15.75" hidden="false" customHeight="true" outlineLevel="0" collapsed="false">
      <c r="A152" s="80" t="s">
        <v>2346</v>
      </c>
      <c r="B152" s="81"/>
      <c r="C152" s="81"/>
      <c r="D152" s="81"/>
      <c r="E152" s="83"/>
      <c r="F152" s="81"/>
      <c r="G152" s="83"/>
      <c r="H152" s="83"/>
      <c r="I152" s="84" t="str">
        <f aca="false">IF(E152="","",A152&amp;"_1.jpg")</f>
        <v/>
      </c>
      <c r="J152" s="84" t="str">
        <f aca="false">IF(E152="","",A152&amp;"_2.jpg; "&amp;A152&amp;"_3.jpg")</f>
        <v/>
      </c>
      <c r="K152" s="84" t="str">
        <f aca="false">IF(E152="","",A152&amp;"_schema.jpg")</f>
        <v/>
      </c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 t="s">
        <v>96</v>
      </c>
      <c r="W152" s="81"/>
      <c r="X152" s="81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6" t="str">
        <f aca="false">IF(SUM(Y152:AJ152)=0,"",SUM(Y152:AJ152))</f>
        <v/>
      </c>
      <c r="AL152" s="84" t="str">
        <f aca="false">MID(IF(N(Y152)&gt;0,", "&amp;Y$2,"")&amp;IF(N(Z152)&gt;0,", "&amp;Z$2,"")&amp;IF(N(AA152)&gt;0,", "&amp;AA$2,"")&amp;IF(N(AB152)&gt;0,", "&amp;AB$2,"")&amp;IF(N(AC152)&gt;0,", "&amp;AC$2,"")&amp;IF(N(AD152)&gt;0,", "&amp;AD$2,"")&amp;IF(N(AE152)&gt;0,", "&amp;AE$2,"")&amp;IF(N(AF152)&gt;0,", "&amp;AF$2,"")&amp;IF(N(AG152)&gt;0,", "&amp;AG$2,"")&amp;IF(N(AH152)&gt;0,", "&amp;AH$2,"")&amp;IF(N(AI152)&gt;0,", "&amp;AI$2,"")&amp;IF(N(AJ152)&gt;0,", "&amp;AJ$2,""),3,999)</f>
        <v/>
      </c>
      <c r="AM152" s="87" t="str">
        <f aca="false">IF(E152="","",MID(IF(N(Y152)&gt;0,", "&amp;A152&amp;"-"&amp;Y$2,"")&amp;IF(N(Z152)&gt;0,", "&amp;A152&amp;"-"&amp;Z$2,"")&amp;IF(N(AA152)&gt;0,", "&amp;A152&amp;"-"&amp;AA$2,"")&amp;IF(N(AB152)&gt;0,", "&amp;A152&amp;"-"&amp;AB$2,"")&amp;IF(N(AC152)&gt;0,", "&amp;A152&amp;"-"&amp;AC$2,"")&amp;IF(N(AD152)&gt;0,", "&amp;A152&amp;"-"&amp;AD$2,"")&amp;IF(N(AE152)&gt;0,", "&amp;A152&amp;"-"&amp;AE$2,"")&amp;IF(N(AF152)&gt;0,", "&amp;A152&amp;"-"&amp;AF$2,"")&amp;IF(N(AG152)&gt;0,", "&amp;A152&amp;"-"&amp;AG$2,"")&amp;IF(N(AH152)&gt;0,", "&amp;A152&amp;"-"&amp;AH$2,"")&amp;IF(N(AI152)&gt;0,", "&amp;A152&amp;"-"&amp;AI$2,"")&amp;IF(N(AJ152)&gt;0,", "&amp;A152&amp;"-"&amp;AJ$2,""),3,999))</f>
        <v/>
      </c>
      <c r="AN152" s="81"/>
      <c r="AO152" s="88"/>
      <c r="AP152" s="89" t="str">
        <f aca="false">IF(AO152="","",ROUND(AO152/(1+Справочники!$B$13),2))</f>
        <v/>
      </c>
      <c r="AQ152" s="90" t="str">
        <f aca="false" t="array" ref="AQ152:AQ152">IF(AP152="","",AP152*INDEX(Справочники!$B$4:$B$7,MATCH("RUB",Справочники!$A$4:$A$7,0)))</f>
        <v/>
      </c>
      <c r="AR152" s="90" t="str">
        <f aca="false">IF(AQ152="","",ROUND(AQ152*(1+Справочники!$B$12),0))</f>
        <v/>
      </c>
      <c r="AS152" s="90" t="str">
        <f aca="false">IF(AR152="","",ROUND(AR152*(1-Справочники!$B$11),0))</f>
        <v/>
      </c>
      <c r="AT152" s="88"/>
      <c r="AU152" s="90" t="str">
        <f aca="false">IF(AT152="","",ROUND(AT152/(1+Справочники!$B$12),0))</f>
        <v/>
      </c>
      <c r="AV152" s="90" t="str">
        <f aca="false">IF(AT152="","",ROUND(AT152*(1-Справочники!$B$15),0))</f>
        <v/>
      </c>
      <c r="AW152" s="90" t="str">
        <f aca="false">IF(AT152="","",ROUND(AT152*(1-Справочники!$B$16),0))</f>
        <v/>
      </c>
      <c r="AX152" s="90" t="str">
        <f aca="false">IF(AT152="","",ROUND(AT152*(1-Справочники!$B$17),0))</f>
        <v/>
      </c>
      <c r="AY152" s="90" t="str">
        <f aca="false">IF(AT152="","",ROUND(AT152*(1-Справочники!$B$18),0))</f>
        <v/>
      </c>
      <c r="AZ152" s="90" t="str">
        <f aca="false">IF(AT152="","",ROUND(AT152*(1-Справочники!$B$19),0))</f>
        <v/>
      </c>
      <c r="BA152" s="81"/>
      <c r="BB152" s="81"/>
      <c r="BC152" s="81"/>
      <c r="BD152" s="81"/>
      <c r="BE152" s="91"/>
      <c r="BF152" s="81" t="s">
        <v>103</v>
      </c>
      <c r="BG152" s="89" t="n">
        <f aca="false" t="array" ref="BG152:BG152">IF(BF152="","",IFERROR(INDEX(Справочники!$B$4:$B$7,MATCH(BF152,Справочники!$A$4:$A$7,0)),""))</f>
        <v>68.5</v>
      </c>
      <c r="BH152" s="90" t="str">
        <f aca="false">IF(N(BN152)&gt;0,ROUND(SUMIF(ЗАКАЗЫ!$F$3:$F$500,$A152,ЗАКАЗЫ!$Y$3:$Y$500)/BN152,0),IF(OR(BE152="",BG152=""),"",ROUND(BE152*BG152*(1+Справочники!$B$10),0)))</f>
        <v/>
      </c>
      <c r="BI152" s="92" t="str">
        <f aca="false">IF(OR(AU152="",BH152="",AU152=0),"",(AU152-BH152)/AU152)</f>
        <v/>
      </c>
      <c r="BJ152" s="81"/>
      <c r="BK152" s="83"/>
      <c r="BL152" s="43" t="str">
        <f aca="false">IFERROR(INDEX(ЗАКАЗЫ!$N$3:$N$500,MATCH($A152,ЗАКАЗЫ!$F$3:$F$500,0)),"")</f>
        <v/>
      </c>
      <c r="BM152" s="8" t="str">
        <f aca="false">IF(BL152="","",IFERROR(VLOOKUP(BL152,'ТН ВЭД'!$A$4:$C$40,3,0),""))</f>
        <v/>
      </c>
      <c r="BN152" s="7" t="str">
        <f aca="false">IF(COUNTIF(ЗАКАЗЫ!$F$3:$F$500,$A152)=0,"",SUMIF(ЗАКАЗЫ!$F$3:$F$500,$A152,ЗАКАЗЫ!$J$3:$J$500))</f>
        <v/>
      </c>
      <c r="BO152" s="7" t="str">
        <f aca="false">IF(BN152="","",SUMIF(ЗАКАЗЫ!$F$3:$F$500,$A152,ЗАКАЗЫ!$AL$3:$AL$500))</f>
        <v/>
      </c>
      <c r="BP152" s="7" t="str">
        <f aca="false">IF(BN152="","",BN152-BO152)</f>
        <v/>
      </c>
      <c r="BQ152" s="55" t="str">
        <f aca="false">IF(BN152="","",IF(BO152&gt;=BN152,"На складе",IF(BO152&gt;0,"Частично","Ждём")))</f>
        <v/>
      </c>
      <c r="BR152" s="43"/>
      <c r="BS152" s="47" t="str">
        <f aca="false">IF(BN152="","",IF(_xlfn.MAXIFS(ЗАКАЗЫ!$AK$3:$AK$500,ЗАКАЗЫ!$F$3:$F$500,$A152)=0,"",_xlfn.MAXIFS(ЗАКАЗЫ!$AK$3:$AK$500,ЗАКАЗЫ!$F$3:$F$500,$A152)))</f>
        <v/>
      </c>
    </row>
    <row r="153" customFormat="false" ht="15.75" hidden="false" customHeight="true" outlineLevel="0" collapsed="false">
      <c r="A153" s="80" t="s">
        <v>2347</v>
      </c>
      <c r="B153" s="81"/>
      <c r="C153" s="81"/>
      <c r="D153" s="81"/>
      <c r="E153" s="83"/>
      <c r="F153" s="81"/>
      <c r="G153" s="83"/>
      <c r="H153" s="83"/>
      <c r="I153" s="84" t="str">
        <f aca="false">IF(E153="","",A153&amp;"_1.jpg")</f>
        <v/>
      </c>
      <c r="J153" s="84" t="str">
        <f aca="false">IF(E153="","",A153&amp;"_2.jpg; "&amp;A153&amp;"_3.jpg")</f>
        <v/>
      </c>
      <c r="K153" s="84" t="str">
        <f aca="false">IF(E153="","",A153&amp;"_schema.jpg")</f>
        <v/>
      </c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 t="s">
        <v>96</v>
      </c>
      <c r="W153" s="81"/>
      <c r="X153" s="81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6" t="str">
        <f aca="false">IF(SUM(Y153:AJ153)=0,"",SUM(Y153:AJ153))</f>
        <v/>
      </c>
      <c r="AL153" s="84" t="str">
        <f aca="false">MID(IF(N(Y153)&gt;0,", "&amp;Y$2,"")&amp;IF(N(Z153)&gt;0,", "&amp;Z$2,"")&amp;IF(N(AA153)&gt;0,", "&amp;AA$2,"")&amp;IF(N(AB153)&gt;0,", "&amp;AB$2,"")&amp;IF(N(AC153)&gt;0,", "&amp;AC$2,"")&amp;IF(N(AD153)&gt;0,", "&amp;AD$2,"")&amp;IF(N(AE153)&gt;0,", "&amp;AE$2,"")&amp;IF(N(AF153)&gt;0,", "&amp;AF$2,"")&amp;IF(N(AG153)&gt;0,", "&amp;AG$2,"")&amp;IF(N(AH153)&gt;0,", "&amp;AH$2,"")&amp;IF(N(AI153)&gt;0,", "&amp;AI$2,"")&amp;IF(N(AJ153)&gt;0,", "&amp;AJ$2,""),3,999)</f>
        <v/>
      </c>
      <c r="AM153" s="87" t="str">
        <f aca="false">IF(E153="","",MID(IF(N(Y153)&gt;0,", "&amp;A153&amp;"-"&amp;Y$2,"")&amp;IF(N(Z153)&gt;0,", "&amp;A153&amp;"-"&amp;Z$2,"")&amp;IF(N(AA153)&gt;0,", "&amp;A153&amp;"-"&amp;AA$2,"")&amp;IF(N(AB153)&gt;0,", "&amp;A153&amp;"-"&amp;AB$2,"")&amp;IF(N(AC153)&gt;0,", "&amp;A153&amp;"-"&amp;AC$2,"")&amp;IF(N(AD153)&gt;0,", "&amp;A153&amp;"-"&amp;AD$2,"")&amp;IF(N(AE153)&gt;0,", "&amp;A153&amp;"-"&amp;AE$2,"")&amp;IF(N(AF153)&gt;0,", "&amp;A153&amp;"-"&amp;AF$2,"")&amp;IF(N(AG153)&gt;0,", "&amp;A153&amp;"-"&amp;AG$2,"")&amp;IF(N(AH153)&gt;0,", "&amp;A153&amp;"-"&amp;AH$2,"")&amp;IF(N(AI153)&gt;0,", "&amp;A153&amp;"-"&amp;AI$2,"")&amp;IF(N(AJ153)&gt;0,", "&amp;A153&amp;"-"&amp;AJ$2,""),3,999))</f>
        <v/>
      </c>
      <c r="AN153" s="81"/>
      <c r="AO153" s="88"/>
      <c r="AP153" s="89" t="str">
        <f aca="false">IF(AO153="","",ROUND(AO153/(1+Справочники!$B$13),2))</f>
        <v/>
      </c>
      <c r="AQ153" s="90" t="str">
        <f aca="false" t="array" ref="AQ153:AQ153">IF(AP153="","",AP153*INDEX(Справочники!$B$4:$B$7,MATCH("RUB",Справочники!$A$4:$A$7,0)))</f>
        <v/>
      </c>
      <c r="AR153" s="90" t="str">
        <f aca="false">IF(AQ153="","",ROUND(AQ153*(1+Справочники!$B$12),0))</f>
        <v/>
      </c>
      <c r="AS153" s="90" t="str">
        <f aca="false">IF(AR153="","",ROUND(AR153*(1-Справочники!$B$11),0))</f>
        <v/>
      </c>
      <c r="AT153" s="88"/>
      <c r="AU153" s="90" t="str">
        <f aca="false">IF(AT153="","",ROUND(AT153/(1+Справочники!$B$12),0))</f>
        <v/>
      </c>
      <c r="AV153" s="90" t="str">
        <f aca="false">IF(AT153="","",ROUND(AT153*(1-Справочники!$B$15),0))</f>
        <v/>
      </c>
      <c r="AW153" s="90" t="str">
        <f aca="false">IF(AT153="","",ROUND(AT153*(1-Справочники!$B$16),0))</f>
        <v/>
      </c>
      <c r="AX153" s="90" t="str">
        <f aca="false">IF(AT153="","",ROUND(AT153*(1-Справочники!$B$17),0))</f>
        <v/>
      </c>
      <c r="AY153" s="90" t="str">
        <f aca="false">IF(AT153="","",ROUND(AT153*(1-Справочники!$B$18),0))</f>
        <v/>
      </c>
      <c r="AZ153" s="90" t="str">
        <f aca="false">IF(AT153="","",ROUND(AT153*(1-Справочники!$B$19),0))</f>
        <v/>
      </c>
      <c r="BA153" s="81"/>
      <c r="BB153" s="81"/>
      <c r="BC153" s="81"/>
      <c r="BD153" s="81"/>
      <c r="BE153" s="91"/>
      <c r="BF153" s="81" t="s">
        <v>103</v>
      </c>
      <c r="BG153" s="89" t="n">
        <f aca="false" t="array" ref="BG153:BG153">IF(BF153="","",IFERROR(INDEX(Справочники!$B$4:$B$7,MATCH(BF153,Справочники!$A$4:$A$7,0)),""))</f>
        <v>68.5</v>
      </c>
      <c r="BH153" s="90" t="str">
        <f aca="false">IF(N(BN153)&gt;0,ROUND(SUMIF(ЗАКАЗЫ!$F$3:$F$500,$A153,ЗАКАЗЫ!$Y$3:$Y$500)/BN153,0),IF(OR(BE153="",BG153=""),"",ROUND(BE153*BG153*(1+Справочники!$B$10),0)))</f>
        <v/>
      </c>
      <c r="BI153" s="92" t="str">
        <f aca="false">IF(OR(AU153="",BH153="",AU153=0),"",(AU153-BH153)/AU153)</f>
        <v/>
      </c>
      <c r="BJ153" s="81"/>
      <c r="BK153" s="83"/>
      <c r="BL153" s="43" t="str">
        <f aca="false">IFERROR(INDEX(ЗАКАЗЫ!$N$3:$N$500,MATCH($A153,ЗАКАЗЫ!$F$3:$F$500,0)),"")</f>
        <v/>
      </c>
      <c r="BM153" s="8" t="str">
        <f aca="false">IF(BL153="","",IFERROR(VLOOKUP(BL153,'ТН ВЭД'!$A$4:$C$40,3,0),""))</f>
        <v/>
      </c>
      <c r="BN153" s="7" t="str">
        <f aca="false">IF(COUNTIF(ЗАКАЗЫ!$F$3:$F$500,$A153)=0,"",SUMIF(ЗАКАЗЫ!$F$3:$F$500,$A153,ЗАКАЗЫ!$J$3:$J$500))</f>
        <v/>
      </c>
      <c r="BO153" s="7" t="str">
        <f aca="false">IF(BN153="","",SUMIF(ЗАКАЗЫ!$F$3:$F$500,$A153,ЗАКАЗЫ!$AL$3:$AL$500))</f>
        <v/>
      </c>
      <c r="BP153" s="7" t="str">
        <f aca="false">IF(BN153="","",BN153-BO153)</f>
        <v/>
      </c>
      <c r="BQ153" s="55" t="str">
        <f aca="false">IF(BN153="","",IF(BO153&gt;=BN153,"На складе",IF(BO153&gt;0,"Частично","Ждём")))</f>
        <v/>
      </c>
      <c r="BR153" s="43"/>
      <c r="BS153" s="47" t="str">
        <f aca="false">IF(BN153="","",IF(_xlfn.MAXIFS(ЗАКАЗЫ!$AK$3:$AK$500,ЗАКАЗЫ!$F$3:$F$500,$A153)=0,"",_xlfn.MAXIFS(ЗАКАЗЫ!$AK$3:$AK$500,ЗАКАЗЫ!$F$3:$F$500,$A153)))</f>
        <v/>
      </c>
    </row>
    <row r="154" customFormat="false" ht="15.75" hidden="false" customHeight="true" outlineLevel="0" collapsed="false">
      <c r="A154" s="80" t="s">
        <v>2348</v>
      </c>
      <c r="B154" s="81"/>
      <c r="C154" s="81"/>
      <c r="D154" s="81"/>
      <c r="E154" s="83"/>
      <c r="F154" s="81"/>
      <c r="G154" s="83"/>
      <c r="H154" s="83"/>
      <c r="I154" s="84" t="str">
        <f aca="false">IF(E154="","",A154&amp;"_1.jpg")</f>
        <v/>
      </c>
      <c r="J154" s="84" t="str">
        <f aca="false">IF(E154="","",A154&amp;"_2.jpg; "&amp;A154&amp;"_3.jpg")</f>
        <v/>
      </c>
      <c r="K154" s="84" t="str">
        <f aca="false">IF(E154="","",A154&amp;"_schema.jpg")</f>
        <v/>
      </c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 t="s">
        <v>96</v>
      </c>
      <c r="W154" s="81"/>
      <c r="X154" s="81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6" t="str">
        <f aca="false">IF(SUM(Y154:AJ154)=0,"",SUM(Y154:AJ154))</f>
        <v/>
      </c>
      <c r="AL154" s="84" t="str">
        <f aca="false">MID(IF(N(Y154)&gt;0,", "&amp;Y$2,"")&amp;IF(N(Z154)&gt;0,", "&amp;Z$2,"")&amp;IF(N(AA154)&gt;0,", "&amp;AA$2,"")&amp;IF(N(AB154)&gt;0,", "&amp;AB$2,"")&amp;IF(N(AC154)&gt;0,", "&amp;AC$2,"")&amp;IF(N(AD154)&gt;0,", "&amp;AD$2,"")&amp;IF(N(AE154)&gt;0,", "&amp;AE$2,"")&amp;IF(N(AF154)&gt;0,", "&amp;AF$2,"")&amp;IF(N(AG154)&gt;0,", "&amp;AG$2,"")&amp;IF(N(AH154)&gt;0,", "&amp;AH$2,"")&amp;IF(N(AI154)&gt;0,", "&amp;AI$2,"")&amp;IF(N(AJ154)&gt;0,", "&amp;AJ$2,""),3,999)</f>
        <v/>
      </c>
      <c r="AM154" s="87" t="str">
        <f aca="false">IF(E154="","",MID(IF(N(Y154)&gt;0,", "&amp;A154&amp;"-"&amp;Y$2,"")&amp;IF(N(Z154)&gt;0,", "&amp;A154&amp;"-"&amp;Z$2,"")&amp;IF(N(AA154)&gt;0,", "&amp;A154&amp;"-"&amp;AA$2,"")&amp;IF(N(AB154)&gt;0,", "&amp;A154&amp;"-"&amp;AB$2,"")&amp;IF(N(AC154)&gt;0,", "&amp;A154&amp;"-"&amp;AC$2,"")&amp;IF(N(AD154)&gt;0,", "&amp;A154&amp;"-"&amp;AD$2,"")&amp;IF(N(AE154)&gt;0,", "&amp;A154&amp;"-"&amp;AE$2,"")&amp;IF(N(AF154)&gt;0,", "&amp;A154&amp;"-"&amp;AF$2,"")&amp;IF(N(AG154)&gt;0,", "&amp;A154&amp;"-"&amp;AG$2,"")&amp;IF(N(AH154)&gt;0,", "&amp;A154&amp;"-"&amp;AH$2,"")&amp;IF(N(AI154)&gt;0,", "&amp;A154&amp;"-"&amp;AI$2,"")&amp;IF(N(AJ154)&gt;0,", "&amp;A154&amp;"-"&amp;AJ$2,""),3,999))</f>
        <v/>
      </c>
      <c r="AN154" s="81"/>
      <c r="AO154" s="88"/>
      <c r="AP154" s="89" t="str">
        <f aca="false">IF(AO154="","",ROUND(AO154/(1+Справочники!$B$13),2))</f>
        <v/>
      </c>
      <c r="AQ154" s="90" t="str">
        <f aca="false" t="array" ref="AQ154:AQ154">IF(AP154="","",AP154*INDEX(Справочники!$B$4:$B$7,MATCH("RUB",Справочники!$A$4:$A$7,0)))</f>
        <v/>
      </c>
      <c r="AR154" s="90" t="str">
        <f aca="false">IF(AQ154="","",ROUND(AQ154*(1+Справочники!$B$12),0))</f>
        <v/>
      </c>
      <c r="AS154" s="90" t="str">
        <f aca="false">IF(AR154="","",ROUND(AR154*(1-Справочники!$B$11),0))</f>
        <v/>
      </c>
      <c r="AT154" s="88"/>
      <c r="AU154" s="90" t="str">
        <f aca="false">IF(AT154="","",ROUND(AT154/(1+Справочники!$B$12),0))</f>
        <v/>
      </c>
      <c r="AV154" s="90" t="str">
        <f aca="false">IF(AT154="","",ROUND(AT154*(1-Справочники!$B$15),0))</f>
        <v/>
      </c>
      <c r="AW154" s="90" t="str">
        <f aca="false">IF(AT154="","",ROUND(AT154*(1-Справочники!$B$16),0))</f>
        <v/>
      </c>
      <c r="AX154" s="90" t="str">
        <f aca="false">IF(AT154="","",ROUND(AT154*(1-Справочники!$B$17),0))</f>
        <v/>
      </c>
      <c r="AY154" s="90" t="str">
        <f aca="false">IF(AT154="","",ROUND(AT154*(1-Справочники!$B$18),0))</f>
        <v/>
      </c>
      <c r="AZ154" s="90" t="str">
        <f aca="false">IF(AT154="","",ROUND(AT154*(1-Справочники!$B$19),0))</f>
        <v/>
      </c>
      <c r="BA154" s="81"/>
      <c r="BB154" s="81"/>
      <c r="BC154" s="81"/>
      <c r="BD154" s="81"/>
      <c r="BE154" s="91"/>
      <c r="BF154" s="81" t="s">
        <v>103</v>
      </c>
      <c r="BG154" s="89" t="n">
        <f aca="false" t="array" ref="BG154:BG154">IF(BF154="","",IFERROR(INDEX(Справочники!$B$4:$B$7,MATCH(BF154,Справочники!$A$4:$A$7,0)),""))</f>
        <v>68.5</v>
      </c>
      <c r="BH154" s="90" t="str">
        <f aca="false">IF(N(BN154)&gt;0,ROUND(SUMIF(ЗАКАЗЫ!$F$3:$F$500,$A154,ЗАКАЗЫ!$Y$3:$Y$500)/BN154,0),IF(OR(BE154="",BG154=""),"",ROUND(BE154*BG154*(1+Справочники!$B$10),0)))</f>
        <v/>
      </c>
      <c r="BI154" s="92" t="str">
        <f aca="false">IF(OR(AU154="",BH154="",AU154=0),"",(AU154-BH154)/AU154)</f>
        <v/>
      </c>
      <c r="BJ154" s="81"/>
      <c r="BK154" s="83"/>
      <c r="BL154" s="43" t="str">
        <f aca="false">IFERROR(INDEX(ЗАКАЗЫ!$N$3:$N$500,MATCH($A154,ЗАКАЗЫ!$F$3:$F$500,0)),"")</f>
        <v/>
      </c>
      <c r="BM154" s="8" t="str">
        <f aca="false">IF(BL154="","",IFERROR(VLOOKUP(BL154,'ТН ВЭД'!$A$4:$C$40,3,0),""))</f>
        <v/>
      </c>
      <c r="BN154" s="7" t="str">
        <f aca="false">IF(COUNTIF(ЗАКАЗЫ!$F$3:$F$500,$A154)=0,"",SUMIF(ЗАКАЗЫ!$F$3:$F$500,$A154,ЗАКАЗЫ!$J$3:$J$500))</f>
        <v/>
      </c>
      <c r="BO154" s="7" t="str">
        <f aca="false">IF(BN154="","",SUMIF(ЗАКАЗЫ!$F$3:$F$500,$A154,ЗАКАЗЫ!$AL$3:$AL$500))</f>
        <v/>
      </c>
      <c r="BP154" s="7" t="str">
        <f aca="false">IF(BN154="","",BN154-BO154)</f>
        <v/>
      </c>
      <c r="BQ154" s="55" t="str">
        <f aca="false">IF(BN154="","",IF(BO154&gt;=BN154,"На складе",IF(BO154&gt;0,"Частично","Ждём")))</f>
        <v/>
      </c>
      <c r="BR154" s="43"/>
      <c r="BS154" s="47" t="str">
        <f aca="false">IF(BN154="","",IF(_xlfn.MAXIFS(ЗАКАЗЫ!$AK$3:$AK$500,ЗАКАЗЫ!$F$3:$F$500,$A154)=0,"",_xlfn.MAXIFS(ЗАКАЗЫ!$AK$3:$AK$500,ЗАКАЗЫ!$F$3:$F$500,$A154)))</f>
        <v/>
      </c>
    </row>
    <row r="155" customFormat="false" ht="15.75" hidden="false" customHeight="true" outlineLevel="0" collapsed="false">
      <c r="A155" s="80" t="s">
        <v>2349</v>
      </c>
      <c r="B155" s="81"/>
      <c r="C155" s="81"/>
      <c r="D155" s="81"/>
      <c r="E155" s="83"/>
      <c r="F155" s="81"/>
      <c r="G155" s="83"/>
      <c r="H155" s="83"/>
      <c r="I155" s="84" t="str">
        <f aca="false">IF(E155="","",A155&amp;"_1.jpg")</f>
        <v/>
      </c>
      <c r="J155" s="84" t="str">
        <f aca="false">IF(E155="","",A155&amp;"_2.jpg; "&amp;A155&amp;"_3.jpg")</f>
        <v/>
      </c>
      <c r="K155" s="84" t="str">
        <f aca="false">IF(E155="","",A155&amp;"_schema.jpg")</f>
        <v/>
      </c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 t="s">
        <v>96</v>
      </c>
      <c r="W155" s="81"/>
      <c r="X155" s="81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6" t="str">
        <f aca="false">IF(SUM(Y155:AJ155)=0,"",SUM(Y155:AJ155))</f>
        <v/>
      </c>
      <c r="AL155" s="84" t="str">
        <f aca="false">MID(IF(N(Y155)&gt;0,", "&amp;Y$2,"")&amp;IF(N(Z155)&gt;0,", "&amp;Z$2,"")&amp;IF(N(AA155)&gt;0,", "&amp;AA$2,"")&amp;IF(N(AB155)&gt;0,", "&amp;AB$2,"")&amp;IF(N(AC155)&gt;0,", "&amp;AC$2,"")&amp;IF(N(AD155)&gt;0,", "&amp;AD$2,"")&amp;IF(N(AE155)&gt;0,", "&amp;AE$2,"")&amp;IF(N(AF155)&gt;0,", "&amp;AF$2,"")&amp;IF(N(AG155)&gt;0,", "&amp;AG$2,"")&amp;IF(N(AH155)&gt;0,", "&amp;AH$2,"")&amp;IF(N(AI155)&gt;0,", "&amp;AI$2,"")&amp;IF(N(AJ155)&gt;0,", "&amp;AJ$2,""),3,999)</f>
        <v/>
      </c>
      <c r="AM155" s="87" t="str">
        <f aca="false">IF(E155="","",MID(IF(N(Y155)&gt;0,", "&amp;A155&amp;"-"&amp;Y$2,"")&amp;IF(N(Z155)&gt;0,", "&amp;A155&amp;"-"&amp;Z$2,"")&amp;IF(N(AA155)&gt;0,", "&amp;A155&amp;"-"&amp;AA$2,"")&amp;IF(N(AB155)&gt;0,", "&amp;A155&amp;"-"&amp;AB$2,"")&amp;IF(N(AC155)&gt;0,", "&amp;A155&amp;"-"&amp;AC$2,"")&amp;IF(N(AD155)&gt;0,", "&amp;A155&amp;"-"&amp;AD$2,"")&amp;IF(N(AE155)&gt;0,", "&amp;A155&amp;"-"&amp;AE$2,"")&amp;IF(N(AF155)&gt;0,", "&amp;A155&amp;"-"&amp;AF$2,"")&amp;IF(N(AG155)&gt;0,", "&amp;A155&amp;"-"&amp;AG$2,"")&amp;IF(N(AH155)&gt;0,", "&amp;A155&amp;"-"&amp;AH$2,"")&amp;IF(N(AI155)&gt;0,", "&amp;A155&amp;"-"&amp;AI$2,"")&amp;IF(N(AJ155)&gt;0,", "&amp;A155&amp;"-"&amp;AJ$2,""),3,999))</f>
        <v/>
      </c>
      <c r="AN155" s="81"/>
      <c r="AO155" s="88"/>
      <c r="AP155" s="89" t="str">
        <f aca="false">IF(AO155="","",ROUND(AO155/(1+Справочники!$B$13),2))</f>
        <v/>
      </c>
      <c r="AQ155" s="90" t="str">
        <f aca="false" t="array" ref="AQ155:AQ155">IF(AP155="","",AP155*INDEX(Справочники!$B$4:$B$7,MATCH("RUB",Справочники!$A$4:$A$7,0)))</f>
        <v/>
      </c>
      <c r="AR155" s="90" t="str">
        <f aca="false">IF(AQ155="","",ROUND(AQ155*(1+Справочники!$B$12),0))</f>
        <v/>
      </c>
      <c r="AS155" s="90" t="str">
        <f aca="false">IF(AR155="","",ROUND(AR155*(1-Справочники!$B$11),0))</f>
        <v/>
      </c>
      <c r="AT155" s="88"/>
      <c r="AU155" s="90" t="str">
        <f aca="false">IF(AT155="","",ROUND(AT155/(1+Справочники!$B$12),0))</f>
        <v/>
      </c>
      <c r="AV155" s="90" t="str">
        <f aca="false">IF(AT155="","",ROUND(AT155*(1-Справочники!$B$15),0))</f>
        <v/>
      </c>
      <c r="AW155" s="90" t="str">
        <f aca="false">IF(AT155="","",ROUND(AT155*(1-Справочники!$B$16),0))</f>
        <v/>
      </c>
      <c r="AX155" s="90" t="str">
        <f aca="false">IF(AT155="","",ROUND(AT155*(1-Справочники!$B$17),0))</f>
        <v/>
      </c>
      <c r="AY155" s="90" t="str">
        <f aca="false">IF(AT155="","",ROUND(AT155*(1-Справочники!$B$18),0))</f>
        <v/>
      </c>
      <c r="AZ155" s="90" t="str">
        <f aca="false">IF(AT155="","",ROUND(AT155*(1-Справочники!$B$19),0))</f>
        <v/>
      </c>
      <c r="BA155" s="81"/>
      <c r="BB155" s="81"/>
      <c r="BC155" s="81"/>
      <c r="BD155" s="81"/>
      <c r="BE155" s="91"/>
      <c r="BF155" s="81" t="s">
        <v>103</v>
      </c>
      <c r="BG155" s="89" t="n">
        <f aca="false" t="array" ref="BG155:BG155">IF(BF155="","",IFERROR(INDEX(Справочники!$B$4:$B$7,MATCH(BF155,Справочники!$A$4:$A$7,0)),""))</f>
        <v>68.5</v>
      </c>
      <c r="BH155" s="90" t="str">
        <f aca="false">IF(N(BN155)&gt;0,ROUND(SUMIF(ЗАКАЗЫ!$F$3:$F$500,$A155,ЗАКАЗЫ!$Y$3:$Y$500)/BN155,0),IF(OR(BE155="",BG155=""),"",ROUND(BE155*BG155*(1+Справочники!$B$10),0)))</f>
        <v/>
      </c>
      <c r="BI155" s="92" t="str">
        <f aca="false">IF(OR(AU155="",BH155="",AU155=0),"",(AU155-BH155)/AU155)</f>
        <v/>
      </c>
      <c r="BJ155" s="81"/>
      <c r="BK155" s="83"/>
      <c r="BL155" s="43" t="str">
        <f aca="false">IFERROR(INDEX(ЗАКАЗЫ!$N$3:$N$500,MATCH($A155,ЗАКАЗЫ!$F$3:$F$500,0)),"")</f>
        <v/>
      </c>
      <c r="BM155" s="8" t="str">
        <f aca="false">IF(BL155="","",IFERROR(VLOOKUP(BL155,'ТН ВЭД'!$A$4:$C$40,3,0),""))</f>
        <v/>
      </c>
      <c r="BN155" s="7" t="str">
        <f aca="false">IF(COUNTIF(ЗАКАЗЫ!$F$3:$F$500,$A155)=0,"",SUMIF(ЗАКАЗЫ!$F$3:$F$500,$A155,ЗАКАЗЫ!$J$3:$J$500))</f>
        <v/>
      </c>
      <c r="BO155" s="7" t="str">
        <f aca="false">IF(BN155="","",SUMIF(ЗАКАЗЫ!$F$3:$F$500,$A155,ЗАКАЗЫ!$AL$3:$AL$500))</f>
        <v/>
      </c>
      <c r="BP155" s="7" t="str">
        <f aca="false">IF(BN155="","",BN155-BO155)</f>
        <v/>
      </c>
      <c r="BQ155" s="55" t="str">
        <f aca="false">IF(BN155="","",IF(BO155&gt;=BN155,"На складе",IF(BO155&gt;0,"Частично","Ждём")))</f>
        <v/>
      </c>
      <c r="BR155" s="43"/>
      <c r="BS155" s="47" t="str">
        <f aca="false">IF(BN155="","",IF(_xlfn.MAXIFS(ЗАКАЗЫ!$AK$3:$AK$500,ЗАКАЗЫ!$F$3:$F$500,$A155)=0,"",_xlfn.MAXIFS(ЗАКАЗЫ!$AK$3:$AK$500,ЗАКАЗЫ!$F$3:$F$500,$A155)))</f>
        <v/>
      </c>
    </row>
    <row r="156" customFormat="false" ht="15.75" hidden="false" customHeight="true" outlineLevel="0" collapsed="false">
      <c r="A156" s="80" t="s">
        <v>2350</v>
      </c>
      <c r="B156" s="81"/>
      <c r="C156" s="81"/>
      <c r="D156" s="81"/>
      <c r="E156" s="83"/>
      <c r="F156" s="81"/>
      <c r="G156" s="83"/>
      <c r="H156" s="83"/>
      <c r="I156" s="84" t="str">
        <f aca="false">IF(E156="","",A156&amp;"_1.jpg")</f>
        <v/>
      </c>
      <c r="J156" s="84" t="str">
        <f aca="false">IF(E156="","",A156&amp;"_2.jpg; "&amp;A156&amp;"_3.jpg")</f>
        <v/>
      </c>
      <c r="K156" s="84" t="str">
        <f aca="false">IF(E156="","",A156&amp;"_schema.jpg")</f>
        <v/>
      </c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 t="s">
        <v>96</v>
      </c>
      <c r="W156" s="81"/>
      <c r="X156" s="81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6" t="str">
        <f aca="false">IF(SUM(Y156:AJ156)=0,"",SUM(Y156:AJ156))</f>
        <v/>
      </c>
      <c r="AL156" s="84" t="str">
        <f aca="false">MID(IF(N(Y156)&gt;0,", "&amp;Y$2,"")&amp;IF(N(Z156)&gt;0,", "&amp;Z$2,"")&amp;IF(N(AA156)&gt;0,", "&amp;AA$2,"")&amp;IF(N(AB156)&gt;0,", "&amp;AB$2,"")&amp;IF(N(AC156)&gt;0,", "&amp;AC$2,"")&amp;IF(N(AD156)&gt;0,", "&amp;AD$2,"")&amp;IF(N(AE156)&gt;0,", "&amp;AE$2,"")&amp;IF(N(AF156)&gt;0,", "&amp;AF$2,"")&amp;IF(N(AG156)&gt;0,", "&amp;AG$2,"")&amp;IF(N(AH156)&gt;0,", "&amp;AH$2,"")&amp;IF(N(AI156)&gt;0,", "&amp;AI$2,"")&amp;IF(N(AJ156)&gt;0,", "&amp;AJ$2,""),3,999)</f>
        <v/>
      </c>
      <c r="AM156" s="87" t="str">
        <f aca="false">IF(E156="","",MID(IF(N(Y156)&gt;0,", "&amp;A156&amp;"-"&amp;Y$2,"")&amp;IF(N(Z156)&gt;0,", "&amp;A156&amp;"-"&amp;Z$2,"")&amp;IF(N(AA156)&gt;0,", "&amp;A156&amp;"-"&amp;AA$2,"")&amp;IF(N(AB156)&gt;0,", "&amp;A156&amp;"-"&amp;AB$2,"")&amp;IF(N(AC156)&gt;0,", "&amp;A156&amp;"-"&amp;AC$2,"")&amp;IF(N(AD156)&gt;0,", "&amp;A156&amp;"-"&amp;AD$2,"")&amp;IF(N(AE156)&gt;0,", "&amp;A156&amp;"-"&amp;AE$2,"")&amp;IF(N(AF156)&gt;0,", "&amp;A156&amp;"-"&amp;AF$2,"")&amp;IF(N(AG156)&gt;0,", "&amp;A156&amp;"-"&amp;AG$2,"")&amp;IF(N(AH156)&gt;0,", "&amp;A156&amp;"-"&amp;AH$2,"")&amp;IF(N(AI156)&gt;0,", "&amp;A156&amp;"-"&amp;AI$2,"")&amp;IF(N(AJ156)&gt;0,", "&amp;A156&amp;"-"&amp;AJ$2,""),3,999))</f>
        <v/>
      </c>
      <c r="AN156" s="81"/>
      <c r="AO156" s="88"/>
      <c r="AP156" s="89" t="str">
        <f aca="false">IF(AO156="","",ROUND(AO156/(1+Справочники!$B$13),2))</f>
        <v/>
      </c>
      <c r="AQ156" s="90" t="str">
        <f aca="false" t="array" ref="AQ156:AQ156">IF(AP156="","",AP156*INDEX(Справочники!$B$4:$B$7,MATCH("RUB",Справочники!$A$4:$A$7,0)))</f>
        <v/>
      </c>
      <c r="AR156" s="90" t="str">
        <f aca="false">IF(AQ156="","",ROUND(AQ156*(1+Справочники!$B$12),0))</f>
        <v/>
      </c>
      <c r="AS156" s="90" t="str">
        <f aca="false">IF(AR156="","",ROUND(AR156*(1-Справочники!$B$11),0))</f>
        <v/>
      </c>
      <c r="AT156" s="88"/>
      <c r="AU156" s="90" t="str">
        <f aca="false">IF(AT156="","",ROUND(AT156/(1+Справочники!$B$12),0))</f>
        <v/>
      </c>
      <c r="AV156" s="90" t="str">
        <f aca="false">IF(AT156="","",ROUND(AT156*(1-Справочники!$B$15),0))</f>
        <v/>
      </c>
      <c r="AW156" s="90" t="str">
        <f aca="false">IF(AT156="","",ROUND(AT156*(1-Справочники!$B$16),0))</f>
        <v/>
      </c>
      <c r="AX156" s="90" t="str">
        <f aca="false">IF(AT156="","",ROUND(AT156*(1-Справочники!$B$17),0))</f>
        <v/>
      </c>
      <c r="AY156" s="90" t="str">
        <f aca="false">IF(AT156="","",ROUND(AT156*(1-Справочники!$B$18),0))</f>
        <v/>
      </c>
      <c r="AZ156" s="90" t="str">
        <f aca="false">IF(AT156="","",ROUND(AT156*(1-Справочники!$B$19),0))</f>
        <v/>
      </c>
      <c r="BA156" s="81"/>
      <c r="BB156" s="81"/>
      <c r="BC156" s="81"/>
      <c r="BD156" s="81"/>
      <c r="BE156" s="91"/>
      <c r="BF156" s="81" t="s">
        <v>103</v>
      </c>
      <c r="BG156" s="89" t="n">
        <f aca="false" t="array" ref="BG156:BG156">IF(BF156="","",IFERROR(INDEX(Справочники!$B$4:$B$7,MATCH(BF156,Справочники!$A$4:$A$7,0)),""))</f>
        <v>68.5</v>
      </c>
      <c r="BH156" s="90" t="str">
        <f aca="false">IF(N(BN156)&gt;0,ROUND(SUMIF(ЗАКАЗЫ!$F$3:$F$500,$A156,ЗАКАЗЫ!$Y$3:$Y$500)/BN156,0),IF(OR(BE156="",BG156=""),"",ROUND(BE156*BG156*(1+Справочники!$B$10),0)))</f>
        <v/>
      </c>
      <c r="BI156" s="92" t="str">
        <f aca="false">IF(OR(AU156="",BH156="",AU156=0),"",(AU156-BH156)/AU156)</f>
        <v/>
      </c>
      <c r="BJ156" s="81"/>
      <c r="BK156" s="83"/>
      <c r="BL156" s="43" t="str">
        <f aca="false">IFERROR(INDEX(ЗАКАЗЫ!$N$3:$N$500,MATCH($A156,ЗАКАЗЫ!$F$3:$F$500,0)),"")</f>
        <v/>
      </c>
      <c r="BM156" s="8" t="str">
        <f aca="false">IF(BL156="","",IFERROR(VLOOKUP(BL156,'ТН ВЭД'!$A$4:$C$40,3,0),""))</f>
        <v/>
      </c>
      <c r="BN156" s="7" t="str">
        <f aca="false">IF(COUNTIF(ЗАКАЗЫ!$F$3:$F$500,$A156)=0,"",SUMIF(ЗАКАЗЫ!$F$3:$F$500,$A156,ЗАКАЗЫ!$J$3:$J$500))</f>
        <v/>
      </c>
      <c r="BO156" s="7" t="str">
        <f aca="false">IF(BN156="","",SUMIF(ЗАКАЗЫ!$F$3:$F$500,$A156,ЗАКАЗЫ!$AL$3:$AL$500))</f>
        <v/>
      </c>
      <c r="BP156" s="7" t="str">
        <f aca="false">IF(BN156="","",BN156-BO156)</f>
        <v/>
      </c>
      <c r="BQ156" s="55" t="str">
        <f aca="false">IF(BN156="","",IF(BO156&gt;=BN156,"На складе",IF(BO156&gt;0,"Частично","Ждём")))</f>
        <v/>
      </c>
      <c r="BR156" s="43"/>
      <c r="BS156" s="47" t="str">
        <f aca="false">IF(BN156="","",IF(_xlfn.MAXIFS(ЗАКАЗЫ!$AK$3:$AK$500,ЗАКАЗЫ!$F$3:$F$500,$A156)=0,"",_xlfn.MAXIFS(ЗАКАЗЫ!$AK$3:$AK$500,ЗАКАЗЫ!$F$3:$F$500,$A156)))</f>
        <v/>
      </c>
    </row>
    <row r="157" customFormat="false" ht="15.75" hidden="false" customHeight="true" outlineLevel="0" collapsed="false">
      <c r="A157" s="80" t="s">
        <v>2351</v>
      </c>
      <c r="B157" s="81"/>
      <c r="C157" s="81"/>
      <c r="D157" s="81"/>
      <c r="E157" s="83"/>
      <c r="F157" s="81"/>
      <c r="G157" s="83"/>
      <c r="H157" s="83"/>
      <c r="I157" s="84" t="str">
        <f aca="false">IF(E157="","",A157&amp;"_1.jpg")</f>
        <v/>
      </c>
      <c r="J157" s="84" t="str">
        <f aca="false">IF(E157="","",A157&amp;"_2.jpg; "&amp;A157&amp;"_3.jpg")</f>
        <v/>
      </c>
      <c r="K157" s="84" t="str">
        <f aca="false">IF(E157="","",A157&amp;"_schema.jpg")</f>
        <v/>
      </c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 t="s">
        <v>96</v>
      </c>
      <c r="W157" s="81"/>
      <c r="X157" s="81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6" t="str">
        <f aca="false">IF(SUM(Y157:AJ157)=0,"",SUM(Y157:AJ157))</f>
        <v/>
      </c>
      <c r="AL157" s="84" t="str">
        <f aca="false">MID(IF(N(Y157)&gt;0,", "&amp;Y$2,"")&amp;IF(N(Z157)&gt;0,", "&amp;Z$2,"")&amp;IF(N(AA157)&gt;0,", "&amp;AA$2,"")&amp;IF(N(AB157)&gt;0,", "&amp;AB$2,"")&amp;IF(N(AC157)&gt;0,", "&amp;AC$2,"")&amp;IF(N(AD157)&gt;0,", "&amp;AD$2,"")&amp;IF(N(AE157)&gt;0,", "&amp;AE$2,"")&amp;IF(N(AF157)&gt;0,", "&amp;AF$2,"")&amp;IF(N(AG157)&gt;0,", "&amp;AG$2,"")&amp;IF(N(AH157)&gt;0,", "&amp;AH$2,"")&amp;IF(N(AI157)&gt;0,", "&amp;AI$2,"")&amp;IF(N(AJ157)&gt;0,", "&amp;AJ$2,""),3,999)</f>
        <v/>
      </c>
      <c r="AM157" s="87" t="str">
        <f aca="false">IF(E157="","",MID(IF(N(Y157)&gt;0,", "&amp;A157&amp;"-"&amp;Y$2,"")&amp;IF(N(Z157)&gt;0,", "&amp;A157&amp;"-"&amp;Z$2,"")&amp;IF(N(AA157)&gt;0,", "&amp;A157&amp;"-"&amp;AA$2,"")&amp;IF(N(AB157)&gt;0,", "&amp;A157&amp;"-"&amp;AB$2,"")&amp;IF(N(AC157)&gt;0,", "&amp;A157&amp;"-"&amp;AC$2,"")&amp;IF(N(AD157)&gt;0,", "&amp;A157&amp;"-"&amp;AD$2,"")&amp;IF(N(AE157)&gt;0,", "&amp;A157&amp;"-"&amp;AE$2,"")&amp;IF(N(AF157)&gt;0,", "&amp;A157&amp;"-"&amp;AF$2,"")&amp;IF(N(AG157)&gt;0,", "&amp;A157&amp;"-"&amp;AG$2,"")&amp;IF(N(AH157)&gt;0,", "&amp;A157&amp;"-"&amp;AH$2,"")&amp;IF(N(AI157)&gt;0,", "&amp;A157&amp;"-"&amp;AI$2,"")&amp;IF(N(AJ157)&gt;0,", "&amp;A157&amp;"-"&amp;AJ$2,""),3,999))</f>
        <v/>
      </c>
      <c r="AN157" s="81"/>
      <c r="AO157" s="88"/>
      <c r="AP157" s="89" t="str">
        <f aca="false">IF(AO157="","",ROUND(AO157/(1+Справочники!$B$13),2))</f>
        <v/>
      </c>
      <c r="AQ157" s="90" t="str">
        <f aca="false" t="array" ref="AQ157:AQ157">IF(AP157="","",AP157*INDEX(Справочники!$B$4:$B$7,MATCH("RUB",Справочники!$A$4:$A$7,0)))</f>
        <v/>
      </c>
      <c r="AR157" s="90" t="str">
        <f aca="false">IF(AQ157="","",ROUND(AQ157*(1+Справочники!$B$12),0))</f>
        <v/>
      </c>
      <c r="AS157" s="90" t="str">
        <f aca="false">IF(AR157="","",ROUND(AR157*(1-Справочники!$B$11),0))</f>
        <v/>
      </c>
      <c r="AT157" s="88"/>
      <c r="AU157" s="90" t="str">
        <f aca="false">IF(AT157="","",ROUND(AT157/(1+Справочники!$B$12),0))</f>
        <v/>
      </c>
      <c r="AV157" s="90" t="str">
        <f aca="false">IF(AT157="","",ROUND(AT157*(1-Справочники!$B$15),0))</f>
        <v/>
      </c>
      <c r="AW157" s="90" t="str">
        <f aca="false">IF(AT157="","",ROUND(AT157*(1-Справочники!$B$16),0))</f>
        <v/>
      </c>
      <c r="AX157" s="90" t="str">
        <f aca="false">IF(AT157="","",ROUND(AT157*(1-Справочники!$B$17),0))</f>
        <v/>
      </c>
      <c r="AY157" s="90" t="str">
        <f aca="false">IF(AT157="","",ROUND(AT157*(1-Справочники!$B$18),0))</f>
        <v/>
      </c>
      <c r="AZ157" s="90" t="str">
        <f aca="false">IF(AT157="","",ROUND(AT157*(1-Справочники!$B$19),0))</f>
        <v/>
      </c>
      <c r="BA157" s="81"/>
      <c r="BB157" s="81"/>
      <c r="BC157" s="81"/>
      <c r="BD157" s="81"/>
      <c r="BE157" s="91"/>
      <c r="BF157" s="81" t="s">
        <v>103</v>
      </c>
      <c r="BG157" s="89" t="n">
        <f aca="false" t="array" ref="BG157:BG157">IF(BF157="","",IFERROR(INDEX(Справочники!$B$4:$B$7,MATCH(BF157,Справочники!$A$4:$A$7,0)),""))</f>
        <v>68.5</v>
      </c>
      <c r="BH157" s="90" t="str">
        <f aca="false">IF(N(BN157)&gt;0,ROUND(SUMIF(ЗАКАЗЫ!$F$3:$F$500,$A157,ЗАКАЗЫ!$Y$3:$Y$500)/BN157,0),IF(OR(BE157="",BG157=""),"",ROUND(BE157*BG157*(1+Справочники!$B$10),0)))</f>
        <v/>
      </c>
      <c r="BI157" s="92" t="str">
        <f aca="false">IF(OR(AU157="",BH157="",AU157=0),"",(AU157-BH157)/AU157)</f>
        <v/>
      </c>
      <c r="BJ157" s="81"/>
      <c r="BK157" s="83"/>
      <c r="BL157" s="43" t="str">
        <f aca="false">IFERROR(INDEX(ЗАКАЗЫ!$N$3:$N$500,MATCH($A157,ЗАКАЗЫ!$F$3:$F$500,0)),"")</f>
        <v/>
      </c>
      <c r="BM157" s="8" t="str">
        <f aca="false">IF(BL157="","",IFERROR(VLOOKUP(BL157,'ТН ВЭД'!$A$4:$C$40,3,0),""))</f>
        <v/>
      </c>
      <c r="BN157" s="7" t="str">
        <f aca="false">IF(COUNTIF(ЗАКАЗЫ!$F$3:$F$500,$A157)=0,"",SUMIF(ЗАКАЗЫ!$F$3:$F$500,$A157,ЗАКАЗЫ!$J$3:$J$500))</f>
        <v/>
      </c>
      <c r="BO157" s="7" t="str">
        <f aca="false">IF(BN157="","",SUMIF(ЗАКАЗЫ!$F$3:$F$500,$A157,ЗАКАЗЫ!$AL$3:$AL$500))</f>
        <v/>
      </c>
      <c r="BP157" s="7" t="str">
        <f aca="false">IF(BN157="","",BN157-BO157)</f>
        <v/>
      </c>
      <c r="BQ157" s="55" t="str">
        <f aca="false">IF(BN157="","",IF(BO157&gt;=BN157,"На складе",IF(BO157&gt;0,"Частично","Ждём")))</f>
        <v/>
      </c>
      <c r="BR157" s="43"/>
      <c r="BS157" s="47" t="str">
        <f aca="false">IF(BN157="","",IF(_xlfn.MAXIFS(ЗАКАЗЫ!$AK$3:$AK$500,ЗАКАЗЫ!$F$3:$F$500,$A157)=0,"",_xlfn.MAXIFS(ЗАКАЗЫ!$AK$3:$AK$500,ЗАКАЗЫ!$F$3:$F$500,$A157)))</f>
        <v/>
      </c>
    </row>
    <row r="158" customFormat="false" ht="15.75" hidden="false" customHeight="true" outlineLevel="0" collapsed="false">
      <c r="A158" s="80" t="s">
        <v>2352</v>
      </c>
      <c r="B158" s="81"/>
      <c r="C158" s="81"/>
      <c r="D158" s="81"/>
      <c r="E158" s="83"/>
      <c r="F158" s="81"/>
      <c r="G158" s="83"/>
      <c r="H158" s="83"/>
      <c r="I158" s="84" t="str">
        <f aca="false">IF(E158="","",A158&amp;"_1.jpg")</f>
        <v/>
      </c>
      <c r="J158" s="84" t="str">
        <f aca="false">IF(E158="","",A158&amp;"_2.jpg; "&amp;A158&amp;"_3.jpg")</f>
        <v/>
      </c>
      <c r="K158" s="84" t="str">
        <f aca="false">IF(E158="","",A158&amp;"_schema.jpg")</f>
        <v/>
      </c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 t="s">
        <v>96</v>
      </c>
      <c r="W158" s="81"/>
      <c r="X158" s="81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6" t="str">
        <f aca="false">IF(SUM(Y158:AJ158)=0,"",SUM(Y158:AJ158))</f>
        <v/>
      </c>
      <c r="AL158" s="84" t="str">
        <f aca="false">MID(IF(N(Y158)&gt;0,", "&amp;Y$2,"")&amp;IF(N(Z158)&gt;0,", "&amp;Z$2,"")&amp;IF(N(AA158)&gt;0,", "&amp;AA$2,"")&amp;IF(N(AB158)&gt;0,", "&amp;AB$2,"")&amp;IF(N(AC158)&gt;0,", "&amp;AC$2,"")&amp;IF(N(AD158)&gt;0,", "&amp;AD$2,"")&amp;IF(N(AE158)&gt;0,", "&amp;AE$2,"")&amp;IF(N(AF158)&gt;0,", "&amp;AF$2,"")&amp;IF(N(AG158)&gt;0,", "&amp;AG$2,"")&amp;IF(N(AH158)&gt;0,", "&amp;AH$2,"")&amp;IF(N(AI158)&gt;0,", "&amp;AI$2,"")&amp;IF(N(AJ158)&gt;0,", "&amp;AJ$2,""),3,999)</f>
        <v/>
      </c>
      <c r="AM158" s="87" t="str">
        <f aca="false">IF(E158="","",MID(IF(N(Y158)&gt;0,", "&amp;A158&amp;"-"&amp;Y$2,"")&amp;IF(N(Z158)&gt;0,", "&amp;A158&amp;"-"&amp;Z$2,"")&amp;IF(N(AA158)&gt;0,", "&amp;A158&amp;"-"&amp;AA$2,"")&amp;IF(N(AB158)&gt;0,", "&amp;A158&amp;"-"&amp;AB$2,"")&amp;IF(N(AC158)&gt;0,", "&amp;A158&amp;"-"&amp;AC$2,"")&amp;IF(N(AD158)&gt;0,", "&amp;A158&amp;"-"&amp;AD$2,"")&amp;IF(N(AE158)&gt;0,", "&amp;A158&amp;"-"&amp;AE$2,"")&amp;IF(N(AF158)&gt;0,", "&amp;A158&amp;"-"&amp;AF$2,"")&amp;IF(N(AG158)&gt;0,", "&amp;A158&amp;"-"&amp;AG$2,"")&amp;IF(N(AH158)&gt;0,", "&amp;A158&amp;"-"&amp;AH$2,"")&amp;IF(N(AI158)&gt;0,", "&amp;A158&amp;"-"&amp;AI$2,"")&amp;IF(N(AJ158)&gt;0,", "&amp;A158&amp;"-"&amp;AJ$2,""),3,999))</f>
        <v/>
      </c>
      <c r="AN158" s="81"/>
      <c r="AO158" s="88"/>
      <c r="AP158" s="89" t="str">
        <f aca="false">IF(AO158="","",ROUND(AO158/(1+Справочники!$B$13),2))</f>
        <v/>
      </c>
      <c r="AQ158" s="90" t="str">
        <f aca="false" t="array" ref="AQ158:AQ158">IF(AP158="","",AP158*INDEX(Справочники!$B$4:$B$7,MATCH("RUB",Справочники!$A$4:$A$7,0)))</f>
        <v/>
      </c>
      <c r="AR158" s="90" t="str">
        <f aca="false">IF(AQ158="","",ROUND(AQ158*(1+Справочники!$B$12),0))</f>
        <v/>
      </c>
      <c r="AS158" s="90" t="str">
        <f aca="false">IF(AR158="","",ROUND(AR158*(1-Справочники!$B$11),0))</f>
        <v/>
      </c>
      <c r="AT158" s="88"/>
      <c r="AU158" s="90" t="str">
        <f aca="false">IF(AT158="","",ROUND(AT158/(1+Справочники!$B$12),0))</f>
        <v/>
      </c>
      <c r="AV158" s="90" t="str">
        <f aca="false">IF(AT158="","",ROUND(AT158*(1-Справочники!$B$15),0))</f>
        <v/>
      </c>
      <c r="AW158" s="90" t="str">
        <f aca="false">IF(AT158="","",ROUND(AT158*(1-Справочники!$B$16),0))</f>
        <v/>
      </c>
      <c r="AX158" s="90" t="str">
        <f aca="false">IF(AT158="","",ROUND(AT158*(1-Справочники!$B$17),0))</f>
        <v/>
      </c>
      <c r="AY158" s="90" t="str">
        <f aca="false">IF(AT158="","",ROUND(AT158*(1-Справочники!$B$18),0))</f>
        <v/>
      </c>
      <c r="AZ158" s="90" t="str">
        <f aca="false">IF(AT158="","",ROUND(AT158*(1-Справочники!$B$19),0))</f>
        <v/>
      </c>
      <c r="BA158" s="81"/>
      <c r="BB158" s="81"/>
      <c r="BC158" s="81"/>
      <c r="BD158" s="81"/>
      <c r="BE158" s="91"/>
      <c r="BF158" s="81" t="s">
        <v>103</v>
      </c>
      <c r="BG158" s="89" t="n">
        <f aca="false" t="array" ref="BG158:BG158">IF(BF158="","",IFERROR(INDEX(Справочники!$B$4:$B$7,MATCH(BF158,Справочники!$A$4:$A$7,0)),""))</f>
        <v>68.5</v>
      </c>
      <c r="BH158" s="90" t="str">
        <f aca="false">IF(N(BN158)&gt;0,ROUND(SUMIF(ЗАКАЗЫ!$F$3:$F$500,$A158,ЗАКАЗЫ!$Y$3:$Y$500)/BN158,0),IF(OR(BE158="",BG158=""),"",ROUND(BE158*BG158*(1+Справочники!$B$10),0)))</f>
        <v/>
      </c>
      <c r="BI158" s="92" t="str">
        <f aca="false">IF(OR(AU158="",BH158="",AU158=0),"",(AU158-BH158)/AU158)</f>
        <v/>
      </c>
      <c r="BJ158" s="81"/>
      <c r="BK158" s="83"/>
      <c r="BL158" s="43" t="str">
        <f aca="false">IFERROR(INDEX(ЗАКАЗЫ!$N$3:$N$500,MATCH($A158,ЗАКАЗЫ!$F$3:$F$500,0)),"")</f>
        <v/>
      </c>
      <c r="BM158" s="8" t="str">
        <f aca="false">IF(BL158="","",IFERROR(VLOOKUP(BL158,'ТН ВЭД'!$A$4:$C$40,3,0),""))</f>
        <v/>
      </c>
      <c r="BN158" s="7" t="str">
        <f aca="false">IF(COUNTIF(ЗАКАЗЫ!$F$3:$F$500,$A158)=0,"",SUMIF(ЗАКАЗЫ!$F$3:$F$500,$A158,ЗАКАЗЫ!$J$3:$J$500))</f>
        <v/>
      </c>
      <c r="BO158" s="7" t="str">
        <f aca="false">IF(BN158="","",SUMIF(ЗАКАЗЫ!$F$3:$F$500,$A158,ЗАКАЗЫ!$AL$3:$AL$500))</f>
        <v/>
      </c>
      <c r="BP158" s="7" t="str">
        <f aca="false">IF(BN158="","",BN158-BO158)</f>
        <v/>
      </c>
      <c r="BQ158" s="55" t="str">
        <f aca="false">IF(BN158="","",IF(BO158&gt;=BN158,"На складе",IF(BO158&gt;0,"Частично","Ждём")))</f>
        <v/>
      </c>
      <c r="BR158" s="43"/>
      <c r="BS158" s="47" t="str">
        <f aca="false">IF(BN158="","",IF(_xlfn.MAXIFS(ЗАКАЗЫ!$AK$3:$AK$500,ЗАКАЗЫ!$F$3:$F$500,$A158)=0,"",_xlfn.MAXIFS(ЗАКАЗЫ!$AK$3:$AK$500,ЗАКАЗЫ!$F$3:$F$500,$A158)))</f>
        <v/>
      </c>
    </row>
    <row r="159" customFormat="false" ht="15.75" hidden="false" customHeight="true" outlineLevel="0" collapsed="false">
      <c r="A159" s="80" t="s">
        <v>2353</v>
      </c>
      <c r="B159" s="81"/>
      <c r="C159" s="81"/>
      <c r="D159" s="81"/>
      <c r="E159" s="83"/>
      <c r="F159" s="81"/>
      <c r="G159" s="83"/>
      <c r="H159" s="83"/>
      <c r="I159" s="84" t="str">
        <f aca="false">IF(E159="","",A159&amp;"_1.jpg")</f>
        <v/>
      </c>
      <c r="J159" s="84" t="str">
        <f aca="false">IF(E159="","",A159&amp;"_2.jpg; "&amp;A159&amp;"_3.jpg")</f>
        <v/>
      </c>
      <c r="K159" s="84" t="str">
        <f aca="false">IF(E159="","",A159&amp;"_schema.jpg")</f>
        <v/>
      </c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 t="s">
        <v>96</v>
      </c>
      <c r="W159" s="81"/>
      <c r="X159" s="81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6" t="str">
        <f aca="false">IF(SUM(Y159:AJ159)=0,"",SUM(Y159:AJ159))</f>
        <v/>
      </c>
      <c r="AL159" s="84" t="str">
        <f aca="false">MID(IF(N(Y159)&gt;0,", "&amp;Y$2,"")&amp;IF(N(Z159)&gt;0,", "&amp;Z$2,"")&amp;IF(N(AA159)&gt;0,", "&amp;AA$2,"")&amp;IF(N(AB159)&gt;0,", "&amp;AB$2,"")&amp;IF(N(AC159)&gt;0,", "&amp;AC$2,"")&amp;IF(N(AD159)&gt;0,", "&amp;AD$2,"")&amp;IF(N(AE159)&gt;0,", "&amp;AE$2,"")&amp;IF(N(AF159)&gt;0,", "&amp;AF$2,"")&amp;IF(N(AG159)&gt;0,", "&amp;AG$2,"")&amp;IF(N(AH159)&gt;0,", "&amp;AH$2,"")&amp;IF(N(AI159)&gt;0,", "&amp;AI$2,"")&amp;IF(N(AJ159)&gt;0,", "&amp;AJ$2,""),3,999)</f>
        <v/>
      </c>
      <c r="AM159" s="87" t="str">
        <f aca="false">IF(E159="","",MID(IF(N(Y159)&gt;0,", "&amp;A159&amp;"-"&amp;Y$2,"")&amp;IF(N(Z159)&gt;0,", "&amp;A159&amp;"-"&amp;Z$2,"")&amp;IF(N(AA159)&gt;0,", "&amp;A159&amp;"-"&amp;AA$2,"")&amp;IF(N(AB159)&gt;0,", "&amp;A159&amp;"-"&amp;AB$2,"")&amp;IF(N(AC159)&gt;0,", "&amp;A159&amp;"-"&amp;AC$2,"")&amp;IF(N(AD159)&gt;0,", "&amp;A159&amp;"-"&amp;AD$2,"")&amp;IF(N(AE159)&gt;0,", "&amp;A159&amp;"-"&amp;AE$2,"")&amp;IF(N(AF159)&gt;0,", "&amp;A159&amp;"-"&amp;AF$2,"")&amp;IF(N(AG159)&gt;0,", "&amp;A159&amp;"-"&amp;AG$2,"")&amp;IF(N(AH159)&gt;0,", "&amp;A159&amp;"-"&amp;AH$2,"")&amp;IF(N(AI159)&gt;0,", "&amp;A159&amp;"-"&amp;AI$2,"")&amp;IF(N(AJ159)&gt;0,", "&amp;A159&amp;"-"&amp;AJ$2,""),3,999))</f>
        <v/>
      </c>
      <c r="AN159" s="81"/>
      <c r="AO159" s="88"/>
      <c r="AP159" s="89" t="str">
        <f aca="false">IF(AO159="","",ROUND(AO159/(1+Справочники!$B$13),2))</f>
        <v/>
      </c>
      <c r="AQ159" s="90" t="str">
        <f aca="false" t="array" ref="AQ159:AQ159">IF(AP159="","",AP159*INDEX(Справочники!$B$4:$B$7,MATCH("RUB",Справочники!$A$4:$A$7,0)))</f>
        <v/>
      </c>
      <c r="AR159" s="90" t="str">
        <f aca="false">IF(AQ159="","",ROUND(AQ159*(1+Справочники!$B$12),0))</f>
        <v/>
      </c>
      <c r="AS159" s="90" t="str">
        <f aca="false">IF(AR159="","",ROUND(AR159*(1-Справочники!$B$11),0))</f>
        <v/>
      </c>
      <c r="AT159" s="88"/>
      <c r="AU159" s="90" t="str">
        <f aca="false">IF(AT159="","",ROUND(AT159/(1+Справочники!$B$12),0))</f>
        <v/>
      </c>
      <c r="AV159" s="90" t="str">
        <f aca="false">IF(AT159="","",ROUND(AT159*(1-Справочники!$B$15),0))</f>
        <v/>
      </c>
      <c r="AW159" s="90" t="str">
        <f aca="false">IF(AT159="","",ROUND(AT159*(1-Справочники!$B$16),0))</f>
        <v/>
      </c>
      <c r="AX159" s="90" t="str">
        <f aca="false">IF(AT159="","",ROUND(AT159*(1-Справочники!$B$17),0))</f>
        <v/>
      </c>
      <c r="AY159" s="90" t="str">
        <f aca="false">IF(AT159="","",ROUND(AT159*(1-Справочники!$B$18),0))</f>
        <v/>
      </c>
      <c r="AZ159" s="90" t="str">
        <f aca="false">IF(AT159="","",ROUND(AT159*(1-Справочники!$B$19),0))</f>
        <v/>
      </c>
      <c r="BA159" s="81"/>
      <c r="BB159" s="81"/>
      <c r="BC159" s="81"/>
      <c r="BD159" s="81"/>
      <c r="BE159" s="91"/>
      <c r="BF159" s="81" t="s">
        <v>103</v>
      </c>
      <c r="BG159" s="89" t="n">
        <f aca="false" t="array" ref="BG159:BG159">IF(BF159="","",IFERROR(INDEX(Справочники!$B$4:$B$7,MATCH(BF159,Справочники!$A$4:$A$7,0)),""))</f>
        <v>68.5</v>
      </c>
      <c r="BH159" s="90" t="str">
        <f aca="false">IF(N(BN159)&gt;0,ROUND(SUMIF(ЗАКАЗЫ!$F$3:$F$500,$A159,ЗАКАЗЫ!$Y$3:$Y$500)/BN159,0),IF(OR(BE159="",BG159=""),"",ROUND(BE159*BG159*(1+Справочники!$B$10),0)))</f>
        <v/>
      </c>
      <c r="BI159" s="92" t="str">
        <f aca="false">IF(OR(AU159="",BH159="",AU159=0),"",(AU159-BH159)/AU159)</f>
        <v/>
      </c>
      <c r="BJ159" s="81"/>
      <c r="BK159" s="83"/>
      <c r="BL159" s="43" t="str">
        <f aca="false">IFERROR(INDEX(ЗАКАЗЫ!$N$3:$N$500,MATCH($A159,ЗАКАЗЫ!$F$3:$F$500,0)),"")</f>
        <v/>
      </c>
      <c r="BM159" s="8" t="str">
        <f aca="false">IF(BL159="","",IFERROR(VLOOKUP(BL159,'ТН ВЭД'!$A$4:$C$40,3,0),""))</f>
        <v/>
      </c>
      <c r="BN159" s="7" t="str">
        <f aca="false">IF(COUNTIF(ЗАКАЗЫ!$F$3:$F$500,$A159)=0,"",SUMIF(ЗАКАЗЫ!$F$3:$F$500,$A159,ЗАКАЗЫ!$J$3:$J$500))</f>
        <v/>
      </c>
      <c r="BO159" s="7" t="str">
        <f aca="false">IF(BN159="","",SUMIF(ЗАКАЗЫ!$F$3:$F$500,$A159,ЗАКАЗЫ!$AL$3:$AL$500))</f>
        <v/>
      </c>
      <c r="BP159" s="7" t="str">
        <f aca="false">IF(BN159="","",BN159-BO159)</f>
        <v/>
      </c>
      <c r="BQ159" s="55" t="str">
        <f aca="false">IF(BN159="","",IF(BO159&gt;=BN159,"На складе",IF(BO159&gt;0,"Частично","Ждём")))</f>
        <v/>
      </c>
      <c r="BR159" s="43"/>
      <c r="BS159" s="47" t="str">
        <f aca="false">IF(BN159="","",IF(_xlfn.MAXIFS(ЗАКАЗЫ!$AK$3:$AK$500,ЗАКАЗЫ!$F$3:$F$500,$A159)=0,"",_xlfn.MAXIFS(ЗАКАЗЫ!$AK$3:$AK$500,ЗАКАЗЫ!$F$3:$F$500,$A159)))</f>
        <v/>
      </c>
    </row>
    <row r="160" customFormat="false" ht="15.75" hidden="false" customHeight="true" outlineLevel="0" collapsed="false">
      <c r="A160" s="80" t="s">
        <v>2354</v>
      </c>
      <c r="B160" s="81"/>
      <c r="C160" s="81"/>
      <c r="D160" s="81"/>
      <c r="E160" s="83"/>
      <c r="F160" s="81"/>
      <c r="G160" s="83"/>
      <c r="H160" s="83"/>
      <c r="I160" s="84" t="str">
        <f aca="false">IF(E160="","",A160&amp;"_1.jpg")</f>
        <v/>
      </c>
      <c r="J160" s="84" t="str">
        <f aca="false">IF(E160="","",A160&amp;"_2.jpg; "&amp;A160&amp;"_3.jpg")</f>
        <v/>
      </c>
      <c r="K160" s="84" t="str">
        <f aca="false">IF(E160="","",A160&amp;"_schema.jpg")</f>
        <v/>
      </c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 t="s">
        <v>96</v>
      </c>
      <c r="W160" s="81"/>
      <c r="X160" s="81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6" t="str">
        <f aca="false">IF(SUM(Y160:AJ160)=0,"",SUM(Y160:AJ160))</f>
        <v/>
      </c>
      <c r="AL160" s="84" t="str">
        <f aca="false">MID(IF(N(Y160)&gt;0,", "&amp;Y$2,"")&amp;IF(N(Z160)&gt;0,", "&amp;Z$2,"")&amp;IF(N(AA160)&gt;0,", "&amp;AA$2,"")&amp;IF(N(AB160)&gt;0,", "&amp;AB$2,"")&amp;IF(N(AC160)&gt;0,", "&amp;AC$2,"")&amp;IF(N(AD160)&gt;0,", "&amp;AD$2,"")&amp;IF(N(AE160)&gt;0,", "&amp;AE$2,"")&amp;IF(N(AF160)&gt;0,", "&amp;AF$2,"")&amp;IF(N(AG160)&gt;0,", "&amp;AG$2,"")&amp;IF(N(AH160)&gt;0,", "&amp;AH$2,"")&amp;IF(N(AI160)&gt;0,", "&amp;AI$2,"")&amp;IF(N(AJ160)&gt;0,", "&amp;AJ$2,""),3,999)</f>
        <v/>
      </c>
      <c r="AM160" s="87" t="str">
        <f aca="false">IF(E160="","",MID(IF(N(Y160)&gt;0,", "&amp;A160&amp;"-"&amp;Y$2,"")&amp;IF(N(Z160)&gt;0,", "&amp;A160&amp;"-"&amp;Z$2,"")&amp;IF(N(AA160)&gt;0,", "&amp;A160&amp;"-"&amp;AA$2,"")&amp;IF(N(AB160)&gt;0,", "&amp;A160&amp;"-"&amp;AB$2,"")&amp;IF(N(AC160)&gt;0,", "&amp;A160&amp;"-"&amp;AC$2,"")&amp;IF(N(AD160)&gt;0,", "&amp;A160&amp;"-"&amp;AD$2,"")&amp;IF(N(AE160)&gt;0,", "&amp;A160&amp;"-"&amp;AE$2,"")&amp;IF(N(AF160)&gt;0,", "&amp;A160&amp;"-"&amp;AF$2,"")&amp;IF(N(AG160)&gt;0,", "&amp;A160&amp;"-"&amp;AG$2,"")&amp;IF(N(AH160)&gt;0,", "&amp;A160&amp;"-"&amp;AH$2,"")&amp;IF(N(AI160)&gt;0,", "&amp;A160&amp;"-"&amp;AI$2,"")&amp;IF(N(AJ160)&gt;0,", "&amp;A160&amp;"-"&amp;AJ$2,""),3,999))</f>
        <v/>
      </c>
      <c r="AN160" s="81"/>
      <c r="AO160" s="88"/>
      <c r="AP160" s="89" t="str">
        <f aca="false">IF(AO160="","",ROUND(AO160/(1+Справочники!$B$13),2))</f>
        <v/>
      </c>
      <c r="AQ160" s="90" t="str">
        <f aca="false" t="array" ref="AQ160:AQ160">IF(AP160="","",AP160*INDEX(Справочники!$B$4:$B$7,MATCH("RUB",Справочники!$A$4:$A$7,0)))</f>
        <v/>
      </c>
      <c r="AR160" s="90" t="str">
        <f aca="false">IF(AQ160="","",ROUND(AQ160*(1+Справочники!$B$12),0))</f>
        <v/>
      </c>
      <c r="AS160" s="90" t="str">
        <f aca="false">IF(AR160="","",ROUND(AR160*(1-Справочники!$B$11),0))</f>
        <v/>
      </c>
      <c r="AT160" s="88"/>
      <c r="AU160" s="90" t="str">
        <f aca="false">IF(AT160="","",ROUND(AT160/(1+Справочники!$B$12),0))</f>
        <v/>
      </c>
      <c r="AV160" s="90" t="str">
        <f aca="false">IF(AT160="","",ROUND(AT160*(1-Справочники!$B$15),0))</f>
        <v/>
      </c>
      <c r="AW160" s="90" t="str">
        <f aca="false">IF(AT160="","",ROUND(AT160*(1-Справочники!$B$16),0))</f>
        <v/>
      </c>
      <c r="AX160" s="90" t="str">
        <f aca="false">IF(AT160="","",ROUND(AT160*(1-Справочники!$B$17),0))</f>
        <v/>
      </c>
      <c r="AY160" s="90" t="str">
        <f aca="false">IF(AT160="","",ROUND(AT160*(1-Справочники!$B$18),0))</f>
        <v/>
      </c>
      <c r="AZ160" s="90" t="str">
        <f aca="false">IF(AT160="","",ROUND(AT160*(1-Справочники!$B$19),0))</f>
        <v/>
      </c>
      <c r="BA160" s="81"/>
      <c r="BB160" s="81"/>
      <c r="BC160" s="81"/>
      <c r="BD160" s="81"/>
      <c r="BE160" s="91"/>
      <c r="BF160" s="81" t="s">
        <v>103</v>
      </c>
      <c r="BG160" s="89" t="n">
        <f aca="false" t="array" ref="BG160:BG160">IF(BF160="","",IFERROR(INDEX(Справочники!$B$4:$B$7,MATCH(BF160,Справочники!$A$4:$A$7,0)),""))</f>
        <v>68.5</v>
      </c>
      <c r="BH160" s="90" t="str">
        <f aca="false">IF(N(BN160)&gt;0,ROUND(SUMIF(ЗАКАЗЫ!$F$3:$F$500,$A160,ЗАКАЗЫ!$Y$3:$Y$500)/BN160,0),IF(OR(BE160="",BG160=""),"",ROUND(BE160*BG160*(1+Справочники!$B$10),0)))</f>
        <v/>
      </c>
      <c r="BI160" s="92" t="str">
        <f aca="false">IF(OR(AU160="",BH160="",AU160=0),"",(AU160-BH160)/AU160)</f>
        <v/>
      </c>
      <c r="BJ160" s="81"/>
      <c r="BK160" s="83"/>
      <c r="BL160" s="43" t="str">
        <f aca="false">IFERROR(INDEX(ЗАКАЗЫ!$N$3:$N$500,MATCH($A160,ЗАКАЗЫ!$F$3:$F$500,0)),"")</f>
        <v/>
      </c>
      <c r="BM160" s="8" t="str">
        <f aca="false">IF(BL160="","",IFERROR(VLOOKUP(BL160,'ТН ВЭД'!$A$4:$C$40,3,0),""))</f>
        <v/>
      </c>
      <c r="BN160" s="7" t="str">
        <f aca="false">IF(COUNTIF(ЗАКАЗЫ!$F$3:$F$500,$A160)=0,"",SUMIF(ЗАКАЗЫ!$F$3:$F$500,$A160,ЗАКАЗЫ!$J$3:$J$500))</f>
        <v/>
      </c>
      <c r="BO160" s="7" t="str">
        <f aca="false">IF(BN160="","",SUMIF(ЗАКАЗЫ!$F$3:$F$500,$A160,ЗАКАЗЫ!$AL$3:$AL$500))</f>
        <v/>
      </c>
      <c r="BP160" s="7" t="str">
        <f aca="false">IF(BN160="","",BN160-BO160)</f>
        <v/>
      </c>
      <c r="BQ160" s="55" t="str">
        <f aca="false">IF(BN160="","",IF(BO160&gt;=BN160,"На складе",IF(BO160&gt;0,"Частично","Ждём")))</f>
        <v/>
      </c>
      <c r="BR160" s="43"/>
      <c r="BS160" s="47" t="str">
        <f aca="false">IF(BN160="","",IF(_xlfn.MAXIFS(ЗАКАЗЫ!$AK$3:$AK$500,ЗАКАЗЫ!$F$3:$F$500,$A160)=0,"",_xlfn.MAXIFS(ЗАКАЗЫ!$AK$3:$AK$500,ЗАКАЗЫ!$F$3:$F$500,$A160)))</f>
        <v/>
      </c>
    </row>
    <row r="161" customFormat="false" ht="15.75" hidden="false" customHeight="true" outlineLevel="0" collapsed="false">
      <c r="A161" s="80" t="s">
        <v>2355</v>
      </c>
      <c r="B161" s="81"/>
      <c r="C161" s="81"/>
      <c r="D161" s="81"/>
      <c r="E161" s="83"/>
      <c r="F161" s="81"/>
      <c r="G161" s="83"/>
      <c r="H161" s="83"/>
      <c r="I161" s="84" t="str">
        <f aca="false">IF(E161="","",A161&amp;"_1.jpg")</f>
        <v/>
      </c>
      <c r="J161" s="84" t="str">
        <f aca="false">IF(E161="","",A161&amp;"_2.jpg; "&amp;A161&amp;"_3.jpg")</f>
        <v/>
      </c>
      <c r="K161" s="84" t="str">
        <f aca="false">IF(E161="","",A161&amp;"_schema.jpg")</f>
        <v/>
      </c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 t="s">
        <v>96</v>
      </c>
      <c r="W161" s="81"/>
      <c r="X161" s="81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6" t="str">
        <f aca="false">IF(SUM(Y161:AJ161)=0,"",SUM(Y161:AJ161))</f>
        <v/>
      </c>
      <c r="AL161" s="84" t="str">
        <f aca="false">MID(IF(N(Y161)&gt;0,", "&amp;Y$2,"")&amp;IF(N(Z161)&gt;0,", "&amp;Z$2,"")&amp;IF(N(AA161)&gt;0,", "&amp;AA$2,"")&amp;IF(N(AB161)&gt;0,", "&amp;AB$2,"")&amp;IF(N(AC161)&gt;0,", "&amp;AC$2,"")&amp;IF(N(AD161)&gt;0,", "&amp;AD$2,"")&amp;IF(N(AE161)&gt;0,", "&amp;AE$2,"")&amp;IF(N(AF161)&gt;0,", "&amp;AF$2,"")&amp;IF(N(AG161)&gt;0,", "&amp;AG$2,"")&amp;IF(N(AH161)&gt;0,", "&amp;AH$2,"")&amp;IF(N(AI161)&gt;0,", "&amp;AI$2,"")&amp;IF(N(AJ161)&gt;0,", "&amp;AJ$2,""),3,999)</f>
        <v/>
      </c>
      <c r="AM161" s="87" t="str">
        <f aca="false">IF(E161="","",MID(IF(N(Y161)&gt;0,", "&amp;A161&amp;"-"&amp;Y$2,"")&amp;IF(N(Z161)&gt;0,", "&amp;A161&amp;"-"&amp;Z$2,"")&amp;IF(N(AA161)&gt;0,", "&amp;A161&amp;"-"&amp;AA$2,"")&amp;IF(N(AB161)&gt;0,", "&amp;A161&amp;"-"&amp;AB$2,"")&amp;IF(N(AC161)&gt;0,", "&amp;A161&amp;"-"&amp;AC$2,"")&amp;IF(N(AD161)&gt;0,", "&amp;A161&amp;"-"&amp;AD$2,"")&amp;IF(N(AE161)&gt;0,", "&amp;A161&amp;"-"&amp;AE$2,"")&amp;IF(N(AF161)&gt;0,", "&amp;A161&amp;"-"&amp;AF$2,"")&amp;IF(N(AG161)&gt;0,", "&amp;A161&amp;"-"&amp;AG$2,"")&amp;IF(N(AH161)&gt;0,", "&amp;A161&amp;"-"&amp;AH$2,"")&amp;IF(N(AI161)&gt;0,", "&amp;A161&amp;"-"&amp;AI$2,"")&amp;IF(N(AJ161)&gt;0,", "&amp;A161&amp;"-"&amp;AJ$2,""),3,999))</f>
        <v/>
      </c>
      <c r="AN161" s="81"/>
      <c r="AO161" s="88"/>
      <c r="AP161" s="89" t="str">
        <f aca="false">IF(AO161="","",ROUND(AO161/(1+Справочники!$B$13),2))</f>
        <v/>
      </c>
      <c r="AQ161" s="90" t="str">
        <f aca="false" t="array" ref="AQ161:AQ161">IF(AP161="","",AP161*INDEX(Справочники!$B$4:$B$7,MATCH("RUB",Справочники!$A$4:$A$7,0)))</f>
        <v/>
      </c>
      <c r="AR161" s="90" t="str">
        <f aca="false">IF(AQ161="","",ROUND(AQ161*(1+Справочники!$B$12),0))</f>
        <v/>
      </c>
      <c r="AS161" s="90" t="str">
        <f aca="false">IF(AR161="","",ROUND(AR161*(1-Справочники!$B$11),0))</f>
        <v/>
      </c>
      <c r="AT161" s="88"/>
      <c r="AU161" s="90" t="str">
        <f aca="false">IF(AT161="","",ROUND(AT161/(1+Справочники!$B$12),0))</f>
        <v/>
      </c>
      <c r="AV161" s="90" t="str">
        <f aca="false">IF(AT161="","",ROUND(AT161*(1-Справочники!$B$15),0))</f>
        <v/>
      </c>
      <c r="AW161" s="90" t="str">
        <f aca="false">IF(AT161="","",ROUND(AT161*(1-Справочники!$B$16),0))</f>
        <v/>
      </c>
      <c r="AX161" s="90" t="str">
        <f aca="false">IF(AT161="","",ROUND(AT161*(1-Справочники!$B$17),0))</f>
        <v/>
      </c>
      <c r="AY161" s="90" t="str">
        <f aca="false">IF(AT161="","",ROUND(AT161*(1-Справочники!$B$18),0))</f>
        <v/>
      </c>
      <c r="AZ161" s="90" t="str">
        <f aca="false">IF(AT161="","",ROUND(AT161*(1-Справочники!$B$19),0))</f>
        <v/>
      </c>
      <c r="BA161" s="81"/>
      <c r="BB161" s="81"/>
      <c r="BC161" s="81"/>
      <c r="BD161" s="81"/>
      <c r="BE161" s="91"/>
      <c r="BF161" s="81" t="s">
        <v>103</v>
      </c>
      <c r="BG161" s="89" t="n">
        <f aca="false" t="array" ref="BG161:BG161">IF(BF161="","",IFERROR(INDEX(Справочники!$B$4:$B$7,MATCH(BF161,Справочники!$A$4:$A$7,0)),""))</f>
        <v>68.5</v>
      </c>
      <c r="BH161" s="90" t="str">
        <f aca="false">IF(N(BN161)&gt;0,ROUND(SUMIF(ЗАКАЗЫ!$F$3:$F$500,$A161,ЗАКАЗЫ!$Y$3:$Y$500)/BN161,0),IF(OR(BE161="",BG161=""),"",ROUND(BE161*BG161*(1+Справочники!$B$10),0)))</f>
        <v/>
      </c>
      <c r="BI161" s="92" t="str">
        <f aca="false">IF(OR(AU161="",BH161="",AU161=0),"",(AU161-BH161)/AU161)</f>
        <v/>
      </c>
      <c r="BJ161" s="81"/>
      <c r="BK161" s="83"/>
      <c r="BL161" s="43" t="str">
        <f aca="false">IFERROR(INDEX(ЗАКАЗЫ!$N$3:$N$500,MATCH($A161,ЗАКАЗЫ!$F$3:$F$500,0)),"")</f>
        <v/>
      </c>
      <c r="BM161" s="8" t="str">
        <f aca="false">IF(BL161="","",IFERROR(VLOOKUP(BL161,'ТН ВЭД'!$A$4:$C$40,3,0),""))</f>
        <v/>
      </c>
      <c r="BN161" s="7" t="str">
        <f aca="false">IF(COUNTIF(ЗАКАЗЫ!$F$3:$F$500,$A161)=0,"",SUMIF(ЗАКАЗЫ!$F$3:$F$500,$A161,ЗАКАЗЫ!$J$3:$J$500))</f>
        <v/>
      </c>
      <c r="BO161" s="7" t="str">
        <f aca="false">IF(BN161="","",SUMIF(ЗАКАЗЫ!$F$3:$F$500,$A161,ЗАКАЗЫ!$AL$3:$AL$500))</f>
        <v/>
      </c>
      <c r="BP161" s="7" t="str">
        <f aca="false">IF(BN161="","",BN161-BO161)</f>
        <v/>
      </c>
      <c r="BQ161" s="55" t="str">
        <f aca="false">IF(BN161="","",IF(BO161&gt;=BN161,"На складе",IF(BO161&gt;0,"Частично","Ждём")))</f>
        <v/>
      </c>
      <c r="BR161" s="43"/>
      <c r="BS161" s="47" t="str">
        <f aca="false">IF(BN161="","",IF(_xlfn.MAXIFS(ЗАКАЗЫ!$AK$3:$AK$500,ЗАКАЗЫ!$F$3:$F$500,$A161)=0,"",_xlfn.MAXIFS(ЗАКАЗЫ!$AK$3:$AK$500,ЗАКАЗЫ!$F$3:$F$500,$A161)))</f>
        <v/>
      </c>
    </row>
    <row r="162" customFormat="false" ht="15.75" hidden="false" customHeight="true" outlineLevel="0" collapsed="false">
      <c r="A162" s="80" t="s">
        <v>2356</v>
      </c>
      <c r="B162" s="81"/>
      <c r="C162" s="81"/>
      <c r="D162" s="81"/>
      <c r="E162" s="83"/>
      <c r="F162" s="81"/>
      <c r="G162" s="83"/>
      <c r="H162" s="83"/>
      <c r="I162" s="84" t="str">
        <f aca="false">IF(E162="","",A162&amp;"_1.jpg")</f>
        <v/>
      </c>
      <c r="J162" s="84" t="str">
        <f aca="false">IF(E162="","",A162&amp;"_2.jpg; "&amp;A162&amp;"_3.jpg")</f>
        <v/>
      </c>
      <c r="K162" s="84" t="str">
        <f aca="false">IF(E162="","",A162&amp;"_schema.jpg")</f>
        <v/>
      </c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 t="s">
        <v>96</v>
      </c>
      <c r="W162" s="81"/>
      <c r="X162" s="81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6" t="str">
        <f aca="false">IF(SUM(Y162:AJ162)=0,"",SUM(Y162:AJ162))</f>
        <v/>
      </c>
      <c r="AL162" s="84" t="str">
        <f aca="false">MID(IF(N(Y162)&gt;0,", "&amp;Y$2,"")&amp;IF(N(Z162)&gt;0,", "&amp;Z$2,"")&amp;IF(N(AA162)&gt;0,", "&amp;AA$2,"")&amp;IF(N(AB162)&gt;0,", "&amp;AB$2,"")&amp;IF(N(AC162)&gt;0,", "&amp;AC$2,"")&amp;IF(N(AD162)&gt;0,", "&amp;AD$2,"")&amp;IF(N(AE162)&gt;0,", "&amp;AE$2,"")&amp;IF(N(AF162)&gt;0,", "&amp;AF$2,"")&amp;IF(N(AG162)&gt;0,", "&amp;AG$2,"")&amp;IF(N(AH162)&gt;0,", "&amp;AH$2,"")&amp;IF(N(AI162)&gt;0,", "&amp;AI$2,"")&amp;IF(N(AJ162)&gt;0,", "&amp;AJ$2,""),3,999)</f>
        <v/>
      </c>
      <c r="AM162" s="87" t="str">
        <f aca="false">IF(E162="","",MID(IF(N(Y162)&gt;0,", "&amp;A162&amp;"-"&amp;Y$2,"")&amp;IF(N(Z162)&gt;0,", "&amp;A162&amp;"-"&amp;Z$2,"")&amp;IF(N(AA162)&gt;0,", "&amp;A162&amp;"-"&amp;AA$2,"")&amp;IF(N(AB162)&gt;0,", "&amp;A162&amp;"-"&amp;AB$2,"")&amp;IF(N(AC162)&gt;0,", "&amp;A162&amp;"-"&amp;AC$2,"")&amp;IF(N(AD162)&gt;0,", "&amp;A162&amp;"-"&amp;AD$2,"")&amp;IF(N(AE162)&gt;0,", "&amp;A162&amp;"-"&amp;AE$2,"")&amp;IF(N(AF162)&gt;0,", "&amp;A162&amp;"-"&amp;AF$2,"")&amp;IF(N(AG162)&gt;0,", "&amp;A162&amp;"-"&amp;AG$2,"")&amp;IF(N(AH162)&gt;0,", "&amp;A162&amp;"-"&amp;AH$2,"")&amp;IF(N(AI162)&gt;0,", "&amp;A162&amp;"-"&amp;AI$2,"")&amp;IF(N(AJ162)&gt;0,", "&amp;A162&amp;"-"&amp;AJ$2,""),3,999))</f>
        <v/>
      </c>
      <c r="AN162" s="81"/>
      <c r="AO162" s="88"/>
      <c r="AP162" s="89" t="str">
        <f aca="false">IF(AO162="","",ROUND(AO162/(1+Справочники!$B$13),2))</f>
        <v/>
      </c>
      <c r="AQ162" s="90" t="str">
        <f aca="false" t="array" ref="AQ162:AQ162">IF(AP162="","",AP162*INDEX(Справочники!$B$4:$B$7,MATCH("RUB",Справочники!$A$4:$A$7,0)))</f>
        <v/>
      </c>
      <c r="AR162" s="90" t="str">
        <f aca="false">IF(AQ162="","",ROUND(AQ162*(1+Справочники!$B$12),0))</f>
        <v/>
      </c>
      <c r="AS162" s="90" t="str">
        <f aca="false">IF(AR162="","",ROUND(AR162*(1-Справочники!$B$11),0))</f>
        <v/>
      </c>
      <c r="AT162" s="88"/>
      <c r="AU162" s="90" t="str">
        <f aca="false">IF(AT162="","",ROUND(AT162/(1+Справочники!$B$12),0))</f>
        <v/>
      </c>
      <c r="AV162" s="90" t="str">
        <f aca="false">IF(AT162="","",ROUND(AT162*(1-Справочники!$B$15),0))</f>
        <v/>
      </c>
      <c r="AW162" s="90" t="str">
        <f aca="false">IF(AT162="","",ROUND(AT162*(1-Справочники!$B$16),0))</f>
        <v/>
      </c>
      <c r="AX162" s="90" t="str">
        <f aca="false">IF(AT162="","",ROUND(AT162*(1-Справочники!$B$17),0))</f>
        <v/>
      </c>
      <c r="AY162" s="90" t="str">
        <f aca="false">IF(AT162="","",ROUND(AT162*(1-Справочники!$B$18),0))</f>
        <v/>
      </c>
      <c r="AZ162" s="90" t="str">
        <f aca="false">IF(AT162="","",ROUND(AT162*(1-Справочники!$B$19),0))</f>
        <v/>
      </c>
      <c r="BA162" s="81"/>
      <c r="BB162" s="81"/>
      <c r="BC162" s="81"/>
      <c r="BD162" s="81"/>
      <c r="BE162" s="91"/>
      <c r="BF162" s="81" t="s">
        <v>103</v>
      </c>
      <c r="BG162" s="89" t="n">
        <f aca="false" t="array" ref="BG162:BG162">IF(BF162="","",IFERROR(INDEX(Справочники!$B$4:$B$7,MATCH(BF162,Справочники!$A$4:$A$7,0)),""))</f>
        <v>68.5</v>
      </c>
      <c r="BH162" s="90" t="str">
        <f aca="false">IF(N(BN162)&gt;0,ROUND(SUMIF(ЗАКАЗЫ!$F$3:$F$500,$A162,ЗАКАЗЫ!$Y$3:$Y$500)/BN162,0),IF(OR(BE162="",BG162=""),"",ROUND(BE162*BG162*(1+Справочники!$B$10),0)))</f>
        <v/>
      </c>
      <c r="BI162" s="92" t="str">
        <f aca="false">IF(OR(AU162="",BH162="",AU162=0),"",(AU162-BH162)/AU162)</f>
        <v/>
      </c>
      <c r="BJ162" s="81"/>
      <c r="BK162" s="83"/>
      <c r="BL162" s="43" t="str">
        <f aca="false">IFERROR(INDEX(ЗАКАЗЫ!$N$3:$N$500,MATCH($A162,ЗАКАЗЫ!$F$3:$F$500,0)),"")</f>
        <v/>
      </c>
      <c r="BM162" s="8" t="str">
        <f aca="false">IF(BL162="","",IFERROR(VLOOKUP(BL162,'ТН ВЭД'!$A$4:$C$40,3,0),""))</f>
        <v/>
      </c>
      <c r="BN162" s="7" t="str">
        <f aca="false">IF(COUNTIF(ЗАКАЗЫ!$F$3:$F$500,$A162)=0,"",SUMIF(ЗАКАЗЫ!$F$3:$F$500,$A162,ЗАКАЗЫ!$J$3:$J$500))</f>
        <v/>
      </c>
      <c r="BO162" s="7" t="str">
        <f aca="false">IF(BN162="","",SUMIF(ЗАКАЗЫ!$F$3:$F$500,$A162,ЗАКАЗЫ!$AL$3:$AL$500))</f>
        <v/>
      </c>
      <c r="BP162" s="7" t="str">
        <f aca="false">IF(BN162="","",BN162-BO162)</f>
        <v/>
      </c>
      <c r="BQ162" s="55" t="str">
        <f aca="false">IF(BN162="","",IF(BO162&gt;=BN162,"На складе",IF(BO162&gt;0,"Частично","Ждём")))</f>
        <v/>
      </c>
      <c r="BR162" s="43"/>
      <c r="BS162" s="47" t="str">
        <f aca="false">IF(BN162="","",IF(_xlfn.MAXIFS(ЗАКАЗЫ!$AK$3:$AK$500,ЗАКАЗЫ!$F$3:$F$500,$A162)=0,"",_xlfn.MAXIFS(ЗАКАЗЫ!$AK$3:$AK$500,ЗАКАЗЫ!$F$3:$F$500,$A162)))</f>
        <v/>
      </c>
    </row>
    <row r="163" customFormat="false" ht="15.75" hidden="false" customHeight="true" outlineLevel="0" collapsed="false">
      <c r="A163" s="80" t="s">
        <v>2357</v>
      </c>
      <c r="B163" s="81"/>
      <c r="C163" s="81"/>
      <c r="D163" s="81"/>
      <c r="E163" s="83"/>
      <c r="F163" s="81"/>
      <c r="G163" s="83"/>
      <c r="H163" s="83"/>
      <c r="I163" s="84" t="str">
        <f aca="false">IF(E163="","",A163&amp;"_1.jpg")</f>
        <v/>
      </c>
      <c r="J163" s="84" t="str">
        <f aca="false">IF(E163="","",A163&amp;"_2.jpg; "&amp;A163&amp;"_3.jpg")</f>
        <v/>
      </c>
      <c r="K163" s="84" t="str">
        <f aca="false">IF(E163="","",A163&amp;"_schema.jpg")</f>
        <v/>
      </c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 t="s">
        <v>96</v>
      </c>
      <c r="W163" s="81"/>
      <c r="X163" s="81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6" t="str">
        <f aca="false">IF(SUM(Y163:AJ163)=0,"",SUM(Y163:AJ163))</f>
        <v/>
      </c>
      <c r="AL163" s="84" t="str">
        <f aca="false">MID(IF(N(Y163)&gt;0,", "&amp;Y$2,"")&amp;IF(N(Z163)&gt;0,", "&amp;Z$2,"")&amp;IF(N(AA163)&gt;0,", "&amp;AA$2,"")&amp;IF(N(AB163)&gt;0,", "&amp;AB$2,"")&amp;IF(N(AC163)&gt;0,", "&amp;AC$2,"")&amp;IF(N(AD163)&gt;0,", "&amp;AD$2,"")&amp;IF(N(AE163)&gt;0,", "&amp;AE$2,"")&amp;IF(N(AF163)&gt;0,", "&amp;AF$2,"")&amp;IF(N(AG163)&gt;0,", "&amp;AG$2,"")&amp;IF(N(AH163)&gt;0,", "&amp;AH$2,"")&amp;IF(N(AI163)&gt;0,", "&amp;AI$2,"")&amp;IF(N(AJ163)&gt;0,", "&amp;AJ$2,""),3,999)</f>
        <v/>
      </c>
      <c r="AM163" s="87" t="str">
        <f aca="false">IF(E163="","",MID(IF(N(Y163)&gt;0,", "&amp;A163&amp;"-"&amp;Y$2,"")&amp;IF(N(Z163)&gt;0,", "&amp;A163&amp;"-"&amp;Z$2,"")&amp;IF(N(AA163)&gt;0,", "&amp;A163&amp;"-"&amp;AA$2,"")&amp;IF(N(AB163)&gt;0,", "&amp;A163&amp;"-"&amp;AB$2,"")&amp;IF(N(AC163)&gt;0,", "&amp;A163&amp;"-"&amp;AC$2,"")&amp;IF(N(AD163)&gt;0,", "&amp;A163&amp;"-"&amp;AD$2,"")&amp;IF(N(AE163)&gt;0,", "&amp;A163&amp;"-"&amp;AE$2,"")&amp;IF(N(AF163)&gt;0,", "&amp;A163&amp;"-"&amp;AF$2,"")&amp;IF(N(AG163)&gt;0,", "&amp;A163&amp;"-"&amp;AG$2,"")&amp;IF(N(AH163)&gt;0,", "&amp;A163&amp;"-"&amp;AH$2,"")&amp;IF(N(AI163)&gt;0,", "&amp;A163&amp;"-"&amp;AI$2,"")&amp;IF(N(AJ163)&gt;0,", "&amp;A163&amp;"-"&amp;AJ$2,""),3,999))</f>
        <v/>
      </c>
      <c r="AN163" s="81"/>
      <c r="AO163" s="88"/>
      <c r="AP163" s="89" t="str">
        <f aca="false">IF(AO163="","",ROUND(AO163/(1+Справочники!$B$13),2))</f>
        <v/>
      </c>
      <c r="AQ163" s="90" t="str">
        <f aca="false" t="array" ref="AQ163:AQ163">IF(AP163="","",AP163*INDEX(Справочники!$B$4:$B$7,MATCH("RUB",Справочники!$A$4:$A$7,0)))</f>
        <v/>
      </c>
      <c r="AR163" s="90" t="str">
        <f aca="false">IF(AQ163="","",ROUND(AQ163*(1+Справочники!$B$12),0))</f>
        <v/>
      </c>
      <c r="AS163" s="90" t="str">
        <f aca="false">IF(AR163="","",ROUND(AR163*(1-Справочники!$B$11),0))</f>
        <v/>
      </c>
      <c r="AT163" s="88"/>
      <c r="AU163" s="90" t="str">
        <f aca="false">IF(AT163="","",ROUND(AT163/(1+Справочники!$B$12),0))</f>
        <v/>
      </c>
      <c r="AV163" s="90" t="str">
        <f aca="false">IF(AT163="","",ROUND(AT163*(1-Справочники!$B$15),0))</f>
        <v/>
      </c>
      <c r="AW163" s="90" t="str">
        <f aca="false">IF(AT163="","",ROUND(AT163*(1-Справочники!$B$16),0))</f>
        <v/>
      </c>
      <c r="AX163" s="90" t="str">
        <f aca="false">IF(AT163="","",ROUND(AT163*(1-Справочники!$B$17),0))</f>
        <v/>
      </c>
      <c r="AY163" s="90" t="str">
        <f aca="false">IF(AT163="","",ROUND(AT163*(1-Справочники!$B$18),0))</f>
        <v/>
      </c>
      <c r="AZ163" s="90" t="str">
        <f aca="false">IF(AT163="","",ROUND(AT163*(1-Справочники!$B$19),0))</f>
        <v/>
      </c>
      <c r="BA163" s="81"/>
      <c r="BB163" s="81"/>
      <c r="BC163" s="81"/>
      <c r="BD163" s="81"/>
      <c r="BE163" s="91"/>
      <c r="BF163" s="81" t="s">
        <v>103</v>
      </c>
      <c r="BG163" s="89" t="n">
        <f aca="false" t="array" ref="BG163:BG163">IF(BF163="","",IFERROR(INDEX(Справочники!$B$4:$B$7,MATCH(BF163,Справочники!$A$4:$A$7,0)),""))</f>
        <v>68.5</v>
      </c>
      <c r="BH163" s="90" t="str">
        <f aca="false">IF(N(BN163)&gt;0,ROUND(SUMIF(ЗАКАЗЫ!$F$3:$F$500,$A163,ЗАКАЗЫ!$Y$3:$Y$500)/BN163,0),IF(OR(BE163="",BG163=""),"",ROUND(BE163*BG163*(1+Справочники!$B$10),0)))</f>
        <v/>
      </c>
      <c r="BI163" s="92" t="str">
        <f aca="false">IF(OR(AU163="",BH163="",AU163=0),"",(AU163-BH163)/AU163)</f>
        <v/>
      </c>
      <c r="BJ163" s="81"/>
      <c r="BK163" s="83"/>
      <c r="BL163" s="43" t="str">
        <f aca="false">IFERROR(INDEX(ЗАКАЗЫ!$N$3:$N$500,MATCH($A163,ЗАКАЗЫ!$F$3:$F$500,0)),"")</f>
        <v/>
      </c>
      <c r="BM163" s="8" t="str">
        <f aca="false">IF(BL163="","",IFERROR(VLOOKUP(BL163,'ТН ВЭД'!$A$4:$C$40,3,0),""))</f>
        <v/>
      </c>
      <c r="BN163" s="7" t="str">
        <f aca="false">IF(COUNTIF(ЗАКАЗЫ!$F$3:$F$500,$A163)=0,"",SUMIF(ЗАКАЗЫ!$F$3:$F$500,$A163,ЗАКАЗЫ!$J$3:$J$500))</f>
        <v/>
      </c>
      <c r="BO163" s="7" t="str">
        <f aca="false">IF(BN163="","",SUMIF(ЗАКАЗЫ!$F$3:$F$500,$A163,ЗАКАЗЫ!$AL$3:$AL$500))</f>
        <v/>
      </c>
      <c r="BP163" s="7" t="str">
        <f aca="false">IF(BN163="","",BN163-BO163)</f>
        <v/>
      </c>
      <c r="BQ163" s="55" t="str">
        <f aca="false">IF(BN163="","",IF(BO163&gt;=BN163,"На складе",IF(BO163&gt;0,"Частично","Ждём")))</f>
        <v/>
      </c>
      <c r="BR163" s="43"/>
      <c r="BS163" s="47" t="str">
        <f aca="false">IF(BN163="","",IF(_xlfn.MAXIFS(ЗАКАЗЫ!$AK$3:$AK$500,ЗАКАЗЫ!$F$3:$F$500,$A163)=0,"",_xlfn.MAXIFS(ЗАКАЗЫ!$AK$3:$AK$500,ЗАКАЗЫ!$F$3:$F$500,$A163)))</f>
        <v/>
      </c>
    </row>
    <row r="164" customFormat="false" ht="15.75" hidden="false" customHeight="true" outlineLevel="0" collapsed="false">
      <c r="A164" s="80" t="s">
        <v>2358</v>
      </c>
      <c r="B164" s="81"/>
      <c r="C164" s="81"/>
      <c r="D164" s="81"/>
      <c r="E164" s="83"/>
      <c r="F164" s="81"/>
      <c r="G164" s="83"/>
      <c r="H164" s="83"/>
      <c r="I164" s="84" t="str">
        <f aca="false">IF(E164="","",A164&amp;"_1.jpg")</f>
        <v/>
      </c>
      <c r="J164" s="84" t="str">
        <f aca="false">IF(E164="","",A164&amp;"_2.jpg; "&amp;A164&amp;"_3.jpg")</f>
        <v/>
      </c>
      <c r="K164" s="84" t="str">
        <f aca="false">IF(E164="","",A164&amp;"_schema.jpg")</f>
        <v/>
      </c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 t="s">
        <v>96</v>
      </c>
      <c r="W164" s="81"/>
      <c r="X164" s="81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6" t="str">
        <f aca="false">IF(SUM(Y164:AJ164)=0,"",SUM(Y164:AJ164))</f>
        <v/>
      </c>
      <c r="AL164" s="84" t="str">
        <f aca="false">MID(IF(N(Y164)&gt;0,", "&amp;Y$2,"")&amp;IF(N(Z164)&gt;0,", "&amp;Z$2,"")&amp;IF(N(AA164)&gt;0,", "&amp;AA$2,"")&amp;IF(N(AB164)&gt;0,", "&amp;AB$2,"")&amp;IF(N(AC164)&gt;0,", "&amp;AC$2,"")&amp;IF(N(AD164)&gt;0,", "&amp;AD$2,"")&amp;IF(N(AE164)&gt;0,", "&amp;AE$2,"")&amp;IF(N(AF164)&gt;0,", "&amp;AF$2,"")&amp;IF(N(AG164)&gt;0,", "&amp;AG$2,"")&amp;IF(N(AH164)&gt;0,", "&amp;AH$2,"")&amp;IF(N(AI164)&gt;0,", "&amp;AI$2,"")&amp;IF(N(AJ164)&gt;0,", "&amp;AJ$2,""),3,999)</f>
        <v/>
      </c>
      <c r="AM164" s="87" t="str">
        <f aca="false">IF(E164="","",MID(IF(N(Y164)&gt;0,", "&amp;A164&amp;"-"&amp;Y$2,"")&amp;IF(N(Z164)&gt;0,", "&amp;A164&amp;"-"&amp;Z$2,"")&amp;IF(N(AA164)&gt;0,", "&amp;A164&amp;"-"&amp;AA$2,"")&amp;IF(N(AB164)&gt;0,", "&amp;A164&amp;"-"&amp;AB$2,"")&amp;IF(N(AC164)&gt;0,", "&amp;A164&amp;"-"&amp;AC$2,"")&amp;IF(N(AD164)&gt;0,", "&amp;A164&amp;"-"&amp;AD$2,"")&amp;IF(N(AE164)&gt;0,", "&amp;A164&amp;"-"&amp;AE$2,"")&amp;IF(N(AF164)&gt;0,", "&amp;A164&amp;"-"&amp;AF$2,"")&amp;IF(N(AG164)&gt;0,", "&amp;A164&amp;"-"&amp;AG$2,"")&amp;IF(N(AH164)&gt;0,", "&amp;A164&amp;"-"&amp;AH$2,"")&amp;IF(N(AI164)&gt;0,", "&amp;A164&amp;"-"&amp;AI$2,"")&amp;IF(N(AJ164)&gt;0,", "&amp;A164&amp;"-"&amp;AJ$2,""),3,999))</f>
        <v/>
      </c>
      <c r="AN164" s="81"/>
      <c r="AO164" s="88"/>
      <c r="AP164" s="89" t="str">
        <f aca="false">IF(AO164="","",ROUND(AO164/(1+Справочники!$B$13),2))</f>
        <v/>
      </c>
      <c r="AQ164" s="90" t="str">
        <f aca="false" t="array" ref="AQ164:AQ164">IF(AP164="","",AP164*INDEX(Справочники!$B$4:$B$7,MATCH("RUB",Справочники!$A$4:$A$7,0)))</f>
        <v/>
      </c>
      <c r="AR164" s="90" t="str">
        <f aca="false">IF(AQ164="","",ROUND(AQ164*(1+Справочники!$B$12),0))</f>
        <v/>
      </c>
      <c r="AS164" s="90" t="str">
        <f aca="false">IF(AR164="","",ROUND(AR164*(1-Справочники!$B$11),0))</f>
        <v/>
      </c>
      <c r="AT164" s="88"/>
      <c r="AU164" s="90" t="str">
        <f aca="false">IF(AT164="","",ROUND(AT164/(1+Справочники!$B$12),0))</f>
        <v/>
      </c>
      <c r="AV164" s="90" t="str">
        <f aca="false">IF(AT164="","",ROUND(AT164*(1-Справочники!$B$15),0))</f>
        <v/>
      </c>
      <c r="AW164" s="90" t="str">
        <f aca="false">IF(AT164="","",ROUND(AT164*(1-Справочники!$B$16),0))</f>
        <v/>
      </c>
      <c r="AX164" s="90" t="str">
        <f aca="false">IF(AT164="","",ROUND(AT164*(1-Справочники!$B$17),0))</f>
        <v/>
      </c>
      <c r="AY164" s="90" t="str">
        <f aca="false">IF(AT164="","",ROUND(AT164*(1-Справочники!$B$18),0))</f>
        <v/>
      </c>
      <c r="AZ164" s="90" t="str">
        <f aca="false">IF(AT164="","",ROUND(AT164*(1-Справочники!$B$19),0))</f>
        <v/>
      </c>
      <c r="BA164" s="81"/>
      <c r="BB164" s="81"/>
      <c r="BC164" s="81"/>
      <c r="BD164" s="81"/>
      <c r="BE164" s="91"/>
      <c r="BF164" s="81" t="s">
        <v>103</v>
      </c>
      <c r="BG164" s="89" t="n">
        <f aca="false" t="array" ref="BG164:BG164">IF(BF164="","",IFERROR(INDEX(Справочники!$B$4:$B$7,MATCH(BF164,Справочники!$A$4:$A$7,0)),""))</f>
        <v>68.5</v>
      </c>
      <c r="BH164" s="90" t="str">
        <f aca="false">IF(N(BN164)&gt;0,ROUND(SUMIF(ЗАКАЗЫ!$F$3:$F$500,$A164,ЗАКАЗЫ!$Y$3:$Y$500)/BN164,0),IF(OR(BE164="",BG164=""),"",ROUND(BE164*BG164*(1+Справочники!$B$10),0)))</f>
        <v/>
      </c>
      <c r="BI164" s="92" t="str">
        <f aca="false">IF(OR(AU164="",BH164="",AU164=0),"",(AU164-BH164)/AU164)</f>
        <v/>
      </c>
      <c r="BJ164" s="81"/>
      <c r="BK164" s="83"/>
      <c r="BL164" s="43" t="str">
        <f aca="false">IFERROR(INDEX(ЗАКАЗЫ!$N$3:$N$500,MATCH($A164,ЗАКАЗЫ!$F$3:$F$500,0)),"")</f>
        <v/>
      </c>
      <c r="BM164" s="8" t="str">
        <f aca="false">IF(BL164="","",IFERROR(VLOOKUP(BL164,'ТН ВЭД'!$A$4:$C$40,3,0),""))</f>
        <v/>
      </c>
      <c r="BN164" s="7" t="str">
        <f aca="false">IF(COUNTIF(ЗАКАЗЫ!$F$3:$F$500,$A164)=0,"",SUMIF(ЗАКАЗЫ!$F$3:$F$500,$A164,ЗАКАЗЫ!$J$3:$J$500))</f>
        <v/>
      </c>
      <c r="BO164" s="7" t="str">
        <f aca="false">IF(BN164="","",SUMIF(ЗАКАЗЫ!$F$3:$F$500,$A164,ЗАКАЗЫ!$AL$3:$AL$500))</f>
        <v/>
      </c>
      <c r="BP164" s="7" t="str">
        <f aca="false">IF(BN164="","",BN164-BO164)</f>
        <v/>
      </c>
      <c r="BQ164" s="55" t="str">
        <f aca="false">IF(BN164="","",IF(BO164&gt;=BN164,"На складе",IF(BO164&gt;0,"Частично","Ждём")))</f>
        <v/>
      </c>
      <c r="BR164" s="43"/>
      <c r="BS164" s="47" t="str">
        <f aca="false">IF(BN164="","",IF(_xlfn.MAXIFS(ЗАКАЗЫ!$AK$3:$AK$500,ЗАКАЗЫ!$F$3:$F$500,$A164)=0,"",_xlfn.MAXIFS(ЗАКАЗЫ!$AK$3:$AK$500,ЗАКАЗЫ!$F$3:$F$500,$A164)))</f>
        <v/>
      </c>
    </row>
    <row r="165" customFormat="false" ht="15.75" hidden="false" customHeight="true" outlineLevel="0" collapsed="false">
      <c r="A165" s="80" t="s">
        <v>2359</v>
      </c>
      <c r="B165" s="81"/>
      <c r="C165" s="81"/>
      <c r="D165" s="81"/>
      <c r="E165" s="83"/>
      <c r="F165" s="81"/>
      <c r="G165" s="83"/>
      <c r="H165" s="83"/>
      <c r="I165" s="84" t="str">
        <f aca="false">IF(E165="","",A165&amp;"_1.jpg")</f>
        <v/>
      </c>
      <c r="J165" s="84" t="str">
        <f aca="false">IF(E165="","",A165&amp;"_2.jpg; "&amp;A165&amp;"_3.jpg")</f>
        <v/>
      </c>
      <c r="K165" s="84" t="str">
        <f aca="false">IF(E165="","",A165&amp;"_schema.jpg")</f>
        <v/>
      </c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 t="s">
        <v>96</v>
      </c>
      <c r="W165" s="81"/>
      <c r="X165" s="81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6" t="str">
        <f aca="false">IF(SUM(Y165:AJ165)=0,"",SUM(Y165:AJ165))</f>
        <v/>
      </c>
      <c r="AL165" s="84" t="str">
        <f aca="false">MID(IF(N(Y165)&gt;0,", "&amp;Y$2,"")&amp;IF(N(Z165)&gt;0,", "&amp;Z$2,"")&amp;IF(N(AA165)&gt;0,", "&amp;AA$2,"")&amp;IF(N(AB165)&gt;0,", "&amp;AB$2,"")&amp;IF(N(AC165)&gt;0,", "&amp;AC$2,"")&amp;IF(N(AD165)&gt;0,", "&amp;AD$2,"")&amp;IF(N(AE165)&gt;0,", "&amp;AE$2,"")&amp;IF(N(AF165)&gt;0,", "&amp;AF$2,"")&amp;IF(N(AG165)&gt;0,", "&amp;AG$2,"")&amp;IF(N(AH165)&gt;0,", "&amp;AH$2,"")&amp;IF(N(AI165)&gt;0,", "&amp;AI$2,"")&amp;IF(N(AJ165)&gt;0,", "&amp;AJ$2,""),3,999)</f>
        <v/>
      </c>
      <c r="AM165" s="87" t="str">
        <f aca="false">IF(E165="","",MID(IF(N(Y165)&gt;0,", "&amp;A165&amp;"-"&amp;Y$2,"")&amp;IF(N(Z165)&gt;0,", "&amp;A165&amp;"-"&amp;Z$2,"")&amp;IF(N(AA165)&gt;0,", "&amp;A165&amp;"-"&amp;AA$2,"")&amp;IF(N(AB165)&gt;0,", "&amp;A165&amp;"-"&amp;AB$2,"")&amp;IF(N(AC165)&gt;0,", "&amp;A165&amp;"-"&amp;AC$2,"")&amp;IF(N(AD165)&gt;0,", "&amp;A165&amp;"-"&amp;AD$2,"")&amp;IF(N(AE165)&gt;0,", "&amp;A165&amp;"-"&amp;AE$2,"")&amp;IF(N(AF165)&gt;0,", "&amp;A165&amp;"-"&amp;AF$2,"")&amp;IF(N(AG165)&gt;0,", "&amp;A165&amp;"-"&amp;AG$2,"")&amp;IF(N(AH165)&gt;0,", "&amp;A165&amp;"-"&amp;AH$2,"")&amp;IF(N(AI165)&gt;0,", "&amp;A165&amp;"-"&amp;AI$2,"")&amp;IF(N(AJ165)&gt;0,", "&amp;A165&amp;"-"&amp;AJ$2,""),3,999))</f>
        <v/>
      </c>
      <c r="AN165" s="81"/>
      <c r="AO165" s="88"/>
      <c r="AP165" s="89" t="str">
        <f aca="false">IF(AO165="","",ROUND(AO165/(1+Справочники!$B$13),2))</f>
        <v/>
      </c>
      <c r="AQ165" s="90" t="str">
        <f aca="false" t="array" ref="AQ165:AQ165">IF(AP165="","",AP165*INDEX(Справочники!$B$4:$B$7,MATCH("RUB",Справочники!$A$4:$A$7,0)))</f>
        <v/>
      </c>
      <c r="AR165" s="90" t="str">
        <f aca="false">IF(AQ165="","",ROUND(AQ165*(1+Справочники!$B$12),0))</f>
        <v/>
      </c>
      <c r="AS165" s="90" t="str">
        <f aca="false">IF(AR165="","",ROUND(AR165*(1-Справочники!$B$11),0))</f>
        <v/>
      </c>
      <c r="AT165" s="88"/>
      <c r="AU165" s="90" t="str">
        <f aca="false">IF(AT165="","",ROUND(AT165/(1+Справочники!$B$12),0))</f>
        <v/>
      </c>
      <c r="AV165" s="90" t="str">
        <f aca="false">IF(AT165="","",ROUND(AT165*(1-Справочники!$B$15),0))</f>
        <v/>
      </c>
      <c r="AW165" s="90" t="str">
        <f aca="false">IF(AT165="","",ROUND(AT165*(1-Справочники!$B$16),0))</f>
        <v/>
      </c>
      <c r="AX165" s="90" t="str">
        <f aca="false">IF(AT165="","",ROUND(AT165*(1-Справочники!$B$17),0))</f>
        <v/>
      </c>
      <c r="AY165" s="90" t="str">
        <f aca="false">IF(AT165="","",ROUND(AT165*(1-Справочники!$B$18),0))</f>
        <v/>
      </c>
      <c r="AZ165" s="90" t="str">
        <f aca="false">IF(AT165="","",ROUND(AT165*(1-Справочники!$B$19),0))</f>
        <v/>
      </c>
      <c r="BA165" s="81"/>
      <c r="BB165" s="81"/>
      <c r="BC165" s="81"/>
      <c r="BD165" s="81"/>
      <c r="BE165" s="91"/>
      <c r="BF165" s="81" t="s">
        <v>103</v>
      </c>
      <c r="BG165" s="89" t="n">
        <f aca="false" t="array" ref="BG165:BG165">IF(BF165="","",IFERROR(INDEX(Справочники!$B$4:$B$7,MATCH(BF165,Справочники!$A$4:$A$7,0)),""))</f>
        <v>68.5</v>
      </c>
      <c r="BH165" s="90" t="str">
        <f aca="false">IF(N(BN165)&gt;0,ROUND(SUMIF(ЗАКАЗЫ!$F$3:$F$500,$A165,ЗАКАЗЫ!$Y$3:$Y$500)/BN165,0),IF(OR(BE165="",BG165=""),"",ROUND(BE165*BG165*(1+Справочники!$B$10),0)))</f>
        <v/>
      </c>
      <c r="BI165" s="92" t="str">
        <f aca="false">IF(OR(AU165="",BH165="",AU165=0),"",(AU165-BH165)/AU165)</f>
        <v/>
      </c>
      <c r="BJ165" s="81"/>
      <c r="BK165" s="83"/>
      <c r="BL165" s="43" t="str">
        <f aca="false">IFERROR(INDEX(ЗАКАЗЫ!$N$3:$N$500,MATCH($A165,ЗАКАЗЫ!$F$3:$F$500,0)),"")</f>
        <v/>
      </c>
      <c r="BM165" s="8" t="str">
        <f aca="false">IF(BL165="","",IFERROR(VLOOKUP(BL165,'ТН ВЭД'!$A$4:$C$40,3,0),""))</f>
        <v/>
      </c>
      <c r="BN165" s="7" t="str">
        <f aca="false">IF(COUNTIF(ЗАКАЗЫ!$F$3:$F$500,$A165)=0,"",SUMIF(ЗАКАЗЫ!$F$3:$F$500,$A165,ЗАКАЗЫ!$J$3:$J$500))</f>
        <v/>
      </c>
      <c r="BO165" s="7" t="str">
        <f aca="false">IF(BN165="","",SUMIF(ЗАКАЗЫ!$F$3:$F$500,$A165,ЗАКАЗЫ!$AL$3:$AL$500))</f>
        <v/>
      </c>
      <c r="BP165" s="7" t="str">
        <f aca="false">IF(BN165="","",BN165-BO165)</f>
        <v/>
      </c>
      <c r="BQ165" s="55" t="str">
        <f aca="false">IF(BN165="","",IF(BO165&gt;=BN165,"На складе",IF(BO165&gt;0,"Частично","Ждём")))</f>
        <v/>
      </c>
      <c r="BR165" s="43"/>
      <c r="BS165" s="47" t="str">
        <f aca="false">IF(BN165="","",IF(_xlfn.MAXIFS(ЗАКАЗЫ!$AK$3:$AK$500,ЗАКАЗЫ!$F$3:$F$500,$A165)=0,"",_xlfn.MAXIFS(ЗАКАЗЫ!$AK$3:$AK$500,ЗАКАЗЫ!$F$3:$F$500,$A165)))</f>
        <v/>
      </c>
    </row>
    <row r="166" customFormat="false" ht="15.75" hidden="false" customHeight="true" outlineLevel="0" collapsed="false">
      <c r="A166" s="80" t="s">
        <v>2360</v>
      </c>
      <c r="B166" s="81"/>
      <c r="C166" s="81"/>
      <c r="D166" s="81"/>
      <c r="E166" s="83"/>
      <c r="F166" s="81"/>
      <c r="G166" s="83"/>
      <c r="H166" s="83"/>
      <c r="I166" s="84" t="str">
        <f aca="false">IF(E166="","",A166&amp;"_1.jpg")</f>
        <v/>
      </c>
      <c r="J166" s="84" t="str">
        <f aca="false">IF(E166="","",A166&amp;"_2.jpg; "&amp;A166&amp;"_3.jpg")</f>
        <v/>
      </c>
      <c r="K166" s="84" t="str">
        <f aca="false">IF(E166="","",A166&amp;"_schema.jpg")</f>
        <v/>
      </c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 t="s">
        <v>96</v>
      </c>
      <c r="W166" s="81"/>
      <c r="X166" s="81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6" t="str">
        <f aca="false">IF(SUM(Y166:AJ166)=0,"",SUM(Y166:AJ166))</f>
        <v/>
      </c>
      <c r="AL166" s="84" t="str">
        <f aca="false">MID(IF(N(Y166)&gt;0,", "&amp;Y$2,"")&amp;IF(N(Z166)&gt;0,", "&amp;Z$2,"")&amp;IF(N(AA166)&gt;0,", "&amp;AA$2,"")&amp;IF(N(AB166)&gt;0,", "&amp;AB$2,"")&amp;IF(N(AC166)&gt;0,", "&amp;AC$2,"")&amp;IF(N(AD166)&gt;0,", "&amp;AD$2,"")&amp;IF(N(AE166)&gt;0,", "&amp;AE$2,"")&amp;IF(N(AF166)&gt;0,", "&amp;AF$2,"")&amp;IF(N(AG166)&gt;0,", "&amp;AG$2,"")&amp;IF(N(AH166)&gt;0,", "&amp;AH$2,"")&amp;IF(N(AI166)&gt;0,", "&amp;AI$2,"")&amp;IF(N(AJ166)&gt;0,", "&amp;AJ$2,""),3,999)</f>
        <v/>
      </c>
      <c r="AM166" s="87" t="str">
        <f aca="false">IF(E166="","",MID(IF(N(Y166)&gt;0,", "&amp;A166&amp;"-"&amp;Y$2,"")&amp;IF(N(Z166)&gt;0,", "&amp;A166&amp;"-"&amp;Z$2,"")&amp;IF(N(AA166)&gt;0,", "&amp;A166&amp;"-"&amp;AA$2,"")&amp;IF(N(AB166)&gt;0,", "&amp;A166&amp;"-"&amp;AB$2,"")&amp;IF(N(AC166)&gt;0,", "&amp;A166&amp;"-"&amp;AC$2,"")&amp;IF(N(AD166)&gt;0,", "&amp;A166&amp;"-"&amp;AD$2,"")&amp;IF(N(AE166)&gt;0,", "&amp;A166&amp;"-"&amp;AE$2,"")&amp;IF(N(AF166)&gt;0,", "&amp;A166&amp;"-"&amp;AF$2,"")&amp;IF(N(AG166)&gt;0,", "&amp;A166&amp;"-"&amp;AG$2,"")&amp;IF(N(AH166)&gt;0,", "&amp;A166&amp;"-"&amp;AH$2,"")&amp;IF(N(AI166)&gt;0,", "&amp;A166&amp;"-"&amp;AI$2,"")&amp;IF(N(AJ166)&gt;0,", "&amp;A166&amp;"-"&amp;AJ$2,""),3,999))</f>
        <v/>
      </c>
      <c r="AN166" s="81"/>
      <c r="AO166" s="88"/>
      <c r="AP166" s="89" t="str">
        <f aca="false">IF(AO166="","",ROUND(AO166/(1+Справочники!$B$13),2))</f>
        <v/>
      </c>
      <c r="AQ166" s="90" t="str">
        <f aca="false" t="array" ref="AQ166:AQ166">IF(AP166="","",AP166*INDEX(Справочники!$B$4:$B$7,MATCH("RUB",Справочники!$A$4:$A$7,0)))</f>
        <v/>
      </c>
      <c r="AR166" s="90" t="str">
        <f aca="false">IF(AQ166="","",ROUND(AQ166*(1+Справочники!$B$12),0))</f>
        <v/>
      </c>
      <c r="AS166" s="90" t="str">
        <f aca="false">IF(AR166="","",ROUND(AR166*(1-Справочники!$B$11),0))</f>
        <v/>
      </c>
      <c r="AT166" s="88"/>
      <c r="AU166" s="90" t="str">
        <f aca="false">IF(AT166="","",ROUND(AT166/(1+Справочники!$B$12),0))</f>
        <v/>
      </c>
      <c r="AV166" s="90" t="str">
        <f aca="false">IF(AT166="","",ROUND(AT166*(1-Справочники!$B$15),0))</f>
        <v/>
      </c>
      <c r="AW166" s="90" t="str">
        <f aca="false">IF(AT166="","",ROUND(AT166*(1-Справочники!$B$16),0))</f>
        <v/>
      </c>
      <c r="AX166" s="90" t="str">
        <f aca="false">IF(AT166="","",ROUND(AT166*(1-Справочники!$B$17),0))</f>
        <v/>
      </c>
      <c r="AY166" s="90" t="str">
        <f aca="false">IF(AT166="","",ROUND(AT166*(1-Справочники!$B$18),0))</f>
        <v/>
      </c>
      <c r="AZ166" s="90" t="str">
        <f aca="false">IF(AT166="","",ROUND(AT166*(1-Справочники!$B$19),0))</f>
        <v/>
      </c>
      <c r="BA166" s="81"/>
      <c r="BB166" s="81"/>
      <c r="BC166" s="81"/>
      <c r="BD166" s="81"/>
      <c r="BE166" s="91"/>
      <c r="BF166" s="81" t="s">
        <v>103</v>
      </c>
      <c r="BG166" s="89" t="n">
        <f aca="false" t="array" ref="BG166:BG166">IF(BF166="","",IFERROR(INDEX(Справочники!$B$4:$B$7,MATCH(BF166,Справочники!$A$4:$A$7,0)),""))</f>
        <v>68.5</v>
      </c>
      <c r="BH166" s="90" t="str">
        <f aca="false">IF(N(BN166)&gt;0,ROUND(SUMIF(ЗАКАЗЫ!$F$3:$F$500,$A166,ЗАКАЗЫ!$Y$3:$Y$500)/BN166,0),IF(OR(BE166="",BG166=""),"",ROUND(BE166*BG166*(1+Справочники!$B$10),0)))</f>
        <v/>
      </c>
      <c r="BI166" s="92" t="str">
        <f aca="false">IF(OR(AU166="",BH166="",AU166=0),"",(AU166-BH166)/AU166)</f>
        <v/>
      </c>
      <c r="BJ166" s="81"/>
      <c r="BK166" s="83"/>
      <c r="BL166" s="43" t="str">
        <f aca="false">IFERROR(INDEX(ЗАКАЗЫ!$N$3:$N$500,MATCH($A166,ЗАКАЗЫ!$F$3:$F$500,0)),"")</f>
        <v/>
      </c>
      <c r="BM166" s="8" t="str">
        <f aca="false">IF(BL166="","",IFERROR(VLOOKUP(BL166,'ТН ВЭД'!$A$4:$C$40,3,0),""))</f>
        <v/>
      </c>
      <c r="BN166" s="7" t="str">
        <f aca="false">IF(COUNTIF(ЗАКАЗЫ!$F$3:$F$500,$A166)=0,"",SUMIF(ЗАКАЗЫ!$F$3:$F$500,$A166,ЗАКАЗЫ!$J$3:$J$500))</f>
        <v/>
      </c>
      <c r="BO166" s="7" t="str">
        <f aca="false">IF(BN166="","",SUMIF(ЗАКАЗЫ!$F$3:$F$500,$A166,ЗАКАЗЫ!$AL$3:$AL$500))</f>
        <v/>
      </c>
      <c r="BP166" s="7" t="str">
        <f aca="false">IF(BN166="","",BN166-BO166)</f>
        <v/>
      </c>
      <c r="BQ166" s="55" t="str">
        <f aca="false">IF(BN166="","",IF(BO166&gt;=BN166,"На складе",IF(BO166&gt;0,"Частично","Ждём")))</f>
        <v/>
      </c>
      <c r="BR166" s="43"/>
      <c r="BS166" s="47" t="str">
        <f aca="false">IF(BN166="","",IF(_xlfn.MAXIFS(ЗАКАЗЫ!$AK$3:$AK$500,ЗАКАЗЫ!$F$3:$F$500,$A166)=0,"",_xlfn.MAXIFS(ЗАКАЗЫ!$AK$3:$AK$500,ЗАКАЗЫ!$F$3:$F$500,$A166)))</f>
        <v/>
      </c>
    </row>
    <row r="167" customFormat="false" ht="15.75" hidden="false" customHeight="true" outlineLevel="0" collapsed="false">
      <c r="A167" s="80" t="s">
        <v>2361</v>
      </c>
      <c r="B167" s="81"/>
      <c r="C167" s="81"/>
      <c r="D167" s="81"/>
      <c r="E167" s="83"/>
      <c r="F167" s="81"/>
      <c r="G167" s="83"/>
      <c r="H167" s="83"/>
      <c r="I167" s="84" t="str">
        <f aca="false">IF(E167="","",A167&amp;"_1.jpg")</f>
        <v/>
      </c>
      <c r="J167" s="84" t="str">
        <f aca="false">IF(E167="","",A167&amp;"_2.jpg; "&amp;A167&amp;"_3.jpg")</f>
        <v/>
      </c>
      <c r="K167" s="84" t="str">
        <f aca="false">IF(E167="","",A167&amp;"_schema.jpg")</f>
        <v/>
      </c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 t="s">
        <v>96</v>
      </c>
      <c r="W167" s="81"/>
      <c r="X167" s="81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6" t="str">
        <f aca="false">IF(SUM(Y167:AJ167)=0,"",SUM(Y167:AJ167))</f>
        <v/>
      </c>
      <c r="AL167" s="84" t="str">
        <f aca="false">MID(IF(N(Y167)&gt;0,", "&amp;Y$2,"")&amp;IF(N(Z167)&gt;0,", "&amp;Z$2,"")&amp;IF(N(AA167)&gt;0,", "&amp;AA$2,"")&amp;IF(N(AB167)&gt;0,", "&amp;AB$2,"")&amp;IF(N(AC167)&gt;0,", "&amp;AC$2,"")&amp;IF(N(AD167)&gt;0,", "&amp;AD$2,"")&amp;IF(N(AE167)&gt;0,", "&amp;AE$2,"")&amp;IF(N(AF167)&gt;0,", "&amp;AF$2,"")&amp;IF(N(AG167)&gt;0,", "&amp;AG$2,"")&amp;IF(N(AH167)&gt;0,", "&amp;AH$2,"")&amp;IF(N(AI167)&gt;0,", "&amp;AI$2,"")&amp;IF(N(AJ167)&gt;0,", "&amp;AJ$2,""),3,999)</f>
        <v/>
      </c>
      <c r="AM167" s="87" t="str">
        <f aca="false">IF(E167="","",MID(IF(N(Y167)&gt;0,", "&amp;A167&amp;"-"&amp;Y$2,"")&amp;IF(N(Z167)&gt;0,", "&amp;A167&amp;"-"&amp;Z$2,"")&amp;IF(N(AA167)&gt;0,", "&amp;A167&amp;"-"&amp;AA$2,"")&amp;IF(N(AB167)&gt;0,", "&amp;A167&amp;"-"&amp;AB$2,"")&amp;IF(N(AC167)&gt;0,", "&amp;A167&amp;"-"&amp;AC$2,"")&amp;IF(N(AD167)&gt;0,", "&amp;A167&amp;"-"&amp;AD$2,"")&amp;IF(N(AE167)&gt;0,", "&amp;A167&amp;"-"&amp;AE$2,"")&amp;IF(N(AF167)&gt;0,", "&amp;A167&amp;"-"&amp;AF$2,"")&amp;IF(N(AG167)&gt;0,", "&amp;A167&amp;"-"&amp;AG$2,"")&amp;IF(N(AH167)&gt;0,", "&amp;A167&amp;"-"&amp;AH$2,"")&amp;IF(N(AI167)&gt;0,", "&amp;A167&amp;"-"&amp;AI$2,"")&amp;IF(N(AJ167)&gt;0,", "&amp;A167&amp;"-"&amp;AJ$2,""),3,999))</f>
        <v/>
      </c>
      <c r="AN167" s="81"/>
      <c r="AO167" s="88"/>
      <c r="AP167" s="89" t="str">
        <f aca="false">IF(AO167="","",ROUND(AO167/(1+Справочники!$B$13),2))</f>
        <v/>
      </c>
      <c r="AQ167" s="90" t="str">
        <f aca="false" t="array" ref="AQ167:AQ167">IF(AP167="","",AP167*INDEX(Справочники!$B$4:$B$7,MATCH("RUB",Справочники!$A$4:$A$7,0)))</f>
        <v/>
      </c>
      <c r="AR167" s="90" t="str">
        <f aca="false">IF(AQ167="","",ROUND(AQ167*(1+Справочники!$B$12),0))</f>
        <v/>
      </c>
      <c r="AS167" s="90" t="str">
        <f aca="false">IF(AR167="","",ROUND(AR167*(1-Справочники!$B$11),0))</f>
        <v/>
      </c>
      <c r="AT167" s="88"/>
      <c r="AU167" s="90" t="str">
        <f aca="false">IF(AT167="","",ROUND(AT167/(1+Справочники!$B$12),0))</f>
        <v/>
      </c>
      <c r="AV167" s="90" t="str">
        <f aca="false">IF(AT167="","",ROUND(AT167*(1-Справочники!$B$15),0))</f>
        <v/>
      </c>
      <c r="AW167" s="90" t="str">
        <f aca="false">IF(AT167="","",ROUND(AT167*(1-Справочники!$B$16),0))</f>
        <v/>
      </c>
      <c r="AX167" s="90" t="str">
        <f aca="false">IF(AT167="","",ROUND(AT167*(1-Справочники!$B$17),0))</f>
        <v/>
      </c>
      <c r="AY167" s="90" t="str">
        <f aca="false">IF(AT167="","",ROUND(AT167*(1-Справочники!$B$18),0))</f>
        <v/>
      </c>
      <c r="AZ167" s="90" t="str">
        <f aca="false">IF(AT167="","",ROUND(AT167*(1-Справочники!$B$19),0))</f>
        <v/>
      </c>
      <c r="BA167" s="81"/>
      <c r="BB167" s="81"/>
      <c r="BC167" s="81"/>
      <c r="BD167" s="81"/>
      <c r="BE167" s="91"/>
      <c r="BF167" s="81" t="s">
        <v>103</v>
      </c>
      <c r="BG167" s="89" t="n">
        <f aca="false" t="array" ref="BG167:BG167">IF(BF167="","",IFERROR(INDEX(Справочники!$B$4:$B$7,MATCH(BF167,Справочники!$A$4:$A$7,0)),""))</f>
        <v>68.5</v>
      </c>
      <c r="BH167" s="90" t="str">
        <f aca="false">IF(N(BN167)&gt;0,ROUND(SUMIF(ЗАКАЗЫ!$F$3:$F$500,$A167,ЗАКАЗЫ!$Y$3:$Y$500)/BN167,0),IF(OR(BE167="",BG167=""),"",ROUND(BE167*BG167*(1+Справочники!$B$10),0)))</f>
        <v/>
      </c>
      <c r="BI167" s="92" t="str">
        <f aca="false">IF(OR(AU167="",BH167="",AU167=0),"",(AU167-BH167)/AU167)</f>
        <v/>
      </c>
      <c r="BJ167" s="81"/>
      <c r="BK167" s="83"/>
      <c r="BL167" s="43" t="str">
        <f aca="false">IFERROR(INDEX(ЗАКАЗЫ!$N$3:$N$500,MATCH($A167,ЗАКАЗЫ!$F$3:$F$500,0)),"")</f>
        <v/>
      </c>
      <c r="BM167" s="8" t="str">
        <f aca="false">IF(BL167="","",IFERROR(VLOOKUP(BL167,'ТН ВЭД'!$A$4:$C$40,3,0),""))</f>
        <v/>
      </c>
      <c r="BN167" s="7" t="str">
        <f aca="false">IF(COUNTIF(ЗАКАЗЫ!$F$3:$F$500,$A167)=0,"",SUMIF(ЗАКАЗЫ!$F$3:$F$500,$A167,ЗАКАЗЫ!$J$3:$J$500))</f>
        <v/>
      </c>
      <c r="BO167" s="7" t="str">
        <f aca="false">IF(BN167="","",SUMIF(ЗАКАЗЫ!$F$3:$F$500,$A167,ЗАКАЗЫ!$AL$3:$AL$500))</f>
        <v/>
      </c>
      <c r="BP167" s="7" t="str">
        <f aca="false">IF(BN167="","",BN167-BO167)</f>
        <v/>
      </c>
      <c r="BQ167" s="55" t="str">
        <f aca="false">IF(BN167="","",IF(BO167&gt;=BN167,"На складе",IF(BO167&gt;0,"Частично","Ждём")))</f>
        <v/>
      </c>
      <c r="BR167" s="43"/>
      <c r="BS167" s="47" t="str">
        <f aca="false">IF(BN167="","",IF(_xlfn.MAXIFS(ЗАКАЗЫ!$AK$3:$AK$500,ЗАКАЗЫ!$F$3:$F$500,$A167)=0,"",_xlfn.MAXIFS(ЗАКАЗЫ!$AK$3:$AK$500,ЗАКАЗЫ!$F$3:$F$500,$A167)))</f>
        <v/>
      </c>
    </row>
    <row r="168" customFormat="false" ht="15.75" hidden="false" customHeight="true" outlineLevel="0" collapsed="false">
      <c r="A168" s="80" t="s">
        <v>2362</v>
      </c>
      <c r="B168" s="81"/>
      <c r="C168" s="81"/>
      <c r="D168" s="81"/>
      <c r="E168" s="83"/>
      <c r="F168" s="81"/>
      <c r="G168" s="83"/>
      <c r="H168" s="83"/>
      <c r="I168" s="84" t="str">
        <f aca="false">IF(E168="","",A168&amp;"_1.jpg")</f>
        <v/>
      </c>
      <c r="J168" s="84" t="str">
        <f aca="false">IF(E168="","",A168&amp;"_2.jpg; "&amp;A168&amp;"_3.jpg")</f>
        <v/>
      </c>
      <c r="K168" s="84" t="str">
        <f aca="false">IF(E168="","",A168&amp;"_schema.jpg")</f>
        <v/>
      </c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 t="s">
        <v>96</v>
      </c>
      <c r="W168" s="81"/>
      <c r="X168" s="81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6" t="str">
        <f aca="false">IF(SUM(Y168:AJ168)=0,"",SUM(Y168:AJ168))</f>
        <v/>
      </c>
      <c r="AL168" s="84" t="str">
        <f aca="false">MID(IF(N(Y168)&gt;0,", "&amp;Y$2,"")&amp;IF(N(Z168)&gt;0,", "&amp;Z$2,"")&amp;IF(N(AA168)&gt;0,", "&amp;AA$2,"")&amp;IF(N(AB168)&gt;0,", "&amp;AB$2,"")&amp;IF(N(AC168)&gt;0,", "&amp;AC$2,"")&amp;IF(N(AD168)&gt;0,", "&amp;AD$2,"")&amp;IF(N(AE168)&gt;0,", "&amp;AE$2,"")&amp;IF(N(AF168)&gt;0,", "&amp;AF$2,"")&amp;IF(N(AG168)&gt;0,", "&amp;AG$2,"")&amp;IF(N(AH168)&gt;0,", "&amp;AH$2,"")&amp;IF(N(AI168)&gt;0,", "&amp;AI$2,"")&amp;IF(N(AJ168)&gt;0,", "&amp;AJ$2,""),3,999)</f>
        <v/>
      </c>
      <c r="AM168" s="87" t="str">
        <f aca="false">IF(E168="","",MID(IF(N(Y168)&gt;0,", "&amp;A168&amp;"-"&amp;Y$2,"")&amp;IF(N(Z168)&gt;0,", "&amp;A168&amp;"-"&amp;Z$2,"")&amp;IF(N(AA168)&gt;0,", "&amp;A168&amp;"-"&amp;AA$2,"")&amp;IF(N(AB168)&gt;0,", "&amp;A168&amp;"-"&amp;AB$2,"")&amp;IF(N(AC168)&gt;0,", "&amp;A168&amp;"-"&amp;AC$2,"")&amp;IF(N(AD168)&gt;0,", "&amp;A168&amp;"-"&amp;AD$2,"")&amp;IF(N(AE168)&gt;0,", "&amp;A168&amp;"-"&amp;AE$2,"")&amp;IF(N(AF168)&gt;0,", "&amp;A168&amp;"-"&amp;AF$2,"")&amp;IF(N(AG168)&gt;0,", "&amp;A168&amp;"-"&amp;AG$2,"")&amp;IF(N(AH168)&gt;0,", "&amp;A168&amp;"-"&amp;AH$2,"")&amp;IF(N(AI168)&gt;0,", "&amp;A168&amp;"-"&amp;AI$2,"")&amp;IF(N(AJ168)&gt;0,", "&amp;A168&amp;"-"&amp;AJ$2,""),3,999))</f>
        <v/>
      </c>
      <c r="AN168" s="81"/>
      <c r="AO168" s="88"/>
      <c r="AP168" s="89" t="str">
        <f aca="false">IF(AO168="","",ROUND(AO168/(1+Справочники!$B$13),2))</f>
        <v/>
      </c>
      <c r="AQ168" s="90" t="str">
        <f aca="false" t="array" ref="AQ168:AQ168">IF(AP168="","",AP168*INDEX(Справочники!$B$4:$B$7,MATCH("RUB",Справочники!$A$4:$A$7,0)))</f>
        <v/>
      </c>
      <c r="AR168" s="90" t="str">
        <f aca="false">IF(AQ168="","",ROUND(AQ168*(1+Справочники!$B$12),0))</f>
        <v/>
      </c>
      <c r="AS168" s="90" t="str">
        <f aca="false">IF(AR168="","",ROUND(AR168*(1-Справочники!$B$11),0))</f>
        <v/>
      </c>
      <c r="AT168" s="88"/>
      <c r="AU168" s="90" t="str">
        <f aca="false">IF(AT168="","",ROUND(AT168/(1+Справочники!$B$12),0))</f>
        <v/>
      </c>
      <c r="AV168" s="90" t="str">
        <f aca="false">IF(AT168="","",ROUND(AT168*(1-Справочники!$B$15),0))</f>
        <v/>
      </c>
      <c r="AW168" s="90" t="str">
        <f aca="false">IF(AT168="","",ROUND(AT168*(1-Справочники!$B$16),0))</f>
        <v/>
      </c>
      <c r="AX168" s="90" t="str">
        <f aca="false">IF(AT168="","",ROUND(AT168*(1-Справочники!$B$17),0))</f>
        <v/>
      </c>
      <c r="AY168" s="90" t="str">
        <f aca="false">IF(AT168="","",ROUND(AT168*(1-Справочники!$B$18),0))</f>
        <v/>
      </c>
      <c r="AZ168" s="90" t="str">
        <f aca="false">IF(AT168="","",ROUND(AT168*(1-Справочники!$B$19),0))</f>
        <v/>
      </c>
      <c r="BA168" s="81"/>
      <c r="BB168" s="81"/>
      <c r="BC168" s="81"/>
      <c r="BD168" s="81"/>
      <c r="BE168" s="91"/>
      <c r="BF168" s="81" t="s">
        <v>103</v>
      </c>
      <c r="BG168" s="89" t="n">
        <f aca="false" t="array" ref="BG168:BG168">IF(BF168="","",IFERROR(INDEX(Справочники!$B$4:$B$7,MATCH(BF168,Справочники!$A$4:$A$7,0)),""))</f>
        <v>68.5</v>
      </c>
      <c r="BH168" s="90" t="str">
        <f aca="false">IF(N(BN168)&gt;0,ROUND(SUMIF(ЗАКАЗЫ!$F$3:$F$500,$A168,ЗАКАЗЫ!$Y$3:$Y$500)/BN168,0),IF(OR(BE168="",BG168=""),"",ROUND(BE168*BG168*(1+Справочники!$B$10),0)))</f>
        <v/>
      </c>
      <c r="BI168" s="92" t="str">
        <f aca="false">IF(OR(AU168="",BH168="",AU168=0),"",(AU168-BH168)/AU168)</f>
        <v/>
      </c>
      <c r="BJ168" s="81"/>
      <c r="BK168" s="83"/>
      <c r="BL168" s="43" t="str">
        <f aca="false">IFERROR(INDEX(ЗАКАЗЫ!$N$3:$N$500,MATCH($A168,ЗАКАЗЫ!$F$3:$F$500,0)),"")</f>
        <v/>
      </c>
      <c r="BM168" s="8" t="str">
        <f aca="false">IF(BL168="","",IFERROR(VLOOKUP(BL168,'ТН ВЭД'!$A$4:$C$40,3,0),""))</f>
        <v/>
      </c>
      <c r="BN168" s="7" t="str">
        <f aca="false">IF(COUNTIF(ЗАКАЗЫ!$F$3:$F$500,$A168)=0,"",SUMIF(ЗАКАЗЫ!$F$3:$F$500,$A168,ЗАКАЗЫ!$J$3:$J$500))</f>
        <v/>
      </c>
      <c r="BO168" s="7" t="str">
        <f aca="false">IF(BN168="","",SUMIF(ЗАКАЗЫ!$F$3:$F$500,$A168,ЗАКАЗЫ!$AL$3:$AL$500))</f>
        <v/>
      </c>
      <c r="BP168" s="7" t="str">
        <f aca="false">IF(BN168="","",BN168-BO168)</f>
        <v/>
      </c>
      <c r="BQ168" s="55" t="str">
        <f aca="false">IF(BN168="","",IF(BO168&gt;=BN168,"На складе",IF(BO168&gt;0,"Частично","Ждём")))</f>
        <v/>
      </c>
      <c r="BR168" s="43"/>
      <c r="BS168" s="47" t="str">
        <f aca="false">IF(BN168="","",IF(_xlfn.MAXIFS(ЗАКАЗЫ!$AK$3:$AK$500,ЗАКАЗЫ!$F$3:$F$500,$A168)=0,"",_xlfn.MAXIFS(ЗАКАЗЫ!$AK$3:$AK$500,ЗАКАЗЫ!$F$3:$F$500,$A168)))</f>
        <v/>
      </c>
    </row>
    <row r="169" customFormat="false" ht="15.75" hidden="false" customHeight="true" outlineLevel="0" collapsed="false">
      <c r="A169" s="80" t="s">
        <v>2363</v>
      </c>
      <c r="B169" s="81"/>
      <c r="C169" s="81"/>
      <c r="D169" s="81"/>
      <c r="E169" s="83"/>
      <c r="F169" s="81"/>
      <c r="G169" s="83"/>
      <c r="H169" s="83"/>
      <c r="I169" s="84" t="str">
        <f aca="false">IF(E169="","",A169&amp;"_1.jpg")</f>
        <v/>
      </c>
      <c r="J169" s="84" t="str">
        <f aca="false">IF(E169="","",A169&amp;"_2.jpg; "&amp;A169&amp;"_3.jpg")</f>
        <v/>
      </c>
      <c r="K169" s="84" t="str">
        <f aca="false">IF(E169="","",A169&amp;"_schema.jpg")</f>
        <v/>
      </c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 t="s">
        <v>96</v>
      </c>
      <c r="W169" s="81"/>
      <c r="X169" s="81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6" t="str">
        <f aca="false">IF(SUM(Y169:AJ169)=0,"",SUM(Y169:AJ169))</f>
        <v/>
      </c>
      <c r="AL169" s="84" t="str">
        <f aca="false">MID(IF(N(Y169)&gt;0,", "&amp;Y$2,"")&amp;IF(N(Z169)&gt;0,", "&amp;Z$2,"")&amp;IF(N(AA169)&gt;0,", "&amp;AA$2,"")&amp;IF(N(AB169)&gt;0,", "&amp;AB$2,"")&amp;IF(N(AC169)&gt;0,", "&amp;AC$2,"")&amp;IF(N(AD169)&gt;0,", "&amp;AD$2,"")&amp;IF(N(AE169)&gt;0,", "&amp;AE$2,"")&amp;IF(N(AF169)&gt;0,", "&amp;AF$2,"")&amp;IF(N(AG169)&gt;0,", "&amp;AG$2,"")&amp;IF(N(AH169)&gt;0,", "&amp;AH$2,"")&amp;IF(N(AI169)&gt;0,", "&amp;AI$2,"")&amp;IF(N(AJ169)&gt;0,", "&amp;AJ$2,""),3,999)</f>
        <v/>
      </c>
      <c r="AM169" s="87" t="str">
        <f aca="false">IF(E169="","",MID(IF(N(Y169)&gt;0,", "&amp;A169&amp;"-"&amp;Y$2,"")&amp;IF(N(Z169)&gt;0,", "&amp;A169&amp;"-"&amp;Z$2,"")&amp;IF(N(AA169)&gt;0,", "&amp;A169&amp;"-"&amp;AA$2,"")&amp;IF(N(AB169)&gt;0,", "&amp;A169&amp;"-"&amp;AB$2,"")&amp;IF(N(AC169)&gt;0,", "&amp;A169&amp;"-"&amp;AC$2,"")&amp;IF(N(AD169)&gt;0,", "&amp;A169&amp;"-"&amp;AD$2,"")&amp;IF(N(AE169)&gt;0,", "&amp;A169&amp;"-"&amp;AE$2,"")&amp;IF(N(AF169)&gt;0,", "&amp;A169&amp;"-"&amp;AF$2,"")&amp;IF(N(AG169)&gt;0,", "&amp;A169&amp;"-"&amp;AG$2,"")&amp;IF(N(AH169)&gt;0,", "&amp;A169&amp;"-"&amp;AH$2,"")&amp;IF(N(AI169)&gt;0,", "&amp;A169&amp;"-"&amp;AI$2,"")&amp;IF(N(AJ169)&gt;0,", "&amp;A169&amp;"-"&amp;AJ$2,""),3,999))</f>
        <v/>
      </c>
      <c r="AN169" s="81"/>
      <c r="AO169" s="88"/>
      <c r="AP169" s="89" t="str">
        <f aca="false">IF(AO169="","",ROUND(AO169/(1+Справочники!$B$13),2))</f>
        <v/>
      </c>
      <c r="AQ169" s="90" t="str">
        <f aca="false" t="array" ref="AQ169:AQ169">IF(AP169="","",AP169*INDEX(Справочники!$B$4:$B$7,MATCH("RUB",Справочники!$A$4:$A$7,0)))</f>
        <v/>
      </c>
      <c r="AR169" s="90" t="str">
        <f aca="false">IF(AQ169="","",ROUND(AQ169*(1+Справочники!$B$12),0))</f>
        <v/>
      </c>
      <c r="AS169" s="90" t="str">
        <f aca="false">IF(AR169="","",ROUND(AR169*(1-Справочники!$B$11),0))</f>
        <v/>
      </c>
      <c r="AT169" s="88"/>
      <c r="AU169" s="90" t="str">
        <f aca="false">IF(AT169="","",ROUND(AT169/(1+Справочники!$B$12),0))</f>
        <v/>
      </c>
      <c r="AV169" s="90" t="str">
        <f aca="false">IF(AT169="","",ROUND(AT169*(1-Справочники!$B$15),0))</f>
        <v/>
      </c>
      <c r="AW169" s="90" t="str">
        <f aca="false">IF(AT169="","",ROUND(AT169*(1-Справочники!$B$16),0))</f>
        <v/>
      </c>
      <c r="AX169" s="90" t="str">
        <f aca="false">IF(AT169="","",ROUND(AT169*(1-Справочники!$B$17),0))</f>
        <v/>
      </c>
      <c r="AY169" s="90" t="str">
        <f aca="false">IF(AT169="","",ROUND(AT169*(1-Справочники!$B$18),0))</f>
        <v/>
      </c>
      <c r="AZ169" s="90" t="str">
        <f aca="false">IF(AT169="","",ROUND(AT169*(1-Справочники!$B$19),0))</f>
        <v/>
      </c>
      <c r="BA169" s="81"/>
      <c r="BB169" s="81"/>
      <c r="BC169" s="81"/>
      <c r="BD169" s="81"/>
      <c r="BE169" s="91"/>
      <c r="BF169" s="81" t="s">
        <v>103</v>
      </c>
      <c r="BG169" s="89" t="n">
        <f aca="false" t="array" ref="BG169:BG169">IF(BF169="","",IFERROR(INDEX(Справочники!$B$4:$B$7,MATCH(BF169,Справочники!$A$4:$A$7,0)),""))</f>
        <v>68.5</v>
      </c>
      <c r="BH169" s="90" t="str">
        <f aca="false">IF(N(BN169)&gt;0,ROUND(SUMIF(ЗАКАЗЫ!$F$3:$F$500,$A169,ЗАКАЗЫ!$Y$3:$Y$500)/BN169,0),IF(OR(BE169="",BG169=""),"",ROUND(BE169*BG169*(1+Справочники!$B$10),0)))</f>
        <v/>
      </c>
      <c r="BI169" s="92" t="str">
        <f aca="false">IF(OR(AU169="",BH169="",AU169=0),"",(AU169-BH169)/AU169)</f>
        <v/>
      </c>
      <c r="BJ169" s="81"/>
      <c r="BK169" s="83"/>
      <c r="BL169" s="43" t="str">
        <f aca="false">IFERROR(INDEX(ЗАКАЗЫ!$N$3:$N$500,MATCH($A169,ЗАКАЗЫ!$F$3:$F$500,0)),"")</f>
        <v/>
      </c>
      <c r="BM169" s="8" t="str">
        <f aca="false">IF(BL169="","",IFERROR(VLOOKUP(BL169,'ТН ВЭД'!$A$4:$C$40,3,0),""))</f>
        <v/>
      </c>
      <c r="BN169" s="7" t="str">
        <f aca="false">IF(COUNTIF(ЗАКАЗЫ!$F$3:$F$500,$A169)=0,"",SUMIF(ЗАКАЗЫ!$F$3:$F$500,$A169,ЗАКАЗЫ!$J$3:$J$500))</f>
        <v/>
      </c>
      <c r="BO169" s="7" t="str">
        <f aca="false">IF(BN169="","",SUMIF(ЗАКАЗЫ!$F$3:$F$500,$A169,ЗАКАЗЫ!$AL$3:$AL$500))</f>
        <v/>
      </c>
      <c r="BP169" s="7" t="str">
        <f aca="false">IF(BN169="","",BN169-BO169)</f>
        <v/>
      </c>
      <c r="BQ169" s="55" t="str">
        <f aca="false">IF(BN169="","",IF(BO169&gt;=BN169,"На складе",IF(BO169&gt;0,"Частично","Ждём")))</f>
        <v/>
      </c>
      <c r="BR169" s="43"/>
      <c r="BS169" s="47" t="str">
        <f aca="false">IF(BN169="","",IF(_xlfn.MAXIFS(ЗАКАЗЫ!$AK$3:$AK$500,ЗАКАЗЫ!$F$3:$F$500,$A169)=0,"",_xlfn.MAXIFS(ЗАКАЗЫ!$AK$3:$AK$500,ЗАКАЗЫ!$F$3:$F$500,$A169)))</f>
        <v/>
      </c>
    </row>
    <row r="170" customFormat="false" ht="15.75" hidden="false" customHeight="true" outlineLevel="0" collapsed="false">
      <c r="A170" s="80" t="s">
        <v>2364</v>
      </c>
      <c r="B170" s="81"/>
      <c r="C170" s="81"/>
      <c r="D170" s="81"/>
      <c r="E170" s="83"/>
      <c r="F170" s="81"/>
      <c r="G170" s="83"/>
      <c r="H170" s="83"/>
      <c r="I170" s="84" t="str">
        <f aca="false">IF(E170="","",A170&amp;"_1.jpg")</f>
        <v/>
      </c>
      <c r="J170" s="84" t="str">
        <f aca="false">IF(E170="","",A170&amp;"_2.jpg; "&amp;A170&amp;"_3.jpg")</f>
        <v/>
      </c>
      <c r="K170" s="84" t="str">
        <f aca="false">IF(E170="","",A170&amp;"_schema.jpg")</f>
        <v/>
      </c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 t="s">
        <v>96</v>
      </c>
      <c r="W170" s="81"/>
      <c r="X170" s="81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6" t="str">
        <f aca="false">IF(SUM(Y170:AJ170)=0,"",SUM(Y170:AJ170))</f>
        <v/>
      </c>
      <c r="AL170" s="84" t="str">
        <f aca="false">MID(IF(N(Y170)&gt;0,", "&amp;Y$2,"")&amp;IF(N(Z170)&gt;0,", "&amp;Z$2,"")&amp;IF(N(AA170)&gt;0,", "&amp;AA$2,"")&amp;IF(N(AB170)&gt;0,", "&amp;AB$2,"")&amp;IF(N(AC170)&gt;0,", "&amp;AC$2,"")&amp;IF(N(AD170)&gt;0,", "&amp;AD$2,"")&amp;IF(N(AE170)&gt;0,", "&amp;AE$2,"")&amp;IF(N(AF170)&gt;0,", "&amp;AF$2,"")&amp;IF(N(AG170)&gt;0,", "&amp;AG$2,"")&amp;IF(N(AH170)&gt;0,", "&amp;AH$2,"")&amp;IF(N(AI170)&gt;0,", "&amp;AI$2,"")&amp;IF(N(AJ170)&gt;0,", "&amp;AJ$2,""),3,999)</f>
        <v/>
      </c>
      <c r="AM170" s="87" t="str">
        <f aca="false">IF(E170="","",MID(IF(N(Y170)&gt;0,", "&amp;A170&amp;"-"&amp;Y$2,"")&amp;IF(N(Z170)&gt;0,", "&amp;A170&amp;"-"&amp;Z$2,"")&amp;IF(N(AA170)&gt;0,", "&amp;A170&amp;"-"&amp;AA$2,"")&amp;IF(N(AB170)&gt;0,", "&amp;A170&amp;"-"&amp;AB$2,"")&amp;IF(N(AC170)&gt;0,", "&amp;A170&amp;"-"&amp;AC$2,"")&amp;IF(N(AD170)&gt;0,", "&amp;A170&amp;"-"&amp;AD$2,"")&amp;IF(N(AE170)&gt;0,", "&amp;A170&amp;"-"&amp;AE$2,"")&amp;IF(N(AF170)&gt;0,", "&amp;A170&amp;"-"&amp;AF$2,"")&amp;IF(N(AG170)&gt;0,", "&amp;A170&amp;"-"&amp;AG$2,"")&amp;IF(N(AH170)&gt;0,", "&amp;A170&amp;"-"&amp;AH$2,"")&amp;IF(N(AI170)&gt;0,", "&amp;A170&amp;"-"&amp;AI$2,"")&amp;IF(N(AJ170)&gt;0,", "&amp;A170&amp;"-"&amp;AJ$2,""),3,999))</f>
        <v/>
      </c>
      <c r="AN170" s="81"/>
      <c r="AO170" s="88"/>
      <c r="AP170" s="89" t="str">
        <f aca="false">IF(AO170="","",ROUND(AO170/(1+Справочники!$B$13),2))</f>
        <v/>
      </c>
      <c r="AQ170" s="90" t="str">
        <f aca="false" t="array" ref="AQ170:AQ170">IF(AP170="","",AP170*INDEX(Справочники!$B$4:$B$7,MATCH("RUB",Справочники!$A$4:$A$7,0)))</f>
        <v/>
      </c>
      <c r="AR170" s="90" t="str">
        <f aca="false">IF(AQ170="","",ROUND(AQ170*(1+Справочники!$B$12),0))</f>
        <v/>
      </c>
      <c r="AS170" s="90" t="str">
        <f aca="false">IF(AR170="","",ROUND(AR170*(1-Справочники!$B$11),0))</f>
        <v/>
      </c>
      <c r="AT170" s="88"/>
      <c r="AU170" s="90" t="str">
        <f aca="false">IF(AT170="","",ROUND(AT170/(1+Справочники!$B$12),0))</f>
        <v/>
      </c>
      <c r="AV170" s="90" t="str">
        <f aca="false">IF(AT170="","",ROUND(AT170*(1-Справочники!$B$15),0))</f>
        <v/>
      </c>
      <c r="AW170" s="90" t="str">
        <f aca="false">IF(AT170="","",ROUND(AT170*(1-Справочники!$B$16),0))</f>
        <v/>
      </c>
      <c r="AX170" s="90" t="str">
        <f aca="false">IF(AT170="","",ROUND(AT170*(1-Справочники!$B$17),0))</f>
        <v/>
      </c>
      <c r="AY170" s="90" t="str">
        <f aca="false">IF(AT170="","",ROUND(AT170*(1-Справочники!$B$18),0))</f>
        <v/>
      </c>
      <c r="AZ170" s="90" t="str">
        <f aca="false">IF(AT170="","",ROUND(AT170*(1-Справочники!$B$19),0))</f>
        <v/>
      </c>
      <c r="BA170" s="81"/>
      <c r="BB170" s="81"/>
      <c r="BC170" s="81"/>
      <c r="BD170" s="81"/>
      <c r="BE170" s="91"/>
      <c r="BF170" s="81" t="s">
        <v>103</v>
      </c>
      <c r="BG170" s="89" t="n">
        <f aca="false" t="array" ref="BG170:BG170">IF(BF170="","",IFERROR(INDEX(Справочники!$B$4:$B$7,MATCH(BF170,Справочники!$A$4:$A$7,0)),""))</f>
        <v>68.5</v>
      </c>
      <c r="BH170" s="90" t="str">
        <f aca="false">IF(N(BN170)&gt;0,ROUND(SUMIF(ЗАКАЗЫ!$F$3:$F$500,$A170,ЗАКАЗЫ!$Y$3:$Y$500)/BN170,0),IF(OR(BE170="",BG170=""),"",ROUND(BE170*BG170*(1+Справочники!$B$10),0)))</f>
        <v/>
      </c>
      <c r="BI170" s="92" t="str">
        <f aca="false">IF(OR(AU170="",BH170="",AU170=0),"",(AU170-BH170)/AU170)</f>
        <v/>
      </c>
      <c r="BJ170" s="81"/>
      <c r="BK170" s="83"/>
      <c r="BL170" s="43" t="str">
        <f aca="false">IFERROR(INDEX(ЗАКАЗЫ!$N$3:$N$500,MATCH($A170,ЗАКАЗЫ!$F$3:$F$500,0)),"")</f>
        <v/>
      </c>
      <c r="BM170" s="8" t="str">
        <f aca="false">IF(BL170="","",IFERROR(VLOOKUP(BL170,'ТН ВЭД'!$A$4:$C$40,3,0),""))</f>
        <v/>
      </c>
      <c r="BN170" s="7" t="str">
        <f aca="false">IF(COUNTIF(ЗАКАЗЫ!$F$3:$F$500,$A170)=0,"",SUMIF(ЗАКАЗЫ!$F$3:$F$500,$A170,ЗАКАЗЫ!$J$3:$J$500))</f>
        <v/>
      </c>
      <c r="BO170" s="7" t="str">
        <f aca="false">IF(BN170="","",SUMIF(ЗАКАЗЫ!$F$3:$F$500,$A170,ЗАКАЗЫ!$AL$3:$AL$500))</f>
        <v/>
      </c>
      <c r="BP170" s="7" t="str">
        <f aca="false">IF(BN170="","",BN170-BO170)</f>
        <v/>
      </c>
      <c r="BQ170" s="55" t="str">
        <f aca="false">IF(BN170="","",IF(BO170&gt;=BN170,"На складе",IF(BO170&gt;0,"Частично","Ждём")))</f>
        <v/>
      </c>
      <c r="BR170" s="43"/>
      <c r="BS170" s="47" t="str">
        <f aca="false">IF(BN170="","",IF(_xlfn.MAXIFS(ЗАКАЗЫ!$AK$3:$AK$500,ЗАКАЗЫ!$F$3:$F$500,$A170)=0,"",_xlfn.MAXIFS(ЗАКАЗЫ!$AK$3:$AK$500,ЗАКАЗЫ!$F$3:$F$500,$A170)))</f>
        <v/>
      </c>
    </row>
    <row r="171" customFormat="false" ht="15.75" hidden="false" customHeight="true" outlineLevel="0" collapsed="false">
      <c r="A171" s="80" t="s">
        <v>2365</v>
      </c>
      <c r="B171" s="81"/>
      <c r="C171" s="81"/>
      <c r="D171" s="81"/>
      <c r="E171" s="83"/>
      <c r="F171" s="81"/>
      <c r="G171" s="83"/>
      <c r="H171" s="83"/>
      <c r="I171" s="84" t="str">
        <f aca="false">IF(E171="","",A171&amp;"_1.jpg")</f>
        <v/>
      </c>
      <c r="J171" s="84" t="str">
        <f aca="false">IF(E171="","",A171&amp;"_2.jpg; "&amp;A171&amp;"_3.jpg")</f>
        <v/>
      </c>
      <c r="K171" s="84" t="str">
        <f aca="false">IF(E171="","",A171&amp;"_schema.jpg")</f>
        <v/>
      </c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 t="s">
        <v>96</v>
      </c>
      <c r="W171" s="81"/>
      <c r="X171" s="81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6" t="str">
        <f aca="false">IF(SUM(Y171:AJ171)=0,"",SUM(Y171:AJ171))</f>
        <v/>
      </c>
      <c r="AL171" s="84" t="str">
        <f aca="false">MID(IF(N(Y171)&gt;0,", "&amp;Y$2,"")&amp;IF(N(Z171)&gt;0,", "&amp;Z$2,"")&amp;IF(N(AA171)&gt;0,", "&amp;AA$2,"")&amp;IF(N(AB171)&gt;0,", "&amp;AB$2,"")&amp;IF(N(AC171)&gt;0,", "&amp;AC$2,"")&amp;IF(N(AD171)&gt;0,", "&amp;AD$2,"")&amp;IF(N(AE171)&gt;0,", "&amp;AE$2,"")&amp;IF(N(AF171)&gt;0,", "&amp;AF$2,"")&amp;IF(N(AG171)&gt;0,", "&amp;AG$2,"")&amp;IF(N(AH171)&gt;0,", "&amp;AH$2,"")&amp;IF(N(AI171)&gt;0,", "&amp;AI$2,"")&amp;IF(N(AJ171)&gt;0,", "&amp;AJ$2,""),3,999)</f>
        <v/>
      </c>
      <c r="AM171" s="87" t="str">
        <f aca="false">IF(E171="","",MID(IF(N(Y171)&gt;0,", "&amp;A171&amp;"-"&amp;Y$2,"")&amp;IF(N(Z171)&gt;0,", "&amp;A171&amp;"-"&amp;Z$2,"")&amp;IF(N(AA171)&gt;0,", "&amp;A171&amp;"-"&amp;AA$2,"")&amp;IF(N(AB171)&gt;0,", "&amp;A171&amp;"-"&amp;AB$2,"")&amp;IF(N(AC171)&gt;0,", "&amp;A171&amp;"-"&amp;AC$2,"")&amp;IF(N(AD171)&gt;0,", "&amp;A171&amp;"-"&amp;AD$2,"")&amp;IF(N(AE171)&gt;0,", "&amp;A171&amp;"-"&amp;AE$2,"")&amp;IF(N(AF171)&gt;0,", "&amp;A171&amp;"-"&amp;AF$2,"")&amp;IF(N(AG171)&gt;0,", "&amp;A171&amp;"-"&amp;AG$2,"")&amp;IF(N(AH171)&gt;0,", "&amp;A171&amp;"-"&amp;AH$2,"")&amp;IF(N(AI171)&gt;0,", "&amp;A171&amp;"-"&amp;AI$2,"")&amp;IF(N(AJ171)&gt;0,", "&amp;A171&amp;"-"&amp;AJ$2,""),3,999))</f>
        <v/>
      </c>
      <c r="AN171" s="81"/>
      <c r="AO171" s="88"/>
      <c r="AP171" s="89" t="str">
        <f aca="false">IF(AO171="","",ROUND(AO171/(1+Справочники!$B$13),2))</f>
        <v/>
      </c>
      <c r="AQ171" s="90" t="str">
        <f aca="false" t="array" ref="AQ171:AQ171">IF(AP171="","",AP171*INDEX(Справочники!$B$4:$B$7,MATCH("RUB",Справочники!$A$4:$A$7,0)))</f>
        <v/>
      </c>
      <c r="AR171" s="90" t="str">
        <f aca="false">IF(AQ171="","",ROUND(AQ171*(1+Справочники!$B$12),0))</f>
        <v/>
      </c>
      <c r="AS171" s="90" t="str">
        <f aca="false">IF(AR171="","",ROUND(AR171*(1-Справочники!$B$11),0))</f>
        <v/>
      </c>
      <c r="AT171" s="88"/>
      <c r="AU171" s="90" t="str">
        <f aca="false">IF(AT171="","",ROUND(AT171/(1+Справочники!$B$12),0))</f>
        <v/>
      </c>
      <c r="AV171" s="90" t="str">
        <f aca="false">IF(AT171="","",ROUND(AT171*(1-Справочники!$B$15),0))</f>
        <v/>
      </c>
      <c r="AW171" s="90" t="str">
        <f aca="false">IF(AT171="","",ROUND(AT171*(1-Справочники!$B$16),0))</f>
        <v/>
      </c>
      <c r="AX171" s="90" t="str">
        <f aca="false">IF(AT171="","",ROUND(AT171*(1-Справочники!$B$17),0))</f>
        <v/>
      </c>
      <c r="AY171" s="90" t="str">
        <f aca="false">IF(AT171="","",ROUND(AT171*(1-Справочники!$B$18),0))</f>
        <v/>
      </c>
      <c r="AZ171" s="90" t="str">
        <f aca="false">IF(AT171="","",ROUND(AT171*(1-Справочники!$B$19),0))</f>
        <v/>
      </c>
      <c r="BA171" s="81"/>
      <c r="BB171" s="81"/>
      <c r="BC171" s="81"/>
      <c r="BD171" s="81"/>
      <c r="BE171" s="91"/>
      <c r="BF171" s="81" t="s">
        <v>103</v>
      </c>
      <c r="BG171" s="89" t="n">
        <f aca="false" t="array" ref="BG171:BG171">IF(BF171="","",IFERROR(INDEX(Справочники!$B$4:$B$7,MATCH(BF171,Справочники!$A$4:$A$7,0)),""))</f>
        <v>68.5</v>
      </c>
      <c r="BH171" s="90" t="str">
        <f aca="false">IF(N(BN171)&gt;0,ROUND(SUMIF(ЗАКАЗЫ!$F$3:$F$500,$A171,ЗАКАЗЫ!$Y$3:$Y$500)/BN171,0),IF(OR(BE171="",BG171=""),"",ROUND(BE171*BG171*(1+Справочники!$B$10),0)))</f>
        <v/>
      </c>
      <c r="BI171" s="92" t="str">
        <f aca="false">IF(OR(AU171="",BH171="",AU171=0),"",(AU171-BH171)/AU171)</f>
        <v/>
      </c>
      <c r="BJ171" s="81"/>
      <c r="BK171" s="83"/>
      <c r="BL171" s="43" t="str">
        <f aca="false">IFERROR(INDEX(ЗАКАЗЫ!$N$3:$N$500,MATCH($A171,ЗАКАЗЫ!$F$3:$F$500,0)),"")</f>
        <v/>
      </c>
      <c r="BM171" s="8" t="str">
        <f aca="false">IF(BL171="","",IFERROR(VLOOKUP(BL171,'ТН ВЭД'!$A$4:$C$40,3,0),""))</f>
        <v/>
      </c>
      <c r="BN171" s="7" t="str">
        <f aca="false">IF(COUNTIF(ЗАКАЗЫ!$F$3:$F$500,$A171)=0,"",SUMIF(ЗАКАЗЫ!$F$3:$F$500,$A171,ЗАКАЗЫ!$J$3:$J$500))</f>
        <v/>
      </c>
      <c r="BO171" s="7" t="str">
        <f aca="false">IF(BN171="","",SUMIF(ЗАКАЗЫ!$F$3:$F$500,$A171,ЗАКАЗЫ!$AL$3:$AL$500))</f>
        <v/>
      </c>
      <c r="BP171" s="7" t="str">
        <f aca="false">IF(BN171="","",BN171-BO171)</f>
        <v/>
      </c>
      <c r="BQ171" s="55" t="str">
        <f aca="false">IF(BN171="","",IF(BO171&gt;=BN171,"На складе",IF(BO171&gt;0,"Частично","Ждём")))</f>
        <v/>
      </c>
      <c r="BR171" s="43"/>
      <c r="BS171" s="47" t="str">
        <f aca="false">IF(BN171="","",IF(_xlfn.MAXIFS(ЗАКАЗЫ!$AK$3:$AK$500,ЗАКАЗЫ!$F$3:$F$500,$A171)=0,"",_xlfn.MAXIFS(ЗАКАЗЫ!$AK$3:$AK$500,ЗАКАЗЫ!$F$3:$F$500,$A171)))</f>
        <v/>
      </c>
    </row>
    <row r="172" customFormat="false" ht="15.75" hidden="false" customHeight="true" outlineLevel="0" collapsed="false">
      <c r="A172" s="80" t="s">
        <v>2366</v>
      </c>
      <c r="B172" s="81"/>
      <c r="C172" s="81"/>
      <c r="D172" s="81"/>
      <c r="E172" s="83"/>
      <c r="F172" s="81"/>
      <c r="G172" s="83"/>
      <c r="H172" s="83"/>
      <c r="I172" s="84" t="str">
        <f aca="false">IF(E172="","",A172&amp;"_1.jpg")</f>
        <v/>
      </c>
      <c r="J172" s="84" t="str">
        <f aca="false">IF(E172="","",A172&amp;"_2.jpg; "&amp;A172&amp;"_3.jpg")</f>
        <v/>
      </c>
      <c r="K172" s="84" t="str">
        <f aca="false">IF(E172="","",A172&amp;"_schema.jpg")</f>
        <v/>
      </c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 t="s">
        <v>96</v>
      </c>
      <c r="W172" s="81"/>
      <c r="X172" s="81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6" t="str">
        <f aca="false">IF(SUM(Y172:AJ172)=0,"",SUM(Y172:AJ172))</f>
        <v/>
      </c>
      <c r="AL172" s="84" t="str">
        <f aca="false">MID(IF(N(Y172)&gt;0,", "&amp;Y$2,"")&amp;IF(N(Z172)&gt;0,", "&amp;Z$2,"")&amp;IF(N(AA172)&gt;0,", "&amp;AA$2,"")&amp;IF(N(AB172)&gt;0,", "&amp;AB$2,"")&amp;IF(N(AC172)&gt;0,", "&amp;AC$2,"")&amp;IF(N(AD172)&gt;0,", "&amp;AD$2,"")&amp;IF(N(AE172)&gt;0,", "&amp;AE$2,"")&amp;IF(N(AF172)&gt;0,", "&amp;AF$2,"")&amp;IF(N(AG172)&gt;0,", "&amp;AG$2,"")&amp;IF(N(AH172)&gt;0,", "&amp;AH$2,"")&amp;IF(N(AI172)&gt;0,", "&amp;AI$2,"")&amp;IF(N(AJ172)&gt;0,", "&amp;AJ$2,""),3,999)</f>
        <v/>
      </c>
      <c r="AM172" s="87" t="str">
        <f aca="false">IF(E172="","",MID(IF(N(Y172)&gt;0,", "&amp;A172&amp;"-"&amp;Y$2,"")&amp;IF(N(Z172)&gt;0,", "&amp;A172&amp;"-"&amp;Z$2,"")&amp;IF(N(AA172)&gt;0,", "&amp;A172&amp;"-"&amp;AA$2,"")&amp;IF(N(AB172)&gt;0,", "&amp;A172&amp;"-"&amp;AB$2,"")&amp;IF(N(AC172)&gt;0,", "&amp;A172&amp;"-"&amp;AC$2,"")&amp;IF(N(AD172)&gt;0,", "&amp;A172&amp;"-"&amp;AD$2,"")&amp;IF(N(AE172)&gt;0,", "&amp;A172&amp;"-"&amp;AE$2,"")&amp;IF(N(AF172)&gt;0,", "&amp;A172&amp;"-"&amp;AF$2,"")&amp;IF(N(AG172)&gt;0,", "&amp;A172&amp;"-"&amp;AG$2,"")&amp;IF(N(AH172)&gt;0,", "&amp;A172&amp;"-"&amp;AH$2,"")&amp;IF(N(AI172)&gt;0,", "&amp;A172&amp;"-"&amp;AI$2,"")&amp;IF(N(AJ172)&gt;0,", "&amp;A172&amp;"-"&amp;AJ$2,""),3,999))</f>
        <v/>
      </c>
      <c r="AN172" s="81"/>
      <c r="AO172" s="88"/>
      <c r="AP172" s="89" t="str">
        <f aca="false">IF(AO172="","",ROUND(AO172/(1+Справочники!$B$13),2))</f>
        <v/>
      </c>
      <c r="AQ172" s="90" t="str">
        <f aca="false" t="array" ref="AQ172:AQ172">IF(AP172="","",AP172*INDEX(Справочники!$B$4:$B$7,MATCH("RUB",Справочники!$A$4:$A$7,0)))</f>
        <v/>
      </c>
      <c r="AR172" s="90" t="str">
        <f aca="false">IF(AQ172="","",ROUND(AQ172*(1+Справочники!$B$12),0))</f>
        <v/>
      </c>
      <c r="AS172" s="90" t="str">
        <f aca="false">IF(AR172="","",ROUND(AR172*(1-Справочники!$B$11),0))</f>
        <v/>
      </c>
      <c r="AT172" s="88"/>
      <c r="AU172" s="90" t="str">
        <f aca="false">IF(AT172="","",ROUND(AT172/(1+Справочники!$B$12),0))</f>
        <v/>
      </c>
      <c r="AV172" s="90" t="str">
        <f aca="false">IF(AT172="","",ROUND(AT172*(1-Справочники!$B$15),0))</f>
        <v/>
      </c>
      <c r="AW172" s="90" t="str">
        <f aca="false">IF(AT172="","",ROUND(AT172*(1-Справочники!$B$16),0))</f>
        <v/>
      </c>
      <c r="AX172" s="90" t="str">
        <f aca="false">IF(AT172="","",ROUND(AT172*(1-Справочники!$B$17),0))</f>
        <v/>
      </c>
      <c r="AY172" s="90" t="str">
        <f aca="false">IF(AT172="","",ROUND(AT172*(1-Справочники!$B$18),0))</f>
        <v/>
      </c>
      <c r="AZ172" s="90" t="str">
        <f aca="false">IF(AT172="","",ROUND(AT172*(1-Справочники!$B$19),0))</f>
        <v/>
      </c>
      <c r="BA172" s="81"/>
      <c r="BB172" s="81"/>
      <c r="BC172" s="81"/>
      <c r="BD172" s="81"/>
      <c r="BE172" s="91"/>
      <c r="BF172" s="81" t="s">
        <v>103</v>
      </c>
      <c r="BG172" s="89" t="n">
        <f aca="false" t="array" ref="BG172:BG172">IF(BF172="","",IFERROR(INDEX(Справочники!$B$4:$B$7,MATCH(BF172,Справочники!$A$4:$A$7,0)),""))</f>
        <v>68.5</v>
      </c>
      <c r="BH172" s="90" t="str">
        <f aca="false">IF(N(BN172)&gt;0,ROUND(SUMIF(ЗАКАЗЫ!$F$3:$F$500,$A172,ЗАКАЗЫ!$Y$3:$Y$500)/BN172,0),IF(OR(BE172="",BG172=""),"",ROUND(BE172*BG172*(1+Справочники!$B$10),0)))</f>
        <v/>
      </c>
      <c r="BI172" s="92" t="str">
        <f aca="false">IF(OR(AU172="",BH172="",AU172=0),"",(AU172-BH172)/AU172)</f>
        <v/>
      </c>
      <c r="BJ172" s="81"/>
      <c r="BK172" s="83"/>
      <c r="BL172" s="43" t="str">
        <f aca="false">IFERROR(INDEX(ЗАКАЗЫ!$N$3:$N$500,MATCH($A172,ЗАКАЗЫ!$F$3:$F$500,0)),"")</f>
        <v/>
      </c>
      <c r="BM172" s="8" t="str">
        <f aca="false">IF(BL172="","",IFERROR(VLOOKUP(BL172,'ТН ВЭД'!$A$4:$C$40,3,0),""))</f>
        <v/>
      </c>
      <c r="BN172" s="7" t="str">
        <f aca="false">IF(COUNTIF(ЗАКАЗЫ!$F$3:$F$500,$A172)=0,"",SUMIF(ЗАКАЗЫ!$F$3:$F$500,$A172,ЗАКАЗЫ!$J$3:$J$500))</f>
        <v/>
      </c>
      <c r="BO172" s="7" t="str">
        <f aca="false">IF(BN172="","",SUMIF(ЗАКАЗЫ!$F$3:$F$500,$A172,ЗАКАЗЫ!$AL$3:$AL$500))</f>
        <v/>
      </c>
      <c r="BP172" s="7" t="str">
        <f aca="false">IF(BN172="","",BN172-BO172)</f>
        <v/>
      </c>
      <c r="BQ172" s="55" t="str">
        <f aca="false">IF(BN172="","",IF(BO172&gt;=BN172,"На складе",IF(BO172&gt;0,"Частично","Ждём")))</f>
        <v/>
      </c>
      <c r="BR172" s="43"/>
      <c r="BS172" s="47" t="str">
        <f aca="false">IF(BN172="","",IF(_xlfn.MAXIFS(ЗАКАЗЫ!$AK$3:$AK$500,ЗАКАЗЫ!$F$3:$F$500,$A172)=0,"",_xlfn.MAXIFS(ЗАКАЗЫ!$AK$3:$AK$500,ЗАКАЗЫ!$F$3:$F$500,$A172)))</f>
        <v/>
      </c>
    </row>
    <row r="173" customFormat="false" ht="15.75" hidden="false" customHeight="true" outlineLevel="0" collapsed="false">
      <c r="A173" s="80" t="s">
        <v>2367</v>
      </c>
      <c r="B173" s="81"/>
      <c r="C173" s="81"/>
      <c r="D173" s="81"/>
      <c r="E173" s="83"/>
      <c r="F173" s="81"/>
      <c r="G173" s="83"/>
      <c r="H173" s="83"/>
      <c r="I173" s="84" t="str">
        <f aca="false">IF(E173="","",A173&amp;"_1.jpg")</f>
        <v/>
      </c>
      <c r="J173" s="84" t="str">
        <f aca="false">IF(E173="","",A173&amp;"_2.jpg; "&amp;A173&amp;"_3.jpg")</f>
        <v/>
      </c>
      <c r="K173" s="84" t="str">
        <f aca="false">IF(E173="","",A173&amp;"_schema.jpg")</f>
        <v/>
      </c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 t="s">
        <v>96</v>
      </c>
      <c r="W173" s="81"/>
      <c r="X173" s="81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6" t="str">
        <f aca="false">IF(SUM(Y173:AJ173)=0,"",SUM(Y173:AJ173))</f>
        <v/>
      </c>
      <c r="AL173" s="84" t="str">
        <f aca="false">MID(IF(N(Y173)&gt;0,", "&amp;Y$2,"")&amp;IF(N(Z173)&gt;0,", "&amp;Z$2,"")&amp;IF(N(AA173)&gt;0,", "&amp;AA$2,"")&amp;IF(N(AB173)&gt;0,", "&amp;AB$2,"")&amp;IF(N(AC173)&gt;0,", "&amp;AC$2,"")&amp;IF(N(AD173)&gt;0,", "&amp;AD$2,"")&amp;IF(N(AE173)&gt;0,", "&amp;AE$2,"")&amp;IF(N(AF173)&gt;0,", "&amp;AF$2,"")&amp;IF(N(AG173)&gt;0,", "&amp;AG$2,"")&amp;IF(N(AH173)&gt;0,", "&amp;AH$2,"")&amp;IF(N(AI173)&gt;0,", "&amp;AI$2,"")&amp;IF(N(AJ173)&gt;0,", "&amp;AJ$2,""),3,999)</f>
        <v/>
      </c>
      <c r="AM173" s="87" t="str">
        <f aca="false">IF(E173="","",MID(IF(N(Y173)&gt;0,", "&amp;A173&amp;"-"&amp;Y$2,"")&amp;IF(N(Z173)&gt;0,", "&amp;A173&amp;"-"&amp;Z$2,"")&amp;IF(N(AA173)&gt;0,", "&amp;A173&amp;"-"&amp;AA$2,"")&amp;IF(N(AB173)&gt;0,", "&amp;A173&amp;"-"&amp;AB$2,"")&amp;IF(N(AC173)&gt;0,", "&amp;A173&amp;"-"&amp;AC$2,"")&amp;IF(N(AD173)&gt;0,", "&amp;A173&amp;"-"&amp;AD$2,"")&amp;IF(N(AE173)&gt;0,", "&amp;A173&amp;"-"&amp;AE$2,"")&amp;IF(N(AF173)&gt;0,", "&amp;A173&amp;"-"&amp;AF$2,"")&amp;IF(N(AG173)&gt;0,", "&amp;A173&amp;"-"&amp;AG$2,"")&amp;IF(N(AH173)&gt;0,", "&amp;A173&amp;"-"&amp;AH$2,"")&amp;IF(N(AI173)&gt;0,", "&amp;A173&amp;"-"&amp;AI$2,"")&amp;IF(N(AJ173)&gt;0,", "&amp;A173&amp;"-"&amp;AJ$2,""),3,999))</f>
        <v/>
      </c>
      <c r="AN173" s="81"/>
      <c r="AO173" s="88"/>
      <c r="AP173" s="89" t="str">
        <f aca="false">IF(AO173="","",ROUND(AO173/(1+Справочники!$B$13),2))</f>
        <v/>
      </c>
      <c r="AQ173" s="90" t="str">
        <f aca="false" t="array" ref="AQ173:AQ173">IF(AP173="","",AP173*INDEX(Справочники!$B$4:$B$7,MATCH("RUB",Справочники!$A$4:$A$7,0)))</f>
        <v/>
      </c>
      <c r="AR173" s="90" t="str">
        <f aca="false">IF(AQ173="","",ROUND(AQ173*(1+Справочники!$B$12),0))</f>
        <v/>
      </c>
      <c r="AS173" s="90" t="str">
        <f aca="false">IF(AR173="","",ROUND(AR173*(1-Справочники!$B$11),0))</f>
        <v/>
      </c>
      <c r="AT173" s="88"/>
      <c r="AU173" s="90" t="str">
        <f aca="false">IF(AT173="","",ROUND(AT173/(1+Справочники!$B$12),0))</f>
        <v/>
      </c>
      <c r="AV173" s="90" t="str">
        <f aca="false">IF(AT173="","",ROUND(AT173*(1-Справочники!$B$15),0))</f>
        <v/>
      </c>
      <c r="AW173" s="90" t="str">
        <f aca="false">IF(AT173="","",ROUND(AT173*(1-Справочники!$B$16),0))</f>
        <v/>
      </c>
      <c r="AX173" s="90" t="str">
        <f aca="false">IF(AT173="","",ROUND(AT173*(1-Справочники!$B$17),0))</f>
        <v/>
      </c>
      <c r="AY173" s="90" t="str">
        <f aca="false">IF(AT173="","",ROUND(AT173*(1-Справочники!$B$18),0))</f>
        <v/>
      </c>
      <c r="AZ173" s="90" t="str">
        <f aca="false">IF(AT173="","",ROUND(AT173*(1-Справочники!$B$19),0))</f>
        <v/>
      </c>
      <c r="BA173" s="81"/>
      <c r="BB173" s="81"/>
      <c r="BC173" s="81"/>
      <c r="BD173" s="81"/>
      <c r="BE173" s="91"/>
      <c r="BF173" s="81" t="s">
        <v>103</v>
      </c>
      <c r="BG173" s="89" t="n">
        <f aca="false" t="array" ref="BG173:BG173">IF(BF173="","",IFERROR(INDEX(Справочники!$B$4:$B$7,MATCH(BF173,Справочники!$A$4:$A$7,0)),""))</f>
        <v>68.5</v>
      </c>
      <c r="BH173" s="90" t="str">
        <f aca="false">IF(N(BN173)&gt;0,ROUND(SUMIF(ЗАКАЗЫ!$F$3:$F$500,$A173,ЗАКАЗЫ!$Y$3:$Y$500)/BN173,0),IF(OR(BE173="",BG173=""),"",ROUND(BE173*BG173*(1+Справочники!$B$10),0)))</f>
        <v/>
      </c>
      <c r="BI173" s="92" t="str">
        <f aca="false">IF(OR(AU173="",BH173="",AU173=0),"",(AU173-BH173)/AU173)</f>
        <v/>
      </c>
      <c r="BJ173" s="81"/>
      <c r="BK173" s="83"/>
      <c r="BL173" s="43" t="str">
        <f aca="false">IFERROR(INDEX(ЗАКАЗЫ!$N$3:$N$500,MATCH($A173,ЗАКАЗЫ!$F$3:$F$500,0)),"")</f>
        <v/>
      </c>
      <c r="BM173" s="8" t="str">
        <f aca="false">IF(BL173="","",IFERROR(VLOOKUP(BL173,'ТН ВЭД'!$A$4:$C$40,3,0),""))</f>
        <v/>
      </c>
      <c r="BN173" s="7" t="str">
        <f aca="false">IF(COUNTIF(ЗАКАЗЫ!$F$3:$F$500,$A173)=0,"",SUMIF(ЗАКАЗЫ!$F$3:$F$500,$A173,ЗАКАЗЫ!$J$3:$J$500))</f>
        <v/>
      </c>
      <c r="BO173" s="7" t="str">
        <f aca="false">IF(BN173="","",SUMIF(ЗАКАЗЫ!$F$3:$F$500,$A173,ЗАКАЗЫ!$AL$3:$AL$500))</f>
        <v/>
      </c>
      <c r="BP173" s="7" t="str">
        <f aca="false">IF(BN173="","",BN173-BO173)</f>
        <v/>
      </c>
      <c r="BQ173" s="55" t="str">
        <f aca="false">IF(BN173="","",IF(BO173&gt;=BN173,"На складе",IF(BO173&gt;0,"Частично","Ждём")))</f>
        <v/>
      </c>
      <c r="BR173" s="43"/>
      <c r="BS173" s="47" t="str">
        <f aca="false">IF(BN173="","",IF(_xlfn.MAXIFS(ЗАКАЗЫ!$AK$3:$AK$500,ЗАКАЗЫ!$F$3:$F$500,$A173)=0,"",_xlfn.MAXIFS(ЗАКАЗЫ!$AK$3:$AK$500,ЗАКАЗЫ!$F$3:$F$500,$A173)))</f>
        <v/>
      </c>
    </row>
    <row r="174" customFormat="false" ht="15.75" hidden="false" customHeight="true" outlineLevel="0" collapsed="false">
      <c r="A174" s="80" t="s">
        <v>2368</v>
      </c>
      <c r="B174" s="81"/>
      <c r="C174" s="81"/>
      <c r="D174" s="81"/>
      <c r="E174" s="83"/>
      <c r="F174" s="81"/>
      <c r="G174" s="83"/>
      <c r="H174" s="83"/>
      <c r="I174" s="84" t="str">
        <f aca="false">IF(E174="","",A174&amp;"_1.jpg")</f>
        <v/>
      </c>
      <c r="J174" s="84" t="str">
        <f aca="false">IF(E174="","",A174&amp;"_2.jpg; "&amp;A174&amp;"_3.jpg")</f>
        <v/>
      </c>
      <c r="K174" s="84" t="str">
        <f aca="false">IF(E174="","",A174&amp;"_schema.jpg")</f>
        <v/>
      </c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 t="s">
        <v>96</v>
      </c>
      <c r="W174" s="81"/>
      <c r="X174" s="81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6" t="str">
        <f aca="false">IF(SUM(Y174:AJ174)=0,"",SUM(Y174:AJ174))</f>
        <v/>
      </c>
      <c r="AL174" s="84" t="str">
        <f aca="false">MID(IF(N(Y174)&gt;0,", "&amp;Y$2,"")&amp;IF(N(Z174)&gt;0,", "&amp;Z$2,"")&amp;IF(N(AA174)&gt;0,", "&amp;AA$2,"")&amp;IF(N(AB174)&gt;0,", "&amp;AB$2,"")&amp;IF(N(AC174)&gt;0,", "&amp;AC$2,"")&amp;IF(N(AD174)&gt;0,", "&amp;AD$2,"")&amp;IF(N(AE174)&gt;0,", "&amp;AE$2,"")&amp;IF(N(AF174)&gt;0,", "&amp;AF$2,"")&amp;IF(N(AG174)&gt;0,", "&amp;AG$2,"")&amp;IF(N(AH174)&gt;0,", "&amp;AH$2,"")&amp;IF(N(AI174)&gt;0,", "&amp;AI$2,"")&amp;IF(N(AJ174)&gt;0,", "&amp;AJ$2,""),3,999)</f>
        <v/>
      </c>
      <c r="AM174" s="87" t="str">
        <f aca="false">IF(E174="","",MID(IF(N(Y174)&gt;0,", "&amp;A174&amp;"-"&amp;Y$2,"")&amp;IF(N(Z174)&gt;0,", "&amp;A174&amp;"-"&amp;Z$2,"")&amp;IF(N(AA174)&gt;0,", "&amp;A174&amp;"-"&amp;AA$2,"")&amp;IF(N(AB174)&gt;0,", "&amp;A174&amp;"-"&amp;AB$2,"")&amp;IF(N(AC174)&gt;0,", "&amp;A174&amp;"-"&amp;AC$2,"")&amp;IF(N(AD174)&gt;0,", "&amp;A174&amp;"-"&amp;AD$2,"")&amp;IF(N(AE174)&gt;0,", "&amp;A174&amp;"-"&amp;AE$2,"")&amp;IF(N(AF174)&gt;0,", "&amp;A174&amp;"-"&amp;AF$2,"")&amp;IF(N(AG174)&gt;0,", "&amp;A174&amp;"-"&amp;AG$2,"")&amp;IF(N(AH174)&gt;0,", "&amp;A174&amp;"-"&amp;AH$2,"")&amp;IF(N(AI174)&gt;0,", "&amp;A174&amp;"-"&amp;AI$2,"")&amp;IF(N(AJ174)&gt;0,", "&amp;A174&amp;"-"&amp;AJ$2,""),3,999))</f>
        <v/>
      </c>
      <c r="AN174" s="81"/>
      <c r="AO174" s="88"/>
      <c r="AP174" s="89" t="str">
        <f aca="false">IF(AO174="","",ROUND(AO174/(1+Справочники!$B$13),2))</f>
        <v/>
      </c>
      <c r="AQ174" s="90" t="str">
        <f aca="false" t="array" ref="AQ174:AQ174">IF(AP174="","",AP174*INDEX(Справочники!$B$4:$B$7,MATCH("RUB",Справочники!$A$4:$A$7,0)))</f>
        <v/>
      </c>
      <c r="AR174" s="90" t="str">
        <f aca="false">IF(AQ174="","",ROUND(AQ174*(1+Справочники!$B$12),0))</f>
        <v/>
      </c>
      <c r="AS174" s="90" t="str">
        <f aca="false">IF(AR174="","",ROUND(AR174*(1-Справочники!$B$11),0))</f>
        <v/>
      </c>
      <c r="AT174" s="88"/>
      <c r="AU174" s="90" t="str">
        <f aca="false">IF(AT174="","",ROUND(AT174/(1+Справочники!$B$12),0))</f>
        <v/>
      </c>
      <c r="AV174" s="90" t="str">
        <f aca="false">IF(AT174="","",ROUND(AT174*(1-Справочники!$B$15),0))</f>
        <v/>
      </c>
      <c r="AW174" s="90" t="str">
        <f aca="false">IF(AT174="","",ROUND(AT174*(1-Справочники!$B$16),0))</f>
        <v/>
      </c>
      <c r="AX174" s="90" t="str">
        <f aca="false">IF(AT174="","",ROUND(AT174*(1-Справочники!$B$17),0))</f>
        <v/>
      </c>
      <c r="AY174" s="90" t="str">
        <f aca="false">IF(AT174="","",ROUND(AT174*(1-Справочники!$B$18),0))</f>
        <v/>
      </c>
      <c r="AZ174" s="90" t="str">
        <f aca="false">IF(AT174="","",ROUND(AT174*(1-Справочники!$B$19),0))</f>
        <v/>
      </c>
      <c r="BA174" s="81"/>
      <c r="BB174" s="81"/>
      <c r="BC174" s="81"/>
      <c r="BD174" s="81"/>
      <c r="BE174" s="91"/>
      <c r="BF174" s="81" t="s">
        <v>103</v>
      </c>
      <c r="BG174" s="89" t="n">
        <f aca="false" t="array" ref="BG174:BG174">IF(BF174="","",IFERROR(INDEX(Справочники!$B$4:$B$7,MATCH(BF174,Справочники!$A$4:$A$7,0)),""))</f>
        <v>68.5</v>
      </c>
      <c r="BH174" s="90" t="str">
        <f aca="false">IF(N(BN174)&gt;0,ROUND(SUMIF(ЗАКАЗЫ!$F$3:$F$500,$A174,ЗАКАЗЫ!$Y$3:$Y$500)/BN174,0),IF(OR(BE174="",BG174=""),"",ROUND(BE174*BG174*(1+Справочники!$B$10),0)))</f>
        <v/>
      </c>
      <c r="BI174" s="92" t="str">
        <f aca="false">IF(OR(AU174="",BH174="",AU174=0),"",(AU174-BH174)/AU174)</f>
        <v/>
      </c>
      <c r="BJ174" s="81"/>
      <c r="BK174" s="83"/>
      <c r="BL174" s="43" t="str">
        <f aca="false">IFERROR(INDEX(ЗАКАЗЫ!$N$3:$N$500,MATCH($A174,ЗАКАЗЫ!$F$3:$F$500,0)),"")</f>
        <v/>
      </c>
      <c r="BM174" s="8" t="str">
        <f aca="false">IF(BL174="","",IFERROR(VLOOKUP(BL174,'ТН ВЭД'!$A$4:$C$40,3,0),""))</f>
        <v/>
      </c>
      <c r="BN174" s="7" t="str">
        <f aca="false">IF(COUNTIF(ЗАКАЗЫ!$F$3:$F$500,$A174)=0,"",SUMIF(ЗАКАЗЫ!$F$3:$F$500,$A174,ЗАКАЗЫ!$J$3:$J$500))</f>
        <v/>
      </c>
      <c r="BO174" s="7" t="str">
        <f aca="false">IF(BN174="","",SUMIF(ЗАКАЗЫ!$F$3:$F$500,$A174,ЗАКАЗЫ!$AL$3:$AL$500))</f>
        <v/>
      </c>
      <c r="BP174" s="7" t="str">
        <f aca="false">IF(BN174="","",BN174-BO174)</f>
        <v/>
      </c>
      <c r="BQ174" s="55" t="str">
        <f aca="false">IF(BN174="","",IF(BO174&gt;=BN174,"На складе",IF(BO174&gt;0,"Частично","Ждём")))</f>
        <v/>
      </c>
      <c r="BR174" s="43"/>
      <c r="BS174" s="47" t="str">
        <f aca="false">IF(BN174="","",IF(_xlfn.MAXIFS(ЗАКАЗЫ!$AK$3:$AK$500,ЗАКАЗЫ!$F$3:$F$500,$A174)=0,"",_xlfn.MAXIFS(ЗАКАЗЫ!$AK$3:$AK$500,ЗАКАЗЫ!$F$3:$F$500,$A174)))</f>
        <v/>
      </c>
    </row>
    <row r="175" customFormat="false" ht="15.75" hidden="false" customHeight="true" outlineLevel="0" collapsed="false">
      <c r="A175" s="80" t="s">
        <v>2369</v>
      </c>
      <c r="B175" s="81"/>
      <c r="C175" s="81"/>
      <c r="D175" s="81"/>
      <c r="E175" s="83"/>
      <c r="F175" s="81"/>
      <c r="G175" s="83"/>
      <c r="H175" s="83"/>
      <c r="I175" s="84" t="str">
        <f aca="false">IF(E175="","",A175&amp;"_1.jpg")</f>
        <v/>
      </c>
      <c r="J175" s="84" t="str">
        <f aca="false">IF(E175="","",A175&amp;"_2.jpg; "&amp;A175&amp;"_3.jpg")</f>
        <v/>
      </c>
      <c r="K175" s="84" t="str">
        <f aca="false">IF(E175="","",A175&amp;"_schema.jpg")</f>
        <v/>
      </c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 t="s">
        <v>96</v>
      </c>
      <c r="W175" s="81"/>
      <c r="X175" s="81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6" t="str">
        <f aca="false">IF(SUM(Y175:AJ175)=0,"",SUM(Y175:AJ175))</f>
        <v/>
      </c>
      <c r="AL175" s="84" t="str">
        <f aca="false">MID(IF(N(Y175)&gt;0,", "&amp;Y$2,"")&amp;IF(N(Z175)&gt;0,", "&amp;Z$2,"")&amp;IF(N(AA175)&gt;0,", "&amp;AA$2,"")&amp;IF(N(AB175)&gt;0,", "&amp;AB$2,"")&amp;IF(N(AC175)&gt;0,", "&amp;AC$2,"")&amp;IF(N(AD175)&gt;0,", "&amp;AD$2,"")&amp;IF(N(AE175)&gt;0,", "&amp;AE$2,"")&amp;IF(N(AF175)&gt;0,", "&amp;AF$2,"")&amp;IF(N(AG175)&gt;0,", "&amp;AG$2,"")&amp;IF(N(AH175)&gt;0,", "&amp;AH$2,"")&amp;IF(N(AI175)&gt;0,", "&amp;AI$2,"")&amp;IF(N(AJ175)&gt;0,", "&amp;AJ$2,""),3,999)</f>
        <v/>
      </c>
      <c r="AM175" s="87" t="str">
        <f aca="false">IF(E175="","",MID(IF(N(Y175)&gt;0,", "&amp;A175&amp;"-"&amp;Y$2,"")&amp;IF(N(Z175)&gt;0,", "&amp;A175&amp;"-"&amp;Z$2,"")&amp;IF(N(AA175)&gt;0,", "&amp;A175&amp;"-"&amp;AA$2,"")&amp;IF(N(AB175)&gt;0,", "&amp;A175&amp;"-"&amp;AB$2,"")&amp;IF(N(AC175)&gt;0,", "&amp;A175&amp;"-"&amp;AC$2,"")&amp;IF(N(AD175)&gt;0,", "&amp;A175&amp;"-"&amp;AD$2,"")&amp;IF(N(AE175)&gt;0,", "&amp;A175&amp;"-"&amp;AE$2,"")&amp;IF(N(AF175)&gt;0,", "&amp;A175&amp;"-"&amp;AF$2,"")&amp;IF(N(AG175)&gt;0,", "&amp;A175&amp;"-"&amp;AG$2,"")&amp;IF(N(AH175)&gt;0,", "&amp;A175&amp;"-"&amp;AH$2,"")&amp;IF(N(AI175)&gt;0,", "&amp;A175&amp;"-"&amp;AI$2,"")&amp;IF(N(AJ175)&gt;0,", "&amp;A175&amp;"-"&amp;AJ$2,""),3,999))</f>
        <v/>
      </c>
      <c r="AN175" s="81"/>
      <c r="AO175" s="88"/>
      <c r="AP175" s="89" t="str">
        <f aca="false">IF(AO175="","",ROUND(AO175/(1+Справочники!$B$13),2))</f>
        <v/>
      </c>
      <c r="AQ175" s="90" t="str">
        <f aca="false" t="array" ref="AQ175:AQ175">IF(AP175="","",AP175*INDEX(Справочники!$B$4:$B$7,MATCH("RUB",Справочники!$A$4:$A$7,0)))</f>
        <v/>
      </c>
      <c r="AR175" s="90" t="str">
        <f aca="false">IF(AQ175="","",ROUND(AQ175*(1+Справочники!$B$12),0))</f>
        <v/>
      </c>
      <c r="AS175" s="90" t="str">
        <f aca="false">IF(AR175="","",ROUND(AR175*(1-Справочники!$B$11),0))</f>
        <v/>
      </c>
      <c r="AT175" s="88"/>
      <c r="AU175" s="90" t="str">
        <f aca="false">IF(AT175="","",ROUND(AT175/(1+Справочники!$B$12),0))</f>
        <v/>
      </c>
      <c r="AV175" s="90" t="str">
        <f aca="false">IF(AT175="","",ROUND(AT175*(1-Справочники!$B$15),0))</f>
        <v/>
      </c>
      <c r="AW175" s="90" t="str">
        <f aca="false">IF(AT175="","",ROUND(AT175*(1-Справочники!$B$16),0))</f>
        <v/>
      </c>
      <c r="AX175" s="90" t="str">
        <f aca="false">IF(AT175="","",ROUND(AT175*(1-Справочники!$B$17),0))</f>
        <v/>
      </c>
      <c r="AY175" s="90" t="str">
        <f aca="false">IF(AT175="","",ROUND(AT175*(1-Справочники!$B$18),0))</f>
        <v/>
      </c>
      <c r="AZ175" s="90" t="str">
        <f aca="false">IF(AT175="","",ROUND(AT175*(1-Справочники!$B$19),0))</f>
        <v/>
      </c>
      <c r="BA175" s="81"/>
      <c r="BB175" s="81"/>
      <c r="BC175" s="81"/>
      <c r="BD175" s="81"/>
      <c r="BE175" s="91"/>
      <c r="BF175" s="81" t="s">
        <v>103</v>
      </c>
      <c r="BG175" s="89" t="n">
        <f aca="false" t="array" ref="BG175:BG175">IF(BF175="","",IFERROR(INDEX(Справочники!$B$4:$B$7,MATCH(BF175,Справочники!$A$4:$A$7,0)),""))</f>
        <v>68.5</v>
      </c>
      <c r="BH175" s="90" t="str">
        <f aca="false">IF(N(BN175)&gt;0,ROUND(SUMIF(ЗАКАЗЫ!$F$3:$F$500,$A175,ЗАКАЗЫ!$Y$3:$Y$500)/BN175,0),IF(OR(BE175="",BG175=""),"",ROUND(BE175*BG175*(1+Справочники!$B$10),0)))</f>
        <v/>
      </c>
      <c r="BI175" s="92" t="str">
        <f aca="false">IF(OR(AU175="",BH175="",AU175=0),"",(AU175-BH175)/AU175)</f>
        <v/>
      </c>
      <c r="BJ175" s="81"/>
      <c r="BK175" s="83"/>
      <c r="BL175" s="43" t="str">
        <f aca="false">IFERROR(INDEX(ЗАКАЗЫ!$N$3:$N$500,MATCH($A175,ЗАКАЗЫ!$F$3:$F$500,0)),"")</f>
        <v/>
      </c>
      <c r="BM175" s="8" t="str">
        <f aca="false">IF(BL175="","",IFERROR(VLOOKUP(BL175,'ТН ВЭД'!$A$4:$C$40,3,0),""))</f>
        <v/>
      </c>
      <c r="BN175" s="7" t="str">
        <f aca="false">IF(COUNTIF(ЗАКАЗЫ!$F$3:$F$500,$A175)=0,"",SUMIF(ЗАКАЗЫ!$F$3:$F$500,$A175,ЗАКАЗЫ!$J$3:$J$500))</f>
        <v/>
      </c>
      <c r="BO175" s="7" t="str">
        <f aca="false">IF(BN175="","",SUMIF(ЗАКАЗЫ!$F$3:$F$500,$A175,ЗАКАЗЫ!$AL$3:$AL$500))</f>
        <v/>
      </c>
      <c r="BP175" s="7" t="str">
        <f aca="false">IF(BN175="","",BN175-BO175)</f>
        <v/>
      </c>
      <c r="BQ175" s="55" t="str">
        <f aca="false">IF(BN175="","",IF(BO175&gt;=BN175,"На складе",IF(BO175&gt;0,"Частично","Ждём")))</f>
        <v/>
      </c>
      <c r="BR175" s="43"/>
      <c r="BS175" s="47" t="str">
        <f aca="false">IF(BN175="","",IF(_xlfn.MAXIFS(ЗАКАЗЫ!$AK$3:$AK$500,ЗАКАЗЫ!$F$3:$F$500,$A175)=0,"",_xlfn.MAXIFS(ЗАКАЗЫ!$AK$3:$AK$500,ЗАКАЗЫ!$F$3:$F$500,$A175)))</f>
        <v/>
      </c>
    </row>
    <row r="176" customFormat="false" ht="15.75" hidden="false" customHeight="true" outlineLevel="0" collapsed="false">
      <c r="A176" s="80" t="s">
        <v>2370</v>
      </c>
      <c r="B176" s="81"/>
      <c r="C176" s="81"/>
      <c r="D176" s="81"/>
      <c r="E176" s="83"/>
      <c r="F176" s="81"/>
      <c r="G176" s="83"/>
      <c r="H176" s="83"/>
      <c r="I176" s="84" t="str">
        <f aca="false">IF(E176="","",A176&amp;"_1.jpg")</f>
        <v/>
      </c>
      <c r="J176" s="84" t="str">
        <f aca="false">IF(E176="","",A176&amp;"_2.jpg; "&amp;A176&amp;"_3.jpg")</f>
        <v/>
      </c>
      <c r="K176" s="84" t="str">
        <f aca="false">IF(E176="","",A176&amp;"_schema.jpg")</f>
        <v/>
      </c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 t="s">
        <v>96</v>
      </c>
      <c r="W176" s="81"/>
      <c r="X176" s="81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6" t="str">
        <f aca="false">IF(SUM(Y176:AJ176)=0,"",SUM(Y176:AJ176))</f>
        <v/>
      </c>
      <c r="AL176" s="84" t="str">
        <f aca="false">MID(IF(N(Y176)&gt;0,", "&amp;Y$2,"")&amp;IF(N(Z176)&gt;0,", "&amp;Z$2,"")&amp;IF(N(AA176)&gt;0,", "&amp;AA$2,"")&amp;IF(N(AB176)&gt;0,", "&amp;AB$2,"")&amp;IF(N(AC176)&gt;0,", "&amp;AC$2,"")&amp;IF(N(AD176)&gt;0,", "&amp;AD$2,"")&amp;IF(N(AE176)&gt;0,", "&amp;AE$2,"")&amp;IF(N(AF176)&gt;0,", "&amp;AF$2,"")&amp;IF(N(AG176)&gt;0,", "&amp;AG$2,"")&amp;IF(N(AH176)&gt;0,", "&amp;AH$2,"")&amp;IF(N(AI176)&gt;0,", "&amp;AI$2,"")&amp;IF(N(AJ176)&gt;0,", "&amp;AJ$2,""),3,999)</f>
        <v/>
      </c>
      <c r="AM176" s="87" t="str">
        <f aca="false">IF(E176="","",MID(IF(N(Y176)&gt;0,", "&amp;A176&amp;"-"&amp;Y$2,"")&amp;IF(N(Z176)&gt;0,", "&amp;A176&amp;"-"&amp;Z$2,"")&amp;IF(N(AA176)&gt;0,", "&amp;A176&amp;"-"&amp;AA$2,"")&amp;IF(N(AB176)&gt;0,", "&amp;A176&amp;"-"&amp;AB$2,"")&amp;IF(N(AC176)&gt;0,", "&amp;A176&amp;"-"&amp;AC$2,"")&amp;IF(N(AD176)&gt;0,", "&amp;A176&amp;"-"&amp;AD$2,"")&amp;IF(N(AE176)&gt;0,", "&amp;A176&amp;"-"&amp;AE$2,"")&amp;IF(N(AF176)&gt;0,", "&amp;A176&amp;"-"&amp;AF$2,"")&amp;IF(N(AG176)&gt;0,", "&amp;A176&amp;"-"&amp;AG$2,"")&amp;IF(N(AH176)&gt;0,", "&amp;A176&amp;"-"&amp;AH$2,"")&amp;IF(N(AI176)&gt;0,", "&amp;A176&amp;"-"&amp;AI$2,"")&amp;IF(N(AJ176)&gt;0,", "&amp;A176&amp;"-"&amp;AJ$2,""),3,999))</f>
        <v/>
      </c>
      <c r="AN176" s="81"/>
      <c r="AO176" s="88"/>
      <c r="AP176" s="89" t="str">
        <f aca="false">IF(AO176="","",ROUND(AO176/(1+Справочники!$B$13),2))</f>
        <v/>
      </c>
      <c r="AQ176" s="90" t="str">
        <f aca="false" t="array" ref="AQ176:AQ176">IF(AP176="","",AP176*INDEX(Справочники!$B$4:$B$7,MATCH("RUB",Справочники!$A$4:$A$7,0)))</f>
        <v/>
      </c>
      <c r="AR176" s="90" t="str">
        <f aca="false">IF(AQ176="","",ROUND(AQ176*(1+Справочники!$B$12),0))</f>
        <v/>
      </c>
      <c r="AS176" s="90" t="str">
        <f aca="false">IF(AR176="","",ROUND(AR176*(1-Справочники!$B$11),0))</f>
        <v/>
      </c>
      <c r="AT176" s="88"/>
      <c r="AU176" s="90" t="str">
        <f aca="false">IF(AT176="","",ROUND(AT176/(1+Справочники!$B$12),0))</f>
        <v/>
      </c>
      <c r="AV176" s="90" t="str">
        <f aca="false">IF(AT176="","",ROUND(AT176*(1-Справочники!$B$15),0))</f>
        <v/>
      </c>
      <c r="AW176" s="90" t="str">
        <f aca="false">IF(AT176="","",ROUND(AT176*(1-Справочники!$B$16),0))</f>
        <v/>
      </c>
      <c r="AX176" s="90" t="str">
        <f aca="false">IF(AT176="","",ROUND(AT176*(1-Справочники!$B$17),0))</f>
        <v/>
      </c>
      <c r="AY176" s="90" t="str">
        <f aca="false">IF(AT176="","",ROUND(AT176*(1-Справочники!$B$18),0))</f>
        <v/>
      </c>
      <c r="AZ176" s="90" t="str">
        <f aca="false">IF(AT176="","",ROUND(AT176*(1-Справочники!$B$19),0))</f>
        <v/>
      </c>
      <c r="BA176" s="81"/>
      <c r="BB176" s="81"/>
      <c r="BC176" s="81"/>
      <c r="BD176" s="81"/>
      <c r="BE176" s="91"/>
      <c r="BF176" s="81" t="s">
        <v>103</v>
      </c>
      <c r="BG176" s="89" t="n">
        <f aca="false" t="array" ref="BG176:BG176">IF(BF176="","",IFERROR(INDEX(Справочники!$B$4:$B$7,MATCH(BF176,Справочники!$A$4:$A$7,0)),""))</f>
        <v>68.5</v>
      </c>
      <c r="BH176" s="90" t="str">
        <f aca="false">IF(N(BN176)&gt;0,ROUND(SUMIF(ЗАКАЗЫ!$F$3:$F$500,$A176,ЗАКАЗЫ!$Y$3:$Y$500)/BN176,0),IF(OR(BE176="",BG176=""),"",ROUND(BE176*BG176*(1+Справочники!$B$10),0)))</f>
        <v/>
      </c>
      <c r="BI176" s="92" t="str">
        <f aca="false">IF(OR(AU176="",BH176="",AU176=0),"",(AU176-BH176)/AU176)</f>
        <v/>
      </c>
      <c r="BJ176" s="81"/>
      <c r="BK176" s="83"/>
      <c r="BL176" s="43" t="str">
        <f aca="false">IFERROR(INDEX(ЗАКАЗЫ!$N$3:$N$500,MATCH($A176,ЗАКАЗЫ!$F$3:$F$500,0)),"")</f>
        <v/>
      </c>
      <c r="BM176" s="8" t="str">
        <f aca="false">IF(BL176="","",IFERROR(VLOOKUP(BL176,'ТН ВЭД'!$A$4:$C$40,3,0),""))</f>
        <v/>
      </c>
      <c r="BN176" s="7" t="str">
        <f aca="false">IF(COUNTIF(ЗАКАЗЫ!$F$3:$F$500,$A176)=0,"",SUMIF(ЗАКАЗЫ!$F$3:$F$500,$A176,ЗАКАЗЫ!$J$3:$J$500))</f>
        <v/>
      </c>
      <c r="BO176" s="7" t="str">
        <f aca="false">IF(BN176="","",SUMIF(ЗАКАЗЫ!$F$3:$F$500,$A176,ЗАКАЗЫ!$AL$3:$AL$500))</f>
        <v/>
      </c>
      <c r="BP176" s="7" t="str">
        <f aca="false">IF(BN176="","",BN176-BO176)</f>
        <v/>
      </c>
      <c r="BQ176" s="55" t="str">
        <f aca="false">IF(BN176="","",IF(BO176&gt;=BN176,"На складе",IF(BO176&gt;0,"Частично","Ждём")))</f>
        <v/>
      </c>
      <c r="BR176" s="43"/>
      <c r="BS176" s="47" t="str">
        <f aca="false">IF(BN176="","",IF(_xlfn.MAXIFS(ЗАКАЗЫ!$AK$3:$AK$500,ЗАКАЗЫ!$F$3:$F$500,$A176)=0,"",_xlfn.MAXIFS(ЗАКАЗЫ!$AK$3:$AK$500,ЗАКАЗЫ!$F$3:$F$500,$A176)))</f>
        <v/>
      </c>
    </row>
    <row r="177" customFormat="false" ht="15.75" hidden="false" customHeight="true" outlineLevel="0" collapsed="false">
      <c r="A177" s="80" t="s">
        <v>2371</v>
      </c>
      <c r="B177" s="81"/>
      <c r="C177" s="81"/>
      <c r="D177" s="81"/>
      <c r="E177" s="83"/>
      <c r="F177" s="81"/>
      <c r="G177" s="83"/>
      <c r="H177" s="83"/>
      <c r="I177" s="84" t="str">
        <f aca="false">IF(E177="","",A177&amp;"_1.jpg")</f>
        <v/>
      </c>
      <c r="J177" s="84" t="str">
        <f aca="false">IF(E177="","",A177&amp;"_2.jpg; "&amp;A177&amp;"_3.jpg")</f>
        <v/>
      </c>
      <c r="K177" s="84" t="str">
        <f aca="false">IF(E177="","",A177&amp;"_schema.jpg")</f>
        <v/>
      </c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 t="s">
        <v>96</v>
      </c>
      <c r="W177" s="81"/>
      <c r="X177" s="81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6" t="str">
        <f aca="false">IF(SUM(Y177:AJ177)=0,"",SUM(Y177:AJ177))</f>
        <v/>
      </c>
      <c r="AL177" s="84" t="str">
        <f aca="false">MID(IF(N(Y177)&gt;0,", "&amp;Y$2,"")&amp;IF(N(Z177)&gt;0,", "&amp;Z$2,"")&amp;IF(N(AA177)&gt;0,", "&amp;AA$2,"")&amp;IF(N(AB177)&gt;0,", "&amp;AB$2,"")&amp;IF(N(AC177)&gt;0,", "&amp;AC$2,"")&amp;IF(N(AD177)&gt;0,", "&amp;AD$2,"")&amp;IF(N(AE177)&gt;0,", "&amp;AE$2,"")&amp;IF(N(AF177)&gt;0,", "&amp;AF$2,"")&amp;IF(N(AG177)&gt;0,", "&amp;AG$2,"")&amp;IF(N(AH177)&gt;0,", "&amp;AH$2,"")&amp;IF(N(AI177)&gt;0,", "&amp;AI$2,"")&amp;IF(N(AJ177)&gt;0,", "&amp;AJ$2,""),3,999)</f>
        <v/>
      </c>
      <c r="AM177" s="87" t="str">
        <f aca="false">IF(E177="","",MID(IF(N(Y177)&gt;0,", "&amp;A177&amp;"-"&amp;Y$2,"")&amp;IF(N(Z177)&gt;0,", "&amp;A177&amp;"-"&amp;Z$2,"")&amp;IF(N(AA177)&gt;0,", "&amp;A177&amp;"-"&amp;AA$2,"")&amp;IF(N(AB177)&gt;0,", "&amp;A177&amp;"-"&amp;AB$2,"")&amp;IF(N(AC177)&gt;0,", "&amp;A177&amp;"-"&amp;AC$2,"")&amp;IF(N(AD177)&gt;0,", "&amp;A177&amp;"-"&amp;AD$2,"")&amp;IF(N(AE177)&gt;0,", "&amp;A177&amp;"-"&amp;AE$2,"")&amp;IF(N(AF177)&gt;0,", "&amp;A177&amp;"-"&amp;AF$2,"")&amp;IF(N(AG177)&gt;0,", "&amp;A177&amp;"-"&amp;AG$2,"")&amp;IF(N(AH177)&gt;0,", "&amp;A177&amp;"-"&amp;AH$2,"")&amp;IF(N(AI177)&gt;0,", "&amp;A177&amp;"-"&amp;AI$2,"")&amp;IF(N(AJ177)&gt;0,", "&amp;A177&amp;"-"&amp;AJ$2,""),3,999))</f>
        <v/>
      </c>
      <c r="AN177" s="81"/>
      <c r="AO177" s="88"/>
      <c r="AP177" s="89" t="str">
        <f aca="false">IF(AO177="","",ROUND(AO177/(1+Справочники!$B$13),2))</f>
        <v/>
      </c>
      <c r="AQ177" s="90" t="str">
        <f aca="false" t="array" ref="AQ177:AQ177">IF(AP177="","",AP177*INDEX(Справочники!$B$4:$B$7,MATCH("RUB",Справочники!$A$4:$A$7,0)))</f>
        <v/>
      </c>
      <c r="AR177" s="90" t="str">
        <f aca="false">IF(AQ177="","",ROUND(AQ177*(1+Справочники!$B$12),0))</f>
        <v/>
      </c>
      <c r="AS177" s="90" t="str">
        <f aca="false">IF(AR177="","",ROUND(AR177*(1-Справочники!$B$11),0))</f>
        <v/>
      </c>
      <c r="AT177" s="88"/>
      <c r="AU177" s="90" t="str">
        <f aca="false">IF(AT177="","",ROUND(AT177/(1+Справочники!$B$12),0))</f>
        <v/>
      </c>
      <c r="AV177" s="90" t="str">
        <f aca="false">IF(AT177="","",ROUND(AT177*(1-Справочники!$B$15),0))</f>
        <v/>
      </c>
      <c r="AW177" s="90" t="str">
        <f aca="false">IF(AT177="","",ROUND(AT177*(1-Справочники!$B$16),0))</f>
        <v/>
      </c>
      <c r="AX177" s="90" t="str">
        <f aca="false">IF(AT177="","",ROUND(AT177*(1-Справочники!$B$17),0))</f>
        <v/>
      </c>
      <c r="AY177" s="90" t="str">
        <f aca="false">IF(AT177="","",ROUND(AT177*(1-Справочники!$B$18),0))</f>
        <v/>
      </c>
      <c r="AZ177" s="90" t="str">
        <f aca="false">IF(AT177="","",ROUND(AT177*(1-Справочники!$B$19),0))</f>
        <v/>
      </c>
      <c r="BA177" s="81"/>
      <c r="BB177" s="81"/>
      <c r="BC177" s="81"/>
      <c r="BD177" s="81"/>
      <c r="BE177" s="91"/>
      <c r="BF177" s="81" t="s">
        <v>103</v>
      </c>
      <c r="BG177" s="89" t="n">
        <f aca="false" t="array" ref="BG177:BG177">IF(BF177="","",IFERROR(INDEX(Справочники!$B$4:$B$7,MATCH(BF177,Справочники!$A$4:$A$7,0)),""))</f>
        <v>68.5</v>
      </c>
      <c r="BH177" s="90" t="str">
        <f aca="false">IF(N(BN177)&gt;0,ROUND(SUMIF(ЗАКАЗЫ!$F$3:$F$500,$A177,ЗАКАЗЫ!$Y$3:$Y$500)/BN177,0),IF(OR(BE177="",BG177=""),"",ROUND(BE177*BG177*(1+Справочники!$B$10),0)))</f>
        <v/>
      </c>
      <c r="BI177" s="92" t="str">
        <f aca="false">IF(OR(AU177="",BH177="",AU177=0),"",(AU177-BH177)/AU177)</f>
        <v/>
      </c>
      <c r="BJ177" s="81"/>
      <c r="BK177" s="83"/>
      <c r="BL177" s="43" t="str">
        <f aca="false">IFERROR(INDEX(ЗАКАЗЫ!$N$3:$N$500,MATCH($A177,ЗАКАЗЫ!$F$3:$F$500,0)),"")</f>
        <v/>
      </c>
      <c r="BM177" s="8" t="str">
        <f aca="false">IF(BL177="","",IFERROR(VLOOKUP(BL177,'ТН ВЭД'!$A$4:$C$40,3,0),""))</f>
        <v/>
      </c>
      <c r="BN177" s="7" t="str">
        <f aca="false">IF(COUNTIF(ЗАКАЗЫ!$F$3:$F$500,$A177)=0,"",SUMIF(ЗАКАЗЫ!$F$3:$F$500,$A177,ЗАКАЗЫ!$J$3:$J$500))</f>
        <v/>
      </c>
      <c r="BO177" s="7" t="str">
        <f aca="false">IF(BN177="","",SUMIF(ЗАКАЗЫ!$F$3:$F$500,$A177,ЗАКАЗЫ!$AL$3:$AL$500))</f>
        <v/>
      </c>
      <c r="BP177" s="7" t="str">
        <f aca="false">IF(BN177="","",BN177-BO177)</f>
        <v/>
      </c>
      <c r="BQ177" s="55" t="str">
        <f aca="false">IF(BN177="","",IF(BO177&gt;=BN177,"На складе",IF(BO177&gt;0,"Частично","Ждём")))</f>
        <v/>
      </c>
      <c r="BR177" s="43"/>
      <c r="BS177" s="47" t="str">
        <f aca="false">IF(BN177="","",IF(_xlfn.MAXIFS(ЗАКАЗЫ!$AK$3:$AK$500,ЗАКАЗЫ!$F$3:$F$500,$A177)=0,"",_xlfn.MAXIFS(ЗАКАЗЫ!$AK$3:$AK$500,ЗАКАЗЫ!$F$3:$F$500,$A177)))</f>
        <v/>
      </c>
    </row>
    <row r="178" customFormat="false" ht="15.75" hidden="false" customHeight="true" outlineLevel="0" collapsed="false">
      <c r="A178" s="80" t="s">
        <v>2372</v>
      </c>
      <c r="B178" s="81"/>
      <c r="C178" s="81"/>
      <c r="D178" s="81"/>
      <c r="E178" s="83"/>
      <c r="F178" s="81"/>
      <c r="G178" s="83"/>
      <c r="H178" s="83"/>
      <c r="I178" s="84" t="str">
        <f aca="false">IF(E178="","",A178&amp;"_1.jpg")</f>
        <v/>
      </c>
      <c r="J178" s="84" t="str">
        <f aca="false">IF(E178="","",A178&amp;"_2.jpg; "&amp;A178&amp;"_3.jpg")</f>
        <v/>
      </c>
      <c r="K178" s="84" t="str">
        <f aca="false">IF(E178="","",A178&amp;"_schema.jpg")</f>
        <v/>
      </c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 t="s">
        <v>96</v>
      </c>
      <c r="W178" s="81"/>
      <c r="X178" s="81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6" t="str">
        <f aca="false">IF(SUM(Y178:AJ178)=0,"",SUM(Y178:AJ178))</f>
        <v/>
      </c>
      <c r="AL178" s="84" t="str">
        <f aca="false">MID(IF(N(Y178)&gt;0,", "&amp;Y$2,"")&amp;IF(N(Z178)&gt;0,", "&amp;Z$2,"")&amp;IF(N(AA178)&gt;0,", "&amp;AA$2,"")&amp;IF(N(AB178)&gt;0,", "&amp;AB$2,"")&amp;IF(N(AC178)&gt;0,", "&amp;AC$2,"")&amp;IF(N(AD178)&gt;0,", "&amp;AD$2,"")&amp;IF(N(AE178)&gt;0,", "&amp;AE$2,"")&amp;IF(N(AF178)&gt;0,", "&amp;AF$2,"")&amp;IF(N(AG178)&gt;0,", "&amp;AG$2,"")&amp;IF(N(AH178)&gt;0,", "&amp;AH$2,"")&amp;IF(N(AI178)&gt;0,", "&amp;AI$2,"")&amp;IF(N(AJ178)&gt;0,", "&amp;AJ$2,""),3,999)</f>
        <v/>
      </c>
      <c r="AM178" s="87" t="str">
        <f aca="false">IF(E178="","",MID(IF(N(Y178)&gt;0,", "&amp;A178&amp;"-"&amp;Y$2,"")&amp;IF(N(Z178)&gt;0,", "&amp;A178&amp;"-"&amp;Z$2,"")&amp;IF(N(AA178)&gt;0,", "&amp;A178&amp;"-"&amp;AA$2,"")&amp;IF(N(AB178)&gt;0,", "&amp;A178&amp;"-"&amp;AB$2,"")&amp;IF(N(AC178)&gt;0,", "&amp;A178&amp;"-"&amp;AC$2,"")&amp;IF(N(AD178)&gt;0,", "&amp;A178&amp;"-"&amp;AD$2,"")&amp;IF(N(AE178)&gt;0,", "&amp;A178&amp;"-"&amp;AE$2,"")&amp;IF(N(AF178)&gt;0,", "&amp;A178&amp;"-"&amp;AF$2,"")&amp;IF(N(AG178)&gt;0,", "&amp;A178&amp;"-"&amp;AG$2,"")&amp;IF(N(AH178)&gt;0,", "&amp;A178&amp;"-"&amp;AH$2,"")&amp;IF(N(AI178)&gt;0,", "&amp;A178&amp;"-"&amp;AI$2,"")&amp;IF(N(AJ178)&gt;0,", "&amp;A178&amp;"-"&amp;AJ$2,""),3,999))</f>
        <v/>
      </c>
      <c r="AN178" s="81"/>
      <c r="AO178" s="88"/>
      <c r="AP178" s="89" t="str">
        <f aca="false">IF(AO178="","",ROUND(AO178/(1+Справочники!$B$13),2))</f>
        <v/>
      </c>
      <c r="AQ178" s="90" t="str">
        <f aca="false" t="array" ref="AQ178:AQ178">IF(AP178="","",AP178*INDEX(Справочники!$B$4:$B$7,MATCH("RUB",Справочники!$A$4:$A$7,0)))</f>
        <v/>
      </c>
      <c r="AR178" s="90" t="str">
        <f aca="false">IF(AQ178="","",ROUND(AQ178*(1+Справочники!$B$12),0))</f>
        <v/>
      </c>
      <c r="AS178" s="90" t="str">
        <f aca="false">IF(AR178="","",ROUND(AR178*(1-Справочники!$B$11),0))</f>
        <v/>
      </c>
      <c r="AT178" s="88"/>
      <c r="AU178" s="90" t="str">
        <f aca="false">IF(AT178="","",ROUND(AT178/(1+Справочники!$B$12),0))</f>
        <v/>
      </c>
      <c r="AV178" s="90" t="str">
        <f aca="false">IF(AT178="","",ROUND(AT178*(1-Справочники!$B$15),0))</f>
        <v/>
      </c>
      <c r="AW178" s="90" t="str">
        <f aca="false">IF(AT178="","",ROUND(AT178*(1-Справочники!$B$16),0))</f>
        <v/>
      </c>
      <c r="AX178" s="90" t="str">
        <f aca="false">IF(AT178="","",ROUND(AT178*(1-Справочники!$B$17),0))</f>
        <v/>
      </c>
      <c r="AY178" s="90" t="str">
        <f aca="false">IF(AT178="","",ROUND(AT178*(1-Справочники!$B$18),0))</f>
        <v/>
      </c>
      <c r="AZ178" s="90" t="str">
        <f aca="false">IF(AT178="","",ROUND(AT178*(1-Справочники!$B$19),0))</f>
        <v/>
      </c>
      <c r="BA178" s="81"/>
      <c r="BB178" s="81"/>
      <c r="BC178" s="81"/>
      <c r="BD178" s="81"/>
      <c r="BE178" s="91"/>
      <c r="BF178" s="81" t="s">
        <v>103</v>
      </c>
      <c r="BG178" s="89" t="n">
        <f aca="false" t="array" ref="BG178:BG178">IF(BF178="","",IFERROR(INDEX(Справочники!$B$4:$B$7,MATCH(BF178,Справочники!$A$4:$A$7,0)),""))</f>
        <v>68.5</v>
      </c>
      <c r="BH178" s="90" t="str">
        <f aca="false">IF(N(BN178)&gt;0,ROUND(SUMIF(ЗАКАЗЫ!$F$3:$F$500,$A178,ЗАКАЗЫ!$Y$3:$Y$500)/BN178,0),IF(OR(BE178="",BG178=""),"",ROUND(BE178*BG178*(1+Справочники!$B$10),0)))</f>
        <v/>
      </c>
      <c r="BI178" s="92" t="str">
        <f aca="false">IF(OR(AU178="",BH178="",AU178=0),"",(AU178-BH178)/AU178)</f>
        <v/>
      </c>
      <c r="BJ178" s="81"/>
      <c r="BK178" s="83"/>
      <c r="BL178" s="43" t="str">
        <f aca="false">IFERROR(INDEX(ЗАКАЗЫ!$N$3:$N$500,MATCH($A178,ЗАКАЗЫ!$F$3:$F$500,0)),"")</f>
        <v/>
      </c>
      <c r="BM178" s="8" t="str">
        <f aca="false">IF(BL178="","",IFERROR(VLOOKUP(BL178,'ТН ВЭД'!$A$4:$C$40,3,0),""))</f>
        <v/>
      </c>
      <c r="BN178" s="7" t="str">
        <f aca="false">IF(COUNTIF(ЗАКАЗЫ!$F$3:$F$500,$A178)=0,"",SUMIF(ЗАКАЗЫ!$F$3:$F$500,$A178,ЗАКАЗЫ!$J$3:$J$500))</f>
        <v/>
      </c>
      <c r="BO178" s="7" t="str">
        <f aca="false">IF(BN178="","",SUMIF(ЗАКАЗЫ!$F$3:$F$500,$A178,ЗАКАЗЫ!$AL$3:$AL$500))</f>
        <v/>
      </c>
      <c r="BP178" s="7" t="str">
        <f aca="false">IF(BN178="","",BN178-BO178)</f>
        <v/>
      </c>
      <c r="BQ178" s="55" t="str">
        <f aca="false">IF(BN178="","",IF(BO178&gt;=BN178,"На складе",IF(BO178&gt;0,"Частично","Ждём")))</f>
        <v/>
      </c>
      <c r="BR178" s="43"/>
      <c r="BS178" s="47" t="str">
        <f aca="false">IF(BN178="","",IF(_xlfn.MAXIFS(ЗАКАЗЫ!$AK$3:$AK$500,ЗАКАЗЫ!$F$3:$F$500,$A178)=0,"",_xlfn.MAXIFS(ЗАКАЗЫ!$AK$3:$AK$500,ЗАКАЗЫ!$F$3:$F$500,$A178)))</f>
        <v/>
      </c>
    </row>
    <row r="179" customFormat="false" ht="15.75" hidden="false" customHeight="true" outlineLevel="0" collapsed="false">
      <c r="A179" s="80" t="s">
        <v>2373</v>
      </c>
      <c r="B179" s="81"/>
      <c r="C179" s="81"/>
      <c r="D179" s="81"/>
      <c r="E179" s="83"/>
      <c r="F179" s="81"/>
      <c r="G179" s="83"/>
      <c r="H179" s="83"/>
      <c r="I179" s="84" t="str">
        <f aca="false">IF(E179="","",A179&amp;"_1.jpg")</f>
        <v/>
      </c>
      <c r="J179" s="84" t="str">
        <f aca="false">IF(E179="","",A179&amp;"_2.jpg; "&amp;A179&amp;"_3.jpg")</f>
        <v/>
      </c>
      <c r="K179" s="84" t="str">
        <f aca="false">IF(E179="","",A179&amp;"_schema.jpg")</f>
        <v/>
      </c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 t="s">
        <v>96</v>
      </c>
      <c r="W179" s="81"/>
      <c r="X179" s="81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6" t="str">
        <f aca="false">IF(SUM(Y179:AJ179)=0,"",SUM(Y179:AJ179))</f>
        <v/>
      </c>
      <c r="AL179" s="84" t="str">
        <f aca="false">MID(IF(N(Y179)&gt;0,", "&amp;Y$2,"")&amp;IF(N(Z179)&gt;0,", "&amp;Z$2,"")&amp;IF(N(AA179)&gt;0,", "&amp;AA$2,"")&amp;IF(N(AB179)&gt;0,", "&amp;AB$2,"")&amp;IF(N(AC179)&gt;0,", "&amp;AC$2,"")&amp;IF(N(AD179)&gt;0,", "&amp;AD$2,"")&amp;IF(N(AE179)&gt;0,", "&amp;AE$2,"")&amp;IF(N(AF179)&gt;0,", "&amp;AF$2,"")&amp;IF(N(AG179)&gt;0,", "&amp;AG$2,"")&amp;IF(N(AH179)&gt;0,", "&amp;AH$2,"")&amp;IF(N(AI179)&gt;0,", "&amp;AI$2,"")&amp;IF(N(AJ179)&gt;0,", "&amp;AJ$2,""),3,999)</f>
        <v/>
      </c>
      <c r="AM179" s="87" t="str">
        <f aca="false">IF(E179="","",MID(IF(N(Y179)&gt;0,", "&amp;A179&amp;"-"&amp;Y$2,"")&amp;IF(N(Z179)&gt;0,", "&amp;A179&amp;"-"&amp;Z$2,"")&amp;IF(N(AA179)&gt;0,", "&amp;A179&amp;"-"&amp;AA$2,"")&amp;IF(N(AB179)&gt;0,", "&amp;A179&amp;"-"&amp;AB$2,"")&amp;IF(N(AC179)&gt;0,", "&amp;A179&amp;"-"&amp;AC$2,"")&amp;IF(N(AD179)&gt;0,", "&amp;A179&amp;"-"&amp;AD$2,"")&amp;IF(N(AE179)&gt;0,", "&amp;A179&amp;"-"&amp;AE$2,"")&amp;IF(N(AF179)&gt;0,", "&amp;A179&amp;"-"&amp;AF$2,"")&amp;IF(N(AG179)&gt;0,", "&amp;A179&amp;"-"&amp;AG$2,"")&amp;IF(N(AH179)&gt;0,", "&amp;A179&amp;"-"&amp;AH$2,"")&amp;IF(N(AI179)&gt;0,", "&amp;A179&amp;"-"&amp;AI$2,"")&amp;IF(N(AJ179)&gt;0,", "&amp;A179&amp;"-"&amp;AJ$2,""),3,999))</f>
        <v/>
      </c>
      <c r="AN179" s="81"/>
      <c r="AO179" s="88"/>
      <c r="AP179" s="89" t="str">
        <f aca="false">IF(AO179="","",ROUND(AO179/(1+Справочники!$B$13),2))</f>
        <v/>
      </c>
      <c r="AQ179" s="90" t="str">
        <f aca="false" t="array" ref="AQ179:AQ179">IF(AP179="","",AP179*INDEX(Справочники!$B$4:$B$7,MATCH("RUB",Справочники!$A$4:$A$7,0)))</f>
        <v/>
      </c>
      <c r="AR179" s="90" t="str">
        <f aca="false">IF(AQ179="","",ROUND(AQ179*(1+Справочники!$B$12),0))</f>
        <v/>
      </c>
      <c r="AS179" s="90" t="str">
        <f aca="false">IF(AR179="","",ROUND(AR179*(1-Справочники!$B$11),0))</f>
        <v/>
      </c>
      <c r="AT179" s="88"/>
      <c r="AU179" s="90" t="str">
        <f aca="false">IF(AT179="","",ROUND(AT179/(1+Справочники!$B$12),0))</f>
        <v/>
      </c>
      <c r="AV179" s="90" t="str">
        <f aca="false">IF(AT179="","",ROUND(AT179*(1-Справочники!$B$15),0))</f>
        <v/>
      </c>
      <c r="AW179" s="90" t="str">
        <f aca="false">IF(AT179="","",ROUND(AT179*(1-Справочники!$B$16),0))</f>
        <v/>
      </c>
      <c r="AX179" s="90" t="str">
        <f aca="false">IF(AT179="","",ROUND(AT179*(1-Справочники!$B$17),0))</f>
        <v/>
      </c>
      <c r="AY179" s="90" t="str">
        <f aca="false">IF(AT179="","",ROUND(AT179*(1-Справочники!$B$18),0))</f>
        <v/>
      </c>
      <c r="AZ179" s="90" t="str">
        <f aca="false">IF(AT179="","",ROUND(AT179*(1-Справочники!$B$19),0))</f>
        <v/>
      </c>
      <c r="BA179" s="81"/>
      <c r="BB179" s="81"/>
      <c r="BC179" s="81"/>
      <c r="BD179" s="81"/>
      <c r="BE179" s="91"/>
      <c r="BF179" s="81" t="s">
        <v>103</v>
      </c>
      <c r="BG179" s="89" t="n">
        <f aca="false" t="array" ref="BG179:BG179">IF(BF179="","",IFERROR(INDEX(Справочники!$B$4:$B$7,MATCH(BF179,Справочники!$A$4:$A$7,0)),""))</f>
        <v>68.5</v>
      </c>
      <c r="BH179" s="90" t="str">
        <f aca="false">IF(N(BN179)&gt;0,ROUND(SUMIF(ЗАКАЗЫ!$F$3:$F$500,$A179,ЗАКАЗЫ!$Y$3:$Y$500)/BN179,0),IF(OR(BE179="",BG179=""),"",ROUND(BE179*BG179*(1+Справочники!$B$10),0)))</f>
        <v/>
      </c>
      <c r="BI179" s="92" t="str">
        <f aca="false">IF(OR(AU179="",BH179="",AU179=0),"",(AU179-BH179)/AU179)</f>
        <v/>
      </c>
      <c r="BJ179" s="81"/>
      <c r="BK179" s="83"/>
      <c r="BL179" s="43" t="str">
        <f aca="false">IFERROR(INDEX(ЗАКАЗЫ!$N$3:$N$500,MATCH($A179,ЗАКАЗЫ!$F$3:$F$500,0)),"")</f>
        <v/>
      </c>
      <c r="BM179" s="8" t="str">
        <f aca="false">IF(BL179="","",IFERROR(VLOOKUP(BL179,'ТН ВЭД'!$A$4:$C$40,3,0),""))</f>
        <v/>
      </c>
      <c r="BN179" s="7" t="str">
        <f aca="false">IF(COUNTIF(ЗАКАЗЫ!$F$3:$F$500,$A179)=0,"",SUMIF(ЗАКАЗЫ!$F$3:$F$500,$A179,ЗАКАЗЫ!$J$3:$J$500))</f>
        <v/>
      </c>
      <c r="BO179" s="7" t="str">
        <f aca="false">IF(BN179="","",SUMIF(ЗАКАЗЫ!$F$3:$F$500,$A179,ЗАКАЗЫ!$AL$3:$AL$500))</f>
        <v/>
      </c>
      <c r="BP179" s="7" t="str">
        <f aca="false">IF(BN179="","",BN179-BO179)</f>
        <v/>
      </c>
      <c r="BQ179" s="55" t="str">
        <f aca="false">IF(BN179="","",IF(BO179&gt;=BN179,"На складе",IF(BO179&gt;0,"Частично","Ждём")))</f>
        <v/>
      </c>
      <c r="BR179" s="43"/>
      <c r="BS179" s="47" t="str">
        <f aca="false">IF(BN179="","",IF(_xlfn.MAXIFS(ЗАКАЗЫ!$AK$3:$AK$500,ЗАКАЗЫ!$F$3:$F$500,$A179)=0,"",_xlfn.MAXIFS(ЗАКАЗЫ!$AK$3:$AK$500,ЗАКАЗЫ!$F$3:$F$500,$A179)))</f>
        <v/>
      </c>
    </row>
    <row r="180" customFormat="false" ht="15.75" hidden="false" customHeight="true" outlineLevel="0" collapsed="false">
      <c r="A180" s="80" t="s">
        <v>2374</v>
      </c>
      <c r="B180" s="81"/>
      <c r="C180" s="81"/>
      <c r="D180" s="81"/>
      <c r="E180" s="83"/>
      <c r="F180" s="81"/>
      <c r="G180" s="83"/>
      <c r="H180" s="83"/>
      <c r="I180" s="84" t="str">
        <f aca="false">IF(E180="","",A180&amp;"_1.jpg")</f>
        <v/>
      </c>
      <c r="J180" s="84" t="str">
        <f aca="false">IF(E180="","",A180&amp;"_2.jpg; "&amp;A180&amp;"_3.jpg")</f>
        <v/>
      </c>
      <c r="K180" s="84" t="str">
        <f aca="false">IF(E180="","",A180&amp;"_schema.jpg")</f>
        <v/>
      </c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 t="s">
        <v>96</v>
      </c>
      <c r="W180" s="81"/>
      <c r="X180" s="81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6" t="str">
        <f aca="false">IF(SUM(Y180:AJ180)=0,"",SUM(Y180:AJ180))</f>
        <v/>
      </c>
      <c r="AL180" s="84" t="str">
        <f aca="false">MID(IF(N(Y180)&gt;0,", "&amp;Y$2,"")&amp;IF(N(Z180)&gt;0,", "&amp;Z$2,"")&amp;IF(N(AA180)&gt;0,", "&amp;AA$2,"")&amp;IF(N(AB180)&gt;0,", "&amp;AB$2,"")&amp;IF(N(AC180)&gt;0,", "&amp;AC$2,"")&amp;IF(N(AD180)&gt;0,", "&amp;AD$2,"")&amp;IF(N(AE180)&gt;0,", "&amp;AE$2,"")&amp;IF(N(AF180)&gt;0,", "&amp;AF$2,"")&amp;IF(N(AG180)&gt;0,", "&amp;AG$2,"")&amp;IF(N(AH180)&gt;0,", "&amp;AH$2,"")&amp;IF(N(AI180)&gt;0,", "&amp;AI$2,"")&amp;IF(N(AJ180)&gt;0,", "&amp;AJ$2,""),3,999)</f>
        <v/>
      </c>
      <c r="AM180" s="87" t="str">
        <f aca="false">IF(E180="","",MID(IF(N(Y180)&gt;0,", "&amp;A180&amp;"-"&amp;Y$2,"")&amp;IF(N(Z180)&gt;0,", "&amp;A180&amp;"-"&amp;Z$2,"")&amp;IF(N(AA180)&gt;0,", "&amp;A180&amp;"-"&amp;AA$2,"")&amp;IF(N(AB180)&gt;0,", "&amp;A180&amp;"-"&amp;AB$2,"")&amp;IF(N(AC180)&gt;0,", "&amp;A180&amp;"-"&amp;AC$2,"")&amp;IF(N(AD180)&gt;0,", "&amp;A180&amp;"-"&amp;AD$2,"")&amp;IF(N(AE180)&gt;0,", "&amp;A180&amp;"-"&amp;AE$2,"")&amp;IF(N(AF180)&gt;0,", "&amp;A180&amp;"-"&amp;AF$2,"")&amp;IF(N(AG180)&gt;0,", "&amp;A180&amp;"-"&amp;AG$2,"")&amp;IF(N(AH180)&gt;0,", "&amp;A180&amp;"-"&amp;AH$2,"")&amp;IF(N(AI180)&gt;0,", "&amp;A180&amp;"-"&amp;AI$2,"")&amp;IF(N(AJ180)&gt;0,", "&amp;A180&amp;"-"&amp;AJ$2,""),3,999))</f>
        <v/>
      </c>
      <c r="AN180" s="81"/>
      <c r="AO180" s="88"/>
      <c r="AP180" s="89" t="str">
        <f aca="false">IF(AO180="","",ROUND(AO180/(1+Справочники!$B$13),2))</f>
        <v/>
      </c>
      <c r="AQ180" s="90" t="str">
        <f aca="false" t="array" ref="AQ180:AQ180">IF(AP180="","",AP180*INDEX(Справочники!$B$4:$B$7,MATCH("RUB",Справочники!$A$4:$A$7,0)))</f>
        <v/>
      </c>
      <c r="AR180" s="90" t="str">
        <f aca="false">IF(AQ180="","",ROUND(AQ180*(1+Справочники!$B$12),0))</f>
        <v/>
      </c>
      <c r="AS180" s="90" t="str">
        <f aca="false">IF(AR180="","",ROUND(AR180*(1-Справочники!$B$11),0))</f>
        <v/>
      </c>
      <c r="AT180" s="88"/>
      <c r="AU180" s="90" t="str">
        <f aca="false">IF(AT180="","",ROUND(AT180/(1+Справочники!$B$12),0))</f>
        <v/>
      </c>
      <c r="AV180" s="90" t="str">
        <f aca="false">IF(AT180="","",ROUND(AT180*(1-Справочники!$B$15),0))</f>
        <v/>
      </c>
      <c r="AW180" s="90" t="str">
        <f aca="false">IF(AT180="","",ROUND(AT180*(1-Справочники!$B$16),0))</f>
        <v/>
      </c>
      <c r="AX180" s="90" t="str">
        <f aca="false">IF(AT180="","",ROUND(AT180*(1-Справочники!$B$17),0))</f>
        <v/>
      </c>
      <c r="AY180" s="90" t="str">
        <f aca="false">IF(AT180="","",ROUND(AT180*(1-Справочники!$B$18),0))</f>
        <v/>
      </c>
      <c r="AZ180" s="90" t="str">
        <f aca="false">IF(AT180="","",ROUND(AT180*(1-Справочники!$B$19),0))</f>
        <v/>
      </c>
      <c r="BA180" s="81"/>
      <c r="BB180" s="81"/>
      <c r="BC180" s="81"/>
      <c r="BD180" s="81"/>
      <c r="BE180" s="91"/>
      <c r="BF180" s="81" t="s">
        <v>103</v>
      </c>
      <c r="BG180" s="89" t="n">
        <f aca="false" t="array" ref="BG180:BG180">IF(BF180="","",IFERROR(INDEX(Справочники!$B$4:$B$7,MATCH(BF180,Справочники!$A$4:$A$7,0)),""))</f>
        <v>68.5</v>
      </c>
      <c r="BH180" s="90" t="str">
        <f aca="false">IF(N(BN180)&gt;0,ROUND(SUMIF(ЗАКАЗЫ!$F$3:$F$500,$A180,ЗАКАЗЫ!$Y$3:$Y$500)/BN180,0),IF(OR(BE180="",BG180=""),"",ROUND(BE180*BG180*(1+Справочники!$B$10),0)))</f>
        <v/>
      </c>
      <c r="BI180" s="92" t="str">
        <f aca="false">IF(OR(AU180="",BH180="",AU180=0),"",(AU180-BH180)/AU180)</f>
        <v/>
      </c>
      <c r="BJ180" s="81"/>
      <c r="BK180" s="83"/>
      <c r="BL180" s="43" t="str">
        <f aca="false">IFERROR(INDEX(ЗАКАЗЫ!$N$3:$N$500,MATCH($A180,ЗАКАЗЫ!$F$3:$F$500,0)),"")</f>
        <v/>
      </c>
      <c r="BM180" s="8" t="str">
        <f aca="false">IF(BL180="","",IFERROR(VLOOKUP(BL180,'ТН ВЭД'!$A$4:$C$40,3,0),""))</f>
        <v/>
      </c>
      <c r="BN180" s="7" t="str">
        <f aca="false">IF(COUNTIF(ЗАКАЗЫ!$F$3:$F$500,$A180)=0,"",SUMIF(ЗАКАЗЫ!$F$3:$F$500,$A180,ЗАКАЗЫ!$J$3:$J$500))</f>
        <v/>
      </c>
      <c r="BO180" s="7" t="str">
        <f aca="false">IF(BN180="","",SUMIF(ЗАКАЗЫ!$F$3:$F$500,$A180,ЗАКАЗЫ!$AL$3:$AL$500))</f>
        <v/>
      </c>
      <c r="BP180" s="7" t="str">
        <f aca="false">IF(BN180="","",BN180-BO180)</f>
        <v/>
      </c>
      <c r="BQ180" s="55" t="str">
        <f aca="false">IF(BN180="","",IF(BO180&gt;=BN180,"На складе",IF(BO180&gt;0,"Частично","Ждём")))</f>
        <v/>
      </c>
      <c r="BR180" s="43"/>
      <c r="BS180" s="47" t="str">
        <f aca="false">IF(BN180="","",IF(_xlfn.MAXIFS(ЗАКАЗЫ!$AK$3:$AK$500,ЗАКАЗЫ!$F$3:$F$500,$A180)=0,"",_xlfn.MAXIFS(ЗАКАЗЫ!$AK$3:$AK$500,ЗАКАЗЫ!$F$3:$F$500,$A180)))</f>
        <v/>
      </c>
    </row>
    <row r="181" customFormat="false" ht="15.75" hidden="false" customHeight="true" outlineLevel="0" collapsed="false">
      <c r="A181" s="80" t="s">
        <v>2375</v>
      </c>
      <c r="B181" s="81"/>
      <c r="C181" s="81"/>
      <c r="D181" s="81"/>
      <c r="E181" s="83"/>
      <c r="F181" s="81"/>
      <c r="G181" s="83"/>
      <c r="H181" s="83"/>
      <c r="I181" s="84" t="str">
        <f aca="false">IF(E181="","",A181&amp;"_1.jpg")</f>
        <v/>
      </c>
      <c r="J181" s="84" t="str">
        <f aca="false">IF(E181="","",A181&amp;"_2.jpg; "&amp;A181&amp;"_3.jpg")</f>
        <v/>
      </c>
      <c r="K181" s="84" t="str">
        <f aca="false">IF(E181="","",A181&amp;"_schema.jpg")</f>
        <v/>
      </c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 t="s">
        <v>96</v>
      </c>
      <c r="W181" s="81"/>
      <c r="X181" s="81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6" t="str">
        <f aca="false">IF(SUM(Y181:AJ181)=0,"",SUM(Y181:AJ181))</f>
        <v/>
      </c>
      <c r="AL181" s="84" t="str">
        <f aca="false">MID(IF(N(Y181)&gt;0,", "&amp;Y$2,"")&amp;IF(N(Z181)&gt;0,", "&amp;Z$2,"")&amp;IF(N(AA181)&gt;0,", "&amp;AA$2,"")&amp;IF(N(AB181)&gt;0,", "&amp;AB$2,"")&amp;IF(N(AC181)&gt;0,", "&amp;AC$2,"")&amp;IF(N(AD181)&gt;0,", "&amp;AD$2,"")&amp;IF(N(AE181)&gt;0,", "&amp;AE$2,"")&amp;IF(N(AF181)&gt;0,", "&amp;AF$2,"")&amp;IF(N(AG181)&gt;0,", "&amp;AG$2,"")&amp;IF(N(AH181)&gt;0,", "&amp;AH$2,"")&amp;IF(N(AI181)&gt;0,", "&amp;AI$2,"")&amp;IF(N(AJ181)&gt;0,", "&amp;AJ$2,""),3,999)</f>
        <v/>
      </c>
      <c r="AM181" s="87" t="str">
        <f aca="false">IF(E181="","",MID(IF(N(Y181)&gt;0,", "&amp;A181&amp;"-"&amp;Y$2,"")&amp;IF(N(Z181)&gt;0,", "&amp;A181&amp;"-"&amp;Z$2,"")&amp;IF(N(AA181)&gt;0,", "&amp;A181&amp;"-"&amp;AA$2,"")&amp;IF(N(AB181)&gt;0,", "&amp;A181&amp;"-"&amp;AB$2,"")&amp;IF(N(AC181)&gt;0,", "&amp;A181&amp;"-"&amp;AC$2,"")&amp;IF(N(AD181)&gt;0,", "&amp;A181&amp;"-"&amp;AD$2,"")&amp;IF(N(AE181)&gt;0,", "&amp;A181&amp;"-"&amp;AE$2,"")&amp;IF(N(AF181)&gt;0,", "&amp;A181&amp;"-"&amp;AF$2,"")&amp;IF(N(AG181)&gt;0,", "&amp;A181&amp;"-"&amp;AG$2,"")&amp;IF(N(AH181)&gt;0,", "&amp;A181&amp;"-"&amp;AH$2,"")&amp;IF(N(AI181)&gt;0,", "&amp;A181&amp;"-"&amp;AI$2,"")&amp;IF(N(AJ181)&gt;0,", "&amp;A181&amp;"-"&amp;AJ$2,""),3,999))</f>
        <v/>
      </c>
      <c r="AN181" s="81"/>
      <c r="AO181" s="88"/>
      <c r="AP181" s="89" t="str">
        <f aca="false">IF(AO181="","",ROUND(AO181/(1+Справочники!$B$13),2))</f>
        <v/>
      </c>
      <c r="AQ181" s="90" t="str">
        <f aca="false" t="array" ref="AQ181:AQ181">IF(AP181="","",AP181*INDEX(Справочники!$B$4:$B$7,MATCH("RUB",Справочники!$A$4:$A$7,0)))</f>
        <v/>
      </c>
      <c r="AR181" s="90" t="str">
        <f aca="false">IF(AQ181="","",ROUND(AQ181*(1+Справочники!$B$12),0))</f>
        <v/>
      </c>
      <c r="AS181" s="90" t="str">
        <f aca="false">IF(AR181="","",ROUND(AR181*(1-Справочники!$B$11),0))</f>
        <v/>
      </c>
      <c r="AT181" s="88"/>
      <c r="AU181" s="90" t="str">
        <f aca="false">IF(AT181="","",ROUND(AT181/(1+Справочники!$B$12),0))</f>
        <v/>
      </c>
      <c r="AV181" s="90" t="str">
        <f aca="false">IF(AT181="","",ROUND(AT181*(1-Справочники!$B$15),0))</f>
        <v/>
      </c>
      <c r="AW181" s="90" t="str">
        <f aca="false">IF(AT181="","",ROUND(AT181*(1-Справочники!$B$16),0))</f>
        <v/>
      </c>
      <c r="AX181" s="90" t="str">
        <f aca="false">IF(AT181="","",ROUND(AT181*(1-Справочники!$B$17),0))</f>
        <v/>
      </c>
      <c r="AY181" s="90" t="str">
        <f aca="false">IF(AT181="","",ROUND(AT181*(1-Справочники!$B$18),0))</f>
        <v/>
      </c>
      <c r="AZ181" s="90" t="str">
        <f aca="false">IF(AT181="","",ROUND(AT181*(1-Справочники!$B$19),0))</f>
        <v/>
      </c>
      <c r="BA181" s="81"/>
      <c r="BB181" s="81"/>
      <c r="BC181" s="81"/>
      <c r="BD181" s="81"/>
      <c r="BE181" s="91"/>
      <c r="BF181" s="81" t="s">
        <v>103</v>
      </c>
      <c r="BG181" s="89" t="n">
        <f aca="false" t="array" ref="BG181:BG181">IF(BF181="","",IFERROR(INDEX(Справочники!$B$4:$B$7,MATCH(BF181,Справочники!$A$4:$A$7,0)),""))</f>
        <v>68.5</v>
      </c>
      <c r="BH181" s="90" t="str">
        <f aca="false">IF(N(BN181)&gt;0,ROUND(SUMIF(ЗАКАЗЫ!$F$3:$F$500,$A181,ЗАКАЗЫ!$Y$3:$Y$500)/BN181,0),IF(OR(BE181="",BG181=""),"",ROUND(BE181*BG181*(1+Справочники!$B$10),0)))</f>
        <v/>
      </c>
      <c r="BI181" s="92" t="str">
        <f aca="false">IF(OR(AU181="",BH181="",AU181=0),"",(AU181-BH181)/AU181)</f>
        <v/>
      </c>
      <c r="BJ181" s="81"/>
      <c r="BK181" s="83"/>
      <c r="BL181" s="43" t="str">
        <f aca="false">IFERROR(INDEX(ЗАКАЗЫ!$N$3:$N$500,MATCH($A181,ЗАКАЗЫ!$F$3:$F$500,0)),"")</f>
        <v/>
      </c>
      <c r="BM181" s="8" t="str">
        <f aca="false">IF(BL181="","",IFERROR(VLOOKUP(BL181,'ТН ВЭД'!$A$4:$C$40,3,0),""))</f>
        <v/>
      </c>
      <c r="BN181" s="7" t="str">
        <f aca="false">IF(COUNTIF(ЗАКАЗЫ!$F$3:$F$500,$A181)=0,"",SUMIF(ЗАКАЗЫ!$F$3:$F$500,$A181,ЗАКАЗЫ!$J$3:$J$500))</f>
        <v/>
      </c>
      <c r="BO181" s="7" t="str">
        <f aca="false">IF(BN181="","",SUMIF(ЗАКАЗЫ!$F$3:$F$500,$A181,ЗАКАЗЫ!$AL$3:$AL$500))</f>
        <v/>
      </c>
      <c r="BP181" s="7" t="str">
        <f aca="false">IF(BN181="","",BN181-BO181)</f>
        <v/>
      </c>
      <c r="BQ181" s="55" t="str">
        <f aca="false">IF(BN181="","",IF(BO181&gt;=BN181,"На складе",IF(BO181&gt;0,"Частично","Ждём")))</f>
        <v/>
      </c>
      <c r="BR181" s="43"/>
      <c r="BS181" s="47" t="str">
        <f aca="false">IF(BN181="","",IF(_xlfn.MAXIFS(ЗАКАЗЫ!$AK$3:$AK$500,ЗАКАЗЫ!$F$3:$F$500,$A181)=0,"",_xlfn.MAXIFS(ЗАКАЗЫ!$AK$3:$AK$500,ЗАКАЗЫ!$F$3:$F$500,$A181)))</f>
        <v/>
      </c>
    </row>
    <row r="182" customFormat="false" ht="15.75" hidden="false" customHeight="true" outlineLevel="0" collapsed="false">
      <c r="A182" s="80" t="s">
        <v>2376</v>
      </c>
      <c r="B182" s="81"/>
      <c r="C182" s="81"/>
      <c r="D182" s="81"/>
      <c r="E182" s="83"/>
      <c r="F182" s="81"/>
      <c r="G182" s="83"/>
      <c r="H182" s="83"/>
      <c r="I182" s="84" t="str">
        <f aca="false">IF(E182="","",A182&amp;"_1.jpg")</f>
        <v/>
      </c>
      <c r="J182" s="84" t="str">
        <f aca="false">IF(E182="","",A182&amp;"_2.jpg; "&amp;A182&amp;"_3.jpg")</f>
        <v/>
      </c>
      <c r="K182" s="84" t="str">
        <f aca="false">IF(E182="","",A182&amp;"_schema.jpg")</f>
        <v/>
      </c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 t="s">
        <v>96</v>
      </c>
      <c r="W182" s="81"/>
      <c r="X182" s="81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6" t="str">
        <f aca="false">IF(SUM(Y182:AJ182)=0,"",SUM(Y182:AJ182))</f>
        <v/>
      </c>
      <c r="AL182" s="84" t="str">
        <f aca="false">MID(IF(N(Y182)&gt;0,", "&amp;Y$2,"")&amp;IF(N(Z182)&gt;0,", "&amp;Z$2,"")&amp;IF(N(AA182)&gt;0,", "&amp;AA$2,"")&amp;IF(N(AB182)&gt;0,", "&amp;AB$2,"")&amp;IF(N(AC182)&gt;0,", "&amp;AC$2,"")&amp;IF(N(AD182)&gt;0,", "&amp;AD$2,"")&amp;IF(N(AE182)&gt;0,", "&amp;AE$2,"")&amp;IF(N(AF182)&gt;0,", "&amp;AF$2,"")&amp;IF(N(AG182)&gt;0,", "&amp;AG$2,"")&amp;IF(N(AH182)&gt;0,", "&amp;AH$2,"")&amp;IF(N(AI182)&gt;0,", "&amp;AI$2,"")&amp;IF(N(AJ182)&gt;0,", "&amp;AJ$2,""),3,999)</f>
        <v/>
      </c>
      <c r="AM182" s="87" t="str">
        <f aca="false">IF(E182="","",MID(IF(N(Y182)&gt;0,", "&amp;A182&amp;"-"&amp;Y$2,"")&amp;IF(N(Z182)&gt;0,", "&amp;A182&amp;"-"&amp;Z$2,"")&amp;IF(N(AA182)&gt;0,", "&amp;A182&amp;"-"&amp;AA$2,"")&amp;IF(N(AB182)&gt;0,", "&amp;A182&amp;"-"&amp;AB$2,"")&amp;IF(N(AC182)&gt;0,", "&amp;A182&amp;"-"&amp;AC$2,"")&amp;IF(N(AD182)&gt;0,", "&amp;A182&amp;"-"&amp;AD$2,"")&amp;IF(N(AE182)&gt;0,", "&amp;A182&amp;"-"&amp;AE$2,"")&amp;IF(N(AF182)&gt;0,", "&amp;A182&amp;"-"&amp;AF$2,"")&amp;IF(N(AG182)&gt;0,", "&amp;A182&amp;"-"&amp;AG$2,"")&amp;IF(N(AH182)&gt;0,", "&amp;A182&amp;"-"&amp;AH$2,"")&amp;IF(N(AI182)&gt;0,", "&amp;A182&amp;"-"&amp;AI$2,"")&amp;IF(N(AJ182)&gt;0,", "&amp;A182&amp;"-"&amp;AJ$2,""),3,999))</f>
        <v/>
      </c>
      <c r="AN182" s="81"/>
      <c r="AO182" s="88"/>
      <c r="AP182" s="89" t="str">
        <f aca="false">IF(AO182="","",ROUND(AO182/(1+Справочники!$B$13),2))</f>
        <v/>
      </c>
      <c r="AQ182" s="90" t="str">
        <f aca="false" t="array" ref="AQ182:AQ182">IF(AP182="","",AP182*INDEX(Справочники!$B$4:$B$7,MATCH("RUB",Справочники!$A$4:$A$7,0)))</f>
        <v/>
      </c>
      <c r="AR182" s="90" t="str">
        <f aca="false">IF(AQ182="","",ROUND(AQ182*(1+Справочники!$B$12),0))</f>
        <v/>
      </c>
      <c r="AS182" s="90" t="str">
        <f aca="false">IF(AR182="","",ROUND(AR182*(1-Справочники!$B$11),0))</f>
        <v/>
      </c>
      <c r="AT182" s="88"/>
      <c r="AU182" s="90" t="str">
        <f aca="false">IF(AT182="","",ROUND(AT182/(1+Справочники!$B$12),0))</f>
        <v/>
      </c>
      <c r="AV182" s="90" t="str">
        <f aca="false">IF(AT182="","",ROUND(AT182*(1-Справочники!$B$15),0))</f>
        <v/>
      </c>
      <c r="AW182" s="90" t="str">
        <f aca="false">IF(AT182="","",ROUND(AT182*(1-Справочники!$B$16),0))</f>
        <v/>
      </c>
      <c r="AX182" s="90" t="str">
        <f aca="false">IF(AT182="","",ROUND(AT182*(1-Справочники!$B$17),0))</f>
        <v/>
      </c>
      <c r="AY182" s="90" t="str">
        <f aca="false">IF(AT182="","",ROUND(AT182*(1-Справочники!$B$18),0))</f>
        <v/>
      </c>
      <c r="AZ182" s="90" t="str">
        <f aca="false">IF(AT182="","",ROUND(AT182*(1-Справочники!$B$19),0))</f>
        <v/>
      </c>
      <c r="BA182" s="81"/>
      <c r="BB182" s="81"/>
      <c r="BC182" s="81"/>
      <c r="BD182" s="81"/>
      <c r="BE182" s="91"/>
      <c r="BF182" s="81" t="s">
        <v>103</v>
      </c>
      <c r="BG182" s="89" t="n">
        <f aca="false" t="array" ref="BG182:BG182">IF(BF182="","",IFERROR(INDEX(Справочники!$B$4:$B$7,MATCH(BF182,Справочники!$A$4:$A$7,0)),""))</f>
        <v>68.5</v>
      </c>
      <c r="BH182" s="90" t="str">
        <f aca="false">IF(N(BN182)&gt;0,ROUND(SUMIF(ЗАКАЗЫ!$F$3:$F$500,$A182,ЗАКАЗЫ!$Y$3:$Y$500)/BN182,0),IF(OR(BE182="",BG182=""),"",ROUND(BE182*BG182*(1+Справочники!$B$10),0)))</f>
        <v/>
      </c>
      <c r="BI182" s="92" t="str">
        <f aca="false">IF(OR(AU182="",BH182="",AU182=0),"",(AU182-BH182)/AU182)</f>
        <v/>
      </c>
      <c r="BJ182" s="81"/>
      <c r="BK182" s="83"/>
      <c r="BL182" s="43" t="str">
        <f aca="false">IFERROR(INDEX(ЗАКАЗЫ!$N$3:$N$500,MATCH($A182,ЗАКАЗЫ!$F$3:$F$500,0)),"")</f>
        <v/>
      </c>
      <c r="BM182" s="8" t="str">
        <f aca="false">IF(BL182="","",IFERROR(VLOOKUP(BL182,'ТН ВЭД'!$A$4:$C$40,3,0),""))</f>
        <v/>
      </c>
      <c r="BN182" s="7" t="str">
        <f aca="false">IF(COUNTIF(ЗАКАЗЫ!$F$3:$F$500,$A182)=0,"",SUMIF(ЗАКАЗЫ!$F$3:$F$500,$A182,ЗАКАЗЫ!$J$3:$J$500))</f>
        <v/>
      </c>
      <c r="BO182" s="7" t="str">
        <f aca="false">IF(BN182="","",SUMIF(ЗАКАЗЫ!$F$3:$F$500,$A182,ЗАКАЗЫ!$AL$3:$AL$500))</f>
        <v/>
      </c>
      <c r="BP182" s="7" t="str">
        <f aca="false">IF(BN182="","",BN182-BO182)</f>
        <v/>
      </c>
      <c r="BQ182" s="55" t="str">
        <f aca="false">IF(BN182="","",IF(BO182&gt;=BN182,"На складе",IF(BO182&gt;0,"Частично","Ждём")))</f>
        <v/>
      </c>
      <c r="BR182" s="43"/>
      <c r="BS182" s="47" t="str">
        <f aca="false">IF(BN182="","",IF(_xlfn.MAXIFS(ЗАКАЗЫ!$AK$3:$AK$500,ЗАКАЗЫ!$F$3:$F$500,$A182)=0,"",_xlfn.MAXIFS(ЗАКАЗЫ!$AK$3:$AK$500,ЗАКАЗЫ!$F$3:$F$500,$A182)))</f>
        <v/>
      </c>
    </row>
    <row r="183" customFormat="false" ht="15.75" hidden="false" customHeight="true" outlineLevel="0" collapsed="false">
      <c r="A183" s="80" t="s">
        <v>2377</v>
      </c>
      <c r="B183" s="81"/>
      <c r="C183" s="81"/>
      <c r="D183" s="81"/>
      <c r="E183" s="83"/>
      <c r="F183" s="81"/>
      <c r="G183" s="83"/>
      <c r="H183" s="83"/>
      <c r="I183" s="84" t="str">
        <f aca="false">IF(E183="","",A183&amp;"_1.jpg")</f>
        <v/>
      </c>
      <c r="J183" s="84" t="str">
        <f aca="false">IF(E183="","",A183&amp;"_2.jpg; "&amp;A183&amp;"_3.jpg")</f>
        <v/>
      </c>
      <c r="K183" s="84" t="str">
        <f aca="false">IF(E183="","",A183&amp;"_schema.jpg")</f>
        <v/>
      </c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 t="s">
        <v>96</v>
      </c>
      <c r="W183" s="81"/>
      <c r="X183" s="81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6" t="str">
        <f aca="false">IF(SUM(Y183:AJ183)=0,"",SUM(Y183:AJ183))</f>
        <v/>
      </c>
      <c r="AL183" s="84" t="str">
        <f aca="false">MID(IF(N(Y183)&gt;0,", "&amp;Y$2,"")&amp;IF(N(Z183)&gt;0,", "&amp;Z$2,"")&amp;IF(N(AA183)&gt;0,", "&amp;AA$2,"")&amp;IF(N(AB183)&gt;0,", "&amp;AB$2,"")&amp;IF(N(AC183)&gt;0,", "&amp;AC$2,"")&amp;IF(N(AD183)&gt;0,", "&amp;AD$2,"")&amp;IF(N(AE183)&gt;0,", "&amp;AE$2,"")&amp;IF(N(AF183)&gt;0,", "&amp;AF$2,"")&amp;IF(N(AG183)&gt;0,", "&amp;AG$2,"")&amp;IF(N(AH183)&gt;0,", "&amp;AH$2,"")&amp;IF(N(AI183)&gt;0,", "&amp;AI$2,"")&amp;IF(N(AJ183)&gt;0,", "&amp;AJ$2,""),3,999)</f>
        <v/>
      </c>
      <c r="AM183" s="87" t="str">
        <f aca="false">IF(E183="","",MID(IF(N(Y183)&gt;0,", "&amp;A183&amp;"-"&amp;Y$2,"")&amp;IF(N(Z183)&gt;0,", "&amp;A183&amp;"-"&amp;Z$2,"")&amp;IF(N(AA183)&gt;0,", "&amp;A183&amp;"-"&amp;AA$2,"")&amp;IF(N(AB183)&gt;0,", "&amp;A183&amp;"-"&amp;AB$2,"")&amp;IF(N(AC183)&gt;0,", "&amp;A183&amp;"-"&amp;AC$2,"")&amp;IF(N(AD183)&gt;0,", "&amp;A183&amp;"-"&amp;AD$2,"")&amp;IF(N(AE183)&gt;0,", "&amp;A183&amp;"-"&amp;AE$2,"")&amp;IF(N(AF183)&gt;0,", "&amp;A183&amp;"-"&amp;AF$2,"")&amp;IF(N(AG183)&gt;0,", "&amp;A183&amp;"-"&amp;AG$2,"")&amp;IF(N(AH183)&gt;0,", "&amp;A183&amp;"-"&amp;AH$2,"")&amp;IF(N(AI183)&gt;0,", "&amp;A183&amp;"-"&amp;AI$2,"")&amp;IF(N(AJ183)&gt;0,", "&amp;A183&amp;"-"&amp;AJ$2,""),3,999))</f>
        <v/>
      </c>
      <c r="AN183" s="81"/>
      <c r="AO183" s="88"/>
      <c r="AP183" s="89" t="str">
        <f aca="false">IF(AO183="","",ROUND(AO183/(1+Справочники!$B$13),2))</f>
        <v/>
      </c>
      <c r="AQ183" s="90" t="str">
        <f aca="false" t="array" ref="AQ183:AQ183">IF(AP183="","",AP183*INDEX(Справочники!$B$4:$B$7,MATCH("RUB",Справочники!$A$4:$A$7,0)))</f>
        <v/>
      </c>
      <c r="AR183" s="90" t="str">
        <f aca="false">IF(AQ183="","",ROUND(AQ183*(1+Справочники!$B$12),0))</f>
        <v/>
      </c>
      <c r="AS183" s="90" t="str">
        <f aca="false">IF(AR183="","",ROUND(AR183*(1-Справочники!$B$11),0))</f>
        <v/>
      </c>
      <c r="AT183" s="88"/>
      <c r="AU183" s="90" t="str">
        <f aca="false">IF(AT183="","",ROUND(AT183/(1+Справочники!$B$12),0))</f>
        <v/>
      </c>
      <c r="AV183" s="90" t="str">
        <f aca="false">IF(AT183="","",ROUND(AT183*(1-Справочники!$B$15),0))</f>
        <v/>
      </c>
      <c r="AW183" s="90" t="str">
        <f aca="false">IF(AT183="","",ROUND(AT183*(1-Справочники!$B$16),0))</f>
        <v/>
      </c>
      <c r="AX183" s="90" t="str">
        <f aca="false">IF(AT183="","",ROUND(AT183*(1-Справочники!$B$17),0))</f>
        <v/>
      </c>
      <c r="AY183" s="90" t="str">
        <f aca="false">IF(AT183="","",ROUND(AT183*(1-Справочники!$B$18),0))</f>
        <v/>
      </c>
      <c r="AZ183" s="90" t="str">
        <f aca="false">IF(AT183="","",ROUND(AT183*(1-Справочники!$B$19),0))</f>
        <v/>
      </c>
      <c r="BA183" s="81"/>
      <c r="BB183" s="81"/>
      <c r="BC183" s="81"/>
      <c r="BD183" s="81"/>
      <c r="BE183" s="91"/>
      <c r="BF183" s="81" t="s">
        <v>103</v>
      </c>
      <c r="BG183" s="89" t="n">
        <f aca="false" t="array" ref="BG183:BG183">IF(BF183="","",IFERROR(INDEX(Справочники!$B$4:$B$7,MATCH(BF183,Справочники!$A$4:$A$7,0)),""))</f>
        <v>68.5</v>
      </c>
      <c r="BH183" s="90" t="str">
        <f aca="false">IF(N(BN183)&gt;0,ROUND(SUMIF(ЗАКАЗЫ!$F$3:$F$500,$A183,ЗАКАЗЫ!$Y$3:$Y$500)/BN183,0),IF(OR(BE183="",BG183=""),"",ROUND(BE183*BG183*(1+Справочники!$B$10),0)))</f>
        <v/>
      </c>
      <c r="BI183" s="92" t="str">
        <f aca="false">IF(OR(AU183="",BH183="",AU183=0),"",(AU183-BH183)/AU183)</f>
        <v/>
      </c>
      <c r="BJ183" s="81"/>
      <c r="BK183" s="83"/>
      <c r="BL183" s="43" t="str">
        <f aca="false">IFERROR(INDEX(ЗАКАЗЫ!$N$3:$N$500,MATCH($A183,ЗАКАЗЫ!$F$3:$F$500,0)),"")</f>
        <v/>
      </c>
      <c r="BM183" s="8" t="str">
        <f aca="false">IF(BL183="","",IFERROR(VLOOKUP(BL183,'ТН ВЭД'!$A$4:$C$40,3,0),""))</f>
        <v/>
      </c>
      <c r="BN183" s="7" t="str">
        <f aca="false">IF(COUNTIF(ЗАКАЗЫ!$F$3:$F$500,$A183)=0,"",SUMIF(ЗАКАЗЫ!$F$3:$F$500,$A183,ЗАКАЗЫ!$J$3:$J$500))</f>
        <v/>
      </c>
      <c r="BO183" s="7" t="str">
        <f aca="false">IF(BN183="","",SUMIF(ЗАКАЗЫ!$F$3:$F$500,$A183,ЗАКАЗЫ!$AL$3:$AL$500))</f>
        <v/>
      </c>
      <c r="BP183" s="7" t="str">
        <f aca="false">IF(BN183="","",BN183-BO183)</f>
        <v/>
      </c>
      <c r="BQ183" s="55" t="str">
        <f aca="false">IF(BN183="","",IF(BO183&gt;=BN183,"На складе",IF(BO183&gt;0,"Частично","Ждём")))</f>
        <v/>
      </c>
      <c r="BR183" s="43"/>
      <c r="BS183" s="47" t="str">
        <f aca="false">IF(BN183="","",IF(_xlfn.MAXIFS(ЗАКАЗЫ!$AK$3:$AK$500,ЗАКАЗЫ!$F$3:$F$500,$A183)=0,"",_xlfn.MAXIFS(ЗАКАЗЫ!$AK$3:$AK$500,ЗАКАЗЫ!$F$3:$F$500,$A183)))</f>
        <v/>
      </c>
    </row>
    <row r="184" customFormat="false" ht="15.75" hidden="false" customHeight="true" outlineLevel="0" collapsed="false">
      <c r="A184" s="80" t="s">
        <v>2378</v>
      </c>
      <c r="B184" s="81"/>
      <c r="C184" s="81"/>
      <c r="D184" s="81"/>
      <c r="E184" s="83"/>
      <c r="F184" s="81"/>
      <c r="G184" s="83"/>
      <c r="H184" s="83"/>
      <c r="I184" s="84" t="str">
        <f aca="false">IF(E184="","",A184&amp;"_1.jpg")</f>
        <v/>
      </c>
      <c r="J184" s="84" t="str">
        <f aca="false">IF(E184="","",A184&amp;"_2.jpg; "&amp;A184&amp;"_3.jpg")</f>
        <v/>
      </c>
      <c r="K184" s="84" t="str">
        <f aca="false">IF(E184="","",A184&amp;"_schema.jpg")</f>
        <v/>
      </c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 t="s">
        <v>96</v>
      </c>
      <c r="W184" s="81"/>
      <c r="X184" s="81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6" t="str">
        <f aca="false">IF(SUM(Y184:AJ184)=0,"",SUM(Y184:AJ184))</f>
        <v/>
      </c>
      <c r="AL184" s="84" t="str">
        <f aca="false">MID(IF(N(Y184)&gt;0,", "&amp;Y$2,"")&amp;IF(N(Z184)&gt;0,", "&amp;Z$2,"")&amp;IF(N(AA184)&gt;0,", "&amp;AA$2,"")&amp;IF(N(AB184)&gt;0,", "&amp;AB$2,"")&amp;IF(N(AC184)&gt;0,", "&amp;AC$2,"")&amp;IF(N(AD184)&gt;0,", "&amp;AD$2,"")&amp;IF(N(AE184)&gt;0,", "&amp;AE$2,"")&amp;IF(N(AF184)&gt;0,", "&amp;AF$2,"")&amp;IF(N(AG184)&gt;0,", "&amp;AG$2,"")&amp;IF(N(AH184)&gt;0,", "&amp;AH$2,"")&amp;IF(N(AI184)&gt;0,", "&amp;AI$2,"")&amp;IF(N(AJ184)&gt;0,", "&amp;AJ$2,""),3,999)</f>
        <v/>
      </c>
      <c r="AM184" s="87" t="str">
        <f aca="false">IF(E184="","",MID(IF(N(Y184)&gt;0,", "&amp;A184&amp;"-"&amp;Y$2,"")&amp;IF(N(Z184)&gt;0,", "&amp;A184&amp;"-"&amp;Z$2,"")&amp;IF(N(AA184)&gt;0,", "&amp;A184&amp;"-"&amp;AA$2,"")&amp;IF(N(AB184)&gt;0,", "&amp;A184&amp;"-"&amp;AB$2,"")&amp;IF(N(AC184)&gt;0,", "&amp;A184&amp;"-"&amp;AC$2,"")&amp;IF(N(AD184)&gt;0,", "&amp;A184&amp;"-"&amp;AD$2,"")&amp;IF(N(AE184)&gt;0,", "&amp;A184&amp;"-"&amp;AE$2,"")&amp;IF(N(AF184)&gt;0,", "&amp;A184&amp;"-"&amp;AF$2,"")&amp;IF(N(AG184)&gt;0,", "&amp;A184&amp;"-"&amp;AG$2,"")&amp;IF(N(AH184)&gt;0,", "&amp;A184&amp;"-"&amp;AH$2,"")&amp;IF(N(AI184)&gt;0,", "&amp;A184&amp;"-"&amp;AI$2,"")&amp;IF(N(AJ184)&gt;0,", "&amp;A184&amp;"-"&amp;AJ$2,""),3,999))</f>
        <v/>
      </c>
      <c r="AN184" s="81"/>
      <c r="AO184" s="88"/>
      <c r="AP184" s="89" t="str">
        <f aca="false">IF(AO184="","",ROUND(AO184/(1+Справочники!$B$13),2))</f>
        <v/>
      </c>
      <c r="AQ184" s="90" t="str">
        <f aca="false" t="array" ref="AQ184:AQ184">IF(AP184="","",AP184*INDEX(Справочники!$B$4:$B$7,MATCH("RUB",Справочники!$A$4:$A$7,0)))</f>
        <v/>
      </c>
      <c r="AR184" s="90" t="str">
        <f aca="false">IF(AQ184="","",ROUND(AQ184*(1+Справочники!$B$12),0))</f>
        <v/>
      </c>
      <c r="AS184" s="90" t="str">
        <f aca="false">IF(AR184="","",ROUND(AR184*(1-Справочники!$B$11),0))</f>
        <v/>
      </c>
      <c r="AT184" s="88"/>
      <c r="AU184" s="90" t="str">
        <f aca="false">IF(AT184="","",ROUND(AT184/(1+Справочники!$B$12),0))</f>
        <v/>
      </c>
      <c r="AV184" s="90" t="str">
        <f aca="false">IF(AT184="","",ROUND(AT184*(1-Справочники!$B$15),0))</f>
        <v/>
      </c>
      <c r="AW184" s="90" t="str">
        <f aca="false">IF(AT184="","",ROUND(AT184*(1-Справочники!$B$16),0))</f>
        <v/>
      </c>
      <c r="AX184" s="90" t="str">
        <f aca="false">IF(AT184="","",ROUND(AT184*(1-Справочники!$B$17),0))</f>
        <v/>
      </c>
      <c r="AY184" s="90" t="str">
        <f aca="false">IF(AT184="","",ROUND(AT184*(1-Справочники!$B$18),0))</f>
        <v/>
      </c>
      <c r="AZ184" s="90" t="str">
        <f aca="false">IF(AT184="","",ROUND(AT184*(1-Справочники!$B$19),0))</f>
        <v/>
      </c>
      <c r="BA184" s="81"/>
      <c r="BB184" s="81"/>
      <c r="BC184" s="81"/>
      <c r="BD184" s="81"/>
      <c r="BE184" s="91"/>
      <c r="BF184" s="81" t="s">
        <v>103</v>
      </c>
      <c r="BG184" s="89" t="n">
        <f aca="false" t="array" ref="BG184:BG184">IF(BF184="","",IFERROR(INDEX(Справочники!$B$4:$B$7,MATCH(BF184,Справочники!$A$4:$A$7,0)),""))</f>
        <v>68.5</v>
      </c>
      <c r="BH184" s="90" t="str">
        <f aca="false">IF(N(BN184)&gt;0,ROUND(SUMIF(ЗАКАЗЫ!$F$3:$F$500,$A184,ЗАКАЗЫ!$Y$3:$Y$500)/BN184,0),IF(OR(BE184="",BG184=""),"",ROUND(BE184*BG184*(1+Справочники!$B$10),0)))</f>
        <v/>
      </c>
      <c r="BI184" s="92" t="str">
        <f aca="false">IF(OR(AU184="",BH184="",AU184=0),"",(AU184-BH184)/AU184)</f>
        <v/>
      </c>
      <c r="BJ184" s="81"/>
      <c r="BK184" s="83"/>
      <c r="BL184" s="43" t="str">
        <f aca="false">IFERROR(INDEX(ЗАКАЗЫ!$N$3:$N$500,MATCH($A184,ЗАКАЗЫ!$F$3:$F$500,0)),"")</f>
        <v/>
      </c>
      <c r="BM184" s="8" t="str">
        <f aca="false">IF(BL184="","",IFERROR(VLOOKUP(BL184,'ТН ВЭД'!$A$4:$C$40,3,0),""))</f>
        <v/>
      </c>
      <c r="BN184" s="7" t="str">
        <f aca="false">IF(COUNTIF(ЗАКАЗЫ!$F$3:$F$500,$A184)=0,"",SUMIF(ЗАКАЗЫ!$F$3:$F$500,$A184,ЗАКАЗЫ!$J$3:$J$500))</f>
        <v/>
      </c>
      <c r="BO184" s="7" t="str">
        <f aca="false">IF(BN184="","",SUMIF(ЗАКАЗЫ!$F$3:$F$500,$A184,ЗАКАЗЫ!$AL$3:$AL$500))</f>
        <v/>
      </c>
      <c r="BP184" s="7" t="str">
        <f aca="false">IF(BN184="","",BN184-BO184)</f>
        <v/>
      </c>
      <c r="BQ184" s="55" t="str">
        <f aca="false">IF(BN184="","",IF(BO184&gt;=BN184,"На складе",IF(BO184&gt;0,"Частично","Ждём")))</f>
        <v/>
      </c>
      <c r="BR184" s="43"/>
      <c r="BS184" s="47" t="str">
        <f aca="false">IF(BN184="","",IF(_xlfn.MAXIFS(ЗАКАЗЫ!$AK$3:$AK$500,ЗАКАЗЫ!$F$3:$F$500,$A184)=0,"",_xlfn.MAXIFS(ЗАКАЗЫ!$AK$3:$AK$500,ЗАКАЗЫ!$F$3:$F$500,$A184)))</f>
        <v/>
      </c>
    </row>
    <row r="185" customFormat="false" ht="15.75" hidden="false" customHeight="true" outlineLevel="0" collapsed="false">
      <c r="A185" s="80" t="s">
        <v>2379</v>
      </c>
      <c r="B185" s="81"/>
      <c r="C185" s="81"/>
      <c r="D185" s="81"/>
      <c r="E185" s="83"/>
      <c r="F185" s="81"/>
      <c r="G185" s="83"/>
      <c r="H185" s="83"/>
      <c r="I185" s="84" t="str">
        <f aca="false">IF(E185="","",A185&amp;"_1.jpg")</f>
        <v/>
      </c>
      <c r="J185" s="84" t="str">
        <f aca="false">IF(E185="","",A185&amp;"_2.jpg; "&amp;A185&amp;"_3.jpg")</f>
        <v/>
      </c>
      <c r="K185" s="84" t="str">
        <f aca="false">IF(E185="","",A185&amp;"_schema.jpg")</f>
        <v/>
      </c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 t="s">
        <v>96</v>
      </c>
      <c r="W185" s="81"/>
      <c r="X185" s="81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6" t="str">
        <f aca="false">IF(SUM(Y185:AJ185)=0,"",SUM(Y185:AJ185))</f>
        <v/>
      </c>
      <c r="AL185" s="84" t="str">
        <f aca="false">MID(IF(N(Y185)&gt;0,", "&amp;Y$2,"")&amp;IF(N(Z185)&gt;0,", "&amp;Z$2,"")&amp;IF(N(AA185)&gt;0,", "&amp;AA$2,"")&amp;IF(N(AB185)&gt;0,", "&amp;AB$2,"")&amp;IF(N(AC185)&gt;0,", "&amp;AC$2,"")&amp;IF(N(AD185)&gt;0,", "&amp;AD$2,"")&amp;IF(N(AE185)&gt;0,", "&amp;AE$2,"")&amp;IF(N(AF185)&gt;0,", "&amp;AF$2,"")&amp;IF(N(AG185)&gt;0,", "&amp;AG$2,"")&amp;IF(N(AH185)&gt;0,", "&amp;AH$2,"")&amp;IF(N(AI185)&gt;0,", "&amp;AI$2,"")&amp;IF(N(AJ185)&gt;0,", "&amp;AJ$2,""),3,999)</f>
        <v/>
      </c>
      <c r="AM185" s="87" t="str">
        <f aca="false">IF(E185="","",MID(IF(N(Y185)&gt;0,", "&amp;A185&amp;"-"&amp;Y$2,"")&amp;IF(N(Z185)&gt;0,", "&amp;A185&amp;"-"&amp;Z$2,"")&amp;IF(N(AA185)&gt;0,", "&amp;A185&amp;"-"&amp;AA$2,"")&amp;IF(N(AB185)&gt;0,", "&amp;A185&amp;"-"&amp;AB$2,"")&amp;IF(N(AC185)&gt;0,", "&amp;A185&amp;"-"&amp;AC$2,"")&amp;IF(N(AD185)&gt;0,", "&amp;A185&amp;"-"&amp;AD$2,"")&amp;IF(N(AE185)&gt;0,", "&amp;A185&amp;"-"&amp;AE$2,"")&amp;IF(N(AF185)&gt;0,", "&amp;A185&amp;"-"&amp;AF$2,"")&amp;IF(N(AG185)&gt;0,", "&amp;A185&amp;"-"&amp;AG$2,"")&amp;IF(N(AH185)&gt;0,", "&amp;A185&amp;"-"&amp;AH$2,"")&amp;IF(N(AI185)&gt;0,", "&amp;A185&amp;"-"&amp;AI$2,"")&amp;IF(N(AJ185)&gt;0,", "&amp;A185&amp;"-"&amp;AJ$2,""),3,999))</f>
        <v/>
      </c>
      <c r="AN185" s="81"/>
      <c r="AO185" s="88"/>
      <c r="AP185" s="89" t="str">
        <f aca="false">IF(AO185="","",ROUND(AO185/(1+Справочники!$B$13),2))</f>
        <v/>
      </c>
      <c r="AQ185" s="90" t="str">
        <f aca="false" t="array" ref="AQ185:AQ185">IF(AP185="","",AP185*INDEX(Справочники!$B$4:$B$7,MATCH("RUB",Справочники!$A$4:$A$7,0)))</f>
        <v/>
      </c>
      <c r="AR185" s="90" t="str">
        <f aca="false">IF(AQ185="","",ROUND(AQ185*(1+Справочники!$B$12),0))</f>
        <v/>
      </c>
      <c r="AS185" s="90" t="str">
        <f aca="false">IF(AR185="","",ROUND(AR185*(1-Справочники!$B$11),0))</f>
        <v/>
      </c>
      <c r="AT185" s="88"/>
      <c r="AU185" s="90" t="str">
        <f aca="false">IF(AT185="","",ROUND(AT185/(1+Справочники!$B$12),0))</f>
        <v/>
      </c>
      <c r="AV185" s="90" t="str">
        <f aca="false">IF(AT185="","",ROUND(AT185*(1-Справочники!$B$15),0))</f>
        <v/>
      </c>
      <c r="AW185" s="90" t="str">
        <f aca="false">IF(AT185="","",ROUND(AT185*(1-Справочники!$B$16),0))</f>
        <v/>
      </c>
      <c r="AX185" s="90" t="str">
        <f aca="false">IF(AT185="","",ROUND(AT185*(1-Справочники!$B$17),0))</f>
        <v/>
      </c>
      <c r="AY185" s="90" t="str">
        <f aca="false">IF(AT185="","",ROUND(AT185*(1-Справочники!$B$18),0))</f>
        <v/>
      </c>
      <c r="AZ185" s="90" t="str">
        <f aca="false">IF(AT185="","",ROUND(AT185*(1-Справочники!$B$19),0))</f>
        <v/>
      </c>
      <c r="BA185" s="81"/>
      <c r="BB185" s="81"/>
      <c r="BC185" s="81"/>
      <c r="BD185" s="81"/>
      <c r="BE185" s="91"/>
      <c r="BF185" s="81" t="s">
        <v>103</v>
      </c>
      <c r="BG185" s="89" t="n">
        <f aca="false" t="array" ref="BG185:BG185">IF(BF185="","",IFERROR(INDEX(Справочники!$B$4:$B$7,MATCH(BF185,Справочники!$A$4:$A$7,0)),""))</f>
        <v>68.5</v>
      </c>
      <c r="BH185" s="90" t="str">
        <f aca="false">IF(N(BN185)&gt;0,ROUND(SUMIF(ЗАКАЗЫ!$F$3:$F$500,$A185,ЗАКАЗЫ!$Y$3:$Y$500)/BN185,0),IF(OR(BE185="",BG185=""),"",ROUND(BE185*BG185*(1+Справочники!$B$10),0)))</f>
        <v/>
      </c>
      <c r="BI185" s="92" t="str">
        <f aca="false">IF(OR(AU185="",BH185="",AU185=0),"",(AU185-BH185)/AU185)</f>
        <v/>
      </c>
      <c r="BJ185" s="81"/>
      <c r="BK185" s="83"/>
      <c r="BL185" s="43" t="str">
        <f aca="false">IFERROR(INDEX(ЗАКАЗЫ!$N$3:$N$500,MATCH($A185,ЗАКАЗЫ!$F$3:$F$500,0)),"")</f>
        <v/>
      </c>
      <c r="BM185" s="8" t="str">
        <f aca="false">IF(BL185="","",IFERROR(VLOOKUP(BL185,'ТН ВЭД'!$A$4:$C$40,3,0),""))</f>
        <v/>
      </c>
      <c r="BN185" s="7" t="str">
        <f aca="false">IF(COUNTIF(ЗАКАЗЫ!$F$3:$F$500,$A185)=0,"",SUMIF(ЗАКАЗЫ!$F$3:$F$500,$A185,ЗАКАЗЫ!$J$3:$J$500))</f>
        <v/>
      </c>
      <c r="BO185" s="7" t="str">
        <f aca="false">IF(BN185="","",SUMIF(ЗАКАЗЫ!$F$3:$F$500,$A185,ЗАКАЗЫ!$AL$3:$AL$500))</f>
        <v/>
      </c>
      <c r="BP185" s="7" t="str">
        <f aca="false">IF(BN185="","",BN185-BO185)</f>
        <v/>
      </c>
      <c r="BQ185" s="55" t="str">
        <f aca="false">IF(BN185="","",IF(BO185&gt;=BN185,"На складе",IF(BO185&gt;0,"Частично","Ждём")))</f>
        <v/>
      </c>
      <c r="BR185" s="43"/>
      <c r="BS185" s="47" t="str">
        <f aca="false">IF(BN185="","",IF(_xlfn.MAXIFS(ЗАКАЗЫ!$AK$3:$AK$500,ЗАКАЗЫ!$F$3:$F$500,$A185)=0,"",_xlfn.MAXIFS(ЗАКАЗЫ!$AK$3:$AK$500,ЗАКАЗЫ!$F$3:$F$500,$A185)))</f>
        <v/>
      </c>
    </row>
    <row r="186" customFormat="false" ht="15.75" hidden="false" customHeight="true" outlineLevel="0" collapsed="false">
      <c r="A186" s="80" t="s">
        <v>2380</v>
      </c>
      <c r="B186" s="81"/>
      <c r="C186" s="81"/>
      <c r="D186" s="81"/>
      <c r="E186" s="83"/>
      <c r="F186" s="81"/>
      <c r="G186" s="83"/>
      <c r="H186" s="83"/>
      <c r="I186" s="84" t="str">
        <f aca="false">IF(E186="","",A186&amp;"_1.jpg")</f>
        <v/>
      </c>
      <c r="J186" s="84" t="str">
        <f aca="false">IF(E186="","",A186&amp;"_2.jpg; "&amp;A186&amp;"_3.jpg")</f>
        <v/>
      </c>
      <c r="K186" s="84" t="str">
        <f aca="false">IF(E186="","",A186&amp;"_schema.jpg")</f>
        <v/>
      </c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 t="s">
        <v>96</v>
      </c>
      <c r="W186" s="81"/>
      <c r="X186" s="81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6" t="str">
        <f aca="false">IF(SUM(Y186:AJ186)=0,"",SUM(Y186:AJ186))</f>
        <v/>
      </c>
      <c r="AL186" s="84" t="str">
        <f aca="false">MID(IF(N(Y186)&gt;0,", "&amp;Y$2,"")&amp;IF(N(Z186)&gt;0,", "&amp;Z$2,"")&amp;IF(N(AA186)&gt;0,", "&amp;AA$2,"")&amp;IF(N(AB186)&gt;0,", "&amp;AB$2,"")&amp;IF(N(AC186)&gt;0,", "&amp;AC$2,"")&amp;IF(N(AD186)&gt;0,", "&amp;AD$2,"")&amp;IF(N(AE186)&gt;0,", "&amp;AE$2,"")&amp;IF(N(AF186)&gt;0,", "&amp;AF$2,"")&amp;IF(N(AG186)&gt;0,", "&amp;AG$2,"")&amp;IF(N(AH186)&gt;0,", "&amp;AH$2,"")&amp;IF(N(AI186)&gt;0,", "&amp;AI$2,"")&amp;IF(N(AJ186)&gt;0,", "&amp;AJ$2,""),3,999)</f>
        <v/>
      </c>
      <c r="AM186" s="87" t="str">
        <f aca="false">IF(E186="","",MID(IF(N(Y186)&gt;0,", "&amp;A186&amp;"-"&amp;Y$2,"")&amp;IF(N(Z186)&gt;0,", "&amp;A186&amp;"-"&amp;Z$2,"")&amp;IF(N(AA186)&gt;0,", "&amp;A186&amp;"-"&amp;AA$2,"")&amp;IF(N(AB186)&gt;0,", "&amp;A186&amp;"-"&amp;AB$2,"")&amp;IF(N(AC186)&gt;0,", "&amp;A186&amp;"-"&amp;AC$2,"")&amp;IF(N(AD186)&gt;0,", "&amp;A186&amp;"-"&amp;AD$2,"")&amp;IF(N(AE186)&gt;0,", "&amp;A186&amp;"-"&amp;AE$2,"")&amp;IF(N(AF186)&gt;0,", "&amp;A186&amp;"-"&amp;AF$2,"")&amp;IF(N(AG186)&gt;0,", "&amp;A186&amp;"-"&amp;AG$2,"")&amp;IF(N(AH186)&gt;0,", "&amp;A186&amp;"-"&amp;AH$2,"")&amp;IF(N(AI186)&gt;0,", "&amp;A186&amp;"-"&amp;AI$2,"")&amp;IF(N(AJ186)&gt;0,", "&amp;A186&amp;"-"&amp;AJ$2,""),3,999))</f>
        <v/>
      </c>
      <c r="AN186" s="81"/>
      <c r="AO186" s="88"/>
      <c r="AP186" s="89" t="str">
        <f aca="false">IF(AO186="","",ROUND(AO186/(1+Справочники!$B$13),2))</f>
        <v/>
      </c>
      <c r="AQ186" s="90" t="str">
        <f aca="false" t="array" ref="AQ186:AQ186">IF(AP186="","",AP186*INDEX(Справочники!$B$4:$B$7,MATCH("RUB",Справочники!$A$4:$A$7,0)))</f>
        <v/>
      </c>
      <c r="AR186" s="90" t="str">
        <f aca="false">IF(AQ186="","",ROUND(AQ186*(1+Справочники!$B$12),0))</f>
        <v/>
      </c>
      <c r="AS186" s="90" t="str">
        <f aca="false">IF(AR186="","",ROUND(AR186*(1-Справочники!$B$11),0))</f>
        <v/>
      </c>
      <c r="AT186" s="88"/>
      <c r="AU186" s="90" t="str">
        <f aca="false">IF(AT186="","",ROUND(AT186/(1+Справочники!$B$12),0))</f>
        <v/>
      </c>
      <c r="AV186" s="90" t="str">
        <f aca="false">IF(AT186="","",ROUND(AT186*(1-Справочники!$B$15),0))</f>
        <v/>
      </c>
      <c r="AW186" s="90" t="str">
        <f aca="false">IF(AT186="","",ROUND(AT186*(1-Справочники!$B$16),0))</f>
        <v/>
      </c>
      <c r="AX186" s="90" t="str">
        <f aca="false">IF(AT186="","",ROUND(AT186*(1-Справочники!$B$17),0))</f>
        <v/>
      </c>
      <c r="AY186" s="90" t="str">
        <f aca="false">IF(AT186="","",ROUND(AT186*(1-Справочники!$B$18),0))</f>
        <v/>
      </c>
      <c r="AZ186" s="90" t="str">
        <f aca="false">IF(AT186="","",ROUND(AT186*(1-Справочники!$B$19),0))</f>
        <v/>
      </c>
      <c r="BA186" s="81"/>
      <c r="BB186" s="81"/>
      <c r="BC186" s="81"/>
      <c r="BD186" s="81"/>
      <c r="BE186" s="91"/>
      <c r="BF186" s="81" t="s">
        <v>103</v>
      </c>
      <c r="BG186" s="89" t="n">
        <f aca="false" t="array" ref="BG186:BG186">IF(BF186="","",IFERROR(INDEX(Справочники!$B$4:$B$7,MATCH(BF186,Справочники!$A$4:$A$7,0)),""))</f>
        <v>68.5</v>
      </c>
      <c r="BH186" s="90" t="str">
        <f aca="false">IF(N(BN186)&gt;0,ROUND(SUMIF(ЗАКАЗЫ!$F$3:$F$500,$A186,ЗАКАЗЫ!$Y$3:$Y$500)/BN186,0),IF(OR(BE186="",BG186=""),"",ROUND(BE186*BG186*(1+Справочники!$B$10),0)))</f>
        <v/>
      </c>
      <c r="BI186" s="92" t="str">
        <f aca="false">IF(OR(AU186="",BH186="",AU186=0),"",(AU186-BH186)/AU186)</f>
        <v/>
      </c>
      <c r="BJ186" s="81"/>
      <c r="BK186" s="83"/>
      <c r="BL186" s="43" t="str">
        <f aca="false">IFERROR(INDEX(ЗАКАЗЫ!$N$3:$N$500,MATCH($A186,ЗАКАЗЫ!$F$3:$F$500,0)),"")</f>
        <v/>
      </c>
      <c r="BM186" s="8" t="str">
        <f aca="false">IF(BL186="","",IFERROR(VLOOKUP(BL186,'ТН ВЭД'!$A$4:$C$40,3,0),""))</f>
        <v/>
      </c>
      <c r="BN186" s="7" t="str">
        <f aca="false">IF(COUNTIF(ЗАКАЗЫ!$F$3:$F$500,$A186)=0,"",SUMIF(ЗАКАЗЫ!$F$3:$F$500,$A186,ЗАКАЗЫ!$J$3:$J$500))</f>
        <v/>
      </c>
      <c r="BO186" s="7" t="str">
        <f aca="false">IF(BN186="","",SUMIF(ЗАКАЗЫ!$F$3:$F$500,$A186,ЗАКАЗЫ!$AL$3:$AL$500))</f>
        <v/>
      </c>
      <c r="BP186" s="7" t="str">
        <f aca="false">IF(BN186="","",BN186-BO186)</f>
        <v/>
      </c>
      <c r="BQ186" s="55" t="str">
        <f aca="false">IF(BN186="","",IF(BO186&gt;=BN186,"На складе",IF(BO186&gt;0,"Частично","Ждём")))</f>
        <v/>
      </c>
      <c r="BR186" s="43"/>
      <c r="BS186" s="47" t="str">
        <f aca="false">IF(BN186="","",IF(_xlfn.MAXIFS(ЗАКАЗЫ!$AK$3:$AK$500,ЗАКАЗЫ!$F$3:$F$500,$A186)=0,"",_xlfn.MAXIFS(ЗАКАЗЫ!$AK$3:$AK$500,ЗАКАЗЫ!$F$3:$F$500,$A186)))</f>
        <v/>
      </c>
    </row>
    <row r="187" customFormat="false" ht="15.75" hidden="false" customHeight="true" outlineLevel="0" collapsed="false">
      <c r="A187" s="80" t="s">
        <v>2381</v>
      </c>
      <c r="B187" s="81"/>
      <c r="C187" s="81"/>
      <c r="D187" s="81"/>
      <c r="E187" s="83"/>
      <c r="F187" s="81"/>
      <c r="G187" s="83"/>
      <c r="H187" s="83"/>
      <c r="I187" s="84" t="str">
        <f aca="false">IF(E187="","",A187&amp;"_1.jpg")</f>
        <v/>
      </c>
      <c r="J187" s="84" t="str">
        <f aca="false">IF(E187="","",A187&amp;"_2.jpg; "&amp;A187&amp;"_3.jpg")</f>
        <v/>
      </c>
      <c r="K187" s="84" t="str">
        <f aca="false">IF(E187="","",A187&amp;"_schema.jpg")</f>
        <v/>
      </c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 t="s">
        <v>96</v>
      </c>
      <c r="W187" s="81"/>
      <c r="X187" s="81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6" t="str">
        <f aca="false">IF(SUM(Y187:AJ187)=0,"",SUM(Y187:AJ187))</f>
        <v/>
      </c>
      <c r="AL187" s="84" t="str">
        <f aca="false">MID(IF(N(Y187)&gt;0,", "&amp;Y$2,"")&amp;IF(N(Z187)&gt;0,", "&amp;Z$2,"")&amp;IF(N(AA187)&gt;0,", "&amp;AA$2,"")&amp;IF(N(AB187)&gt;0,", "&amp;AB$2,"")&amp;IF(N(AC187)&gt;0,", "&amp;AC$2,"")&amp;IF(N(AD187)&gt;0,", "&amp;AD$2,"")&amp;IF(N(AE187)&gt;0,", "&amp;AE$2,"")&amp;IF(N(AF187)&gt;0,", "&amp;AF$2,"")&amp;IF(N(AG187)&gt;0,", "&amp;AG$2,"")&amp;IF(N(AH187)&gt;0,", "&amp;AH$2,"")&amp;IF(N(AI187)&gt;0,", "&amp;AI$2,"")&amp;IF(N(AJ187)&gt;0,", "&amp;AJ$2,""),3,999)</f>
        <v/>
      </c>
      <c r="AM187" s="87" t="str">
        <f aca="false">IF(E187="","",MID(IF(N(Y187)&gt;0,", "&amp;A187&amp;"-"&amp;Y$2,"")&amp;IF(N(Z187)&gt;0,", "&amp;A187&amp;"-"&amp;Z$2,"")&amp;IF(N(AA187)&gt;0,", "&amp;A187&amp;"-"&amp;AA$2,"")&amp;IF(N(AB187)&gt;0,", "&amp;A187&amp;"-"&amp;AB$2,"")&amp;IF(N(AC187)&gt;0,", "&amp;A187&amp;"-"&amp;AC$2,"")&amp;IF(N(AD187)&gt;0,", "&amp;A187&amp;"-"&amp;AD$2,"")&amp;IF(N(AE187)&gt;0,", "&amp;A187&amp;"-"&amp;AE$2,"")&amp;IF(N(AF187)&gt;0,", "&amp;A187&amp;"-"&amp;AF$2,"")&amp;IF(N(AG187)&gt;0,", "&amp;A187&amp;"-"&amp;AG$2,"")&amp;IF(N(AH187)&gt;0,", "&amp;A187&amp;"-"&amp;AH$2,"")&amp;IF(N(AI187)&gt;0,", "&amp;A187&amp;"-"&amp;AI$2,"")&amp;IF(N(AJ187)&gt;0,", "&amp;A187&amp;"-"&amp;AJ$2,""),3,999))</f>
        <v/>
      </c>
      <c r="AN187" s="81"/>
      <c r="AO187" s="88"/>
      <c r="AP187" s="89" t="str">
        <f aca="false">IF(AO187="","",ROUND(AO187/(1+Справочники!$B$13),2))</f>
        <v/>
      </c>
      <c r="AQ187" s="90" t="str">
        <f aca="false" t="array" ref="AQ187:AQ187">IF(AP187="","",AP187*INDEX(Справочники!$B$4:$B$7,MATCH("RUB",Справочники!$A$4:$A$7,0)))</f>
        <v/>
      </c>
      <c r="AR187" s="90" t="str">
        <f aca="false">IF(AQ187="","",ROUND(AQ187*(1+Справочники!$B$12),0))</f>
        <v/>
      </c>
      <c r="AS187" s="90" t="str">
        <f aca="false">IF(AR187="","",ROUND(AR187*(1-Справочники!$B$11),0))</f>
        <v/>
      </c>
      <c r="AT187" s="88"/>
      <c r="AU187" s="90" t="str">
        <f aca="false">IF(AT187="","",ROUND(AT187/(1+Справочники!$B$12),0))</f>
        <v/>
      </c>
      <c r="AV187" s="90" t="str">
        <f aca="false">IF(AT187="","",ROUND(AT187*(1-Справочники!$B$15),0))</f>
        <v/>
      </c>
      <c r="AW187" s="90" t="str">
        <f aca="false">IF(AT187="","",ROUND(AT187*(1-Справочники!$B$16),0))</f>
        <v/>
      </c>
      <c r="AX187" s="90" t="str">
        <f aca="false">IF(AT187="","",ROUND(AT187*(1-Справочники!$B$17),0))</f>
        <v/>
      </c>
      <c r="AY187" s="90" t="str">
        <f aca="false">IF(AT187="","",ROUND(AT187*(1-Справочники!$B$18),0))</f>
        <v/>
      </c>
      <c r="AZ187" s="90" t="str">
        <f aca="false">IF(AT187="","",ROUND(AT187*(1-Справочники!$B$19),0))</f>
        <v/>
      </c>
      <c r="BA187" s="81"/>
      <c r="BB187" s="81"/>
      <c r="BC187" s="81"/>
      <c r="BD187" s="81"/>
      <c r="BE187" s="91"/>
      <c r="BF187" s="81" t="s">
        <v>103</v>
      </c>
      <c r="BG187" s="89" t="n">
        <f aca="false" t="array" ref="BG187:BG187">IF(BF187="","",IFERROR(INDEX(Справочники!$B$4:$B$7,MATCH(BF187,Справочники!$A$4:$A$7,0)),""))</f>
        <v>68.5</v>
      </c>
      <c r="BH187" s="90" t="str">
        <f aca="false">IF(N(BN187)&gt;0,ROUND(SUMIF(ЗАКАЗЫ!$F$3:$F$500,$A187,ЗАКАЗЫ!$Y$3:$Y$500)/BN187,0),IF(OR(BE187="",BG187=""),"",ROUND(BE187*BG187*(1+Справочники!$B$10),0)))</f>
        <v/>
      </c>
      <c r="BI187" s="92" t="str">
        <f aca="false">IF(OR(AU187="",BH187="",AU187=0),"",(AU187-BH187)/AU187)</f>
        <v/>
      </c>
      <c r="BJ187" s="81"/>
      <c r="BK187" s="83"/>
      <c r="BL187" s="43" t="str">
        <f aca="false">IFERROR(INDEX(ЗАКАЗЫ!$N$3:$N$500,MATCH($A187,ЗАКАЗЫ!$F$3:$F$500,0)),"")</f>
        <v/>
      </c>
      <c r="BM187" s="8" t="str">
        <f aca="false">IF(BL187="","",IFERROR(VLOOKUP(BL187,'ТН ВЭД'!$A$4:$C$40,3,0),""))</f>
        <v/>
      </c>
      <c r="BN187" s="7" t="str">
        <f aca="false">IF(COUNTIF(ЗАКАЗЫ!$F$3:$F$500,$A187)=0,"",SUMIF(ЗАКАЗЫ!$F$3:$F$500,$A187,ЗАКАЗЫ!$J$3:$J$500))</f>
        <v/>
      </c>
      <c r="BO187" s="7" t="str">
        <f aca="false">IF(BN187="","",SUMIF(ЗАКАЗЫ!$F$3:$F$500,$A187,ЗАКАЗЫ!$AL$3:$AL$500))</f>
        <v/>
      </c>
      <c r="BP187" s="7" t="str">
        <f aca="false">IF(BN187="","",BN187-BO187)</f>
        <v/>
      </c>
      <c r="BQ187" s="55" t="str">
        <f aca="false">IF(BN187="","",IF(BO187&gt;=BN187,"На складе",IF(BO187&gt;0,"Частично","Ждём")))</f>
        <v/>
      </c>
      <c r="BR187" s="43"/>
      <c r="BS187" s="47" t="str">
        <f aca="false">IF(BN187="","",IF(_xlfn.MAXIFS(ЗАКАЗЫ!$AK$3:$AK$500,ЗАКАЗЫ!$F$3:$F$500,$A187)=0,"",_xlfn.MAXIFS(ЗАКАЗЫ!$AK$3:$AK$500,ЗАКАЗЫ!$F$3:$F$500,$A187)))</f>
        <v/>
      </c>
    </row>
    <row r="188" customFormat="false" ht="15.75" hidden="false" customHeight="true" outlineLevel="0" collapsed="false">
      <c r="A188" s="80" t="s">
        <v>2382</v>
      </c>
      <c r="B188" s="81"/>
      <c r="C188" s="81"/>
      <c r="D188" s="81"/>
      <c r="E188" s="83"/>
      <c r="F188" s="81"/>
      <c r="G188" s="83"/>
      <c r="H188" s="83"/>
      <c r="I188" s="84" t="str">
        <f aca="false">IF(E188="","",A188&amp;"_1.jpg")</f>
        <v/>
      </c>
      <c r="J188" s="84" t="str">
        <f aca="false">IF(E188="","",A188&amp;"_2.jpg; "&amp;A188&amp;"_3.jpg")</f>
        <v/>
      </c>
      <c r="K188" s="84" t="str">
        <f aca="false">IF(E188="","",A188&amp;"_schema.jpg")</f>
        <v/>
      </c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 t="s">
        <v>96</v>
      </c>
      <c r="W188" s="81"/>
      <c r="X188" s="81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6" t="str">
        <f aca="false">IF(SUM(Y188:AJ188)=0,"",SUM(Y188:AJ188))</f>
        <v/>
      </c>
      <c r="AL188" s="84" t="str">
        <f aca="false">MID(IF(N(Y188)&gt;0,", "&amp;Y$2,"")&amp;IF(N(Z188)&gt;0,", "&amp;Z$2,"")&amp;IF(N(AA188)&gt;0,", "&amp;AA$2,"")&amp;IF(N(AB188)&gt;0,", "&amp;AB$2,"")&amp;IF(N(AC188)&gt;0,", "&amp;AC$2,"")&amp;IF(N(AD188)&gt;0,", "&amp;AD$2,"")&amp;IF(N(AE188)&gt;0,", "&amp;AE$2,"")&amp;IF(N(AF188)&gt;0,", "&amp;AF$2,"")&amp;IF(N(AG188)&gt;0,", "&amp;AG$2,"")&amp;IF(N(AH188)&gt;0,", "&amp;AH$2,"")&amp;IF(N(AI188)&gt;0,", "&amp;AI$2,"")&amp;IF(N(AJ188)&gt;0,", "&amp;AJ$2,""),3,999)</f>
        <v/>
      </c>
      <c r="AM188" s="87" t="str">
        <f aca="false">IF(E188="","",MID(IF(N(Y188)&gt;0,", "&amp;A188&amp;"-"&amp;Y$2,"")&amp;IF(N(Z188)&gt;0,", "&amp;A188&amp;"-"&amp;Z$2,"")&amp;IF(N(AA188)&gt;0,", "&amp;A188&amp;"-"&amp;AA$2,"")&amp;IF(N(AB188)&gt;0,", "&amp;A188&amp;"-"&amp;AB$2,"")&amp;IF(N(AC188)&gt;0,", "&amp;A188&amp;"-"&amp;AC$2,"")&amp;IF(N(AD188)&gt;0,", "&amp;A188&amp;"-"&amp;AD$2,"")&amp;IF(N(AE188)&gt;0,", "&amp;A188&amp;"-"&amp;AE$2,"")&amp;IF(N(AF188)&gt;0,", "&amp;A188&amp;"-"&amp;AF$2,"")&amp;IF(N(AG188)&gt;0,", "&amp;A188&amp;"-"&amp;AG$2,"")&amp;IF(N(AH188)&gt;0,", "&amp;A188&amp;"-"&amp;AH$2,"")&amp;IF(N(AI188)&gt;0,", "&amp;A188&amp;"-"&amp;AI$2,"")&amp;IF(N(AJ188)&gt;0,", "&amp;A188&amp;"-"&amp;AJ$2,""),3,999))</f>
        <v/>
      </c>
      <c r="AN188" s="81"/>
      <c r="AO188" s="88"/>
      <c r="AP188" s="89" t="str">
        <f aca="false">IF(AO188="","",ROUND(AO188/(1+Справочники!$B$13),2))</f>
        <v/>
      </c>
      <c r="AQ188" s="90" t="str">
        <f aca="false" t="array" ref="AQ188:AQ188">IF(AP188="","",AP188*INDEX(Справочники!$B$4:$B$7,MATCH("RUB",Справочники!$A$4:$A$7,0)))</f>
        <v/>
      </c>
      <c r="AR188" s="90" t="str">
        <f aca="false">IF(AQ188="","",ROUND(AQ188*(1+Справочники!$B$12),0))</f>
        <v/>
      </c>
      <c r="AS188" s="90" t="str">
        <f aca="false">IF(AR188="","",ROUND(AR188*(1-Справочники!$B$11),0))</f>
        <v/>
      </c>
      <c r="AT188" s="88"/>
      <c r="AU188" s="90" t="str">
        <f aca="false">IF(AT188="","",ROUND(AT188/(1+Справочники!$B$12),0))</f>
        <v/>
      </c>
      <c r="AV188" s="90" t="str">
        <f aca="false">IF(AT188="","",ROUND(AT188*(1-Справочники!$B$15),0))</f>
        <v/>
      </c>
      <c r="AW188" s="90" t="str">
        <f aca="false">IF(AT188="","",ROUND(AT188*(1-Справочники!$B$16),0))</f>
        <v/>
      </c>
      <c r="AX188" s="90" t="str">
        <f aca="false">IF(AT188="","",ROUND(AT188*(1-Справочники!$B$17),0))</f>
        <v/>
      </c>
      <c r="AY188" s="90" t="str">
        <f aca="false">IF(AT188="","",ROUND(AT188*(1-Справочники!$B$18),0))</f>
        <v/>
      </c>
      <c r="AZ188" s="90" t="str">
        <f aca="false">IF(AT188="","",ROUND(AT188*(1-Справочники!$B$19),0))</f>
        <v/>
      </c>
      <c r="BA188" s="81"/>
      <c r="BB188" s="81"/>
      <c r="BC188" s="81"/>
      <c r="BD188" s="81"/>
      <c r="BE188" s="91"/>
      <c r="BF188" s="81" t="s">
        <v>103</v>
      </c>
      <c r="BG188" s="89" t="n">
        <f aca="false" t="array" ref="BG188:BG188">IF(BF188="","",IFERROR(INDEX(Справочники!$B$4:$B$7,MATCH(BF188,Справочники!$A$4:$A$7,0)),""))</f>
        <v>68.5</v>
      </c>
      <c r="BH188" s="90" t="str">
        <f aca="false">IF(N(BN188)&gt;0,ROUND(SUMIF(ЗАКАЗЫ!$F$3:$F$500,$A188,ЗАКАЗЫ!$Y$3:$Y$500)/BN188,0),IF(OR(BE188="",BG188=""),"",ROUND(BE188*BG188*(1+Справочники!$B$10),0)))</f>
        <v/>
      </c>
      <c r="BI188" s="92" t="str">
        <f aca="false">IF(OR(AU188="",BH188="",AU188=0),"",(AU188-BH188)/AU188)</f>
        <v/>
      </c>
      <c r="BJ188" s="81"/>
      <c r="BK188" s="83"/>
      <c r="BL188" s="43" t="str">
        <f aca="false">IFERROR(INDEX(ЗАКАЗЫ!$N$3:$N$500,MATCH($A188,ЗАКАЗЫ!$F$3:$F$500,0)),"")</f>
        <v/>
      </c>
      <c r="BM188" s="8" t="str">
        <f aca="false">IF(BL188="","",IFERROR(VLOOKUP(BL188,'ТН ВЭД'!$A$4:$C$40,3,0),""))</f>
        <v/>
      </c>
      <c r="BN188" s="7" t="str">
        <f aca="false">IF(COUNTIF(ЗАКАЗЫ!$F$3:$F$500,$A188)=0,"",SUMIF(ЗАКАЗЫ!$F$3:$F$500,$A188,ЗАКАЗЫ!$J$3:$J$500))</f>
        <v/>
      </c>
      <c r="BO188" s="7" t="str">
        <f aca="false">IF(BN188="","",SUMIF(ЗАКАЗЫ!$F$3:$F$500,$A188,ЗАКАЗЫ!$AL$3:$AL$500))</f>
        <v/>
      </c>
      <c r="BP188" s="7" t="str">
        <f aca="false">IF(BN188="","",BN188-BO188)</f>
        <v/>
      </c>
      <c r="BQ188" s="55" t="str">
        <f aca="false">IF(BN188="","",IF(BO188&gt;=BN188,"На складе",IF(BO188&gt;0,"Частично","Ждём")))</f>
        <v/>
      </c>
      <c r="BR188" s="43"/>
      <c r="BS188" s="47" t="str">
        <f aca="false">IF(BN188="","",IF(_xlfn.MAXIFS(ЗАКАЗЫ!$AK$3:$AK$500,ЗАКАЗЫ!$F$3:$F$500,$A188)=0,"",_xlfn.MAXIFS(ЗАКАЗЫ!$AK$3:$AK$500,ЗАКАЗЫ!$F$3:$F$500,$A188)))</f>
        <v/>
      </c>
    </row>
    <row r="189" customFormat="false" ht="15.75" hidden="false" customHeight="true" outlineLevel="0" collapsed="false">
      <c r="A189" s="80" t="s">
        <v>2383</v>
      </c>
      <c r="B189" s="81"/>
      <c r="C189" s="81"/>
      <c r="D189" s="81"/>
      <c r="E189" s="83"/>
      <c r="F189" s="81"/>
      <c r="G189" s="83"/>
      <c r="H189" s="83"/>
      <c r="I189" s="84" t="str">
        <f aca="false">IF(E189="","",A189&amp;"_1.jpg")</f>
        <v/>
      </c>
      <c r="J189" s="84" t="str">
        <f aca="false">IF(E189="","",A189&amp;"_2.jpg; "&amp;A189&amp;"_3.jpg")</f>
        <v/>
      </c>
      <c r="K189" s="84" t="str">
        <f aca="false">IF(E189="","",A189&amp;"_schema.jpg")</f>
        <v/>
      </c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 t="s">
        <v>96</v>
      </c>
      <c r="W189" s="81"/>
      <c r="X189" s="81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6" t="str">
        <f aca="false">IF(SUM(Y189:AJ189)=0,"",SUM(Y189:AJ189))</f>
        <v/>
      </c>
      <c r="AL189" s="84" t="str">
        <f aca="false">MID(IF(N(Y189)&gt;0,", "&amp;Y$2,"")&amp;IF(N(Z189)&gt;0,", "&amp;Z$2,"")&amp;IF(N(AA189)&gt;0,", "&amp;AA$2,"")&amp;IF(N(AB189)&gt;0,", "&amp;AB$2,"")&amp;IF(N(AC189)&gt;0,", "&amp;AC$2,"")&amp;IF(N(AD189)&gt;0,", "&amp;AD$2,"")&amp;IF(N(AE189)&gt;0,", "&amp;AE$2,"")&amp;IF(N(AF189)&gt;0,", "&amp;AF$2,"")&amp;IF(N(AG189)&gt;0,", "&amp;AG$2,"")&amp;IF(N(AH189)&gt;0,", "&amp;AH$2,"")&amp;IF(N(AI189)&gt;0,", "&amp;AI$2,"")&amp;IF(N(AJ189)&gt;0,", "&amp;AJ$2,""),3,999)</f>
        <v/>
      </c>
      <c r="AM189" s="87" t="str">
        <f aca="false">IF(E189="","",MID(IF(N(Y189)&gt;0,", "&amp;A189&amp;"-"&amp;Y$2,"")&amp;IF(N(Z189)&gt;0,", "&amp;A189&amp;"-"&amp;Z$2,"")&amp;IF(N(AA189)&gt;0,", "&amp;A189&amp;"-"&amp;AA$2,"")&amp;IF(N(AB189)&gt;0,", "&amp;A189&amp;"-"&amp;AB$2,"")&amp;IF(N(AC189)&gt;0,", "&amp;A189&amp;"-"&amp;AC$2,"")&amp;IF(N(AD189)&gt;0,", "&amp;A189&amp;"-"&amp;AD$2,"")&amp;IF(N(AE189)&gt;0,", "&amp;A189&amp;"-"&amp;AE$2,"")&amp;IF(N(AF189)&gt;0,", "&amp;A189&amp;"-"&amp;AF$2,"")&amp;IF(N(AG189)&gt;0,", "&amp;A189&amp;"-"&amp;AG$2,"")&amp;IF(N(AH189)&gt;0,", "&amp;A189&amp;"-"&amp;AH$2,"")&amp;IF(N(AI189)&gt;0,", "&amp;A189&amp;"-"&amp;AI$2,"")&amp;IF(N(AJ189)&gt;0,", "&amp;A189&amp;"-"&amp;AJ$2,""),3,999))</f>
        <v/>
      </c>
      <c r="AN189" s="81"/>
      <c r="AO189" s="88"/>
      <c r="AP189" s="89" t="str">
        <f aca="false">IF(AO189="","",ROUND(AO189/(1+Справочники!$B$13),2))</f>
        <v/>
      </c>
      <c r="AQ189" s="90" t="str">
        <f aca="false" t="array" ref="AQ189:AQ189">IF(AP189="","",AP189*INDEX(Справочники!$B$4:$B$7,MATCH("RUB",Справочники!$A$4:$A$7,0)))</f>
        <v/>
      </c>
      <c r="AR189" s="90" t="str">
        <f aca="false">IF(AQ189="","",ROUND(AQ189*(1+Справочники!$B$12),0))</f>
        <v/>
      </c>
      <c r="AS189" s="90" t="str">
        <f aca="false">IF(AR189="","",ROUND(AR189*(1-Справочники!$B$11),0))</f>
        <v/>
      </c>
      <c r="AT189" s="88"/>
      <c r="AU189" s="90" t="str">
        <f aca="false">IF(AT189="","",ROUND(AT189/(1+Справочники!$B$12),0))</f>
        <v/>
      </c>
      <c r="AV189" s="90" t="str">
        <f aca="false">IF(AT189="","",ROUND(AT189*(1-Справочники!$B$15),0))</f>
        <v/>
      </c>
      <c r="AW189" s="90" t="str">
        <f aca="false">IF(AT189="","",ROUND(AT189*(1-Справочники!$B$16),0))</f>
        <v/>
      </c>
      <c r="AX189" s="90" t="str">
        <f aca="false">IF(AT189="","",ROUND(AT189*(1-Справочники!$B$17),0))</f>
        <v/>
      </c>
      <c r="AY189" s="90" t="str">
        <f aca="false">IF(AT189="","",ROUND(AT189*(1-Справочники!$B$18),0))</f>
        <v/>
      </c>
      <c r="AZ189" s="90" t="str">
        <f aca="false">IF(AT189="","",ROUND(AT189*(1-Справочники!$B$19),0))</f>
        <v/>
      </c>
      <c r="BA189" s="81"/>
      <c r="BB189" s="81"/>
      <c r="BC189" s="81"/>
      <c r="BD189" s="81"/>
      <c r="BE189" s="91"/>
      <c r="BF189" s="81" t="s">
        <v>103</v>
      </c>
      <c r="BG189" s="89" t="n">
        <f aca="false" t="array" ref="BG189:BG189">IF(BF189="","",IFERROR(INDEX(Справочники!$B$4:$B$7,MATCH(BF189,Справочники!$A$4:$A$7,0)),""))</f>
        <v>68.5</v>
      </c>
      <c r="BH189" s="90" t="str">
        <f aca="false">IF(N(BN189)&gt;0,ROUND(SUMIF(ЗАКАЗЫ!$F$3:$F$500,$A189,ЗАКАЗЫ!$Y$3:$Y$500)/BN189,0),IF(OR(BE189="",BG189=""),"",ROUND(BE189*BG189*(1+Справочники!$B$10),0)))</f>
        <v/>
      </c>
      <c r="BI189" s="92" t="str">
        <f aca="false">IF(OR(AU189="",BH189="",AU189=0),"",(AU189-BH189)/AU189)</f>
        <v/>
      </c>
      <c r="BJ189" s="81"/>
      <c r="BK189" s="83"/>
      <c r="BL189" s="43" t="str">
        <f aca="false">IFERROR(INDEX(ЗАКАЗЫ!$N$3:$N$500,MATCH($A189,ЗАКАЗЫ!$F$3:$F$500,0)),"")</f>
        <v/>
      </c>
      <c r="BM189" s="8" t="str">
        <f aca="false">IF(BL189="","",IFERROR(VLOOKUP(BL189,'ТН ВЭД'!$A$4:$C$40,3,0),""))</f>
        <v/>
      </c>
      <c r="BN189" s="7" t="str">
        <f aca="false">IF(COUNTIF(ЗАКАЗЫ!$F$3:$F$500,$A189)=0,"",SUMIF(ЗАКАЗЫ!$F$3:$F$500,$A189,ЗАКАЗЫ!$J$3:$J$500))</f>
        <v/>
      </c>
      <c r="BO189" s="7" t="str">
        <f aca="false">IF(BN189="","",SUMIF(ЗАКАЗЫ!$F$3:$F$500,$A189,ЗАКАЗЫ!$AL$3:$AL$500))</f>
        <v/>
      </c>
      <c r="BP189" s="7" t="str">
        <f aca="false">IF(BN189="","",BN189-BO189)</f>
        <v/>
      </c>
      <c r="BQ189" s="55" t="str">
        <f aca="false">IF(BN189="","",IF(BO189&gt;=BN189,"На складе",IF(BO189&gt;0,"Частично","Ждём")))</f>
        <v/>
      </c>
      <c r="BR189" s="43"/>
      <c r="BS189" s="47" t="str">
        <f aca="false">IF(BN189="","",IF(_xlfn.MAXIFS(ЗАКАЗЫ!$AK$3:$AK$500,ЗАКАЗЫ!$F$3:$F$500,$A189)=0,"",_xlfn.MAXIFS(ЗАКАЗЫ!$AK$3:$AK$500,ЗАКАЗЫ!$F$3:$F$500,$A189)))</f>
        <v/>
      </c>
    </row>
    <row r="190" customFormat="false" ht="15.75" hidden="false" customHeight="true" outlineLevel="0" collapsed="false">
      <c r="A190" s="80" t="s">
        <v>2384</v>
      </c>
      <c r="B190" s="81"/>
      <c r="C190" s="81"/>
      <c r="D190" s="81"/>
      <c r="E190" s="83"/>
      <c r="F190" s="81"/>
      <c r="G190" s="83"/>
      <c r="H190" s="83"/>
      <c r="I190" s="84" t="str">
        <f aca="false">IF(E190="","",A190&amp;"_1.jpg")</f>
        <v/>
      </c>
      <c r="J190" s="84" t="str">
        <f aca="false">IF(E190="","",A190&amp;"_2.jpg; "&amp;A190&amp;"_3.jpg")</f>
        <v/>
      </c>
      <c r="K190" s="84" t="str">
        <f aca="false">IF(E190="","",A190&amp;"_schema.jpg")</f>
        <v/>
      </c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 t="s">
        <v>96</v>
      </c>
      <c r="W190" s="81"/>
      <c r="X190" s="81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6" t="str">
        <f aca="false">IF(SUM(Y190:AJ190)=0,"",SUM(Y190:AJ190))</f>
        <v/>
      </c>
      <c r="AL190" s="84" t="str">
        <f aca="false">MID(IF(N(Y190)&gt;0,", "&amp;Y$2,"")&amp;IF(N(Z190)&gt;0,", "&amp;Z$2,"")&amp;IF(N(AA190)&gt;0,", "&amp;AA$2,"")&amp;IF(N(AB190)&gt;0,", "&amp;AB$2,"")&amp;IF(N(AC190)&gt;0,", "&amp;AC$2,"")&amp;IF(N(AD190)&gt;0,", "&amp;AD$2,"")&amp;IF(N(AE190)&gt;0,", "&amp;AE$2,"")&amp;IF(N(AF190)&gt;0,", "&amp;AF$2,"")&amp;IF(N(AG190)&gt;0,", "&amp;AG$2,"")&amp;IF(N(AH190)&gt;0,", "&amp;AH$2,"")&amp;IF(N(AI190)&gt;0,", "&amp;AI$2,"")&amp;IF(N(AJ190)&gt;0,", "&amp;AJ$2,""),3,999)</f>
        <v/>
      </c>
      <c r="AM190" s="87" t="str">
        <f aca="false">IF(E190="","",MID(IF(N(Y190)&gt;0,", "&amp;A190&amp;"-"&amp;Y$2,"")&amp;IF(N(Z190)&gt;0,", "&amp;A190&amp;"-"&amp;Z$2,"")&amp;IF(N(AA190)&gt;0,", "&amp;A190&amp;"-"&amp;AA$2,"")&amp;IF(N(AB190)&gt;0,", "&amp;A190&amp;"-"&amp;AB$2,"")&amp;IF(N(AC190)&gt;0,", "&amp;A190&amp;"-"&amp;AC$2,"")&amp;IF(N(AD190)&gt;0,", "&amp;A190&amp;"-"&amp;AD$2,"")&amp;IF(N(AE190)&gt;0,", "&amp;A190&amp;"-"&amp;AE$2,"")&amp;IF(N(AF190)&gt;0,", "&amp;A190&amp;"-"&amp;AF$2,"")&amp;IF(N(AG190)&gt;0,", "&amp;A190&amp;"-"&amp;AG$2,"")&amp;IF(N(AH190)&gt;0,", "&amp;A190&amp;"-"&amp;AH$2,"")&amp;IF(N(AI190)&gt;0,", "&amp;A190&amp;"-"&amp;AI$2,"")&amp;IF(N(AJ190)&gt;0,", "&amp;A190&amp;"-"&amp;AJ$2,""),3,999))</f>
        <v/>
      </c>
      <c r="AN190" s="81"/>
      <c r="AO190" s="88"/>
      <c r="AP190" s="89" t="str">
        <f aca="false">IF(AO190="","",ROUND(AO190/(1+Справочники!$B$13),2))</f>
        <v/>
      </c>
      <c r="AQ190" s="90" t="str">
        <f aca="false" t="array" ref="AQ190:AQ190">IF(AP190="","",AP190*INDEX(Справочники!$B$4:$B$7,MATCH("RUB",Справочники!$A$4:$A$7,0)))</f>
        <v/>
      </c>
      <c r="AR190" s="90" t="str">
        <f aca="false">IF(AQ190="","",ROUND(AQ190*(1+Справочники!$B$12),0))</f>
        <v/>
      </c>
      <c r="AS190" s="90" t="str">
        <f aca="false">IF(AR190="","",ROUND(AR190*(1-Справочники!$B$11),0))</f>
        <v/>
      </c>
      <c r="AT190" s="88"/>
      <c r="AU190" s="90" t="str">
        <f aca="false">IF(AT190="","",ROUND(AT190/(1+Справочники!$B$12),0))</f>
        <v/>
      </c>
      <c r="AV190" s="90" t="str">
        <f aca="false">IF(AT190="","",ROUND(AT190*(1-Справочники!$B$15),0))</f>
        <v/>
      </c>
      <c r="AW190" s="90" t="str">
        <f aca="false">IF(AT190="","",ROUND(AT190*(1-Справочники!$B$16),0))</f>
        <v/>
      </c>
      <c r="AX190" s="90" t="str">
        <f aca="false">IF(AT190="","",ROUND(AT190*(1-Справочники!$B$17),0))</f>
        <v/>
      </c>
      <c r="AY190" s="90" t="str">
        <f aca="false">IF(AT190="","",ROUND(AT190*(1-Справочники!$B$18),0))</f>
        <v/>
      </c>
      <c r="AZ190" s="90" t="str">
        <f aca="false">IF(AT190="","",ROUND(AT190*(1-Справочники!$B$19),0))</f>
        <v/>
      </c>
      <c r="BA190" s="81"/>
      <c r="BB190" s="81"/>
      <c r="BC190" s="81"/>
      <c r="BD190" s="81"/>
      <c r="BE190" s="91"/>
      <c r="BF190" s="81" t="s">
        <v>103</v>
      </c>
      <c r="BG190" s="89" t="n">
        <f aca="false" t="array" ref="BG190:BG190">IF(BF190="","",IFERROR(INDEX(Справочники!$B$4:$B$7,MATCH(BF190,Справочники!$A$4:$A$7,0)),""))</f>
        <v>68.5</v>
      </c>
      <c r="BH190" s="90" t="str">
        <f aca="false">IF(N(BN190)&gt;0,ROUND(SUMIF(ЗАКАЗЫ!$F$3:$F$500,$A190,ЗАКАЗЫ!$Y$3:$Y$500)/BN190,0),IF(OR(BE190="",BG190=""),"",ROUND(BE190*BG190*(1+Справочники!$B$10),0)))</f>
        <v/>
      </c>
      <c r="BI190" s="92" t="str">
        <f aca="false">IF(OR(AU190="",BH190="",AU190=0),"",(AU190-BH190)/AU190)</f>
        <v/>
      </c>
      <c r="BJ190" s="81"/>
      <c r="BK190" s="83"/>
      <c r="BL190" s="43" t="str">
        <f aca="false">IFERROR(INDEX(ЗАКАЗЫ!$N$3:$N$500,MATCH($A190,ЗАКАЗЫ!$F$3:$F$500,0)),"")</f>
        <v/>
      </c>
      <c r="BM190" s="8" t="str">
        <f aca="false">IF(BL190="","",IFERROR(VLOOKUP(BL190,'ТН ВЭД'!$A$4:$C$40,3,0),""))</f>
        <v/>
      </c>
      <c r="BN190" s="7" t="str">
        <f aca="false">IF(COUNTIF(ЗАКАЗЫ!$F$3:$F$500,$A190)=0,"",SUMIF(ЗАКАЗЫ!$F$3:$F$500,$A190,ЗАКАЗЫ!$J$3:$J$500))</f>
        <v/>
      </c>
      <c r="BO190" s="7" t="str">
        <f aca="false">IF(BN190="","",SUMIF(ЗАКАЗЫ!$F$3:$F$500,$A190,ЗАКАЗЫ!$AL$3:$AL$500))</f>
        <v/>
      </c>
      <c r="BP190" s="7" t="str">
        <f aca="false">IF(BN190="","",BN190-BO190)</f>
        <v/>
      </c>
      <c r="BQ190" s="55" t="str">
        <f aca="false">IF(BN190="","",IF(BO190&gt;=BN190,"На складе",IF(BO190&gt;0,"Частично","Ждём")))</f>
        <v/>
      </c>
      <c r="BR190" s="43"/>
      <c r="BS190" s="47" t="str">
        <f aca="false">IF(BN190="","",IF(_xlfn.MAXIFS(ЗАКАЗЫ!$AK$3:$AK$500,ЗАКАЗЫ!$F$3:$F$500,$A190)=0,"",_xlfn.MAXIFS(ЗАКАЗЫ!$AK$3:$AK$500,ЗАКАЗЫ!$F$3:$F$500,$A190)))</f>
        <v/>
      </c>
    </row>
    <row r="191" customFormat="false" ht="15.75" hidden="false" customHeight="true" outlineLevel="0" collapsed="false">
      <c r="A191" s="80" t="s">
        <v>2385</v>
      </c>
      <c r="B191" s="81"/>
      <c r="C191" s="81"/>
      <c r="D191" s="81"/>
      <c r="E191" s="83"/>
      <c r="F191" s="81"/>
      <c r="G191" s="83"/>
      <c r="H191" s="83"/>
      <c r="I191" s="84" t="str">
        <f aca="false">IF(E191="","",A191&amp;"_1.jpg")</f>
        <v/>
      </c>
      <c r="J191" s="84" t="str">
        <f aca="false">IF(E191="","",A191&amp;"_2.jpg; "&amp;A191&amp;"_3.jpg")</f>
        <v/>
      </c>
      <c r="K191" s="84" t="str">
        <f aca="false">IF(E191="","",A191&amp;"_schema.jpg")</f>
        <v/>
      </c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 t="s">
        <v>96</v>
      </c>
      <c r="W191" s="81"/>
      <c r="X191" s="81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6" t="str">
        <f aca="false">IF(SUM(Y191:AJ191)=0,"",SUM(Y191:AJ191))</f>
        <v/>
      </c>
      <c r="AL191" s="84" t="str">
        <f aca="false">MID(IF(N(Y191)&gt;0,", "&amp;Y$2,"")&amp;IF(N(Z191)&gt;0,", "&amp;Z$2,"")&amp;IF(N(AA191)&gt;0,", "&amp;AA$2,"")&amp;IF(N(AB191)&gt;0,", "&amp;AB$2,"")&amp;IF(N(AC191)&gt;0,", "&amp;AC$2,"")&amp;IF(N(AD191)&gt;0,", "&amp;AD$2,"")&amp;IF(N(AE191)&gt;0,", "&amp;AE$2,"")&amp;IF(N(AF191)&gt;0,", "&amp;AF$2,"")&amp;IF(N(AG191)&gt;0,", "&amp;AG$2,"")&amp;IF(N(AH191)&gt;0,", "&amp;AH$2,"")&amp;IF(N(AI191)&gt;0,", "&amp;AI$2,"")&amp;IF(N(AJ191)&gt;0,", "&amp;AJ$2,""),3,999)</f>
        <v/>
      </c>
      <c r="AM191" s="87" t="str">
        <f aca="false">IF(E191="","",MID(IF(N(Y191)&gt;0,", "&amp;A191&amp;"-"&amp;Y$2,"")&amp;IF(N(Z191)&gt;0,", "&amp;A191&amp;"-"&amp;Z$2,"")&amp;IF(N(AA191)&gt;0,", "&amp;A191&amp;"-"&amp;AA$2,"")&amp;IF(N(AB191)&gt;0,", "&amp;A191&amp;"-"&amp;AB$2,"")&amp;IF(N(AC191)&gt;0,", "&amp;A191&amp;"-"&amp;AC$2,"")&amp;IF(N(AD191)&gt;0,", "&amp;A191&amp;"-"&amp;AD$2,"")&amp;IF(N(AE191)&gt;0,", "&amp;A191&amp;"-"&amp;AE$2,"")&amp;IF(N(AF191)&gt;0,", "&amp;A191&amp;"-"&amp;AF$2,"")&amp;IF(N(AG191)&gt;0,", "&amp;A191&amp;"-"&amp;AG$2,"")&amp;IF(N(AH191)&gt;0,", "&amp;A191&amp;"-"&amp;AH$2,"")&amp;IF(N(AI191)&gt;0,", "&amp;A191&amp;"-"&amp;AI$2,"")&amp;IF(N(AJ191)&gt;0,", "&amp;A191&amp;"-"&amp;AJ$2,""),3,999))</f>
        <v/>
      </c>
      <c r="AN191" s="81"/>
      <c r="AO191" s="88"/>
      <c r="AP191" s="89" t="str">
        <f aca="false">IF(AO191="","",ROUND(AO191/(1+Справочники!$B$13),2))</f>
        <v/>
      </c>
      <c r="AQ191" s="90" t="str">
        <f aca="false" t="array" ref="AQ191:AQ191">IF(AP191="","",AP191*INDEX(Справочники!$B$4:$B$7,MATCH("RUB",Справочники!$A$4:$A$7,0)))</f>
        <v/>
      </c>
      <c r="AR191" s="90" t="str">
        <f aca="false">IF(AQ191="","",ROUND(AQ191*(1+Справочники!$B$12),0))</f>
        <v/>
      </c>
      <c r="AS191" s="90" t="str">
        <f aca="false">IF(AR191="","",ROUND(AR191*(1-Справочники!$B$11),0))</f>
        <v/>
      </c>
      <c r="AT191" s="88"/>
      <c r="AU191" s="90" t="str">
        <f aca="false">IF(AT191="","",ROUND(AT191/(1+Справочники!$B$12),0))</f>
        <v/>
      </c>
      <c r="AV191" s="90" t="str">
        <f aca="false">IF(AT191="","",ROUND(AT191*(1-Справочники!$B$15),0))</f>
        <v/>
      </c>
      <c r="AW191" s="90" t="str">
        <f aca="false">IF(AT191="","",ROUND(AT191*(1-Справочники!$B$16),0))</f>
        <v/>
      </c>
      <c r="AX191" s="90" t="str">
        <f aca="false">IF(AT191="","",ROUND(AT191*(1-Справочники!$B$17),0))</f>
        <v/>
      </c>
      <c r="AY191" s="90" t="str">
        <f aca="false">IF(AT191="","",ROUND(AT191*(1-Справочники!$B$18),0))</f>
        <v/>
      </c>
      <c r="AZ191" s="90" t="str">
        <f aca="false">IF(AT191="","",ROUND(AT191*(1-Справочники!$B$19),0))</f>
        <v/>
      </c>
      <c r="BA191" s="81"/>
      <c r="BB191" s="81"/>
      <c r="BC191" s="81"/>
      <c r="BD191" s="81"/>
      <c r="BE191" s="91"/>
      <c r="BF191" s="81" t="s">
        <v>103</v>
      </c>
      <c r="BG191" s="89" t="n">
        <f aca="false" t="array" ref="BG191:BG191">IF(BF191="","",IFERROR(INDEX(Справочники!$B$4:$B$7,MATCH(BF191,Справочники!$A$4:$A$7,0)),""))</f>
        <v>68.5</v>
      </c>
      <c r="BH191" s="90" t="str">
        <f aca="false">IF(N(BN191)&gt;0,ROUND(SUMIF(ЗАКАЗЫ!$F$3:$F$500,$A191,ЗАКАЗЫ!$Y$3:$Y$500)/BN191,0),IF(OR(BE191="",BG191=""),"",ROUND(BE191*BG191*(1+Справочники!$B$10),0)))</f>
        <v/>
      </c>
      <c r="BI191" s="92" t="str">
        <f aca="false">IF(OR(AU191="",BH191="",AU191=0),"",(AU191-BH191)/AU191)</f>
        <v/>
      </c>
      <c r="BJ191" s="81"/>
      <c r="BK191" s="83"/>
      <c r="BL191" s="43" t="str">
        <f aca="false">IFERROR(INDEX(ЗАКАЗЫ!$N$3:$N$500,MATCH($A191,ЗАКАЗЫ!$F$3:$F$500,0)),"")</f>
        <v/>
      </c>
      <c r="BM191" s="8" t="str">
        <f aca="false">IF(BL191="","",IFERROR(VLOOKUP(BL191,'ТН ВЭД'!$A$4:$C$40,3,0),""))</f>
        <v/>
      </c>
      <c r="BN191" s="7" t="str">
        <f aca="false">IF(COUNTIF(ЗАКАЗЫ!$F$3:$F$500,$A191)=0,"",SUMIF(ЗАКАЗЫ!$F$3:$F$500,$A191,ЗАКАЗЫ!$J$3:$J$500))</f>
        <v/>
      </c>
      <c r="BO191" s="7" t="str">
        <f aca="false">IF(BN191="","",SUMIF(ЗАКАЗЫ!$F$3:$F$500,$A191,ЗАКАЗЫ!$AL$3:$AL$500))</f>
        <v/>
      </c>
      <c r="BP191" s="7" t="str">
        <f aca="false">IF(BN191="","",BN191-BO191)</f>
        <v/>
      </c>
      <c r="BQ191" s="55" t="str">
        <f aca="false">IF(BN191="","",IF(BO191&gt;=BN191,"На складе",IF(BO191&gt;0,"Частично","Ждём")))</f>
        <v/>
      </c>
      <c r="BR191" s="43"/>
      <c r="BS191" s="47" t="str">
        <f aca="false">IF(BN191="","",IF(_xlfn.MAXIFS(ЗАКАЗЫ!$AK$3:$AK$500,ЗАКАЗЫ!$F$3:$F$500,$A191)=0,"",_xlfn.MAXIFS(ЗАКАЗЫ!$AK$3:$AK$500,ЗАКАЗЫ!$F$3:$F$500,$A191)))</f>
        <v/>
      </c>
    </row>
    <row r="192" customFormat="false" ht="15.75" hidden="false" customHeight="true" outlineLevel="0" collapsed="false">
      <c r="A192" s="80" t="s">
        <v>2386</v>
      </c>
      <c r="B192" s="81"/>
      <c r="C192" s="81"/>
      <c r="D192" s="81"/>
      <c r="E192" s="83"/>
      <c r="F192" s="81"/>
      <c r="G192" s="83"/>
      <c r="H192" s="83"/>
      <c r="I192" s="84" t="str">
        <f aca="false">IF(E192="","",A192&amp;"_1.jpg")</f>
        <v/>
      </c>
      <c r="J192" s="84" t="str">
        <f aca="false">IF(E192="","",A192&amp;"_2.jpg; "&amp;A192&amp;"_3.jpg")</f>
        <v/>
      </c>
      <c r="K192" s="84" t="str">
        <f aca="false">IF(E192="","",A192&amp;"_schema.jpg")</f>
        <v/>
      </c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 t="s">
        <v>96</v>
      </c>
      <c r="W192" s="81"/>
      <c r="X192" s="81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6" t="str">
        <f aca="false">IF(SUM(Y192:AJ192)=0,"",SUM(Y192:AJ192))</f>
        <v/>
      </c>
      <c r="AL192" s="84" t="str">
        <f aca="false">MID(IF(N(Y192)&gt;0,", "&amp;Y$2,"")&amp;IF(N(Z192)&gt;0,", "&amp;Z$2,"")&amp;IF(N(AA192)&gt;0,", "&amp;AA$2,"")&amp;IF(N(AB192)&gt;0,", "&amp;AB$2,"")&amp;IF(N(AC192)&gt;0,", "&amp;AC$2,"")&amp;IF(N(AD192)&gt;0,", "&amp;AD$2,"")&amp;IF(N(AE192)&gt;0,", "&amp;AE$2,"")&amp;IF(N(AF192)&gt;0,", "&amp;AF$2,"")&amp;IF(N(AG192)&gt;0,", "&amp;AG$2,"")&amp;IF(N(AH192)&gt;0,", "&amp;AH$2,"")&amp;IF(N(AI192)&gt;0,", "&amp;AI$2,"")&amp;IF(N(AJ192)&gt;0,", "&amp;AJ$2,""),3,999)</f>
        <v/>
      </c>
      <c r="AM192" s="87" t="str">
        <f aca="false">IF(E192="","",MID(IF(N(Y192)&gt;0,", "&amp;A192&amp;"-"&amp;Y$2,"")&amp;IF(N(Z192)&gt;0,", "&amp;A192&amp;"-"&amp;Z$2,"")&amp;IF(N(AA192)&gt;0,", "&amp;A192&amp;"-"&amp;AA$2,"")&amp;IF(N(AB192)&gt;0,", "&amp;A192&amp;"-"&amp;AB$2,"")&amp;IF(N(AC192)&gt;0,", "&amp;A192&amp;"-"&amp;AC$2,"")&amp;IF(N(AD192)&gt;0,", "&amp;A192&amp;"-"&amp;AD$2,"")&amp;IF(N(AE192)&gt;0,", "&amp;A192&amp;"-"&amp;AE$2,"")&amp;IF(N(AF192)&gt;0,", "&amp;A192&amp;"-"&amp;AF$2,"")&amp;IF(N(AG192)&gt;0,", "&amp;A192&amp;"-"&amp;AG$2,"")&amp;IF(N(AH192)&gt;0,", "&amp;A192&amp;"-"&amp;AH$2,"")&amp;IF(N(AI192)&gt;0,", "&amp;A192&amp;"-"&amp;AI$2,"")&amp;IF(N(AJ192)&gt;0,", "&amp;A192&amp;"-"&amp;AJ$2,""),3,999))</f>
        <v/>
      </c>
      <c r="AN192" s="81"/>
      <c r="AO192" s="88"/>
      <c r="AP192" s="89" t="str">
        <f aca="false">IF(AO192="","",ROUND(AO192/(1+Справочники!$B$13),2))</f>
        <v/>
      </c>
      <c r="AQ192" s="90" t="str">
        <f aca="false" t="array" ref="AQ192:AQ192">IF(AP192="","",AP192*INDEX(Справочники!$B$4:$B$7,MATCH("RUB",Справочники!$A$4:$A$7,0)))</f>
        <v/>
      </c>
      <c r="AR192" s="90" t="str">
        <f aca="false">IF(AQ192="","",ROUND(AQ192*(1+Справочники!$B$12),0))</f>
        <v/>
      </c>
      <c r="AS192" s="90" t="str">
        <f aca="false">IF(AR192="","",ROUND(AR192*(1-Справочники!$B$11),0))</f>
        <v/>
      </c>
      <c r="AT192" s="88"/>
      <c r="AU192" s="90" t="str">
        <f aca="false">IF(AT192="","",ROUND(AT192/(1+Справочники!$B$12),0))</f>
        <v/>
      </c>
      <c r="AV192" s="90" t="str">
        <f aca="false">IF(AT192="","",ROUND(AT192*(1-Справочники!$B$15),0))</f>
        <v/>
      </c>
      <c r="AW192" s="90" t="str">
        <f aca="false">IF(AT192="","",ROUND(AT192*(1-Справочники!$B$16),0))</f>
        <v/>
      </c>
      <c r="AX192" s="90" t="str">
        <f aca="false">IF(AT192="","",ROUND(AT192*(1-Справочники!$B$17),0))</f>
        <v/>
      </c>
      <c r="AY192" s="90" t="str">
        <f aca="false">IF(AT192="","",ROUND(AT192*(1-Справочники!$B$18),0))</f>
        <v/>
      </c>
      <c r="AZ192" s="90" t="str">
        <f aca="false">IF(AT192="","",ROUND(AT192*(1-Справочники!$B$19),0))</f>
        <v/>
      </c>
      <c r="BA192" s="81"/>
      <c r="BB192" s="81"/>
      <c r="BC192" s="81"/>
      <c r="BD192" s="81"/>
      <c r="BE192" s="91"/>
      <c r="BF192" s="81" t="s">
        <v>103</v>
      </c>
      <c r="BG192" s="89" t="n">
        <f aca="false" t="array" ref="BG192:BG192">IF(BF192="","",IFERROR(INDEX(Справочники!$B$4:$B$7,MATCH(BF192,Справочники!$A$4:$A$7,0)),""))</f>
        <v>68.5</v>
      </c>
      <c r="BH192" s="90" t="str">
        <f aca="false">IF(N(BN192)&gt;0,ROUND(SUMIF(ЗАКАЗЫ!$F$3:$F$500,$A192,ЗАКАЗЫ!$Y$3:$Y$500)/BN192,0),IF(OR(BE192="",BG192=""),"",ROUND(BE192*BG192*(1+Справочники!$B$10),0)))</f>
        <v/>
      </c>
      <c r="BI192" s="92" t="str">
        <f aca="false">IF(OR(AU192="",BH192="",AU192=0),"",(AU192-BH192)/AU192)</f>
        <v/>
      </c>
      <c r="BJ192" s="81"/>
      <c r="BK192" s="83"/>
      <c r="BL192" s="43" t="str">
        <f aca="false">IFERROR(INDEX(ЗАКАЗЫ!$N$3:$N$500,MATCH($A192,ЗАКАЗЫ!$F$3:$F$500,0)),"")</f>
        <v/>
      </c>
      <c r="BM192" s="8" t="str">
        <f aca="false">IF(BL192="","",IFERROR(VLOOKUP(BL192,'ТН ВЭД'!$A$4:$C$40,3,0),""))</f>
        <v/>
      </c>
      <c r="BN192" s="7" t="str">
        <f aca="false">IF(COUNTIF(ЗАКАЗЫ!$F$3:$F$500,$A192)=0,"",SUMIF(ЗАКАЗЫ!$F$3:$F$500,$A192,ЗАКАЗЫ!$J$3:$J$500))</f>
        <v/>
      </c>
      <c r="BO192" s="7" t="str">
        <f aca="false">IF(BN192="","",SUMIF(ЗАКАЗЫ!$F$3:$F$500,$A192,ЗАКАЗЫ!$AL$3:$AL$500))</f>
        <v/>
      </c>
      <c r="BP192" s="7" t="str">
        <f aca="false">IF(BN192="","",BN192-BO192)</f>
        <v/>
      </c>
      <c r="BQ192" s="55" t="str">
        <f aca="false">IF(BN192="","",IF(BO192&gt;=BN192,"На складе",IF(BO192&gt;0,"Частично","Ждём")))</f>
        <v/>
      </c>
      <c r="BR192" s="43"/>
      <c r="BS192" s="47" t="str">
        <f aca="false">IF(BN192="","",IF(_xlfn.MAXIFS(ЗАКАЗЫ!$AK$3:$AK$500,ЗАКАЗЫ!$F$3:$F$500,$A192)=0,"",_xlfn.MAXIFS(ЗАКАЗЫ!$AK$3:$AK$500,ЗАКАЗЫ!$F$3:$F$500,$A192)))</f>
        <v/>
      </c>
    </row>
    <row r="193" customFormat="false" ht="15.75" hidden="false" customHeight="true" outlineLevel="0" collapsed="false">
      <c r="A193" s="80" t="s">
        <v>2387</v>
      </c>
      <c r="B193" s="81"/>
      <c r="C193" s="81"/>
      <c r="D193" s="81"/>
      <c r="E193" s="83"/>
      <c r="F193" s="81"/>
      <c r="G193" s="83"/>
      <c r="H193" s="83"/>
      <c r="I193" s="84" t="str">
        <f aca="false">IF(E193="","",A193&amp;"_1.jpg")</f>
        <v/>
      </c>
      <c r="J193" s="84" t="str">
        <f aca="false">IF(E193="","",A193&amp;"_2.jpg; "&amp;A193&amp;"_3.jpg")</f>
        <v/>
      </c>
      <c r="K193" s="84" t="str">
        <f aca="false">IF(E193="","",A193&amp;"_schema.jpg")</f>
        <v/>
      </c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 t="s">
        <v>96</v>
      </c>
      <c r="W193" s="81"/>
      <c r="X193" s="81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6" t="str">
        <f aca="false">IF(SUM(Y193:AJ193)=0,"",SUM(Y193:AJ193))</f>
        <v/>
      </c>
      <c r="AL193" s="84" t="str">
        <f aca="false">MID(IF(N(Y193)&gt;0,", "&amp;Y$2,"")&amp;IF(N(Z193)&gt;0,", "&amp;Z$2,"")&amp;IF(N(AA193)&gt;0,", "&amp;AA$2,"")&amp;IF(N(AB193)&gt;0,", "&amp;AB$2,"")&amp;IF(N(AC193)&gt;0,", "&amp;AC$2,"")&amp;IF(N(AD193)&gt;0,", "&amp;AD$2,"")&amp;IF(N(AE193)&gt;0,", "&amp;AE$2,"")&amp;IF(N(AF193)&gt;0,", "&amp;AF$2,"")&amp;IF(N(AG193)&gt;0,", "&amp;AG$2,"")&amp;IF(N(AH193)&gt;0,", "&amp;AH$2,"")&amp;IF(N(AI193)&gt;0,", "&amp;AI$2,"")&amp;IF(N(AJ193)&gt;0,", "&amp;AJ$2,""),3,999)</f>
        <v/>
      </c>
      <c r="AM193" s="87" t="str">
        <f aca="false">IF(E193="","",MID(IF(N(Y193)&gt;0,", "&amp;A193&amp;"-"&amp;Y$2,"")&amp;IF(N(Z193)&gt;0,", "&amp;A193&amp;"-"&amp;Z$2,"")&amp;IF(N(AA193)&gt;0,", "&amp;A193&amp;"-"&amp;AA$2,"")&amp;IF(N(AB193)&gt;0,", "&amp;A193&amp;"-"&amp;AB$2,"")&amp;IF(N(AC193)&gt;0,", "&amp;A193&amp;"-"&amp;AC$2,"")&amp;IF(N(AD193)&gt;0,", "&amp;A193&amp;"-"&amp;AD$2,"")&amp;IF(N(AE193)&gt;0,", "&amp;A193&amp;"-"&amp;AE$2,"")&amp;IF(N(AF193)&gt;0,", "&amp;A193&amp;"-"&amp;AF$2,"")&amp;IF(N(AG193)&gt;0,", "&amp;A193&amp;"-"&amp;AG$2,"")&amp;IF(N(AH193)&gt;0,", "&amp;A193&amp;"-"&amp;AH$2,"")&amp;IF(N(AI193)&gt;0,", "&amp;A193&amp;"-"&amp;AI$2,"")&amp;IF(N(AJ193)&gt;0,", "&amp;A193&amp;"-"&amp;AJ$2,""),3,999))</f>
        <v/>
      </c>
      <c r="AN193" s="81"/>
      <c r="AO193" s="88"/>
      <c r="AP193" s="89" t="str">
        <f aca="false">IF(AO193="","",ROUND(AO193/(1+Справочники!$B$13),2))</f>
        <v/>
      </c>
      <c r="AQ193" s="90" t="str">
        <f aca="false" t="array" ref="AQ193:AQ193">IF(AP193="","",AP193*INDEX(Справочники!$B$4:$B$7,MATCH("RUB",Справочники!$A$4:$A$7,0)))</f>
        <v/>
      </c>
      <c r="AR193" s="90" t="str">
        <f aca="false">IF(AQ193="","",ROUND(AQ193*(1+Справочники!$B$12),0))</f>
        <v/>
      </c>
      <c r="AS193" s="90" t="str">
        <f aca="false">IF(AR193="","",ROUND(AR193*(1-Справочники!$B$11),0))</f>
        <v/>
      </c>
      <c r="AT193" s="88"/>
      <c r="AU193" s="90" t="str">
        <f aca="false">IF(AT193="","",ROUND(AT193/(1+Справочники!$B$12),0))</f>
        <v/>
      </c>
      <c r="AV193" s="90" t="str">
        <f aca="false">IF(AT193="","",ROUND(AT193*(1-Справочники!$B$15),0))</f>
        <v/>
      </c>
      <c r="AW193" s="90" t="str">
        <f aca="false">IF(AT193="","",ROUND(AT193*(1-Справочники!$B$16),0))</f>
        <v/>
      </c>
      <c r="AX193" s="90" t="str">
        <f aca="false">IF(AT193="","",ROUND(AT193*(1-Справочники!$B$17),0))</f>
        <v/>
      </c>
      <c r="AY193" s="90" t="str">
        <f aca="false">IF(AT193="","",ROUND(AT193*(1-Справочники!$B$18),0))</f>
        <v/>
      </c>
      <c r="AZ193" s="90" t="str">
        <f aca="false">IF(AT193="","",ROUND(AT193*(1-Справочники!$B$19),0))</f>
        <v/>
      </c>
      <c r="BA193" s="81"/>
      <c r="BB193" s="81"/>
      <c r="BC193" s="81"/>
      <c r="BD193" s="81"/>
      <c r="BE193" s="91"/>
      <c r="BF193" s="81" t="s">
        <v>103</v>
      </c>
      <c r="BG193" s="89" t="n">
        <f aca="false" t="array" ref="BG193:BG193">IF(BF193="","",IFERROR(INDEX(Справочники!$B$4:$B$7,MATCH(BF193,Справочники!$A$4:$A$7,0)),""))</f>
        <v>68.5</v>
      </c>
      <c r="BH193" s="90" t="str">
        <f aca="false">IF(N(BN193)&gt;0,ROUND(SUMIF(ЗАКАЗЫ!$F$3:$F$500,$A193,ЗАКАЗЫ!$Y$3:$Y$500)/BN193,0),IF(OR(BE193="",BG193=""),"",ROUND(BE193*BG193*(1+Справочники!$B$10),0)))</f>
        <v/>
      </c>
      <c r="BI193" s="92" t="str">
        <f aca="false">IF(OR(AU193="",BH193="",AU193=0),"",(AU193-BH193)/AU193)</f>
        <v/>
      </c>
      <c r="BJ193" s="81"/>
      <c r="BK193" s="83"/>
      <c r="BL193" s="43" t="str">
        <f aca="false">IFERROR(INDEX(ЗАКАЗЫ!$N$3:$N$500,MATCH($A193,ЗАКАЗЫ!$F$3:$F$500,0)),"")</f>
        <v/>
      </c>
      <c r="BM193" s="8" t="str">
        <f aca="false">IF(BL193="","",IFERROR(VLOOKUP(BL193,'ТН ВЭД'!$A$4:$C$40,3,0),""))</f>
        <v/>
      </c>
      <c r="BN193" s="7" t="str">
        <f aca="false">IF(COUNTIF(ЗАКАЗЫ!$F$3:$F$500,$A193)=0,"",SUMIF(ЗАКАЗЫ!$F$3:$F$500,$A193,ЗАКАЗЫ!$J$3:$J$500))</f>
        <v/>
      </c>
      <c r="BO193" s="7" t="str">
        <f aca="false">IF(BN193="","",SUMIF(ЗАКАЗЫ!$F$3:$F$500,$A193,ЗАКАЗЫ!$AL$3:$AL$500))</f>
        <v/>
      </c>
      <c r="BP193" s="7" t="str">
        <f aca="false">IF(BN193="","",BN193-BO193)</f>
        <v/>
      </c>
      <c r="BQ193" s="55" t="str">
        <f aca="false">IF(BN193="","",IF(BO193&gt;=BN193,"На складе",IF(BO193&gt;0,"Частично","Ждём")))</f>
        <v/>
      </c>
      <c r="BR193" s="43"/>
      <c r="BS193" s="47" t="str">
        <f aca="false">IF(BN193="","",IF(_xlfn.MAXIFS(ЗАКАЗЫ!$AK$3:$AK$500,ЗАКАЗЫ!$F$3:$F$500,$A193)=0,"",_xlfn.MAXIFS(ЗАКАЗЫ!$AK$3:$AK$500,ЗАКАЗЫ!$F$3:$F$500,$A193)))</f>
        <v/>
      </c>
    </row>
    <row r="194" customFormat="false" ht="15.75" hidden="false" customHeight="true" outlineLevel="0" collapsed="false">
      <c r="A194" s="80" t="s">
        <v>2388</v>
      </c>
      <c r="B194" s="81"/>
      <c r="C194" s="81"/>
      <c r="D194" s="81"/>
      <c r="E194" s="83"/>
      <c r="F194" s="81"/>
      <c r="G194" s="83"/>
      <c r="H194" s="83"/>
      <c r="I194" s="84" t="str">
        <f aca="false">IF(E194="","",A194&amp;"_1.jpg")</f>
        <v/>
      </c>
      <c r="J194" s="84" t="str">
        <f aca="false">IF(E194="","",A194&amp;"_2.jpg; "&amp;A194&amp;"_3.jpg")</f>
        <v/>
      </c>
      <c r="K194" s="84" t="str">
        <f aca="false">IF(E194="","",A194&amp;"_schema.jpg")</f>
        <v/>
      </c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 t="s">
        <v>96</v>
      </c>
      <c r="W194" s="81"/>
      <c r="X194" s="81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6" t="str">
        <f aca="false">IF(SUM(Y194:AJ194)=0,"",SUM(Y194:AJ194))</f>
        <v/>
      </c>
      <c r="AL194" s="84" t="str">
        <f aca="false">MID(IF(N(Y194)&gt;0,", "&amp;Y$2,"")&amp;IF(N(Z194)&gt;0,", "&amp;Z$2,"")&amp;IF(N(AA194)&gt;0,", "&amp;AA$2,"")&amp;IF(N(AB194)&gt;0,", "&amp;AB$2,"")&amp;IF(N(AC194)&gt;0,", "&amp;AC$2,"")&amp;IF(N(AD194)&gt;0,", "&amp;AD$2,"")&amp;IF(N(AE194)&gt;0,", "&amp;AE$2,"")&amp;IF(N(AF194)&gt;0,", "&amp;AF$2,"")&amp;IF(N(AG194)&gt;0,", "&amp;AG$2,"")&amp;IF(N(AH194)&gt;0,", "&amp;AH$2,"")&amp;IF(N(AI194)&gt;0,", "&amp;AI$2,"")&amp;IF(N(AJ194)&gt;0,", "&amp;AJ$2,""),3,999)</f>
        <v/>
      </c>
      <c r="AM194" s="87" t="str">
        <f aca="false">IF(E194="","",MID(IF(N(Y194)&gt;0,", "&amp;A194&amp;"-"&amp;Y$2,"")&amp;IF(N(Z194)&gt;0,", "&amp;A194&amp;"-"&amp;Z$2,"")&amp;IF(N(AA194)&gt;0,", "&amp;A194&amp;"-"&amp;AA$2,"")&amp;IF(N(AB194)&gt;0,", "&amp;A194&amp;"-"&amp;AB$2,"")&amp;IF(N(AC194)&gt;0,", "&amp;A194&amp;"-"&amp;AC$2,"")&amp;IF(N(AD194)&gt;0,", "&amp;A194&amp;"-"&amp;AD$2,"")&amp;IF(N(AE194)&gt;0,", "&amp;A194&amp;"-"&amp;AE$2,"")&amp;IF(N(AF194)&gt;0,", "&amp;A194&amp;"-"&amp;AF$2,"")&amp;IF(N(AG194)&gt;0,", "&amp;A194&amp;"-"&amp;AG$2,"")&amp;IF(N(AH194)&gt;0,", "&amp;A194&amp;"-"&amp;AH$2,"")&amp;IF(N(AI194)&gt;0,", "&amp;A194&amp;"-"&amp;AI$2,"")&amp;IF(N(AJ194)&gt;0,", "&amp;A194&amp;"-"&amp;AJ$2,""),3,999))</f>
        <v/>
      </c>
      <c r="AN194" s="81"/>
      <c r="AO194" s="88"/>
      <c r="AP194" s="89" t="str">
        <f aca="false">IF(AO194="","",ROUND(AO194/(1+Справочники!$B$13),2))</f>
        <v/>
      </c>
      <c r="AQ194" s="90" t="str">
        <f aca="false" t="array" ref="AQ194:AQ194">IF(AP194="","",AP194*INDEX(Справочники!$B$4:$B$7,MATCH("RUB",Справочники!$A$4:$A$7,0)))</f>
        <v/>
      </c>
      <c r="AR194" s="90" t="str">
        <f aca="false">IF(AQ194="","",ROUND(AQ194*(1+Справочники!$B$12),0))</f>
        <v/>
      </c>
      <c r="AS194" s="90" t="str">
        <f aca="false">IF(AR194="","",ROUND(AR194*(1-Справочники!$B$11),0))</f>
        <v/>
      </c>
      <c r="AT194" s="88"/>
      <c r="AU194" s="90" t="str">
        <f aca="false">IF(AT194="","",ROUND(AT194/(1+Справочники!$B$12),0))</f>
        <v/>
      </c>
      <c r="AV194" s="90" t="str">
        <f aca="false">IF(AT194="","",ROUND(AT194*(1-Справочники!$B$15),0))</f>
        <v/>
      </c>
      <c r="AW194" s="90" t="str">
        <f aca="false">IF(AT194="","",ROUND(AT194*(1-Справочники!$B$16),0))</f>
        <v/>
      </c>
      <c r="AX194" s="90" t="str">
        <f aca="false">IF(AT194="","",ROUND(AT194*(1-Справочники!$B$17),0))</f>
        <v/>
      </c>
      <c r="AY194" s="90" t="str">
        <f aca="false">IF(AT194="","",ROUND(AT194*(1-Справочники!$B$18),0))</f>
        <v/>
      </c>
      <c r="AZ194" s="90" t="str">
        <f aca="false">IF(AT194="","",ROUND(AT194*(1-Справочники!$B$19),0))</f>
        <v/>
      </c>
      <c r="BA194" s="81"/>
      <c r="BB194" s="81"/>
      <c r="BC194" s="81"/>
      <c r="BD194" s="81"/>
      <c r="BE194" s="91"/>
      <c r="BF194" s="81" t="s">
        <v>103</v>
      </c>
      <c r="BG194" s="89" t="n">
        <f aca="false" t="array" ref="BG194:BG194">IF(BF194="","",IFERROR(INDEX(Справочники!$B$4:$B$7,MATCH(BF194,Справочники!$A$4:$A$7,0)),""))</f>
        <v>68.5</v>
      </c>
      <c r="BH194" s="90" t="str">
        <f aca="false">IF(N(BN194)&gt;0,ROUND(SUMIF(ЗАКАЗЫ!$F$3:$F$500,$A194,ЗАКАЗЫ!$Y$3:$Y$500)/BN194,0),IF(OR(BE194="",BG194=""),"",ROUND(BE194*BG194*(1+Справочники!$B$10),0)))</f>
        <v/>
      </c>
      <c r="BI194" s="92" t="str">
        <f aca="false">IF(OR(AU194="",BH194="",AU194=0),"",(AU194-BH194)/AU194)</f>
        <v/>
      </c>
      <c r="BJ194" s="81"/>
      <c r="BK194" s="83"/>
      <c r="BL194" s="43" t="str">
        <f aca="false">IFERROR(INDEX(ЗАКАЗЫ!$N$3:$N$500,MATCH($A194,ЗАКАЗЫ!$F$3:$F$500,0)),"")</f>
        <v/>
      </c>
      <c r="BM194" s="8" t="str">
        <f aca="false">IF(BL194="","",IFERROR(VLOOKUP(BL194,'ТН ВЭД'!$A$4:$C$40,3,0),""))</f>
        <v/>
      </c>
      <c r="BN194" s="7" t="str">
        <f aca="false">IF(COUNTIF(ЗАКАЗЫ!$F$3:$F$500,$A194)=0,"",SUMIF(ЗАКАЗЫ!$F$3:$F$500,$A194,ЗАКАЗЫ!$J$3:$J$500))</f>
        <v/>
      </c>
      <c r="BO194" s="7" t="str">
        <f aca="false">IF(BN194="","",SUMIF(ЗАКАЗЫ!$F$3:$F$500,$A194,ЗАКАЗЫ!$AL$3:$AL$500))</f>
        <v/>
      </c>
      <c r="BP194" s="7" t="str">
        <f aca="false">IF(BN194="","",BN194-BO194)</f>
        <v/>
      </c>
      <c r="BQ194" s="55" t="str">
        <f aca="false">IF(BN194="","",IF(BO194&gt;=BN194,"На складе",IF(BO194&gt;0,"Частично","Ждём")))</f>
        <v/>
      </c>
      <c r="BR194" s="43"/>
      <c r="BS194" s="47" t="str">
        <f aca="false">IF(BN194="","",IF(_xlfn.MAXIFS(ЗАКАЗЫ!$AK$3:$AK$500,ЗАКАЗЫ!$F$3:$F$500,$A194)=0,"",_xlfn.MAXIFS(ЗАКАЗЫ!$AK$3:$AK$500,ЗАКАЗЫ!$F$3:$F$500,$A194)))</f>
        <v/>
      </c>
    </row>
    <row r="195" customFormat="false" ht="15.75" hidden="false" customHeight="true" outlineLevel="0" collapsed="false">
      <c r="A195" s="80" t="s">
        <v>2389</v>
      </c>
      <c r="B195" s="81"/>
      <c r="C195" s="81"/>
      <c r="D195" s="81"/>
      <c r="E195" s="83"/>
      <c r="F195" s="81"/>
      <c r="G195" s="83"/>
      <c r="H195" s="83"/>
      <c r="I195" s="84" t="str">
        <f aca="false">IF(E195="","",A195&amp;"_1.jpg")</f>
        <v/>
      </c>
      <c r="J195" s="84" t="str">
        <f aca="false">IF(E195="","",A195&amp;"_2.jpg; "&amp;A195&amp;"_3.jpg")</f>
        <v/>
      </c>
      <c r="K195" s="84" t="str">
        <f aca="false">IF(E195="","",A195&amp;"_schema.jpg")</f>
        <v/>
      </c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 t="s">
        <v>96</v>
      </c>
      <c r="W195" s="81"/>
      <c r="X195" s="81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6" t="str">
        <f aca="false">IF(SUM(Y195:AJ195)=0,"",SUM(Y195:AJ195))</f>
        <v/>
      </c>
      <c r="AL195" s="84" t="str">
        <f aca="false">MID(IF(N(Y195)&gt;0,", "&amp;Y$2,"")&amp;IF(N(Z195)&gt;0,", "&amp;Z$2,"")&amp;IF(N(AA195)&gt;0,", "&amp;AA$2,"")&amp;IF(N(AB195)&gt;0,", "&amp;AB$2,"")&amp;IF(N(AC195)&gt;0,", "&amp;AC$2,"")&amp;IF(N(AD195)&gt;0,", "&amp;AD$2,"")&amp;IF(N(AE195)&gt;0,", "&amp;AE$2,"")&amp;IF(N(AF195)&gt;0,", "&amp;AF$2,"")&amp;IF(N(AG195)&gt;0,", "&amp;AG$2,"")&amp;IF(N(AH195)&gt;0,", "&amp;AH$2,"")&amp;IF(N(AI195)&gt;0,", "&amp;AI$2,"")&amp;IF(N(AJ195)&gt;0,", "&amp;AJ$2,""),3,999)</f>
        <v/>
      </c>
      <c r="AM195" s="87" t="str">
        <f aca="false">IF(E195="","",MID(IF(N(Y195)&gt;0,", "&amp;A195&amp;"-"&amp;Y$2,"")&amp;IF(N(Z195)&gt;0,", "&amp;A195&amp;"-"&amp;Z$2,"")&amp;IF(N(AA195)&gt;0,", "&amp;A195&amp;"-"&amp;AA$2,"")&amp;IF(N(AB195)&gt;0,", "&amp;A195&amp;"-"&amp;AB$2,"")&amp;IF(N(AC195)&gt;0,", "&amp;A195&amp;"-"&amp;AC$2,"")&amp;IF(N(AD195)&gt;0,", "&amp;A195&amp;"-"&amp;AD$2,"")&amp;IF(N(AE195)&gt;0,", "&amp;A195&amp;"-"&amp;AE$2,"")&amp;IF(N(AF195)&gt;0,", "&amp;A195&amp;"-"&amp;AF$2,"")&amp;IF(N(AG195)&gt;0,", "&amp;A195&amp;"-"&amp;AG$2,"")&amp;IF(N(AH195)&gt;0,", "&amp;A195&amp;"-"&amp;AH$2,"")&amp;IF(N(AI195)&gt;0,", "&amp;A195&amp;"-"&amp;AI$2,"")&amp;IF(N(AJ195)&gt;0,", "&amp;A195&amp;"-"&amp;AJ$2,""),3,999))</f>
        <v/>
      </c>
      <c r="AN195" s="81"/>
      <c r="AO195" s="88"/>
      <c r="AP195" s="89" t="str">
        <f aca="false">IF(AO195="","",ROUND(AO195/(1+Справочники!$B$13),2))</f>
        <v/>
      </c>
      <c r="AQ195" s="90" t="str">
        <f aca="false" t="array" ref="AQ195:AQ195">IF(AP195="","",AP195*INDEX(Справочники!$B$4:$B$7,MATCH("RUB",Справочники!$A$4:$A$7,0)))</f>
        <v/>
      </c>
      <c r="AR195" s="90" t="str">
        <f aca="false">IF(AQ195="","",ROUND(AQ195*(1+Справочники!$B$12),0))</f>
        <v/>
      </c>
      <c r="AS195" s="90" t="str">
        <f aca="false">IF(AR195="","",ROUND(AR195*(1-Справочники!$B$11),0))</f>
        <v/>
      </c>
      <c r="AT195" s="88"/>
      <c r="AU195" s="90" t="str">
        <f aca="false">IF(AT195="","",ROUND(AT195/(1+Справочники!$B$12),0))</f>
        <v/>
      </c>
      <c r="AV195" s="90" t="str">
        <f aca="false">IF(AT195="","",ROUND(AT195*(1-Справочники!$B$15),0))</f>
        <v/>
      </c>
      <c r="AW195" s="90" t="str">
        <f aca="false">IF(AT195="","",ROUND(AT195*(1-Справочники!$B$16),0))</f>
        <v/>
      </c>
      <c r="AX195" s="90" t="str">
        <f aca="false">IF(AT195="","",ROUND(AT195*(1-Справочники!$B$17),0))</f>
        <v/>
      </c>
      <c r="AY195" s="90" t="str">
        <f aca="false">IF(AT195="","",ROUND(AT195*(1-Справочники!$B$18),0))</f>
        <v/>
      </c>
      <c r="AZ195" s="90" t="str">
        <f aca="false">IF(AT195="","",ROUND(AT195*(1-Справочники!$B$19),0))</f>
        <v/>
      </c>
      <c r="BA195" s="81"/>
      <c r="BB195" s="81"/>
      <c r="BC195" s="81"/>
      <c r="BD195" s="81"/>
      <c r="BE195" s="91"/>
      <c r="BF195" s="81" t="s">
        <v>103</v>
      </c>
      <c r="BG195" s="89" t="n">
        <f aca="false" t="array" ref="BG195:BG195">IF(BF195="","",IFERROR(INDEX(Справочники!$B$4:$B$7,MATCH(BF195,Справочники!$A$4:$A$7,0)),""))</f>
        <v>68.5</v>
      </c>
      <c r="BH195" s="90" t="str">
        <f aca="false">IF(N(BN195)&gt;0,ROUND(SUMIF(ЗАКАЗЫ!$F$3:$F$500,$A195,ЗАКАЗЫ!$Y$3:$Y$500)/BN195,0),IF(OR(BE195="",BG195=""),"",ROUND(BE195*BG195*(1+Справочники!$B$10),0)))</f>
        <v/>
      </c>
      <c r="BI195" s="92" t="str">
        <f aca="false">IF(OR(AU195="",BH195="",AU195=0),"",(AU195-BH195)/AU195)</f>
        <v/>
      </c>
      <c r="BJ195" s="81"/>
      <c r="BK195" s="83"/>
      <c r="BL195" s="43" t="str">
        <f aca="false">IFERROR(INDEX(ЗАКАЗЫ!$N$3:$N$500,MATCH($A195,ЗАКАЗЫ!$F$3:$F$500,0)),"")</f>
        <v/>
      </c>
      <c r="BM195" s="8" t="str">
        <f aca="false">IF(BL195="","",IFERROR(VLOOKUP(BL195,'ТН ВЭД'!$A$4:$C$40,3,0),""))</f>
        <v/>
      </c>
      <c r="BN195" s="7" t="str">
        <f aca="false">IF(COUNTIF(ЗАКАЗЫ!$F$3:$F$500,$A195)=0,"",SUMIF(ЗАКАЗЫ!$F$3:$F$500,$A195,ЗАКАЗЫ!$J$3:$J$500))</f>
        <v/>
      </c>
      <c r="BO195" s="7" t="str">
        <f aca="false">IF(BN195="","",SUMIF(ЗАКАЗЫ!$F$3:$F$500,$A195,ЗАКАЗЫ!$AL$3:$AL$500))</f>
        <v/>
      </c>
      <c r="BP195" s="7" t="str">
        <f aca="false">IF(BN195="","",BN195-BO195)</f>
        <v/>
      </c>
      <c r="BQ195" s="55" t="str">
        <f aca="false">IF(BN195="","",IF(BO195&gt;=BN195,"На складе",IF(BO195&gt;0,"Частично","Ждём")))</f>
        <v/>
      </c>
      <c r="BR195" s="43"/>
      <c r="BS195" s="47" t="str">
        <f aca="false">IF(BN195="","",IF(_xlfn.MAXIFS(ЗАКАЗЫ!$AK$3:$AK$500,ЗАКАЗЫ!$F$3:$F$500,$A195)=0,"",_xlfn.MAXIFS(ЗАКАЗЫ!$AK$3:$AK$500,ЗАКАЗЫ!$F$3:$F$500,$A195)))</f>
        <v/>
      </c>
    </row>
    <row r="196" customFormat="false" ht="15.75" hidden="false" customHeight="true" outlineLevel="0" collapsed="false">
      <c r="A196" s="80" t="s">
        <v>2390</v>
      </c>
      <c r="B196" s="81"/>
      <c r="C196" s="81"/>
      <c r="D196" s="81"/>
      <c r="E196" s="83"/>
      <c r="F196" s="81"/>
      <c r="G196" s="83"/>
      <c r="H196" s="83"/>
      <c r="I196" s="84" t="str">
        <f aca="false">IF(E196="","",A196&amp;"_1.jpg")</f>
        <v/>
      </c>
      <c r="J196" s="84" t="str">
        <f aca="false">IF(E196="","",A196&amp;"_2.jpg; "&amp;A196&amp;"_3.jpg")</f>
        <v/>
      </c>
      <c r="K196" s="84" t="str">
        <f aca="false">IF(E196="","",A196&amp;"_schema.jpg")</f>
        <v/>
      </c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 t="s">
        <v>96</v>
      </c>
      <c r="W196" s="81"/>
      <c r="X196" s="81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6" t="str">
        <f aca="false">IF(SUM(Y196:AJ196)=0,"",SUM(Y196:AJ196))</f>
        <v/>
      </c>
      <c r="AL196" s="84" t="str">
        <f aca="false">MID(IF(N(Y196)&gt;0,", "&amp;Y$2,"")&amp;IF(N(Z196)&gt;0,", "&amp;Z$2,"")&amp;IF(N(AA196)&gt;0,", "&amp;AA$2,"")&amp;IF(N(AB196)&gt;0,", "&amp;AB$2,"")&amp;IF(N(AC196)&gt;0,", "&amp;AC$2,"")&amp;IF(N(AD196)&gt;0,", "&amp;AD$2,"")&amp;IF(N(AE196)&gt;0,", "&amp;AE$2,"")&amp;IF(N(AF196)&gt;0,", "&amp;AF$2,"")&amp;IF(N(AG196)&gt;0,", "&amp;AG$2,"")&amp;IF(N(AH196)&gt;0,", "&amp;AH$2,"")&amp;IF(N(AI196)&gt;0,", "&amp;AI$2,"")&amp;IF(N(AJ196)&gt;0,", "&amp;AJ$2,""),3,999)</f>
        <v/>
      </c>
      <c r="AM196" s="87" t="str">
        <f aca="false">IF(E196="","",MID(IF(N(Y196)&gt;0,", "&amp;A196&amp;"-"&amp;Y$2,"")&amp;IF(N(Z196)&gt;0,", "&amp;A196&amp;"-"&amp;Z$2,"")&amp;IF(N(AA196)&gt;0,", "&amp;A196&amp;"-"&amp;AA$2,"")&amp;IF(N(AB196)&gt;0,", "&amp;A196&amp;"-"&amp;AB$2,"")&amp;IF(N(AC196)&gt;0,", "&amp;A196&amp;"-"&amp;AC$2,"")&amp;IF(N(AD196)&gt;0,", "&amp;A196&amp;"-"&amp;AD$2,"")&amp;IF(N(AE196)&gt;0,", "&amp;A196&amp;"-"&amp;AE$2,"")&amp;IF(N(AF196)&gt;0,", "&amp;A196&amp;"-"&amp;AF$2,"")&amp;IF(N(AG196)&gt;0,", "&amp;A196&amp;"-"&amp;AG$2,"")&amp;IF(N(AH196)&gt;0,", "&amp;A196&amp;"-"&amp;AH$2,"")&amp;IF(N(AI196)&gt;0,", "&amp;A196&amp;"-"&amp;AI$2,"")&amp;IF(N(AJ196)&gt;0,", "&amp;A196&amp;"-"&amp;AJ$2,""),3,999))</f>
        <v/>
      </c>
      <c r="AN196" s="81"/>
      <c r="AO196" s="88"/>
      <c r="AP196" s="89" t="str">
        <f aca="false">IF(AO196="","",ROUND(AO196/(1+Справочники!$B$13),2))</f>
        <v/>
      </c>
      <c r="AQ196" s="90" t="str">
        <f aca="false" t="array" ref="AQ196:AQ196">IF(AP196="","",AP196*INDEX(Справочники!$B$4:$B$7,MATCH("RUB",Справочники!$A$4:$A$7,0)))</f>
        <v/>
      </c>
      <c r="AR196" s="90" t="str">
        <f aca="false">IF(AQ196="","",ROUND(AQ196*(1+Справочники!$B$12),0))</f>
        <v/>
      </c>
      <c r="AS196" s="90" t="str">
        <f aca="false">IF(AR196="","",ROUND(AR196*(1-Справочники!$B$11),0))</f>
        <v/>
      </c>
      <c r="AT196" s="88"/>
      <c r="AU196" s="90" t="str">
        <f aca="false">IF(AT196="","",ROUND(AT196/(1+Справочники!$B$12),0))</f>
        <v/>
      </c>
      <c r="AV196" s="90" t="str">
        <f aca="false">IF(AT196="","",ROUND(AT196*(1-Справочники!$B$15),0))</f>
        <v/>
      </c>
      <c r="AW196" s="90" t="str">
        <f aca="false">IF(AT196="","",ROUND(AT196*(1-Справочники!$B$16),0))</f>
        <v/>
      </c>
      <c r="AX196" s="90" t="str">
        <f aca="false">IF(AT196="","",ROUND(AT196*(1-Справочники!$B$17),0))</f>
        <v/>
      </c>
      <c r="AY196" s="90" t="str">
        <f aca="false">IF(AT196="","",ROUND(AT196*(1-Справочники!$B$18),0))</f>
        <v/>
      </c>
      <c r="AZ196" s="90" t="str">
        <f aca="false">IF(AT196="","",ROUND(AT196*(1-Справочники!$B$19),0))</f>
        <v/>
      </c>
      <c r="BA196" s="81"/>
      <c r="BB196" s="81"/>
      <c r="BC196" s="81"/>
      <c r="BD196" s="81"/>
      <c r="BE196" s="91"/>
      <c r="BF196" s="81" t="s">
        <v>103</v>
      </c>
      <c r="BG196" s="89" t="n">
        <f aca="false" t="array" ref="BG196:BG196">IF(BF196="","",IFERROR(INDEX(Справочники!$B$4:$B$7,MATCH(BF196,Справочники!$A$4:$A$7,0)),""))</f>
        <v>68.5</v>
      </c>
      <c r="BH196" s="90" t="str">
        <f aca="false">IF(N(BN196)&gt;0,ROUND(SUMIF(ЗАКАЗЫ!$F$3:$F$500,$A196,ЗАКАЗЫ!$Y$3:$Y$500)/BN196,0),IF(OR(BE196="",BG196=""),"",ROUND(BE196*BG196*(1+Справочники!$B$10),0)))</f>
        <v/>
      </c>
      <c r="BI196" s="92" t="str">
        <f aca="false">IF(OR(AU196="",BH196="",AU196=0),"",(AU196-BH196)/AU196)</f>
        <v/>
      </c>
      <c r="BJ196" s="81"/>
      <c r="BK196" s="83"/>
      <c r="BL196" s="43" t="str">
        <f aca="false">IFERROR(INDEX(ЗАКАЗЫ!$N$3:$N$500,MATCH($A196,ЗАКАЗЫ!$F$3:$F$500,0)),"")</f>
        <v/>
      </c>
      <c r="BM196" s="8" t="str">
        <f aca="false">IF(BL196="","",IFERROR(VLOOKUP(BL196,'ТН ВЭД'!$A$4:$C$40,3,0),""))</f>
        <v/>
      </c>
      <c r="BN196" s="7" t="str">
        <f aca="false">IF(COUNTIF(ЗАКАЗЫ!$F$3:$F$500,$A196)=0,"",SUMIF(ЗАКАЗЫ!$F$3:$F$500,$A196,ЗАКАЗЫ!$J$3:$J$500))</f>
        <v/>
      </c>
      <c r="BO196" s="7" t="str">
        <f aca="false">IF(BN196="","",SUMIF(ЗАКАЗЫ!$F$3:$F$500,$A196,ЗАКАЗЫ!$AL$3:$AL$500))</f>
        <v/>
      </c>
      <c r="BP196" s="7" t="str">
        <f aca="false">IF(BN196="","",BN196-BO196)</f>
        <v/>
      </c>
      <c r="BQ196" s="55" t="str">
        <f aca="false">IF(BN196="","",IF(BO196&gt;=BN196,"На складе",IF(BO196&gt;0,"Частично","Ждём")))</f>
        <v/>
      </c>
      <c r="BR196" s="43"/>
      <c r="BS196" s="47" t="str">
        <f aca="false">IF(BN196="","",IF(_xlfn.MAXIFS(ЗАКАЗЫ!$AK$3:$AK$500,ЗАКАЗЫ!$F$3:$F$500,$A196)=0,"",_xlfn.MAXIFS(ЗАКАЗЫ!$AK$3:$AK$500,ЗАКАЗЫ!$F$3:$F$500,$A196)))</f>
        <v/>
      </c>
    </row>
    <row r="197" customFormat="false" ht="15.75" hidden="false" customHeight="true" outlineLevel="0" collapsed="false">
      <c r="A197" s="80" t="s">
        <v>2391</v>
      </c>
      <c r="B197" s="81"/>
      <c r="C197" s="81"/>
      <c r="D197" s="81"/>
      <c r="E197" s="83"/>
      <c r="F197" s="81"/>
      <c r="G197" s="83"/>
      <c r="H197" s="83"/>
      <c r="I197" s="84" t="str">
        <f aca="false">IF(E197="","",A197&amp;"_1.jpg")</f>
        <v/>
      </c>
      <c r="J197" s="84" t="str">
        <f aca="false">IF(E197="","",A197&amp;"_2.jpg; "&amp;A197&amp;"_3.jpg")</f>
        <v/>
      </c>
      <c r="K197" s="84" t="str">
        <f aca="false">IF(E197="","",A197&amp;"_schema.jpg")</f>
        <v/>
      </c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 t="s">
        <v>96</v>
      </c>
      <c r="W197" s="81"/>
      <c r="X197" s="81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6" t="str">
        <f aca="false">IF(SUM(Y197:AJ197)=0,"",SUM(Y197:AJ197))</f>
        <v/>
      </c>
      <c r="AL197" s="84" t="str">
        <f aca="false">MID(IF(N(Y197)&gt;0,", "&amp;Y$2,"")&amp;IF(N(Z197)&gt;0,", "&amp;Z$2,"")&amp;IF(N(AA197)&gt;0,", "&amp;AA$2,"")&amp;IF(N(AB197)&gt;0,", "&amp;AB$2,"")&amp;IF(N(AC197)&gt;0,", "&amp;AC$2,"")&amp;IF(N(AD197)&gt;0,", "&amp;AD$2,"")&amp;IF(N(AE197)&gt;0,", "&amp;AE$2,"")&amp;IF(N(AF197)&gt;0,", "&amp;AF$2,"")&amp;IF(N(AG197)&gt;0,", "&amp;AG$2,"")&amp;IF(N(AH197)&gt;0,", "&amp;AH$2,"")&amp;IF(N(AI197)&gt;0,", "&amp;AI$2,"")&amp;IF(N(AJ197)&gt;0,", "&amp;AJ$2,""),3,999)</f>
        <v/>
      </c>
      <c r="AM197" s="87" t="str">
        <f aca="false">IF(E197="","",MID(IF(N(Y197)&gt;0,", "&amp;A197&amp;"-"&amp;Y$2,"")&amp;IF(N(Z197)&gt;0,", "&amp;A197&amp;"-"&amp;Z$2,"")&amp;IF(N(AA197)&gt;0,", "&amp;A197&amp;"-"&amp;AA$2,"")&amp;IF(N(AB197)&gt;0,", "&amp;A197&amp;"-"&amp;AB$2,"")&amp;IF(N(AC197)&gt;0,", "&amp;A197&amp;"-"&amp;AC$2,"")&amp;IF(N(AD197)&gt;0,", "&amp;A197&amp;"-"&amp;AD$2,"")&amp;IF(N(AE197)&gt;0,", "&amp;A197&amp;"-"&amp;AE$2,"")&amp;IF(N(AF197)&gt;0,", "&amp;A197&amp;"-"&amp;AF$2,"")&amp;IF(N(AG197)&gt;0,", "&amp;A197&amp;"-"&amp;AG$2,"")&amp;IF(N(AH197)&gt;0,", "&amp;A197&amp;"-"&amp;AH$2,"")&amp;IF(N(AI197)&gt;0,", "&amp;A197&amp;"-"&amp;AI$2,"")&amp;IF(N(AJ197)&gt;0,", "&amp;A197&amp;"-"&amp;AJ$2,""),3,999))</f>
        <v/>
      </c>
      <c r="AN197" s="81"/>
      <c r="AO197" s="88"/>
      <c r="AP197" s="89" t="str">
        <f aca="false">IF(AO197="","",ROUND(AO197/(1+Справочники!$B$13),2))</f>
        <v/>
      </c>
      <c r="AQ197" s="90" t="str">
        <f aca="false" t="array" ref="AQ197:AQ197">IF(AP197="","",AP197*INDEX(Справочники!$B$4:$B$7,MATCH("RUB",Справочники!$A$4:$A$7,0)))</f>
        <v/>
      </c>
      <c r="AR197" s="90" t="str">
        <f aca="false">IF(AQ197="","",ROUND(AQ197*(1+Справочники!$B$12),0))</f>
        <v/>
      </c>
      <c r="AS197" s="90" t="str">
        <f aca="false">IF(AR197="","",ROUND(AR197*(1-Справочники!$B$11),0))</f>
        <v/>
      </c>
      <c r="AT197" s="88"/>
      <c r="AU197" s="90" t="str">
        <f aca="false">IF(AT197="","",ROUND(AT197/(1+Справочники!$B$12),0))</f>
        <v/>
      </c>
      <c r="AV197" s="90" t="str">
        <f aca="false">IF(AT197="","",ROUND(AT197*(1-Справочники!$B$15),0))</f>
        <v/>
      </c>
      <c r="AW197" s="90" t="str">
        <f aca="false">IF(AT197="","",ROUND(AT197*(1-Справочники!$B$16),0))</f>
        <v/>
      </c>
      <c r="AX197" s="90" t="str">
        <f aca="false">IF(AT197="","",ROUND(AT197*(1-Справочники!$B$17),0))</f>
        <v/>
      </c>
      <c r="AY197" s="90" t="str">
        <f aca="false">IF(AT197="","",ROUND(AT197*(1-Справочники!$B$18),0))</f>
        <v/>
      </c>
      <c r="AZ197" s="90" t="str">
        <f aca="false">IF(AT197="","",ROUND(AT197*(1-Справочники!$B$19),0))</f>
        <v/>
      </c>
      <c r="BA197" s="81"/>
      <c r="BB197" s="81"/>
      <c r="BC197" s="81"/>
      <c r="BD197" s="81"/>
      <c r="BE197" s="91"/>
      <c r="BF197" s="81" t="s">
        <v>103</v>
      </c>
      <c r="BG197" s="89" t="n">
        <f aca="false" t="array" ref="BG197:BG197">IF(BF197="","",IFERROR(INDEX(Справочники!$B$4:$B$7,MATCH(BF197,Справочники!$A$4:$A$7,0)),""))</f>
        <v>68.5</v>
      </c>
      <c r="BH197" s="90" t="str">
        <f aca="false">IF(N(BN197)&gt;0,ROUND(SUMIF(ЗАКАЗЫ!$F$3:$F$500,$A197,ЗАКАЗЫ!$Y$3:$Y$500)/BN197,0),IF(OR(BE197="",BG197=""),"",ROUND(BE197*BG197*(1+Справочники!$B$10),0)))</f>
        <v/>
      </c>
      <c r="BI197" s="92" t="str">
        <f aca="false">IF(OR(AU197="",BH197="",AU197=0),"",(AU197-BH197)/AU197)</f>
        <v/>
      </c>
      <c r="BJ197" s="81"/>
      <c r="BK197" s="83"/>
      <c r="BL197" s="43" t="str">
        <f aca="false">IFERROR(INDEX(ЗАКАЗЫ!$N$3:$N$500,MATCH($A197,ЗАКАЗЫ!$F$3:$F$500,0)),"")</f>
        <v/>
      </c>
      <c r="BM197" s="8" t="str">
        <f aca="false">IF(BL197="","",IFERROR(VLOOKUP(BL197,'ТН ВЭД'!$A$4:$C$40,3,0),""))</f>
        <v/>
      </c>
      <c r="BN197" s="7" t="str">
        <f aca="false">IF(COUNTIF(ЗАКАЗЫ!$F$3:$F$500,$A197)=0,"",SUMIF(ЗАКАЗЫ!$F$3:$F$500,$A197,ЗАКАЗЫ!$J$3:$J$500))</f>
        <v/>
      </c>
      <c r="BO197" s="7" t="str">
        <f aca="false">IF(BN197="","",SUMIF(ЗАКАЗЫ!$F$3:$F$500,$A197,ЗАКАЗЫ!$AL$3:$AL$500))</f>
        <v/>
      </c>
      <c r="BP197" s="7" t="str">
        <f aca="false">IF(BN197="","",BN197-BO197)</f>
        <v/>
      </c>
      <c r="BQ197" s="55" t="str">
        <f aca="false">IF(BN197="","",IF(BO197&gt;=BN197,"На складе",IF(BO197&gt;0,"Частично","Ждём")))</f>
        <v/>
      </c>
      <c r="BR197" s="43"/>
      <c r="BS197" s="47" t="str">
        <f aca="false">IF(BN197="","",IF(_xlfn.MAXIFS(ЗАКАЗЫ!$AK$3:$AK$500,ЗАКАЗЫ!$F$3:$F$500,$A197)=0,"",_xlfn.MAXIFS(ЗАКАЗЫ!$AK$3:$AK$500,ЗАКАЗЫ!$F$3:$F$500,$A197)))</f>
        <v/>
      </c>
    </row>
    <row r="198" customFormat="false" ht="15.75" hidden="false" customHeight="true" outlineLevel="0" collapsed="false">
      <c r="A198" s="80" t="s">
        <v>2392</v>
      </c>
      <c r="B198" s="81"/>
      <c r="C198" s="81"/>
      <c r="D198" s="81"/>
      <c r="E198" s="83"/>
      <c r="F198" s="81"/>
      <c r="G198" s="83"/>
      <c r="H198" s="83"/>
      <c r="I198" s="84" t="str">
        <f aca="false">IF(E198="","",A198&amp;"_1.jpg")</f>
        <v/>
      </c>
      <c r="J198" s="84" t="str">
        <f aca="false">IF(E198="","",A198&amp;"_2.jpg; "&amp;A198&amp;"_3.jpg")</f>
        <v/>
      </c>
      <c r="K198" s="84" t="str">
        <f aca="false">IF(E198="","",A198&amp;"_schema.jpg")</f>
        <v/>
      </c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 t="s">
        <v>96</v>
      </c>
      <c r="W198" s="81"/>
      <c r="X198" s="81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6" t="str">
        <f aca="false">IF(SUM(Y198:AJ198)=0,"",SUM(Y198:AJ198))</f>
        <v/>
      </c>
      <c r="AL198" s="84" t="str">
        <f aca="false">MID(IF(N(Y198)&gt;0,", "&amp;Y$2,"")&amp;IF(N(Z198)&gt;0,", "&amp;Z$2,"")&amp;IF(N(AA198)&gt;0,", "&amp;AA$2,"")&amp;IF(N(AB198)&gt;0,", "&amp;AB$2,"")&amp;IF(N(AC198)&gt;0,", "&amp;AC$2,"")&amp;IF(N(AD198)&gt;0,", "&amp;AD$2,"")&amp;IF(N(AE198)&gt;0,", "&amp;AE$2,"")&amp;IF(N(AF198)&gt;0,", "&amp;AF$2,"")&amp;IF(N(AG198)&gt;0,", "&amp;AG$2,"")&amp;IF(N(AH198)&gt;0,", "&amp;AH$2,"")&amp;IF(N(AI198)&gt;0,", "&amp;AI$2,"")&amp;IF(N(AJ198)&gt;0,", "&amp;AJ$2,""),3,999)</f>
        <v/>
      </c>
      <c r="AM198" s="87" t="str">
        <f aca="false">IF(E198="","",MID(IF(N(Y198)&gt;0,", "&amp;A198&amp;"-"&amp;Y$2,"")&amp;IF(N(Z198)&gt;0,", "&amp;A198&amp;"-"&amp;Z$2,"")&amp;IF(N(AA198)&gt;0,", "&amp;A198&amp;"-"&amp;AA$2,"")&amp;IF(N(AB198)&gt;0,", "&amp;A198&amp;"-"&amp;AB$2,"")&amp;IF(N(AC198)&gt;0,", "&amp;A198&amp;"-"&amp;AC$2,"")&amp;IF(N(AD198)&gt;0,", "&amp;A198&amp;"-"&amp;AD$2,"")&amp;IF(N(AE198)&gt;0,", "&amp;A198&amp;"-"&amp;AE$2,"")&amp;IF(N(AF198)&gt;0,", "&amp;A198&amp;"-"&amp;AF$2,"")&amp;IF(N(AG198)&gt;0,", "&amp;A198&amp;"-"&amp;AG$2,"")&amp;IF(N(AH198)&gt;0,", "&amp;A198&amp;"-"&amp;AH$2,"")&amp;IF(N(AI198)&gt;0,", "&amp;A198&amp;"-"&amp;AI$2,"")&amp;IF(N(AJ198)&gt;0,", "&amp;A198&amp;"-"&amp;AJ$2,""),3,999))</f>
        <v/>
      </c>
      <c r="AN198" s="81"/>
      <c r="AO198" s="88"/>
      <c r="AP198" s="89" t="str">
        <f aca="false">IF(AO198="","",ROUND(AO198/(1+Справочники!$B$13),2))</f>
        <v/>
      </c>
      <c r="AQ198" s="90" t="str">
        <f aca="false" t="array" ref="AQ198:AQ198">IF(AP198="","",AP198*INDEX(Справочники!$B$4:$B$7,MATCH("RUB",Справочники!$A$4:$A$7,0)))</f>
        <v/>
      </c>
      <c r="AR198" s="90" t="str">
        <f aca="false">IF(AQ198="","",ROUND(AQ198*(1+Справочники!$B$12),0))</f>
        <v/>
      </c>
      <c r="AS198" s="90" t="str">
        <f aca="false">IF(AR198="","",ROUND(AR198*(1-Справочники!$B$11),0))</f>
        <v/>
      </c>
      <c r="AT198" s="88"/>
      <c r="AU198" s="90" t="str">
        <f aca="false">IF(AT198="","",ROUND(AT198/(1+Справочники!$B$12),0))</f>
        <v/>
      </c>
      <c r="AV198" s="90" t="str">
        <f aca="false">IF(AT198="","",ROUND(AT198*(1-Справочники!$B$15),0))</f>
        <v/>
      </c>
      <c r="AW198" s="90" t="str">
        <f aca="false">IF(AT198="","",ROUND(AT198*(1-Справочники!$B$16),0))</f>
        <v/>
      </c>
      <c r="AX198" s="90" t="str">
        <f aca="false">IF(AT198="","",ROUND(AT198*(1-Справочники!$B$17),0))</f>
        <v/>
      </c>
      <c r="AY198" s="90" t="str">
        <f aca="false">IF(AT198="","",ROUND(AT198*(1-Справочники!$B$18),0))</f>
        <v/>
      </c>
      <c r="AZ198" s="90" t="str">
        <f aca="false">IF(AT198="","",ROUND(AT198*(1-Справочники!$B$19),0))</f>
        <v/>
      </c>
      <c r="BA198" s="81"/>
      <c r="BB198" s="81"/>
      <c r="BC198" s="81"/>
      <c r="BD198" s="81"/>
      <c r="BE198" s="91"/>
      <c r="BF198" s="81" t="s">
        <v>103</v>
      </c>
      <c r="BG198" s="89" t="n">
        <f aca="false" t="array" ref="BG198:BG198">IF(BF198="","",IFERROR(INDEX(Справочники!$B$4:$B$7,MATCH(BF198,Справочники!$A$4:$A$7,0)),""))</f>
        <v>68.5</v>
      </c>
      <c r="BH198" s="90" t="str">
        <f aca="false">IF(N(BN198)&gt;0,ROUND(SUMIF(ЗАКАЗЫ!$F$3:$F$500,$A198,ЗАКАЗЫ!$Y$3:$Y$500)/BN198,0),IF(OR(BE198="",BG198=""),"",ROUND(BE198*BG198*(1+Справочники!$B$10),0)))</f>
        <v/>
      </c>
      <c r="BI198" s="92" t="str">
        <f aca="false">IF(OR(AU198="",BH198="",AU198=0),"",(AU198-BH198)/AU198)</f>
        <v/>
      </c>
      <c r="BJ198" s="81"/>
      <c r="BK198" s="83"/>
      <c r="BL198" s="43" t="str">
        <f aca="false">IFERROR(INDEX(ЗАКАЗЫ!$N$3:$N$500,MATCH($A198,ЗАКАЗЫ!$F$3:$F$500,0)),"")</f>
        <v/>
      </c>
      <c r="BM198" s="8" t="str">
        <f aca="false">IF(BL198="","",IFERROR(VLOOKUP(BL198,'ТН ВЭД'!$A$4:$C$40,3,0),""))</f>
        <v/>
      </c>
      <c r="BN198" s="7" t="str">
        <f aca="false">IF(COUNTIF(ЗАКАЗЫ!$F$3:$F$500,$A198)=0,"",SUMIF(ЗАКАЗЫ!$F$3:$F$500,$A198,ЗАКАЗЫ!$J$3:$J$500))</f>
        <v/>
      </c>
      <c r="BO198" s="7" t="str">
        <f aca="false">IF(BN198="","",SUMIF(ЗАКАЗЫ!$F$3:$F$500,$A198,ЗАКАЗЫ!$AL$3:$AL$500))</f>
        <v/>
      </c>
      <c r="BP198" s="7" t="str">
        <f aca="false">IF(BN198="","",BN198-BO198)</f>
        <v/>
      </c>
      <c r="BQ198" s="55" t="str">
        <f aca="false">IF(BN198="","",IF(BO198&gt;=BN198,"На складе",IF(BO198&gt;0,"Частично","Ждём")))</f>
        <v/>
      </c>
      <c r="BR198" s="43"/>
      <c r="BS198" s="47" t="str">
        <f aca="false">IF(BN198="","",IF(_xlfn.MAXIFS(ЗАКАЗЫ!$AK$3:$AK$500,ЗАКАЗЫ!$F$3:$F$500,$A198)=0,"",_xlfn.MAXIFS(ЗАКАЗЫ!$AK$3:$AK$500,ЗАКАЗЫ!$F$3:$F$500,$A198)))</f>
        <v/>
      </c>
    </row>
    <row r="199" customFormat="false" ht="15.75" hidden="false" customHeight="true" outlineLevel="0" collapsed="false">
      <c r="A199" s="80" t="s">
        <v>2393</v>
      </c>
      <c r="B199" s="81"/>
      <c r="C199" s="81"/>
      <c r="D199" s="81"/>
      <c r="E199" s="83"/>
      <c r="F199" s="81"/>
      <c r="G199" s="83"/>
      <c r="H199" s="83"/>
      <c r="I199" s="84" t="str">
        <f aca="false">IF(E199="","",A199&amp;"_1.jpg")</f>
        <v/>
      </c>
      <c r="J199" s="84" t="str">
        <f aca="false">IF(E199="","",A199&amp;"_2.jpg; "&amp;A199&amp;"_3.jpg")</f>
        <v/>
      </c>
      <c r="K199" s="84" t="str">
        <f aca="false">IF(E199="","",A199&amp;"_schema.jpg")</f>
        <v/>
      </c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 t="s">
        <v>96</v>
      </c>
      <c r="W199" s="81"/>
      <c r="X199" s="81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6" t="str">
        <f aca="false">IF(SUM(Y199:AJ199)=0,"",SUM(Y199:AJ199))</f>
        <v/>
      </c>
      <c r="AL199" s="84" t="str">
        <f aca="false">MID(IF(N(Y199)&gt;0,", "&amp;Y$2,"")&amp;IF(N(Z199)&gt;0,", "&amp;Z$2,"")&amp;IF(N(AA199)&gt;0,", "&amp;AA$2,"")&amp;IF(N(AB199)&gt;0,", "&amp;AB$2,"")&amp;IF(N(AC199)&gt;0,", "&amp;AC$2,"")&amp;IF(N(AD199)&gt;0,", "&amp;AD$2,"")&amp;IF(N(AE199)&gt;0,", "&amp;AE$2,"")&amp;IF(N(AF199)&gt;0,", "&amp;AF$2,"")&amp;IF(N(AG199)&gt;0,", "&amp;AG$2,"")&amp;IF(N(AH199)&gt;0,", "&amp;AH$2,"")&amp;IF(N(AI199)&gt;0,", "&amp;AI$2,"")&amp;IF(N(AJ199)&gt;0,", "&amp;AJ$2,""),3,999)</f>
        <v/>
      </c>
      <c r="AM199" s="87" t="str">
        <f aca="false">IF(E199="","",MID(IF(N(Y199)&gt;0,", "&amp;A199&amp;"-"&amp;Y$2,"")&amp;IF(N(Z199)&gt;0,", "&amp;A199&amp;"-"&amp;Z$2,"")&amp;IF(N(AA199)&gt;0,", "&amp;A199&amp;"-"&amp;AA$2,"")&amp;IF(N(AB199)&gt;0,", "&amp;A199&amp;"-"&amp;AB$2,"")&amp;IF(N(AC199)&gt;0,", "&amp;A199&amp;"-"&amp;AC$2,"")&amp;IF(N(AD199)&gt;0,", "&amp;A199&amp;"-"&amp;AD$2,"")&amp;IF(N(AE199)&gt;0,", "&amp;A199&amp;"-"&amp;AE$2,"")&amp;IF(N(AF199)&gt;0,", "&amp;A199&amp;"-"&amp;AF$2,"")&amp;IF(N(AG199)&gt;0,", "&amp;A199&amp;"-"&amp;AG$2,"")&amp;IF(N(AH199)&gt;0,", "&amp;A199&amp;"-"&amp;AH$2,"")&amp;IF(N(AI199)&gt;0,", "&amp;A199&amp;"-"&amp;AI$2,"")&amp;IF(N(AJ199)&gt;0,", "&amp;A199&amp;"-"&amp;AJ$2,""),3,999))</f>
        <v/>
      </c>
      <c r="AN199" s="81"/>
      <c r="AO199" s="88"/>
      <c r="AP199" s="89" t="str">
        <f aca="false">IF(AO199="","",ROUND(AO199/(1+Справочники!$B$13),2))</f>
        <v/>
      </c>
      <c r="AQ199" s="90" t="str">
        <f aca="false" t="array" ref="AQ199:AQ199">IF(AP199="","",AP199*INDEX(Справочники!$B$4:$B$7,MATCH("RUB",Справочники!$A$4:$A$7,0)))</f>
        <v/>
      </c>
      <c r="AR199" s="90" t="str">
        <f aca="false">IF(AQ199="","",ROUND(AQ199*(1+Справочники!$B$12),0))</f>
        <v/>
      </c>
      <c r="AS199" s="90" t="str">
        <f aca="false">IF(AR199="","",ROUND(AR199*(1-Справочники!$B$11),0))</f>
        <v/>
      </c>
      <c r="AT199" s="88"/>
      <c r="AU199" s="90" t="str">
        <f aca="false">IF(AT199="","",ROUND(AT199/(1+Справочники!$B$12),0))</f>
        <v/>
      </c>
      <c r="AV199" s="90" t="str">
        <f aca="false">IF(AT199="","",ROUND(AT199*(1-Справочники!$B$15),0))</f>
        <v/>
      </c>
      <c r="AW199" s="90" t="str">
        <f aca="false">IF(AT199="","",ROUND(AT199*(1-Справочники!$B$16),0))</f>
        <v/>
      </c>
      <c r="AX199" s="90" t="str">
        <f aca="false">IF(AT199="","",ROUND(AT199*(1-Справочники!$B$17),0))</f>
        <v/>
      </c>
      <c r="AY199" s="90" t="str">
        <f aca="false">IF(AT199="","",ROUND(AT199*(1-Справочники!$B$18),0))</f>
        <v/>
      </c>
      <c r="AZ199" s="90" t="str">
        <f aca="false">IF(AT199="","",ROUND(AT199*(1-Справочники!$B$19),0))</f>
        <v/>
      </c>
      <c r="BA199" s="81"/>
      <c r="BB199" s="81"/>
      <c r="BC199" s="81"/>
      <c r="BD199" s="81"/>
      <c r="BE199" s="91"/>
      <c r="BF199" s="81" t="s">
        <v>103</v>
      </c>
      <c r="BG199" s="89" t="n">
        <f aca="false" t="array" ref="BG199:BG199">IF(BF199="","",IFERROR(INDEX(Справочники!$B$4:$B$7,MATCH(BF199,Справочники!$A$4:$A$7,0)),""))</f>
        <v>68.5</v>
      </c>
      <c r="BH199" s="90" t="str">
        <f aca="false">IF(N(BN199)&gt;0,ROUND(SUMIF(ЗАКАЗЫ!$F$3:$F$500,$A199,ЗАКАЗЫ!$Y$3:$Y$500)/BN199,0),IF(OR(BE199="",BG199=""),"",ROUND(BE199*BG199*(1+Справочники!$B$10),0)))</f>
        <v/>
      </c>
      <c r="BI199" s="92" t="str">
        <f aca="false">IF(OR(AU199="",BH199="",AU199=0),"",(AU199-BH199)/AU199)</f>
        <v/>
      </c>
      <c r="BJ199" s="81"/>
      <c r="BK199" s="83"/>
      <c r="BL199" s="43" t="str">
        <f aca="false">IFERROR(INDEX(ЗАКАЗЫ!$N$3:$N$500,MATCH($A199,ЗАКАЗЫ!$F$3:$F$500,0)),"")</f>
        <v/>
      </c>
      <c r="BM199" s="8" t="str">
        <f aca="false">IF(BL199="","",IFERROR(VLOOKUP(BL199,'ТН ВЭД'!$A$4:$C$40,3,0),""))</f>
        <v/>
      </c>
      <c r="BN199" s="7" t="str">
        <f aca="false">IF(COUNTIF(ЗАКАЗЫ!$F$3:$F$500,$A199)=0,"",SUMIF(ЗАКАЗЫ!$F$3:$F$500,$A199,ЗАКАЗЫ!$J$3:$J$500))</f>
        <v/>
      </c>
      <c r="BO199" s="7" t="str">
        <f aca="false">IF(BN199="","",SUMIF(ЗАКАЗЫ!$F$3:$F$500,$A199,ЗАКАЗЫ!$AL$3:$AL$500))</f>
        <v/>
      </c>
      <c r="BP199" s="7" t="str">
        <f aca="false">IF(BN199="","",BN199-BO199)</f>
        <v/>
      </c>
      <c r="BQ199" s="55" t="str">
        <f aca="false">IF(BN199="","",IF(BO199&gt;=BN199,"На складе",IF(BO199&gt;0,"Частично","Ждём")))</f>
        <v/>
      </c>
      <c r="BR199" s="43"/>
      <c r="BS199" s="47" t="str">
        <f aca="false">IF(BN199="","",IF(_xlfn.MAXIFS(ЗАКАЗЫ!$AK$3:$AK$500,ЗАКАЗЫ!$F$3:$F$500,$A199)=0,"",_xlfn.MAXIFS(ЗАКАЗЫ!$AK$3:$AK$500,ЗАКАЗЫ!$F$3:$F$500,$A199)))</f>
        <v/>
      </c>
    </row>
    <row r="200" customFormat="false" ht="15.75" hidden="false" customHeight="true" outlineLevel="0" collapsed="false">
      <c r="A200" s="80" t="s">
        <v>2394</v>
      </c>
      <c r="B200" s="81"/>
      <c r="C200" s="81"/>
      <c r="D200" s="81"/>
      <c r="E200" s="83"/>
      <c r="F200" s="81"/>
      <c r="G200" s="83"/>
      <c r="H200" s="83"/>
      <c r="I200" s="84" t="str">
        <f aca="false">IF(E200="","",A200&amp;"_1.jpg")</f>
        <v/>
      </c>
      <c r="J200" s="84" t="str">
        <f aca="false">IF(E200="","",A200&amp;"_2.jpg; "&amp;A200&amp;"_3.jpg")</f>
        <v/>
      </c>
      <c r="K200" s="84" t="str">
        <f aca="false">IF(E200="","",A200&amp;"_schema.jpg")</f>
        <v/>
      </c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 t="s">
        <v>96</v>
      </c>
      <c r="W200" s="81"/>
      <c r="X200" s="81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6" t="str">
        <f aca="false">IF(SUM(Y200:AJ200)=0,"",SUM(Y200:AJ200))</f>
        <v/>
      </c>
      <c r="AL200" s="84" t="str">
        <f aca="false">MID(IF(N(Y200)&gt;0,", "&amp;Y$2,"")&amp;IF(N(Z200)&gt;0,", "&amp;Z$2,"")&amp;IF(N(AA200)&gt;0,", "&amp;AA$2,"")&amp;IF(N(AB200)&gt;0,", "&amp;AB$2,"")&amp;IF(N(AC200)&gt;0,", "&amp;AC$2,"")&amp;IF(N(AD200)&gt;0,", "&amp;AD$2,"")&amp;IF(N(AE200)&gt;0,", "&amp;AE$2,"")&amp;IF(N(AF200)&gt;0,", "&amp;AF$2,"")&amp;IF(N(AG200)&gt;0,", "&amp;AG$2,"")&amp;IF(N(AH200)&gt;0,", "&amp;AH$2,"")&amp;IF(N(AI200)&gt;0,", "&amp;AI$2,"")&amp;IF(N(AJ200)&gt;0,", "&amp;AJ$2,""),3,999)</f>
        <v/>
      </c>
      <c r="AM200" s="87" t="str">
        <f aca="false">IF(E200="","",MID(IF(N(Y200)&gt;0,", "&amp;A200&amp;"-"&amp;Y$2,"")&amp;IF(N(Z200)&gt;0,", "&amp;A200&amp;"-"&amp;Z$2,"")&amp;IF(N(AA200)&gt;0,", "&amp;A200&amp;"-"&amp;AA$2,"")&amp;IF(N(AB200)&gt;0,", "&amp;A200&amp;"-"&amp;AB$2,"")&amp;IF(N(AC200)&gt;0,", "&amp;A200&amp;"-"&amp;AC$2,"")&amp;IF(N(AD200)&gt;0,", "&amp;A200&amp;"-"&amp;AD$2,"")&amp;IF(N(AE200)&gt;0,", "&amp;A200&amp;"-"&amp;AE$2,"")&amp;IF(N(AF200)&gt;0,", "&amp;A200&amp;"-"&amp;AF$2,"")&amp;IF(N(AG200)&gt;0,", "&amp;A200&amp;"-"&amp;AG$2,"")&amp;IF(N(AH200)&gt;0,", "&amp;A200&amp;"-"&amp;AH$2,"")&amp;IF(N(AI200)&gt;0,", "&amp;A200&amp;"-"&amp;AI$2,"")&amp;IF(N(AJ200)&gt;0,", "&amp;A200&amp;"-"&amp;AJ$2,""),3,999))</f>
        <v/>
      </c>
      <c r="AN200" s="81"/>
      <c r="AO200" s="88"/>
      <c r="AP200" s="89" t="str">
        <f aca="false">IF(AO200="","",ROUND(AO200/(1+Справочники!$B$13),2))</f>
        <v/>
      </c>
      <c r="AQ200" s="90" t="str">
        <f aca="false" t="array" ref="AQ200:AQ200">IF(AP200="","",AP200*INDEX(Справочники!$B$4:$B$7,MATCH("RUB",Справочники!$A$4:$A$7,0)))</f>
        <v/>
      </c>
      <c r="AR200" s="90" t="str">
        <f aca="false">IF(AQ200="","",ROUND(AQ200*(1+Справочники!$B$12),0))</f>
        <v/>
      </c>
      <c r="AS200" s="90" t="str">
        <f aca="false">IF(AR200="","",ROUND(AR200*(1-Справочники!$B$11),0))</f>
        <v/>
      </c>
      <c r="AT200" s="88"/>
      <c r="AU200" s="90" t="str">
        <f aca="false">IF(AT200="","",ROUND(AT200/(1+Справочники!$B$12),0))</f>
        <v/>
      </c>
      <c r="AV200" s="90" t="str">
        <f aca="false">IF(AT200="","",ROUND(AT200*(1-Справочники!$B$15),0))</f>
        <v/>
      </c>
      <c r="AW200" s="90" t="str">
        <f aca="false">IF(AT200="","",ROUND(AT200*(1-Справочники!$B$16),0))</f>
        <v/>
      </c>
      <c r="AX200" s="90" t="str">
        <f aca="false">IF(AT200="","",ROUND(AT200*(1-Справочники!$B$17),0))</f>
        <v/>
      </c>
      <c r="AY200" s="90" t="str">
        <f aca="false">IF(AT200="","",ROUND(AT200*(1-Справочники!$B$18),0))</f>
        <v/>
      </c>
      <c r="AZ200" s="90" t="str">
        <f aca="false">IF(AT200="","",ROUND(AT200*(1-Справочники!$B$19),0))</f>
        <v/>
      </c>
      <c r="BA200" s="81"/>
      <c r="BB200" s="81"/>
      <c r="BC200" s="81"/>
      <c r="BD200" s="81"/>
      <c r="BE200" s="91"/>
      <c r="BF200" s="81" t="s">
        <v>103</v>
      </c>
      <c r="BG200" s="89" t="n">
        <f aca="false" t="array" ref="BG200:BG200">IF(BF200="","",IFERROR(INDEX(Справочники!$B$4:$B$7,MATCH(BF200,Справочники!$A$4:$A$7,0)),""))</f>
        <v>68.5</v>
      </c>
      <c r="BH200" s="90" t="str">
        <f aca="false">IF(N(BN200)&gt;0,ROUND(SUMIF(ЗАКАЗЫ!$F$3:$F$500,$A200,ЗАКАЗЫ!$Y$3:$Y$500)/BN200,0),IF(OR(BE200="",BG200=""),"",ROUND(BE200*BG200*(1+Справочники!$B$10),0)))</f>
        <v/>
      </c>
      <c r="BI200" s="92" t="str">
        <f aca="false">IF(OR(AU200="",BH200="",AU200=0),"",(AU200-BH200)/AU200)</f>
        <v/>
      </c>
      <c r="BJ200" s="81"/>
      <c r="BK200" s="83"/>
      <c r="BL200" s="43" t="str">
        <f aca="false">IFERROR(INDEX(ЗАКАЗЫ!$N$3:$N$500,MATCH($A200,ЗАКАЗЫ!$F$3:$F$500,0)),"")</f>
        <v/>
      </c>
      <c r="BM200" s="8" t="str">
        <f aca="false">IF(BL200="","",IFERROR(VLOOKUP(BL200,'ТН ВЭД'!$A$4:$C$40,3,0),""))</f>
        <v/>
      </c>
      <c r="BN200" s="7" t="str">
        <f aca="false">IF(COUNTIF(ЗАКАЗЫ!$F$3:$F$500,$A200)=0,"",SUMIF(ЗАКАЗЫ!$F$3:$F$500,$A200,ЗАКАЗЫ!$J$3:$J$500))</f>
        <v/>
      </c>
      <c r="BO200" s="7" t="str">
        <f aca="false">IF(BN200="","",SUMIF(ЗАКАЗЫ!$F$3:$F$500,$A200,ЗАКАЗЫ!$AL$3:$AL$500))</f>
        <v/>
      </c>
      <c r="BP200" s="7" t="str">
        <f aca="false">IF(BN200="","",BN200-BO200)</f>
        <v/>
      </c>
      <c r="BQ200" s="55" t="str">
        <f aca="false">IF(BN200="","",IF(BO200&gt;=BN200,"На складе",IF(BO200&gt;0,"Частично","Ждём")))</f>
        <v/>
      </c>
      <c r="BR200" s="43"/>
      <c r="BS200" s="47" t="str">
        <f aca="false">IF(BN200="","",IF(_xlfn.MAXIFS(ЗАКАЗЫ!$AK$3:$AK$500,ЗАКАЗЫ!$F$3:$F$500,$A200)=0,"",_xlfn.MAXIFS(ЗАКАЗЫ!$AK$3:$AK$500,ЗАКАЗЫ!$F$3:$F$500,$A200)))</f>
        <v/>
      </c>
    </row>
    <row r="201" customFormat="false" ht="15.75" hidden="false" customHeight="true" outlineLevel="0" collapsed="false">
      <c r="A201" s="80" t="s">
        <v>2395</v>
      </c>
      <c r="B201" s="81"/>
      <c r="C201" s="81"/>
      <c r="D201" s="81"/>
      <c r="E201" s="83"/>
      <c r="F201" s="81"/>
      <c r="G201" s="83"/>
      <c r="H201" s="83"/>
      <c r="I201" s="84" t="str">
        <f aca="false">IF(E201="","",A201&amp;"_1.jpg")</f>
        <v/>
      </c>
      <c r="J201" s="84" t="str">
        <f aca="false">IF(E201="","",A201&amp;"_2.jpg; "&amp;A201&amp;"_3.jpg")</f>
        <v/>
      </c>
      <c r="K201" s="84" t="str">
        <f aca="false">IF(E201="","",A201&amp;"_schema.jpg")</f>
        <v/>
      </c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 t="s">
        <v>96</v>
      </c>
      <c r="W201" s="81"/>
      <c r="X201" s="81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6" t="str">
        <f aca="false">IF(SUM(Y201:AJ201)=0,"",SUM(Y201:AJ201))</f>
        <v/>
      </c>
      <c r="AL201" s="84" t="str">
        <f aca="false">MID(IF(N(Y201)&gt;0,", "&amp;Y$2,"")&amp;IF(N(Z201)&gt;0,", "&amp;Z$2,"")&amp;IF(N(AA201)&gt;0,", "&amp;AA$2,"")&amp;IF(N(AB201)&gt;0,", "&amp;AB$2,"")&amp;IF(N(AC201)&gt;0,", "&amp;AC$2,"")&amp;IF(N(AD201)&gt;0,", "&amp;AD$2,"")&amp;IF(N(AE201)&gt;0,", "&amp;AE$2,"")&amp;IF(N(AF201)&gt;0,", "&amp;AF$2,"")&amp;IF(N(AG201)&gt;0,", "&amp;AG$2,"")&amp;IF(N(AH201)&gt;0,", "&amp;AH$2,"")&amp;IF(N(AI201)&gt;0,", "&amp;AI$2,"")&amp;IF(N(AJ201)&gt;0,", "&amp;AJ$2,""),3,999)</f>
        <v/>
      </c>
      <c r="AM201" s="87" t="str">
        <f aca="false">IF(E201="","",MID(IF(N(Y201)&gt;0,", "&amp;A201&amp;"-"&amp;Y$2,"")&amp;IF(N(Z201)&gt;0,", "&amp;A201&amp;"-"&amp;Z$2,"")&amp;IF(N(AA201)&gt;0,", "&amp;A201&amp;"-"&amp;AA$2,"")&amp;IF(N(AB201)&gt;0,", "&amp;A201&amp;"-"&amp;AB$2,"")&amp;IF(N(AC201)&gt;0,", "&amp;A201&amp;"-"&amp;AC$2,"")&amp;IF(N(AD201)&gt;0,", "&amp;A201&amp;"-"&amp;AD$2,"")&amp;IF(N(AE201)&gt;0,", "&amp;A201&amp;"-"&amp;AE$2,"")&amp;IF(N(AF201)&gt;0,", "&amp;A201&amp;"-"&amp;AF$2,"")&amp;IF(N(AG201)&gt;0,", "&amp;A201&amp;"-"&amp;AG$2,"")&amp;IF(N(AH201)&gt;0,", "&amp;A201&amp;"-"&amp;AH$2,"")&amp;IF(N(AI201)&gt;0,", "&amp;A201&amp;"-"&amp;AI$2,"")&amp;IF(N(AJ201)&gt;0,", "&amp;A201&amp;"-"&amp;AJ$2,""),3,999))</f>
        <v/>
      </c>
      <c r="AN201" s="81"/>
      <c r="AO201" s="88"/>
      <c r="AP201" s="89" t="str">
        <f aca="false">IF(AO201="","",ROUND(AO201/(1+Справочники!$B$13),2))</f>
        <v/>
      </c>
      <c r="AQ201" s="90" t="str">
        <f aca="false" t="array" ref="AQ201:AQ201">IF(AP201="","",AP201*INDEX(Справочники!$B$4:$B$7,MATCH("RUB",Справочники!$A$4:$A$7,0)))</f>
        <v/>
      </c>
      <c r="AR201" s="90" t="str">
        <f aca="false">IF(AQ201="","",ROUND(AQ201*(1+Справочники!$B$12),0))</f>
        <v/>
      </c>
      <c r="AS201" s="90" t="str">
        <f aca="false">IF(AR201="","",ROUND(AR201*(1-Справочники!$B$11),0))</f>
        <v/>
      </c>
      <c r="AT201" s="88"/>
      <c r="AU201" s="90" t="str">
        <f aca="false">IF(AT201="","",ROUND(AT201/(1+Справочники!$B$12),0))</f>
        <v/>
      </c>
      <c r="AV201" s="90" t="str">
        <f aca="false">IF(AT201="","",ROUND(AT201*(1-Справочники!$B$15),0))</f>
        <v/>
      </c>
      <c r="AW201" s="90" t="str">
        <f aca="false">IF(AT201="","",ROUND(AT201*(1-Справочники!$B$16),0))</f>
        <v/>
      </c>
      <c r="AX201" s="90" t="str">
        <f aca="false">IF(AT201="","",ROUND(AT201*(1-Справочники!$B$17),0))</f>
        <v/>
      </c>
      <c r="AY201" s="90" t="str">
        <f aca="false">IF(AT201="","",ROUND(AT201*(1-Справочники!$B$18),0))</f>
        <v/>
      </c>
      <c r="AZ201" s="90" t="str">
        <f aca="false">IF(AT201="","",ROUND(AT201*(1-Справочники!$B$19),0))</f>
        <v/>
      </c>
      <c r="BA201" s="81"/>
      <c r="BB201" s="81"/>
      <c r="BC201" s="81"/>
      <c r="BD201" s="81"/>
      <c r="BE201" s="91"/>
      <c r="BF201" s="81" t="s">
        <v>103</v>
      </c>
      <c r="BG201" s="89" t="n">
        <f aca="false" t="array" ref="BG201:BG201">IF(BF201="","",IFERROR(INDEX(Справочники!$B$4:$B$7,MATCH(BF201,Справочники!$A$4:$A$7,0)),""))</f>
        <v>68.5</v>
      </c>
      <c r="BH201" s="90" t="str">
        <f aca="false">IF(N(BN201)&gt;0,ROUND(SUMIF(ЗАКАЗЫ!$F$3:$F$500,$A201,ЗАКАЗЫ!$Y$3:$Y$500)/BN201,0),IF(OR(BE201="",BG201=""),"",ROUND(BE201*BG201*(1+Справочники!$B$10),0)))</f>
        <v/>
      </c>
      <c r="BI201" s="92" t="str">
        <f aca="false">IF(OR(AU201="",BH201="",AU201=0),"",(AU201-BH201)/AU201)</f>
        <v/>
      </c>
      <c r="BJ201" s="81"/>
      <c r="BK201" s="83"/>
      <c r="BL201" s="43" t="str">
        <f aca="false">IFERROR(INDEX(ЗАКАЗЫ!$N$3:$N$500,MATCH($A201,ЗАКАЗЫ!$F$3:$F$500,0)),"")</f>
        <v/>
      </c>
      <c r="BM201" s="8" t="str">
        <f aca="false">IF(BL201="","",IFERROR(VLOOKUP(BL201,'ТН ВЭД'!$A$4:$C$40,3,0),""))</f>
        <v/>
      </c>
      <c r="BN201" s="7" t="str">
        <f aca="false">IF(COUNTIF(ЗАКАЗЫ!$F$3:$F$500,$A201)=0,"",SUMIF(ЗАКАЗЫ!$F$3:$F$500,$A201,ЗАКАЗЫ!$J$3:$J$500))</f>
        <v/>
      </c>
      <c r="BO201" s="7" t="str">
        <f aca="false">IF(BN201="","",SUMIF(ЗАКАЗЫ!$F$3:$F$500,$A201,ЗАКАЗЫ!$AL$3:$AL$500))</f>
        <v/>
      </c>
      <c r="BP201" s="7" t="str">
        <f aca="false">IF(BN201="","",BN201-BO201)</f>
        <v/>
      </c>
      <c r="BQ201" s="55" t="str">
        <f aca="false">IF(BN201="","",IF(BO201&gt;=BN201,"На складе",IF(BO201&gt;0,"Частично","Ждём")))</f>
        <v/>
      </c>
      <c r="BR201" s="43"/>
      <c r="BS201" s="47" t="str">
        <f aca="false">IF(BN201="","",IF(_xlfn.MAXIFS(ЗАКАЗЫ!$AK$3:$AK$500,ЗАКАЗЫ!$F$3:$F$500,$A201)=0,"",_xlfn.MAXIFS(ЗАКАЗЫ!$AK$3:$AK$500,ЗАКАЗЫ!$F$3:$F$500,$A201)))</f>
        <v/>
      </c>
    </row>
    <row r="202" customFormat="false" ht="15.75" hidden="false" customHeight="true" outlineLevel="0" collapsed="false">
      <c r="A202" s="80" t="s">
        <v>2396</v>
      </c>
      <c r="B202" s="81"/>
      <c r="C202" s="81"/>
      <c r="D202" s="81"/>
      <c r="E202" s="83"/>
      <c r="F202" s="81"/>
      <c r="G202" s="83"/>
      <c r="H202" s="83"/>
      <c r="I202" s="84" t="str">
        <f aca="false">IF(E202="","",A202&amp;"_1.jpg")</f>
        <v/>
      </c>
      <c r="J202" s="84" t="str">
        <f aca="false">IF(E202="","",A202&amp;"_2.jpg; "&amp;A202&amp;"_3.jpg")</f>
        <v/>
      </c>
      <c r="K202" s="84" t="str">
        <f aca="false">IF(E202="","",A202&amp;"_schema.jpg")</f>
        <v/>
      </c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 t="s">
        <v>96</v>
      </c>
      <c r="W202" s="81"/>
      <c r="X202" s="81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6" t="str">
        <f aca="false">IF(SUM(Y202:AJ202)=0,"",SUM(Y202:AJ202))</f>
        <v/>
      </c>
      <c r="AL202" s="84" t="str">
        <f aca="false">MID(IF(N(Y202)&gt;0,", "&amp;Y$2,"")&amp;IF(N(Z202)&gt;0,", "&amp;Z$2,"")&amp;IF(N(AA202)&gt;0,", "&amp;AA$2,"")&amp;IF(N(AB202)&gt;0,", "&amp;AB$2,"")&amp;IF(N(AC202)&gt;0,", "&amp;AC$2,"")&amp;IF(N(AD202)&gt;0,", "&amp;AD$2,"")&amp;IF(N(AE202)&gt;0,", "&amp;AE$2,"")&amp;IF(N(AF202)&gt;0,", "&amp;AF$2,"")&amp;IF(N(AG202)&gt;0,", "&amp;AG$2,"")&amp;IF(N(AH202)&gt;0,", "&amp;AH$2,"")&amp;IF(N(AI202)&gt;0,", "&amp;AI$2,"")&amp;IF(N(AJ202)&gt;0,", "&amp;AJ$2,""),3,999)</f>
        <v/>
      </c>
      <c r="AM202" s="87" t="str">
        <f aca="false">IF(E202="","",MID(IF(N(Y202)&gt;0,", "&amp;A202&amp;"-"&amp;Y$2,"")&amp;IF(N(Z202)&gt;0,", "&amp;A202&amp;"-"&amp;Z$2,"")&amp;IF(N(AA202)&gt;0,", "&amp;A202&amp;"-"&amp;AA$2,"")&amp;IF(N(AB202)&gt;0,", "&amp;A202&amp;"-"&amp;AB$2,"")&amp;IF(N(AC202)&gt;0,", "&amp;A202&amp;"-"&amp;AC$2,"")&amp;IF(N(AD202)&gt;0,", "&amp;A202&amp;"-"&amp;AD$2,"")&amp;IF(N(AE202)&gt;0,", "&amp;A202&amp;"-"&amp;AE$2,"")&amp;IF(N(AF202)&gt;0,", "&amp;A202&amp;"-"&amp;AF$2,"")&amp;IF(N(AG202)&gt;0,", "&amp;A202&amp;"-"&amp;AG$2,"")&amp;IF(N(AH202)&gt;0,", "&amp;A202&amp;"-"&amp;AH$2,"")&amp;IF(N(AI202)&gt;0,", "&amp;A202&amp;"-"&amp;AI$2,"")&amp;IF(N(AJ202)&gt;0,", "&amp;A202&amp;"-"&amp;AJ$2,""),3,999))</f>
        <v/>
      </c>
      <c r="AN202" s="81"/>
      <c r="AO202" s="88"/>
      <c r="AP202" s="89" t="str">
        <f aca="false">IF(AO202="","",ROUND(AO202/(1+Справочники!$B$13),2))</f>
        <v/>
      </c>
      <c r="AQ202" s="90" t="str">
        <f aca="false" t="array" ref="AQ202:AQ202">IF(AP202="","",AP202*INDEX(Справочники!$B$4:$B$7,MATCH("RUB",Справочники!$A$4:$A$7,0)))</f>
        <v/>
      </c>
      <c r="AR202" s="90" t="str">
        <f aca="false">IF(AQ202="","",ROUND(AQ202*(1+Справочники!$B$12),0))</f>
        <v/>
      </c>
      <c r="AS202" s="90" t="str">
        <f aca="false">IF(AR202="","",ROUND(AR202*(1-Справочники!$B$11),0))</f>
        <v/>
      </c>
      <c r="AT202" s="88"/>
      <c r="AU202" s="90" t="str">
        <f aca="false">IF(AT202="","",ROUND(AT202/(1+Справочники!$B$12),0))</f>
        <v/>
      </c>
      <c r="AV202" s="90" t="str">
        <f aca="false">IF(AT202="","",ROUND(AT202*(1-Справочники!$B$15),0))</f>
        <v/>
      </c>
      <c r="AW202" s="90" t="str">
        <f aca="false">IF(AT202="","",ROUND(AT202*(1-Справочники!$B$16),0))</f>
        <v/>
      </c>
      <c r="AX202" s="90" t="str">
        <f aca="false">IF(AT202="","",ROUND(AT202*(1-Справочники!$B$17),0))</f>
        <v/>
      </c>
      <c r="AY202" s="90" t="str">
        <f aca="false">IF(AT202="","",ROUND(AT202*(1-Справочники!$B$18),0))</f>
        <v/>
      </c>
      <c r="AZ202" s="90" t="str">
        <f aca="false">IF(AT202="","",ROUND(AT202*(1-Справочники!$B$19),0))</f>
        <v/>
      </c>
      <c r="BA202" s="81"/>
      <c r="BB202" s="81"/>
      <c r="BC202" s="81"/>
      <c r="BD202" s="81"/>
      <c r="BE202" s="91"/>
      <c r="BF202" s="81" t="s">
        <v>103</v>
      </c>
      <c r="BG202" s="89" t="n">
        <f aca="false" t="array" ref="BG202:BG202">IF(BF202="","",IFERROR(INDEX(Справочники!$B$4:$B$7,MATCH(BF202,Справочники!$A$4:$A$7,0)),""))</f>
        <v>68.5</v>
      </c>
      <c r="BH202" s="90" t="str">
        <f aca="false">IF(N(BN202)&gt;0,ROUND(SUMIF(ЗАКАЗЫ!$F$3:$F$500,$A202,ЗАКАЗЫ!$Y$3:$Y$500)/BN202,0),IF(OR(BE202="",BG202=""),"",ROUND(BE202*BG202*(1+Справочники!$B$10),0)))</f>
        <v/>
      </c>
      <c r="BI202" s="92" t="str">
        <f aca="false">IF(OR(AU202="",BH202="",AU202=0),"",(AU202-BH202)/AU202)</f>
        <v/>
      </c>
      <c r="BJ202" s="81"/>
      <c r="BK202" s="83"/>
      <c r="BL202" s="43" t="str">
        <f aca="false">IFERROR(INDEX(ЗАКАЗЫ!$N$3:$N$500,MATCH($A202,ЗАКАЗЫ!$F$3:$F$500,0)),"")</f>
        <v/>
      </c>
      <c r="BM202" s="8" t="str">
        <f aca="false">IF(BL202="","",IFERROR(VLOOKUP(BL202,'ТН ВЭД'!$A$4:$C$40,3,0),""))</f>
        <v/>
      </c>
      <c r="BN202" s="7" t="str">
        <f aca="false">IF(COUNTIF(ЗАКАЗЫ!$F$3:$F$500,$A202)=0,"",SUMIF(ЗАКАЗЫ!$F$3:$F$500,$A202,ЗАКАЗЫ!$J$3:$J$500))</f>
        <v/>
      </c>
      <c r="BO202" s="7" t="str">
        <f aca="false">IF(BN202="","",SUMIF(ЗАКАЗЫ!$F$3:$F$500,$A202,ЗАКАЗЫ!$AL$3:$AL$500))</f>
        <v/>
      </c>
      <c r="BP202" s="7" t="str">
        <f aca="false">IF(BN202="","",BN202-BO202)</f>
        <v/>
      </c>
      <c r="BQ202" s="55" t="str">
        <f aca="false">IF(BN202="","",IF(BO202&gt;=BN202,"На складе",IF(BO202&gt;0,"Частично","Ждём")))</f>
        <v/>
      </c>
      <c r="BR202" s="43"/>
      <c r="BS202" s="47" t="str">
        <f aca="false">IF(BN202="","",IF(_xlfn.MAXIFS(ЗАКАЗЫ!$AK$3:$AK$500,ЗАКАЗЫ!$F$3:$F$500,$A202)=0,"",_xlfn.MAXIFS(ЗАКАЗЫ!$AK$3:$AK$500,ЗАКАЗЫ!$F$3:$F$500,$A202)))</f>
        <v/>
      </c>
    </row>
    <row r="203" customFormat="false" ht="15.75" hidden="false" customHeight="true" outlineLevel="0" collapsed="false">
      <c r="A203" s="80" t="s">
        <v>2397</v>
      </c>
      <c r="B203" s="81"/>
      <c r="C203" s="81"/>
      <c r="D203" s="81"/>
      <c r="E203" s="83"/>
      <c r="F203" s="81"/>
      <c r="G203" s="83"/>
      <c r="H203" s="83"/>
      <c r="I203" s="84" t="str">
        <f aca="false">IF(E203="","",A203&amp;"_1.jpg")</f>
        <v/>
      </c>
      <c r="J203" s="84" t="str">
        <f aca="false">IF(E203="","",A203&amp;"_2.jpg; "&amp;A203&amp;"_3.jpg")</f>
        <v/>
      </c>
      <c r="K203" s="84" t="str">
        <f aca="false">IF(E203="","",A203&amp;"_schema.jpg")</f>
        <v/>
      </c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 t="s">
        <v>96</v>
      </c>
      <c r="W203" s="81"/>
      <c r="X203" s="81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6" t="str">
        <f aca="false">IF(SUM(Y203:AJ203)=0,"",SUM(Y203:AJ203))</f>
        <v/>
      </c>
      <c r="AL203" s="84" t="str">
        <f aca="false">MID(IF(N(Y203)&gt;0,", "&amp;Y$2,"")&amp;IF(N(Z203)&gt;0,", "&amp;Z$2,"")&amp;IF(N(AA203)&gt;0,", "&amp;AA$2,"")&amp;IF(N(AB203)&gt;0,", "&amp;AB$2,"")&amp;IF(N(AC203)&gt;0,", "&amp;AC$2,"")&amp;IF(N(AD203)&gt;0,", "&amp;AD$2,"")&amp;IF(N(AE203)&gt;0,", "&amp;AE$2,"")&amp;IF(N(AF203)&gt;0,", "&amp;AF$2,"")&amp;IF(N(AG203)&gt;0,", "&amp;AG$2,"")&amp;IF(N(AH203)&gt;0,", "&amp;AH$2,"")&amp;IF(N(AI203)&gt;0,", "&amp;AI$2,"")&amp;IF(N(AJ203)&gt;0,", "&amp;AJ$2,""),3,999)</f>
        <v/>
      </c>
      <c r="AM203" s="87" t="str">
        <f aca="false">IF(E203="","",MID(IF(N(Y203)&gt;0,", "&amp;A203&amp;"-"&amp;Y$2,"")&amp;IF(N(Z203)&gt;0,", "&amp;A203&amp;"-"&amp;Z$2,"")&amp;IF(N(AA203)&gt;0,", "&amp;A203&amp;"-"&amp;AA$2,"")&amp;IF(N(AB203)&gt;0,", "&amp;A203&amp;"-"&amp;AB$2,"")&amp;IF(N(AC203)&gt;0,", "&amp;A203&amp;"-"&amp;AC$2,"")&amp;IF(N(AD203)&gt;0,", "&amp;A203&amp;"-"&amp;AD$2,"")&amp;IF(N(AE203)&gt;0,", "&amp;A203&amp;"-"&amp;AE$2,"")&amp;IF(N(AF203)&gt;0,", "&amp;A203&amp;"-"&amp;AF$2,"")&amp;IF(N(AG203)&gt;0,", "&amp;A203&amp;"-"&amp;AG$2,"")&amp;IF(N(AH203)&gt;0,", "&amp;A203&amp;"-"&amp;AH$2,"")&amp;IF(N(AI203)&gt;0,", "&amp;A203&amp;"-"&amp;AI$2,"")&amp;IF(N(AJ203)&gt;0,", "&amp;A203&amp;"-"&amp;AJ$2,""),3,999))</f>
        <v/>
      </c>
      <c r="AN203" s="81"/>
      <c r="AO203" s="88"/>
      <c r="AP203" s="89" t="str">
        <f aca="false">IF(AO203="","",ROUND(AO203/(1+Справочники!$B$13),2))</f>
        <v/>
      </c>
      <c r="AQ203" s="90" t="str">
        <f aca="false" t="array" ref="AQ203:AQ203">IF(AP203="","",AP203*INDEX(Справочники!$B$4:$B$7,MATCH("RUB",Справочники!$A$4:$A$7,0)))</f>
        <v/>
      </c>
      <c r="AR203" s="90" t="str">
        <f aca="false">IF(AQ203="","",ROUND(AQ203*(1+Справочники!$B$12),0))</f>
        <v/>
      </c>
      <c r="AS203" s="90" t="str">
        <f aca="false">IF(AR203="","",ROUND(AR203*(1-Справочники!$B$11),0))</f>
        <v/>
      </c>
      <c r="AT203" s="88"/>
      <c r="AU203" s="90" t="str">
        <f aca="false">IF(AT203="","",ROUND(AT203/(1+Справочники!$B$12),0))</f>
        <v/>
      </c>
      <c r="AV203" s="90" t="str">
        <f aca="false">IF(AT203="","",ROUND(AT203*(1-Справочники!$B$15),0))</f>
        <v/>
      </c>
      <c r="AW203" s="90" t="str">
        <f aca="false">IF(AT203="","",ROUND(AT203*(1-Справочники!$B$16),0))</f>
        <v/>
      </c>
      <c r="AX203" s="90" t="str">
        <f aca="false">IF(AT203="","",ROUND(AT203*(1-Справочники!$B$17),0))</f>
        <v/>
      </c>
      <c r="AY203" s="90" t="str">
        <f aca="false">IF(AT203="","",ROUND(AT203*(1-Справочники!$B$18),0))</f>
        <v/>
      </c>
      <c r="AZ203" s="90" t="str">
        <f aca="false">IF(AT203="","",ROUND(AT203*(1-Справочники!$B$19),0))</f>
        <v/>
      </c>
      <c r="BA203" s="81"/>
      <c r="BB203" s="81"/>
      <c r="BC203" s="81"/>
      <c r="BD203" s="81"/>
      <c r="BE203" s="91"/>
      <c r="BF203" s="81" t="s">
        <v>103</v>
      </c>
      <c r="BG203" s="89" t="n">
        <f aca="false" t="array" ref="BG203:BG203">IF(BF203="","",IFERROR(INDEX(Справочники!$B$4:$B$7,MATCH(BF203,Справочники!$A$4:$A$7,0)),""))</f>
        <v>68.5</v>
      </c>
      <c r="BH203" s="90" t="str">
        <f aca="false">IF(N(BN203)&gt;0,ROUND(SUMIF(ЗАКАЗЫ!$F$3:$F$500,$A203,ЗАКАЗЫ!$Y$3:$Y$500)/BN203,0),IF(OR(BE203="",BG203=""),"",ROUND(BE203*BG203*(1+Справочники!$B$10),0)))</f>
        <v/>
      </c>
      <c r="BI203" s="92" t="str">
        <f aca="false">IF(OR(AU203="",BH203="",AU203=0),"",(AU203-BH203)/AU203)</f>
        <v/>
      </c>
      <c r="BJ203" s="81"/>
      <c r="BK203" s="83"/>
      <c r="BL203" s="43" t="str">
        <f aca="false">IFERROR(INDEX(ЗАКАЗЫ!$N$3:$N$500,MATCH($A203,ЗАКАЗЫ!$F$3:$F$500,0)),"")</f>
        <v/>
      </c>
      <c r="BM203" s="8" t="str">
        <f aca="false">IF(BL203="","",IFERROR(VLOOKUP(BL203,'ТН ВЭД'!$A$4:$C$40,3,0),""))</f>
        <v/>
      </c>
      <c r="BN203" s="7" t="str">
        <f aca="false">IF(COUNTIF(ЗАКАЗЫ!$F$3:$F$500,$A203)=0,"",SUMIF(ЗАКАЗЫ!$F$3:$F$500,$A203,ЗАКАЗЫ!$J$3:$J$500))</f>
        <v/>
      </c>
      <c r="BO203" s="7" t="str">
        <f aca="false">IF(BN203="","",SUMIF(ЗАКАЗЫ!$F$3:$F$500,$A203,ЗАКАЗЫ!$AL$3:$AL$500))</f>
        <v/>
      </c>
      <c r="BP203" s="7" t="str">
        <f aca="false">IF(BN203="","",BN203-BO203)</f>
        <v/>
      </c>
      <c r="BQ203" s="55" t="str">
        <f aca="false">IF(BN203="","",IF(BO203&gt;=BN203,"На складе",IF(BO203&gt;0,"Частично","Ждём")))</f>
        <v/>
      </c>
      <c r="BR203" s="43"/>
      <c r="BS203" s="47" t="str">
        <f aca="false">IF(BN203="","",IF(_xlfn.MAXIFS(ЗАКАЗЫ!$AK$3:$AK$500,ЗАКАЗЫ!$F$3:$F$500,$A203)=0,"",_xlfn.MAXIFS(ЗАКАЗЫ!$AK$3:$AK$500,ЗАКАЗЫ!$F$3:$F$500,$A203)))</f>
        <v/>
      </c>
    </row>
    <row r="204" customFormat="false" ht="15.75" hidden="false" customHeight="true" outlineLevel="0" collapsed="false">
      <c r="A204" s="80" t="s">
        <v>2398</v>
      </c>
      <c r="B204" s="81"/>
      <c r="C204" s="81"/>
      <c r="D204" s="81"/>
      <c r="E204" s="83"/>
      <c r="F204" s="81"/>
      <c r="G204" s="83"/>
      <c r="H204" s="83"/>
      <c r="I204" s="84" t="str">
        <f aca="false">IF(E204="","",A204&amp;"_1.jpg")</f>
        <v/>
      </c>
      <c r="J204" s="84" t="str">
        <f aca="false">IF(E204="","",A204&amp;"_2.jpg; "&amp;A204&amp;"_3.jpg")</f>
        <v/>
      </c>
      <c r="K204" s="84" t="str">
        <f aca="false">IF(E204="","",A204&amp;"_schema.jpg")</f>
        <v/>
      </c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 t="s">
        <v>96</v>
      </c>
      <c r="W204" s="81"/>
      <c r="X204" s="81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6" t="str">
        <f aca="false">IF(SUM(Y204:AJ204)=0,"",SUM(Y204:AJ204))</f>
        <v/>
      </c>
      <c r="AL204" s="84" t="str">
        <f aca="false">MID(IF(N(Y204)&gt;0,", "&amp;Y$2,"")&amp;IF(N(Z204)&gt;0,", "&amp;Z$2,"")&amp;IF(N(AA204)&gt;0,", "&amp;AA$2,"")&amp;IF(N(AB204)&gt;0,", "&amp;AB$2,"")&amp;IF(N(AC204)&gt;0,", "&amp;AC$2,"")&amp;IF(N(AD204)&gt;0,", "&amp;AD$2,"")&amp;IF(N(AE204)&gt;0,", "&amp;AE$2,"")&amp;IF(N(AF204)&gt;0,", "&amp;AF$2,"")&amp;IF(N(AG204)&gt;0,", "&amp;AG$2,"")&amp;IF(N(AH204)&gt;0,", "&amp;AH$2,"")&amp;IF(N(AI204)&gt;0,", "&amp;AI$2,"")&amp;IF(N(AJ204)&gt;0,", "&amp;AJ$2,""),3,999)</f>
        <v/>
      </c>
      <c r="AM204" s="87" t="str">
        <f aca="false">IF(E204="","",MID(IF(N(Y204)&gt;0,", "&amp;A204&amp;"-"&amp;Y$2,"")&amp;IF(N(Z204)&gt;0,", "&amp;A204&amp;"-"&amp;Z$2,"")&amp;IF(N(AA204)&gt;0,", "&amp;A204&amp;"-"&amp;AA$2,"")&amp;IF(N(AB204)&gt;0,", "&amp;A204&amp;"-"&amp;AB$2,"")&amp;IF(N(AC204)&gt;0,", "&amp;A204&amp;"-"&amp;AC$2,"")&amp;IF(N(AD204)&gt;0,", "&amp;A204&amp;"-"&amp;AD$2,"")&amp;IF(N(AE204)&gt;0,", "&amp;A204&amp;"-"&amp;AE$2,"")&amp;IF(N(AF204)&gt;0,", "&amp;A204&amp;"-"&amp;AF$2,"")&amp;IF(N(AG204)&gt;0,", "&amp;A204&amp;"-"&amp;AG$2,"")&amp;IF(N(AH204)&gt;0,", "&amp;A204&amp;"-"&amp;AH$2,"")&amp;IF(N(AI204)&gt;0,", "&amp;A204&amp;"-"&amp;AI$2,"")&amp;IF(N(AJ204)&gt;0,", "&amp;A204&amp;"-"&amp;AJ$2,""),3,999))</f>
        <v/>
      </c>
      <c r="AN204" s="81"/>
      <c r="AO204" s="88"/>
      <c r="AP204" s="89" t="str">
        <f aca="false">IF(AO204="","",ROUND(AO204/(1+Справочники!$B$13),2))</f>
        <v/>
      </c>
      <c r="AQ204" s="90" t="str">
        <f aca="false" t="array" ref="AQ204:AQ204">IF(AP204="","",AP204*INDEX(Справочники!$B$4:$B$7,MATCH("RUB",Справочники!$A$4:$A$7,0)))</f>
        <v/>
      </c>
      <c r="AR204" s="90" t="str">
        <f aca="false">IF(AQ204="","",ROUND(AQ204*(1+Справочники!$B$12),0))</f>
        <v/>
      </c>
      <c r="AS204" s="90" t="str">
        <f aca="false">IF(AR204="","",ROUND(AR204*(1-Справочники!$B$11),0))</f>
        <v/>
      </c>
      <c r="AT204" s="88"/>
      <c r="AU204" s="90" t="str">
        <f aca="false">IF(AT204="","",ROUND(AT204/(1+Справочники!$B$12),0))</f>
        <v/>
      </c>
      <c r="AV204" s="90" t="str">
        <f aca="false">IF(AT204="","",ROUND(AT204*(1-Справочники!$B$15),0))</f>
        <v/>
      </c>
      <c r="AW204" s="90" t="str">
        <f aca="false">IF(AT204="","",ROUND(AT204*(1-Справочники!$B$16),0))</f>
        <v/>
      </c>
      <c r="AX204" s="90" t="str">
        <f aca="false">IF(AT204="","",ROUND(AT204*(1-Справочники!$B$17),0))</f>
        <v/>
      </c>
      <c r="AY204" s="90" t="str">
        <f aca="false">IF(AT204="","",ROUND(AT204*(1-Справочники!$B$18),0))</f>
        <v/>
      </c>
      <c r="AZ204" s="90" t="str">
        <f aca="false">IF(AT204="","",ROUND(AT204*(1-Справочники!$B$19),0))</f>
        <v/>
      </c>
      <c r="BA204" s="81"/>
      <c r="BB204" s="81"/>
      <c r="BC204" s="81"/>
      <c r="BD204" s="81"/>
      <c r="BE204" s="91"/>
      <c r="BF204" s="81" t="s">
        <v>103</v>
      </c>
      <c r="BG204" s="89" t="n">
        <f aca="false" t="array" ref="BG204:BG204">IF(BF204="","",IFERROR(INDEX(Справочники!$B$4:$B$7,MATCH(BF204,Справочники!$A$4:$A$7,0)),""))</f>
        <v>68.5</v>
      </c>
      <c r="BH204" s="90" t="str">
        <f aca="false">IF(N(BN204)&gt;0,ROUND(SUMIF(ЗАКАЗЫ!$F$3:$F$500,$A204,ЗАКАЗЫ!$Y$3:$Y$500)/BN204,0),IF(OR(BE204="",BG204=""),"",ROUND(BE204*BG204*(1+Справочники!$B$10),0)))</f>
        <v/>
      </c>
      <c r="BI204" s="92" t="str">
        <f aca="false">IF(OR(AU204="",BH204="",AU204=0),"",(AU204-BH204)/AU204)</f>
        <v/>
      </c>
      <c r="BJ204" s="81"/>
      <c r="BK204" s="83"/>
      <c r="BL204" s="43" t="str">
        <f aca="false">IFERROR(INDEX(ЗАКАЗЫ!$N$3:$N$500,MATCH($A204,ЗАКАЗЫ!$F$3:$F$500,0)),"")</f>
        <v/>
      </c>
      <c r="BM204" s="8" t="str">
        <f aca="false">IF(BL204="","",IFERROR(VLOOKUP(BL204,'ТН ВЭД'!$A$4:$C$40,3,0),""))</f>
        <v/>
      </c>
      <c r="BN204" s="7" t="str">
        <f aca="false">IF(COUNTIF(ЗАКАЗЫ!$F$3:$F$500,$A204)=0,"",SUMIF(ЗАКАЗЫ!$F$3:$F$500,$A204,ЗАКАЗЫ!$J$3:$J$500))</f>
        <v/>
      </c>
      <c r="BO204" s="7" t="str">
        <f aca="false">IF(BN204="","",SUMIF(ЗАКАЗЫ!$F$3:$F$500,$A204,ЗАКАЗЫ!$AL$3:$AL$500))</f>
        <v/>
      </c>
      <c r="BP204" s="7" t="str">
        <f aca="false">IF(BN204="","",BN204-BO204)</f>
        <v/>
      </c>
      <c r="BQ204" s="55" t="str">
        <f aca="false">IF(BN204="","",IF(BO204&gt;=BN204,"На складе",IF(BO204&gt;0,"Частично","Ждём")))</f>
        <v/>
      </c>
      <c r="BR204" s="43"/>
      <c r="BS204" s="47" t="str">
        <f aca="false">IF(BN204="","",IF(_xlfn.MAXIFS(ЗАКАЗЫ!$AK$3:$AK$500,ЗАКАЗЫ!$F$3:$F$500,$A204)=0,"",_xlfn.MAXIFS(ЗАКАЗЫ!$AK$3:$AK$500,ЗАКАЗЫ!$F$3:$F$500,$A204)))</f>
        <v/>
      </c>
    </row>
    <row r="205" customFormat="false" ht="15.75" hidden="false" customHeight="true" outlineLevel="0" collapsed="false">
      <c r="A205" s="80" t="s">
        <v>2399</v>
      </c>
      <c r="B205" s="81"/>
      <c r="C205" s="81"/>
      <c r="D205" s="81"/>
      <c r="E205" s="83"/>
      <c r="F205" s="81"/>
      <c r="G205" s="83"/>
      <c r="H205" s="83"/>
      <c r="I205" s="84" t="str">
        <f aca="false">IF(E205="","",A205&amp;"_1.jpg")</f>
        <v/>
      </c>
      <c r="J205" s="84" t="str">
        <f aca="false">IF(E205="","",A205&amp;"_2.jpg; "&amp;A205&amp;"_3.jpg")</f>
        <v/>
      </c>
      <c r="K205" s="84" t="str">
        <f aca="false">IF(E205="","",A205&amp;"_schema.jpg")</f>
        <v/>
      </c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 t="s">
        <v>96</v>
      </c>
      <c r="W205" s="81"/>
      <c r="X205" s="81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6" t="str">
        <f aca="false">IF(SUM(Y205:AJ205)=0,"",SUM(Y205:AJ205))</f>
        <v/>
      </c>
      <c r="AL205" s="84" t="str">
        <f aca="false">MID(IF(N(Y205)&gt;0,", "&amp;Y$2,"")&amp;IF(N(Z205)&gt;0,", "&amp;Z$2,"")&amp;IF(N(AA205)&gt;0,", "&amp;AA$2,"")&amp;IF(N(AB205)&gt;0,", "&amp;AB$2,"")&amp;IF(N(AC205)&gt;0,", "&amp;AC$2,"")&amp;IF(N(AD205)&gt;0,", "&amp;AD$2,"")&amp;IF(N(AE205)&gt;0,", "&amp;AE$2,"")&amp;IF(N(AF205)&gt;0,", "&amp;AF$2,"")&amp;IF(N(AG205)&gt;0,", "&amp;AG$2,"")&amp;IF(N(AH205)&gt;0,", "&amp;AH$2,"")&amp;IF(N(AI205)&gt;0,", "&amp;AI$2,"")&amp;IF(N(AJ205)&gt;0,", "&amp;AJ$2,""),3,999)</f>
        <v/>
      </c>
      <c r="AM205" s="87" t="str">
        <f aca="false">IF(E205="","",MID(IF(N(Y205)&gt;0,", "&amp;A205&amp;"-"&amp;Y$2,"")&amp;IF(N(Z205)&gt;0,", "&amp;A205&amp;"-"&amp;Z$2,"")&amp;IF(N(AA205)&gt;0,", "&amp;A205&amp;"-"&amp;AA$2,"")&amp;IF(N(AB205)&gt;0,", "&amp;A205&amp;"-"&amp;AB$2,"")&amp;IF(N(AC205)&gt;0,", "&amp;A205&amp;"-"&amp;AC$2,"")&amp;IF(N(AD205)&gt;0,", "&amp;A205&amp;"-"&amp;AD$2,"")&amp;IF(N(AE205)&gt;0,", "&amp;A205&amp;"-"&amp;AE$2,"")&amp;IF(N(AF205)&gt;0,", "&amp;A205&amp;"-"&amp;AF$2,"")&amp;IF(N(AG205)&gt;0,", "&amp;A205&amp;"-"&amp;AG$2,"")&amp;IF(N(AH205)&gt;0,", "&amp;A205&amp;"-"&amp;AH$2,"")&amp;IF(N(AI205)&gt;0,", "&amp;A205&amp;"-"&amp;AI$2,"")&amp;IF(N(AJ205)&gt;0,", "&amp;A205&amp;"-"&amp;AJ$2,""),3,999))</f>
        <v/>
      </c>
      <c r="AN205" s="81"/>
      <c r="AO205" s="88"/>
      <c r="AP205" s="89" t="str">
        <f aca="false">IF(AO205="","",ROUND(AO205/(1+Справочники!$B$13),2))</f>
        <v/>
      </c>
      <c r="AQ205" s="90" t="str">
        <f aca="false" t="array" ref="AQ205:AQ205">IF(AP205="","",AP205*INDEX(Справочники!$B$4:$B$7,MATCH("RUB",Справочники!$A$4:$A$7,0)))</f>
        <v/>
      </c>
      <c r="AR205" s="90" t="str">
        <f aca="false">IF(AQ205="","",ROUND(AQ205*(1+Справочники!$B$12),0))</f>
        <v/>
      </c>
      <c r="AS205" s="90" t="str">
        <f aca="false">IF(AR205="","",ROUND(AR205*(1-Справочники!$B$11),0))</f>
        <v/>
      </c>
      <c r="AT205" s="88"/>
      <c r="AU205" s="90" t="str">
        <f aca="false">IF(AT205="","",ROUND(AT205/(1+Справочники!$B$12),0))</f>
        <v/>
      </c>
      <c r="AV205" s="90" t="str">
        <f aca="false">IF(AT205="","",ROUND(AT205*(1-Справочники!$B$15),0))</f>
        <v/>
      </c>
      <c r="AW205" s="90" t="str">
        <f aca="false">IF(AT205="","",ROUND(AT205*(1-Справочники!$B$16),0))</f>
        <v/>
      </c>
      <c r="AX205" s="90" t="str">
        <f aca="false">IF(AT205="","",ROUND(AT205*(1-Справочники!$B$17),0))</f>
        <v/>
      </c>
      <c r="AY205" s="90" t="str">
        <f aca="false">IF(AT205="","",ROUND(AT205*(1-Справочники!$B$18),0))</f>
        <v/>
      </c>
      <c r="AZ205" s="90" t="str">
        <f aca="false">IF(AT205="","",ROUND(AT205*(1-Справочники!$B$19),0))</f>
        <v/>
      </c>
      <c r="BA205" s="81"/>
      <c r="BB205" s="81"/>
      <c r="BC205" s="81"/>
      <c r="BD205" s="81"/>
      <c r="BE205" s="91"/>
      <c r="BF205" s="81" t="s">
        <v>103</v>
      </c>
      <c r="BG205" s="89" t="n">
        <f aca="false" t="array" ref="BG205:BG205">IF(BF205="","",IFERROR(INDEX(Справочники!$B$4:$B$7,MATCH(BF205,Справочники!$A$4:$A$7,0)),""))</f>
        <v>68.5</v>
      </c>
      <c r="BH205" s="90" t="str">
        <f aca="false">IF(N(BN205)&gt;0,ROUND(SUMIF(ЗАКАЗЫ!$F$3:$F$500,$A205,ЗАКАЗЫ!$Y$3:$Y$500)/BN205,0),IF(OR(BE205="",BG205=""),"",ROUND(BE205*BG205*(1+Справочники!$B$10),0)))</f>
        <v/>
      </c>
      <c r="BI205" s="92" t="str">
        <f aca="false">IF(OR(AU205="",BH205="",AU205=0),"",(AU205-BH205)/AU205)</f>
        <v/>
      </c>
      <c r="BJ205" s="81"/>
      <c r="BK205" s="83"/>
      <c r="BL205" s="43" t="str">
        <f aca="false">IFERROR(INDEX(ЗАКАЗЫ!$N$3:$N$500,MATCH($A205,ЗАКАЗЫ!$F$3:$F$500,0)),"")</f>
        <v/>
      </c>
      <c r="BM205" s="8" t="str">
        <f aca="false">IF(BL205="","",IFERROR(VLOOKUP(BL205,'ТН ВЭД'!$A$4:$C$40,3,0),""))</f>
        <v/>
      </c>
      <c r="BN205" s="7" t="str">
        <f aca="false">IF(COUNTIF(ЗАКАЗЫ!$F$3:$F$500,$A205)=0,"",SUMIF(ЗАКАЗЫ!$F$3:$F$500,$A205,ЗАКАЗЫ!$J$3:$J$500))</f>
        <v/>
      </c>
      <c r="BO205" s="7" t="str">
        <f aca="false">IF(BN205="","",SUMIF(ЗАКАЗЫ!$F$3:$F$500,$A205,ЗАКАЗЫ!$AL$3:$AL$500))</f>
        <v/>
      </c>
      <c r="BP205" s="7" t="str">
        <f aca="false">IF(BN205="","",BN205-BO205)</f>
        <v/>
      </c>
      <c r="BQ205" s="55" t="str">
        <f aca="false">IF(BN205="","",IF(BO205&gt;=BN205,"На складе",IF(BO205&gt;0,"Частично","Ждём")))</f>
        <v/>
      </c>
      <c r="BR205" s="43"/>
      <c r="BS205" s="47" t="str">
        <f aca="false">IF(BN205="","",IF(_xlfn.MAXIFS(ЗАКАЗЫ!$AK$3:$AK$500,ЗАКАЗЫ!$F$3:$F$500,$A205)=0,"",_xlfn.MAXIFS(ЗАКАЗЫ!$AK$3:$AK$500,ЗАКАЗЫ!$F$3:$F$500,$A205)))</f>
        <v/>
      </c>
    </row>
    <row r="206" customFormat="false" ht="15.75" hidden="false" customHeight="true" outlineLevel="0" collapsed="false">
      <c r="A206" s="80" t="s">
        <v>2400</v>
      </c>
      <c r="B206" s="81"/>
      <c r="C206" s="81"/>
      <c r="D206" s="81"/>
      <c r="E206" s="83"/>
      <c r="F206" s="81"/>
      <c r="G206" s="83"/>
      <c r="H206" s="83"/>
      <c r="I206" s="84" t="str">
        <f aca="false">IF(E206="","",A206&amp;"_1.jpg")</f>
        <v/>
      </c>
      <c r="J206" s="84" t="str">
        <f aca="false">IF(E206="","",A206&amp;"_2.jpg; "&amp;A206&amp;"_3.jpg")</f>
        <v/>
      </c>
      <c r="K206" s="84" t="str">
        <f aca="false">IF(E206="","",A206&amp;"_schema.jpg")</f>
        <v/>
      </c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 t="s">
        <v>96</v>
      </c>
      <c r="W206" s="81"/>
      <c r="X206" s="81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6" t="str">
        <f aca="false">IF(SUM(Y206:AJ206)=0,"",SUM(Y206:AJ206))</f>
        <v/>
      </c>
      <c r="AL206" s="84" t="str">
        <f aca="false">MID(IF(N(Y206)&gt;0,", "&amp;Y$2,"")&amp;IF(N(Z206)&gt;0,", "&amp;Z$2,"")&amp;IF(N(AA206)&gt;0,", "&amp;AA$2,"")&amp;IF(N(AB206)&gt;0,", "&amp;AB$2,"")&amp;IF(N(AC206)&gt;0,", "&amp;AC$2,"")&amp;IF(N(AD206)&gt;0,", "&amp;AD$2,"")&amp;IF(N(AE206)&gt;0,", "&amp;AE$2,"")&amp;IF(N(AF206)&gt;0,", "&amp;AF$2,"")&amp;IF(N(AG206)&gt;0,", "&amp;AG$2,"")&amp;IF(N(AH206)&gt;0,", "&amp;AH$2,"")&amp;IF(N(AI206)&gt;0,", "&amp;AI$2,"")&amp;IF(N(AJ206)&gt;0,", "&amp;AJ$2,""),3,999)</f>
        <v/>
      </c>
      <c r="AM206" s="87" t="str">
        <f aca="false">IF(E206="","",MID(IF(N(Y206)&gt;0,", "&amp;A206&amp;"-"&amp;Y$2,"")&amp;IF(N(Z206)&gt;0,", "&amp;A206&amp;"-"&amp;Z$2,"")&amp;IF(N(AA206)&gt;0,", "&amp;A206&amp;"-"&amp;AA$2,"")&amp;IF(N(AB206)&gt;0,", "&amp;A206&amp;"-"&amp;AB$2,"")&amp;IF(N(AC206)&gt;0,", "&amp;A206&amp;"-"&amp;AC$2,"")&amp;IF(N(AD206)&gt;0,", "&amp;A206&amp;"-"&amp;AD$2,"")&amp;IF(N(AE206)&gt;0,", "&amp;A206&amp;"-"&amp;AE$2,"")&amp;IF(N(AF206)&gt;0,", "&amp;A206&amp;"-"&amp;AF$2,"")&amp;IF(N(AG206)&gt;0,", "&amp;A206&amp;"-"&amp;AG$2,"")&amp;IF(N(AH206)&gt;0,", "&amp;A206&amp;"-"&amp;AH$2,"")&amp;IF(N(AI206)&gt;0,", "&amp;A206&amp;"-"&amp;AI$2,"")&amp;IF(N(AJ206)&gt;0,", "&amp;A206&amp;"-"&amp;AJ$2,""),3,999))</f>
        <v/>
      </c>
      <c r="AN206" s="81"/>
      <c r="AO206" s="88"/>
      <c r="AP206" s="89" t="str">
        <f aca="false">IF(AO206="","",ROUND(AO206/(1+Справочники!$B$13),2))</f>
        <v/>
      </c>
      <c r="AQ206" s="90" t="str">
        <f aca="false" t="array" ref="AQ206:AQ206">IF(AP206="","",AP206*INDEX(Справочники!$B$4:$B$7,MATCH("RUB",Справочники!$A$4:$A$7,0)))</f>
        <v/>
      </c>
      <c r="AR206" s="90" t="str">
        <f aca="false">IF(AQ206="","",ROUND(AQ206*(1+Справочники!$B$12),0))</f>
        <v/>
      </c>
      <c r="AS206" s="90" t="str">
        <f aca="false">IF(AR206="","",ROUND(AR206*(1-Справочники!$B$11),0))</f>
        <v/>
      </c>
      <c r="AT206" s="88"/>
      <c r="AU206" s="90" t="str">
        <f aca="false">IF(AT206="","",ROUND(AT206/(1+Справочники!$B$12),0))</f>
        <v/>
      </c>
      <c r="AV206" s="90" t="str">
        <f aca="false">IF(AT206="","",ROUND(AT206*(1-Справочники!$B$15),0))</f>
        <v/>
      </c>
      <c r="AW206" s="90" t="str">
        <f aca="false">IF(AT206="","",ROUND(AT206*(1-Справочники!$B$16),0))</f>
        <v/>
      </c>
      <c r="AX206" s="90" t="str">
        <f aca="false">IF(AT206="","",ROUND(AT206*(1-Справочники!$B$17),0))</f>
        <v/>
      </c>
      <c r="AY206" s="90" t="str">
        <f aca="false">IF(AT206="","",ROUND(AT206*(1-Справочники!$B$18),0))</f>
        <v/>
      </c>
      <c r="AZ206" s="90" t="str">
        <f aca="false">IF(AT206="","",ROUND(AT206*(1-Справочники!$B$19),0))</f>
        <v/>
      </c>
      <c r="BA206" s="81"/>
      <c r="BB206" s="81"/>
      <c r="BC206" s="81"/>
      <c r="BD206" s="81"/>
      <c r="BE206" s="91"/>
      <c r="BF206" s="81" t="s">
        <v>103</v>
      </c>
      <c r="BG206" s="89" t="n">
        <f aca="false" t="array" ref="BG206:BG206">IF(BF206="","",IFERROR(INDEX(Справочники!$B$4:$B$7,MATCH(BF206,Справочники!$A$4:$A$7,0)),""))</f>
        <v>68.5</v>
      </c>
      <c r="BH206" s="90" t="str">
        <f aca="false">IF(N(BN206)&gt;0,ROUND(SUMIF(ЗАКАЗЫ!$F$3:$F$500,$A206,ЗАКАЗЫ!$Y$3:$Y$500)/BN206,0),IF(OR(BE206="",BG206=""),"",ROUND(BE206*BG206*(1+Справочники!$B$10),0)))</f>
        <v/>
      </c>
      <c r="BI206" s="92" t="str">
        <f aca="false">IF(OR(AU206="",BH206="",AU206=0),"",(AU206-BH206)/AU206)</f>
        <v/>
      </c>
      <c r="BJ206" s="81"/>
      <c r="BK206" s="83"/>
      <c r="BL206" s="43" t="str">
        <f aca="false">IFERROR(INDEX(ЗАКАЗЫ!$N$3:$N$500,MATCH($A206,ЗАКАЗЫ!$F$3:$F$500,0)),"")</f>
        <v/>
      </c>
      <c r="BM206" s="8" t="str">
        <f aca="false">IF(BL206="","",IFERROR(VLOOKUP(BL206,'ТН ВЭД'!$A$4:$C$40,3,0),""))</f>
        <v/>
      </c>
      <c r="BN206" s="7" t="str">
        <f aca="false">IF(COUNTIF(ЗАКАЗЫ!$F$3:$F$500,$A206)=0,"",SUMIF(ЗАКАЗЫ!$F$3:$F$500,$A206,ЗАКАЗЫ!$J$3:$J$500))</f>
        <v/>
      </c>
      <c r="BO206" s="7" t="str">
        <f aca="false">IF(BN206="","",SUMIF(ЗАКАЗЫ!$F$3:$F$500,$A206,ЗАКАЗЫ!$AL$3:$AL$500))</f>
        <v/>
      </c>
      <c r="BP206" s="7" t="str">
        <f aca="false">IF(BN206="","",BN206-BO206)</f>
        <v/>
      </c>
      <c r="BQ206" s="55" t="str">
        <f aca="false">IF(BN206="","",IF(BO206&gt;=BN206,"На складе",IF(BO206&gt;0,"Частично","Ждём")))</f>
        <v/>
      </c>
      <c r="BR206" s="43"/>
      <c r="BS206" s="47" t="str">
        <f aca="false">IF(BN206="","",IF(_xlfn.MAXIFS(ЗАКАЗЫ!$AK$3:$AK$500,ЗАКАЗЫ!$F$3:$F$500,$A206)=0,"",_xlfn.MAXIFS(ЗАКАЗЫ!$AK$3:$AK$500,ЗАКАЗЫ!$F$3:$F$500,$A206)))</f>
        <v/>
      </c>
    </row>
    <row r="207" customFormat="false" ht="15.75" hidden="false" customHeight="true" outlineLevel="0" collapsed="false">
      <c r="A207" s="80" t="s">
        <v>2401</v>
      </c>
      <c r="B207" s="81"/>
      <c r="C207" s="81"/>
      <c r="D207" s="81"/>
      <c r="E207" s="83"/>
      <c r="F207" s="81"/>
      <c r="G207" s="83"/>
      <c r="H207" s="83"/>
      <c r="I207" s="84" t="str">
        <f aca="false">IF(E207="","",A207&amp;"_1.jpg")</f>
        <v/>
      </c>
      <c r="J207" s="84" t="str">
        <f aca="false">IF(E207="","",A207&amp;"_2.jpg; "&amp;A207&amp;"_3.jpg")</f>
        <v/>
      </c>
      <c r="K207" s="84" t="str">
        <f aca="false">IF(E207="","",A207&amp;"_schema.jpg")</f>
        <v/>
      </c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 t="s">
        <v>96</v>
      </c>
      <c r="W207" s="81"/>
      <c r="X207" s="81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6" t="str">
        <f aca="false">IF(SUM(Y207:AJ207)=0,"",SUM(Y207:AJ207))</f>
        <v/>
      </c>
      <c r="AL207" s="84" t="str">
        <f aca="false">MID(IF(N(Y207)&gt;0,", "&amp;Y$2,"")&amp;IF(N(Z207)&gt;0,", "&amp;Z$2,"")&amp;IF(N(AA207)&gt;0,", "&amp;AA$2,"")&amp;IF(N(AB207)&gt;0,", "&amp;AB$2,"")&amp;IF(N(AC207)&gt;0,", "&amp;AC$2,"")&amp;IF(N(AD207)&gt;0,", "&amp;AD$2,"")&amp;IF(N(AE207)&gt;0,", "&amp;AE$2,"")&amp;IF(N(AF207)&gt;0,", "&amp;AF$2,"")&amp;IF(N(AG207)&gt;0,", "&amp;AG$2,"")&amp;IF(N(AH207)&gt;0,", "&amp;AH$2,"")&amp;IF(N(AI207)&gt;0,", "&amp;AI$2,"")&amp;IF(N(AJ207)&gt;0,", "&amp;AJ$2,""),3,999)</f>
        <v/>
      </c>
      <c r="AM207" s="87" t="str">
        <f aca="false">IF(E207="","",MID(IF(N(Y207)&gt;0,", "&amp;A207&amp;"-"&amp;Y$2,"")&amp;IF(N(Z207)&gt;0,", "&amp;A207&amp;"-"&amp;Z$2,"")&amp;IF(N(AA207)&gt;0,", "&amp;A207&amp;"-"&amp;AA$2,"")&amp;IF(N(AB207)&gt;0,", "&amp;A207&amp;"-"&amp;AB$2,"")&amp;IF(N(AC207)&gt;0,", "&amp;A207&amp;"-"&amp;AC$2,"")&amp;IF(N(AD207)&gt;0,", "&amp;A207&amp;"-"&amp;AD$2,"")&amp;IF(N(AE207)&gt;0,", "&amp;A207&amp;"-"&amp;AE$2,"")&amp;IF(N(AF207)&gt;0,", "&amp;A207&amp;"-"&amp;AF$2,"")&amp;IF(N(AG207)&gt;0,", "&amp;A207&amp;"-"&amp;AG$2,"")&amp;IF(N(AH207)&gt;0,", "&amp;A207&amp;"-"&amp;AH$2,"")&amp;IF(N(AI207)&gt;0,", "&amp;A207&amp;"-"&amp;AI$2,"")&amp;IF(N(AJ207)&gt;0,", "&amp;A207&amp;"-"&amp;AJ$2,""),3,999))</f>
        <v/>
      </c>
      <c r="AN207" s="81"/>
      <c r="AO207" s="88"/>
      <c r="AP207" s="89" t="str">
        <f aca="false">IF(AO207="","",ROUND(AO207/(1+Справочники!$B$13),2))</f>
        <v/>
      </c>
      <c r="AQ207" s="90" t="str">
        <f aca="false" t="array" ref="AQ207:AQ207">IF(AP207="","",AP207*INDEX(Справочники!$B$4:$B$7,MATCH("RUB",Справочники!$A$4:$A$7,0)))</f>
        <v/>
      </c>
      <c r="AR207" s="90" t="str">
        <f aca="false">IF(AQ207="","",ROUND(AQ207*(1+Справочники!$B$12),0))</f>
        <v/>
      </c>
      <c r="AS207" s="90" t="str">
        <f aca="false">IF(AR207="","",ROUND(AR207*(1-Справочники!$B$11),0))</f>
        <v/>
      </c>
      <c r="AT207" s="88"/>
      <c r="AU207" s="90" t="str">
        <f aca="false">IF(AT207="","",ROUND(AT207/(1+Справочники!$B$12),0))</f>
        <v/>
      </c>
      <c r="AV207" s="90" t="str">
        <f aca="false">IF(AT207="","",ROUND(AT207*(1-Справочники!$B$15),0))</f>
        <v/>
      </c>
      <c r="AW207" s="90" t="str">
        <f aca="false">IF(AT207="","",ROUND(AT207*(1-Справочники!$B$16),0))</f>
        <v/>
      </c>
      <c r="AX207" s="90" t="str">
        <f aca="false">IF(AT207="","",ROUND(AT207*(1-Справочники!$B$17),0))</f>
        <v/>
      </c>
      <c r="AY207" s="90" t="str">
        <f aca="false">IF(AT207="","",ROUND(AT207*(1-Справочники!$B$18),0))</f>
        <v/>
      </c>
      <c r="AZ207" s="90" t="str">
        <f aca="false">IF(AT207="","",ROUND(AT207*(1-Справочники!$B$19),0))</f>
        <v/>
      </c>
      <c r="BA207" s="81"/>
      <c r="BB207" s="81"/>
      <c r="BC207" s="81"/>
      <c r="BD207" s="81"/>
      <c r="BE207" s="91"/>
      <c r="BF207" s="81" t="s">
        <v>103</v>
      </c>
      <c r="BG207" s="89" t="n">
        <f aca="false" t="array" ref="BG207:BG207">IF(BF207="","",IFERROR(INDEX(Справочники!$B$4:$B$7,MATCH(BF207,Справочники!$A$4:$A$7,0)),""))</f>
        <v>68.5</v>
      </c>
      <c r="BH207" s="90" t="str">
        <f aca="false">IF(N(BN207)&gt;0,ROUND(SUMIF(ЗАКАЗЫ!$F$3:$F$500,$A207,ЗАКАЗЫ!$Y$3:$Y$500)/BN207,0),IF(OR(BE207="",BG207=""),"",ROUND(BE207*BG207*(1+Справочники!$B$10),0)))</f>
        <v/>
      </c>
      <c r="BI207" s="92" t="str">
        <f aca="false">IF(OR(AU207="",BH207="",AU207=0),"",(AU207-BH207)/AU207)</f>
        <v/>
      </c>
      <c r="BJ207" s="81"/>
      <c r="BK207" s="83"/>
      <c r="BL207" s="43" t="str">
        <f aca="false">IFERROR(INDEX(ЗАКАЗЫ!$N$3:$N$500,MATCH($A207,ЗАКАЗЫ!$F$3:$F$500,0)),"")</f>
        <v/>
      </c>
      <c r="BM207" s="8" t="str">
        <f aca="false">IF(BL207="","",IFERROR(VLOOKUP(BL207,'ТН ВЭД'!$A$4:$C$40,3,0),""))</f>
        <v/>
      </c>
      <c r="BN207" s="7" t="str">
        <f aca="false">IF(COUNTIF(ЗАКАЗЫ!$F$3:$F$500,$A207)=0,"",SUMIF(ЗАКАЗЫ!$F$3:$F$500,$A207,ЗАКАЗЫ!$J$3:$J$500))</f>
        <v/>
      </c>
      <c r="BO207" s="7" t="str">
        <f aca="false">IF(BN207="","",SUMIF(ЗАКАЗЫ!$F$3:$F$500,$A207,ЗАКАЗЫ!$AL$3:$AL$500))</f>
        <v/>
      </c>
      <c r="BP207" s="7" t="str">
        <f aca="false">IF(BN207="","",BN207-BO207)</f>
        <v/>
      </c>
      <c r="BQ207" s="55" t="str">
        <f aca="false">IF(BN207="","",IF(BO207&gt;=BN207,"На складе",IF(BO207&gt;0,"Частично","Ждём")))</f>
        <v/>
      </c>
      <c r="BR207" s="43"/>
      <c r="BS207" s="47" t="str">
        <f aca="false">IF(BN207="","",IF(_xlfn.MAXIFS(ЗАКАЗЫ!$AK$3:$AK$500,ЗАКАЗЫ!$F$3:$F$500,$A207)=0,"",_xlfn.MAXIFS(ЗАКАЗЫ!$AK$3:$AK$500,ЗАКАЗЫ!$F$3:$F$500,$A207)))</f>
        <v/>
      </c>
    </row>
    <row r="208" customFormat="false" ht="15.75" hidden="false" customHeight="true" outlineLevel="0" collapsed="false">
      <c r="A208" s="80" t="s">
        <v>2402</v>
      </c>
      <c r="B208" s="81"/>
      <c r="C208" s="81"/>
      <c r="D208" s="81"/>
      <c r="E208" s="83"/>
      <c r="F208" s="81"/>
      <c r="G208" s="83"/>
      <c r="H208" s="83"/>
      <c r="I208" s="84" t="str">
        <f aca="false">IF(E208="","",A208&amp;"_1.jpg")</f>
        <v/>
      </c>
      <c r="J208" s="84" t="str">
        <f aca="false">IF(E208="","",A208&amp;"_2.jpg; "&amp;A208&amp;"_3.jpg")</f>
        <v/>
      </c>
      <c r="K208" s="84" t="str">
        <f aca="false">IF(E208="","",A208&amp;"_schema.jpg")</f>
        <v/>
      </c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 t="s">
        <v>96</v>
      </c>
      <c r="W208" s="81"/>
      <c r="X208" s="81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6" t="str">
        <f aca="false">IF(SUM(Y208:AJ208)=0,"",SUM(Y208:AJ208))</f>
        <v/>
      </c>
      <c r="AL208" s="84" t="str">
        <f aca="false">MID(IF(N(Y208)&gt;0,", "&amp;Y$2,"")&amp;IF(N(Z208)&gt;0,", "&amp;Z$2,"")&amp;IF(N(AA208)&gt;0,", "&amp;AA$2,"")&amp;IF(N(AB208)&gt;0,", "&amp;AB$2,"")&amp;IF(N(AC208)&gt;0,", "&amp;AC$2,"")&amp;IF(N(AD208)&gt;0,", "&amp;AD$2,"")&amp;IF(N(AE208)&gt;0,", "&amp;AE$2,"")&amp;IF(N(AF208)&gt;0,", "&amp;AF$2,"")&amp;IF(N(AG208)&gt;0,", "&amp;AG$2,"")&amp;IF(N(AH208)&gt;0,", "&amp;AH$2,"")&amp;IF(N(AI208)&gt;0,", "&amp;AI$2,"")&amp;IF(N(AJ208)&gt;0,", "&amp;AJ$2,""),3,999)</f>
        <v/>
      </c>
      <c r="AM208" s="87" t="str">
        <f aca="false">IF(E208="","",MID(IF(N(Y208)&gt;0,", "&amp;A208&amp;"-"&amp;Y$2,"")&amp;IF(N(Z208)&gt;0,", "&amp;A208&amp;"-"&amp;Z$2,"")&amp;IF(N(AA208)&gt;0,", "&amp;A208&amp;"-"&amp;AA$2,"")&amp;IF(N(AB208)&gt;0,", "&amp;A208&amp;"-"&amp;AB$2,"")&amp;IF(N(AC208)&gt;0,", "&amp;A208&amp;"-"&amp;AC$2,"")&amp;IF(N(AD208)&gt;0,", "&amp;A208&amp;"-"&amp;AD$2,"")&amp;IF(N(AE208)&gt;0,", "&amp;A208&amp;"-"&amp;AE$2,"")&amp;IF(N(AF208)&gt;0,", "&amp;A208&amp;"-"&amp;AF$2,"")&amp;IF(N(AG208)&gt;0,", "&amp;A208&amp;"-"&amp;AG$2,"")&amp;IF(N(AH208)&gt;0,", "&amp;A208&amp;"-"&amp;AH$2,"")&amp;IF(N(AI208)&gt;0,", "&amp;A208&amp;"-"&amp;AI$2,"")&amp;IF(N(AJ208)&gt;0,", "&amp;A208&amp;"-"&amp;AJ$2,""),3,999))</f>
        <v/>
      </c>
      <c r="AN208" s="81"/>
      <c r="AO208" s="88"/>
      <c r="AP208" s="89" t="str">
        <f aca="false">IF(AO208="","",ROUND(AO208/(1+Справочники!$B$13),2))</f>
        <v/>
      </c>
      <c r="AQ208" s="90" t="str">
        <f aca="false" t="array" ref="AQ208:AQ208">IF(AP208="","",AP208*INDEX(Справочники!$B$4:$B$7,MATCH("RUB",Справочники!$A$4:$A$7,0)))</f>
        <v/>
      </c>
      <c r="AR208" s="90" t="str">
        <f aca="false">IF(AQ208="","",ROUND(AQ208*(1+Справочники!$B$12),0))</f>
        <v/>
      </c>
      <c r="AS208" s="90" t="str">
        <f aca="false">IF(AR208="","",ROUND(AR208*(1-Справочники!$B$11),0))</f>
        <v/>
      </c>
      <c r="AT208" s="88"/>
      <c r="AU208" s="90" t="str">
        <f aca="false">IF(AT208="","",ROUND(AT208/(1+Справочники!$B$12),0))</f>
        <v/>
      </c>
      <c r="AV208" s="90" t="str">
        <f aca="false">IF(AT208="","",ROUND(AT208*(1-Справочники!$B$15),0))</f>
        <v/>
      </c>
      <c r="AW208" s="90" t="str">
        <f aca="false">IF(AT208="","",ROUND(AT208*(1-Справочники!$B$16),0))</f>
        <v/>
      </c>
      <c r="AX208" s="90" t="str">
        <f aca="false">IF(AT208="","",ROUND(AT208*(1-Справочники!$B$17),0))</f>
        <v/>
      </c>
      <c r="AY208" s="90" t="str">
        <f aca="false">IF(AT208="","",ROUND(AT208*(1-Справочники!$B$18),0))</f>
        <v/>
      </c>
      <c r="AZ208" s="90" t="str">
        <f aca="false">IF(AT208="","",ROUND(AT208*(1-Справочники!$B$19),0))</f>
        <v/>
      </c>
      <c r="BA208" s="81"/>
      <c r="BB208" s="81"/>
      <c r="BC208" s="81"/>
      <c r="BD208" s="81"/>
      <c r="BE208" s="91"/>
      <c r="BF208" s="81" t="s">
        <v>103</v>
      </c>
      <c r="BG208" s="89" t="n">
        <f aca="false" t="array" ref="BG208:BG208">IF(BF208="","",IFERROR(INDEX(Справочники!$B$4:$B$7,MATCH(BF208,Справочники!$A$4:$A$7,0)),""))</f>
        <v>68.5</v>
      </c>
      <c r="BH208" s="90" t="str">
        <f aca="false">IF(N(BN208)&gt;0,ROUND(SUMIF(ЗАКАЗЫ!$F$3:$F$500,$A208,ЗАКАЗЫ!$Y$3:$Y$500)/BN208,0),IF(OR(BE208="",BG208=""),"",ROUND(BE208*BG208*(1+Справочники!$B$10),0)))</f>
        <v/>
      </c>
      <c r="BI208" s="92" t="str">
        <f aca="false">IF(OR(AU208="",BH208="",AU208=0),"",(AU208-BH208)/AU208)</f>
        <v/>
      </c>
      <c r="BJ208" s="81"/>
      <c r="BK208" s="83"/>
      <c r="BL208" s="43" t="str">
        <f aca="false">IFERROR(INDEX(ЗАКАЗЫ!$N$3:$N$500,MATCH($A208,ЗАКАЗЫ!$F$3:$F$500,0)),"")</f>
        <v/>
      </c>
      <c r="BM208" s="8" t="str">
        <f aca="false">IF(BL208="","",IFERROR(VLOOKUP(BL208,'ТН ВЭД'!$A$4:$C$40,3,0),""))</f>
        <v/>
      </c>
      <c r="BN208" s="7" t="str">
        <f aca="false">IF(COUNTIF(ЗАКАЗЫ!$F$3:$F$500,$A208)=0,"",SUMIF(ЗАКАЗЫ!$F$3:$F$500,$A208,ЗАКАЗЫ!$J$3:$J$500))</f>
        <v/>
      </c>
      <c r="BO208" s="7" t="str">
        <f aca="false">IF(BN208="","",SUMIF(ЗАКАЗЫ!$F$3:$F$500,$A208,ЗАКАЗЫ!$AL$3:$AL$500))</f>
        <v/>
      </c>
      <c r="BP208" s="7" t="str">
        <f aca="false">IF(BN208="","",BN208-BO208)</f>
        <v/>
      </c>
      <c r="BQ208" s="55" t="str">
        <f aca="false">IF(BN208="","",IF(BO208&gt;=BN208,"На складе",IF(BO208&gt;0,"Частично","Ждём")))</f>
        <v/>
      </c>
      <c r="BR208" s="43"/>
      <c r="BS208" s="47" t="str">
        <f aca="false">IF(BN208="","",IF(_xlfn.MAXIFS(ЗАКАЗЫ!$AK$3:$AK$500,ЗАКАЗЫ!$F$3:$F$500,$A208)=0,"",_xlfn.MAXIFS(ЗАКАЗЫ!$AK$3:$AK$500,ЗАКАЗЫ!$F$3:$F$500,$A208)))</f>
        <v/>
      </c>
    </row>
    <row r="209" customFormat="false" ht="15.75" hidden="false" customHeight="true" outlineLevel="0" collapsed="false">
      <c r="A209" s="80" t="s">
        <v>2403</v>
      </c>
      <c r="B209" s="81"/>
      <c r="C209" s="81"/>
      <c r="D209" s="81"/>
      <c r="E209" s="83"/>
      <c r="F209" s="81"/>
      <c r="G209" s="83"/>
      <c r="H209" s="83"/>
      <c r="I209" s="84" t="str">
        <f aca="false">IF(E209="","",A209&amp;"_1.jpg")</f>
        <v/>
      </c>
      <c r="J209" s="84" t="str">
        <f aca="false">IF(E209="","",A209&amp;"_2.jpg; "&amp;A209&amp;"_3.jpg")</f>
        <v/>
      </c>
      <c r="K209" s="84" t="str">
        <f aca="false">IF(E209="","",A209&amp;"_schema.jpg")</f>
        <v/>
      </c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 t="s">
        <v>96</v>
      </c>
      <c r="W209" s="81"/>
      <c r="X209" s="81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6" t="str">
        <f aca="false">IF(SUM(Y209:AJ209)=0,"",SUM(Y209:AJ209))</f>
        <v/>
      </c>
      <c r="AL209" s="84" t="str">
        <f aca="false">MID(IF(N(Y209)&gt;0,", "&amp;Y$2,"")&amp;IF(N(Z209)&gt;0,", "&amp;Z$2,"")&amp;IF(N(AA209)&gt;0,", "&amp;AA$2,"")&amp;IF(N(AB209)&gt;0,", "&amp;AB$2,"")&amp;IF(N(AC209)&gt;0,", "&amp;AC$2,"")&amp;IF(N(AD209)&gt;0,", "&amp;AD$2,"")&amp;IF(N(AE209)&gt;0,", "&amp;AE$2,"")&amp;IF(N(AF209)&gt;0,", "&amp;AF$2,"")&amp;IF(N(AG209)&gt;0,", "&amp;AG$2,"")&amp;IF(N(AH209)&gt;0,", "&amp;AH$2,"")&amp;IF(N(AI209)&gt;0,", "&amp;AI$2,"")&amp;IF(N(AJ209)&gt;0,", "&amp;AJ$2,""),3,999)</f>
        <v/>
      </c>
      <c r="AM209" s="87" t="str">
        <f aca="false">IF(E209="","",MID(IF(N(Y209)&gt;0,", "&amp;A209&amp;"-"&amp;Y$2,"")&amp;IF(N(Z209)&gt;0,", "&amp;A209&amp;"-"&amp;Z$2,"")&amp;IF(N(AA209)&gt;0,", "&amp;A209&amp;"-"&amp;AA$2,"")&amp;IF(N(AB209)&gt;0,", "&amp;A209&amp;"-"&amp;AB$2,"")&amp;IF(N(AC209)&gt;0,", "&amp;A209&amp;"-"&amp;AC$2,"")&amp;IF(N(AD209)&gt;0,", "&amp;A209&amp;"-"&amp;AD$2,"")&amp;IF(N(AE209)&gt;0,", "&amp;A209&amp;"-"&amp;AE$2,"")&amp;IF(N(AF209)&gt;0,", "&amp;A209&amp;"-"&amp;AF$2,"")&amp;IF(N(AG209)&gt;0,", "&amp;A209&amp;"-"&amp;AG$2,"")&amp;IF(N(AH209)&gt;0,", "&amp;A209&amp;"-"&amp;AH$2,"")&amp;IF(N(AI209)&gt;0,", "&amp;A209&amp;"-"&amp;AI$2,"")&amp;IF(N(AJ209)&gt;0,", "&amp;A209&amp;"-"&amp;AJ$2,""),3,999))</f>
        <v/>
      </c>
      <c r="AN209" s="81"/>
      <c r="AO209" s="88"/>
      <c r="AP209" s="89" t="str">
        <f aca="false">IF(AO209="","",ROUND(AO209/(1+Справочники!$B$13),2))</f>
        <v/>
      </c>
      <c r="AQ209" s="90" t="str">
        <f aca="false" t="array" ref="AQ209:AQ209">IF(AP209="","",AP209*INDEX(Справочники!$B$4:$B$7,MATCH("RUB",Справочники!$A$4:$A$7,0)))</f>
        <v/>
      </c>
      <c r="AR209" s="90" t="str">
        <f aca="false">IF(AQ209="","",ROUND(AQ209*(1+Справочники!$B$12),0))</f>
        <v/>
      </c>
      <c r="AS209" s="90" t="str">
        <f aca="false">IF(AR209="","",ROUND(AR209*(1-Справочники!$B$11),0))</f>
        <v/>
      </c>
      <c r="AT209" s="88"/>
      <c r="AU209" s="90" t="str">
        <f aca="false">IF(AT209="","",ROUND(AT209/(1+Справочники!$B$12),0))</f>
        <v/>
      </c>
      <c r="AV209" s="90" t="str">
        <f aca="false">IF(AT209="","",ROUND(AT209*(1-Справочники!$B$15),0))</f>
        <v/>
      </c>
      <c r="AW209" s="90" t="str">
        <f aca="false">IF(AT209="","",ROUND(AT209*(1-Справочники!$B$16),0))</f>
        <v/>
      </c>
      <c r="AX209" s="90" t="str">
        <f aca="false">IF(AT209="","",ROUND(AT209*(1-Справочники!$B$17),0))</f>
        <v/>
      </c>
      <c r="AY209" s="90" t="str">
        <f aca="false">IF(AT209="","",ROUND(AT209*(1-Справочники!$B$18),0))</f>
        <v/>
      </c>
      <c r="AZ209" s="90" t="str">
        <f aca="false">IF(AT209="","",ROUND(AT209*(1-Справочники!$B$19),0))</f>
        <v/>
      </c>
      <c r="BA209" s="81"/>
      <c r="BB209" s="81"/>
      <c r="BC209" s="81"/>
      <c r="BD209" s="81"/>
      <c r="BE209" s="91"/>
      <c r="BF209" s="81" t="s">
        <v>103</v>
      </c>
      <c r="BG209" s="89" t="n">
        <f aca="false" t="array" ref="BG209:BG209">IF(BF209="","",IFERROR(INDEX(Справочники!$B$4:$B$7,MATCH(BF209,Справочники!$A$4:$A$7,0)),""))</f>
        <v>68.5</v>
      </c>
      <c r="BH209" s="90" t="str">
        <f aca="false">IF(N(BN209)&gt;0,ROUND(SUMIF(ЗАКАЗЫ!$F$3:$F$500,$A209,ЗАКАЗЫ!$Y$3:$Y$500)/BN209,0),IF(OR(BE209="",BG209=""),"",ROUND(BE209*BG209*(1+Справочники!$B$10),0)))</f>
        <v/>
      </c>
      <c r="BI209" s="92" t="str">
        <f aca="false">IF(OR(AU209="",BH209="",AU209=0),"",(AU209-BH209)/AU209)</f>
        <v/>
      </c>
      <c r="BJ209" s="81"/>
      <c r="BK209" s="83"/>
      <c r="BL209" s="43" t="str">
        <f aca="false">IFERROR(INDEX(ЗАКАЗЫ!$N$3:$N$500,MATCH($A209,ЗАКАЗЫ!$F$3:$F$500,0)),"")</f>
        <v/>
      </c>
      <c r="BM209" s="8" t="str">
        <f aca="false">IF(BL209="","",IFERROR(VLOOKUP(BL209,'ТН ВЭД'!$A$4:$C$40,3,0),""))</f>
        <v/>
      </c>
      <c r="BN209" s="7" t="str">
        <f aca="false">IF(COUNTIF(ЗАКАЗЫ!$F$3:$F$500,$A209)=0,"",SUMIF(ЗАКАЗЫ!$F$3:$F$500,$A209,ЗАКАЗЫ!$J$3:$J$500))</f>
        <v/>
      </c>
      <c r="BO209" s="7" t="str">
        <f aca="false">IF(BN209="","",SUMIF(ЗАКАЗЫ!$F$3:$F$500,$A209,ЗАКАЗЫ!$AL$3:$AL$500))</f>
        <v/>
      </c>
      <c r="BP209" s="7" t="str">
        <f aca="false">IF(BN209="","",BN209-BO209)</f>
        <v/>
      </c>
      <c r="BQ209" s="55" t="str">
        <f aca="false">IF(BN209="","",IF(BO209&gt;=BN209,"На складе",IF(BO209&gt;0,"Частично","Ждём")))</f>
        <v/>
      </c>
      <c r="BR209" s="43"/>
      <c r="BS209" s="47" t="str">
        <f aca="false">IF(BN209="","",IF(_xlfn.MAXIFS(ЗАКАЗЫ!$AK$3:$AK$500,ЗАКАЗЫ!$F$3:$F$500,$A209)=0,"",_xlfn.MAXIFS(ЗАКАЗЫ!$AK$3:$AK$500,ЗАКАЗЫ!$F$3:$F$500,$A209)))</f>
        <v/>
      </c>
    </row>
    <row r="210" customFormat="false" ht="15.75" hidden="false" customHeight="true" outlineLevel="0" collapsed="false">
      <c r="A210" s="80" t="s">
        <v>2404</v>
      </c>
      <c r="B210" s="81"/>
      <c r="C210" s="81"/>
      <c r="D210" s="81"/>
      <c r="E210" s="83"/>
      <c r="F210" s="81"/>
      <c r="G210" s="83"/>
      <c r="H210" s="83"/>
      <c r="I210" s="84" t="str">
        <f aca="false">IF(E210="","",A210&amp;"_1.jpg")</f>
        <v/>
      </c>
      <c r="J210" s="84" t="str">
        <f aca="false">IF(E210="","",A210&amp;"_2.jpg; "&amp;A210&amp;"_3.jpg")</f>
        <v/>
      </c>
      <c r="K210" s="84" t="str">
        <f aca="false">IF(E210="","",A210&amp;"_schema.jpg")</f>
        <v/>
      </c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 t="s">
        <v>96</v>
      </c>
      <c r="W210" s="81"/>
      <c r="X210" s="81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6" t="str">
        <f aca="false">IF(SUM(Y210:AJ210)=0,"",SUM(Y210:AJ210))</f>
        <v/>
      </c>
      <c r="AL210" s="84" t="str">
        <f aca="false">MID(IF(N(Y210)&gt;0,", "&amp;Y$2,"")&amp;IF(N(Z210)&gt;0,", "&amp;Z$2,"")&amp;IF(N(AA210)&gt;0,", "&amp;AA$2,"")&amp;IF(N(AB210)&gt;0,", "&amp;AB$2,"")&amp;IF(N(AC210)&gt;0,", "&amp;AC$2,"")&amp;IF(N(AD210)&gt;0,", "&amp;AD$2,"")&amp;IF(N(AE210)&gt;0,", "&amp;AE$2,"")&amp;IF(N(AF210)&gt;0,", "&amp;AF$2,"")&amp;IF(N(AG210)&gt;0,", "&amp;AG$2,"")&amp;IF(N(AH210)&gt;0,", "&amp;AH$2,"")&amp;IF(N(AI210)&gt;0,", "&amp;AI$2,"")&amp;IF(N(AJ210)&gt;0,", "&amp;AJ$2,""),3,999)</f>
        <v/>
      </c>
      <c r="AM210" s="87" t="str">
        <f aca="false">IF(E210="","",MID(IF(N(Y210)&gt;0,", "&amp;A210&amp;"-"&amp;Y$2,"")&amp;IF(N(Z210)&gt;0,", "&amp;A210&amp;"-"&amp;Z$2,"")&amp;IF(N(AA210)&gt;0,", "&amp;A210&amp;"-"&amp;AA$2,"")&amp;IF(N(AB210)&gt;0,", "&amp;A210&amp;"-"&amp;AB$2,"")&amp;IF(N(AC210)&gt;0,", "&amp;A210&amp;"-"&amp;AC$2,"")&amp;IF(N(AD210)&gt;0,", "&amp;A210&amp;"-"&amp;AD$2,"")&amp;IF(N(AE210)&gt;0,", "&amp;A210&amp;"-"&amp;AE$2,"")&amp;IF(N(AF210)&gt;0,", "&amp;A210&amp;"-"&amp;AF$2,"")&amp;IF(N(AG210)&gt;0,", "&amp;A210&amp;"-"&amp;AG$2,"")&amp;IF(N(AH210)&gt;0,", "&amp;A210&amp;"-"&amp;AH$2,"")&amp;IF(N(AI210)&gt;0,", "&amp;A210&amp;"-"&amp;AI$2,"")&amp;IF(N(AJ210)&gt;0,", "&amp;A210&amp;"-"&amp;AJ$2,""),3,999))</f>
        <v/>
      </c>
      <c r="AN210" s="81"/>
      <c r="AO210" s="88"/>
      <c r="AP210" s="89" t="str">
        <f aca="false">IF(AO210="","",ROUND(AO210/(1+Справочники!$B$13),2))</f>
        <v/>
      </c>
      <c r="AQ210" s="90" t="str">
        <f aca="false" t="array" ref="AQ210:AQ210">IF(AP210="","",AP210*INDEX(Справочники!$B$4:$B$7,MATCH("RUB",Справочники!$A$4:$A$7,0)))</f>
        <v/>
      </c>
      <c r="AR210" s="90" t="str">
        <f aca="false">IF(AQ210="","",ROUND(AQ210*(1+Справочники!$B$12),0))</f>
        <v/>
      </c>
      <c r="AS210" s="90" t="str">
        <f aca="false">IF(AR210="","",ROUND(AR210*(1-Справочники!$B$11),0))</f>
        <v/>
      </c>
      <c r="AT210" s="88"/>
      <c r="AU210" s="90" t="str">
        <f aca="false">IF(AT210="","",ROUND(AT210/(1+Справочники!$B$12),0))</f>
        <v/>
      </c>
      <c r="AV210" s="90" t="str">
        <f aca="false">IF(AT210="","",ROUND(AT210*(1-Справочники!$B$15),0))</f>
        <v/>
      </c>
      <c r="AW210" s="90" t="str">
        <f aca="false">IF(AT210="","",ROUND(AT210*(1-Справочники!$B$16),0))</f>
        <v/>
      </c>
      <c r="AX210" s="90" t="str">
        <f aca="false">IF(AT210="","",ROUND(AT210*(1-Справочники!$B$17),0))</f>
        <v/>
      </c>
      <c r="AY210" s="90" t="str">
        <f aca="false">IF(AT210="","",ROUND(AT210*(1-Справочники!$B$18),0))</f>
        <v/>
      </c>
      <c r="AZ210" s="90" t="str">
        <f aca="false">IF(AT210="","",ROUND(AT210*(1-Справочники!$B$19),0))</f>
        <v/>
      </c>
      <c r="BA210" s="81"/>
      <c r="BB210" s="81"/>
      <c r="BC210" s="81"/>
      <c r="BD210" s="81"/>
      <c r="BE210" s="91"/>
      <c r="BF210" s="81" t="s">
        <v>103</v>
      </c>
      <c r="BG210" s="89" t="n">
        <f aca="false" t="array" ref="BG210:BG210">IF(BF210="","",IFERROR(INDEX(Справочники!$B$4:$B$7,MATCH(BF210,Справочники!$A$4:$A$7,0)),""))</f>
        <v>68.5</v>
      </c>
      <c r="BH210" s="90" t="str">
        <f aca="false">IF(N(BN210)&gt;0,ROUND(SUMIF(ЗАКАЗЫ!$F$3:$F$500,$A210,ЗАКАЗЫ!$Y$3:$Y$500)/BN210,0),IF(OR(BE210="",BG210=""),"",ROUND(BE210*BG210*(1+Справочники!$B$10),0)))</f>
        <v/>
      </c>
      <c r="BI210" s="92" t="str">
        <f aca="false">IF(OR(AU210="",BH210="",AU210=0),"",(AU210-BH210)/AU210)</f>
        <v/>
      </c>
      <c r="BJ210" s="81"/>
      <c r="BK210" s="83"/>
      <c r="BL210" s="43" t="str">
        <f aca="false">IFERROR(INDEX(ЗАКАЗЫ!$N$3:$N$500,MATCH($A210,ЗАКАЗЫ!$F$3:$F$500,0)),"")</f>
        <v/>
      </c>
      <c r="BM210" s="8" t="str">
        <f aca="false">IF(BL210="","",IFERROR(VLOOKUP(BL210,'ТН ВЭД'!$A$4:$C$40,3,0),""))</f>
        <v/>
      </c>
      <c r="BN210" s="7" t="str">
        <f aca="false">IF(COUNTIF(ЗАКАЗЫ!$F$3:$F$500,$A210)=0,"",SUMIF(ЗАКАЗЫ!$F$3:$F$500,$A210,ЗАКАЗЫ!$J$3:$J$500))</f>
        <v/>
      </c>
      <c r="BO210" s="7" t="str">
        <f aca="false">IF(BN210="","",SUMIF(ЗАКАЗЫ!$F$3:$F$500,$A210,ЗАКАЗЫ!$AL$3:$AL$500))</f>
        <v/>
      </c>
      <c r="BP210" s="7" t="str">
        <f aca="false">IF(BN210="","",BN210-BO210)</f>
        <v/>
      </c>
      <c r="BQ210" s="55" t="str">
        <f aca="false">IF(BN210="","",IF(BO210&gt;=BN210,"На складе",IF(BO210&gt;0,"Частично","Ждём")))</f>
        <v/>
      </c>
      <c r="BR210" s="43"/>
      <c r="BS210" s="47" t="str">
        <f aca="false">IF(BN210="","",IF(_xlfn.MAXIFS(ЗАКАЗЫ!$AK$3:$AK$500,ЗАКАЗЫ!$F$3:$F$500,$A210)=0,"",_xlfn.MAXIFS(ЗАКАЗЫ!$AK$3:$AK$500,ЗАКАЗЫ!$F$3:$F$500,$A210)))</f>
        <v/>
      </c>
    </row>
    <row r="211" customFormat="false" ht="15.75" hidden="false" customHeight="true" outlineLevel="0" collapsed="false">
      <c r="A211" s="80" t="s">
        <v>2405</v>
      </c>
      <c r="B211" s="81"/>
      <c r="C211" s="81"/>
      <c r="D211" s="81"/>
      <c r="E211" s="83"/>
      <c r="F211" s="81"/>
      <c r="G211" s="83"/>
      <c r="H211" s="83"/>
      <c r="I211" s="84" t="str">
        <f aca="false">IF(E211="","",A211&amp;"_1.jpg")</f>
        <v/>
      </c>
      <c r="J211" s="84" t="str">
        <f aca="false">IF(E211="","",A211&amp;"_2.jpg; "&amp;A211&amp;"_3.jpg")</f>
        <v/>
      </c>
      <c r="K211" s="84" t="str">
        <f aca="false">IF(E211="","",A211&amp;"_schema.jpg")</f>
        <v/>
      </c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 t="s">
        <v>96</v>
      </c>
      <c r="W211" s="81"/>
      <c r="X211" s="81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6" t="str">
        <f aca="false">IF(SUM(Y211:AJ211)=0,"",SUM(Y211:AJ211))</f>
        <v/>
      </c>
      <c r="AL211" s="84" t="str">
        <f aca="false">MID(IF(N(Y211)&gt;0,", "&amp;Y$2,"")&amp;IF(N(Z211)&gt;0,", "&amp;Z$2,"")&amp;IF(N(AA211)&gt;0,", "&amp;AA$2,"")&amp;IF(N(AB211)&gt;0,", "&amp;AB$2,"")&amp;IF(N(AC211)&gt;0,", "&amp;AC$2,"")&amp;IF(N(AD211)&gt;0,", "&amp;AD$2,"")&amp;IF(N(AE211)&gt;0,", "&amp;AE$2,"")&amp;IF(N(AF211)&gt;0,", "&amp;AF$2,"")&amp;IF(N(AG211)&gt;0,", "&amp;AG$2,"")&amp;IF(N(AH211)&gt;0,", "&amp;AH$2,"")&amp;IF(N(AI211)&gt;0,", "&amp;AI$2,"")&amp;IF(N(AJ211)&gt;0,", "&amp;AJ$2,""),3,999)</f>
        <v/>
      </c>
      <c r="AM211" s="87" t="str">
        <f aca="false">IF(E211="","",MID(IF(N(Y211)&gt;0,", "&amp;A211&amp;"-"&amp;Y$2,"")&amp;IF(N(Z211)&gt;0,", "&amp;A211&amp;"-"&amp;Z$2,"")&amp;IF(N(AA211)&gt;0,", "&amp;A211&amp;"-"&amp;AA$2,"")&amp;IF(N(AB211)&gt;0,", "&amp;A211&amp;"-"&amp;AB$2,"")&amp;IF(N(AC211)&gt;0,", "&amp;A211&amp;"-"&amp;AC$2,"")&amp;IF(N(AD211)&gt;0,", "&amp;A211&amp;"-"&amp;AD$2,"")&amp;IF(N(AE211)&gt;0,", "&amp;A211&amp;"-"&amp;AE$2,"")&amp;IF(N(AF211)&gt;0,", "&amp;A211&amp;"-"&amp;AF$2,"")&amp;IF(N(AG211)&gt;0,", "&amp;A211&amp;"-"&amp;AG$2,"")&amp;IF(N(AH211)&gt;0,", "&amp;A211&amp;"-"&amp;AH$2,"")&amp;IF(N(AI211)&gt;0,", "&amp;A211&amp;"-"&amp;AI$2,"")&amp;IF(N(AJ211)&gt;0,", "&amp;A211&amp;"-"&amp;AJ$2,""),3,999))</f>
        <v/>
      </c>
      <c r="AN211" s="81"/>
      <c r="AO211" s="88"/>
      <c r="AP211" s="89" t="str">
        <f aca="false">IF(AO211="","",ROUND(AO211/(1+Справочники!$B$13),2))</f>
        <v/>
      </c>
      <c r="AQ211" s="90" t="str">
        <f aca="false" t="array" ref="AQ211:AQ211">IF(AP211="","",AP211*INDEX(Справочники!$B$4:$B$7,MATCH("RUB",Справочники!$A$4:$A$7,0)))</f>
        <v/>
      </c>
      <c r="AR211" s="90" t="str">
        <f aca="false">IF(AQ211="","",ROUND(AQ211*(1+Справочники!$B$12),0))</f>
        <v/>
      </c>
      <c r="AS211" s="90" t="str">
        <f aca="false">IF(AR211="","",ROUND(AR211*(1-Справочники!$B$11),0))</f>
        <v/>
      </c>
      <c r="AT211" s="88"/>
      <c r="AU211" s="90" t="str">
        <f aca="false">IF(AT211="","",ROUND(AT211/(1+Справочники!$B$12),0))</f>
        <v/>
      </c>
      <c r="AV211" s="90" t="str">
        <f aca="false">IF(AT211="","",ROUND(AT211*(1-Справочники!$B$15),0))</f>
        <v/>
      </c>
      <c r="AW211" s="90" t="str">
        <f aca="false">IF(AT211="","",ROUND(AT211*(1-Справочники!$B$16),0))</f>
        <v/>
      </c>
      <c r="AX211" s="90" t="str">
        <f aca="false">IF(AT211="","",ROUND(AT211*(1-Справочники!$B$17),0))</f>
        <v/>
      </c>
      <c r="AY211" s="90" t="str">
        <f aca="false">IF(AT211="","",ROUND(AT211*(1-Справочники!$B$18),0))</f>
        <v/>
      </c>
      <c r="AZ211" s="90" t="str">
        <f aca="false">IF(AT211="","",ROUND(AT211*(1-Справочники!$B$19),0))</f>
        <v/>
      </c>
      <c r="BA211" s="81"/>
      <c r="BB211" s="81"/>
      <c r="BC211" s="81"/>
      <c r="BD211" s="81"/>
      <c r="BE211" s="91"/>
      <c r="BF211" s="81" t="s">
        <v>103</v>
      </c>
      <c r="BG211" s="89" t="n">
        <f aca="false" t="array" ref="BG211:BG211">IF(BF211="","",IFERROR(INDEX(Справочники!$B$4:$B$7,MATCH(BF211,Справочники!$A$4:$A$7,0)),""))</f>
        <v>68.5</v>
      </c>
      <c r="BH211" s="90" t="str">
        <f aca="false">IF(N(BN211)&gt;0,ROUND(SUMIF(ЗАКАЗЫ!$F$3:$F$500,$A211,ЗАКАЗЫ!$Y$3:$Y$500)/BN211,0),IF(OR(BE211="",BG211=""),"",ROUND(BE211*BG211*(1+Справочники!$B$10),0)))</f>
        <v/>
      </c>
      <c r="BI211" s="92" t="str">
        <f aca="false">IF(OR(AU211="",BH211="",AU211=0),"",(AU211-BH211)/AU211)</f>
        <v/>
      </c>
      <c r="BJ211" s="81"/>
      <c r="BK211" s="83"/>
      <c r="BL211" s="43" t="str">
        <f aca="false">IFERROR(INDEX(ЗАКАЗЫ!$N$3:$N$500,MATCH($A211,ЗАКАЗЫ!$F$3:$F$500,0)),"")</f>
        <v/>
      </c>
      <c r="BM211" s="8" t="str">
        <f aca="false">IF(BL211="","",IFERROR(VLOOKUP(BL211,'ТН ВЭД'!$A$4:$C$40,3,0),""))</f>
        <v/>
      </c>
      <c r="BN211" s="7" t="str">
        <f aca="false">IF(COUNTIF(ЗАКАЗЫ!$F$3:$F$500,$A211)=0,"",SUMIF(ЗАКАЗЫ!$F$3:$F$500,$A211,ЗАКАЗЫ!$J$3:$J$500))</f>
        <v/>
      </c>
      <c r="BO211" s="7" t="str">
        <f aca="false">IF(BN211="","",SUMIF(ЗАКАЗЫ!$F$3:$F$500,$A211,ЗАКАЗЫ!$AL$3:$AL$500))</f>
        <v/>
      </c>
      <c r="BP211" s="7" t="str">
        <f aca="false">IF(BN211="","",BN211-BO211)</f>
        <v/>
      </c>
      <c r="BQ211" s="55" t="str">
        <f aca="false">IF(BN211="","",IF(BO211&gt;=BN211,"На складе",IF(BO211&gt;0,"Частично","Ждём")))</f>
        <v/>
      </c>
      <c r="BR211" s="43"/>
      <c r="BS211" s="47" t="str">
        <f aca="false">IF(BN211="","",IF(_xlfn.MAXIFS(ЗАКАЗЫ!$AK$3:$AK$500,ЗАКАЗЫ!$F$3:$F$500,$A211)=0,"",_xlfn.MAXIFS(ЗАКАЗЫ!$AK$3:$AK$500,ЗАКАЗЫ!$F$3:$F$500,$A211)))</f>
        <v/>
      </c>
    </row>
    <row r="212" customFormat="false" ht="15.75" hidden="false" customHeight="true" outlineLevel="0" collapsed="false">
      <c r="A212" s="80" t="s">
        <v>2406</v>
      </c>
      <c r="B212" s="81"/>
      <c r="C212" s="81"/>
      <c r="D212" s="81"/>
      <c r="E212" s="83"/>
      <c r="F212" s="81"/>
      <c r="G212" s="83"/>
      <c r="H212" s="83"/>
      <c r="I212" s="84" t="str">
        <f aca="false">IF(E212="","",A212&amp;"_1.jpg")</f>
        <v/>
      </c>
      <c r="J212" s="84" t="str">
        <f aca="false">IF(E212="","",A212&amp;"_2.jpg; "&amp;A212&amp;"_3.jpg")</f>
        <v/>
      </c>
      <c r="K212" s="84" t="str">
        <f aca="false">IF(E212="","",A212&amp;"_schema.jpg")</f>
        <v/>
      </c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 t="s">
        <v>96</v>
      </c>
      <c r="W212" s="81"/>
      <c r="X212" s="81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6" t="str">
        <f aca="false">IF(SUM(Y212:AJ212)=0,"",SUM(Y212:AJ212))</f>
        <v/>
      </c>
      <c r="AL212" s="84" t="str">
        <f aca="false">MID(IF(N(Y212)&gt;0,", "&amp;Y$2,"")&amp;IF(N(Z212)&gt;0,", "&amp;Z$2,"")&amp;IF(N(AA212)&gt;0,", "&amp;AA$2,"")&amp;IF(N(AB212)&gt;0,", "&amp;AB$2,"")&amp;IF(N(AC212)&gt;0,", "&amp;AC$2,"")&amp;IF(N(AD212)&gt;0,", "&amp;AD$2,"")&amp;IF(N(AE212)&gt;0,", "&amp;AE$2,"")&amp;IF(N(AF212)&gt;0,", "&amp;AF$2,"")&amp;IF(N(AG212)&gt;0,", "&amp;AG$2,"")&amp;IF(N(AH212)&gt;0,", "&amp;AH$2,"")&amp;IF(N(AI212)&gt;0,", "&amp;AI$2,"")&amp;IF(N(AJ212)&gt;0,", "&amp;AJ$2,""),3,999)</f>
        <v/>
      </c>
      <c r="AM212" s="87" t="str">
        <f aca="false">IF(E212="","",MID(IF(N(Y212)&gt;0,", "&amp;A212&amp;"-"&amp;Y$2,"")&amp;IF(N(Z212)&gt;0,", "&amp;A212&amp;"-"&amp;Z$2,"")&amp;IF(N(AA212)&gt;0,", "&amp;A212&amp;"-"&amp;AA$2,"")&amp;IF(N(AB212)&gt;0,", "&amp;A212&amp;"-"&amp;AB$2,"")&amp;IF(N(AC212)&gt;0,", "&amp;A212&amp;"-"&amp;AC$2,"")&amp;IF(N(AD212)&gt;0,", "&amp;A212&amp;"-"&amp;AD$2,"")&amp;IF(N(AE212)&gt;0,", "&amp;A212&amp;"-"&amp;AE$2,"")&amp;IF(N(AF212)&gt;0,", "&amp;A212&amp;"-"&amp;AF$2,"")&amp;IF(N(AG212)&gt;0,", "&amp;A212&amp;"-"&amp;AG$2,"")&amp;IF(N(AH212)&gt;0,", "&amp;A212&amp;"-"&amp;AH$2,"")&amp;IF(N(AI212)&gt;0,", "&amp;A212&amp;"-"&amp;AI$2,"")&amp;IF(N(AJ212)&gt;0,", "&amp;A212&amp;"-"&amp;AJ$2,""),3,999))</f>
        <v/>
      </c>
      <c r="AN212" s="81"/>
      <c r="AO212" s="88"/>
      <c r="AP212" s="89" t="str">
        <f aca="false">IF(AO212="","",ROUND(AO212/(1+Справочники!$B$13),2))</f>
        <v/>
      </c>
      <c r="AQ212" s="90" t="str">
        <f aca="false" t="array" ref="AQ212:AQ212">IF(AP212="","",AP212*INDEX(Справочники!$B$4:$B$7,MATCH("RUB",Справочники!$A$4:$A$7,0)))</f>
        <v/>
      </c>
      <c r="AR212" s="90" t="str">
        <f aca="false">IF(AQ212="","",ROUND(AQ212*(1+Справочники!$B$12),0))</f>
        <v/>
      </c>
      <c r="AS212" s="90" t="str">
        <f aca="false">IF(AR212="","",ROUND(AR212*(1-Справочники!$B$11),0))</f>
        <v/>
      </c>
      <c r="AT212" s="88"/>
      <c r="AU212" s="90" t="str">
        <f aca="false">IF(AT212="","",ROUND(AT212/(1+Справочники!$B$12),0))</f>
        <v/>
      </c>
      <c r="AV212" s="90" t="str">
        <f aca="false">IF(AT212="","",ROUND(AT212*(1-Справочники!$B$15),0))</f>
        <v/>
      </c>
      <c r="AW212" s="90" t="str">
        <f aca="false">IF(AT212="","",ROUND(AT212*(1-Справочники!$B$16),0))</f>
        <v/>
      </c>
      <c r="AX212" s="90" t="str">
        <f aca="false">IF(AT212="","",ROUND(AT212*(1-Справочники!$B$17),0))</f>
        <v/>
      </c>
      <c r="AY212" s="90" t="str">
        <f aca="false">IF(AT212="","",ROUND(AT212*(1-Справочники!$B$18),0))</f>
        <v/>
      </c>
      <c r="AZ212" s="90" t="str">
        <f aca="false">IF(AT212="","",ROUND(AT212*(1-Справочники!$B$19),0))</f>
        <v/>
      </c>
      <c r="BA212" s="81"/>
      <c r="BB212" s="81"/>
      <c r="BC212" s="81"/>
      <c r="BD212" s="81"/>
      <c r="BE212" s="91"/>
      <c r="BF212" s="81" t="s">
        <v>103</v>
      </c>
      <c r="BG212" s="89" t="n">
        <f aca="false" t="array" ref="BG212:BG212">IF(BF212="","",IFERROR(INDEX(Справочники!$B$4:$B$7,MATCH(BF212,Справочники!$A$4:$A$7,0)),""))</f>
        <v>68.5</v>
      </c>
      <c r="BH212" s="90" t="str">
        <f aca="false">IF(N(BN212)&gt;0,ROUND(SUMIF(ЗАКАЗЫ!$F$3:$F$500,$A212,ЗАКАЗЫ!$Y$3:$Y$500)/BN212,0),IF(OR(BE212="",BG212=""),"",ROUND(BE212*BG212*(1+Справочники!$B$10),0)))</f>
        <v/>
      </c>
      <c r="BI212" s="92" t="str">
        <f aca="false">IF(OR(AU212="",BH212="",AU212=0),"",(AU212-BH212)/AU212)</f>
        <v/>
      </c>
      <c r="BJ212" s="81"/>
      <c r="BK212" s="83"/>
      <c r="BL212" s="43" t="str">
        <f aca="false">IFERROR(INDEX(ЗАКАЗЫ!$N$3:$N$500,MATCH($A212,ЗАКАЗЫ!$F$3:$F$500,0)),"")</f>
        <v/>
      </c>
      <c r="BM212" s="8" t="str">
        <f aca="false">IF(BL212="","",IFERROR(VLOOKUP(BL212,'ТН ВЭД'!$A$4:$C$40,3,0),""))</f>
        <v/>
      </c>
      <c r="BN212" s="7" t="str">
        <f aca="false">IF(COUNTIF(ЗАКАЗЫ!$F$3:$F$500,$A212)=0,"",SUMIF(ЗАКАЗЫ!$F$3:$F$500,$A212,ЗАКАЗЫ!$J$3:$J$500))</f>
        <v/>
      </c>
      <c r="BO212" s="7" t="str">
        <f aca="false">IF(BN212="","",SUMIF(ЗАКАЗЫ!$F$3:$F$500,$A212,ЗАКАЗЫ!$AL$3:$AL$500))</f>
        <v/>
      </c>
      <c r="BP212" s="7" t="str">
        <f aca="false">IF(BN212="","",BN212-BO212)</f>
        <v/>
      </c>
      <c r="BQ212" s="55" t="str">
        <f aca="false">IF(BN212="","",IF(BO212&gt;=BN212,"На складе",IF(BO212&gt;0,"Частично","Ждём")))</f>
        <v/>
      </c>
      <c r="BR212" s="43"/>
      <c r="BS212" s="47" t="str">
        <f aca="false">IF(BN212="","",IF(_xlfn.MAXIFS(ЗАКАЗЫ!$AK$3:$AK$500,ЗАКАЗЫ!$F$3:$F$500,$A212)=0,"",_xlfn.MAXIFS(ЗАКАЗЫ!$AK$3:$AK$500,ЗАКАЗЫ!$F$3:$F$500,$A212)))</f>
        <v/>
      </c>
    </row>
    <row r="213" customFormat="false" ht="15.75" hidden="false" customHeight="true" outlineLevel="0" collapsed="false">
      <c r="A213" s="80" t="s">
        <v>2407</v>
      </c>
      <c r="B213" s="81"/>
      <c r="C213" s="81"/>
      <c r="D213" s="81"/>
      <c r="E213" s="83"/>
      <c r="F213" s="81"/>
      <c r="G213" s="83"/>
      <c r="H213" s="83"/>
      <c r="I213" s="84" t="str">
        <f aca="false">IF(E213="","",A213&amp;"_1.jpg")</f>
        <v/>
      </c>
      <c r="J213" s="84" t="str">
        <f aca="false">IF(E213="","",A213&amp;"_2.jpg; "&amp;A213&amp;"_3.jpg")</f>
        <v/>
      </c>
      <c r="K213" s="84" t="str">
        <f aca="false">IF(E213="","",A213&amp;"_schema.jpg")</f>
        <v/>
      </c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 t="s">
        <v>96</v>
      </c>
      <c r="W213" s="81"/>
      <c r="X213" s="81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6" t="str">
        <f aca="false">IF(SUM(Y213:AJ213)=0,"",SUM(Y213:AJ213))</f>
        <v/>
      </c>
      <c r="AL213" s="84" t="str">
        <f aca="false">MID(IF(N(Y213)&gt;0,", "&amp;Y$2,"")&amp;IF(N(Z213)&gt;0,", "&amp;Z$2,"")&amp;IF(N(AA213)&gt;0,", "&amp;AA$2,"")&amp;IF(N(AB213)&gt;0,", "&amp;AB$2,"")&amp;IF(N(AC213)&gt;0,", "&amp;AC$2,"")&amp;IF(N(AD213)&gt;0,", "&amp;AD$2,"")&amp;IF(N(AE213)&gt;0,", "&amp;AE$2,"")&amp;IF(N(AF213)&gt;0,", "&amp;AF$2,"")&amp;IF(N(AG213)&gt;0,", "&amp;AG$2,"")&amp;IF(N(AH213)&gt;0,", "&amp;AH$2,"")&amp;IF(N(AI213)&gt;0,", "&amp;AI$2,"")&amp;IF(N(AJ213)&gt;0,", "&amp;AJ$2,""),3,999)</f>
        <v/>
      </c>
      <c r="AM213" s="87" t="str">
        <f aca="false">IF(E213="","",MID(IF(N(Y213)&gt;0,", "&amp;A213&amp;"-"&amp;Y$2,"")&amp;IF(N(Z213)&gt;0,", "&amp;A213&amp;"-"&amp;Z$2,"")&amp;IF(N(AA213)&gt;0,", "&amp;A213&amp;"-"&amp;AA$2,"")&amp;IF(N(AB213)&gt;0,", "&amp;A213&amp;"-"&amp;AB$2,"")&amp;IF(N(AC213)&gt;0,", "&amp;A213&amp;"-"&amp;AC$2,"")&amp;IF(N(AD213)&gt;0,", "&amp;A213&amp;"-"&amp;AD$2,"")&amp;IF(N(AE213)&gt;0,", "&amp;A213&amp;"-"&amp;AE$2,"")&amp;IF(N(AF213)&gt;0,", "&amp;A213&amp;"-"&amp;AF$2,"")&amp;IF(N(AG213)&gt;0,", "&amp;A213&amp;"-"&amp;AG$2,"")&amp;IF(N(AH213)&gt;0,", "&amp;A213&amp;"-"&amp;AH$2,"")&amp;IF(N(AI213)&gt;0,", "&amp;A213&amp;"-"&amp;AI$2,"")&amp;IF(N(AJ213)&gt;0,", "&amp;A213&amp;"-"&amp;AJ$2,""),3,999))</f>
        <v/>
      </c>
      <c r="AN213" s="81"/>
      <c r="AO213" s="88"/>
      <c r="AP213" s="89" t="str">
        <f aca="false">IF(AO213="","",ROUND(AO213/(1+Справочники!$B$13),2))</f>
        <v/>
      </c>
      <c r="AQ213" s="90" t="str">
        <f aca="false" t="array" ref="AQ213:AQ213">IF(AP213="","",AP213*INDEX(Справочники!$B$4:$B$7,MATCH("RUB",Справочники!$A$4:$A$7,0)))</f>
        <v/>
      </c>
      <c r="AR213" s="90" t="str">
        <f aca="false">IF(AQ213="","",ROUND(AQ213*(1+Справочники!$B$12),0))</f>
        <v/>
      </c>
      <c r="AS213" s="90" t="str">
        <f aca="false">IF(AR213="","",ROUND(AR213*(1-Справочники!$B$11),0))</f>
        <v/>
      </c>
      <c r="AT213" s="88"/>
      <c r="AU213" s="90" t="str">
        <f aca="false">IF(AT213="","",ROUND(AT213/(1+Справочники!$B$12),0))</f>
        <v/>
      </c>
      <c r="AV213" s="90" t="str">
        <f aca="false">IF(AT213="","",ROUND(AT213*(1-Справочники!$B$15),0))</f>
        <v/>
      </c>
      <c r="AW213" s="90" t="str">
        <f aca="false">IF(AT213="","",ROUND(AT213*(1-Справочники!$B$16),0))</f>
        <v/>
      </c>
      <c r="AX213" s="90" t="str">
        <f aca="false">IF(AT213="","",ROUND(AT213*(1-Справочники!$B$17),0))</f>
        <v/>
      </c>
      <c r="AY213" s="90" t="str">
        <f aca="false">IF(AT213="","",ROUND(AT213*(1-Справочники!$B$18),0))</f>
        <v/>
      </c>
      <c r="AZ213" s="90" t="str">
        <f aca="false">IF(AT213="","",ROUND(AT213*(1-Справочники!$B$19),0))</f>
        <v/>
      </c>
      <c r="BA213" s="81"/>
      <c r="BB213" s="81"/>
      <c r="BC213" s="81"/>
      <c r="BD213" s="81"/>
      <c r="BE213" s="91"/>
      <c r="BF213" s="81" t="s">
        <v>103</v>
      </c>
      <c r="BG213" s="89" t="n">
        <f aca="false" t="array" ref="BG213:BG213">IF(BF213="","",IFERROR(INDEX(Справочники!$B$4:$B$7,MATCH(BF213,Справочники!$A$4:$A$7,0)),""))</f>
        <v>68.5</v>
      </c>
      <c r="BH213" s="90" t="str">
        <f aca="false">IF(N(BN213)&gt;0,ROUND(SUMIF(ЗАКАЗЫ!$F$3:$F$500,$A213,ЗАКАЗЫ!$Y$3:$Y$500)/BN213,0),IF(OR(BE213="",BG213=""),"",ROUND(BE213*BG213*(1+Справочники!$B$10),0)))</f>
        <v/>
      </c>
      <c r="BI213" s="92" t="str">
        <f aca="false">IF(OR(AU213="",BH213="",AU213=0),"",(AU213-BH213)/AU213)</f>
        <v/>
      </c>
      <c r="BJ213" s="81"/>
      <c r="BK213" s="83"/>
      <c r="BL213" s="43" t="str">
        <f aca="false">IFERROR(INDEX(ЗАКАЗЫ!$N$3:$N$500,MATCH($A213,ЗАКАЗЫ!$F$3:$F$500,0)),"")</f>
        <v/>
      </c>
      <c r="BM213" s="8" t="str">
        <f aca="false">IF(BL213="","",IFERROR(VLOOKUP(BL213,'ТН ВЭД'!$A$4:$C$40,3,0),""))</f>
        <v/>
      </c>
      <c r="BN213" s="7" t="str">
        <f aca="false">IF(COUNTIF(ЗАКАЗЫ!$F$3:$F$500,$A213)=0,"",SUMIF(ЗАКАЗЫ!$F$3:$F$500,$A213,ЗАКАЗЫ!$J$3:$J$500))</f>
        <v/>
      </c>
      <c r="BO213" s="7" t="str">
        <f aca="false">IF(BN213="","",SUMIF(ЗАКАЗЫ!$F$3:$F$500,$A213,ЗАКАЗЫ!$AL$3:$AL$500))</f>
        <v/>
      </c>
      <c r="BP213" s="7" t="str">
        <f aca="false">IF(BN213="","",BN213-BO213)</f>
        <v/>
      </c>
      <c r="BQ213" s="55" t="str">
        <f aca="false">IF(BN213="","",IF(BO213&gt;=BN213,"На складе",IF(BO213&gt;0,"Частично","Ждём")))</f>
        <v/>
      </c>
      <c r="BR213" s="43"/>
      <c r="BS213" s="47" t="str">
        <f aca="false">IF(BN213="","",IF(_xlfn.MAXIFS(ЗАКАЗЫ!$AK$3:$AK$500,ЗАКАЗЫ!$F$3:$F$500,$A213)=0,"",_xlfn.MAXIFS(ЗАКАЗЫ!$AK$3:$AK$500,ЗАКАЗЫ!$F$3:$F$500,$A213)))</f>
        <v/>
      </c>
    </row>
    <row r="214" customFormat="false" ht="15.75" hidden="false" customHeight="true" outlineLevel="0" collapsed="false">
      <c r="A214" s="80" t="s">
        <v>2408</v>
      </c>
      <c r="B214" s="81"/>
      <c r="C214" s="81"/>
      <c r="D214" s="81"/>
      <c r="E214" s="83"/>
      <c r="F214" s="81"/>
      <c r="G214" s="83"/>
      <c r="H214" s="83"/>
      <c r="I214" s="84" t="str">
        <f aca="false">IF(E214="","",A214&amp;"_1.jpg")</f>
        <v/>
      </c>
      <c r="J214" s="84" t="str">
        <f aca="false">IF(E214="","",A214&amp;"_2.jpg; "&amp;A214&amp;"_3.jpg")</f>
        <v/>
      </c>
      <c r="K214" s="84" t="str">
        <f aca="false">IF(E214="","",A214&amp;"_schema.jpg")</f>
        <v/>
      </c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 t="s">
        <v>96</v>
      </c>
      <c r="W214" s="81"/>
      <c r="X214" s="81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6" t="str">
        <f aca="false">IF(SUM(Y214:AJ214)=0,"",SUM(Y214:AJ214))</f>
        <v/>
      </c>
      <c r="AL214" s="84" t="str">
        <f aca="false">MID(IF(N(Y214)&gt;0,", "&amp;Y$2,"")&amp;IF(N(Z214)&gt;0,", "&amp;Z$2,"")&amp;IF(N(AA214)&gt;0,", "&amp;AA$2,"")&amp;IF(N(AB214)&gt;0,", "&amp;AB$2,"")&amp;IF(N(AC214)&gt;0,", "&amp;AC$2,"")&amp;IF(N(AD214)&gt;0,", "&amp;AD$2,"")&amp;IF(N(AE214)&gt;0,", "&amp;AE$2,"")&amp;IF(N(AF214)&gt;0,", "&amp;AF$2,"")&amp;IF(N(AG214)&gt;0,", "&amp;AG$2,"")&amp;IF(N(AH214)&gt;0,", "&amp;AH$2,"")&amp;IF(N(AI214)&gt;0,", "&amp;AI$2,"")&amp;IF(N(AJ214)&gt;0,", "&amp;AJ$2,""),3,999)</f>
        <v/>
      </c>
      <c r="AM214" s="87" t="str">
        <f aca="false">IF(E214="","",MID(IF(N(Y214)&gt;0,", "&amp;A214&amp;"-"&amp;Y$2,"")&amp;IF(N(Z214)&gt;0,", "&amp;A214&amp;"-"&amp;Z$2,"")&amp;IF(N(AA214)&gt;0,", "&amp;A214&amp;"-"&amp;AA$2,"")&amp;IF(N(AB214)&gt;0,", "&amp;A214&amp;"-"&amp;AB$2,"")&amp;IF(N(AC214)&gt;0,", "&amp;A214&amp;"-"&amp;AC$2,"")&amp;IF(N(AD214)&gt;0,", "&amp;A214&amp;"-"&amp;AD$2,"")&amp;IF(N(AE214)&gt;0,", "&amp;A214&amp;"-"&amp;AE$2,"")&amp;IF(N(AF214)&gt;0,", "&amp;A214&amp;"-"&amp;AF$2,"")&amp;IF(N(AG214)&gt;0,", "&amp;A214&amp;"-"&amp;AG$2,"")&amp;IF(N(AH214)&gt;0,", "&amp;A214&amp;"-"&amp;AH$2,"")&amp;IF(N(AI214)&gt;0,", "&amp;A214&amp;"-"&amp;AI$2,"")&amp;IF(N(AJ214)&gt;0,", "&amp;A214&amp;"-"&amp;AJ$2,""),3,999))</f>
        <v/>
      </c>
      <c r="AN214" s="81"/>
      <c r="AO214" s="88"/>
      <c r="AP214" s="89" t="str">
        <f aca="false">IF(AO214="","",ROUND(AO214/(1+Справочники!$B$13),2))</f>
        <v/>
      </c>
      <c r="AQ214" s="90" t="str">
        <f aca="false" t="array" ref="AQ214:AQ214">IF(AP214="","",AP214*INDEX(Справочники!$B$4:$B$7,MATCH("RUB",Справочники!$A$4:$A$7,0)))</f>
        <v/>
      </c>
      <c r="AR214" s="90" t="str">
        <f aca="false">IF(AQ214="","",ROUND(AQ214*(1+Справочники!$B$12),0))</f>
        <v/>
      </c>
      <c r="AS214" s="90" t="str">
        <f aca="false">IF(AR214="","",ROUND(AR214*(1-Справочники!$B$11),0))</f>
        <v/>
      </c>
      <c r="AT214" s="88"/>
      <c r="AU214" s="90" t="str">
        <f aca="false">IF(AT214="","",ROUND(AT214/(1+Справочники!$B$12),0))</f>
        <v/>
      </c>
      <c r="AV214" s="90" t="str">
        <f aca="false">IF(AT214="","",ROUND(AT214*(1-Справочники!$B$15),0))</f>
        <v/>
      </c>
      <c r="AW214" s="90" t="str">
        <f aca="false">IF(AT214="","",ROUND(AT214*(1-Справочники!$B$16),0))</f>
        <v/>
      </c>
      <c r="AX214" s="90" t="str">
        <f aca="false">IF(AT214="","",ROUND(AT214*(1-Справочники!$B$17),0))</f>
        <v/>
      </c>
      <c r="AY214" s="90" t="str">
        <f aca="false">IF(AT214="","",ROUND(AT214*(1-Справочники!$B$18),0))</f>
        <v/>
      </c>
      <c r="AZ214" s="90" t="str">
        <f aca="false">IF(AT214="","",ROUND(AT214*(1-Справочники!$B$19),0))</f>
        <v/>
      </c>
      <c r="BA214" s="81"/>
      <c r="BB214" s="81"/>
      <c r="BC214" s="81"/>
      <c r="BD214" s="81"/>
      <c r="BE214" s="91"/>
      <c r="BF214" s="81" t="s">
        <v>103</v>
      </c>
      <c r="BG214" s="89" t="n">
        <f aca="false" t="array" ref="BG214:BG214">IF(BF214="","",IFERROR(INDEX(Справочники!$B$4:$B$7,MATCH(BF214,Справочники!$A$4:$A$7,0)),""))</f>
        <v>68.5</v>
      </c>
      <c r="BH214" s="90" t="str">
        <f aca="false">IF(N(BN214)&gt;0,ROUND(SUMIF(ЗАКАЗЫ!$F$3:$F$500,$A214,ЗАКАЗЫ!$Y$3:$Y$500)/BN214,0),IF(OR(BE214="",BG214=""),"",ROUND(BE214*BG214*(1+Справочники!$B$10),0)))</f>
        <v/>
      </c>
      <c r="BI214" s="92" t="str">
        <f aca="false">IF(OR(AU214="",BH214="",AU214=0),"",(AU214-BH214)/AU214)</f>
        <v/>
      </c>
      <c r="BJ214" s="81"/>
      <c r="BK214" s="83"/>
      <c r="BL214" s="43" t="str">
        <f aca="false">IFERROR(INDEX(ЗАКАЗЫ!$N$3:$N$500,MATCH($A214,ЗАКАЗЫ!$F$3:$F$500,0)),"")</f>
        <v/>
      </c>
      <c r="BM214" s="8" t="str">
        <f aca="false">IF(BL214="","",IFERROR(VLOOKUP(BL214,'ТН ВЭД'!$A$4:$C$40,3,0),""))</f>
        <v/>
      </c>
      <c r="BN214" s="7" t="str">
        <f aca="false">IF(COUNTIF(ЗАКАЗЫ!$F$3:$F$500,$A214)=0,"",SUMIF(ЗАКАЗЫ!$F$3:$F$500,$A214,ЗАКАЗЫ!$J$3:$J$500))</f>
        <v/>
      </c>
      <c r="BO214" s="7" t="str">
        <f aca="false">IF(BN214="","",SUMIF(ЗАКАЗЫ!$F$3:$F$500,$A214,ЗАКАЗЫ!$AL$3:$AL$500))</f>
        <v/>
      </c>
      <c r="BP214" s="7" t="str">
        <f aca="false">IF(BN214="","",BN214-BO214)</f>
        <v/>
      </c>
      <c r="BQ214" s="55" t="str">
        <f aca="false">IF(BN214="","",IF(BO214&gt;=BN214,"На складе",IF(BO214&gt;0,"Частично","Ждём")))</f>
        <v/>
      </c>
      <c r="BR214" s="43"/>
      <c r="BS214" s="47" t="str">
        <f aca="false">IF(BN214="","",IF(_xlfn.MAXIFS(ЗАКАЗЫ!$AK$3:$AK$500,ЗАКАЗЫ!$F$3:$F$500,$A214)=0,"",_xlfn.MAXIFS(ЗАКАЗЫ!$AK$3:$AK$500,ЗАКАЗЫ!$F$3:$F$500,$A214)))</f>
        <v/>
      </c>
    </row>
    <row r="215" customFormat="false" ht="15.75" hidden="false" customHeight="true" outlineLevel="0" collapsed="false">
      <c r="A215" s="80" t="s">
        <v>2409</v>
      </c>
      <c r="B215" s="81"/>
      <c r="C215" s="81"/>
      <c r="D215" s="81"/>
      <c r="E215" s="83"/>
      <c r="F215" s="81"/>
      <c r="G215" s="83"/>
      <c r="H215" s="83"/>
      <c r="I215" s="84" t="str">
        <f aca="false">IF(E215="","",A215&amp;"_1.jpg")</f>
        <v/>
      </c>
      <c r="J215" s="84" t="str">
        <f aca="false">IF(E215="","",A215&amp;"_2.jpg; "&amp;A215&amp;"_3.jpg")</f>
        <v/>
      </c>
      <c r="K215" s="84" t="str">
        <f aca="false">IF(E215="","",A215&amp;"_schema.jpg")</f>
        <v/>
      </c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 t="s">
        <v>96</v>
      </c>
      <c r="W215" s="81"/>
      <c r="X215" s="81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6" t="str">
        <f aca="false">IF(SUM(Y215:AJ215)=0,"",SUM(Y215:AJ215))</f>
        <v/>
      </c>
      <c r="AL215" s="84" t="str">
        <f aca="false">MID(IF(N(Y215)&gt;0,", "&amp;Y$2,"")&amp;IF(N(Z215)&gt;0,", "&amp;Z$2,"")&amp;IF(N(AA215)&gt;0,", "&amp;AA$2,"")&amp;IF(N(AB215)&gt;0,", "&amp;AB$2,"")&amp;IF(N(AC215)&gt;0,", "&amp;AC$2,"")&amp;IF(N(AD215)&gt;0,", "&amp;AD$2,"")&amp;IF(N(AE215)&gt;0,", "&amp;AE$2,"")&amp;IF(N(AF215)&gt;0,", "&amp;AF$2,"")&amp;IF(N(AG215)&gt;0,", "&amp;AG$2,"")&amp;IF(N(AH215)&gt;0,", "&amp;AH$2,"")&amp;IF(N(AI215)&gt;0,", "&amp;AI$2,"")&amp;IF(N(AJ215)&gt;0,", "&amp;AJ$2,""),3,999)</f>
        <v/>
      </c>
      <c r="AM215" s="87" t="str">
        <f aca="false">IF(E215="","",MID(IF(N(Y215)&gt;0,", "&amp;A215&amp;"-"&amp;Y$2,"")&amp;IF(N(Z215)&gt;0,", "&amp;A215&amp;"-"&amp;Z$2,"")&amp;IF(N(AA215)&gt;0,", "&amp;A215&amp;"-"&amp;AA$2,"")&amp;IF(N(AB215)&gt;0,", "&amp;A215&amp;"-"&amp;AB$2,"")&amp;IF(N(AC215)&gt;0,", "&amp;A215&amp;"-"&amp;AC$2,"")&amp;IF(N(AD215)&gt;0,", "&amp;A215&amp;"-"&amp;AD$2,"")&amp;IF(N(AE215)&gt;0,", "&amp;A215&amp;"-"&amp;AE$2,"")&amp;IF(N(AF215)&gt;0,", "&amp;A215&amp;"-"&amp;AF$2,"")&amp;IF(N(AG215)&gt;0,", "&amp;A215&amp;"-"&amp;AG$2,"")&amp;IF(N(AH215)&gt;0,", "&amp;A215&amp;"-"&amp;AH$2,"")&amp;IF(N(AI215)&gt;0,", "&amp;A215&amp;"-"&amp;AI$2,"")&amp;IF(N(AJ215)&gt;0,", "&amp;A215&amp;"-"&amp;AJ$2,""),3,999))</f>
        <v/>
      </c>
      <c r="AN215" s="81"/>
      <c r="AO215" s="88"/>
      <c r="AP215" s="89" t="str">
        <f aca="false">IF(AO215="","",ROUND(AO215/(1+Справочники!$B$13),2))</f>
        <v/>
      </c>
      <c r="AQ215" s="90" t="str">
        <f aca="false" t="array" ref="AQ215:AQ215">IF(AP215="","",AP215*INDEX(Справочники!$B$4:$B$7,MATCH("RUB",Справочники!$A$4:$A$7,0)))</f>
        <v/>
      </c>
      <c r="AR215" s="90" t="str">
        <f aca="false">IF(AQ215="","",ROUND(AQ215*(1+Справочники!$B$12),0))</f>
        <v/>
      </c>
      <c r="AS215" s="90" t="str">
        <f aca="false">IF(AR215="","",ROUND(AR215*(1-Справочники!$B$11),0))</f>
        <v/>
      </c>
      <c r="AT215" s="88"/>
      <c r="AU215" s="90" t="str">
        <f aca="false">IF(AT215="","",ROUND(AT215/(1+Справочники!$B$12),0))</f>
        <v/>
      </c>
      <c r="AV215" s="90" t="str">
        <f aca="false">IF(AT215="","",ROUND(AT215*(1-Справочники!$B$15),0))</f>
        <v/>
      </c>
      <c r="AW215" s="90" t="str">
        <f aca="false">IF(AT215="","",ROUND(AT215*(1-Справочники!$B$16),0))</f>
        <v/>
      </c>
      <c r="AX215" s="90" t="str">
        <f aca="false">IF(AT215="","",ROUND(AT215*(1-Справочники!$B$17),0))</f>
        <v/>
      </c>
      <c r="AY215" s="90" t="str">
        <f aca="false">IF(AT215="","",ROUND(AT215*(1-Справочники!$B$18),0))</f>
        <v/>
      </c>
      <c r="AZ215" s="90" t="str">
        <f aca="false">IF(AT215="","",ROUND(AT215*(1-Справочники!$B$19),0))</f>
        <v/>
      </c>
      <c r="BA215" s="81"/>
      <c r="BB215" s="81"/>
      <c r="BC215" s="81"/>
      <c r="BD215" s="81"/>
      <c r="BE215" s="91"/>
      <c r="BF215" s="81" t="s">
        <v>103</v>
      </c>
      <c r="BG215" s="89" t="n">
        <f aca="false" t="array" ref="BG215:BG215">IF(BF215="","",IFERROR(INDEX(Справочники!$B$4:$B$7,MATCH(BF215,Справочники!$A$4:$A$7,0)),""))</f>
        <v>68.5</v>
      </c>
      <c r="BH215" s="90" t="str">
        <f aca="false">IF(N(BN215)&gt;0,ROUND(SUMIF(ЗАКАЗЫ!$F$3:$F$500,$A215,ЗАКАЗЫ!$Y$3:$Y$500)/BN215,0),IF(OR(BE215="",BG215=""),"",ROUND(BE215*BG215*(1+Справочники!$B$10),0)))</f>
        <v/>
      </c>
      <c r="BI215" s="92" t="str">
        <f aca="false">IF(OR(AU215="",BH215="",AU215=0),"",(AU215-BH215)/AU215)</f>
        <v/>
      </c>
      <c r="BJ215" s="81"/>
      <c r="BK215" s="83"/>
      <c r="BL215" s="43" t="str">
        <f aca="false">IFERROR(INDEX(ЗАКАЗЫ!$N$3:$N$500,MATCH($A215,ЗАКАЗЫ!$F$3:$F$500,0)),"")</f>
        <v/>
      </c>
      <c r="BM215" s="8" t="str">
        <f aca="false">IF(BL215="","",IFERROR(VLOOKUP(BL215,'ТН ВЭД'!$A$4:$C$40,3,0),""))</f>
        <v/>
      </c>
      <c r="BN215" s="7" t="str">
        <f aca="false">IF(COUNTIF(ЗАКАЗЫ!$F$3:$F$500,$A215)=0,"",SUMIF(ЗАКАЗЫ!$F$3:$F$500,$A215,ЗАКАЗЫ!$J$3:$J$500))</f>
        <v/>
      </c>
      <c r="BO215" s="7" t="str">
        <f aca="false">IF(BN215="","",SUMIF(ЗАКАЗЫ!$F$3:$F$500,$A215,ЗАКАЗЫ!$AL$3:$AL$500))</f>
        <v/>
      </c>
      <c r="BP215" s="7" t="str">
        <f aca="false">IF(BN215="","",BN215-BO215)</f>
        <v/>
      </c>
      <c r="BQ215" s="55" t="str">
        <f aca="false">IF(BN215="","",IF(BO215&gt;=BN215,"На складе",IF(BO215&gt;0,"Частично","Ждём")))</f>
        <v/>
      </c>
      <c r="BR215" s="43"/>
      <c r="BS215" s="47" t="str">
        <f aca="false">IF(BN215="","",IF(_xlfn.MAXIFS(ЗАКАЗЫ!$AK$3:$AK$500,ЗАКАЗЫ!$F$3:$F$500,$A215)=0,"",_xlfn.MAXIFS(ЗАКАЗЫ!$AK$3:$AK$500,ЗАКАЗЫ!$F$3:$F$500,$A215)))</f>
        <v/>
      </c>
    </row>
    <row r="216" customFormat="false" ht="15.75" hidden="false" customHeight="true" outlineLevel="0" collapsed="false">
      <c r="A216" s="80" t="s">
        <v>2410</v>
      </c>
      <c r="B216" s="81"/>
      <c r="C216" s="81"/>
      <c r="D216" s="81"/>
      <c r="E216" s="83"/>
      <c r="F216" s="81"/>
      <c r="G216" s="83"/>
      <c r="H216" s="83"/>
      <c r="I216" s="84" t="str">
        <f aca="false">IF(E216="","",A216&amp;"_1.jpg")</f>
        <v/>
      </c>
      <c r="J216" s="84" t="str">
        <f aca="false">IF(E216="","",A216&amp;"_2.jpg; "&amp;A216&amp;"_3.jpg")</f>
        <v/>
      </c>
      <c r="K216" s="84" t="str">
        <f aca="false">IF(E216="","",A216&amp;"_schema.jpg")</f>
        <v/>
      </c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 t="s">
        <v>96</v>
      </c>
      <c r="W216" s="81"/>
      <c r="X216" s="81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6" t="str">
        <f aca="false">IF(SUM(Y216:AJ216)=0,"",SUM(Y216:AJ216))</f>
        <v/>
      </c>
      <c r="AL216" s="84" t="str">
        <f aca="false">MID(IF(N(Y216)&gt;0,", "&amp;Y$2,"")&amp;IF(N(Z216)&gt;0,", "&amp;Z$2,"")&amp;IF(N(AA216)&gt;0,", "&amp;AA$2,"")&amp;IF(N(AB216)&gt;0,", "&amp;AB$2,"")&amp;IF(N(AC216)&gt;0,", "&amp;AC$2,"")&amp;IF(N(AD216)&gt;0,", "&amp;AD$2,"")&amp;IF(N(AE216)&gt;0,", "&amp;AE$2,"")&amp;IF(N(AF216)&gt;0,", "&amp;AF$2,"")&amp;IF(N(AG216)&gt;0,", "&amp;AG$2,"")&amp;IF(N(AH216)&gt;0,", "&amp;AH$2,"")&amp;IF(N(AI216)&gt;0,", "&amp;AI$2,"")&amp;IF(N(AJ216)&gt;0,", "&amp;AJ$2,""),3,999)</f>
        <v/>
      </c>
      <c r="AM216" s="87" t="str">
        <f aca="false">IF(E216="","",MID(IF(N(Y216)&gt;0,", "&amp;A216&amp;"-"&amp;Y$2,"")&amp;IF(N(Z216)&gt;0,", "&amp;A216&amp;"-"&amp;Z$2,"")&amp;IF(N(AA216)&gt;0,", "&amp;A216&amp;"-"&amp;AA$2,"")&amp;IF(N(AB216)&gt;0,", "&amp;A216&amp;"-"&amp;AB$2,"")&amp;IF(N(AC216)&gt;0,", "&amp;A216&amp;"-"&amp;AC$2,"")&amp;IF(N(AD216)&gt;0,", "&amp;A216&amp;"-"&amp;AD$2,"")&amp;IF(N(AE216)&gt;0,", "&amp;A216&amp;"-"&amp;AE$2,"")&amp;IF(N(AF216)&gt;0,", "&amp;A216&amp;"-"&amp;AF$2,"")&amp;IF(N(AG216)&gt;0,", "&amp;A216&amp;"-"&amp;AG$2,"")&amp;IF(N(AH216)&gt;0,", "&amp;A216&amp;"-"&amp;AH$2,"")&amp;IF(N(AI216)&gt;0,", "&amp;A216&amp;"-"&amp;AI$2,"")&amp;IF(N(AJ216)&gt;0,", "&amp;A216&amp;"-"&amp;AJ$2,""),3,999))</f>
        <v/>
      </c>
      <c r="AN216" s="81"/>
      <c r="AO216" s="88"/>
      <c r="AP216" s="89" t="str">
        <f aca="false">IF(AO216="","",ROUND(AO216/(1+Справочники!$B$13),2))</f>
        <v/>
      </c>
      <c r="AQ216" s="90" t="str">
        <f aca="false" t="array" ref="AQ216:AQ216">IF(AP216="","",AP216*INDEX(Справочники!$B$4:$B$7,MATCH("RUB",Справочники!$A$4:$A$7,0)))</f>
        <v/>
      </c>
      <c r="AR216" s="90" t="str">
        <f aca="false">IF(AQ216="","",ROUND(AQ216*(1+Справочники!$B$12),0))</f>
        <v/>
      </c>
      <c r="AS216" s="90" t="str">
        <f aca="false">IF(AR216="","",ROUND(AR216*(1-Справочники!$B$11),0))</f>
        <v/>
      </c>
      <c r="AT216" s="88"/>
      <c r="AU216" s="90" t="str">
        <f aca="false">IF(AT216="","",ROUND(AT216/(1+Справочники!$B$12),0))</f>
        <v/>
      </c>
      <c r="AV216" s="90" t="str">
        <f aca="false">IF(AT216="","",ROUND(AT216*(1-Справочники!$B$15),0))</f>
        <v/>
      </c>
      <c r="AW216" s="90" t="str">
        <f aca="false">IF(AT216="","",ROUND(AT216*(1-Справочники!$B$16),0))</f>
        <v/>
      </c>
      <c r="AX216" s="90" t="str">
        <f aca="false">IF(AT216="","",ROUND(AT216*(1-Справочники!$B$17),0))</f>
        <v/>
      </c>
      <c r="AY216" s="90" t="str">
        <f aca="false">IF(AT216="","",ROUND(AT216*(1-Справочники!$B$18),0))</f>
        <v/>
      </c>
      <c r="AZ216" s="90" t="str">
        <f aca="false">IF(AT216="","",ROUND(AT216*(1-Справочники!$B$19),0))</f>
        <v/>
      </c>
      <c r="BA216" s="81"/>
      <c r="BB216" s="81"/>
      <c r="BC216" s="81"/>
      <c r="BD216" s="81"/>
      <c r="BE216" s="91"/>
      <c r="BF216" s="81" t="s">
        <v>103</v>
      </c>
      <c r="BG216" s="89" t="n">
        <f aca="false" t="array" ref="BG216:BG216">IF(BF216="","",IFERROR(INDEX(Справочники!$B$4:$B$7,MATCH(BF216,Справочники!$A$4:$A$7,0)),""))</f>
        <v>68.5</v>
      </c>
      <c r="BH216" s="90" t="str">
        <f aca="false">IF(N(BN216)&gt;0,ROUND(SUMIF(ЗАКАЗЫ!$F$3:$F$500,$A216,ЗАКАЗЫ!$Y$3:$Y$500)/BN216,0),IF(OR(BE216="",BG216=""),"",ROUND(BE216*BG216*(1+Справочники!$B$10),0)))</f>
        <v/>
      </c>
      <c r="BI216" s="92" t="str">
        <f aca="false">IF(OR(AU216="",BH216="",AU216=0),"",(AU216-BH216)/AU216)</f>
        <v/>
      </c>
      <c r="BJ216" s="81"/>
      <c r="BK216" s="83"/>
      <c r="BL216" s="43" t="str">
        <f aca="false">IFERROR(INDEX(ЗАКАЗЫ!$N$3:$N$500,MATCH($A216,ЗАКАЗЫ!$F$3:$F$500,0)),"")</f>
        <v/>
      </c>
      <c r="BM216" s="8" t="str">
        <f aca="false">IF(BL216="","",IFERROR(VLOOKUP(BL216,'ТН ВЭД'!$A$4:$C$40,3,0),""))</f>
        <v/>
      </c>
      <c r="BN216" s="7" t="str">
        <f aca="false">IF(COUNTIF(ЗАКАЗЫ!$F$3:$F$500,$A216)=0,"",SUMIF(ЗАКАЗЫ!$F$3:$F$500,$A216,ЗАКАЗЫ!$J$3:$J$500))</f>
        <v/>
      </c>
      <c r="BO216" s="7" t="str">
        <f aca="false">IF(BN216="","",SUMIF(ЗАКАЗЫ!$F$3:$F$500,$A216,ЗАКАЗЫ!$AL$3:$AL$500))</f>
        <v/>
      </c>
      <c r="BP216" s="7" t="str">
        <f aca="false">IF(BN216="","",BN216-BO216)</f>
        <v/>
      </c>
      <c r="BQ216" s="55" t="str">
        <f aca="false">IF(BN216="","",IF(BO216&gt;=BN216,"На складе",IF(BO216&gt;0,"Частично","Ждём")))</f>
        <v/>
      </c>
      <c r="BR216" s="43"/>
      <c r="BS216" s="47" t="str">
        <f aca="false">IF(BN216="","",IF(_xlfn.MAXIFS(ЗАКАЗЫ!$AK$3:$AK$500,ЗАКАЗЫ!$F$3:$F$500,$A216)=0,"",_xlfn.MAXIFS(ЗАКАЗЫ!$AK$3:$AK$500,ЗАКАЗЫ!$F$3:$F$500,$A216)))</f>
        <v/>
      </c>
    </row>
    <row r="217" customFormat="false" ht="15.75" hidden="false" customHeight="true" outlineLevel="0" collapsed="false">
      <c r="A217" s="80" t="s">
        <v>2411</v>
      </c>
      <c r="B217" s="81"/>
      <c r="C217" s="81"/>
      <c r="D217" s="81"/>
      <c r="E217" s="83"/>
      <c r="F217" s="81"/>
      <c r="G217" s="83"/>
      <c r="H217" s="83"/>
      <c r="I217" s="84" t="str">
        <f aca="false">IF(E217="","",A217&amp;"_1.jpg")</f>
        <v/>
      </c>
      <c r="J217" s="84" t="str">
        <f aca="false">IF(E217="","",A217&amp;"_2.jpg; "&amp;A217&amp;"_3.jpg")</f>
        <v/>
      </c>
      <c r="K217" s="84" t="str">
        <f aca="false">IF(E217="","",A217&amp;"_schema.jpg")</f>
        <v/>
      </c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 t="s">
        <v>96</v>
      </c>
      <c r="W217" s="81"/>
      <c r="X217" s="81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6" t="str">
        <f aca="false">IF(SUM(Y217:AJ217)=0,"",SUM(Y217:AJ217))</f>
        <v/>
      </c>
      <c r="AL217" s="84" t="str">
        <f aca="false">MID(IF(N(Y217)&gt;0,", "&amp;Y$2,"")&amp;IF(N(Z217)&gt;0,", "&amp;Z$2,"")&amp;IF(N(AA217)&gt;0,", "&amp;AA$2,"")&amp;IF(N(AB217)&gt;0,", "&amp;AB$2,"")&amp;IF(N(AC217)&gt;0,", "&amp;AC$2,"")&amp;IF(N(AD217)&gt;0,", "&amp;AD$2,"")&amp;IF(N(AE217)&gt;0,", "&amp;AE$2,"")&amp;IF(N(AF217)&gt;0,", "&amp;AF$2,"")&amp;IF(N(AG217)&gt;0,", "&amp;AG$2,"")&amp;IF(N(AH217)&gt;0,", "&amp;AH$2,"")&amp;IF(N(AI217)&gt;0,", "&amp;AI$2,"")&amp;IF(N(AJ217)&gt;0,", "&amp;AJ$2,""),3,999)</f>
        <v/>
      </c>
      <c r="AM217" s="87" t="str">
        <f aca="false">IF(E217="","",MID(IF(N(Y217)&gt;0,", "&amp;A217&amp;"-"&amp;Y$2,"")&amp;IF(N(Z217)&gt;0,", "&amp;A217&amp;"-"&amp;Z$2,"")&amp;IF(N(AA217)&gt;0,", "&amp;A217&amp;"-"&amp;AA$2,"")&amp;IF(N(AB217)&gt;0,", "&amp;A217&amp;"-"&amp;AB$2,"")&amp;IF(N(AC217)&gt;0,", "&amp;A217&amp;"-"&amp;AC$2,"")&amp;IF(N(AD217)&gt;0,", "&amp;A217&amp;"-"&amp;AD$2,"")&amp;IF(N(AE217)&gt;0,", "&amp;A217&amp;"-"&amp;AE$2,"")&amp;IF(N(AF217)&gt;0,", "&amp;A217&amp;"-"&amp;AF$2,"")&amp;IF(N(AG217)&gt;0,", "&amp;A217&amp;"-"&amp;AG$2,"")&amp;IF(N(AH217)&gt;0,", "&amp;A217&amp;"-"&amp;AH$2,"")&amp;IF(N(AI217)&gt;0,", "&amp;A217&amp;"-"&amp;AI$2,"")&amp;IF(N(AJ217)&gt;0,", "&amp;A217&amp;"-"&amp;AJ$2,""),3,999))</f>
        <v/>
      </c>
      <c r="AN217" s="81"/>
      <c r="AO217" s="88"/>
      <c r="AP217" s="89" t="str">
        <f aca="false">IF(AO217="","",ROUND(AO217/(1+Справочники!$B$13),2))</f>
        <v/>
      </c>
      <c r="AQ217" s="90" t="str">
        <f aca="false" t="array" ref="AQ217:AQ217">IF(AP217="","",AP217*INDEX(Справочники!$B$4:$B$7,MATCH("RUB",Справочники!$A$4:$A$7,0)))</f>
        <v/>
      </c>
      <c r="AR217" s="90" t="str">
        <f aca="false">IF(AQ217="","",ROUND(AQ217*(1+Справочники!$B$12),0))</f>
        <v/>
      </c>
      <c r="AS217" s="90" t="str">
        <f aca="false">IF(AR217="","",ROUND(AR217*(1-Справочники!$B$11),0))</f>
        <v/>
      </c>
      <c r="AT217" s="88"/>
      <c r="AU217" s="90" t="str">
        <f aca="false">IF(AT217="","",ROUND(AT217/(1+Справочники!$B$12),0))</f>
        <v/>
      </c>
      <c r="AV217" s="90" t="str">
        <f aca="false">IF(AT217="","",ROUND(AT217*(1-Справочники!$B$15),0))</f>
        <v/>
      </c>
      <c r="AW217" s="90" t="str">
        <f aca="false">IF(AT217="","",ROUND(AT217*(1-Справочники!$B$16),0))</f>
        <v/>
      </c>
      <c r="AX217" s="90" t="str">
        <f aca="false">IF(AT217="","",ROUND(AT217*(1-Справочники!$B$17),0))</f>
        <v/>
      </c>
      <c r="AY217" s="90" t="str">
        <f aca="false">IF(AT217="","",ROUND(AT217*(1-Справочники!$B$18),0))</f>
        <v/>
      </c>
      <c r="AZ217" s="90" t="str">
        <f aca="false">IF(AT217="","",ROUND(AT217*(1-Справочники!$B$19),0))</f>
        <v/>
      </c>
      <c r="BA217" s="81"/>
      <c r="BB217" s="81"/>
      <c r="BC217" s="81"/>
      <c r="BD217" s="81"/>
      <c r="BE217" s="91"/>
      <c r="BF217" s="81" t="s">
        <v>103</v>
      </c>
      <c r="BG217" s="89" t="n">
        <f aca="false" t="array" ref="BG217:BG217">IF(BF217="","",IFERROR(INDEX(Справочники!$B$4:$B$7,MATCH(BF217,Справочники!$A$4:$A$7,0)),""))</f>
        <v>68.5</v>
      </c>
      <c r="BH217" s="90" t="str">
        <f aca="false">IF(N(BN217)&gt;0,ROUND(SUMIF(ЗАКАЗЫ!$F$3:$F$500,$A217,ЗАКАЗЫ!$Y$3:$Y$500)/BN217,0),IF(OR(BE217="",BG217=""),"",ROUND(BE217*BG217*(1+Справочники!$B$10),0)))</f>
        <v/>
      </c>
      <c r="BI217" s="92" t="str">
        <f aca="false">IF(OR(AU217="",BH217="",AU217=0),"",(AU217-BH217)/AU217)</f>
        <v/>
      </c>
      <c r="BJ217" s="81"/>
      <c r="BK217" s="83"/>
      <c r="BL217" s="43" t="str">
        <f aca="false">IFERROR(INDEX(ЗАКАЗЫ!$N$3:$N$500,MATCH($A217,ЗАКАЗЫ!$F$3:$F$500,0)),"")</f>
        <v/>
      </c>
      <c r="BM217" s="8" t="str">
        <f aca="false">IF(BL217="","",IFERROR(VLOOKUP(BL217,'ТН ВЭД'!$A$4:$C$40,3,0),""))</f>
        <v/>
      </c>
      <c r="BN217" s="7" t="str">
        <f aca="false">IF(COUNTIF(ЗАКАЗЫ!$F$3:$F$500,$A217)=0,"",SUMIF(ЗАКАЗЫ!$F$3:$F$500,$A217,ЗАКАЗЫ!$J$3:$J$500))</f>
        <v/>
      </c>
      <c r="BO217" s="7" t="str">
        <f aca="false">IF(BN217="","",SUMIF(ЗАКАЗЫ!$F$3:$F$500,$A217,ЗАКАЗЫ!$AL$3:$AL$500))</f>
        <v/>
      </c>
      <c r="BP217" s="7" t="str">
        <f aca="false">IF(BN217="","",BN217-BO217)</f>
        <v/>
      </c>
      <c r="BQ217" s="55" t="str">
        <f aca="false">IF(BN217="","",IF(BO217&gt;=BN217,"На складе",IF(BO217&gt;0,"Частично","Ждём")))</f>
        <v/>
      </c>
      <c r="BR217" s="43"/>
      <c r="BS217" s="47" t="str">
        <f aca="false">IF(BN217="","",IF(_xlfn.MAXIFS(ЗАКАЗЫ!$AK$3:$AK$500,ЗАКАЗЫ!$F$3:$F$500,$A217)=0,"",_xlfn.MAXIFS(ЗАКАЗЫ!$AK$3:$AK$500,ЗАКАЗЫ!$F$3:$F$500,$A217)))</f>
        <v/>
      </c>
    </row>
    <row r="218" customFormat="false" ht="15.75" hidden="false" customHeight="true" outlineLevel="0" collapsed="false">
      <c r="A218" s="80" t="s">
        <v>2412</v>
      </c>
      <c r="B218" s="81"/>
      <c r="C218" s="81"/>
      <c r="D218" s="81"/>
      <c r="E218" s="83"/>
      <c r="F218" s="81"/>
      <c r="G218" s="83"/>
      <c r="H218" s="83"/>
      <c r="I218" s="84" t="str">
        <f aca="false">IF(E218="","",A218&amp;"_1.jpg")</f>
        <v/>
      </c>
      <c r="J218" s="84" t="str">
        <f aca="false">IF(E218="","",A218&amp;"_2.jpg; "&amp;A218&amp;"_3.jpg")</f>
        <v/>
      </c>
      <c r="K218" s="84" t="str">
        <f aca="false">IF(E218="","",A218&amp;"_schema.jpg")</f>
        <v/>
      </c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 t="s">
        <v>96</v>
      </c>
      <c r="W218" s="81"/>
      <c r="X218" s="81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6" t="str">
        <f aca="false">IF(SUM(Y218:AJ218)=0,"",SUM(Y218:AJ218))</f>
        <v/>
      </c>
      <c r="AL218" s="84" t="str">
        <f aca="false">MID(IF(N(Y218)&gt;0,", "&amp;Y$2,"")&amp;IF(N(Z218)&gt;0,", "&amp;Z$2,"")&amp;IF(N(AA218)&gt;0,", "&amp;AA$2,"")&amp;IF(N(AB218)&gt;0,", "&amp;AB$2,"")&amp;IF(N(AC218)&gt;0,", "&amp;AC$2,"")&amp;IF(N(AD218)&gt;0,", "&amp;AD$2,"")&amp;IF(N(AE218)&gt;0,", "&amp;AE$2,"")&amp;IF(N(AF218)&gt;0,", "&amp;AF$2,"")&amp;IF(N(AG218)&gt;0,", "&amp;AG$2,"")&amp;IF(N(AH218)&gt;0,", "&amp;AH$2,"")&amp;IF(N(AI218)&gt;0,", "&amp;AI$2,"")&amp;IF(N(AJ218)&gt;0,", "&amp;AJ$2,""),3,999)</f>
        <v/>
      </c>
      <c r="AM218" s="87" t="str">
        <f aca="false">IF(E218="","",MID(IF(N(Y218)&gt;0,", "&amp;A218&amp;"-"&amp;Y$2,"")&amp;IF(N(Z218)&gt;0,", "&amp;A218&amp;"-"&amp;Z$2,"")&amp;IF(N(AA218)&gt;0,", "&amp;A218&amp;"-"&amp;AA$2,"")&amp;IF(N(AB218)&gt;0,", "&amp;A218&amp;"-"&amp;AB$2,"")&amp;IF(N(AC218)&gt;0,", "&amp;A218&amp;"-"&amp;AC$2,"")&amp;IF(N(AD218)&gt;0,", "&amp;A218&amp;"-"&amp;AD$2,"")&amp;IF(N(AE218)&gt;0,", "&amp;A218&amp;"-"&amp;AE$2,"")&amp;IF(N(AF218)&gt;0,", "&amp;A218&amp;"-"&amp;AF$2,"")&amp;IF(N(AG218)&gt;0,", "&amp;A218&amp;"-"&amp;AG$2,"")&amp;IF(N(AH218)&gt;0,", "&amp;A218&amp;"-"&amp;AH$2,"")&amp;IF(N(AI218)&gt;0,", "&amp;A218&amp;"-"&amp;AI$2,"")&amp;IF(N(AJ218)&gt;0,", "&amp;A218&amp;"-"&amp;AJ$2,""),3,999))</f>
        <v/>
      </c>
      <c r="AN218" s="81"/>
      <c r="AO218" s="88"/>
      <c r="AP218" s="89" t="str">
        <f aca="false">IF(AO218="","",ROUND(AO218/(1+Справочники!$B$13),2))</f>
        <v/>
      </c>
      <c r="AQ218" s="90" t="str">
        <f aca="false" t="array" ref="AQ218:AQ218">IF(AP218="","",AP218*INDEX(Справочники!$B$4:$B$7,MATCH("RUB",Справочники!$A$4:$A$7,0)))</f>
        <v/>
      </c>
      <c r="AR218" s="90" t="str">
        <f aca="false">IF(AQ218="","",ROUND(AQ218*(1+Справочники!$B$12),0))</f>
        <v/>
      </c>
      <c r="AS218" s="90" t="str">
        <f aca="false">IF(AR218="","",ROUND(AR218*(1-Справочники!$B$11),0))</f>
        <v/>
      </c>
      <c r="AT218" s="88"/>
      <c r="AU218" s="90" t="str">
        <f aca="false">IF(AT218="","",ROUND(AT218/(1+Справочники!$B$12),0))</f>
        <v/>
      </c>
      <c r="AV218" s="90" t="str">
        <f aca="false">IF(AT218="","",ROUND(AT218*(1-Справочники!$B$15),0))</f>
        <v/>
      </c>
      <c r="AW218" s="90" t="str">
        <f aca="false">IF(AT218="","",ROUND(AT218*(1-Справочники!$B$16),0))</f>
        <v/>
      </c>
      <c r="AX218" s="90" t="str">
        <f aca="false">IF(AT218="","",ROUND(AT218*(1-Справочники!$B$17),0))</f>
        <v/>
      </c>
      <c r="AY218" s="90" t="str">
        <f aca="false">IF(AT218="","",ROUND(AT218*(1-Справочники!$B$18),0))</f>
        <v/>
      </c>
      <c r="AZ218" s="90" t="str">
        <f aca="false">IF(AT218="","",ROUND(AT218*(1-Справочники!$B$19),0))</f>
        <v/>
      </c>
      <c r="BA218" s="81"/>
      <c r="BB218" s="81"/>
      <c r="BC218" s="81"/>
      <c r="BD218" s="81"/>
      <c r="BE218" s="91"/>
      <c r="BF218" s="81" t="s">
        <v>103</v>
      </c>
      <c r="BG218" s="89" t="n">
        <f aca="false" t="array" ref="BG218:BG218">IF(BF218="","",IFERROR(INDEX(Справочники!$B$4:$B$7,MATCH(BF218,Справочники!$A$4:$A$7,0)),""))</f>
        <v>68.5</v>
      </c>
      <c r="BH218" s="90" t="str">
        <f aca="false">IF(N(BN218)&gt;0,ROUND(SUMIF(ЗАКАЗЫ!$F$3:$F$500,$A218,ЗАКАЗЫ!$Y$3:$Y$500)/BN218,0),IF(OR(BE218="",BG218=""),"",ROUND(BE218*BG218*(1+Справочники!$B$10),0)))</f>
        <v/>
      </c>
      <c r="BI218" s="92" t="str">
        <f aca="false">IF(OR(AU218="",BH218="",AU218=0),"",(AU218-BH218)/AU218)</f>
        <v/>
      </c>
      <c r="BJ218" s="81"/>
      <c r="BK218" s="83"/>
      <c r="BL218" s="43" t="str">
        <f aca="false">IFERROR(INDEX(ЗАКАЗЫ!$N$3:$N$500,MATCH($A218,ЗАКАЗЫ!$F$3:$F$500,0)),"")</f>
        <v/>
      </c>
      <c r="BM218" s="8" t="str">
        <f aca="false">IF(BL218="","",IFERROR(VLOOKUP(BL218,'ТН ВЭД'!$A$4:$C$40,3,0),""))</f>
        <v/>
      </c>
      <c r="BN218" s="7" t="str">
        <f aca="false">IF(COUNTIF(ЗАКАЗЫ!$F$3:$F$500,$A218)=0,"",SUMIF(ЗАКАЗЫ!$F$3:$F$500,$A218,ЗАКАЗЫ!$J$3:$J$500))</f>
        <v/>
      </c>
      <c r="BO218" s="7" t="str">
        <f aca="false">IF(BN218="","",SUMIF(ЗАКАЗЫ!$F$3:$F$500,$A218,ЗАКАЗЫ!$AL$3:$AL$500))</f>
        <v/>
      </c>
      <c r="BP218" s="7" t="str">
        <f aca="false">IF(BN218="","",BN218-BO218)</f>
        <v/>
      </c>
      <c r="BQ218" s="55" t="str">
        <f aca="false">IF(BN218="","",IF(BO218&gt;=BN218,"На складе",IF(BO218&gt;0,"Частично","Ждём")))</f>
        <v/>
      </c>
      <c r="BR218" s="43"/>
      <c r="BS218" s="47" t="str">
        <f aca="false">IF(BN218="","",IF(_xlfn.MAXIFS(ЗАКАЗЫ!$AK$3:$AK$500,ЗАКАЗЫ!$F$3:$F$500,$A218)=0,"",_xlfn.MAXIFS(ЗАКАЗЫ!$AK$3:$AK$500,ЗАКАЗЫ!$F$3:$F$500,$A218)))</f>
        <v/>
      </c>
    </row>
    <row r="219" customFormat="false" ht="15.75" hidden="false" customHeight="true" outlineLevel="0" collapsed="false">
      <c r="A219" s="80" t="s">
        <v>2413</v>
      </c>
      <c r="B219" s="81"/>
      <c r="C219" s="81"/>
      <c r="D219" s="81"/>
      <c r="E219" s="83"/>
      <c r="F219" s="81"/>
      <c r="G219" s="83"/>
      <c r="H219" s="83"/>
      <c r="I219" s="84" t="str">
        <f aca="false">IF(E219="","",A219&amp;"_1.jpg")</f>
        <v/>
      </c>
      <c r="J219" s="84" t="str">
        <f aca="false">IF(E219="","",A219&amp;"_2.jpg; "&amp;A219&amp;"_3.jpg")</f>
        <v/>
      </c>
      <c r="K219" s="84" t="str">
        <f aca="false">IF(E219="","",A219&amp;"_schema.jpg")</f>
        <v/>
      </c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 t="s">
        <v>96</v>
      </c>
      <c r="W219" s="81"/>
      <c r="X219" s="81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6" t="str">
        <f aca="false">IF(SUM(Y219:AJ219)=0,"",SUM(Y219:AJ219))</f>
        <v/>
      </c>
      <c r="AL219" s="84" t="str">
        <f aca="false">MID(IF(N(Y219)&gt;0,", "&amp;Y$2,"")&amp;IF(N(Z219)&gt;0,", "&amp;Z$2,"")&amp;IF(N(AA219)&gt;0,", "&amp;AA$2,"")&amp;IF(N(AB219)&gt;0,", "&amp;AB$2,"")&amp;IF(N(AC219)&gt;0,", "&amp;AC$2,"")&amp;IF(N(AD219)&gt;0,", "&amp;AD$2,"")&amp;IF(N(AE219)&gt;0,", "&amp;AE$2,"")&amp;IF(N(AF219)&gt;0,", "&amp;AF$2,"")&amp;IF(N(AG219)&gt;0,", "&amp;AG$2,"")&amp;IF(N(AH219)&gt;0,", "&amp;AH$2,"")&amp;IF(N(AI219)&gt;0,", "&amp;AI$2,"")&amp;IF(N(AJ219)&gt;0,", "&amp;AJ$2,""),3,999)</f>
        <v/>
      </c>
      <c r="AM219" s="87" t="str">
        <f aca="false">IF(E219="","",MID(IF(N(Y219)&gt;0,", "&amp;A219&amp;"-"&amp;Y$2,"")&amp;IF(N(Z219)&gt;0,", "&amp;A219&amp;"-"&amp;Z$2,"")&amp;IF(N(AA219)&gt;0,", "&amp;A219&amp;"-"&amp;AA$2,"")&amp;IF(N(AB219)&gt;0,", "&amp;A219&amp;"-"&amp;AB$2,"")&amp;IF(N(AC219)&gt;0,", "&amp;A219&amp;"-"&amp;AC$2,"")&amp;IF(N(AD219)&gt;0,", "&amp;A219&amp;"-"&amp;AD$2,"")&amp;IF(N(AE219)&gt;0,", "&amp;A219&amp;"-"&amp;AE$2,"")&amp;IF(N(AF219)&gt;0,", "&amp;A219&amp;"-"&amp;AF$2,"")&amp;IF(N(AG219)&gt;0,", "&amp;A219&amp;"-"&amp;AG$2,"")&amp;IF(N(AH219)&gt;0,", "&amp;A219&amp;"-"&amp;AH$2,"")&amp;IF(N(AI219)&gt;0,", "&amp;A219&amp;"-"&amp;AI$2,"")&amp;IF(N(AJ219)&gt;0,", "&amp;A219&amp;"-"&amp;AJ$2,""),3,999))</f>
        <v/>
      </c>
      <c r="AN219" s="81"/>
      <c r="AO219" s="88"/>
      <c r="AP219" s="89" t="str">
        <f aca="false">IF(AO219="","",ROUND(AO219/(1+Справочники!$B$13),2))</f>
        <v/>
      </c>
      <c r="AQ219" s="90" t="str">
        <f aca="false" t="array" ref="AQ219:AQ219">IF(AP219="","",AP219*INDEX(Справочники!$B$4:$B$7,MATCH("RUB",Справочники!$A$4:$A$7,0)))</f>
        <v/>
      </c>
      <c r="AR219" s="90" t="str">
        <f aca="false">IF(AQ219="","",ROUND(AQ219*(1+Справочники!$B$12),0))</f>
        <v/>
      </c>
      <c r="AS219" s="90" t="str">
        <f aca="false">IF(AR219="","",ROUND(AR219*(1-Справочники!$B$11),0))</f>
        <v/>
      </c>
      <c r="AT219" s="88"/>
      <c r="AU219" s="90" t="str">
        <f aca="false">IF(AT219="","",ROUND(AT219/(1+Справочники!$B$12),0))</f>
        <v/>
      </c>
      <c r="AV219" s="90" t="str">
        <f aca="false">IF(AT219="","",ROUND(AT219*(1-Справочники!$B$15),0))</f>
        <v/>
      </c>
      <c r="AW219" s="90" t="str">
        <f aca="false">IF(AT219="","",ROUND(AT219*(1-Справочники!$B$16),0))</f>
        <v/>
      </c>
      <c r="AX219" s="90" t="str">
        <f aca="false">IF(AT219="","",ROUND(AT219*(1-Справочники!$B$17),0))</f>
        <v/>
      </c>
      <c r="AY219" s="90" t="str">
        <f aca="false">IF(AT219="","",ROUND(AT219*(1-Справочники!$B$18),0))</f>
        <v/>
      </c>
      <c r="AZ219" s="90" t="str">
        <f aca="false">IF(AT219="","",ROUND(AT219*(1-Справочники!$B$19),0))</f>
        <v/>
      </c>
      <c r="BA219" s="81"/>
      <c r="BB219" s="81"/>
      <c r="BC219" s="81"/>
      <c r="BD219" s="81"/>
      <c r="BE219" s="91"/>
      <c r="BF219" s="81" t="s">
        <v>103</v>
      </c>
      <c r="BG219" s="89" t="n">
        <f aca="false" t="array" ref="BG219:BG219">IF(BF219="","",IFERROR(INDEX(Справочники!$B$4:$B$7,MATCH(BF219,Справочники!$A$4:$A$7,0)),""))</f>
        <v>68.5</v>
      </c>
      <c r="BH219" s="90" t="str">
        <f aca="false">IF(N(BN219)&gt;0,ROUND(SUMIF(ЗАКАЗЫ!$F$3:$F$500,$A219,ЗАКАЗЫ!$Y$3:$Y$500)/BN219,0),IF(OR(BE219="",BG219=""),"",ROUND(BE219*BG219*(1+Справочники!$B$10),0)))</f>
        <v/>
      </c>
      <c r="BI219" s="92" t="str">
        <f aca="false">IF(OR(AU219="",BH219="",AU219=0),"",(AU219-BH219)/AU219)</f>
        <v/>
      </c>
      <c r="BJ219" s="81"/>
      <c r="BK219" s="83"/>
      <c r="BL219" s="43" t="str">
        <f aca="false">IFERROR(INDEX(ЗАКАЗЫ!$N$3:$N$500,MATCH($A219,ЗАКАЗЫ!$F$3:$F$500,0)),"")</f>
        <v/>
      </c>
      <c r="BM219" s="8" t="str">
        <f aca="false">IF(BL219="","",IFERROR(VLOOKUP(BL219,'ТН ВЭД'!$A$4:$C$40,3,0),""))</f>
        <v/>
      </c>
      <c r="BN219" s="7" t="str">
        <f aca="false">IF(COUNTIF(ЗАКАЗЫ!$F$3:$F$500,$A219)=0,"",SUMIF(ЗАКАЗЫ!$F$3:$F$500,$A219,ЗАКАЗЫ!$J$3:$J$500))</f>
        <v/>
      </c>
      <c r="BO219" s="7" t="str">
        <f aca="false">IF(BN219="","",SUMIF(ЗАКАЗЫ!$F$3:$F$500,$A219,ЗАКАЗЫ!$AL$3:$AL$500))</f>
        <v/>
      </c>
      <c r="BP219" s="7" t="str">
        <f aca="false">IF(BN219="","",BN219-BO219)</f>
        <v/>
      </c>
      <c r="BQ219" s="55" t="str">
        <f aca="false">IF(BN219="","",IF(BO219&gt;=BN219,"На складе",IF(BO219&gt;0,"Частично","Ждём")))</f>
        <v/>
      </c>
      <c r="BR219" s="43"/>
      <c r="BS219" s="47" t="str">
        <f aca="false">IF(BN219="","",IF(_xlfn.MAXIFS(ЗАКАЗЫ!$AK$3:$AK$500,ЗАКАЗЫ!$F$3:$F$500,$A219)=0,"",_xlfn.MAXIFS(ЗАКАЗЫ!$AK$3:$AK$500,ЗАКАЗЫ!$F$3:$F$500,$A219)))</f>
        <v/>
      </c>
    </row>
    <row r="220" customFormat="false" ht="15.75" hidden="false" customHeight="true" outlineLevel="0" collapsed="false">
      <c r="A220" s="80" t="s">
        <v>2414</v>
      </c>
      <c r="B220" s="81"/>
      <c r="C220" s="81"/>
      <c r="D220" s="81"/>
      <c r="E220" s="83"/>
      <c r="F220" s="81"/>
      <c r="G220" s="83"/>
      <c r="H220" s="83"/>
      <c r="I220" s="84" t="str">
        <f aca="false">IF(E220="","",A220&amp;"_1.jpg")</f>
        <v/>
      </c>
      <c r="J220" s="84" t="str">
        <f aca="false">IF(E220="","",A220&amp;"_2.jpg; "&amp;A220&amp;"_3.jpg")</f>
        <v/>
      </c>
      <c r="K220" s="84" t="str">
        <f aca="false">IF(E220="","",A220&amp;"_schema.jpg")</f>
        <v/>
      </c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 t="s">
        <v>96</v>
      </c>
      <c r="W220" s="81"/>
      <c r="X220" s="81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6" t="str">
        <f aca="false">IF(SUM(Y220:AJ220)=0,"",SUM(Y220:AJ220))</f>
        <v/>
      </c>
      <c r="AL220" s="84" t="str">
        <f aca="false">MID(IF(N(Y220)&gt;0,", "&amp;Y$2,"")&amp;IF(N(Z220)&gt;0,", "&amp;Z$2,"")&amp;IF(N(AA220)&gt;0,", "&amp;AA$2,"")&amp;IF(N(AB220)&gt;0,", "&amp;AB$2,"")&amp;IF(N(AC220)&gt;0,", "&amp;AC$2,"")&amp;IF(N(AD220)&gt;0,", "&amp;AD$2,"")&amp;IF(N(AE220)&gt;0,", "&amp;AE$2,"")&amp;IF(N(AF220)&gt;0,", "&amp;AF$2,"")&amp;IF(N(AG220)&gt;0,", "&amp;AG$2,"")&amp;IF(N(AH220)&gt;0,", "&amp;AH$2,"")&amp;IF(N(AI220)&gt;0,", "&amp;AI$2,"")&amp;IF(N(AJ220)&gt;0,", "&amp;AJ$2,""),3,999)</f>
        <v/>
      </c>
      <c r="AM220" s="87" t="str">
        <f aca="false">IF(E220="","",MID(IF(N(Y220)&gt;0,", "&amp;A220&amp;"-"&amp;Y$2,"")&amp;IF(N(Z220)&gt;0,", "&amp;A220&amp;"-"&amp;Z$2,"")&amp;IF(N(AA220)&gt;0,", "&amp;A220&amp;"-"&amp;AA$2,"")&amp;IF(N(AB220)&gt;0,", "&amp;A220&amp;"-"&amp;AB$2,"")&amp;IF(N(AC220)&gt;0,", "&amp;A220&amp;"-"&amp;AC$2,"")&amp;IF(N(AD220)&gt;0,", "&amp;A220&amp;"-"&amp;AD$2,"")&amp;IF(N(AE220)&gt;0,", "&amp;A220&amp;"-"&amp;AE$2,"")&amp;IF(N(AF220)&gt;0,", "&amp;A220&amp;"-"&amp;AF$2,"")&amp;IF(N(AG220)&gt;0,", "&amp;A220&amp;"-"&amp;AG$2,"")&amp;IF(N(AH220)&gt;0,", "&amp;A220&amp;"-"&amp;AH$2,"")&amp;IF(N(AI220)&gt;0,", "&amp;A220&amp;"-"&amp;AI$2,"")&amp;IF(N(AJ220)&gt;0,", "&amp;A220&amp;"-"&amp;AJ$2,""),3,999))</f>
        <v/>
      </c>
      <c r="AN220" s="81"/>
      <c r="AO220" s="88"/>
      <c r="AP220" s="89" t="str">
        <f aca="false">IF(AO220="","",ROUND(AO220/(1+Справочники!$B$13),2))</f>
        <v/>
      </c>
      <c r="AQ220" s="90" t="str">
        <f aca="false" t="array" ref="AQ220:AQ220">IF(AP220="","",AP220*INDEX(Справочники!$B$4:$B$7,MATCH("RUB",Справочники!$A$4:$A$7,0)))</f>
        <v/>
      </c>
      <c r="AR220" s="90" t="str">
        <f aca="false">IF(AQ220="","",ROUND(AQ220*(1+Справочники!$B$12),0))</f>
        <v/>
      </c>
      <c r="AS220" s="90" t="str">
        <f aca="false">IF(AR220="","",ROUND(AR220*(1-Справочники!$B$11),0))</f>
        <v/>
      </c>
      <c r="AT220" s="88"/>
      <c r="AU220" s="90" t="str">
        <f aca="false">IF(AT220="","",ROUND(AT220/(1+Справочники!$B$12),0))</f>
        <v/>
      </c>
      <c r="AV220" s="90" t="str">
        <f aca="false">IF(AT220="","",ROUND(AT220*(1-Справочники!$B$15),0))</f>
        <v/>
      </c>
      <c r="AW220" s="90" t="str">
        <f aca="false">IF(AT220="","",ROUND(AT220*(1-Справочники!$B$16),0))</f>
        <v/>
      </c>
      <c r="AX220" s="90" t="str">
        <f aca="false">IF(AT220="","",ROUND(AT220*(1-Справочники!$B$17),0))</f>
        <v/>
      </c>
      <c r="AY220" s="90" t="str">
        <f aca="false">IF(AT220="","",ROUND(AT220*(1-Справочники!$B$18),0))</f>
        <v/>
      </c>
      <c r="AZ220" s="90" t="str">
        <f aca="false">IF(AT220="","",ROUND(AT220*(1-Справочники!$B$19),0))</f>
        <v/>
      </c>
      <c r="BA220" s="81"/>
      <c r="BB220" s="81"/>
      <c r="BC220" s="81"/>
      <c r="BD220" s="81"/>
      <c r="BE220" s="91"/>
      <c r="BF220" s="81" t="s">
        <v>103</v>
      </c>
      <c r="BG220" s="89" t="n">
        <f aca="false" t="array" ref="BG220:BG220">IF(BF220="","",IFERROR(INDEX(Справочники!$B$4:$B$7,MATCH(BF220,Справочники!$A$4:$A$7,0)),""))</f>
        <v>68.5</v>
      </c>
      <c r="BH220" s="90" t="str">
        <f aca="false">IF(N(BN220)&gt;0,ROUND(SUMIF(ЗАКАЗЫ!$F$3:$F$500,$A220,ЗАКАЗЫ!$Y$3:$Y$500)/BN220,0),IF(OR(BE220="",BG220=""),"",ROUND(BE220*BG220*(1+Справочники!$B$10),0)))</f>
        <v/>
      </c>
      <c r="BI220" s="92" t="str">
        <f aca="false">IF(OR(AU220="",BH220="",AU220=0),"",(AU220-BH220)/AU220)</f>
        <v/>
      </c>
      <c r="BJ220" s="81"/>
      <c r="BK220" s="83"/>
      <c r="BL220" s="43" t="str">
        <f aca="false">IFERROR(INDEX(ЗАКАЗЫ!$N$3:$N$500,MATCH($A220,ЗАКАЗЫ!$F$3:$F$500,0)),"")</f>
        <v/>
      </c>
      <c r="BM220" s="8" t="str">
        <f aca="false">IF(BL220="","",IFERROR(VLOOKUP(BL220,'ТН ВЭД'!$A$4:$C$40,3,0),""))</f>
        <v/>
      </c>
      <c r="BN220" s="7" t="str">
        <f aca="false">IF(COUNTIF(ЗАКАЗЫ!$F$3:$F$500,$A220)=0,"",SUMIF(ЗАКАЗЫ!$F$3:$F$500,$A220,ЗАКАЗЫ!$J$3:$J$500))</f>
        <v/>
      </c>
      <c r="BO220" s="7" t="str">
        <f aca="false">IF(BN220="","",SUMIF(ЗАКАЗЫ!$F$3:$F$500,$A220,ЗАКАЗЫ!$AL$3:$AL$500))</f>
        <v/>
      </c>
      <c r="BP220" s="7" t="str">
        <f aca="false">IF(BN220="","",BN220-BO220)</f>
        <v/>
      </c>
      <c r="BQ220" s="55" t="str">
        <f aca="false">IF(BN220="","",IF(BO220&gt;=BN220,"На складе",IF(BO220&gt;0,"Частично","Ждём")))</f>
        <v/>
      </c>
      <c r="BR220" s="43"/>
      <c r="BS220" s="47" t="str">
        <f aca="false">IF(BN220="","",IF(_xlfn.MAXIFS(ЗАКАЗЫ!$AK$3:$AK$500,ЗАКАЗЫ!$F$3:$F$500,$A220)=0,"",_xlfn.MAXIFS(ЗАКАЗЫ!$AK$3:$AK$500,ЗАКАЗЫ!$F$3:$F$500,$A220)))</f>
        <v/>
      </c>
    </row>
    <row r="221" customFormat="false" ht="15.75" hidden="false" customHeight="true" outlineLevel="0" collapsed="false">
      <c r="A221" s="80" t="s">
        <v>2415</v>
      </c>
      <c r="B221" s="81"/>
      <c r="C221" s="81"/>
      <c r="D221" s="81"/>
      <c r="E221" s="83"/>
      <c r="F221" s="81"/>
      <c r="G221" s="83"/>
      <c r="H221" s="83"/>
      <c r="I221" s="84" t="str">
        <f aca="false">IF(E221="","",A221&amp;"_1.jpg")</f>
        <v/>
      </c>
      <c r="J221" s="84" t="str">
        <f aca="false">IF(E221="","",A221&amp;"_2.jpg; "&amp;A221&amp;"_3.jpg")</f>
        <v/>
      </c>
      <c r="K221" s="84" t="str">
        <f aca="false">IF(E221="","",A221&amp;"_schema.jpg")</f>
        <v/>
      </c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 t="s">
        <v>96</v>
      </c>
      <c r="W221" s="81"/>
      <c r="X221" s="81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6" t="str">
        <f aca="false">IF(SUM(Y221:AJ221)=0,"",SUM(Y221:AJ221))</f>
        <v/>
      </c>
      <c r="AL221" s="84" t="str">
        <f aca="false">MID(IF(N(Y221)&gt;0,", "&amp;Y$2,"")&amp;IF(N(Z221)&gt;0,", "&amp;Z$2,"")&amp;IF(N(AA221)&gt;0,", "&amp;AA$2,"")&amp;IF(N(AB221)&gt;0,", "&amp;AB$2,"")&amp;IF(N(AC221)&gt;0,", "&amp;AC$2,"")&amp;IF(N(AD221)&gt;0,", "&amp;AD$2,"")&amp;IF(N(AE221)&gt;0,", "&amp;AE$2,"")&amp;IF(N(AF221)&gt;0,", "&amp;AF$2,"")&amp;IF(N(AG221)&gt;0,", "&amp;AG$2,"")&amp;IF(N(AH221)&gt;0,", "&amp;AH$2,"")&amp;IF(N(AI221)&gt;0,", "&amp;AI$2,"")&amp;IF(N(AJ221)&gt;0,", "&amp;AJ$2,""),3,999)</f>
        <v/>
      </c>
      <c r="AM221" s="87" t="str">
        <f aca="false">IF(E221="","",MID(IF(N(Y221)&gt;0,", "&amp;A221&amp;"-"&amp;Y$2,"")&amp;IF(N(Z221)&gt;0,", "&amp;A221&amp;"-"&amp;Z$2,"")&amp;IF(N(AA221)&gt;0,", "&amp;A221&amp;"-"&amp;AA$2,"")&amp;IF(N(AB221)&gt;0,", "&amp;A221&amp;"-"&amp;AB$2,"")&amp;IF(N(AC221)&gt;0,", "&amp;A221&amp;"-"&amp;AC$2,"")&amp;IF(N(AD221)&gt;0,", "&amp;A221&amp;"-"&amp;AD$2,"")&amp;IF(N(AE221)&gt;0,", "&amp;A221&amp;"-"&amp;AE$2,"")&amp;IF(N(AF221)&gt;0,", "&amp;A221&amp;"-"&amp;AF$2,"")&amp;IF(N(AG221)&gt;0,", "&amp;A221&amp;"-"&amp;AG$2,"")&amp;IF(N(AH221)&gt;0,", "&amp;A221&amp;"-"&amp;AH$2,"")&amp;IF(N(AI221)&gt;0,", "&amp;A221&amp;"-"&amp;AI$2,"")&amp;IF(N(AJ221)&gt;0,", "&amp;A221&amp;"-"&amp;AJ$2,""),3,999))</f>
        <v/>
      </c>
      <c r="AN221" s="81"/>
      <c r="AO221" s="88"/>
      <c r="AP221" s="89" t="str">
        <f aca="false">IF(AO221="","",ROUND(AO221/(1+Справочники!$B$13),2))</f>
        <v/>
      </c>
      <c r="AQ221" s="90" t="str">
        <f aca="false" t="array" ref="AQ221:AQ221">IF(AP221="","",AP221*INDEX(Справочники!$B$4:$B$7,MATCH("RUB",Справочники!$A$4:$A$7,0)))</f>
        <v/>
      </c>
      <c r="AR221" s="90" t="str">
        <f aca="false">IF(AQ221="","",ROUND(AQ221*(1+Справочники!$B$12),0))</f>
        <v/>
      </c>
      <c r="AS221" s="90" t="str">
        <f aca="false">IF(AR221="","",ROUND(AR221*(1-Справочники!$B$11),0))</f>
        <v/>
      </c>
      <c r="AT221" s="88"/>
      <c r="AU221" s="90" t="str">
        <f aca="false">IF(AT221="","",ROUND(AT221/(1+Справочники!$B$12),0))</f>
        <v/>
      </c>
      <c r="AV221" s="90" t="str">
        <f aca="false">IF(AT221="","",ROUND(AT221*(1-Справочники!$B$15),0))</f>
        <v/>
      </c>
      <c r="AW221" s="90" t="str">
        <f aca="false">IF(AT221="","",ROUND(AT221*(1-Справочники!$B$16),0))</f>
        <v/>
      </c>
      <c r="AX221" s="90" t="str">
        <f aca="false">IF(AT221="","",ROUND(AT221*(1-Справочники!$B$17),0))</f>
        <v/>
      </c>
      <c r="AY221" s="90" t="str">
        <f aca="false">IF(AT221="","",ROUND(AT221*(1-Справочники!$B$18),0))</f>
        <v/>
      </c>
      <c r="AZ221" s="90" t="str">
        <f aca="false">IF(AT221="","",ROUND(AT221*(1-Справочники!$B$19),0))</f>
        <v/>
      </c>
      <c r="BA221" s="81"/>
      <c r="BB221" s="81"/>
      <c r="BC221" s="81"/>
      <c r="BD221" s="81"/>
      <c r="BE221" s="91"/>
      <c r="BF221" s="81" t="s">
        <v>103</v>
      </c>
      <c r="BG221" s="89" t="n">
        <f aca="false" t="array" ref="BG221:BG221">IF(BF221="","",IFERROR(INDEX(Справочники!$B$4:$B$7,MATCH(BF221,Справочники!$A$4:$A$7,0)),""))</f>
        <v>68.5</v>
      </c>
      <c r="BH221" s="90" t="str">
        <f aca="false">IF(N(BN221)&gt;0,ROUND(SUMIF(ЗАКАЗЫ!$F$3:$F$500,$A221,ЗАКАЗЫ!$Y$3:$Y$500)/BN221,0),IF(OR(BE221="",BG221=""),"",ROUND(BE221*BG221*(1+Справочники!$B$10),0)))</f>
        <v/>
      </c>
      <c r="BI221" s="92" t="str">
        <f aca="false">IF(OR(AU221="",BH221="",AU221=0),"",(AU221-BH221)/AU221)</f>
        <v/>
      </c>
      <c r="BJ221" s="81"/>
      <c r="BK221" s="83"/>
      <c r="BL221" s="43" t="str">
        <f aca="false">IFERROR(INDEX(ЗАКАЗЫ!$N$3:$N$500,MATCH($A221,ЗАКАЗЫ!$F$3:$F$500,0)),"")</f>
        <v/>
      </c>
      <c r="BM221" s="8" t="str">
        <f aca="false">IF(BL221="","",IFERROR(VLOOKUP(BL221,'ТН ВЭД'!$A$4:$C$40,3,0),""))</f>
        <v/>
      </c>
      <c r="BN221" s="7" t="str">
        <f aca="false">IF(COUNTIF(ЗАКАЗЫ!$F$3:$F$500,$A221)=0,"",SUMIF(ЗАКАЗЫ!$F$3:$F$500,$A221,ЗАКАЗЫ!$J$3:$J$500))</f>
        <v/>
      </c>
      <c r="BO221" s="7" t="str">
        <f aca="false">IF(BN221="","",SUMIF(ЗАКАЗЫ!$F$3:$F$500,$A221,ЗАКАЗЫ!$AL$3:$AL$500))</f>
        <v/>
      </c>
      <c r="BP221" s="7" t="str">
        <f aca="false">IF(BN221="","",BN221-BO221)</f>
        <v/>
      </c>
      <c r="BQ221" s="55" t="str">
        <f aca="false">IF(BN221="","",IF(BO221&gt;=BN221,"На складе",IF(BO221&gt;0,"Частично","Ждём")))</f>
        <v/>
      </c>
      <c r="BR221" s="43"/>
      <c r="BS221" s="47" t="str">
        <f aca="false">IF(BN221="","",IF(_xlfn.MAXIFS(ЗАКАЗЫ!$AK$3:$AK$500,ЗАКАЗЫ!$F$3:$F$500,$A221)=0,"",_xlfn.MAXIFS(ЗАКАЗЫ!$AK$3:$AK$500,ЗАКАЗЫ!$F$3:$F$500,$A221)))</f>
        <v/>
      </c>
    </row>
    <row r="222" customFormat="false" ht="15.75" hidden="false" customHeight="true" outlineLevel="0" collapsed="false">
      <c r="A222" s="80" t="s">
        <v>2416</v>
      </c>
      <c r="B222" s="81"/>
      <c r="C222" s="81"/>
      <c r="D222" s="81"/>
      <c r="E222" s="83"/>
      <c r="F222" s="81"/>
      <c r="G222" s="83"/>
      <c r="H222" s="83"/>
      <c r="I222" s="84" t="str">
        <f aca="false">IF(E222="","",A222&amp;"_1.jpg")</f>
        <v/>
      </c>
      <c r="J222" s="84" t="str">
        <f aca="false">IF(E222="","",A222&amp;"_2.jpg; "&amp;A222&amp;"_3.jpg")</f>
        <v/>
      </c>
      <c r="K222" s="84" t="str">
        <f aca="false">IF(E222="","",A222&amp;"_schema.jpg")</f>
        <v/>
      </c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 t="s">
        <v>96</v>
      </c>
      <c r="W222" s="81"/>
      <c r="X222" s="81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6" t="str">
        <f aca="false">IF(SUM(Y222:AJ222)=0,"",SUM(Y222:AJ222))</f>
        <v/>
      </c>
      <c r="AL222" s="84" t="str">
        <f aca="false">MID(IF(N(Y222)&gt;0,", "&amp;Y$2,"")&amp;IF(N(Z222)&gt;0,", "&amp;Z$2,"")&amp;IF(N(AA222)&gt;0,", "&amp;AA$2,"")&amp;IF(N(AB222)&gt;0,", "&amp;AB$2,"")&amp;IF(N(AC222)&gt;0,", "&amp;AC$2,"")&amp;IF(N(AD222)&gt;0,", "&amp;AD$2,"")&amp;IF(N(AE222)&gt;0,", "&amp;AE$2,"")&amp;IF(N(AF222)&gt;0,", "&amp;AF$2,"")&amp;IF(N(AG222)&gt;0,", "&amp;AG$2,"")&amp;IF(N(AH222)&gt;0,", "&amp;AH$2,"")&amp;IF(N(AI222)&gt;0,", "&amp;AI$2,"")&amp;IF(N(AJ222)&gt;0,", "&amp;AJ$2,""),3,999)</f>
        <v/>
      </c>
      <c r="AM222" s="87" t="str">
        <f aca="false">IF(E222="","",MID(IF(N(Y222)&gt;0,", "&amp;A222&amp;"-"&amp;Y$2,"")&amp;IF(N(Z222)&gt;0,", "&amp;A222&amp;"-"&amp;Z$2,"")&amp;IF(N(AA222)&gt;0,", "&amp;A222&amp;"-"&amp;AA$2,"")&amp;IF(N(AB222)&gt;0,", "&amp;A222&amp;"-"&amp;AB$2,"")&amp;IF(N(AC222)&gt;0,", "&amp;A222&amp;"-"&amp;AC$2,"")&amp;IF(N(AD222)&gt;0,", "&amp;A222&amp;"-"&amp;AD$2,"")&amp;IF(N(AE222)&gt;0,", "&amp;A222&amp;"-"&amp;AE$2,"")&amp;IF(N(AF222)&gt;0,", "&amp;A222&amp;"-"&amp;AF$2,"")&amp;IF(N(AG222)&gt;0,", "&amp;A222&amp;"-"&amp;AG$2,"")&amp;IF(N(AH222)&gt;0,", "&amp;A222&amp;"-"&amp;AH$2,"")&amp;IF(N(AI222)&gt;0,", "&amp;A222&amp;"-"&amp;AI$2,"")&amp;IF(N(AJ222)&gt;0,", "&amp;A222&amp;"-"&amp;AJ$2,""),3,999))</f>
        <v/>
      </c>
      <c r="AN222" s="81"/>
      <c r="AO222" s="88"/>
      <c r="AP222" s="89" t="str">
        <f aca="false">IF(AO222="","",ROUND(AO222/(1+Справочники!$B$13),2))</f>
        <v/>
      </c>
      <c r="AQ222" s="90" t="str">
        <f aca="false" t="array" ref="AQ222:AQ222">IF(AP222="","",AP222*INDEX(Справочники!$B$4:$B$7,MATCH("RUB",Справочники!$A$4:$A$7,0)))</f>
        <v/>
      </c>
      <c r="AR222" s="90" t="str">
        <f aca="false">IF(AQ222="","",ROUND(AQ222*(1+Справочники!$B$12),0))</f>
        <v/>
      </c>
      <c r="AS222" s="90" t="str">
        <f aca="false">IF(AR222="","",ROUND(AR222*(1-Справочники!$B$11),0))</f>
        <v/>
      </c>
      <c r="AT222" s="88"/>
      <c r="AU222" s="90" t="str">
        <f aca="false">IF(AT222="","",ROUND(AT222/(1+Справочники!$B$12),0))</f>
        <v/>
      </c>
      <c r="AV222" s="90" t="str">
        <f aca="false">IF(AT222="","",ROUND(AT222*(1-Справочники!$B$15),0))</f>
        <v/>
      </c>
      <c r="AW222" s="90" t="str">
        <f aca="false">IF(AT222="","",ROUND(AT222*(1-Справочники!$B$16),0))</f>
        <v/>
      </c>
      <c r="AX222" s="90" t="str">
        <f aca="false">IF(AT222="","",ROUND(AT222*(1-Справочники!$B$17),0))</f>
        <v/>
      </c>
      <c r="AY222" s="90" t="str">
        <f aca="false">IF(AT222="","",ROUND(AT222*(1-Справочники!$B$18),0))</f>
        <v/>
      </c>
      <c r="AZ222" s="90" t="str">
        <f aca="false">IF(AT222="","",ROUND(AT222*(1-Справочники!$B$19),0))</f>
        <v/>
      </c>
      <c r="BA222" s="81"/>
      <c r="BB222" s="81"/>
      <c r="BC222" s="81"/>
      <c r="BD222" s="81"/>
      <c r="BE222" s="91"/>
      <c r="BF222" s="81" t="s">
        <v>103</v>
      </c>
      <c r="BG222" s="89" t="n">
        <f aca="false" t="array" ref="BG222:BG222">IF(BF222="","",IFERROR(INDEX(Справочники!$B$4:$B$7,MATCH(BF222,Справочники!$A$4:$A$7,0)),""))</f>
        <v>68.5</v>
      </c>
      <c r="BH222" s="90" t="str">
        <f aca="false">IF(N(BN222)&gt;0,ROUND(SUMIF(ЗАКАЗЫ!$F$3:$F$500,$A222,ЗАКАЗЫ!$Y$3:$Y$500)/BN222,0),IF(OR(BE222="",BG222=""),"",ROUND(BE222*BG222*(1+Справочники!$B$10),0)))</f>
        <v/>
      </c>
      <c r="BI222" s="92" t="str">
        <f aca="false">IF(OR(AU222="",BH222="",AU222=0),"",(AU222-BH222)/AU222)</f>
        <v/>
      </c>
      <c r="BJ222" s="81"/>
      <c r="BK222" s="83"/>
      <c r="BL222" s="43" t="str">
        <f aca="false">IFERROR(INDEX(ЗАКАЗЫ!$N$3:$N$500,MATCH($A222,ЗАКАЗЫ!$F$3:$F$500,0)),"")</f>
        <v/>
      </c>
      <c r="BM222" s="8" t="str">
        <f aca="false">IF(BL222="","",IFERROR(VLOOKUP(BL222,'ТН ВЭД'!$A$4:$C$40,3,0),""))</f>
        <v/>
      </c>
      <c r="BN222" s="7" t="str">
        <f aca="false">IF(COUNTIF(ЗАКАЗЫ!$F$3:$F$500,$A222)=0,"",SUMIF(ЗАКАЗЫ!$F$3:$F$500,$A222,ЗАКАЗЫ!$J$3:$J$500))</f>
        <v/>
      </c>
      <c r="BO222" s="7" t="str">
        <f aca="false">IF(BN222="","",SUMIF(ЗАКАЗЫ!$F$3:$F$500,$A222,ЗАКАЗЫ!$AL$3:$AL$500))</f>
        <v/>
      </c>
      <c r="BP222" s="7" t="str">
        <f aca="false">IF(BN222="","",BN222-BO222)</f>
        <v/>
      </c>
      <c r="BQ222" s="55" t="str">
        <f aca="false">IF(BN222="","",IF(BO222&gt;=BN222,"На складе",IF(BO222&gt;0,"Частично","Ждём")))</f>
        <v/>
      </c>
      <c r="BR222" s="43"/>
      <c r="BS222" s="47" t="str">
        <f aca="false">IF(BN222="","",IF(_xlfn.MAXIFS(ЗАКАЗЫ!$AK$3:$AK$500,ЗАКАЗЫ!$F$3:$F$500,$A222)=0,"",_xlfn.MAXIFS(ЗАКАЗЫ!$AK$3:$AK$500,ЗАКАЗЫ!$F$3:$F$500,$A222)))</f>
        <v/>
      </c>
    </row>
    <row r="223" customFormat="false" ht="15.75" hidden="false" customHeight="true" outlineLevel="0" collapsed="false">
      <c r="A223" s="80" t="s">
        <v>2417</v>
      </c>
      <c r="B223" s="81"/>
      <c r="C223" s="81"/>
      <c r="D223" s="81"/>
      <c r="E223" s="83"/>
      <c r="F223" s="81"/>
      <c r="G223" s="83"/>
      <c r="H223" s="83"/>
      <c r="I223" s="84" t="str">
        <f aca="false">IF(E223="","",A223&amp;"_1.jpg")</f>
        <v/>
      </c>
      <c r="J223" s="84" t="str">
        <f aca="false">IF(E223="","",A223&amp;"_2.jpg; "&amp;A223&amp;"_3.jpg")</f>
        <v/>
      </c>
      <c r="K223" s="84" t="str">
        <f aca="false">IF(E223="","",A223&amp;"_schema.jpg")</f>
        <v/>
      </c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 t="s">
        <v>96</v>
      </c>
      <c r="W223" s="81"/>
      <c r="X223" s="81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6" t="str">
        <f aca="false">IF(SUM(Y223:AJ223)=0,"",SUM(Y223:AJ223))</f>
        <v/>
      </c>
      <c r="AL223" s="84" t="str">
        <f aca="false">MID(IF(N(Y223)&gt;0,", "&amp;Y$2,"")&amp;IF(N(Z223)&gt;0,", "&amp;Z$2,"")&amp;IF(N(AA223)&gt;0,", "&amp;AA$2,"")&amp;IF(N(AB223)&gt;0,", "&amp;AB$2,"")&amp;IF(N(AC223)&gt;0,", "&amp;AC$2,"")&amp;IF(N(AD223)&gt;0,", "&amp;AD$2,"")&amp;IF(N(AE223)&gt;0,", "&amp;AE$2,"")&amp;IF(N(AF223)&gt;0,", "&amp;AF$2,"")&amp;IF(N(AG223)&gt;0,", "&amp;AG$2,"")&amp;IF(N(AH223)&gt;0,", "&amp;AH$2,"")&amp;IF(N(AI223)&gt;0,", "&amp;AI$2,"")&amp;IF(N(AJ223)&gt;0,", "&amp;AJ$2,""),3,999)</f>
        <v/>
      </c>
      <c r="AM223" s="87" t="str">
        <f aca="false">IF(E223="","",MID(IF(N(Y223)&gt;0,", "&amp;A223&amp;"-"&amp;Y$2,"")&amp;IF(N(Z223)&gt;0,", "&amp;A223&amp;"-"&amp;Z$2,"")&amp;IF(N(AA223)&gt;0,", "&amp;A223&amp;"-"&amp;AA$2,"")&amp;IF(N(AB223)&gt;0,", "&amp;A223&amp;"-"&amp;AB$2,"")&amp;IF(N(AC223)&gt;0,", "&amp;A223&amp;"-"&amp;AC$2,"")&amp;IF(N(AD223)&gt;0,", "&amp;A223&amp;"-"&amp;AD$2,"")&amp;IF(N(AE223)&gt;0,", "&amp;A223&amp;"-"&amp;AE$2,"")&amp;IF(N(AF223)&gt;0,", "&amp;A223&amp;"-"&amp;AF$2,"")&amp;IF(N(AG223)&gt;0,", "&amp;A223&amp;"-"&amp;AG$2,"")&amp;IF(N(AH223)&gt;0,", "&amp;A223&amp;"-"&amp;AH$2,"")&amp;IF(N(AI223)&gt;0,", "&amp;A223&amp;"-"&amp;AI$2,"")&amp;IF(N(AJ223)&gt;0,", "&amp;A223&amp;"-"&amp;AJ$2,""),3,999))</f>
        <v/>
      </c>
      <c r="AN223" s="81"/>
      <c r="AO223" s="88"/>
      <c r="AP223" s="89" t="str">
        <f aca="false">IF(AO223="","",ROUND(AO223/(1+Справочники!$B$13),2))</f>
        <v/>
      </c>
      <c r="AQ223" s="90" t="str">
        <f aca="false" t="array" ref="AQ223:AQ223">IF(AP223="","",AP223*INDEX(Справочники!$B$4:$B$7,MATCH("RUB",Справочники!$A$4:$A$7,0)))</f>
        <v/>
      </c>
      <c r="AR223" s="90" t="str">
        <f aca="false">IF(AQ223="","",ROUND(AQ223*(1+Справочники!$B$12),0))</f>
        <v/>
      </c>
      <c r="AS223" s="90" t="str">
        <f aca="false">IF(AR223="","",ROUND(AR223*(1-Справочники!$B$11),0))</f>
        <v/>
      </c>
      <c r="AT223" s="88"/>
      <c r="AU223" s="90" t="str">
        <f aca="false">IF(AT223="","",ROUND(AT223/(1+Справочники!$B$12),0))</f>
        <v/>
      </c>
      <c r="AV223" s="90" t="str">
        <f aca="false">IF(AT223="","",ROUND(AT223*(1-Справочники!$B$15),0))</f>
        <v/>
      </c>
      <c r="AW223" s="90" t="str">
        <f aca="false">IF(AT223="","",ROUND(AT223*(1-Справочники!$B$16),0))</f>
        <v/>
      </c>
      <c r="AX223" s="90" t="str">
        <f aca="false">IF(AT223="","",ROUND(AT223*(1-Справочники!$B$17),0))</f>
        <v/>
      </c>
      <c r="AY223" s="90" t="str">
        <f aca="false">IF(AT223="","",ROUND(AT223*(1-Справочники!$B$18),0))</f>
        <v/>
      </c>
      <c r="AZ223" s="90" t="str">
        <f aca="false">IF(AT223="","",ROUND(AT223*(1-Справочники!$B$19),0))</f>
        <v/>
      </c>
      <c r="BA223" s="81"/>
      <c r="BB223" s="81"/>
      <c r="BC223" s="81"/>
      <c r="BD223" s="81"/>
      <c r="BE223" s="91"/>
      <c r="BF223" s="81" t="s">
        <v>103</v>
      </c>
      <c r="BG223" s="89" t="n">
        <f aca="false" t="array" ref="BG223:BG223">IF(BF223="","",IFERROR(INDEX(Справочники!$B$4:$B$7,MATCH(BF223,Справочники!$A$4:$A$7,0)),""))</f>
        <v>68.5</v>
      </c>
      <c r="BH223" s="90" t="str">
        <f aca="false">IF(N(BN223)&gt;0,ROUND(SUMIF(ЗАКАЗЫ!$F$3:$F$500,$A223,ЗАКАЗЫ!$Y$3:$Y$500)/BN223,0),IF(OR(BE223="",BG223=""),"",ROUND(BE223*BG223*(1+Справочники!$B$10),0)))</f>
        <v/>
      </c>
      <c r="BI223" s="92" t="str">
        <f aca="false">IF(OR(AU223="",BH223="",AU223=0),"",(AU223-BH223)/AU223)</f>
        <v/>
      </c>
      <c r="BJ223" s="81"/>
      <c r="BK223" s="83"/>
      <c r="BL223" s="43" t="str">
        <f aca="false">IFERROR(INDEX(ЗАКАЗЫ!$N$3:$N$500,MATCH($A223,ЗАКАЗЫ!$F$3:$F$500,0)),"")</f>
        <v/>
      </c>
      <c r="BM223" s="8" t="str">
        <f aca="false">IF(BL223="","",IFERROR(VLOOKUP(BL223,'ТН ВЭД'!$A$4:$C$40,3,0),""))</f>
        <v/>
      </c>
      <c r="BN223" s="7" t="str">
        <f aca="false">IF(COUNTIF(ЗАКАЗЫ!$F$3:$F$500,$A223)=0,"",SUMIF(ЗАКАЗЫ!$F$3:$F$500,$A223,ЗАКАЗЫ!$J$3:$J$500))</f>
        <v/>
      </c>
      <c r="BO223" s="7" t="str">
        <f aca="false">IF(BN223="","",SUMIF(ЗАКАЗЫ!$F$3:$F$500,$A223,ЗАКАЗЫ!$AL$3:$AL$500))</f>
        <v/>
      </c>
      <c r="BP223" s="7" t="str">
        <f aca="false">IF(BN223="","",BN223-BO223)</f>
        <v/>
      </c>
      <c r="BQ223" s="55" t="str">
        <f aca="false">IF(BN223="","",IF(BO223&gt;=BN223,"На складе",IF(BO223&gt;0,"Частично","Ждём")))</f>
        <v/>
      </c>
      <c r="BR223" s="43"/>
      <c r="BS223" s="47" t="str">
        <f aca="false">IF(BN223="","",IF(_xlfn.MAXIFS(ЗАКАЗЫ!$AK$3:$AK$500,ЗАКАЗЫ!$F$3:$F$500,$A223)=0,"",_xlfn.MAXIFS(ЗАКАЗЫ!$AK$3:$AK$500,ЗАКАЗЫ!$F$3:$F$500,$A223)))</f>
        <v/>
      </c>
    </row>
    <row r="224" customFormat="false" ht="15.75" hidden="false" customHeight="true" outlineLevel="0" collapsed="false">
      <c r="A224" s="80" t="s">
        <v>2418</v>
      </c>
      <c r="B224" s="81"/>
      <c r="C224" s="81"/>
      <c r="D224" s="81"/>
      <c r="E224" s="83"/>
      <c r="F224" s="81"/>
      <c r="G224" s="83"/>
      <c r="H224" s="83"/>
      <c r="I224" s="84" t="str">
        <f aca="false">IF(E224="","",A224&amp;"_1.jpg")</f>
        <v/>
      </c>
      <c r="J224" s="84" t="str">
        <f aca="false">IF(E224="","",A224&amp;"_2.jpg; "&amp;A224&amp;"_3.jpg")</f>
        <v/>
      </c>
      <c r="K224" s="84" t="str">
        <f aca="false">IF(E224="","",A224&amp;"_schema.jpg")</f>
        <v/>
      </c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 t="s">
        <v>96</v>
      </c>
      <c r="W224" s="81"/>
      <c r="X224" s="81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6" t="str">
        <f aca="false">IF(SUM(Y224:AJ224)=0,"",SUM(Y224:AJ224))</f>
        <v/>
      </c>
      <c r="AL224" s="84" t="str">
        <f aca="false">MID(IF(N(Y224)&gt;0,", "&amp;Y$2,"")&amp;IF(N(Z224)&gt;0,", "&amp;Z$2,"")&amp;IF(N(AA224)&gt;0,", "&amp;AA$2,"")&amp;IF(N(AB224)&gt;0,", "&amp;AB$2,"")&amp;IF(N(AC224)&gt;0,", "&amp;AC$2,"")&amp;IF(N(AD224)&gt;0,", "&amp;AD$2,"")&amp;IF(N(AE224)&gt;0,", "&amp;AE$2,"")&amp;IF(N(AF224)&gt;0,", "&amp;AF$2,"")&amp;IF(N(AG224)&gt;0,", "&amp;AG$2,"")&amp;IF(N(AH224)&gt;0,", "&amp;AH$2,"")&amp;IF(N(AI224)&gt;0,", "&amp;AI$2,"")&amp;IF(N(AJ224)&gt;0,", "&amp;AJ$2,""),3,999)</f>
        <v/>
      </c>
      <c r="AM224" s="87" t="str">
        <f aca="false">IF(E224="","",MID(IF(N(Y224)&gt;0,", "&amp;A224&amp;"-"&amp;Y$2,"")&amp;IF(N(Z224)&gt;0,", "&amp;A224&amp;"-"&amp;Z$2,"")&amp;IF(N(AA224)&gt;0,", "&amp;A224&amp;"-"&amp;AA$2,"")&amp;IF(N(AB224)&gt;0,", "&amp;A224&amp;"-"&amp;AB$2,"")&amp;IF(N(AC224)&gt;0,", "&amp;A224&amp;"-"&amp;AC$2,"")&amp;IF(N(AD224)&gt;0,", "&amp;A224&amp;"-"&amp;AD$2,"")&amp;IF(N(AE224)&gt;0,", "&amp;A224&amp;"-"&amp;AE$2,"")&amp;IF(N(AF224)&gt;0,", "&amp;A224&amp;"-"&amp;AF$2,"")&amp;IF(N(AG224)&gt;0,", "&amp;A224&amp;"-"&amp;AG$2,"")&amp;IF(N(AH224)&gt;0,", "&amp;A224&amp;"-"&amp;AH$2,"")&amp;IF(N(AI224)&gt;0,", "&amp;A224&amp;"-"&amp;AI$2,"")&amp;IF(N(AJ224)&gt;0,", "&amp;A224&amp;"-"&amp;AJ$2,""),3,999))</f>
        <v/>
      </c>
      <c r="AN224" s="81"/>
      <c r="AO224" s="88"/>
      <c r="AP224" s="89" t="str">
        <f aca="false">IF(AO224="","",ROUND(AO224/(1+Справочники!$B$13),2))</f>
        <v/>
      </c>
      <c r="AQ224" s="90" t="str">
        <f aca="false" t="array" ref="AQ224:AQ224">IF(AP224="","",AP224*INDEX(Справочники!$B$4:$B$7,MATCH("RUB",Справочники!$A$4:$A$7,0)))</f>
        <v/>
      </c>
      <c r="AR224" s="90" t="str">
        <f aca="false">IF(AQ224="","",ROUND(AQ224*(1+Справочники!$B$12),0))</f>
        <v/>
      </c>
      <c r="AS224" s="90" t="str">
        <f aca="false">IF(AR224="","",ROUND(AR224*(1-Справочники!$B$11),0))</f>
        <v/>
      </c>
      <c r="AT224" s="88"/>
      <c r="AU224" s="90" t="str">
        <f aca="false">IF(AT224="","",ROUND(AT224/(1+Справочники!$B$12),0))</f>
        <v/>
      </c>
      <c r="AV224" s="90" t="str">
        <f aca="false">IF(AT224="","",ROUND(AT224*(1-Справочники!$B$15),0))</f>
        <v/>
      </c>
      <c r="AW224" s="90" t="str">
        <f aca="false">IF(AT224="","",ROUND(AT224*(1-Справочники!$B$16),0))</f>
        <v/>
      </c>
      <c r="AX224" s="90" t="str">
        <f aca="false">IF(AT224="","",ROUND(AT224*(1-Справочники!$B$17),0))</f>
        <v/>
      </c>
      <c r="AY224" s="90" t="str">
        <f aca="false">IF(AT224="","",ROUND(AT224*(1-Справочники!$B$18),0))</f>
        <v/>
      </c>
      <c r="AZ224" s="90" t="str">
        <f aca="false">IF(AT224="","",ROUND(AT224*(1-Справочники!$B$19),0))</f>
        <v/>
      </c>
      <c r="BA224" s="81"/>
      <c r="BB224" s="81"/>
      <c r="BC224" s="81"/>
      <c r="BD224" s="81"/>
      <c r="BE224" s="91"/>
      <c r="BF224" s="81" t="s">
        <v>103</v>
      </c>
      <c r="BG224" s="89" t="n">
        <f aca="false" t="array" ref="BG224:BG224">IF(BF224="","",IFERROR(INDEX(Справочники!$B$4:$B$7,MATCH(BF224,Справочники!$A$4:$A$7,0)),""))</f>
        <v>68.5</v>
      </c>
      <c r="BH224" s="90" t="str">
        <f aca="false">IF(N(BN224)&gt;0,ROUND(SUMIF(ЗАКАЗЫ!$F$3:$F$500,$A224,ЗАКАЗЫ!$Y$3:$Y$500)/BN224,0),IF(OR(BE224="",BG224=""),"",ROUND(BE224*BG224*(1+Справочники!$B$10),0)))</f>
        <v/>
      </c>
      <c r="BI224" s="92" t="str">
        <f aca="false">IF(OR(AU224="",BH224="",AU224=0),"",(AU224-BH224)/AU224)</f>
        <v/>
      </c>
      <c r="BJ224" s="81"/>
      <c r="BK224" s="83"/>
      <c r="BL224" s="43" t="str">
        <f aca="false">IFERROR(INDEX(ЗАКАЗЫ!$N$3:$N$500,MATCH($A224,ЗАКАЗЫ!$F$3:$F$500,0)),"")</f>
        <v/>
      </c>
      <c r="BM224" s="8" t="str">
        <f aca="false">IF(BL224="","",IFERROR(VLOOKUP(BL224,'ТН ВЭД'!$A$4:$C$40,3,0),""))</f>
        <v/>
      </c>
      <c r="BN224" s="7" t="str">
        <f aca="false">IF(COUNTIF(ЗАКАЗЫ!$F$3:$F$500,$A224)=0,"",SUMIF(ЗАКАЗЫ!$F$3:$F$500,$A224,ЗАКАЗЫ!$J$3:$J$500))</f>
        <v/>
      </c>
      <c r="BO224" s="7" t="str">
        <f aca="false">IF(BN224="","",SUMIF(ЗАКАЗЫ!$F$3:$F$500,$A224,ЗАКАЗЫ!$AL$3:$AL$500))</f>
        <v/>
      </c>
      <c r="BP224" s="7" t="str">
        <f aca="false">IF(BN224="","",BN224-BO224)</f>
        <v/>
      </c>
      <c r="BQ224" s="55" t="str">
        <f aca="false">IF(BN224="","",IF(BO224&gt;=BN224,"На складе",IF(BO224&gt;0,"Частично","Ждём")))</f>
        <v/>
      </c>
      <c r="BR224" s="43"/>
      <c r="BS224" s="47" t="str">
        <f aca="false">IF(BN224="","",IF(_xlfn.MAXIFS(ЗАКАЗЫ!$AK$3:$AK$500,ЗАКАЗЫ!$F$3:$F$500,$A224)=0,"",_xlfn.MAXIFS(ЗАКАЗЫ!$AK$3:$AK$500,ЗАКАЗЫ!$F$3:$F$500,$A224)))</f>
        <v/>
      </c>
    </row>
    <row r="225" customFormat="false" ht="15.75" hidden="false" customHeight="true" outlineLevel="0" collapsed="false">
      <c r="A225" s="80" t="s">
        <v>2419</v>
      </c>
      <c r="B225" s="81"/>
      <c r="C225" s="81"/>
      <c r="D225" s="81"/>
      <c r="E225" s="83"/>
      <c r="F225" s="81"/>
      <c r="G225" s="83"/>
      <c r="H225" s="83"/>
      <c r="I225" s="84" t="str">
        <f aca="false">IF(E225="","",A225&amp;"_1.jpg")</f>
        <v/>
      </c>
      <c r="J225" s="84" t="str">
        <f aca="false">IF(E225="","",A225&amp;"_2.jpg; "&amp;A225&amp;"_3.jpg")</f>
        <v/>
      </c>
      <c r="K225" s="84" t="str">
        <f aca="false">IF(E225="","",A225&amp;"_schema.jpg")</f>
        <v/>
      </c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 t="s">
        <v>96</v>
      </c>
      <c r="W225" s="81"/>
      <c r="X225" s="81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6" t="str">
        <f aca="false">IF(SUM(Y225:AJ225)=0,"",SUM(Y225:AJ225))</f>
        <v/>
      </c>
      <c r="AL225" s="84" t="str">
        <f aca="false">MID(IF(N(Y225)&gt;0,", "&amp;Y$2,"")&amp;IF(N(Z225)&gt;0,", "&amp;Z$2,"")&amp;IF(N(AA225)&gt;0,", "&amp;AA$2,"")&amp;IF(N(AB225)&gt;0,", "&amp;AB$2,"")&amp;IF(N(AC225)&gt;0,", "&amp;AC$2,"")&amp;IF(N(AD225)&gt;0,", "&amp;AD$2,"")&amp;IF(N(AE225)&gt;0,", "&amp;AE$2,"")&amp;IF(N(AF225)&gt;0,", "&amp;AF$2,"")&amp;IF(N(AG225)&gt;0,", "&amp;AG$2,"")&amp;IF(N(AH225)&gt;0,", "&amp;AH$2,"")&amp;IF(N(AI225)&gt;0,", "&amp;AI$2,"")&amp;IF(N(AJ225)&gt;0,", "&amp;AJ$2,""),3,999)</f>
        <v/>
      </c>
      <c r="AM225" s="87" t="str">
        <f aca="false">IF(E225="","",MID(IF(N(Y225)&gt;0,", "&amp;A225&amp;"-"&amp;Y$2,"")&amp;IF(N(Z225)&gt;0,", "&amp;A225&amp;"-"&amp;Z$2,"")&amp;IF(N(AA225)&gt;0,", "&amp;A225&amp;"-"&amp;AA$2,"")&amp;IF(N(AB225)&gt;0,", "&amp;A225&amp;"-"&amp;AB$2,"")&amp;IF(N(AC225)&gt;0,", "&amp;A225&amp;"-"&amp;AC$2,"")&amp;IF(N(AD225)&gt;0,", "&amp;A225&amp;"-"&amp;AD$2,"")&amp;IF(N(AE225)&gt;0,", "&amp;A225&amp;"-"&amp;AE$2,"")&amp;IF(N(AF225)&gt;0,", "&amp;A225&amp;"-"&amp;AF$2,"")&amp;IF(N(AG225)&gt;0,", "&amp;A225&amp;"-"&amp;AG$2,"")&amp;IF(N(AH225)&gt;0,", "&amp;A225&amp;"-"&amp;AH$2,"")&amp;IF(N(AI225)&gt;0,", "&amp;A225&amp;"-"&amp;AI$2,"")&amp;IF(N(AJ225)&gt;0,", "&amp;A225&amp;"-"&amp;AJ$2,""),3,999))</f>
        <v/>
      </c>
      <c r="AN225" s="81"/>
      <c r="AO225" s="88"/>
      <c r="AP225" s="89" t="str">
        <f aca="false">IF(AO225="","",ROUND(AO225/(1+Справочники!$B$13),2))</f>
        <v/>
      </c>
      <c r="AQ225" s="90" t="str">
        <f aca="false" t="array" ref="AQ225:AQ225">IF(AP225="","",AP225*INDEX(Справочники!$B$4:$B$7,MATCH("RUB",Справочники!$A$4:$A$7,0)))</f>
        <v/>
      </c>
      <c r="AR225" s="90" t="str">
        <f aca="false">IF(AQ225="","",ROUND(AQ225*(1+Справочники!$B$12),0))</f>
        <v/>
      </c>
      <c r="AS225" s="90" t="str">
        <f aca="false">IF(AR225="","",ROUND(AR225*(1-Справочники!$B$11),0))</f>
        <v/>
      </c>
      <c r="AT225" s="88"/>
      <c r="AU225" s="90" t="str">
        <f aca="false">IF(AT225="","",ROUND(AT225/(1+Справочники!$B$12),0))</f>
        <v/>
      </c>
      <c r="AV225" s="90" t="str">
        <f aca="false">IF(AT225="","",ROUND(AT225*(1-Справочники!$B$15),0))</f>
        <v/>
      </c>
      <c r="AW225" s="90" t="str">
        <f aca="false">IF(AT225="","",ROUND(AT225*(1-Справочники!$B$16),0))</f>
        <v/>
      </c>
      <c r="AX225" s="90" t="str">
        <f aca="false">IF(AT225="","",ROUND(AT225*(1-Справочники!$B$17),0))</f>
        <v/>
      </c>
      <c r="AY225" s="90" t="str">
        <f aca="false">IF(AT225="","",ROUND(AT225*(1-Справочники!$B$18),0))</f>
        <v/>
      </c>
      <c r="AZ225" s="90" t="str">
        <f aca="false">IF(AT225="","",ROUND(AT225*(1-Справочники!$B$19),0))</f>
        <v/>
      </c>
      <c r="BA225" s="81"/>
      <c r="BB225" s="81"/>
      <c r="BC225" s="81"/>
      <c r="BD225" s="81"/>
      <c r="BE225" s="91"/>
      <c r="BF225" s="81" t="s">
        <v>103</v>
      </c>
      <c r="BG225" s="89" t="n">
        <f aca="false" t="array" ref="BG225:BG225">IF(BF225="","",IFERROR(INDEX(Справочники!$B$4:$B$7,MATCH(BF225,Справочники!$A$4:$A$7,0)),""))</f>
        <v>68.5</v>
      </c>
      <c r="BH225" s="90" t="str">
        <f aca="false">IF(N(BN225)&gt;0,ROUND(SUMIF(ЗАКАЗЫ!$F$3:$F$500,$A225,ЗАКАЗЫ!$Y$3:$Y$500)/BN225,0),IF(OR(BE225="",BG225=""),"",ROUND(BE225*BG225*(1+Справочники!$B$10),0)))</f>
        <v/>
      </c>
      <c r="BI225" s="92" t="str">
        <f aca="false">IF(OR(AU225="",BH225="",AU225=0),"",(AU225-BH225)/AU225)</f>
        <v/>
      </c>
      <c r="BJ225" s="81"/>
      <c r="BK225" s="83"/>
      <c r="BL225" s="43" t="str">
        <f aca="false">IFERROR(INDEX(ЗАКАЗЫ!$N$3:$N$500,MATCH($A225,ЗАКАЗЫ!$F$3:$F$500,0)),"")</f>
        <v/>
      </c>
      <c r="BM225" s="8" t="str">
        <f aca="false">IF(BL225="","",IFERROR(VLOOKUP(BL225,'ТН ВЭД'!$A$4:$C$40,3,0),""))</f>
        <v/>
      </c>
      <c r="BN225" s="7" t="str">
        <f aca="false">IF(COUNTIF(ЗАКАЗЫ!$F$3:$F$500,$A225)=0,"",SUMIF(ЗАКАЗЫ!$F$3:$F$500,$A225,ЗАКАЗЫ!$J$3:$J$500))</f>
        <v/>
      </c>
      <c r="BO225" s="7" t="str">
        <f aca="false">IF(BN225="","",SUMIF(ЗАКАЗЫ!$F$3:$F$500,$A225,ЗАКАЗЫ!$AL$3:$AL$500))</f>
        <v/>
      </c>
      <c r="BP225" s="7" t="str">
        <f aca="false">IF(BN225="","",BN225-BO225)</f>
        <v/>
      </c>
      <c r="BQ225" s="55" t="str">
        <f aca="false">IF(BN225="","",IF(BO225&gt;=BN225,"На складе",IF(BO225&gt;0,"Частично","Ждём")))</f>
        <v/>
      </c>
      <c r="BR225" s="43"/>
      <c r="BS225" s="47" t="str">
        <f aca="false">IF(BN225="","",IF(_xlfn.MAXIFS(ЗАКАЗЫ!$AK$3:$AK$500,ЗАКАЗЫ!$F$3:$F$500,$A225)=0,"",_xlfn.MAXIFS(ЗАКАЗЫ!$AK$3:$AK$500,ЗАКАЗЫ!$F$3:$F$500,$A225)))</f>
        <v/>
      </c>
    </row>
    <row r="226" customFormat="false" ht="15.75" hidden="false" customHeight="true" outlineLevel="0" collapsed="false">
      <c r="A226" s="80" t="s">
        <v>2420</v>
      </c>
      <c r="B226" s="81"/>
      <c r="C226" s="81"/>
      <c r="D226" s="81"/>
      <c r="E226" s="83"/>
      <c r="F226" s="81"/>
      <c r="G226" s="83"/>
      <c r="H226" s="83"/>
      <c r="I226" s="84" t="str">
        <f aca="false">IF(E226="","",A226&amp;"_1.jpg")</f>
        <v/>
      </c>
      <c r="J226" s="84" t="str">
        <f aca="false">IF(E226="","",A226&amp;"_2.jpg; "&amp;A226&amp;"_3.jpg")</f>
        <v/>
      </c>
      <c r="K226" s="84" t="str">
        <f aca="false">IF(E226="","",A226&amp;"_schema.jpg")</f>
        <v/>
      </c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 t="s">
        <v>96</v>
      </c>
      <c r="W226" s="81"/>
      <c r="X226" s="81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6" t="str">
        <f aca="false">IF(SUM(Y226:AJ226)=0,"",SUM(Y226:AJ226))</f>
        <v/>
      </c>
      <c r="AL226" s="84" t="str">
        <f aca="false">MID(IF(N(Y226)&gt;0,", "&amp;Y$2,"")&amp;IF(N(Z226)&gt;0,", "&amp;Z$2,"")&amp;IF(N(AA226)&gt;0,", "&amp;AA$2,"")&amp;IF(N(AB226)&gt;0,", "&amp;AB$2,"")&amp;IF(N(AC226)&gt;0,", "&amp;AC$2,"")&amp;IF(N(AD226)&gt;0,", "&amp;AD$2,"")&amp;IF(N(AE226)&gt;0,", "&amp;AE$2,"")&amp;IF(N(AF226)&gt;0,", "&amp;AF$2,"")&amp;IF(N(AG226)&gt;0,", "&amp;AG$2,"")&amp;IF(N(AH226)&gt;0,", "&amp;AH$2,"")&amp;IF(N(AI226)&gt;0,", "&amp;AI$2,"")&amp;IF(N(AJ226)&gt;0,", "&amp;AJ$2,""),3,999)</f>
        <v/>
      </c>
      <c r="AM226" s="87" t="str">
        <f aca="false">IF(E226="","",MID(IF(N(Y226)&gt;0,", "&amp;A226&amp;"-"&amp;Y$2,"")&amp;IF(N(Z226)&gt;0,", "&amp;A226&amp;"-"&amp;Z$2,"")&amp;IF(N(AA226)&gt;0,", "&amp;A226&amp;"-"&amp;AA$2,"")&amp;IF(N(AB226)&gt;0,", "&amp;A226&amp;"-"&amp;AB$2,"")&amp;IF(N(AC226)&gt;0,", "&amp;A226&amp;"-"&amp;AC$2,"")&amp;IF(N(AD226)&gt;0,", "&amp;A226&amp;"-"&amp;AD$2,"")&amp;IF(N(AE226)&gt;0,", "&amp;A226&amp;"-"&amp;AE$2,"")&amp;IF(N(AF226)&gt;0,", "&amp;A226&amp;"-"&amp;AF$2,"")&amp;IF(N(AG226)&gt;0,", "&amp;A226&amp;"-"&amp;AG$2,"")&amp;IF(N(AH226)&gt;0,", "&amp;A226&amp;"-"&amp;AH$2,"")&amp;IF(N(AI226)&gt;0,", "&amp;A226&amp;"-"&amp;AI$2,"")&amp;IF(N(AJ226)&gt;0,", "&amp;A226&amp;"-"&amp;AJ$2,""),3,999))</f>
        <v/>
      </c>
      <c r="AN226" s="81"/>
      <c r="AO226" s="88"/>
      <c r="AP226" s="89" t="str">
        <f aca="false">IF(AO226="","",ROUND(AO226/(1+Справочники!$B$13),2))</f>
        <v/>
      </c>
      <c r="AQ226" s="90" t="str">
        <f aca="false" t="array" ref="AQ226:AQ226">IF(AP226="","",AP226*INDEX(Справочники!$B$4:$B$7,MATCH("RUB",Справочники!$A$4:$A$7,0)))</f>
        <v/>
      </c>
      <c r="AR226" s="90" t="str">
        <f aca="false">IF(AQ226="","",ROUND(AQ226*(1+Справочники!$B$12),0))</f>
        <v/>
      </c>
      <c r="AS226" s="90" t="str">
        <f aca="false">IF(AR226="","",ROUND(AR226*(1-Справочники!$B$11),0))</f>
        <v/>
      </c>
      <c r="AT226" s="88"/>
      <c r="AU226" s="90" t="str">
        <f aca="false">IF(AT226="","",ROUND(AT226/(1+Справочники!$B$12),0))</f>
        <v/>
      </c>
      <c r="AV226" s="90" t="str">
        <f aca="false">IF(AT226="","",ROUND(AT226*(1-Справочники!$B$15),0))</f>
        <v/>
      </c>
      <c r="AW226" s="90" t="str">
        <f aca="false">IF(AT226="","",ROUND(AT226*(1-Справочники!$B$16),0))</f>
        <v/>
      </c>
      <c r="AX226" s="90" t="str">
        <f aca="false">IF(AT226="","",ROUND(AT226*(1-Справочники!$B$17),0))</f>
        <v/>
      </c>
      <c r="AY226" s="90" t="str">
        <f aca="false">IF(AT226="","",ROUND(AT226*(1-Справочники!$B$18),0))</f>
        <v/>
      </c>
      <c r="AZ226" s="90" t="str">
        <f aca="false">IF(AT226="","",ROUND(AT226*(1-Справочники!$B$19),0))</f>
        <v/>
      </c>
      <c r="BA226" s="81"/>
      <c r="BB226" s="81"/>
      <c r="BC226" s="81"/>
      <c r="BD226" s="81"/>
      <c r="BE226" s="91"/>
      <c r="BF226" s="81" t="s">
        <v>103</v>
      </c>
      <c r="BG226" s="89" t="n">
        <f aca="false" t="array" ref="BG226:BG226">IF(BF226="","",IFERROR(INDEX(Справочники!$B$4:$B$7,MATCH(BF226,Справочники!$A$4:$A$7,0)),""))</f>
        <v>68.5</v>
      </c>
      <c r="BH226" s="90" t="str">
        <f aca="false">IF(N(BN226)&gt;0,ROUND(SUMIF(ЗАКАЗЫ!$F$3:$F$500,$A226,ЗАКАЗЫ!$Y$3:$Y$500)/BN226,0),IF(OR(BE226="",BG226=""),"",ROUND(BE226*BG226*(1+Справочники!$B$10),0)))</f>
        <v/>
      </c>
      <c r="BI226" s="92" t="str">
        <f aca="false">IF(OR(AU226="",BH226="",AU226=0),"",(AU226-BH226)/AU226)</f>
        <v/>
      </c>
      <c r="BJ226" s="81"/>
      <c r="BK226" s="83"/>
      <c r="BL226" s="43" t="str">
        <f aca="false">IFERROR(INDEX(ЗАКАЗЫ!$N$3:$N$500,MATCH($A226,ЗАКАЗЫ!$F$3:$F$500,0)),"")</f>
        <v/>
      </c>
      <c r="BM226" s="8" t="str">
        <f aca="false">IF(BL226="","",IFERROR(VLOOKUP(BL226,'ТН ВЭД'!$A$4:$C$40,3,0),""))</f>
        <v/>
      </c>
      <c r="BN226" s="7" t="str">
        <f aca="false">IF(COUNTIF(ЗАКАЗЫ!$F$3:$F$500,$A226)=0,"",SUMIF(ЗАКАЗЫ!$F$3:$F$500,$A226,ЗАКАЗЫ!$J$3:$J$500))</f>
        <v/>
      </c>
      <c r="BO226" s="7" t="str">
        <f aca="false">IF(BN226="","",SUMIF(ЗАКАЗЫ!$F$3:$F$500,$A226,ЗАКАЗЫ!$AL$3:$AL$500))</f>
        <v/>
      </c>
      <c r="BP226" s="7" t="str">
        <f aca="false">IF(BN226="","",BN226-BO226)</f>
        <v/>
      </c>
      <c r="BQ226" s="55" t="str">
        <f aca="false">IF(BN226="","",IF(BO226&gt;=BN226,"На складе",IF(BO226&gt;0,"Частично","Ждём")))</f>
        <v/>
      </c>
      <c r="BR226" s="43"/>
      <c r="BS226" s="47" t="str">
        <f aca="false">IF(BN226="","",IF(_xlfn.MAXIFS(ЗАКАЗЫ!$AK$3:$AK$500,ЗАКАЗЫ!$F$3:$F$500,$A226)=0,"",_xlfn.MAXIFS(ЗАКАЗЫ!$AK$3:$AK$500,ЗАКАЗЫ!$F$3:$F$500,$A226)))</f>
        <v/>
      </c>
    </row>
    <row r="227" customFormat="false" ht="15.75" hidden="false" customHeight="true" outlineLevel="0" collapsed="false">
      <c r="A227" s="80" t="s">
        <v>2421</v>
      </c>
      <c r="B227" s="81"/>
      <c r="C227" s="81"/>
      <c r="D227" s="81"/>
      <c r="E227" s="83"/>
      <c r="F227" s="81"/>
      <c r="G227" s="83"/>
      <c r="H227" s="83"/>
      <c r="I227" s="84" t="str">
        <f aca="false">IF(E227="","",A227&amp;"_1.jpg")</f>
        <v/>
      </c>
      <c r="J227" s="84" t="str">
        <f aca="false">IF(E227="","",A227&amp;"_2.jpg; "&amp;A227&amp;"_3.jpg")</f>
        <v/>
      </c>
      <c r="K227" s="84" t="str">
        <f aca="false">IF(E227="","",A227&amp;"_schema.jpg")</f>
        <v/>
      </c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 t="s">
        <v>96</v>
      </c>
      <c r="W227" s="81"/>
      <c r="X227" s="81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6" t="str">
        <f aca="false">IF(SUM(Y227:AJ227)=0,"",SUM(Y227:AJ227))</f>
        <v/>
      </c>
      <c r="AL227" s="84" t="str">
        <f aca="false">MID(IF(N(Y227)&gt;0,", "&amp;Y$2,"")&amp;IF(N(Z227)&gt;0,", "&amp;Z$2,"")&amp;IF(N(AA227)&gt;0,", "&amp;AA$2,"")&amp;IF(N(AB227)&gt;0,", "&amp;AB$2,"")&amp;IF(N(AC227)&gt;0,", "&amp;AC$2,"")&amp;IF(N(AD227)&gt;0,", "&amp;AD$2,"")&amp;IF(N(AE227)&gt;0,", "&amp;AE$2,"")&amp;IF(N(AF227)&gt;0,", "&amp;AF$2,"")&amp;IF(N(AG227)&gt;0,", "&amp;AG$2,"")&amp;IF(N(AH227)&gt;0,", "&amp;AH$2,"")&amp;IF(N(AI227)&gt;0,", "&amp;AI$2,"")&amp;IF(N(AJ227)&gt;0,", "&amp;AJ$2,""),3,999)</f>
        <v/>
      </c>
      <c r="AM227" s="87" t="str">
        <f aca="false">IF(E227="","",MID(IF(N(Y227)&gt;0,", "&amp;A227&amp;"-"&amp;Y$2,"")&amp;IF(N(Z227)&gt;0,", "&amp;A227&amp;"-"&amp;Z$2,"")&amp;IF(N(AA227)&gt;0,", "&amp;A227&amp;"-"&amp;AA$2,"")&amp;IF(N(AB227)&gt;0,", "&amp;A227&amp;"-"&amp;AB$2,"")&amp;IF(N(AC227)&gt;0,", "&amp;A227&amp;"-"&amp;AC$2,"")&amp;IF(N(AD227)&gt;0,", "&amp;A227&amp;"-"&amp;AD$2,"")&amp;IF(N(AE227)&gt;0,", "&amp;A227&amp;"-"&amp;AE$2,"")&amp;IF(N(AF227)&gt;0,", "&amp;A227&amp;"-"&amp;AF$2,"")&amp;IF(N(AG227)&gt;0,", "&amp;A227&amp;"-"&amp;AG$2,"")&amp;IF(N(AH227)&gt;0,", "&amp;A227&amp;"-"&amp;AH$2,"")&amp;IF(N(AI227)&gt;0,", "&amp;A227&amp;"-"&amp;AI$2,"")&amp;IF(N(AJ227)&gt;0,", "&amp;A227&amp;"-"&amp;AJ$2,""),3,999))</f>
        <v/>
      </c>
      <c r="AN227" s="81"/>
      <c r="AO227" s="88"/>
      <c r="AP227" s="89" t="str">
        <f aca="false">IF(AO227="","",ROUND(AO227/(1+Справочники!$B$13),2))</f>
        <v/>
      </c>
      <c r="AQ227" s="90" t="str">
        <f aca="false" t="array" ref="AQ227:AQ227">IF(AP227="","",AP227*INDEX(Справочники!$B$4:$B$7,MATCH("RUB",Справочники!$A$4:$A$7,0)))</f>
        <v/>
      </c>
      <c r="AR227" s="90" t="str">
        <f aca="false">IF(AQ227="","",ROUND(AQ227*(1+Справочники!$B$12),0))</f>
        <v/>
      </c>
      <c r="AS227" s="90" t="str">
        <f aca="false">IF(AR227="","",ROUND(AR227*(1-Справочники!$B$11),0))</f>
        <v/>
      </c>
      <c r="AT227" s="88"/>
      <c r="AU227" s="90" t="str">
        <f aca="false">IF(AT227="","",ROUND(AT227/(1+Справочники!$B$12),0))</f>
        <v/>
      </c>
      <c r="AV227" s="90" t="str">
        <f aca="false">IF(AT227="","",ROUND(AT227*(1-Справочники!$B$15),0))</f>
        <v/>
      </c>
      <c r="AW227" s="90" t="str">
        <f aca="false">IF(AT227="","",ROUND(AT227*(1-Справочники!$B$16),0))</f>
        <v/>
      </c>
      <c r="AX227" s="90" t="str">
        <f aca="false">IF(AT227="","",ROUND(AT227*(1-Справочники!$B$17),0))</f>
        <v/>
      </c>
      <c r="AY227" s="90" t="str">
        <f aca="false">IF(AT227="","",ROUND(AT227*(1-Справочники!$B$18),0))</f>
        <v/>
      </c>
      <c r="AZ227" s="90" t="str">
        <f aca="false">IF(AT227="","",ROUND(AT227*(1-Справочники!$B$19),0))</f>
        <v/>
      </c>
      <c r="BA227" s="81"/>
      <c r="BB227" s="81"/>
      <c r="BC227" s="81"/>
      <c r="BD227" s="81"/>
      <c r="BE227" s="91"/>
      <c r="BF227" s="81" t="s">
        <v>103</v>
      </c>
      <c r="BG227" s="89" t="n">
        <f aca="false" t="array" ref="BG227:BG227">IF(BF227="","",IFERROR(INDEX(Справочники!$B$4:$B$7,MATCH(BF227,Справочники!$A$4:$A$7,0)),""))</f>
        <v>68.5</v>
      </c>
      <c r="BH227" s="90" t="str">
        <f aca="false">IF(N(BN227)&gt;0,ROUND(SUMIF(ЗАКАЗЫ!$F$3:$F$500,$A227,ЗАКАЗЫ!$Y$3:$Y$500)/BN227,0),IF(OR(BE227="",BG227=""),"",ROUND(BE227*BG227*(1+Справочники!$B$10),0)))</f>
        <v/>
      </c>
      <c r="BI227" s="92" t="str">
        <f aca="false">IF(OR(AU227="",BH227="",AU227=0),"",(AU227-BH227)/AU227)</f>
        <v/>
      </c>
      <c r="BJ227" s="81"/>
      <c r="BK227" s="83"/>
      <c r="BL227" s="43" t="str">
        <f aca="false">IFERROR(INDEX(ЗАКАЗЫ!$N$3:$N$500,MATCH($A227,ЗАКАЗЫ!$F$3:$F$500,0)),"")</f>
        <v/>
      </c>
      <c r="BM227" s="8" t="str">
        <f aca="false">IF(BL227="","",IFERROR(VLOOKUP(BL227,'ТН ВЭД'!$A$4:$C$40,3,0),""))</f>
        <v/>
      </c>
      <c r="BN227" s="7" t="str">
        <f aca="false">IF(COUNTIF(ЗАКАЗЫ!$F$3:$F$500,$A227)=0,"",SUMIF(ЗАКАЗЫ!$F$3:$F$500,$A227,ЗАКАЗЫ!$J$3:$J$500))</f>
        <v/>
      </c>
      <c r="BO227" s="7" t="str">
        <f aca="false">IF(BN227="","",SUMIF(ЗАКАЗЫ!$F$3:$F$500,$A227,ЗАКАЗЫ!$AL$3:$AL$500))</f>
        <v/>
      </c>
      <c r="BP227" s="7" t="str">
        <f aca="false">IF(BN227="","",BN227-BO227)</f>
        <v/>
      </c>
      <c r="BQ227" s="55" t="str">
        <f aca="false">IF(BN227="","",IF(BO227&gt;=BN227,"На складе",IF(BO227&gt;0,"Частично","Ждём")))</f>
        <v/>
      </c>
      <c r="BR227" s="43"/>
      <c r="BS227" s="47" t="str">
        <f aca="false">IF(BN227="","",IF(_xlfn.MAXIFS(ЗАКАЗЫ!$AK$3:$AK$500,ЗАКАЗЫ!$F$3:$F$500,$A227)=0,"",_xlfn.MAXIFS(ЗАКАЗЫ!$AK$3:$AK$500,ЗАКАЗЫ!$F$3:$F$500,$A227)))</f>
        <v/>
      </c>
    </row>
    <row r="228" customFormat="false" ht="15.75" hidden="false" customHeight="true" outlineLevel="0" collapsed="false">
      <c r="A228" s="80" t="s">
        <v>2422</v>
      </c>
      <c r="B228" s="81"/>
      <c r="C228" s="81"/>
      <c r="D228" s="81"/>
      <c r="E228" s="83"/>
      <c r="F228" s="81"/>
      <c r="G228" s="83"/>
      <c r="H228" s="83"/>
      <c r="I228" s="84" t="str">
        <f aca="false">IF(E228="","",A228&amp;"_1.jpg")</f>
        <v/>
      </c>
      <c r="J228" s="84" t="str">
        <f aca="false">IF(E228="","",A228&amp;"_2.jpg; "&amp;A228&amp;"_3.jpg")</f>
        <v/>
      </c>
      <c r="K228" s="84" t="str">
        <f aca="false">IF(E228="","",A228&amp;"_schema.jpg")</f>
        <v/>
      </c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 t="s">
        <v>96</v>
      </c>
      <c r="W228" s="81"/>
      <c r="X228" s="81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6" t="str">
        <f aca="false">IF(SUM(Y228:AJ228)=0,"",SUM(Y228:AJ228))</f>
        <v/>
      </c>
      <c r="AL228" s="84" t="str">
        <f aca="false">MID(IF(N(Y228)&gt;0,", "&amp;Y$2,"")&amp;IF(N(Z228)&gt;0,", "&amp;Z$2,"")&amp;IF(N(AA228)&gt;0,", "&amp;AA$2,"")&amp;IF(N(AB228)&gt;0,", "&amp;AB$2,"")&amp;IF(N(AC228)&gt;0,", "&amp;AC$2,"")&amp;IF(N(AD228)&gt;0,", "&amp;AD$2,"")&amp;IF(N(AE228)&gt;0,", "&amp;AE$2,"")&amp;IF(N(AF228)&gt;0,", "&amp;AF$2,"")&amp;IF(N(AG228)&gt;0,", "&amp;AG$2,"")&amp;IF(N(AH228)&gt;0,", "&amp;AH$2,"")&amp;IF(N(AI228)&gt;0,", "&amp;AI$2,"")&amp;IF(N(AJ228)&gt;0,", "&amp;AJ$2,""),3,999)</f>
        <v/>
      </c>
      <c r="AM228" s="87" t="str">
        <f aca="false">IF(E228="","",MID(IF(N(Y228)&gt;0,", "&amp;A228&amp;"-"&amp;Y$2,"")&amp;IF(N(Z228)&gt;0,", "&amp;A228&amp;"-"&amp;Z$2,"")&amp;IF(N(AA228)&gt;0,", "&amp;A228&amp;"-"&amp;AA$2,"")&amp;IF(N(AB228)&gt;0,", "&amp;A228&amp;"-"&amp;AB$2,"")&amp;IF(N(AC228)&gt;0,", "&amp;A228&amp;"-"&amp;AC$2,"")&amp;IF(N(AD228)&gt;0,", "&amp;A228&amp;"-"&amp;AD$2,"")&amp;IF(N(AE228)&gt;0,", "&amp;A228&amp;"-"&amp;AE$2,"")&amp;IF(N(AF228)&gt;0,", "&amp;A228&amp;"-"&amp;AF$2,"")&amp;IF(N(AG228)&gt;0,", "&amp;A228&amp;"-"&amp;AG$2,"")&amp;IF(N(AH228)&gt;0,", "&amp;A228&amp;"-"&amp;AH$2,"")&amp;IF(N(AI228)&gt;0,", "&amp;A228&amp;"-"&amp;AI$2,"")&amp;IF(N(AJ228)&gt;0,", "&amp;A228&amp;"-"&amp;AJ$2,""),3,999))</f>
        <v/>
      </c>
      <c r="AN228" s="81"/>
      <c r="AO228" s="88"/>
      <c r="AP228" s="89" t="str">
        <f aca="false">IF(AO228="","",ROUND(AO228/(1+Справочники!$B$13),2))</f>
        <v/>
      </c>
      <c r="AQ228" s="90" t="str">
        <f aca="false" t="array" ref="AQ228:AQ228">IF(AP228="","",AP228*INDEX(Справочники!$B$4:$B$7,MATCH("RUB",Справочники!$A$4:$A$7,0)))</f>
        <v/>
      </c>
      <c r="AR228" s="90" t="str">
        <f aca="false">IF(AQ228="","",ROUND(AQ228*(1+Справочники!$B$12),0))</f>
        <v/>
      </c>
      <c r="AS228" s="90" t="str">
        <f aca="false">IF(AR228="","",ROUND(AR228*(1-Справочники!$B$11),0))</f>
        <v/>
      </c>
      <c r="AT228" s="88"/>
      <c r="AU228" s="90" t="str">
        <f aca="false">IF(AT228="","",ROUND(AT228/(1+Справочники!$B$12),0))</f>
        <v/>
      </c>
      <c r="AV228" s="90" t="str">
        <f aca="false">IF(AT228="","",ROUND(AT228*(1-Справочники!$B$15),0))</f>
        <v/>
      </c>
      <c r="AW228" s="90" t="str">
        <f aca="false">IF(AT228="","",ROUND(AT228*(1-Справочники!$B$16),0))</f>
        <v/>
      </c>
      <c r="AX228" s="90" t="str">
        <f aca="false">IF(AT228="","",ROUND(AT228*(1-Справочники!$B$17),0))</f>
        <v/>
      </c>
      <c r="AY228" s="90" t="str">
        <f aca="false">IF(AT228="","",ROUND(AT228*(1-Справочники!$B$18),0))</f>
        <v/>
      </c>
      <c r="AZ228" s="90" t="str">
        <f aca="false">IF(AT228="","",ROUND(AT228*(1-Справочники!$B$19),0))</f>
        <v/>
      </c>
      <c r="BA228" s="81"/>
      <c r="BB228" s="81"/>
      <c r="BC228" s="81"/>
      <c r="BD228" s="81"/>
      <c r="BE228" s="91"/>
      <c r="BF228" s="81" t="s">
        <v>103</v>
      </c>
      <c r="BG228" s="89" t="n">
        <f aca="false" t="array" ref="BG228:BG228">IF(BF228="","",IFERROR(INDEX(Справочники!$B$4:$B$7,MATCH(BF228,Справочники!$A$4:$A$7,0)),""))</f>
        <v>68.5</v>
      </c>
      <c r="BH228" s="90" t="str">
        <f aca="false">IF(N(BN228)&gt;0,ROUND(SUMIF(ЗАКАЗЫ!$F$3:$F$500,$A228,ЗАКАЗЫ!$Y$3:$Y$500)/BN228,0),IF(OR(BE228="",BG228=""),"",ROUND(BE228*BG228*(1+Справочники!$B$10),0)))</f>
        <v/>
      </c>
      <c r="BI228" s="92" t="str">
        <f aca="false">IF(OR(AU228="",BH228="",AU228=0),"",(AU228-BH228)/AU228)</f>
        <v/>
      </c>
      <c r="BJ228" s="81"/>
      <c r="BK228" s="83"/>
      <c r="BL228" s="43" t="str">
        <f aca="false">IFERROR(INDEX(ЗАКАЗЫ!$N$3:$N$500,MATCH($A228,ЗАКАЗЫ!$F$3:$F$500,0)),"")</f>
        <v/>
      </c>
      <c r="BM228" s="8" t="str">
        <f aca="false">IF(BL228="","",IFERROR(VLOOKUP(BL228,'ТН ВЭД'!$A$4:$C$40,3,0),""))</f>
        <v/>
      </c>
      <c r="BN228" s="7" t="str">
        <f aca="false">IF(COUNTIF(ЗАКАЗЫ!$F$3:$F$500,$A228)=0,"",SUMIF(ЗАКАЗЫ!$F$3:$F$500,$A228,ЗАКАЗЫ!$J$3:$J$500))</f>
        <v/>
      </c>
      <c r="BO228" s="7" t="str">
        <f aca="false">IF(BN228="","",SUMIF(ЗАКАЗЫ!$F$3:$F$500,$A228,ЗАКАЗЫ!$AL$3:$AL$500))</f>
        <v/>
      </c>
      <c r="BP228" s="7" t="str">
        <f aca="false">IF(BN228="","",BN228-BO228)</f>
        <v/>
      </c>
      <c r="BQ228" s="55" t="str">
        <f aca="false">IF(BN228="","",IF(BO228&gt;=BN228,"На складе",IF(BO228&gt;0,"Частично","Ждём")))</f>
        <v/>
      </c>
      <c r="BR228" s="43"/>
      <c r="BS228" s="47" t="str">
        <f aca="false">IF(BN228="","",IF(_xlfn.MAXIFS(ЗАКАЗЫ!$AK$3:$AK$500,ЗАКАЗЫ!$F$3:$F$500,$A228)=0,"",_xlfn.MAXIFS(ЗАКАЗЫ!$AK$3:$AK$500,ЗАКАЗЫ!$F$3:$F$500,$A228)))</f>
        <v/>
      </c>
    </row>
    <row r="229" customFormat="false" ht="15.75" hidden="false" customHeight="true" outlineLevel="0" collapsed="false">
      <c r="A229" s="80" t="s">
        <v>2423</v>
      </c>
      <c r="B229" s="81"/>
      <c r="C229" s="81"/>
      <c r="D229" s="81"/>
      <c r="E229" s="83"/>
      <c r="F229" s="81"/>
      <c r="G229" s="83"/>
      <c r="H229" s="83"/>
      <c r="I229" s="84" t="str">
        <f aca="false">IF(E229="","",A229&amp;"_1.jpg")</f>
        <v/>
      </c>
      <c r="J229" s="84" t="str">
        <f aca="false">IF(E229="","",A229&amp;"_2.jpg; "&amp;A229&amp;"_3.jpg")</f>
        <v/>
      </c>
      <c r="K229" s="84" t="str">
        <f aca="false">IF(E229="","",A229&amp;"_schema.jpg")</f>
        <v/>
      </c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 t="s">
        <v>96</v>
      </c>
      <c r="W229" s="81"/>
      <c r="X229" s="81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6" t="str">
        <f aca="false">IF(SUM(Y229:AJ229)=0,"",SUM(Y229:AJ229))</f>
        <v/>
      </c>
      <c r="AL229" s="84" t="str">
        <f aca="false">MID(IF(N(Y229)&gt;0,", "&amp;Y$2,"")&amp;IF(N(Z229)&gt;0,", "&amp;Z$2,"")&amp;IF(N(AA229)&gt;0,", "&amp;AA$2,"")&amp;IF(N(AB229)&gt;0,", "&amp;AB$2,"")&amp;IF(N(AC229)&gt;0,", "&amp;AC$2,"")&amp;IF(N(AD229)&gt;0,", "&amp;AD$2,"")&amp;IF(N(AE229)&gt;0,", "&amp;AE$2,"")&amp;IF(N(AF229)&gt;0,", "&amp;AF$2,"")&amp;IF(N(AG229)&gt;0,", "&amp;AG$2,"")&amp;IF(N(AH229)&gt;0,", "&amp;AH$2,"")&amp;IF(N(AI229)&gt;0,", "&amp;AI$2,"")&amp;IF(N(AJ229)&gt;0,", "&amp;AJ$2,""),3,999)</f>
        <v/>
      </c>
      <c r="AM229" s="87" t="str">
        <f aca="false">IF(E229="","",MID(IF(N(Y229)&gt;0,", "&amp;A229&amp;"-"&amp;Y$2,"")&amp;IF(N(Z229)&gt;0,", "&amp;A229&amp;"-"&amp;Z$2,"")&amp;IF(N(AA229)&gt;0,", "&amp;A229&amp;"-"&amp;AA$2,"")&amp;IF(N(AB229)&gt;0,", "&amp;A229&amp;"-"&amp;AB$2,"")&amp;IF(N(AC229)&gt;0,", "&amp;A229&amp;"-"&amp;AC$2,"")&amp;IF(N(AD229)&gt;0,", "&amp;A229&amp;"-"&amp;AD$2,"")&amp;IF(N(AE229)&gt;0,", "&amp;A229&amp;"-"&amp;AE$2,"")&amp;IF(N(AF229)&gt;0,", "&amp;A229&amp;"-"&amp;AF$2,"")&amp;IF(N(AG229)&gt;0,", "&amp;A229&amp;"-"&amp;AG$2,"")&amp;IF(N(AH229)&gt;0,", "&amp;A229&amp;"-"&amp;AH$2,"")&amp;IF(N(AI229)&gt;0,", "&amp;A229&amp;"-"&amp;AI$2,"")&amp;IF(N(AJ229)&gt;0,", "&amp;A229&amp;"-"&amp;AJ$2,""),3,999))</f>
        <v/>
      </c>
      <c r="AN229" s="81"/>
      <c r="AO229" s="88"/>
      <c r="AP229" s="89" t="str">
        <f aca="false">IF(AO229="","",ROUND(AO229/(1+Справочники!$B$13),2))</f>
        <v/>
      </c>
      <c r="AQ229" s="90" t="str">
        <f aca="false" t="array" ref="AQ229:AQ229">IF(AP229="","",AP229*INDEX(Справочники!$B$4:$B$7,MATCH("RUB",Справочники!$A$4:$A$7,0)))</f>
        <v/>
      </c>
      <c r="AR229" s="90" t="str">
        <f aca="false">IF(AQ229="","",ROUND(AQ229*(1+Справочники!$B$12),0))</f>
        <v/>
      </c>
      <c r="AS229" s="90" t="str">
        <f aca="false">IF(AR229="","",ROUND(AR229*(1-Справочники!$B$11),0))</f>
        <v/>
      </c>
      <c r="AT229" s="88"/>
      <c r="AU229" s="90" t="str">
        <f aca="false">IF(AT229="","",ROUND(AT229/(1+Справочники!$B$12),0))</f>
        <v/>
      </c>
      <c r="AV229" s="90" t="str">
        <f aca="false">IF(AT229="","",ROUND(AT229*(1-Справочники!$B$15),0))</f>
        <v/>
      </c>
      <c r="AW229" s="90" t="str">
        <f aca="false">IF(AT229="","",ROUND(AT229*(1-Справочники!$B$16),0))</f>
        <v/>
      </c>
      <c r="AX229" s="90" t="str">
        <f aca="false">IF(AT229="","",ROUND(AT229*(1-Справочники!$B$17),0))</f>
        <v/>
      </c>
      <c r="AY229" s="90" t="str">
        <f aca="false">IF(AT229="","",ROUND(AT229*(1-Справочники!$B$18),0))</f>
        <v/>
      </c>
      <c r="AZ229" s="90" t="str">
        <f aca="false">IF(AT229="","",ROUND(AT229*(1-Справочники!$B$19),0))</f>
        <v/>
      </c>
      <c r="BA229" s="81"/>
      <c r="BB229" s="81"/>
      <c r="BC229" s="81"/>
      <c r="BD229" s="81"/>
      <c r="BE229" s="91"/>
      <c r="BF229" s="81" t="s">
        <v>103</v>
      </c>
      <c r="BG229" s="89" t="n">
        <f aca="false" t="array" ref="BG229:BG229">IF(BF229="","",IFERROR(INDEX(Справочники!$B$4:$B$7,MATCH(BF229,Справочники!$A$4:$A$7,0)),""))</f>
        <v>68.5</v>
      </c>
      <c r="BH229" s="90" t="str">
        <f aca="false">IF(N(BN229)&gt;0,ROUND(SUMIF(ЗАКАЗЫ!$F$3:$F$500,$A229,ЗАКАЗЫ!$Y$3:$Y$500)/BN229,0),IF(OR(BE229="",BG229=""),"",ROUND(BE229*BG229*(1+Справочники!$B$10),0)))</f>
        <v/>
      </c>
      <c r="BI229" s="92" t="str">
        <f aca="false">IF(OR(AU229="",BH229="",AU229=0),"",(AU229-BH229)/AU229)</f>
        <v/>
      </c>
      <c r="BJ229" s="81"/>
      <c r="BK229" s="83"/>
      <c r="BL229" s="43" t="str">
        <f aca="false">IFERROR(INDEX(ЗАКАЗЫ!$N$3:$N$500,MATCH($A229,ЗАКАЗЫ!$F$3:$F$500,0)),"")</f>
        <v/>
      </c>
      <c r="BM229" s="8" t="str">
        <f aca="false">IF(BL229="","",IFERROR(VLOOKUP(BL229,'ТН ВЭД'!$A$4:$C$40,3,0),""))</f>
        <v/>
      </c>
      <c r="BN229" s="7" t="str">
        <f aca="false">IF(COUNTIF(ЗАКАЗЫ!$F$3:$F$500,$A229)=0,"",SUMIF(ЗАКАЗЫ!$F$3:$F$500,$A229,ЗАКАЗЫ!$J$3:$J$500))</f>
        <v/>
      </c>
      <c r="BO229" s="7" t="str">
        <f aca="false">IF(BN229="","",SUMIF(ЗАКАЗЫ!$F$3:$F$500,$A229,ЗАКАЗЫ!$AL$3:$AL$500))</f>
        <v/>
      </c>
      <c r="BP229" s="7" t="str">
        <f aca="false">IF(BN229="","",BN229-BO229)</f>
        <v/>
      </c>
      <c r="BQ229" s="55" t="str">
        <f aca="false">IF(BN229="","",IF(BO229&gt;=BN229,"На складе",IF(BO229&gt;0,"Частично","Ждём")))</f>
        <v/>
      </c>
      <c r="BR229" s="43"/>
      <c r="BS229" s="47" t="str">
        <f aca="false">IF(BN229="","",IF(_xlfn.MAXIFS(ЗАКАЗЫ!$AK$3:$AK$500,ЗАКАЗЫ!$F$3:$F$500,$A229)=0,"",_xlfn.MAXIFS(ЗАКАЗЫ!$AK$3:$AK$500,ЗАКАЗЫ!$F$3:$F$500,$A229)))</f>
        <v/>
      </c>
    </row>
    <row r="230" customFormat="false" ht="15.75" hidden="false" customHeight="true" outlineLevel="0" collapsed="false">
      <c r="A230" s="80" t="s">
        <v>2424</v>
      </c>
      <c r="B230" s="81"/>
      <c r="C230" s="81"/>
      <c r="D230" s="81"/>
      <c r="E230" s="83"/>
      <c r="F230" s="81"/>
      <c r="G230" s="83"/>
      <c r="H230" s="83"/>
      <c r="I230" s="84" t="str">
        <f aca="false">IF(E230="","",A230&amp;"_1.jpg")</f>
        <v/>
      </c>
      <c r="J230" s="84" t="str">
        <f aca="false">IF(E230="","",A230&amp;"_2.jpg; "&amp;A230&amp;"_3.jpg")</f>
        <v/>
      </c>
      <c r="K230" s="84" t="str">
        <f aca="false">IF(E230="","",A230&amp;"_schema.jpg")</f>
        <v/>
      </c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 t="s">
        <v>96</v>
      </c>
      <c r="W230" s="81"/>
      <c r="X230" s="81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6" t="str">
        <f aca="false">IF(SUM(Y230:AJ230)=0,"",SUM(Y230:AJ230))</f>
        <v/>
      </c>
      <c r="AL230" s="84" t="str">
        <f aca="false">MID(IF(N(Y230)&gt;0,", "&amp;Y$2,"")&amp;IF(N(Z230)&gt;0,", "&amp;Z$2,"")&amp;IF(N(AA230)&gt;0,", "&amp;AA$2,"")&amp;IF(N(AB230)&gt;0,", "&amp;AB$2,"")&amp;IF(N(AC230)&gt;0,", "&amp;AC$2,"")&amp;IF(N(AD230)&gt;0,", "&amp;AD$2,"")&amp;IF(N(AE230)&gt;0,", "&amp;AE$2,"")&amp;IF(N(AF230)&gt;0,", "&amp;AF$2,"")&amp;IF(N(AG230)&gt;0,", "&amp;AG$2,"")&amp;IF(N(AH230)&gt;0,", "&amp;AH$2,"")&amp;IF(N(AI230)&gt;0,", "&amp;AI$2,"")&amp;IF(N(AJ230)&gt;0,", "&amp;AJ$2,""),3,999)</f>
        <v/>
      </c>
      <c r="AM230" s="87" t="str">
        <f aca="false">IF(E230="","",MID(IF(N(Y230)&gt;0,", "&amp;A230&amp;"-"&amp;Y$2,"")&amp;IF(N(Z230)&gt;0,", "&amp;A230&amp;"-"&amp;Z$2,"")&amp;IF(N(AA230)&gt;0,", "&amp;A230&amp;"-"&amp;AA$2,"")&amp;IF(N(AB230)&gt;0,", "&amp;A230&amp;"-"&amp;AB$2,"")&amp;IF(N(AC230)&gt;0,", "&amp;A230&amp;"-"&amp;AC$2,"")&amp;IF(N(AD230)&gt;0,", "&amp;A230&amp;"-"&amp;AD$2,"")&amp;IF(N(AE230)&gt;0,", "&amp;A230&amp;"-"&amp;AE$2,"")&amp;IF(N(AF230)&gt;0,", "&amp;A230&amp;"-"&amp;AF$2,"")&amp;IF(N(AG230)&gt;0,", "&amp;A230&amp;"-"&amp;AG$2,"")&amp;IF(N(AH230)&gt;0,", "&amp;A230&amp;"-"&amp;AH$2,"")&amp;IF(N(AI230)&gt;0,", "&amp;A230&amp;"-"&amp;AI$2,"")&amp;IF(N(AJ230)&gt;0,", "&amp;A230&amp;"-"&amp;AJ$2,""),3,999))</f>
        <v/>
      </c>
      <c r="AN230" s="81"/>
      <c r="AO230" s="88"/>
      <c r="AP230" s="89" t="str">
        <f aca="false">IF(AO230="","",ROUND(AO230/(1+Справочники!$B$13),2))</f>
        <v/>
      </c>
      <c r="AQ230" s="90" t="str">
        <f aca="false" t="array" ref="AQ230:AQ230">IF(AP230="","",AP230*INDEX(Справочники!$B$4:$B$7,MATCH("RUB",Справочники!$A$4:$A$7,0)))</f>
        <v/>
      </c>
      <c r="AR230" s="90" t="str">
        <f aca="false">IF(AQ230="","",ROUND(AQ230*(1+Справочники!$B$12),0))</f>
        <v/>
      </c>
      <c r="AS230" s="90" t="str">
        <f aca="false">IF(AR230="","",ROUND(AR230*(1-Справочники!$B$11),0))</f>
        <v/>
      </c>
      <c r="AT230" s="88"/>
      <c r="AU230" s="90" t="str">
        <f aca="false">IF(AT230="","",ROUND(AT230/(1+Справочники!$B$12),0))</f>
        <v/>
      </c>
      <c r="AV230" s="90" t="str">
        <f aca="false">IF(AT230="","",ROUND(AT230*(1-Справочники!$B$15),0))</f>
        <v/>
      </c>
      <c r="AW230" s="90" t="str">
        <f aca="false">IF(AT230="","",ROUND(AT230*(1-Справочники!$B$16),0))</f>
        <v/>
      </c>
      <c r="AX230" s="90" t="str">
        <f aca="false">IF(AT230="","",ROUND(AT230*(1-Справочники!$B$17),0))</f>
        <v/>
      </c>
      <c r="AY230" s="90" t="str">
        <f aca="false">IF(AT230="","",ROUND(AT230*(1-Справочники!$B$18),0))</f>
        <v/>
      </c>
      <c r="AZ230" s="90" t="str">
        <f aca="false">IF(AT230="","",ROUND(AT230*(1-Справочники!$B$19),0))</f>
        <v/>
      </c>
      <c r="BA230" s="81"/>
      <c r="BB230" s="81"/>
      <c r="BC230" s="81"/>
      <c r="BD230" s="81"/>
      <c r="BE230" s="91"/>
      <c r="BF230" s="81" t="s">
        <v>103</v>
      </c>
      <c r="BG230" s="89" t="n">
        <f aca="false" t="array" ref="BG230:BG230">IF(BF230="","",IFERROR(INDEX(Справочники!$B$4:$B$7,MATCH(BF230,Справочники!$A$4:$A$7,0)),""))</f>
        <v>68.5</v>
      </c>
      <c r="BH230" s="90" t="str">
        <f aca="false">IF(N(BN230)&gt;0,ROUND(SUMIF(ЗАКАЗЫ!$F$3:$F$500,$A230,ЗАКАЗЫ!$Y$3:$Y$500)/BN230,0),IF(OR(BE230="",BG230=""),"",ROUND(BE230*BG230*(1+Справочники!$B$10),0)))</f>
        <v/>
      </c>
      <c r="BI230" s="92" t="str">
        <f aca="false">IF(OR(AU230="",BH230="",AU230=0),"",(AU230-BH230)/AU230)</f>
        <v/>
      </c>
      <c r="BJ230" s="81"/>
      <c r="BK230" s="83"/>
      <c r="BL230" s="43" t="str">
        <f aca="false">IFERROR(INDEX(ЗАКАЗЫ!$N$3:$N$500,MATCH($A230,ЗАКАЗЫ!$F$3:$F$500,0)),"")</f>
        <v/>
      </c>
      <c r="BM230" s="8" t="str">
        <f aca="false">IF(BL230="","",IFERROR(VLOOKUP(BL230,'ТН ВЭД'!$A$4:$C$40,3,0),""))</f>
        <v/>
      </c>
      <c r="BN230" s="7" t="str">
        <f aca="false">IF(COUNTIF(ЗАКАЗЫ!$F$3:$F$500,$A230)=0,"",SUMIF(ЗАКАЗЫ!$F$3:$F$500,$A230,ЗАКАЗЫ!$J$3:$J$500))</f>
        <v/>
      </c>
      <c r="BO230" s="7" t="str">
        <f aca="false">IF(BN230="","",SUMIF(ЗАКАЗЫ!$F$3:$F$500,$A230,ЗАКАЗЫ!$AL$3:$AL$500))</f>
        <v/>
      </c>
      <c r="BP230" s="7" t="str">
        <f aca="false">IF(BN230="","",BN230-BO230)</f>
        <v/>
      </c>
      <c r="BQ230" s="55" t="str">
        <f aca="false">IF(BN230="","",IF(BO230&gt;=BN230,"На складе",IF(BO230&gt;0,"Частично","Ждём")))</f>
        <v/>
      </c>
      <c r="BR230" s="43"/>
      <c r="BS230" s="47" t="str">
        <f aca="false">IF(BN230="","",IF(_xlfn.MAXIFS(ЗАКАЗЫ!$AK$3:$AK$500,ЗАКАЗЫ!$F$3:$F$500,$A230)=0,"",_xlfn.MAXIFS(ЗАКАЗЫ!$AK$3:$AK$500,ЗАКАЗЫ!$F$3:$F$500,$A230)))</f>
        <v/>
      </c>
    </row>
    <row r="231" customFormat="false" ht="15.75" hidden="false" customHeight="true" outlineLevel="0" collapsed="false">
      <c r="A231" s="80" t="s">
        <v>2425</v>
      </c>
      <c r="B231" s="81"/>
      <c r="C231" s="81"/>
      <c r="D231" s="81"/>
      <c r="E231" s="83"/>
      <c r="F231" s="81"/>
      <c r="G231" s="83"/>
      <c r="H231" s="83"/>
      <c r="I231" s="84" t="str">
        <f aca="false">IF(E231="","",A231&amp;"_1.jpg")</f>
        <v/>
      </c>
      <c r="J231" s="84" t="str">
        <f aca="false">IF(E231="","",A231&amp;"_2.jpg; "&amp;A231&amp;"_3.jpg")</f>
        <v/>
      </c>
      <c r="K231" s="84" t="str">
        <f aca="false">IF(E231="","",A231&amp;"_schema.jpg")</f>
        <v/>
      </c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 t="s">
        <v>96</v>
      </c>
      <c r="W231" s="81"/>
      <c r="X231" s="81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6" t="str">
        <f aca="false">IF(SUM(Y231:AJ231)=0,"",SUM(Y231:AJ231))</f>
        <v/>
      </c>
      <c r="AL231" s="84" t="str">
        <f aca="false">MID(IF(N(Y231)&gt;0,", "&amp;Y$2,"")&amp;IF(N(Z231)&gt;0,", "&amp;Z$2,"")&amp;IF(N(AA231)&gt;0,", "&amp;AA$2,"")&amp;IF(N(AB231)&gt;0,", "&amp;AB$2,"")&amp;IF(N(AC231)&gt;0,", "&amp;AC$2,"")&amp;IF(N(AD231)&gt;0,", "&amp;AD$2,"")&amp;IF(N(AE231)&gt;0,", "&amp;AE$2,"")&amp;IF(N(AF231)&gt;0,", "&amp;AF$2,"")&amp;IF(N(AG231)&gt;0,", "&amp;AG$2,"")&amp;IF(N(AH231)&gt;0,", "&amp;AH$2,"")&amp;IF(N(AI231)&gt;0,", "&amp;AI$2,"")&amp;IF(N(AJ231)&gt;0,", "&amp;AJ$2,""),3,999)</f>
        <v/>
      </c>
      <c r="AM231" s="87" t="str">
        <f aca="false">IF(E231="","",MID(IF(N(Y231)&gt;0,", "&amp;A231&amp;"-"&amp;Y$2,"")&amp;IF(N(Z231)&gt;0,", "&amp;A231&amp;"-"&amp;Z$2,"")&amp;IF(N(AA231)&gt;0,", "&amp;A231&amp;"-"&amp;AA$2,"")&amp;IF(N(AB231)&gt;0,", "&amp;A231&amp;"-"&amp;AB$2,"")&amp;IF(N(AC231)&gt;0,", "&amp;A231&amp;"-"&amp;AC$2,"")&amp;IF(N(AD231)&gt;0,", "&amp;A231&amp;"-"&amp;AD$2,"")&amp;IF(N(AE231)&gt;0,", "&amp;A231&amp;"-"&amp;AE$2,"")&amp;IF(N(AF231)&gt;0,", "&amp;A231&amp;"-"&amp;AF$2,"")&amp;IF(N(AG231)&gt;0,", "&amp;A231&amp;"-"&amp;AG$2,"")&amp;IF(N(AH231)&gt;0,", "&amp;A231&amp;"-"&amp;AH$2,"")&amp;IF(N(AI231)&gt;0,", "&amp;A231&amp;"-"&amp;AI$2,"")&amp;IF(N(AJ231)&gt;0,", "&amp;A231&amp;"-"&amp;AJ$2,""),3,999))</f>
        <v/>
      </c>
      <c r="AN231" s="81"/>
      <c r="AO231" s="88"/>
      <c r="AP231" s="89" t="str">
        <f aca="false">IF(AO231="","",ROUND(AO231/(1+Справочники!$B$13),2))</f>
        <v/>
      </c>
      <c r="AQ231" s="90" t="str">
        <f aca="false" t="array" ref="AQ231:AQ231">IF(AP231="","",AP231*INDEX(Справочники!$B$4:$B$7,MATCH("RUB",Справочники!$A$4:$A$7,0)))</f>
        <v/>
      </c>
      <c r="AR231" s="90" t="str">
        <f aca="false">IF(AQ231="","",ROUND(AQ231*(1+Справочники!$B$12),0))</f>
        <v/>
      </c>
      <c r="AS231" s="90" t="str">
        <f aca="false">IF(AR231="","",ROUND(AR231*(1-Справочники!$B$11),0))</f>
        <v/>
      </c>
      <c r="AT231" s="88"/>
      <c r="AU231" s="90" t="str">
        <f aca="false">IF(AT231="","",ROUND(AT231/(1+Справочники!$B$12),0))</f>
        <v/>
      </c>
      <c r="AV231" s="90" t="str">
        <f aca="false">IF(AT231="","",ROUND(AT231*(1-Справочники!$B$15),0))</f>
        <v/>
      </c>
      <c r="AW231" s="90" t="str">
        <f aca="false">IF(AT231="","",ROUND(AT231*(1-Справочники!$B$16),0))</f>
        <v/>
      </c>
      <c r="AX231" s="90" t="str">
        <f aca="false">IF(AT231="","",ROUND(AT231*(1-Справочники!$B$17),0))</f>
        <v/>
      </c>
      <c r="AY231" s="90" t="str">
        <f aca="false">IF(AT231="","",ROUND(AT231*(1-Справочники!$B$18),0))</f>
        <v/>
      </c>
      <c r="AZ231" s="90" t="str">
        <f aca="false">IF(AT231="","",ROUND(AT231*(1-Справочники!$B$19),0))</f>
        <v/>
      </c>
      <c r="BA231" s="81"/>
      <c r="BB231" s="81"/>
      <c r="BC231" s="81"/>
      <c r="BD231" s="81"/>
      <c r="BE231" s="91"/>
      <c r="BF231" s="81" t="s">
        <v>103</v>
      </c>
      <c r="BG231" s="89" t="n">
        <f aca="false" t="array" ref="BG231:BG231">IF(BF231="","",IFERROR(INDEX(Справочники!$B$4:$B$7,MATCH(BF231,Справочники!$A$4:$A$7,0)),""))</f>
        <v>68.5</v>
      </c>
      <c r="BH231" s="90" t="str">
        <f aca="false">IF(N(BN231)&gt;0,ROUND(SUMIF(ЗАКАЗЫ!$F$3:$F$500,$A231,ЗАКАЗЫ!$Y$3:$Y$500)/BN231,0),IF(OR(BE231="",BG231=""),"",ROUND(BE231*BG231*(1+Справочники!$B$10),0)))</f>
        <v/>
      </c>
      <c r="BI231" s="92" t="str">
        <f aca="false">IF(OR(AU231="",BH231="",AU231=0),"",(AU231-BH231)/AU231)</f>
        <v/>
      </c>
      <c r="BJ231" s="81"/>
      <c r="BK231" s="83"/>
      <c r="BL231" s="43" t="str">
        <f aca="false">IFERROR(INDEX(ЗАКАЗЫ!$N$3:$N$500,MATCH($A231,ЗАКАЗЫ!$F$3:$F$500,0)),"")</f>
        <v/>
      </c>
      <c r="BM231" s="8" t="str">
        <f aca="false">IF(BL231="","",IFERROR(VLOOKUP(BL231,'ТН ВЭД'!$A$4:$C$40,3,0),""))</f>
        <v/>
      </c>
      <c r="BN231" s="7" t="str">
        <f aca="false">IF(COUNTIF(ЗАКАЗЫ!$F$3:$F$500,$A231)=0,"",SUMIF(ЗАКАЗЫ!$F$3:$F$500,$A231,ЗАКАЗЫ!$J$3:$J$500))</f>
        <v/>
      </c>
      <c r="BO231" s="7" t="str">
        <f aca="false">IF(BN231="","",SUMIF(ЗАКАЗЫ!$F$3:$F$500,$A231,ЗАКАЗЫ!$AL$3:$AL$500))</f>
        <v/>
      </c>
      <c r="BP231" s="7" t="str">
        <f aca="false">IF(BN231="","",BN231-BO231)</f>
        <v/>
      </c>
      <c r="BQ231" s="55" t="str">
        <f aca="false">IF(BN231="","",IF(BO231&gt;=BN231,"На складе",IF(BO231&gt;0,"Частично","Ждём")))</f>
        <v/>
      </c>
      <c r="BR231" s="43"/>
      <c r="BS231" s="47" t="str">
        <f aca="false">IF(BN231="","",IF(_xlfn.MAXIFS(ЗАКАЗЫ!$AK$3:$AK$500,ЗАКАЗЫ!$F$3:$F$500,$A231)=0,"",_xlfn.MAXIFS(ЗАКАЗЫ!$AK$3:$AK$500,ЗАКАЗЫ!$F$3:$F$500,$A231)))</f>
        <v/>
      </c>
    </row>
    <row r="232" customFormat="false" ht="15.75" hidden="false" customHeight="true" outlineLevel="0" collapsed="false">
      <c r="A232" s="80" t="s">
        <v>2426</v>
      </c>
      <c r="B232" s="81"/>
      <c r="C232" s="81"/>
      <c r="D232" s="81"/>
      <c r="E232" s="83"/>
      <c r="F232" s="81"/>
      <c r="G232" s="83"/>
      <c r="H232" s="83"/>
      <c r="I232" s="84" t="str">
        <f aca="false">IF(E232="","",A232&amp;"_1.jpg")</f>
        <v/>
      </c>
      <c r="J232" s="84" t="str">
        <f aca="false">IF(E232="","",A232&amp;"_2.jpg; "&amp;A232&amp;"_3.jpg")</f>
        <v/>
      </c>
      <c r="K232" s="84" t="str">
        <f aca="false">IF(E232="","",A232&amp;"_schema.jpg")</f>
        <v/>
      </c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 t="s">
        <v>96</v>
      </c>
      <c r="W232" s="81"/>
      <c r="X232" s="81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6" t="str">
        <f aca="false">IF(SUM(Y232:AJ232)=0,"",SUM(Y232:AJ232))</f>
        <v/>
      </c>
      <c r="AL232" s="84" t="str">
        <f aca="false">MID(IF(N(Y232)&gt;0,", "&amp;Y$2,"")&amp;IF(N(Z232)&gt;0,", "&amp;Z$2,"")&amp;IF(N(AA232)&gt;0,", "&amp;AA$2,"")&amp;IF(N(AB232)&gt;0,", "&amp;AB$2,"")&amp;IF(N(AC232)&gt;0,", "&amp;AC$2,"")&amp;IF(N(AD232)&gt;0,", "&amp;AD$2,"")&amp;IF(N(AE232)&gt;0,", "&amp;AE$2,"")&amp;IF(N(AF232)&gt;0,", "&amp;AF$2,"")&amp;IF(N(AG232)&gt;0,", "&amp;AG$2,"")&amp;IF(N(AH232)&gt;0,", "&amp;AH$2,"")&amp;IF(N(AI232)&gt;0,", "&amp;AI$2,"")&amp;IF(N(AJ232)&gt;0,", "&amp;AJ$2,""),3,999)</f>
        <v/>
      </c>
      <c r="AM232" s="87" t="str">
        <f aca="false">IF(E232="","",MID(IF(N(Y232)&gt;0,", "&amp;A232&amp;"-"&amp;Y$2,"")&amp;IF(N(Z232)&gt;0,", "&amp;A232&amp;"-"&amp;Z$2,"")&amp;IF(N(AA232)&gt;0,", "&amp;A232&amp;"-"&amp;AA$2,"")&amp;IF(N(AB232)&gt;0,", "&amp;A232&amp;"-"&amp;AB$2,"")&amp;IF(N(AC232)&gt;0,", "&amp;A232&amp;"-"&amp;AC$2,"")&amp;IF(N(AD232)&gt;0,", "&amp;A232&amp;"-"&amp;AD$2,"")&amp;IF(N(AE232)&gt;0,", "&amp;A232&amp;"-"&amp;AE$2,"")&amp;IF(N(AF232)&gt;0,", "&amp;A232&amp;"-"&amp;AF$2,"")&amp;IF(N(AG232)&gt;0,", "&amp;A232&amp;"-"&amp;AG$2,"")&amp;IF(N(AH232)&gt;0,", "&amp;A232&amp;"-"&amp;AH$2,"")&amp;IF(N(AI232)&gt;0,", "&amp;A232&amp;"-"&amp;AI$2,"")&amp;IF(N(AJ232)&gt;0,", "&amp;A232&amp;"-"&amp;AJ$2,""),3,999))</f>
        <v/>
      </c>
      <c r="AN232" s="81"/>
      <c r="AO232" s="88"/>
      <c r="AP232" s="89" t="str">
        <f aca="false">IF(AO232="","",ROUND(AO232/(1+Справочники!$B$13),2))</f>
        <v/>
      </c>
      <c r="AQ232" s="90" t="str">
        <f aca="false" t="array" ref="AQ232:AQ232">IF(AP232="","",AP232*INDEX(Справочники!$B$4:$B$7,MATCH("RUB",Справочники!$A$4:$A$7,0)))</f>
        <v/>
      </c>
      <c r="AR232" s="90" t="str">
        <f aca="false">IF(AQ232="","",ROUND(AQ232*(1+Справочники!$B$12),0))</f>
        <v/>
      </c>
      <c r="AS232" s="90" t="str">
        <f aca="false">IF(AR232="","",ROUND(AR232*(1-Справочники!$B$11),0))</f>
        <v/>
      </c>
      <c r="AT232" s="88"/>
      <c r="AU232" s="90" t="str">
        <f aca="false">IF(AT232="","",ROUND(AT232/(1+Справочники!$B$12),0))</f>
        <v/>
      </c>
      <c r="AV232" s="90" t="str">
        <f aca="false">IF(AT232="","",ROUND(AT232*(1-Справочники!$B$15),0))</f>
        <v/>
      </c>
      <c r="AW232" s="90" t="str">
        <f aca="false">IF(AT232="","",ROUND(AT232*(1-Справочники!$B$16),0))</f>
        <v/>
      </c>
      <c r="AX232" s="90" t="str">
        <f aca="false">IF(AT232="","",ROUND(AT232*(1-Справочники!$B$17),0))</f>
        <v/>
      </c>
      <c r="AY232" s="90" t="str">
        <f aca="false">IF(AT232="","",ROUND(AT232*(1-Справочники!$B$18),0))</f>
        <v/>
      </c>
      <c r="AZ232" s="90" t="str">
        <f aca="false">IF(AT232="","",ROUND(AT232*(1-Справочники!$B$19),0))</f>
        <v/>
      </c>
      <c r="BA232" s="81"/>
      <c r="BB232" s="81"/>
      <c r="BC232" s="81"/>
      <c r="BD232" s="81"/>
      <c r="BE232" s="91"/>
      <c r="BF232" s="81" t="s">
        <v>103</v>
      </c>
      <c r="BG232" s="89" t="n">
        <f aca="false" t="array" ref="BG232:BG232">IF(BF232="","",IFERROR(INDEX(Справочники!$B$4:$B$7,MATCH(BF232,Справочники!$A$4:$A$7,0)),""))</f>
        <v>68.5</v>
      </c>
      <c r="BH232" s="90" t="str">
        <f aca="false">IF(N(BN232)&gt;0,ROUND(SUMIF(ЗАКАЗЫ!$F$3:$F$500,$A232,ЗАКАЗЫ!$Y$3:$Y$500)/BN232,0),IF(OR(BE232="",BG232=""),"",ROUND(BE232*BG232*(1+Справочники!$B$10),0)))</f>
        <v/>
      </c>
      <c r="BI232" s="92" t="str">
        <f aca="false">IF(OR(AU232="",BH232="",AU232=0),"",(AU232-BH232)/AU232)</f>
        <v/>
      </c>
      <c r="BJ232" s="81"/>
      <c r="BK232" s="83"/>
      <c r="BL232" s="43" t="str">
        <f aca="false">IFERROR(INDEX(ЗАКАЗЫ!$N$3:$N$500,MATCH($A232,ЗАКАЗЫ!$F$3:$F$500,0)),"")</f>
        <v/>
      </c>
      <c r="BM232" s="8" t="str">
        <f aca="false">IF(BL232="","",IFERROR(VLOOKUP(BL232,'ТН ВЭД'!$A$4:$C$40,3,0),""))</f>
        <v/>
      </c>
      <c r="BN232" s="7" t="str">
        <f aca="false">IF(COUNTIF(ЗАКАЗЫ!$F$3:$F$500,$A232)=0,"",SUMIF(ЗАКАЗЫ!$F$3:$F$500,$A232,ЗАКАЗЫ!$J$3:$J$500))</f>
        <v/>
      </c>
      <c r="BO232" s="7" t="str">
        <f aca="false">IF(BN232="","",SUMIF(ЗАКАЗЫ!$F$3:$F$500,$A232,ЗАКАЗЫ!$AL$3:$AL$500))</f>
        <v/>
      </c>
      <c r="BP232" s="7" t="str">
        <f aca="false">IF(BN232="","",BN232-BO232)</f>
        <v/>
      </c>
      <c r="BQ232" s="55" t="str">
        <f aca="false">IF(BN232="","",IF(BO232&gt;=BN232,"На складе",IF(BO232&gt;0,"Частично","Ждём")))</f>
        <v/>
      </c>
      <c r="BR232" s="43"/>
      <c r="BS232" s="47" t="str">
        <f aca="false">IF(BN232="","",IF(_xlfn.MAXIFS(ЗАКАЗЫ!$AK$3:$AK$500,ЗАКАЗЫ!$F$3:$F$500,$A232)=0,"",_xlfn.MAXIFS(ЗАКАЗЫ!$AK$3:$AK$500,ЗАКАЗЫ!$F$3:$F$500,$A232)))</f>
        <v/>
      </c>
    </row>
    <row r="233" customFormat="false" ht="15.75" hidden="false" customHeight="true" outlineLevel="0" collapsed="false">
      <c r="A233" s="80" t="s">
        <v>2427</v>
      </c>
      <c r="B233" s="81"/>
      <c r="C233" s="81"/>
      <c r="D233" s="81"/>
      <c r="E233" s="83"/>
      <c r="F233" s="81"/>
      <c r="G233" s="83"/>
      <c r="H233" s="83"/>
      <c r="I233" s="84" t="str">
        <f aca="false">IF(E233="","",A233&amp;"_1.jpg")</f>
        <v/>
      </c>
      <c r="J233" s="84" t="str">
        <f aca="false">IF(E233="","",A233&amp;"_2.jpg; "&amp;A233&amp;"_3.jpg")</f>
        <v/>
      </c>
      <c r="K233" s="84" t="str">
        <f aca="false">IF(E233="","",A233&amp;"_schema.jpg")</f>
        <v/>
      </c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 t="s">
        <v>96</v>
      </c>
      <c r="W233" s="81"/>
      <c r="X233" s="81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6" t="str">
        <f aca="false">IF(SUM(Y233:AJ233)=0,"",SUM(Y233:AJ233))</f>
        <v/>
      </c>
      <c r="AL233" s="84" t="str">
        <f aca="false">MID(IF(N(Y233)&gt;0,", "&amp;Y$2,"")&amp;IF(N(Z233)&gt;0,", "&amp;Z$2,"")&amp;IF(N(AA233)&gt;0,", "&amp;AA$2,"")&amp;IF(N(AB233)&gt;0,", "&amp;AB$2,"")&amp;IF(N(AC233)&gt;0,", "&amp;AC$2,"")&amp;IF(N(AD233)&gt;0,", "&amp;AD$2,"")&amp;IF(N(AE233)&gt;0,", "&amp;AE$2,"")&amp;IF(N(AF233)&gt;0,", "&amp;AF$2,"")&amp;IF(N(AG233)&gt;0,", "&amp;AG$2,"")&amp;IF(N(AH233)&gt;0,", "&amp;AH$2,"")&amp;IF(N(AI233)&gt;0,", "&amp;AI$2,"")&amp;IF(N(AJ233)&gt;0,", "&amp;AJ$2,""),3,999)</f>
        <v/>
      </c>
      <c r="AM233" s="87" t="str">
        <f aca="false">IF(E233="","",MID(IF(N(Y233)&gt;0,", "&amp;A233&amp;"-"&amp;Y$2,"")&amp;IF(N(Z233)&gt;0,", "&amp;A233&amp;"-"&amp;Z$2,"")&amp;IF(N(AA233)&gt;0,", "&amp;A233&amp;"-"&amp;AA$2,"")&amp;IF(N(AB233)&gt;0,", "&amp;A233&amp;"-"&amp;AB$2,"")&amp;IF(N(AC233)&gt;0,", "&amp;A233&amp;"-"&amp;AC$2,"")&amp;IF(N(AD233)&gt;0,", "&amp;A233&amp;"-"&amp;AD$2,"")&amp;IF(N(AE233)&gt;0,", "&amp;A233&amp;"-"&amp;AE$2,"")&amp;IF(N(AF233)&gt;0,", "&amp;A233&amp;"-"&amp;AF$2,"")&amp;IF(N(AG233)&gt;0,", "&amp;A233&amp;"-"&amp;AG$2,"")&amp;IF(N(AH233)&gt;0,", "&amp;A233&amp;"-"&amp;AH$2,"")&amp;IF(N(AI233)&gt;0,", "&amp;A233&amp;"-"&amp;AI$2,"")&amp;IF(N(AJ233)&gt;0,", "&amp;A233&amp;"-"&amp;AJ$2,""),3,999))</f>
        <v/>
      </c>
      <c r="AN233" s="81"/>
      <c r="AO233" s="88"/>
      <c r="AP233" s="89" t="str">
        <f aca="false">IF(AO233="","",ROUND(AO233/(1+Справочники!$B$13),2))</f>
        <v/>
      </c>
      <c r="AQ233" s="90" t="str">
        <f aca="false" t="array" ref="AQ233:AQ233">IF(AP233="","",AP233*INDEX(Справочники!$B$4:$B$7,MATCH("RUB",Справочники!$A$4:$A$7,0)))</f>
        <v/>
      </c>
      <c r="AR233" s="90" t="str">
        <f aca="false">IF(AQ233="","",ROUND(AQ233*(1+Справочники!$B$12),0))</f>
        <v/>
      </c>
      <c r="AS233" s="90" t="str">
        <f aca="false">IF(AR233="","",ROUND(AR233*(1-Справочники!$B$11),0))</f>
        <v/>
      </c>
      <c r="AT233" s="88"/>
      <c r="AU233" s="90" t="str">
        <f aca="false">IF(AT233="","",ROUND(AT233/(1+Справочники!$B$12),0))</f>
        <v/>
      </c>
      <c r="AV233" s="90" t="str">
        <f aca="false">IF(AT233="","",ROUND(AT233*(1-Справочники!$B$15),0))</f>
        <v/>
      </c>
      <c r="AW233" s="90" t="str">
        <f aca="false">IF(AT233="","",ROUND(AT233*(1-Справочники!$B$16),0))</f>
        <v/>
      </c>
      <c r="AX233" s="90" t="str">
        <f aca="false">IF(AT233="","",ROUND(AT233*(1-Справочники!$B$17),0))</f>
        <v/>
      </c>
      <c r="AY233" s="90" t="str">
        <f aca="false">IF(AT233="","",ROUND(AT233*(1-Справочники!$B$18),0))</f>
        <v/>
      </c>
      <c r="AZ233" s="90" t="str">
        <f aca="false">IF(AT233="","",ROUND(AT233*(1-Справочники!$B$19),0))</f>
        <v/>
      </c>
      <c r="BA233" s="81"/>
      <c r="BB233" s="81"/>
      <c r="BC233" s="81"/>
      <c r="BD233" s="81"/>
      <c r="BE233" s="91"/>
      <c r="BF233" s="81" t="s">
        <v>103</v>
      </c>
      <c r="BG233" s="89" t="n">
        <f aca="false" t="array" ref="BG233:BG233">IF(BF233="","",IFERROR(INDEX(Справочники!$B$4:$B$7,MATCH(BF233,Справочники!$A$4:$A$7,0)),""))</f>
        <v>68.5</v>
      </c>
      <c r="BH233" s="90" t="str">
        <f aca="false">IF(N(BN233)&gt;0,ROUND(SUMIF(ЗАКАЗЫ!$F$3:$F$500,$A233,ЗАКАЗЫ!$Y$3:$Y$500)/BN233,0),IF(OR(BE233="",BG233=""),"",ROUND(BE233*BG233*(1+Справочники!$B$10),0)))</f>
        <v/>
      </c>
      <c r="BI233" s="92" t="str">
        <f aca="false">IF(OR(AU233="",BH233="",AU233=0),"",(AU233-BH233)/AU233)</f>
        <v/>
      </c>
      <c r="BJ233" s="81"/>
      <c r="BK233" s="83"/>
      <c r="BL233" s="43" t="str">
        <f aca="false">IFERROR(INDEX(ЗАКАЗЫ!$N$3:$N$500,MATCH($A233,ЗАКАЗЫ!$F$3:$F$500,0)),"")</f>
        <v/>
      </c>
      <c r="BM233" s="8" t="str">
        <f aca="false">IF(BL233="","",IFERROR(VLOOKUP(BL233,'ТН ВЭД'!$A$4:$C$40,3,0),""))</f>
        <v/>
      </c>
      <c r="BN233" s="7" t="str">
        <f aca="false">IF(COUNTIF(ЗАКАЗЫ!$F$3:$F$500,$A233)=0,"",SUMIF(ЗАКАЗЫ!$F$3:$F$500,$A233,ЗАКАЗЫ!$J$3:$J$500))</f>
        <v/>
      </c>
      <c r="BO233" s="7" t="str">
        <f aca="false">IF(BN233="","",SUMIF(ЗАКАЗЫ!$F$3:$F$500,$A233,ЗАКАЗЫ!$AL$3:$AL$500))</f>
        <v/>
      </c>
      <c r="BP233" s="7" t="str">
        <f aca="false">IF(BN233="","",BN233-BO233)</f>
        <v/>
      </c>
      <c r="BQ233" s="55" t="str">
        <f aca="false">IF(BN233="","",IF(BO233&gt;=BN233,"На складе",IF(BO233&gt;0,"Частично","Ждём")))</f>
        <v/>
      </c>
      <c r="BR233" s="43"/>
      <c r="BS233" s="47" t="str">
        <f aca="false">IF(BN233="","",IF(_xlfn.MAXIFS(ЗАКАЗЫ!$AK$3:$AK$500,ЗАКАЗЫ!$F$3:$F$500,$A233)=0,"",_xlfn.MAXIFS(ЗАКАЗЫ!$AK$3:$AK$500,ЗАКАЗЫ!$F$3:$F$500,$A233)))</f>
        <v/>
      </c>
    </row>
    <row r="234" customFormat="false" ht="15.75" hidden="false" customHeight="true" outlineLevel="0" collapsed="false">
      <c r="A234" s="80" t="s">
        <v>2428</v>
      </c>
      <c r="B234" s="81"/>
      <c r="C234" s="81"/>
      <c r="D234" s="81"/>
      <c r="E234" s="83"/>
      <c r="F234" s="81"/>
      <c r="G234" s="83"/>
      <c r="H234" s="83"/>
      <c r="I234" s="84" t="str">
        <f aca="false">IF(E234="","",A234&amp;"_1.jpg")</f>
        <v/>
      </c>
      <c r="J234" s="84" t="str">
        <f aca="false">IF(E234="","",A234&amp;"_2.jpg; "&amp;A234&amp;"_3.jpg")</f>
        <v/>
      </c>
      <c r="K234" s="84" t="str">
        <f aca="false">IF(E234="","",A234&amp;"_schema.jpg")</f>
        <v/>
      </c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 t="s">
        <v>96</v>
      </c>
      <c r="W234" s="81"/>
      <c r="X234" s="81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6" t="str">
        <f aca="false">IF(SUM(Y234:AJ234)=0,"",SUM(Y234:AJ234))</f>
        <v/>
      </c>
      <c r="AL234" s="84" t="str">
        <f aca="false">MID(IF(N(Y234)&gt;0,", "&amp;Y$2,"")&amp;IF(N(Z234)&gt;0,", "&amp;Z$2,"")&amp;IF(N(AA234)&gt;0,", "&amp;AA$2,"")&amp;IF(N(AB234)&gt;0,", "&amp;AB$2,"")&amp;IF(N(AC234)&gt;0,", "&amp;AC$2,"")&amp;IF(N(AD234)&gt;0,", "&amp;AD$2,"")&amp;IF(N(AE234)&gt;0,", "&amp;AE$2,"")&amp;IF(N(AF234)&gt;0,", "&amp;AF$2,"")&amp;IF(N(AG234)&gt;0,", "&amp;AG$2,"")&amp;IF(N(AH234)&gt;0,", "&amp;AH$2,"")&amp;IF(N(AI234)&gt;0,", "&amp;AI$2,"")&amp;IF(N(AJ234)&gt;0,", "&amp;AJ$2,""),3,999)</f>
        <v/>
      </c>
      <c r="AM234" s="87" t="str">
        <f aca="false">IF(E234="","",MID(IF(N(Y234)&gt;0,", "&amp;A234&amp;"-"&amp;Y$2,"")&amp;IF(N(Z234)&gt;0,", "&amp;A234&amp;"-"&amp;Z$2,"")&amp;IF(N(AA234)&gt;0,", "&amp;A234&amp;"-"&amp;AA$2,"")&amp;IF(N(AB234)&gt;0,", "&amp;A234&amp;"-"&amp;AB$2,"")&amp;IF(N(AC234)&gt;0,", "&amp;A234&amp;"-"&amp;AC$2,"")&amp;IF(N(AD234)&gt;0,", "&amp;A234&amp;"-"&amp;AD$2,"")&amp;IF(N(AE234)&gt;0,", "&amp;A234&amp;"-"&amp;AE$2,"")&amp;IF(N(AF234)&gt;0,", "&amp;A234&amp;"-"&amp;AF$2,"")&amp;IF(N(AG234)&gt;0,", "&amp;A234&amp;"-"&amp;AG$2,"")&amp;IF(N(AH234)&gt;0,", "&amp;A234&amp;"-"&amp;AH$2,"")&amp;IF(N(AI234)&gt;0,", "&amp;A234&amp;"-"&amp;AI$2,"")&amp;IF(N(AJ234)&gt;0,", "&amp;A234&amp;"-"&amp;AJ$2,""),3,999))</f>
        <v/>
      </c>
      <c r="AN234" s="81"/>
      <c r="AO234" s="88"/>
      <c r="AP234" s="89" t="str">
        <f aca="false">IF(AO234="","",ROUND(AO234/(1+Справочники!$B$13),2))</f>
        <v/>
      </c>
      <c r="AQ234" s="90" t="str">
        <f aca="false" t="array" ref="AQ234:AQ234">IF(AP234="","",AP234*INDEX(Справочники!$B$4:$B$7,MATCH("RUB",Справочники!$A$4:$A$7,0)))</f>
        <v/>
      </c>
      <c r="AR234" s="90" t="str">
        <f aca="false">IF(AQ234="","",ROUND(AQ234*(1+Справочники!$B$12),0))</f>
        <v/>
      </c>
      <c r="AS234" s="90" t="str">
        <f aca="false">IF(AR234="","",ROUND(AR234*(1-Справочники!$B$11),0))</f>
        <v/>
      </c>
      <c r="AT234" s="88"/>
      <c r="AU234" s="90" t="str">
        <f aca="false">IF(AT234="","",ROUND(AT234/(1+Справочники!$B$12),0))</f>
        <v/>
      </c>
      <c r="AV234" s="90" t="str">
        <f aca="false">IF(AT234="","",ROUND(AT234*(1-Справочники!$B$15),0))</f>
        <v/>
      </c>
      <c r="AW234" s="90" t="str">
        <f aca="false">IF(AT234="","",ROUND(AT234*(1-Справочники!$B$16),0))</f>
        <v/>
      </c>
      <c r="AX234" s="90" t="str">
        <f aca="false">IF(AT234="","",ROUND(AT234*(1-Справочники!$B$17),0))</f>
        <v/>
      </c>
      <c r="AY234" s="90" t="str">
        <f aca="false">IF(AT234="","",ROUND(AT234*(1-Справочники!$B$18),0))</f>
        <v/>
      </c>
      <c r="AZ234" s="90" t="str">
        <f aca="false">IF(AT234="","",ROUND(AT234*(1-Справочники!$B$19),0))</f>
        <v/>
      </c>
      <c r="BA234" s="81"/>
      <c r="BB234" s="81"/>
      <c r="BC234" s="81"/>
      <c r="BD234" s="81"/>
      <c r="BE234" s="91"/>
      <c r="BF234" s="81" t="s">
        <v>103</v>
      </c>
      <c r="BG234" s="89" t="n">
        <f aca="false" t="array" ref="BG234:BG234">IF(BF234="","",IFERROR(INDEX(Справочники!$B$4:$B$7,MATCH(BF234,Справочники!$A$4:$A$7,0)),""))</f>
        <v>68.5</v>
      </c>
      <c r="BH234" s="90" t="str">
        <f aca="false">IF(N(BN234)&gt;0,ROUND(SUMIF(ЗАКАЗЫ!$F$3:$F$500,$A234,ЗАКАЗЫ!$Y$3:$Y$500)/BN234,0),IF(OR(BE234="",BG234=""),"",ROUND(BE234*BG234*(1+Справочники!$B$10),0)))</f>
        <v/>
      </c>
      <c r="BI234" s="92" t="str">
        <f aca="false">IF(OR(AU234="",BH234="",AU234=0),"",(AU234-BH234)/AU234)</f>
        <v/>
      </c>
      <c r="BJ234" s="81"/>
      <c r="BK234" s="83"/>
      <c r="BL234" s="43" t="str">
        <f aca="false">IFERROR(INDEX(ЗАКАЗЫ!$N$3:$N$500,MATCH($A234,ЗАКАЗЫ!$F$3:$F$500,0)),"")</f>
        <v/>
      </c>
      <c r="BM234" s="8" t="str">
        <f aca="false">IF(BL234="","",IFERROR(VLOOKUP(BL234,'ТН ВЭД'!$A$4:$C$40,3,0),""))</f>
        <v/>
      </c>
      <c r="BN234" s="7" t="str">
        <f aca="false">IF(COUNTIF(ЗАКАЗЫ!$F$3:$F$500,$A234)=0,"",SUMIF(ЗАКАЗЫ!$F$3:$F$500,$A234,ЗАКАЗЫ!$J$3:$J$500))</f>
        <v/>
      </c>
      <c r="BO234" s="7" t="str">
        <f aca="false">IF(BN234="","",SUMIF(ЗАКАЗЫ!$F$3:$F$500,$A234,ЗАКАЗЫ!$AL$3:$AL$500))</f>
        <v/>
      </c>
      <c r="BP234" s="7" t="str">
        <f aca="false">IF(BN234="","",BN234-BO234)</f>
        <v/>
      </c>
      <c r="BQ234" s="55" t="str">
        <f aca="false">IF(BN234="","",IF(BO234&gt;=BN234,"На складе",IF(BO234&gt;0,"Частично","Ждём")))</f>
        <v/>
      </c>
      <c r="BR234" s="43"/>
      <c r="BS234" s="47" t="str">
        <f aca="false">IF(BN234="","",IF(_xlfn.MAXIFS(ЗАКАЗЫ!$AK$3:$AK$500,ЗАКАЗЫ!$F$3:$F$500,$A234)=0,"",_xlfn.MAXIFS(ЗАКАЗЫ!$AK$3:$AK$500,ЗАКАЗЫ!$F$3:$F$500,$A234)))</f>
        <v/>
      </c>
    </row>
    <row r="235" customFormat="false" ht="15.75" hidden="false" customHeight="true" outlineLevel="0" collapsed="false">
      <c r="A235" s="80" t="s">
        <v>2429</v>
      </c>
      <c r="B235" s="81"/>
      <c r="C235" s="81"/>
      <c r="D235" s="81"/>
      <c r="E235" s="83"/>
      <c r="F235" s="81"/>
      <c r="G235" s="83"/>
      <c r="H235" s="83"/>
      <c r="I235" s="84" t="str">
        <f aca="false">IF(E235="","",A235&amp;"_1.jpg")</f>
        <v/>
      </c>
      <c r="J235" s="84" t="str">
        <f aca="false">IF(E235="","",A235&amp;"_2.jpg; "&amp;A235&amp;"_3.jpg")</f>
        <v/>
      </c>
      <c r="K235" s="84" t="str">
        <f aca="false">IF(E235="","",A235&amp;"_schema.jpg")</f>
        <v/>
      </c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 t="s">
        <v>96</v>
      </c>
      <c r="W235" s="81"/>
      <c r="X235" s="81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6" t="str">
        <f aca="false">IF(SUM(Y235:AJ235)=0,"",SUM(Y235:AJ235))</f>
        <v/>
      </c>
      <c r="AL235" s="84" t="str">
        <f aca="false">MID(IF(N(Y235)&gt;0,", "&amp;Y$2,"")&amp;IF(N(Z235)&gt;0,", "&amp;Z$2,"")&amp;IF(N(AA235)&gt;0,", "&amp;AA$2,"")&amp;IF(N(AB235)&gt;0,", "&amp;AB$2,"")&amp;IF(N(AC235)&gt;0,", "&amp;AC$2,"")&amp;IF(N(AD235)&gt;0,", "&amp;AD$2,"")&amp;IF(N(AE235)&gt;0,", "&amp;AE$2,"")&amp;IF(N(AF235)&gt;0,", "&amp;AF$2,"")&amp;IF(N(AG235)&gt;0,", "&amp;AG$2,"")&amp;IF(N(AH235)&gt;0,", "&amp;AH$2,"")&amp;IF(N(AI235)&gt;0,", "&amp;AI$2,"")&amp;IF(N(AJ235)&gt;0,", "&amp;AJ$2,""),3,999)</f>
        <v/>
      </c>
      <c r="AM235" s="87" t="str">
        <f aca="false">IF(E235="","",MID(IF(N(Y235)&gt;0,", "&amp;A235&amp;"-"&amp;Y$2,"")&amp;IF(N(Z235)&gt;0,", "&amp;A235&amp;"-"&amp;Z$2,"")&amp;IF(N(AA235)&gt;0,", "&amp;A235&amp;"-"&amp;AA$2,"")&amp;IF(N(AB235)&gt;0,", "&amp;A235&amp;"-"&amp;AB$2,"")&amp;IF(N(AC235)&gt;0,", "&amp;A235&amp;"-"&amp;AC$2,"")&amp;IF(N(AD235)&gt;0,", "&amp;A235&amp;"-"&amp;AD$2,"")&amp;IF(N(AE235)&gt;0,", "&amp;A235&amp;"-"&amp;AE$2,"")&amp;IF(N(AF235)&gt;0,", "&amp;A235&amp;"-"&amp;AF$2,"")&amp;IF(N(AG235)&gt;0,", "&amp;A235&amp;"-"&amp;AG$2,"")&amp;IF(N(AH235)&gt;0,", "&amp;A235&amp;"-"&amp;AH$2,"")&amp;IF(N(AI235)&gt;0,", "&amp;A235&amp;"-"&amp;AI$2,"")&amp;IF(N(AJ235)&gt;0,", "&amp;A235&amp;"-"&amp;AJ$2,""),3,999))</f>
        <v/>
      </c>
      <c r="AN235" s="81"/>
      <c r="AO235" s="88"/>
      <c r="AP235" s="89" t="str">
        <f aca="false">IF(AO235="","",ROUND(AO235/(1+Справочники!$B$13),2))</f>
        <v/>
      </c>
      <c r="AQ235" s="90" t="str">
        <f aca="false" t="array" ref="AQ235:AQ235">IF(AP235="","",AP235*INDEX(Справочники!$B$4:$B$7,MATCH("RUB",Справочники!$A$4:$A$7,0)))</f>
        <v/>
      </c>
      <c r="AR235" s="90" t="str">
        <f aca="false">IF(AQ235="","",ROUND(AQ235*(1+Справочники!$B$12),0))</f>
        <v/>
      </c>
      <c r="AS235" s="90" t="str">
        <f aca="false">IF(AR235="","",ROUND(AR235*(1-Справочники!$B$11),0))</f>
        <v/>
      </c>
      <c r="AT235" s="88"/>
      <c r="AU235" s="90" t="str">
        <f aca="false">IF(AT235="","",ROUND(AT235/(1+Справочники!$B$12),0))</f>
        <v/>
      </c>
      <c r="AV235" s="90" t="str">
        <f aca="false">IF(AT235="","",ROUND(AT235*(1-Справочники!$B$15),0))</f>
        <v/>
      </c>
      <c r="AW235" s="90" t="str">
        <f aca="false">IF(AT235="","",ROUND(AT235*(1-Справочники!$B$16),0))</f>
        <v/>
      </c>
      <c r="AX235" s="90" t="str">
        <f aca="false">IF(AT235="","",ROUND(AT235*(1-Справочники!$B$17),0))</f>
        <v/>
      </c>
      <c r="AY235" s="90" t="str">
        <f aca="false">IF(AT235="","",ROUND(AT235*(1-Справочники!$B$18),0))</f>
        <v/>
      </c>
      <c r="AZ235" s="90" t="str">
        <f aca="false">IF(AT235="","",ROUND(AT235*(1-Справочники!$B$19),0))</f>
        <v/>
      </c>
      <c r="BA235" s="81"/>
      <c r="BB235" s="81"/>
      <c r="BC235" s="81"/>
      <c r="BD235" s="81"/>
      <c r="BE235" s="91"/>
      <c r="BF235" s="81" t="s">
        <v>103</v>
      </c>
      <c r="BG235" s="89" t="n">
        <f aca="false" t="array" ref="BG235:BG235">IF(BF235="","",IFERROR(INDEX(Справочники!$B$4:$B$7,MATCH(BF235,Справочники!$A$4:$A$7,0)),""))</f>
        <v>68.5</v>
      </c>
      <c r="BH235" s="90" t="str">
        <f aca="false">IF(N(BN235)&gt;0,ROUND(SUMIF(ЗАКАЗЫ!$F$3:$F$500,$A235,ЗАКАЗЫ!$Y$3:$Y$500)/BN235,0),IF(OR(BE235="",BG235=""),"",ROUND(BE235*BG235*(1+Справочники!$B$10),0)))</f>
        <v/>
      </c>
      <c r="BI235" s="92" t="str">
        <f aca="false">IF(OR(AU235="",BH235="",AU235=0),"",(AU235-BH235)/AU235)</f>
        <v/>
      </c>
      <c r="BJ235" s="81"/>
      <c r="BK235" s="83"/>
      <c r="BL235" s="43" t="str">
        <f aca="false">IFERROR(INDEX(ЗАКАЗЫ!$N$3:$N$500,MATCH($A235,ЗАКАЗЫ!$F$3:$F$500,0)),"")</f>
        <v/>
      </c>
      <c r="BM235" s="8" t="str">
        <f aca="false">IF(BL235="","",IFERROR(VLOOKUP(BL235,'ТН ВЭД'!$A$4:$C$40,3,0),""))</f>
        <v/>
      </c>
      <c r="BN235" s="7" t="str">
        <f aca="false">IF(COUNTIF(ЗАКАЗЫ!$F$3:$F$500,$A235)=0,"",SUMIF(ЗАКАЗЫ!$F$3:$F$500,$A235,ЗАКАЗЫ!$J$3:$J$500))</f>
        <v/>
      </c>
      <c r="BO235" s="7" t="str">
        <f aca="false">IF(BN235="","",SUMIF(ЗАКАЗЫ!$F$3:$F$500,$A235,ЗАКАЗЫ!$AL$3:$AL$500))</f>
        <v/>
      </c>
      <c r="BP235" s="7" t="str">
        <f aca="false">IF(BN235="","",BN235-BO235)</f>
        <v/>
      </c>
      <c r="BQ235" s="55" t="str">
        <f aca="false">IF(BN235="","",IF(BO235&gt;=BN235,"На складе",IF(BO235&gt;0,"Частично","Ждём")))</f>
        <v/>
      </c>
      <c r="BR235" s="43"/>
      <c r="BS235" s="47" t="str">
        <f aca="false">IF(BN235="","",IF(_xlfn.MAXIFS(ЗАКАЗЫ!$AK$3:$AK$500,ЗАКАЗЫ!$F$3:$F$500,$A235)=0,"",_xlfn.MAXIFS(ЗАКАЗЫ!$AK$3:$AK$500,ЗАКАЗЫ!$F$3:$F$500,$A235)))</f>
        <v/>
      </c>
    </row>
    <row r="236" customFormat="false" ht="15.75" hidden="false" customHeight="true" outlineLevel="0" collapsed="false">
      <c r="A236" s="80" t="s">
        <v>2430</v>
      </c>
      <c r="B236" s="81"/>
      <c r="C236" s="81"/>
      <c r="D236" s="81"/>
      <c r="E236" s="83"/>
      <c r="F236" s="81"/>
      <c r="G236" s="83"/>
      <c r="H236" s="83"/>
      <c r="I236" s="84" t="str">
        <f aca="false">IF(E236="","",A236&amp;"_1.jpg")</f>
        <v/>
      </c>
      <c r="J236" s="84" t="str">
        <f aca="false">IF(E236="","",A236&amp;"_2.jpg; "&amp;A236&amp;"_3.jpg")</f>
        <v/>
      </c>
      <c r="K236" s="84" t="str">
        <f aca="false">IF(E236="","",A236&amp;"_schema.jpg")</f>
        <v/>
      </c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 t="s">
        <v>96</v>
      </c>
      <c r="W236" s="81"/>
      <c r="X236" s="81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6" t="str">
        <f aca="false">IF(SUM(Y236:AJ236)=0,"",SUM(Y236:AJ236))</f>
        <v/>
      </c>
      <c r="AL236" s="84" t="str">
        <f aca="false">MID(IF(N(Y236)&gt;0,", "&amp;Y$2,"")&amp;IF(N(Z236)&gt;0,", "&amp;Z$2,"")&amp;IF(N(AA236)&gt;0,", "&amp;AA$2,"")&amp;IF(N(AB236)&gt;0,", "&amp;AB$2,"")&amp;IF(N(AC236)&gt;0,", "&amp;AC$2,"")&amp;IF(N(AD236)&gt;0,", "&amp;AD$2,"")&amp;IF(N(AE236)&gt;0,", "&amp;AE$2,"")&amp;IF(N(AF236)&gt;0,", "&amp;AF$2,"")&amp;IF(N(AG236)&gt;0,", "&amp;AG$2,"")&amp;IF(N(AH236)&gt;0,", "&amp;AH$2,"")&amp;IF(N(AI236)&gt;0,", "&amp;AI$2,"")&amp;IF(N(AJ236)&gt;0,", "&amp;AJ$2,""),3,999)</f>
        <v/>
      </c>
      <c r="AM236" s="87" t="str">
        <f aca="false">IF(E236="","",MID(IF(N(Y236)&gt;0,", "&amp;A236&amp;"-"&amp;Y$2,"")&amp;IF(N(Z236)&gt;0,", "&amp;A236&amp;"-"&amp;Z$2,"")&amp;IF(N(AA236)&gt;0,", "&amp;A236&amp;"-"&amp;AA$2,"")&amp;IF(N(AB236)&gt;0,", "&amp;A236&amp;"-"&amp;AB$2,"")&amp;IF(N(AC236)&gt;0,", "&amp;A236&amp;"-"&amp;AC$2,"")&amp;IF(N(AD236)&gt;0,", "&amp;A236&amp;"-"&amp;AD$2,"")&amp;IF(N(AE236)&gt;0,", "&amp;A236&amp;"-"&amp;AE$2,"")&amp;IF(N(AF236)&gt;0,", "&amp;A236&amp;"-"&amp;AF$2,"")&amp;IF(N(AG236)&gt;0,", "&amp;A236&amp;"-"&amp;AG$2,"")&amp;IF(N(AH236)&gt;0,", "&amp;A236&amp;"-"&amp;AH$2,"")&amp;IF(N(AI236)&gt;0,", "&amp;A236&amp;"-"&amp;AI$2,"")&amp;IF(N(AJ236)&gt;0,", "&amp;A236&amp;"-"&amp;AJ$2,""),3,999))</f>
        <v/>
      </c>
      <c r="AN236" s="81"/>
      <c r="AO236" s="88"/>
      <c r="AP236" s="89" t="str">
        <f aca="false">IF(AO236="","",ROUND(AO236/(1+Справочники!$B$13),2))</f>
        <v/>
      </c>
      <c r="AQ236" s="90" t="str">
        <f aca="false" t="array" ref="AQ236:AQ236">IF(AP236="","",AP236*INDEX(Справочники!$B$4:$B$7,MATCH("RUB",Справочники!$A$4:$A$7,0)))</f>
        <v/>
      </c>
      <c r="AR236" s="90" t="str">
        <f aca="false">IF(AQ236="","",ROUND(AQ236*(1+Справочники!$B$12),0))</f>
        <v/>
      </c>
      <c r="AS236" s="90" t="str">
        <f aca="false">IF(AR236="","",ROUND(AR236*(1-Справочники!$B$11),0))</f>
        <v/>
      </c>
      <c r="AT236" s="88"/>
      <c r="AU236" s="90" t="str">
        <f aca="false">IF(AT236="","",ROUND(AT236/(1+Справочники!$B$12),0))</f>
        <v/>
      </c>
      <c r="AV236" s="90" t="str">
        <f aca="false">IF(AT236="","",ROUND(AT236*(1-Справочники!$B$15),0))</f>
        <v/>
      </c>
      <c r="AW236" s="90" t="str">
        <f aca="false">IF(AT236="","",ROUND(AT236*(1-Справочники!$B$16),0))</f>
        <v/>
      </c>
      <c r="AX236" s="90" t="str">
        <f aca="false">IF(AT236="","",ROUND(AT236*(1-Справочники!$B$17),0))</f>
        <v/>
      </c>
      <c r="AY236" s="90" t="str">
        <f aca="false">IF(AT236="","",ROUND(AT236*(1-Справочники!$B$18),0))</f>
        <v/>
      </c>
      <c r="AZ236" s="90" t="str">
        <f aca="false">IF(AT236="","",ROUND(AT236*(1-Справочники!$B$19),0))</f>
        <v/>
      </c>
      <c r="BA236" s="81"/>
      <c r="BB236" s="81"/>
      <c r="BC236" s="81"/>
      <c r="BD236" s="81"/>
      <c r="BE236" s="91"/>
      <c r="BF236" s="81" t="s">
        <v>103</v>
      </c>
      <c r="BG236" s="89" t="n">
        <f aca="false" t="array" ref="BG236:BG236">IF(BF236="","",IFERROR(INDEX(Справочники!$B$4:$B$7,MATCH(BF236,Справочники!$A$4:$A$7,0)),""))</f>
        <v>68.5</v>
      </c>
      <c r="BH236" s="90" t="str">
        <f aca="false">IF(N(BN236)&gt;0,ROUND(SUMIF(ЗАКАЗЫ!$F$3:$F$500,$A236,ЗАКАЗЫ!$Y$3:$Y$500)/BN236,0),IF(OR(BE236="",BG236=""),"",ROUND(BE236*BG236*(1+Справочники!$B$10),0)))</f>
        <v/>
      </c>
      <c r="BI236" s="92" t="str">
        <f aca="false">IF(OR(AU236="",BH236="",AU236=0),"",(AU236-BH236)/AU236)</f>
        <v/>
      </c>
      <c r="BJ236" s="81"/>
      <c r="BK236" s="83"/>
      <c r="BL236" s="43" t="str">
        <f aca="false">IFERROR(INDEX(ЗАКАЗЫ!$N$3:$N$500,MATCH($A236,ЗАКАЗЫ!$F$3:$F$500,0)),"")</f>
        <v/>
      </c>
      <c r="BM236" s="8" t="str">
        <f aca="false">IF(BL236="","",IFERROR(VLOOKUP(BL236,'ТН ВЭД'!$A$4:$C$40,3,0),""))</f>
        <v/>
      </c>
      <c r="BN236" s="7" t="str">
        <f aca="false">IF(COUNTIF(ЗАКАЗЫ!$F$3:$F$500,$A236)=0,"",SUMIF(ЗАКАЗЫ!$F$3:$F$500,$A236,ЗАКАЗЫ!$J$3:$J$500))</f>
        <v/>
      </c>
      <c r="BO236" s="7" t="str">
        <f aca="false">IF(BN236="","",SUMIF(ЗАКАЗЫ!$F$3:$F$500,$A236,ЗАКАЗЫ!$AL$3:$AL$500))</f>
        <v/>
      </c>
      <c r="BP236" s="7" t="str">
        <f aca="false">IF(BN236="","",BN236-BO236)</f>
        <v/>
      </c>
      <c r="BQ236" s="55" t="str">
        <f aca="false">IF(BN236="","",IF(BO236&gt;=BN236,"На складе",IF(BO236&gt;0,"Частично","Ждём")))</f>
        <v/>
      </c>
      <c r="BR236" s="43"/>
      <c r="BS236" s="47" t="str">
        <f aca="false">IF(BN236="","",IF(_xlfn.MAXIFS(ЗАКАЗЫ!$AK$3:$AK$500,ЗАКАЗЫ!$F$3:$F$500,$A236)=0,"",_xlfn.MAXIFS(ЗАКАЗЫ!$AK$3:$AK$500,ЗАКАЗЫ!$F$3:$F$500,$A236)))</f>
        <v/>
      </c>
    </row>
    <row r="237" customFormat="false" ht="15.75" hidden="false" customHeight="true" outlineLevel="0" collapsed="false">
      <c r="A237" s="80" t="s">
        <v>2431</v>
      </c>
      <c r="B237" s="81"/>
      <c r="C237" s="81"/>
      <c r="D237" s="81"/>
      <c r="E237" s="83"/>
      <c r="F237" s="81"/>
      <c r="G237" s="83"/>
      <c r="H237" s="83"/>
      <c r="I237" s="84" t="str">
        <f aca="false">IF(E237="","",A237&amp;"_1.jpg")</f>
        <v/>
      </c>
      <c r="J237" s="84" t="str">
        <f aca="false">IF(E237="","",A237&amp;"_2.jpg; "&amp;A237&amp;"_3.jpg")</f>
        <v/>
      </c>
      <c r="K237" s="84" t="str">
        <f aca="false">IF(E237="","",A237&amp;"_schema.jpg")</f>
        <v/>
      </c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 t="s">
        <v>96</v>
      </c>
      <c r="W237" s="81"/>
      <c r="X237" s="81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6" t="str">
        <f aca="false">IF(SUM(Y237:AJ237)=0,"",SUM(Y237:AJ237))</f>
        <v/>
      </c>
      <c r="AL237" s="84" t="str">
        <f aca="false">MID(IF(N(Y237)&gt;0,", "&amp;Y$2,"")&amp;IF(N(Z237)&gt;0,", "&amp;Z$2,"")&amp;IF(N(AA237)&gt;0,", "&amp;AA$2,"")&amp;IF(N(AB237)&gt;0,", "&amp;AB$2,"")&amp;IF(N(AC237)&gt;0,", "&amp;AC$2,"")&amp;IF(N(AD237)&gt;0,", "&amp;AD$2,"")&amp;IF(N(AE237)&gt;0,", "&amp;AE$2,"")&amp;IF(N(AF237)&gt;0,", "&amp;AF$2,"")&amp;IF(N(AG237)&gt;0,", "&amp;AG$2,"")&amp;IF(N(AH237)&gt;0,", "&amp;AH$2,"")&amp;IF(N(AI237)&gt;0,", "&amp;AI$2,"")&amp;IF(N(AJ237)&gt;0,", "&amp;AJ$2,""),3,999)</f>
        <v/>
      </c>
      <c r="AM237" s="87" t="str">
        <f aca="false">IF(E237="","",MID(IF(N(Y237)&gt;0,", "&amp;A237&amp;"-"&amp;Y$2,"")&amp;IF(N(Z237)&gt;0,", "&amp;A237&amp;"-"&amp;Z$2,"")&amp;IF(N(AA237)&gt;0,", "&amp;A237&amp;"-"&amp;AA$2,"")&amp;IF(N(AB237)&gt;0,", "&amp;A237&amp;"-"&amp;AB$2,"")&amp;IF(N(AC237)&gt;0,", "&amp;A237&amp;"-"&amp;AC$2,"")&amp;IF(N(AD237)&gt;0,", "&amp;A237&amp;"-"&amp;AD$2,"")&amp;IF(N(AE237)&gt;0,", "&amp;A237&amp;"-"&amp;AE$2,"")&amp;IF(N(AF237)&gt;0,", "&amp;A237&amp;"-"&amp;AF$2,"")&amp;IF(N(AG237)&gt;0,", "&amp;A237&amp;"-"&amp;AG$2,"")&amp;IF(N(AH237)&gt;0,", "&amp;A237&amp;"-"&amp;AH$2,"")&amp;IF(N(AI237)&gt;0,", "&amp;A237&amp;"-"&amp;AI$2,"")&amp;IF(N(AJ237)&gt;0,", "&amp;A237&amp;"-"&amp;AJ$2,""),3,999))</f>
        <v/>
      </c>
      <c r="AN237" s="81"/>
      <c r="AO237" s="88"/>
      <c r="AP237" s="89" t="str">
        <f aca="false">IF(AO237="","",ROUND(AO237/(1+Справочники!$B$13),2))</f>
        <v/>
      </c>
      <c r="AQ237" s="90" t="str">
        <f aca="false" t="array" ref="AQ237:AQ237">IF(AP237="","",AP237*INDEX(Справочники!$B$4:$B$7,MATCH("RUB",Справочники!$A$4:$A$7,0)))</f>
        <v/>
      </c>
      <c r="AR237" s="90" t="str">
        <f aca="false">IF(AQ237="","",ROUND(AQ237*(1+Справочники!$B$12),0))</f>
        <v/>
      </c>
      <c r="AS237" s="90" t="str">
        <f aca="false">IF(AR237="","",ROUND(AR237*(1-Справочники!$B$11),0))</f>
        <v/>
      </c>
      <c r="AT237" s="88"/>
      <c r="AU237" s="90" t="str">
        <f aca="false">IF(AT237="","",ROUND(AT237/(1+Справочники!$B$12),0))</f>
        <v/>
      </c>
      <c r="AV237" s="90" t="str">
        <f aca="false">IF(AT237="","",ROUND(AT237*(1-Справочники!$B$15),0))</f>
        <v/>
      </c>
      <c r="AW237" s="90" t="str">
        <f aca="false">IF(AT237="","",ROUND(AT237*(1-Справочники!$B$16),0))</f>
        <v/>
      </c>
      <c r="AX237" s="90" t="str">
        <f aca="false">IF(AT237="","",ROUND(AT237*(1-Справочники!$B$17),0))</f>
        <v/>
      </c>
      <c r="AY237" s="90" t="str">
        <f aca="false">IF(AT237="","",ROUND(AT237*(1-Справочники!$B$18),0))</f>
        <v/>
      </c>
      <c r="AZ237" s="90" t="str">
        <f aca="false">IF(AT237="","",ROUND(AT237*(1-Справочники!$B$19),0))</f>
        <v/>
      </c>
      <c r="BA237" s="81"/>
      <c r="BB237" s="81"/>
      <c r="BC237" s="81"/>
      <c r="BD237" s="81"/>
      <c r="BE237" s="91"/>
      <c r="BF237" s="81" t="s">
        <v>103</v>
      </c>
      <c r="BG237" s="89" t="n">
        <f aca="false" t="array" ref="BG237:BG237">IF(BF237="","",IFERROR(INDEX(Справочники!$B$4:$B$7,MATCH(BF237,Справочники!$A$4:$A$7,0)),""))</f>
        <v>68.5</v>
      </c>
      <c r="BH237" s="90" t="str">
        <f aca="false">IF(N(BN237)&gt;0,ROUND(SUMIF(ЗАКАЗЫ!$F$3:$F$500,$A237,ЗАКАЗЫ!$Y$3:$Y$500)/BN237,0),IF(OR(BE237="",BG237=""),"",ROUND(BE237*BG237*(1+Справочники!$B$10),0)))</f>
        <v/>
      </c>
      <c r="BI237" s="92" t="str">
        <f aca="false">IF(OR(AU237="",BH237="",AU237=0),"",(AU237-BH237)/AU237)</f>
        <v/>
      </c>
      <c r="BJ237" s="81"/>
      <c r="BK237" s="83"/>
      <c r="BL237" s="43" t="str">
        <f aca="false">IFERROR(INDEX(ЗАКАЗЫ!$N$3:$N$500,MATCH($A237,ЗАКАЗЫ!$F$3:$F$500,0)),"")</f>
        <v/>
      </c>
      <c r="BM237" s="8" t="str">
        <f aca="false">IF(BL237="","",IFERROR(VLOOKUP(BL237,'ТН ВЭД'!$A$4:$C$40,3,0),""))</f>
        <v/>
      </c>
      <c r="BN237" s="7" t="str">
        <f aca="false">IF(COUNTIF(ЗАКАЗЫ!$F$3:$F$500,$A237)=0,"",SUMIF(ЗАКАЗЫ!$F$3:$F$500,$A237,ЗАКАЗЫ!$J$3:$J$500))</f>
        <v/>
      </c>
      <c r="BO237" s="7" t="str">
        <f aca="false">IF(BN237="","",SUMIF(ЗАКАЗЫ!$F$3:$F$500,$A237,ЗАКАЗЫ!$AL$3:$AL$500))</f>
        <v/>
      </c>
      <c r="BP237" s="7" t="str">
        <f aca="false">IF(BN237="","",BN237-BO237)</f>
        <v/>
      </c>
      <c r="BQ237" s="55" t="str">
        <f aca="false">IF(BN237="","",IF(BO237&gt;=BN237,"На складе",IF(BO237&gt;0,"Частично","Ждём")))</f>
        <v/>
      </c>
      <c r="BR237" s="43"/>
      <c r="BS237" s="47" t="str">
        <f aca="false">IF(BN237="","",IF(_xlfn.MAXIFS(ЗАКАЗЫ!$AK$3:$AK$500,ЗАКАЗЫ!$F$3:$F$500,$A237)=0,"",_xlfn.MAXIFS(ЗАКАЗЫ!$AK$3:$AK$500,ЗАКАЗЫ!$F$3:$F$500,$A237)))</f>
        <v/>
      </c>
    </row>
    <row r="238" customFormat="false" ht="15.75" hidden="false" customHeight="true" outlineLevel="0" collapsed="false">
      <c r="A238" s="80" t="s">
        <v>2432</v>
      </c>
      <c r="B238" s="81"/>
      <c r="C238" s="81"/>
      <c r="D238" s="81"/>
      <c r="E238" s="83"/>
      <c r="F238" s="81"/>
      <c r="G238" s="83"/>
      <c r="H238" s="83"/>
      <c r="I238" s="84" t="str">
        <f aca="false">IF(E238="","",A238&amp;"_1.jpg")</f>
        <v/>
      </c>
      <c r="J238" s="84" t="str">
        <f aca="false">IF(E238="","",A238&amp;"_2.jpg; "&amp;A238&amp;"_3.jpg")</f>
        <v/>
      </c>
      <c r="K238" s="84" t="str">
        <f aca="false">IF(E238="","",A238&amp;"_schema.jpg")</f>
        <v/>
      </c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 t="s">
        <v>96</v>
      </c>
      <c r="W238" s="81"/>
      <c r="X238" s="81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6" t="str">
        <f aca="false">IF(SUM(Y238:AJ238)=0,"",SUM(Y238:AJ238))</f>
        <v/>
      </c>
      <c r="AL238" s="84" t="str">
        <f aca="false">MID(IF(N(Y238)&gt;0,", "&amp;Y$2,"")&amp;IF(N(Z238)&gt;0,", "&amp;Z$2,"")&amp;IF(N(AA238)&gt;0,", "&amp;AA$2,"")&amp;IF(N(AB238)&gt;0,", "&amp;AB$2,"")&amp;IF(N(AC238)&gt;0,", "&amp;AC$2,"")&amp;IF(N(AD238)&gt;0,", "&amp;AD$2,"")&amp;IF(N(AE238)&gt;0,", "&amp;AE$2,"")&amp;IF(N(AF238)&gt;0,", "&amp;AF$2,"")&amp;IF(N(AG238)&gt;0,", "&amp;AG$2,"")&amp;IF(N(AH238)&gt;0,", "&amp;AH$2,"")&amp;IF(N(AI238)&gt;0,", "&amp;AI$2,"")&amp;IF(N(AJ238)&gt;0,", "&amp;AJ$2,""),3,999)</f>
        <v/>
      </c>
      <c r="AM238" s="87" t="str">
        <f aca="false">IF(E238="","",MID(IF(N(Y238)&gt;0,", "&amp;A238&amp;"-"&amp;Y$2,"")&amp;IF(N(Z238)&gt;0,", "&amp;A238&amp;"-"&amp;Z$2,"")&amp;IF(N(AA238)&gt;0,", "&amp;A238&amp;"-"&amp;AA$2,"")&amp;IF(N(AB238)&gt;0,", "&amp;A238&amp;"-"&amp;AB$2,"")&amp;IF(N(AC238)&gt;0,", "&amp;A238&amp;"-"&amp;AC$2,"")&amp;IF(N(AD238)&gt;0,", "&amp;A238&amp;"-"&amp;AD$2,"")&amp;IF(N(AE238)&gt;0,", "&amp;A238&amp;"-"&amp;AE$2,"")&amp;IF(N(AF238)&gt;0,", "&amp;A238&amp;"-"&amp;AF$2,"")&amp;IF(N(AG238)&gt;0,", "&amp;A238&amp;"-"&amp;AG$2,"")&amp;IF(N(AH238)&gt;0,", "&amp;A238&amp;"-"&amp;AH$2,"")&amp;IF(N(AI238)&gt;0,", "&amp;A238&amp;"-"&amp;AI$2,"")&amp;IF(N(AJ238)&gt;0,", "&amp;A238&amp;"-"&amp;AJ$2,""),3,999))</f>
        <v/>
      </c>
      <c r="AN238" s="81"/>
      <c r="AO238" s="88"/>
      <c r="AP238" s="89" t="str">
        <f aca="false">IF(AO238="","",ROUND(AO238/(1+Справочники!$B$13),2))</f>
        <v/>
      </c>
      <c r="AQ238" s="90" t="str">
        <f aca="false" t="array" ref="AQ238:AQ238">IF(AP238="","",AP238*INDEX(Справочники!$B$4:$B$7,MATCH("RUB",Справочники!$A$4:$A$7,0)))</f>
        <v/>
      </c>
      <c r="AR238" s="90" t="str">
        <f aca="false">IF(AQ238="","",ROUND(AQ238*(1+Справочники!$B$12),0))</f>
        <v/>
      </c>
      <c r="AS238" s="90" t="str">
        <f aca="false">IF(AR238="","",ROUND(AR238*(1-Справочники!$B$11),0))</f>
        <v/>
      </c>
      <c r="AT238" s="88"/>
      <c r="AU238" s="90" t="str">
        <f aca="false">IF(AT238="","",ROUND(AT238/(1+Справочники!$B$12),0))</f>
        <v/>
      </c>
      <c r="AV238" s="90" t="str">
        <f aca="false">IF(AT238="","",ROUND(AT238*(1-Справочники!$B$15),0))</f>
        <v/>
      </c>
      <c r="AW238" s="90" t="str">
        <f aca="false">IF(AT238="","",ROUND(AT238*(1-Справочники!$B$16),0))</f>
        <v/>
      </c>
      <c r="AX238" s="90" t="str">
        <f aca="false">IF(AT238="","",ROUND(AT238*(1-Справочники!$B$17),0))</f>
        <v/>
      </c>
      <c r="AY238" s="90" t="str">
        <f aca="false">IF(AT238="","",ROUND(AT238*(1-Справочники!$B$18),0))</f>
        <v/>
      </c>
      <c r="AZ238" s="90" t="str">
        <f aca="false">IF(AT238="","",ROUND(AT238*(1-Справочники!$B$19),0))</f>
        <v/>
      </c>
      <c r="BA238" s="81"/>
      <c r="BB238" s="81"/>
      <c r="BC238" s="81"/>
      <c r="BD238" s="81"/>
      <c r="BE238" s="91"/>
      <c r="BF238" s="81" t="s">
        <v>103</v>
      </c>
      <c r="BG238" s="89" t="n">
        <f aca="false" t="array" ref="BG238:BG238">IF(BF238="","",IFERROR(INDEX(Справочники!$B$4:$B$7,MATCH(BF238,Справочники!$A$4:$A$7,0)),""))</f>
        <v>68.5</v>
      </c>
      <c r="BH238" s="90" t="str">
        <f aca="false">IF(N(BN238)&gt;0,ROUND(SUMIF(ЗАКАЗЫ!$F$3:$F$500,$A238,ЗАКАЗЫ!$Y$3:$Y$500)/BN238,0),IF(OR(BE238="",BG238=""),"",ROUND(BE238*BG238*(1+Справочники!$B$10),0)))</f>
        <v/>
      </c>
      <c r="BI238" s="92" t="str">
        <f aca="false">IF(OR(AU238="",BH238="",AU238=0),"",(AU238-BH238)/AU238)</f>
        <v/>
      </c>
      <c r="BJ238" s="81"/>
      <c r="BK238" s="83"/>
      <c r="BL238" s="43" t="str">
        <f aca="false">IFERROR(INDEX(ЗАКАЗЫ!$N$3:$N$500,MATCH($A238,ЗАКАЗЫ!$F$3:$F$500,0)),"")</f>
        <v/>
      </c>
      <c r="BM238" s="8" t="str">
        <f aca="false">IF(BL238="","",IFERROR(VLOOKUP(BL238,'ТН ВЭД'!$A$4:$C$40,3,0),""))</f>
        <v/>
      </c>
      <c r="BN238" s="7" t="str">
        <f aca="false">IF(COUNTIF(ЗАКАЗЫ!$F$3:$F$500,$A238)=0,"",SUMIF(ЗАКАЗЫ!$F$3:$F$500,$A238,ЗАКАЗЫ!$J$3:$J$500))</f>
        <v/>
      </c>
      <c r="BO238" s="7" t="str">
        <f aca="false">IF(BN238="","",SUMIF(ЗАКАЗЫ!$F$3:$F$500,$A238,ЗАКАЗЫ!$AL$3:$AL$500))</f>
        <v/>
      </c>
      <c r="BP238" s="7" t="str">
        <f aca="false">IF(BN238="","",BN238-BO238)</f>
        <v/>
      </c>
      <c r="BQ238" s="55" t="str">
        <f aca="false">IF(BN238="","",IF(BO238&gt;=BN238,"На складе",IF(BO238&gt;0,"Частично","Ждём")))</f>
        <v/>
      </c>
      <c r="BR238" s="43"/>
      <c r="BS238" s="47" t="str">
        <f aca="false">IF(BN238="","",IF(_xlfn.MAXIFS(ЗАКАЗЫ!$AK$3:$AK$500,ЗАКАЗЫ!$F$3:$F$500,$A238)=0,"",_xlfn.MAXIFS(ЗАКАЗЫ!$AK$3:$AK$500,ЗАКАЗЫ!$F$3:$F$500,$A238)))</f>
        <v/>
      </c>
    </row>
    <row r="239" customFormat="false" ht="15.75" hidden="false" customHeight="true" outlineLevel="0" collapsed="false">
      <c r="A239" s="80" t="s">
        <v>2433</v>
      </c>
      <c r="B239" s="81"/>
      <c r="C239" s="81"/>
      <c r="D239" s="81"/>
      <c r="E239" s="83"/>
      <c r="F239" s="81"/>
      <c r="G239" s="83"/>
      <c r="H239" s="83"/>
      <c r="I239" s="84" t="str">
        <f aca="false">IF(E239="","",A239&amp;"_1.jpg")</f>
        <v/>
      </c>
      <c r="J239" s="84" t="str">
        <f aca="false">IF(E239="","",A239&amp;"_2.jpg; "&amp;A239&amp;"_3.jpg")</f>
        <v/>
      </c>
      <c r="K239" s="84" t="str">
        <f aca="false">IF(E239="","",A239&amp;"_schema.jpg")</f>
        <v/>
      </c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 t="s">
        <v>96</v>
      </c>
      <c r="W239" s="81"/>
      <c r="X239" s="81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6" t="str">
        <f aca="false">IF(SUM(Y239:AJ239)=0,"",SUM(Y239:AJ239))</f>
        <v/>
      </c>
      <c r="AL239" s="84" t="str">
        <f aca="false">MID(IF(N(Y239)&gt;0,", "&amp;Y$2,"")&amp;IF(N(Z239)&gt;0,", "&amp;Z$2,"")&amp;IF(N(AA239)&gt;0,", "&amp;AA$2,"")&amp;IF(N(AB239)&gt;0,", "&amp;AB$2,"")&amp;IF(N(AC239)&gt;0,", "&amp;AC$2,"")&amp;IF(N(AD239)&gt;0,", "&amp;AD$2,"")&amp;IF(N(AE239)&gt;0,", "&amp;AE$2,"")&amp;IF(N(AF239)&gt;0,", "&amp;AF$2,"")&amp;IF(N(AG239)&gt;0,", "&amp;AG$2,"")&amp;IF(N(AH239)&gt;0,", "&amp;AH$2,"")&amp;IF(N(AI239)&gt;0,", "&amp;AI$2,"")&amp;IF(N(AJ239)&gt;0,", "&amp;AJ$2,""),3,999)</f>
        <v/>
      </c>
      <c r="AM239" s="87" t="str">
        <f aca="false">IF(E239="","",MID(IF(N(Y239)&gt;0,", "&amp;A239&amp;"-"&amp;Y$2,"")&amp;IF(N(Z239)&gt;0,", "&amp;A239&amp;"-"&amp;Z$2,"")&amp;IF(N(AA239)&gt;0,", "&amp;A239&amp;"-"&amp;AA$2,"")&amp;IF(N(AB239)&gt;0,", "&amp;A239&amp;"-"&amp;AB$2,"")&amp;IF(N(AC239)&gt;0,", "&amp;A239&amp;"-"&amp;AC$2,"")&amp;IF(N(AD239)&gt;0,", "&amp;A239&amp;"-"&amp;AD$2,"")&amp;IF(N(AE239)&gt;0,", "&amp;A239&amp;"-"&amp;AE$2,"")&amp;IF(N(AF239)&gt;0,", "&amp;A239&amp;"-"&amp;AF$2,"")&amp;IF(N(AG239)&gt;0,", "&amp;A239&amp;"-"&amp;AG$2,"")&amp;IF(N(AH239)&gt;0,", "&amp;A239&amp;"-"&amp;AH$2,"")&amp;IF(N(AI239)&gt;0,", "&amp;A239&amp;"-"&amp;AI$2,"")&amp;IF(N(AJ239)&gt;0,", "&amp;A239&amp;"-"&amp;AJ$2,""),3,999))</f>
        <v/>
      </c>
      <c r="AN239" s="81"/>
      <c r="AO239" s="88"/>
      <c r="AP239" s="89" t="str">
        <f aca="false">IF(AO239="","",ROUND(AO239/(1+Справочники!$B$13),2))</f>
        <v/>
      </c>
      <c r="AQ239" s="90" t="str">
        <f aca="false" t="array" ref="AQ239:AQ239">IF(AP239="","",AP239*INDEX(Справочники!$B$4:$B$7,MATCH("RUB",Справочники!$A$4:$A$7,0)))</f>
        <v/>
      </c>
      <c r="AR239" s="90" t="str">
        <f aca="false">IF(AQ239="","",ROUND(AQ239*(1+Справочники!$B$12),0))</f>
        <v/>
      </c>
      <c r="AS239" s="90" t="str">
        <f aca="false">IF(AR239="","",ROUND(AR239*(1-Справочники!$B$11),0))</f>
        <v/>
      </c>
      <c r="AT239" s="88"/>
      <c r="AU239" s="90" t="str">
        <f aca="false">IF(AT239="","",ROUND(AT239/(1+Справочники!$B$12),0))</f>
        <v/>
      </c>
      <c r="AV239" s="90" t="str">
        <f aca="false">IF(AT239="","",ROUND(AT239*(1-Справочники!$B$15),0))</f>
        <v/>
      </c>
      <c r="AW239" s="90" t="str">
        <f aca="false">IF(AT239="","",ROUND(AT239*(1-Справочники!$B$16),0))</f>
        <v/>
      </c>
      <c r="AX239" s="90" t="str">
        <f aca="false">IF(AT239="","",ROUND(AT239*(1-Справочники!$B$17),0))</f>
        <v/>
      </c>
      <c r="AY239" s="90" t="str">
        <f aca="false">IF(AT239="","",ROUND(AT239*(1-Справочники!$B$18),0))</f>
        <v/>
      </c>
      <c r="AZ239" s="90" t="str">
        <f aca="false">IF(AT239="","",ROUND(AT239*(1-Справочники!$B$19),0))</f>
        <v/>
      </c>
      <c r="BA239" s="81"/>
      <c r="BB239" s="81"/>
      <c r="BC239" s="81"/>
      <c r="BD239" s="81"/>
      <c r="BE239" s="91"/>
      <c r="BF239" s="81" t="s">
        <v>103</v>
      </c>
      <c r="BG239" s="89" t="n">
        <f aca="false" t="array" ref="BG239:BG239">IF(BF239="","",IFERROR(INDEX(Справочники!$B$4:$B$7,MATCH(BF239,Справочники!$A$4:$A$7,0)),""))</f>
        <v>68.5</v>
      </c>
      <c r="BH239" s="90" t="str">
        <f aca="false">IF(N(BN239)&gt;0,ROUND(SUMIF(ЗАКАЗЫ!$F$3:$F$500,$A239,ЗАКАЗЫ!$Y$3:$Y$500)/BN239,0),IF(OR(BE239="",BG239=""),"",ROUND(BE239*BG239*(1+Справочники!$B$10),0)))</f>
        <v/>
      </c>
      <c r="BI239" s="92" t="str">
        <f aca="false">IF(OR(AU239="",BH239="",AU239=0),"",(AU239-BH239)/AU239)</f>
        <v/>
      </c>
      <c r="BJ239" s="81"/>
      <c r="BK239" s="83"/>
      <c r="BL239" s="43" t="str">
        <f aca="false">IFERROR(INDEX(ЗАКАЗЫ!$N$3:$N$500,MATCH($A239,ЗАКАЗЫ!$F$3:$F$500,0)),"")</f>
        <v/>
      </c>
      <c r="BM239" s="8" t="str">
        <f aca="false">IF(BL239="","",IFERROR(VLOOKUP(BL239,'ТН ВЭД'!$A$4:$C$40,3,0),""))</f>
        <v/>
      </c>
      <c r="BN239" s="7" t="str">
        <f aca="false">IF(COUNTIF(ЗАКАЗЫ!$F$3:$F$500,$A239)=0,"",SUMIF(ЗАКАЗЫ!$F$3:$F$500,$A239,ЗАКАЗЫ!$J$3:$J$500))</f>
        <v/>
      </c>
      <c r="BO239" s="7" t="str">
        <f aca="false">IF(BN239="","",SUMIF(ЗАКАЗЫ!$F$3:$F$500,$A239,ЗАКАЗЫ!$AL$3:$AL$500))</f>
        <v/>
      </c>
      <c r="BP239" s="7" t="str">
        <f aca="false">IF(BN239="","",BN239-BO239)</f>
        <v/>
      </c>
      <c r="BQ239" s="55" t="str">
        <f aca="false">IF(BN239="","",IF(BO239&gt;=BN239,"На складе",IF(BO239&gt;0,"Частично","Ждём")))</f>
        <v/>
      </c>
      <c r="BR239" s="43"/>
      <c r="BS239" s="47" t="str">
        <f aca="false">IF(BN239="","",IF(_xlfn.MAXIFS(ЗАКАЗЫ!$AK$3:$AK$500,ЗАКАЗЫ!$F$3:$F$500,$A239)=0,"",_xlfn.MAXIFS(ЗАКАЗЫ!$AK$3:$AK$500,ЗАКАЗЫ!$F$3:$F$500,$A239)))</f>
        <v/>
      </c>
    </row>
    <row r="240" customFormat="false" ht="15.75" hidden="false" customHeight="true" outlineLevel="0" collapsed="false">
      <c r="A240" s="80" t="s">
        <v>2434</v>
      </c>
      <c r="B240" s="81"/>
      <c r="C240" s="81"/>
      <c r="D240" s="81"/>
      <c r="E240" s="83"/>
      <c r="F240" s="81"/>
      <c r="G240" s="83"/>
      <c r="H240" s="83"/>
      <c r="I240" s="84" t="str">
        <f aca="false">IF(E240="","",A240&amp;"_1.jpg")</f>
        <v/>
      </c>
      <c r="J240" s="84" t="str">
        <f aca="false">IF(E240="","",A240&amp;"_2.jpg; "&amp;A240&amp;"_3.jpg")</f>
        <v/>
      </c>
      <c r="K240" s="84" t="str">
        <f aca="false">IF(E240="","",A240&amp;"_schema.jpg")</f>
        <v/>
      </c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 t="s">
        <v>96</v>
      </c>
      <c r="W240" s="81"/>
      <c r="X240" s="81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6" t="str">
        <f aca="false">IF(SUM(Y240:AJ240)=0,"",SUM(Y240:AJ240))</f>
        <v/>
      </c>
      <c r="AL240" s="84" t="str">
        <f aca="false">MID(IF(N(Y240)&gt;0,", "&amp;Y$2,"")&amp;IF(N(Z240)&gt;0,", "&amp;Z$2,"")&amp;IF(N(AA240)&gt;0,", "&amp;AA$2,"")&amp;IF(N(AB240)&gt;0,", "&amp;AB$2,"")&amp;IF(N(AC240)&gt;0,", "&amp;AC$2,"")&amp;IF(N(AD240)&gt;0,", "&amp;AD$2,"")&amp;IF(N(AE240)&gt;0,", "&amp;AE$2,"")&amp;IF(N(AF240)&gt;0,", "&amp;AF$2,"")&amp;IF(N(AG240)&gt;0,", "&amp;AG$2,"")&amp;IF(N(AH240)&gt;0,", "&amp;AH$2,"")&amp;IF(N(AI240)&gt;0,", "&amp;AI$2,"")&amp;IF(N(AJ240)&gt;0,", "&amp;AJ$2,""),3,999)</f>
        <v/>
      </c>
      <c r="AM240" s="87" t="str">
        <f aca="false">IF(E240="","",MID(IF(N(Y240)&gt;0,", "&amp;A240&amp;"-"&amp;Y$2,"")&amp;IF(N(Z240)&gt;0,", "&amp;A240&amp;"-"&amp;Z$2,"")&amp;IF(N(AA240)&gt;0,", "&amp;A240&amp;"-"&amp;AA$2,"")&amp;IF(N(AB240)&gt;0,", "&amp;A240&amp;"-"&amp;AB$2,"")&amp;IF(N(AC240)&gt;0,", "&amp;A240&amp;"-"&amp;AC$2,"")&amp;IF(N(AD240)&gt;0,", "&amp;A240&amp;"-"&amp;AD$2,"")&amp;IF(N(AE240)&gt;0,", "&amp;A240&amp;"-"&amp;AE$2,"")&amp;IF(N(AF240)&gt;0,", "&amp;A240&amp;"-"&amp;AF$2,"")&amp;IF(N(AG240)&gt;0,", "&amp;A240&amp;"-"&amp;AG$2,"")&amp;IF(N(AH240)&gt;0,", "&amp;A240&amp;"-"&amp;AH$2,"")&amp;IF(N(AI240)&gt;0,", "&amp;A240&amp;"-"&amp;AI$2,"")&amp;IF(N(AJ240)&gt;0,", "&amp;A240&amp;"-"&amp;AJ$2,""),3,999))</f>
        <v/>
      </c>
      <c r="AN240" s="81"/>
      <c r="AO240" s="88"/>
      <c r="AP240" s="89" t="str">
        <f aca="false">IF(AO240="","",ROUND(AO240/(1+Справочники!$B$13),2))</f>
        <v/>
      </c>
      <c r="AQ240" s="90" t="str">
        <f aca="false" t="array" ref="AQ240:AQ240">IF(AP240="","",AP240*INDEX(Справочники!$B$4:$B$7,MATCH("RUB",Справочники!$A$4:$A$7,0)))</f>
        <v/>
      </c>
      <c r="AR240" s="90" t="str">
        <f aca="false">IF(AQ240="","",ROUND(AQ240*(1+Справочники!$B$12),0))</f>
        <v/>
      </c>
      <c r="AS240" s="90" t="str">
        <f aca="false">IF(AR240="","",ROUND(AR240*(1-Справочники!$B$11),0))</f>
        <v/>
      </c>
      <c r="AT240" s="88"/>
      <c r="AU240" s="90" t="str">
        <f aca="false">IF(AT240="","",ROUND(AT240/(1+Справочники!$B$12),0))</f>
        <v/>
      </c>
      <c r="AV240" s="90" t="str">
        <f aca="false">IF(AT240="","",ROUND(AT240*(1-Справочники!$B$15),0))</f>
        <v/>
      </c>
      <c r="AW240" s="90" t="str">
        <f aca="false">IF(AT240="","",ROUND(AT240*(1-Справочники!$B$16),0))</f>
        <v/>
      </c>
      <c r="AX240" s="90" t="str">
        <f aca="false">IF(AT240="","",ROUND(AT240*(1-Справочники!$B$17),0))</f>
        <v/>
      </c>
      <c r="AY240" s="90" t="str">
        <f aca="false">IF(AT240="","",ROUND(AT240*(1-Справочники!$B$18),0))</f>
        <v/>
      </c>
      <c r="AZ240" s="90" t="str">
        <f aca="false">IF(AT240="","",ROUND(AT240*(1-Справочники!$B$19),0))</f>
        <v/>
      </c>
      <c r="BA240" s="81"/>
      <c r="BB240" s="81"/>
      <c r="BC240" s="81"/>
      <c r="BD240" s="81"/>
      <c r="BE240" s="91"/>
      <c r="BF240" s="81" t="s">
        <v>103</v>
      </c>
      <c r="BG240" s="89" t="n">
        <f aca="false" t="array" ref="BG240:BG240">IF(BF240="","",IFERROR(INDEX(Справочники!$B$4:$B$7,MATCH(BF240,Справочники!$A$4:$A$7,0)),""))</f>
        <v>68.5</v>
      </c>
      <c r="BH240" s="90" t="str">
        <f aca="false">IF(N(BN240)&gt;0,ROUND(SUMIF(ЗАКАЗЫ!$F$3:$F$500,$A240,ЗАКАЗЫ!$Y$3:$Y$500)/BN240,0),IF(OR(BE240="",BG240=""),"",ROUND(BE240*BG240*(1+Справочники!$B$10),0)))</f>
        <v/>
      </c>
      <c r="BI240" s="92" t="str">
        <f aca="false">IF(OR(AU240="",BH240="",AU240=0),"",(AU240-BH240)/AU240)</f>
        <v/>
      </c>
      <c r="BJ240" s="81"/>
      <c r="BK240" s="83"/>
      <c r="BL240" s="43" t="str">
        <f aca="false">IFERROR(INDEX(ЗАКАЗЫ!$N$3:$N$500,MATCH($A240,ЗАКАЗЫ!$F$3:$F$500,0)),"")</f>
        <v/>
      </c>
      <c r="BM240" s="8" t="str">
        <f aca="false">IF(BL240="","",IFERROR(VLOOKUP(BL240,'ТН ВЭД'!$A$4:$C$40,3,0),""))</f>
        <v/>
      </c>
      <c r="BN240" s="7" t="str">
        <f aca="false">IF(COUNTIF(ЗАКАЗЫ!$F$3:$F$500,$A240)=0,"",SUMIF(ЗАКАЗЫ!$F$3:$F$500,$A240,ЗАКАЗЫ!$J$3:$J$500))</f>
        <v/>
      </c>
      <c r="BO240" s="7" t="str">
        <f aca="false">IF(BN240="","",SUMIF(ЗАКАЗЫ!$F$3:$F$500,$A240,ЗАКАЗЫ!$AL$3:$AL$500))</f>
        <v/>
      </c>
      <c r="BP240" s="7" t="str">
        <f aca="false">IF(BN240="","",BN240-BO240)</f>
        <v/>
      </c>
      <c r="BQ240" s="55" t="str">
        <f aca="false">IF(BN240="","",IF(BO240&gt;=BN240,"На складе",IF(BO240&gt;0,"Частично","Ждём")))</f>
        <v/>
      </c>
      <c r="BR240" s="43"/>
      <c r="BS240" s="47" t="str">
        <f aca="false">IF(BN240="","",IF(_xlfn.MAXIFS(ЗАКАЗЫ!$AK$3:$AK$500,ЗАКАЗЫ!$F$3:$F$500,$A240)=0,"",_xlfn.MAXIFS(ЗАКАЗЫ!$AK$3:$AK$500,ЗАКАЗЫ!$F$3:$F$500,$A240)))</f>
        <v/>
      </c>
    </row>
    <row r="241" customFormat="false" ht="15.75" hidden="false" customHeight="true" outlineLevel="0" collapsed="false">
      <c r="A241" s="80" t="s">
        <v>2435</v>
      </c>
      <c r="B241" s="81"/>
      <c r="C241" s="81"/>
      <c r="D241" s="81"/>
      <c r="E241" s="83"/>
      <c r="F241" s="81"/>
      <c r="G241" s="83"/>
      <c r="H241" s="83"/>
      <c r="I241" s="84" t="str">
        <f aca="false">IF(E241="","",A241&amp;"_1.jpg")</f>
        <v/>
      </c>
      <c r="J241" s="84" t="str">
        <f aca="false">IF(E241="","",A241&amp;"_2.jpg; "&amp;A241&amp;"_3.jpg")</f>
        <v/>
      </c>
      <c r="K241" s="84" t="str">
        <f aca="false">IF(E241="","",A241&amp;"_schema.jpg")</f>
        <v/>
      </c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 t="s">
        <v>96</v>
      </c>
      <c r="W241" s="81"/>
      <c r="X241" s="81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6" t="str">
        <f aca="false">IF(SUM(Y241:AJ241)=0,"",SUM(Y241:AJ241))</f>
        <v/>
      </c>
      <c r="AL241" s="84" t="str">
        <f aca="false">MID(IF(N(Y241)&gt;0,", "&amp;Y$2,"")&amp;IF(N(Z241)&gt;0,", "&amp;Z$2,"")&amp;IF(N(AA241)&gt;0,", "&amp;AA$2,"")&amp;IF(N(AB241)&gt;0,", "&amp;AB$2,"")&amp;IF(N(AC241)&gt;0,", "&amp;AC$2,"")&amp;IF(N(AD241)&gt;0,", "&amp;AD$2,"")&amp;IF(N(AE241)&gt;0,", "&amp;AE$2,"")&amp;IF(N(AF241)&gt;0,", "&amp;AF$2,"")&amp;IF(N(AG241)&gt;0,", "&amp;AG$2,"")&amp;IF(N(AH241)&gt;0,", "&amp;AH$2,"")&amp;IF(N(AI241)&gt;0,", "&amp;AI$2,"")&amp;IF(N(AJ241)&gt;0,", "&amp;AJ$2,""),3,999)</f>
        <v/>
      </c>
      <c r="AM241" s="87" t="str">
        <f aca="false">IF(E241="","",MID(IF(N(Y241)&gt;0,", "&amp;A241&amp;"-"&amp;Y$2,"")&amp;IF(N(Z241)&gt;0,", "&amp;A241&amp;"-"&amp;Z$2,"")&amp;IF(N(AA241)&gt;0,", "&amp;A241&amp;"-"&amp;AA$2,"")&amp;IF(N(AB241)&gt;0,", "&amp;A241&amp;"-"&amp;AB$2,"")&amp;IF(N(AC241)&gt;0,", "&amp;A241&amp;"-"&amp;AC$2,"")&amp;IF(N(AD241)&gt;0,", "&amp;A241&amp;"-"&amp;AD$2,"")&amp;IF(N(AE241)&gt;0,", "&amp;A241&amp;"-"&amp;AE$2,"")&amp;IF(N(AF241)&gt;0,", "&amp;A241&amp;"-"&amp;AF$2,"")&amp;IF(N(AG241)&gt;0,", "&amp;A241&amp;"-"&amp;AG$2,"")&amp;IF(N(AH241)&gt;0,", "&amp;A241&amp;"-"&amp;AH$2,"")&amp;IF(N(AI241)&gt;0,", "&amp;A241&amp;"-"&amp;AI$2,"")&amp;IF(N(AJ241)&gt;0,", "&amp;A241&amp;"-"&amp;AJ$2,""),3,999))</f>
        <v/>
      </c>
      <c r="AN241" s="81"/>
      <c r="AO241" s="88"/>
      <c r="AP241" s="89" t="str">
        <f aca="false">IF(AO241="","",ROUND(AO241/(1+Справочники!$B$13),2))</f>
        <v/>
      </c>
      <c r="AQ241" s="90" t="str">
        <f aca="false" t="array" ref="AQ241:AQ241">IF(AP241="","",AP241*INDEX(Справочники!$B$4:$B$7,MATCH("RUB",Справочники!$A$4:$A$7,0)))</f>
        <v/>
      </c>
      <c r="AR241" s="90" t="str">
        <f aca="false">IF(AQ241="","",ROUND(AQ241*(1+Справочники!$B$12),0))</f>
        <v/>
      </c>
      <c r="AS241" s="90" t="str">
        <f aca="false">IF(AR241="","",ROUND(AR241*(1-Справочники!$B$11),0))</f>
        <v/>
      </c>
      <c r="AT241" s="88"/>
      <c r="AU241" s="90" t="str">
        <f aca="false">IF(AT241="","",ROUND(AT241/(1+Справочники!$B$12),0))</f>
        <v/>
      </c>
      <c r="AV241" s="90" t="str">
        <f aca="false">IF(AT241="","",ROUND(AT241*(1-Справочники!$B$15),0))</f>
        <v/>
      </c>
      <c r="AW241" s="90" t="str">
        <f aca="false">IF(AT241="","",ROUND(AT241*(1-Справочники!$B$16),0))</f>
        <v/>
      </c>
      <c r="AX241" s="90" t="str">
        <f aca="false">IF(AT241="","",ROUND(AT241*(1-Справочники!$B$17),0))</f>
        <v/>
      </c>
      <c r="AY241" s="90" t="str">
        <f aca="false">IF(AT241="","",ROUND(AT241*(1-Справочники!$B$18),0))</f>
        <v/>
      </c>
      <c r="AZ241" s="90" t="str">
        <f aca="false">IF(AT241="","",ROUND(AT241*(1-Справочники!$B$19),0))</f>
        <v/>
      </c>
      <c r="BA241" s="81"/>
      <c r="BB241" s="81"/>
      <c r="BC241" s="81"/>
      <c r="BD241" s="81"/>
      <c r="BE241" s="91"/>
      <c r="BF241" s="81" t="s">
        <v>103</v>
      </c>
      <c r="BG241" s="89" t="n">
        <f aca="false" t="array" ref="BG241:BG241">IF(BF241="","",IFERROR(INDEX(Справочники!$B$4:$B$7,MATCH(BF241,Справочники!$A$4:$A$7,0)),""))</f>
        <v>68.5</v>
      </c>
      <c r="BH241" s="90" t="str">
        <f aca="false">IF(N(BN241)&gt;0,ROUND(SUMIF(ЗАКАЗЫ!$F$3:$F$500,$A241,ЗАКАЗЫ!$Y$3:$Y$500)/BN241,0),IF(OR(BE241="",BG241=""),"",ROUND(BE241*BG241*(1+Справочники!$B$10),0)))</f>
        <v/>
      </c>
      <c r="BI241" s="92" t="str">
        <f aca="false">IF(OR(AU241="",BH241="",AU241=0),"",(AU241-BH241)/AU241)</f>
        <v/>
      </c>
      <c r="BJ241" s="81"/>
      <c r="BK241" s="83"/>
      <c r="BL241" s="43" t="str">
        <f aca="false">IFERROR(INDEX(ЗАКАЗЫ!$N$3:$N$500,MATCH($A241,ЗАКАЗЫ!$F$3:$F$500,0)),"")</f>
        <v/>
      </c>
      <c r="BM241" s="8" t="str">
        <f aca="false">IF(BL241="","",IFERROR(VLOOKUP(BL241,'ТН ВЭД'!$A$4:$C$40,3,0),""))</f>
        <v/>
      </c>
      <c r="BN241" s="7" t="str">
        <f aca="false">IF(COUNTIF(ЗАКАЗЫ!$F$3:$F$500,$A241)=0,"",SUMIF(ЗАКАЗЫ!$F$3:$F$500,$A241,ЗАКАЗЫ!$J$3:$J$500))</f>
        <v/>
      </c>
      <c r="BO241" s="7" t="str">
        <f aca="false">IF(BN241="","",SUMIF(ЗАКАЗЫ!$F$3:$F$500,$A241,ЗАКАЗЫ!$AL$3:$AL$500))</f>
        <v/>
      </c>
      <c r="BP241" s="7" t="str">
        <f aca="false">IF(BN241="","",BN241-BO241)</f>
        <v/>
      </c>
      <c r="BQ241" s="55" t="str">
        <f aca="false">IF(BN241="","",IF(BO241&gt;=BN241,"На складе",IF(BO241&gt;0,"Частично","Ждём")))</f>
        <v/>
      </c>
      <c r="BR241" s="43"/>
      <c r="BS241" s="47" t="str">
        <f aca="false">IF(BN241="","",IF(_xlfn.MAXIFS(ЗАКАЗЫ!$AK$3:$AK$500,ЗАКАЗЫ!$F$3:$F$500,$A241)=0,"",_xlfn.MAXIFS(ЗАКАЗЫ!$AK$3:$AK$500,ЗАКАЗЫ!$F$3:$F$500,$A241)))</f>
        <v/>
      </c>
    </row>
    <row r="242" customFormat="false" ht="15.75" hidden="false" customHeight="true" outlineLevel="0" collapsed="false">
      <c r="A242" s="80" t="s">
        <v>2436</v>
      </c>
      <c r="B242" s="81"/>
      <c r="C242" s="81"/>
      <c r="D242" s="81"/>
      <c r="E242" s="83"/>
      <c r="F242" s="81"/>
      <c r="G242" s="83"/>
      <c r="H242" s="83"/>
      <c r="I242" s="84" t="str">
        <f aca="false">IF(E242="","",A242&amp;"_1.jpg")</f>
        <v/>
      </c>
      <c r="J242" s="84" t="str">
        <f aca="false">IF(E242="","",A242&amp;"_2.jpg; "&amp;A242&amp;"_3.jpg")</f>
        <v/>
      </c>
      <c r="K242" s="84" t="str">
        <f aca="false">IF(E242="","",A242&amp;"_schema.jpg")</f>
        <v/>
      </c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 t="s">
        <v>96</v>
      </c>
      <c r="W242" s="81"/>
      <c r="X242" s="81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6" t="str">
        <f aca="false">IF(SUM(Y242:AJ242)=0,"",SUM(Y242:AJ242))</f>
        <v/>
      </c>
      <c r="AL242" s="84" t="str">
        <f aca="false">MID(IF(N(Y242)&gt;0,", "&amp;Y$2,"")&amp;IF(N(Z242)&gt;0,", "&amp;Z$2,"")&amp;IF(N(AA242)&gt;0,", "&amp;AA$2,"")&amp;IF(N(AB242)&gt;0,", "&amp;AB$2,"")&amp;IF(N(AC242)&gt;0,", "&amp;AC$2,"")&amp;IF(N(AD242)&gt;0,", "&amp;AD$2,"")&amp;IF(N(AE242)&gt;0,", "&amp;AE$2,"")&amp;IF(N(AF242)&gt;0,", "&amp;AF$2,"")&amp;IF(N(AG242)&gt;0,", "&amp;AG$2,"")&amp;IF(N(AH242)&gt;0,", "&amp;AH$2,"")&amp;IF(N(AI242)&gt;0,", "&amp;AI$2,"")&amp;IF(N(AJ242)&gt;0,", "&amp;AJ$2,""),3,999)</f>
        <v/>
      </c>
      <c r="AM242" s="87" t="str">
        <f aca="false">IF(E242="","",MID(IF(N(Y242)&gt;0,", "&amp;A242&amp;"-"&amp;Y$2,"")&amp;IF(N(Z242)&gt;0,", "&amp;A242&amp;"-"&amp;Z$2,"")&amp;IF(N(AA242)&gt;0,", "&amp;A242&amp;"-"&amp;AA$2,"")&amp;IF(N(AB242)&gt;0,", "&amp;A242&amp;"-"&amp;AB$2,"")&amp;IF(N(AC242)&gt;0,", "&amp;A242&amp;"-"&amp;AC$2,"")&amp;IF(N(AD242)&gt;0,", "&amp;A242&amp;"-"&amp;AD$2,"")&amp;IF(N(AE242)&gt;0,", "&amp;A242&amp;"-"&amp;AE$2,"")&amp;IF(N(AF242)&gt;0,", "&amp;A242&amp;"-"&amp;AF$2,"")&amp;IF(N(AG242)&gt;0,", "&amp;A242&amp;"-"&amp;AG$2,"")&amp;IF(N(AH242)&gt;0,", "&amp;A242&amp;"-"&amp;AH$2,"")&amp;IF(N(AI242)&gt;0,", "&amp;A242&amp;"-"&amp;AI$2,"")&amp;IF(N(AJ242)&gt;0,", "&amp;A242&amp;"-"&amp;AJ$2,""),3,999))</f>
        <v/>
      </c>
      <c r="AN242" s="81"/>
      <c r="AO242" s="88"/>
      <c r="AP242" s="89" t="str">
        <f aca="false">IF(AO242="","",ROUND(AO242/(1+Справочники!$B$13),2))</f>
        <v/>
      </c>
      <c r="AQ242" s="90" t="str">
        <f aca="false" t="array" ref="AQ242:AQ242">IF(AP242="","",AP242*INDEX(Справочники!$B$4:$B$7,MATCH("RUB",Справочники!$A$4:$A$7,0)))</f>
        <v/>
      </c>
      <c r="AR242" s="90" t="str">
        <f aca="false">IF(AQ242="","",ROUND(AQ242*(1+Справочники!$B$12),0))</f>
        <v/>
      </c>
      <c r="AS242" s="90" t="str">
        <f aca="false">IF(AR242="","",ROUND(AR242*(1-Справочники!$B$11),0))</f>
        <v/>
      </c>
      <c r="AT242" s="88"/>
      <c r="AU242" s="90" t="str">
        <f aca="false">IF(AT242="","",ROUND(AT242/(1+Справочники!$B$12),0))</f>
        <v/>
      </c>
      <c r="AV242" s="90" t="str">
        <f aca="false">IF(AT242="","",ROUND(AT242*(1-Справочники!$B$15),0))</f>
        <v/>
      </c>
      <c r="AW242" s="90" t="str">
        <f aca="false">IF(AT242="","",ROUND(AT242*(1-Справочники!$B$16),0))</f>
        <v/>
      </c>
      <c r="AX242" s="90" t="str">
        <f aca="false">IF(AT242="","",ROUND(AT242*(1-Справочники!$B$17),0))</f>
        <v/>
      </c>
      <c r="AY242" s="90" t="str">
        <f aca="false">IF(AT242="","",ROUND(AT242*(1-Справочники!$B$18),0))</f>
        <v/>
      </c>
      <c r="AZ242" s="90" t="str">
        <f aca="false">IF(AT242="","",ROUND(AT242*(1-Справочники!$B$19),0))</f>
        <v/>
      </c>
      <c r="BA242" s="81"/>
      <c r="BB242" s="81"/>
      <c r="BC242" s="81"/>
      <c r="BD242" s="81"/>
      <c r="BE242" s="91"/>
      <c r="BF242" s="81" t="s">
        <v>103</v>
      </c>
      <c r="BG242" s="89" t="n">
        <f aca="false" t="array" ref="BG242:BG242">IF(BF242="","",IFERROR(INDEX(Справочники!$B$4:$B$7,MATCH(BF242,Справочники!$A$4:$A$7,0)),""))</f>
        <v>68.5</v>
      </c>
      <c r="BH242" s="90" t="str">
        <f aca="false">IF(N(BN242)&gt;0,ROUND(SUMIF(ЗАКАЗЫ!$F$3:$F$500,$A242,ЗАКАЗЫ!$Y$3:$Y$500)/BN242,0),IF(OR(BE242="",BG242=""),"",ROUND(BE242*BG242*(1+Справочники!$B$10),0)))</f>
        <v/>
      </c>
      <c r="BI242" s="92" t="str">
        <f aca="false">IF(OR(AU242="",BH242="",AU242=0),"",(AU242-BH242)/AU242)</f>
        <v/>
      </c>
      <c r="BJ242" s="81"/>
      <c r="BK242" s="83"/>
      <c r="BL242" s="43" t="str">
        <f aca="false">IFERROR(INDEX(ЗАКАЗЫ!$N$3:$N$500,MATCH($A242,ЗАКАЗЫ!$F$3:$F$500,0)),"")</f>
        <v/>
      </c>
      <c r="BM242" s="8" t="str">
        <f aca="false">IF(BL242="","",IFERROR(VLOOKUP(BL242,'ТН ВЭД'!$A$4:$C$40,3,0),""))</f>
        <v/>
      </c>
      <c r="BN242" s="7" t="str">
        <f aca="false">IF(COUNTIF(ЗАКАЗЫ!$F$3:$F$500,$A242)=0,"",SUMIF(ЗАКАЗЫ!$F$3:$F$500,$A242,ЗАКАЗЫ!$J$3:$J$500))</f>
        <v/>
      </c>
      <c r="BO242" s="7" t="str">
        <f aca="false">IF(BN242="","",SUMIF(ЗАКАЗЫ!$F$3:$F$500,$A242,ЗАКАЗЫ!$AL$3:$AL$500))</f>
        <v/>
      </c>
      <c r="BP242" s="7" t="str">
        <f aca="false">IF(BN242="","",BN242-BO242)</f>
        <v/>
      </c>
      <c r="BQ242" s="55" t="str">
        <f aca="false">IF(BN242="","",IF(BO242&gt;=BN242,"На складе",IF(BO242&gt;0,"Частично","Ждём")))</f>
        <v/>
      </c>
      <c r="BR242" s="43"/>
      <c r="BS242" s="47" t="str">
        <f aca="false">IF(BN242="","",IF(_xlfn.MAXIFS(ЗАКАЗЫ!$AK$3:$AK$500,ЗАКАЗЫ!$F$3:$F$500,$A242)=0,"",_xlfn.MAXIFS(ЗАКАЗЫ!$AK$3:$AK$500,ЗАКАЗЫ!$F$3:$F$500,$A242)))</f>
        <v/>
      </c>
    </row>
    <row r="243" customFormat="false" ht="15.75" hidden="false" customHeight="true" outlineLevel="0" collapsed="false">
      <c r="A243" s="80" t="s">
        <v>2437</v>
      </c>
      <c r="B243" s="81"/>
      <c r="C243" s="81"/>
      <c r="D243" s="81"/>
      <c r="E243" s="83"/>
      <c r="F243" s="81"/>
      <c r="G243" s="83"/>
      <c r="H243" s="83"/>
      <c r="I243" s="84" t="str">
        <f aca="false">IF(E243="","",A243&amp;"_1.jpg")</f>
        <v/>
      </c>
      <c r="J243" s="84" t="str">
        <f aca="false">IF(E243="","",A243&amp;"_2.jpg; "&amp;A243&amp;"_3.jpg")</f>
        <v/>
      </c>
      <c r="K243" s="84" t="str">
        <f aca="false">IF(E243="","",A243&amp;"_schema.jpg")</f>
        <v/>
      </c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 t="s">
        <v>96</v>
      </c>
      <c r="W243" s="81"/>
      <c r="X243" s="81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6" t="str">
        <f aca="false">IF(SUM(Y243:AJ243)=0,"",SUM(Y243:AJ243))</f>
        <v/>
      </c>
      <c r="AL243" s="84" t="str">
        <f aca="false">MID(IF(N(Y243)&gt;0,", "&amp;Y$2,"")&amp;IF(N(Z243)&gt;0,", "&amp;Z$2,"")&amp;IF(N(AA243)&gt;0,", "&amp;AA$2,"")&amp;IF(N(AB243)&gt;0,", "&amp;AB$2,"")&amp;IF(N(AC243)&gt;0,", "&amp;AC$2,"")&amp;IF(N(AD243)&gt;0,", "&amp;AD$2,"")&amp;IF(N(AE243)&gt;0,", "&amp;AE$2,"")&amp;IF(N(AF243)&gt;0,", "&amp;AF$2,"")&amp;IF(N(AG243)&gt;0,", "&amp;AG$2,"")&amp;IF(N(AH243)&gt;0,", "&amp;AH$2,"")&amp;IF(N(AI243)&gt;0,", "&amp;AI$2,"")&amp;IF(N(AJ243)&gt;0,", "&amp;AJ$2,""),3,999)</f>
        <v/>
      </c>
      <c r="AM243" s="87" t="str">
        <f aca="false">IF(E243="","",MID(IF(N(Y243)&gt;0,", "&amp;A243&amp;"-"&amp;Y$2,"")&amp;IF(N(Z243)&gt;0,", "&amp;A243&amp;"-"&amp;Z$2,"")&amp;IF(N(AA243)&gt;0,", "&amp;A243&amp;"-"&amp;AA$2,"")&amp;IF(N(AB243)&gt;0,", "&amp;A243&amp;"-"&amp;AB$2,"")&amp;IF(N(AC243)&gt;0,", "&amp;A243&amp;"-"&amp;AC$2,"")&amp;IF(N(AD243)&gt;0,", "&amp;A243&amp;"-"&amp;AD$2,"")&amp;IF(N(AE243)&gt;0,", "&amp;A243&amp;"-"&amp;AE$2,"")&amp;IF(N(AF243)&gt;0,", "&amp;A243&amp;"-"&amp;AF$2,"")&amp;IF(N(AG243)&gt;0,", "&amp;A243&amp;"-"&amp;AG$2,"")&amp;IF(N(AH243)&gt;0,", "&amp;A243&amp;"-"&amp;AH$2,"")&amp;IF(N(AI243)&gt;0,", "&amp;A243&amp;"-"&amp;AI$2,"")&amp;IF(N(AJ243)&gt;0,", "&amp;A243&amp;"-"&amp;AJ$2,""),3,999))</f>
        <v/>
      </c>
      <c r="AN243" s="81"/>
      <c r="AO243" s="88"/>
      <c r="AP243" s="89" t="str">
        <f aca="false">IF(AO243="","",ROUND(AO243/(1+Справочники!$B$13),2))</f>
        <v/>
      </c>
      <c r="AQ243" s="90" t="str">
        <f aca="false" t="array" ref="AQ243:AQ243">IF(AP243="","",AP243*INDEX(Справочники!$B$4:$B$7,MATCH("RUB",Справочники!$A$4:$A$7,0)))</f>
        <v/>
      </c>
      <c r="AR243" s="90" t="str">
        <f aca="false">IF(AQ243="","",ROUND(AQ243*(1+Справочники!$B$12),0))</f>
        <v/>
      </c>
      <c r="AS243" s="90" t="str">
        <f aca="false">IF(AR243="","",ROUND(AR243*(1-Справочники!$B$11),0))</f>
        <v/>
      </c>
      <c r="AT243" s="88"/>
      <c r="AU243" s="90" t="str">
        <f aca="false">IF(AT243="","",ROUND(AT243/(1+Справочники!$B$12),0))</f>
        <v/>
      </c>
      <c r="AV243" s="90" t="str">
        <f aca="false">IF(AT243="","",ROUND(AT243*(1-Справочники!$B$15),0))</f>
        <v/>
      </c>
      <c r="AW243" s="90" t="str">
        <f aca="false">IF(AT243="","",ROUND(AT243*(1-Справочники!$B$16),0))</f>
        <v/>
      </c>
      <c r="AX243" s="90" t="str">
        <f aca="false">IF(AT243="","",ROUND(AT243*(1-Справочники!$B$17),0))</f>
        <v/>
      </c>
      <c r="AY243" s="90" t="str">
        <f aca="false">IF(AT243="","",ROUND(AT243*(1-Справочники!$B$18),0))</f>
        <v/>
      </c>
      <c r="AZ243" s="90" t="str">
        <f aca="false">IF(AT243="","",ROUND(AT243*(1-Справочники!$B$19),0))</f>
        <v/>
      </c>
      <c r="BA243" s="81"/>
      <c r="BB243" s="81"/>
      <c r="BC243" s="81"/>
      <c r="BD243" s="81"/>
      <c r="BE243" s="91"/>
      <c r="BF243" s="81" t="s">
        <v>103</v>
      </c>
      <c r="BG243" s="89" t="n">
        <f aca="false" t="array" ref="BG243:BG243">IF(BF243="","",IFERROR(INDEX(Справочники!$B$4:$B$7,MATCH(BF243,Справочники!$A$4:$A$7,0)),""))</f>
        <v>68.5</v>
      </c>
      <c r="BH243" s="90" t="str">
        <f aca="false">IF(N(BN243)&gt;0,ROUND(SUMIF(ЗАКАЗЫ!$F$3:$F$500,$A243,ЗАКАЗЫ!$Y$3:$Y$500)/BN243,0),IF(OR(BE243="",BG243=""),"",ROUND(BE243*BG243*(1+Справочники!$B$10),0)))</f>
        <v/>
      </c>
      <c r="BI243" s="92" t="str">
        <f aca="false">IF(OR(AU243="",BH243="",AU243=0),"",(AU243-BH243)/AU243)</f>
        <v/>
      </c>
      <c r="BJ243" s="81"/>
      <c r="BK243" s="83"/>
      <c r="BL243" s="43" t="str">
        <f aca="false">IFERROR(INDEX(ЗАКАЗЫ!$N$3:$N$500,MATCH($A243,ЗАКАЗЫ!$F$3:$F$500,0)),"")</f>
        <v/>
      </c>
      <c r="BM243" s="8" t="str">
        <f aca="false">IF(BL243="","",IFERROR(VLOOKUP(BL243,'ТН ВЭД'!$A$4:$C$40,3,0),""))</f>
        <v/>
      </c>
      <c r="BN243" s="7" t="str">
        <f aca="false">IF(COUNTIF(ЗАКАЗЫ!$F$3:$F$500,$A243)=0,"",SUMIF(ЗАКАЗЫ!$F$3:$F$500,$A243,ЗАКАЗЫ!$J$3:$J$500))</f>
        <v/>
      </c>
      <c r="BO243" s="7" t="str">
        <f aca="false">IF(BN243="","",SUMIF(ЗАКАЗЫ!$F$3:$F$500,$A243,ЗАКАЗЫ!$AL$3:$AL$500))</f>
        <v/>
      </c>
      <c r="BP243" s="7" t="str">
        <f aca="false">IF(BN243="","",BN243-BO243)</f>
        <v/>
      </c>
      <c r="BQ243" s="55" t="str">
        <f aca="false">IF(BN243="","",IF(BO243&gt;=BN243,"На складе",IF(BO243&gt;0,"Частично","Ждём")))</f>
        <v/>
      </c>
      <c r="BR243" s="43"/>
      <c r="BS243" s="47" t="str">
        <f aca="false">IF(BN243="","",IF(_xlfn.MAXIFS(ЗАКАЗЫ!$AK$3:$AK$500,ЗАКАЗЫ!$F$3:$F$500,$A243)=0,"",_xlfn.MAXIFS(ЗАКАЗЫ!$AK$3:$AK$500,ЗАКАЗЫ!$F$3:$F$500,$A243)))</f>
        <v/>
      </c>
    </row>
    <row r="244" customFormat="false" ht="15.75" hidden="false" customHeight="true" outlineLevel="0" collapsed="false">
      <c r="A244" s="80" t="s">
        <v>2438</v>
      </c>
      <c r="B244" s="81"/>
      <c r="C244" s="81"/>
      <c r="D244" s="81"/>
      <c r="E244" s="83"/>
      <c r="F244" s="81"/>
      <c r="G244" s="83"/>
      <c r="H244" s="83"/>
      <c r="I244" s="84" t="str">
        <f aca="false">IF(E244="","",A244&amp;"_1.jpg")</f>
        <v/>
      </c>
      <c r="J244" s="84" t="str">
        <f aca="false">IF(E244="","",A244&amp;"_2.jpg; "&amp;A244&amp;"_3.jpg")</f>
        <v/>
      </c>
      <c r="K244" s="84" t="str">
        <f aca="false">IF(E244="","",A244&amp;"_schema.jpg")</f>
        <v/>
      </c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 t="s">
        <v>96</v>
      </c>
      <c r="W244" s="81"/>
      <c r="X244" s="81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6" t="str">
        <f aca="false">IF(SUM(Y244:AJ244)=0,"",SUM(Y244:AJ244))</f>
        <v/>
      </c>
      <c r="AL244" s="84" t="str">
        <f aca="false">MID(IF(N(Y244)&gt;0,", "&amp;Y$2,"")&amp;IF(N(Z244)&gt;0,", "&amp;Z$2,"")&amp;IF(N(AA244)&gt;0,", "&amp;AA$2,"")&amp;IF(N(AB244)&gt;0,", "&amp;AB$2,"")&amp;IF(N(AC244)&gt;0,", "&amp;AC$2,"")&amp;IF(N(AD244)&gt;0,", "&amp;AD$2,"")&amp;IF(N(AE244)&gt;0,", "&amp;AE$2,"")&amp;IF(N(AF244)&gt;0,", "&amp;AF$2,"")&amp;IF(N(AG244)&gt;0,", "&amp;AG$2,"")&amp;IF(N(AH244)&gt;0,", "&amp;AH$2,"")&amp;IF(N(AI244)&gt;0,", "&amp;AI$2,"")&amp;IF(N(AJ244)&gt;0,", "&amp;AJ$2,""),3,999)</f>
        <v/>
      </c>
      <c r="AM244" s="87" t="str">
        <f aca="false">IF(E244="","",MID(IF(N(Y244)&gt;0,", "&amp;A244&amp;"-"&amp;Y$2,"")&amp;IF(N(Z244)&gt;0,", "&amp;A244&amp;"-"&amp;Z$2,"")&amp;IF(N(AA244)&gt;0,", "&amp;A244&amp;"-"&amp;AA$2,"")&amp;IF(N(AB244)&gt;0,", "&amp;A244&amp;"-"&amp;AB$2,"")&amp;IF(N(AC244)&gt;0,", "&amp;A244&amp;"-"&amp;AC$2,"")&amp;IF(N(AD244)&gt;0,", "&amp;A244&amp;"-"&amp;AD$2,"")&amp;IF(N(AE244)&gt;0,", "&amp;A244&amp;"-"&amp;AE$2,"")&amp;IF(N(AF244)&gt;0,", "&amp;A244&amp;"-"&amp;AF$2,"")&amp;IF(N(AG244)&gt;0,", "&amp;A244&amp;"-"&amp;AG$2,"")&amp;IF(N(AH244)&gt;0,", "&amp;A244&amp;"-"&amp;AH$2,"")&amp;IF(N(AI244)&gt;0,", "&amp;A244&amp;"-"&amp;AI$2,"")&amp;IF(N(AJ244)&gt;0,", "&amp;A244&amp;"-"&amp;AJ$2,""),3,999))</f>
        <v/>
      </c>
      <c r="AN244" s="81"/>
      <c r="AO244" s="88"/>
      <c r="AP244" s="89" t="str">
        <f aca="false">IF(AO244="","",ROUND(AO244/(1+Справочники!$B$13),2))</f>
        <v/>
      </c>
      <c r="AQ244" s="90" t="str">
        <f aca="false" t="array" ref="AQ244:AQ244">IF(AP244="","",AP244*INDEX(Справочники!$B$4:$B$7,MATCH("RUB",Справочники!$A$4:$A$7,0)))</f>
        <v/>
      </c>
      <c r="AR244" s="90" t="str">
        <f aca="false">IF(AQ244="","",ROUND(AQ244*(1+Справочники!$B$12),0))</f>
        <v/>
      </c>
      <c r="AS244" s="90" t="str">
        <f aca="false">IF(AR244="","",ROUND(AR244*(1-Справочники!$B$11),0))</f>
        <v/>
      </c>
      <c r="AT244" s="88"/>
      <c r="AU244" s="90" t="str">
        <f aca="false">IF(AT244="","",ROUND(AT244/(1+Справочники!$B$12),0))</f>
        <v/>
      </c>
      <c r="AV244" s="90" t="str">
        <f aca="false">IF(AT244="","",ROUND(AT244*(1-Справочники!$B$15),0))</f>
        <v/>
      </c>
      <c r="AW244" s="90" t="str">
        <f aca="false">IF(AT244="","",ROUND(AT244*(1-Справочники!$B$16),0))</f>
        <v/>
      </c>
      <c r="AX244" s="90" t="str">
        <f aca="false">IF(AT244="","",ROUND(AT244*(1-Справочники!$B$17),0))</f>
        <v/>
      </c>
      <c r="AY244" s="90" t="str">
        <f aca="false">IF(AT244="","",ROUND(AT244*(1-Справочники!$B$18),0))</f>
        <v/>
      </c>
      <c r="AZ244" s="90" t="str">
        <f aca="false">IF(AT244="","",ROUND(AT244*(1-Справочники!$B$19),0))</f>
        <v/>
      </c>
      <c r="BA244" s="81"/>
      <c r="BB244" s="81"/>
      <c r="BC244" s="81"/>
      <c r="BD244" s="81"/>
      <c r="BE244" s="91"/>
      <c r="BF244" s="81" t="s">
        <v>103</v>
      </c>
      <c r="BG244" s="89" t="n">
        <f aca="false" t="array" ref="BG244:BG244">IF(BF244="","",IFERROR(INDEX(Справочники!$B$4:$B$7,MATCH(BF244,Справочники!$A$4:$A$7,0)),""))</f>
        <v>68.5</v>
      </c>
      <c r="BH244" s="90" t="str">
        <f aca="false">IF(N(BN244)&gt;0,ROUND(SUMIF(ЗАКАЗЫ!$F$3:$F$500,$A244,ЗАКАЗЫ!$Y$3:$Y$500)/BN244,0),IF(OR(BE244="",BG244=""),"",ROUND(BE244*BG244*(1+Справочники!$B$10),0)))</f>
        <v/>
      </c>
      <c r="BI244" s="92" t="str">
        <f aca="false">IF(OR(AU244="",BH244="",AU244=0),"",(AU244-BH244)/AU244)</f>
        <v/>
      </c>
      <c r="BJ244" s="81"/>
      <c r="BK244" s="83"/>
      <c r="BL244" s="43" t="str">
        <f aca="false">IFERROR(INDEX(ЗАКАЗЫ!$N$3:$N$500,MATCH($A244,ЗАКАЗЫ!$F$3:$F$500,0)),"")</f>
        <v/>
      </c>
      <c r="BM244" s="8" t="str">
        <f aca="false">IF(BL244="","",IFERROR(VLOOKUP(BL244,'ТН ВЭД'!$A$4:$C$40,3,0),""))</f>
        <v/>
      </c>
      <c r="BN244" s="7" t="str">
        <f aca="false">IF(COUNTIF(ЗАКАЗЫ!$F$3:$F$500,$A244)=0,"",SUMIF(ЗАКАЗЫ!$F$3:$F$500,$A244,ЗАКАЗЫ!$J$3:$J$500))</f>
        <v/>
      </c>
      <c r="BO244" s="7" t="str">
        <f aca="false">IF(BN244="","",SUMIF(ЗАКАЗЫ!$F$3:$F$500,$A244,ЗАКАЗЫ!$AL$3:$AL$500))</f>
        <v/>
      </c>
      <c r="BP244" s="7" t="str">
        <f aca="false">IF(BN244="","",BN244-BO244)</f>
        <v/>
      </c>
      <c r="BQ244" s="55" t="str">
        <f aca="false">IF(BN244="","",IF(BO244&gt;=BN244,"На складе",IF(BO244&gt;0,"Частично","Ждём")))</f>
        <v/>
      </c>
      <c r="BR244" s="43"/>
      <c r="BS244" s="47" t="str">
        <f aca="false">IF(BN244="","",IF(_xlfn.MAXIFS(ЗАКАЗЫ!$AK$3:$AK$500,ЗАКАЗЫ!$F$3:$F$500,$A244)=0,"",_xlfn.MAXIFS(ЗАКАЗЫ!$AK$3:$AK$500,ЗАКАЗЫ!$F$3:$F$500,$A244)))</f>
        <v/>
      </c>
    </row>
    <row r="245" customFormat="false" ht="15.75" hidden="false" customHeight="true" outlineLevel="0" collapsed="false">
      <c r="A245" s="80" t="s">
        <v>2439</v>
      </c>
      <c r="B245" s="81"/>
      <c r="C245" s="81"/>
      <c r="D245" s="81"/>
      <c r="E245" s="83"/>
      <c r="F245" s="81"/>
      <c r="G245" s="83"/>
      <c r="H245" s="83"/>
      <c r="I245" s="84" t="str">
        <f aca="false">IF(E245="","",A245&amp;"_1.jpg")</f>
        <v/>
      </c>
      <c r="J245" s="84" t="str">
        <f aca="false">IF(E245="","",A245&amp;"_2.jpg; "&amp;A245&amp;"_3.jpg")</f>
        <v/>
      </c>
      <c r="K245" s="84" t="str">
        <f aca="false">IF(E245="","",A245&amp;"_schema.jpg")</f>
        <v/>
      </c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 t="s">
        <v>96</v>
      </c>
      <c r="W245" s="81"/>
      <c r="X245" s="81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6" t="str">
        <f aca="false">IF(SUM(Y245:AJ245)=0,"",SUM(Y245:AJ245))</f>
        <v/>
      </c>
      <c r="AL245" s="84" t="str">
        <f aca="false">MID(IF(N(Y245)&gt;0,", "&amp;Y$2,"")&amp;IF(N(Z245)&gt;0,", "&amp;Z$2,"")&amp;IF(N(AA245)&gt;0,", "&amp;AA$2,"")&amp;IF(N(AB245)&gt;0,", "&amp;AB$2,"")&amp;IF(N(AC245)&gt;0,", "&amp;AC$2,"")&amp;IF(N(AD245)&gt;0,", "&amp;AD$2,"")&amp;IF(N(AE245)&gt;0,", "&amp;AE$2,"")&amp;IF(N(AF245)&gt;0,", "&amp;AF$2,"")&amp;IF(N(AG245)&gt;0,", "&amp;AG$2,"")&amp;IF(N(AH245)&gt;0,", "&amp;AH$2,"")&amp;IF(N(AI245)&gt;0,", "&amp;AI$2,"")&amp;IF(N(AJ245)&gt;0,", "&amp;AJ$2,""),3,999)</f>
        <v/>
      </c>
      <c r="AM245" s="87" t="str">
        <f aca="false">IF(E245="","",MID(IF(N(Y245)&gt;0,", "&amp;A245&amp;"-"&amp;Y$2,"")&amp;IF(N(Z245)&gt;0,", "&amp;A245&amp;"-"&amp;Z$2,"")&amp;IF(N(AA245)&gt;0,", "&amp;A245&amp;"-"&amp;AA$2,"")&amp;IF(N(AB245)&gt;0,", "&amp;A245&amp;"-"&amp;AB$2,"")&amp;IF(N(AC245)&gt;0,", "&amp;A245&amp;"-"&amp;AC$2,"")&amp;IF(N(AD245)&gt;0,", "&amp;A245&amp;"-"&amp;AD$2,"")&amp;IF(N(AE245)&gt;0,", "&amp;A245&amp;"-"&amp;AE$2,"")&amp;IF(N(AF245)&gt;0,", "&amp;A245&amp;"-"&amp;AF$2,"")&amp;IF(N(AG245)&gt;0,", "&amp;A245&amp;"-"&amp;AG$2,"")&amp;IF(N(AH245)&gt;0,", "&amp;A245&amp;"-"&amp;AH$2,"")&amp;IF(N(AI245)&gt;0,", "&amp;A245&amp;"-"&amp;AI$2,"")&amp;IF(N(AJ245)&gt;0,", "&amp;A245&amp;"-"&amp;AJ$2,""),3,999))</f>
        <v/>
      </c>
      <c r="AN245" s="81"/>
      <c r="AO245" s="88"/>
      <c r="AP245" s="89" t="str">
        <f aca="false">IF(AO245="","",ROUND(AO245/(1+Справочники!$B$13),2))</f>
        <v/>
      </c>
      <c r="AQ245" s="90" t="str">
        <f aca="false" t="array" ref="AQ245:AQ245">IF(AP245="","",AP245*INDEX(Справочники!$B$4:$B$7,MATCH("RUB",Справочники!$A$4:$A$7,0)))</f>
        <v/>
      </c>
      <c r="AR245" s="90" t="str">
        <f aca="false">IF(AQ245="","",ROUND(AQ245*(1+Справочники!$B$12),0))</f>
        <v/>
      </c>
      <c r="AS245" s="90" t="str">
        <f aca="false">IF(AR245="","",ROUND(AR245*(1-Справочники!$B$11),0))</f>
        <v/>
      </c>
      <c r="AT245" s="88"/>
      <c r="AU245" s="90" t="str">
        <f aca="false">IF(AT245="","",ROUND(AT245/(1+Справочники!$B$12),0))</f>
        <v/>
      </c>
      <c r="AV245" s="90" t="str">
        <f aca="false">IF(AT245="","",ROUND(AT245*(1-Справочники!$B$15),0))</f>
        <v/>
      </c>
      <c r="AW245" s="90" t="str">
        <f aca="false">IF(AT245="","",ROUND(AT245*(1-Справочники!$B$16),0))</f>
        <v/>
      </c>
      <c r="AX245" s="90" t="str">
        <f aca="false">IF(AT245="","",ROUND(AT245*(1-Справочники!$B$17),0))</f>
        <v/>
      </c>
      <c r="AY245" s="90" t="str">
        <f aca="false">IF(AT245="","",ROUND(AT245*(1-Справочники!$B$18),0))</f>
        <v/>
      </c>
      <c r="AZ245" s="90" t="str">
        <f aca="false">IF(AT245="","",ROUND(AT245*(1-Справочники!$B$19),0))</f>
        <v/>
      </c>
      <c r="BA245" s="81"/>
      <c r="BB245" s="81"/>
      <c r="BC245" s="81"/>
      <c r="BD245" s="81"/>
      <c r="BE245" s="91"/>
      <c r="BF245" s="81" t="s">
        <v>103</v>
      </c>
      <c r="BG245" s="89" t="n">
        <f aca="false" t="array" ref="BG245:BG245">IF(BF245="","",IFERROR(INDEX(Справочники!$B$4:$B$7,MATCH(BF245,Справочники!$A$4:$A$7,0)),""))</f>
        <v>68.5</v>
      </c>
      <c r="BH245" s="90" t="str">
        <f aca="false">IF(N(BN245)&gt;0,ROUND(SUMIF(ЗАКАЗЫ!$F$3:$F$500,$A245,ЗАКАЗЫ!$Y$3:$Y$500)/BN245,0),IF(OR(BE245="",BG245=""),"",ROUND(BE245*BG245*(1+Справочники!$B$10),0)))</f>
        <v/>
      </c>
      <c r="BI245" s="92" t="str">
        <f aca="false">IF(OR(AU245="",BH245="",AU245=0),"",(AU245-BH245)/AU245)</f>
        <v/>
      </c>
      <c r="BJ245" s="81"/>
      <c r="BK245" s="83"/>
      <c r="BL245" s="43" t="str">
        <f aca="false">IFERROR(INDEX(ЗАКАЗЫ!$N$3:$N$500,MATCH($A245,ЗАКАЗЫ!$F$3:$F$500,0)),"")</f>
        <v/>
      </c>
      <c r="BM245" s="8" t="str">
        <f aca="false">IF(BL245="","",IFERROR(VLOOKUP(BL245,'ТН ВЭД'!$A$4:$C$40,3,0),""))</f>
        <v/>
      </c>
      <c r="BN245" s="7" t="str">
        <f aca="false">IF(COUNTIF(ЗАКАЗЫ!$F$3:$F$500,$A245)=0,"",SUMIF(ЗАКАЗЫ!$F$3:$F$500,$A245,ЗАКАЗЫ!$J$3:$J$500))</f>
        <v/>
      </c>
      <c r="BO245" s="7" t="str">
        <f aca="false">IF(BN245="","",SUMIF(ЗАКАЗЫ!$F$3:$F$500,$A245,ЗАКАЗЫ!$AL$3:$AL$500))</f>
        <v/>
      </c>
      <c r="BP245" s="7" t="str">
        <f aca="false">IF(BN245="","",BN245-BO245)</f>
        <v/>
      </c>
      <c r="BQ245" s="55" t="str">
        <f aca="false">IF(BN245="","",IF(BO245&gt;=BN245,"На складе",IF(BO245&gt;0,"Частично","Ждём")))</f>
        <v/>
      </c>
      <c r="BR245" s="43"/>
      <c r="BS245" s="47" t="str">
        <f aca="false">IF(BN245="","",IF(_xlfn.MAXIFS(ЗАКАЗЫ!$AK$3:$AK$500,ЗАКАЗЫ!$F$3:$F$500,$A245)=0,"",_xlfn.MAXIFS(ЗАКАЗЫ!$AK$3:$AK$500,ЗАКАЗЫ!$F$3:$F$500,$A245)))</f>
        <v/>
      </c>
    </row>
    <row r="246" customFormat="false" ht="15.75" hidden="false" customHeight="true" outlineLevel="0" collapsed="false">
      <c r="A246" s="80" t="s">
        <v>2440</v>
      </c>
      <c r="B246" s="81"/>
      <c r="C246" s="81"/>
      <c r="D246" s="81"/>
      <c r="E246" s="83"/>
      <c r="F246" s="81"/>
      <c r="G246" s="83"/>
      <c r="H246" s="83"/>
      <c r="I246" s="84" t="str">
        <f aca="false">IF(E246="","",A246&amp;"_1.jpg")</f>
        <v/>
      </c>
      <c r="J246" s="84" t="str">
        <f aca="false">IF(E246="","",A246&amp;"_2.jpg; "&amp;A246&amp;"_3.jpg")</f>
        <v/>
      </c>
      <c r="K246" s="84" t="str">
        <f aca="false">IF(E246="","",A246&amp;"_schema.jpg")</f>
        <v/>
      </c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 t="s">
        <v>96</v>
      </c>
      <c r="W246" s="81"/>
      <c r="X246" s="81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6" t="str">
        <f aca="false">IF(SUM(Y246:AJ246)=0,"",SUM(Y246:AJ246))</f>
        <v/>
      </c>
      <c r="AL246" s="84" t="str">
        <f aca="false">MID(IF(N(Y246)&gt;0,", "&amp;Y$2,"")&amp;IF(N(Z246)&gt;0,", "&amp;Z$2,"")&amp;IF(N(AA246)&gt;0,", "&amp;AA$2,"")&amp;IF(N(AB246)&gt;0,", "&amp;AB$2,"")&amp;IF(N(AC246)&gt;0,", "&amp;AC$2,"")&amp;IF(N(AD246)&gt;0,", "&amp;AD$2,"")&amp;IF(N(AE246)&gt;0,", "&amp;AE$2,"")&amp;IF(N(AF246)&gt;0,", "&amp;AF$2,"")&amp;IF(N(AG246)&gt;0,", "&amp;AG$2,"")&amp;IF(N(AH246)&gt;0,", "&amp;AH$2,"")&amp;IF(N(AI246)&gt;0,", "&amp;AI$2,"")&amp;IF(N(AJ246)&gt;0,", "&amp;AJ$2,""),3,999)</f>
        <v/>
      </c>
      <c r="AM246" s="87" t="str">
        <f aca="false">IF(E246="","",MID(IF(N(Y246)&gt;0,", "&amp;A246&amp;"-"&amp;Y$2,"")&amp;IF(N(Z246)&gt;0,", "&amp;A246&amp;"-"&amp;Z$2,"")&amp;IF(N(AA246)&gt;0,", "&amp;A246&amp;"-"&amp;AA$2,"")&amp;IF(N(AB246)&gt;0,", "&amp;A246&amp;"-"&amp;AB$2,"")&amp;IF(N(AC246)&gt;0,", "&amp;A246&amp;"-"&amp;AC$2,"")&amp;IF(N(AD246)&gt;0,", "&amp;A246&amp;"-"&amp;AD$2,"")&amp;IF(N(AE246)&gt;0,", "&amp;A246&amp;"-"&amp;AE$2,"")&amp;IF(N(AF246)&gt;0,", "&amp;A246&amp;"-"&amp;AF$2,"")&amp;IF(N(AG246)&gt;0,", "&amp;A246&amp;"-"&amp;AG$2,"")&amp;IF(N(AH246)&gt;0,", "&amp;A246&amp;"-"&amp;AH$2,"")&amp;IF(N(AI246)&gt;0,", "&amp;A246&amp;"-"&amp;AI$2,"")&amp;IF(N(AJ246)&gt;0,", "&amp;A246&amp;"-"&amp;AJ$2,""),3,999))</f>
        <v/>
      </c>
      <c r="AN246" s="81"/>
      <c r="AO246" s="88"/>
      <c r="AP246" s="89" t="str">
        <f aca="false">IF(AO246="","",ROUND(AO246/(1+Справочники!$B$13),2))</f>
        <v/>
      </c>
      <c r="AQ246" s="90" t="str">
        <f aca="false" t="array" ref="AQ246:AQ246">IF(AP246="","",AP246*INDEX(Справочники!$B$4:$B$7,MATCH("RUB",Справочники!$A$4:$A$7,0)))</f>
        <v/>
      </c>
      <c r="AR246" s="90" t="str">
        <f aca="false">IF(AQ246="","",ROUND(AQ246*(1+Справочники!$B$12),0))</f>
        <v/>
      </c>
      <c r="AS246" s="90" t="str">
        <f aca="false">IF(AR246="","",ROUND(AR246*(1-Справочники!$B$11),0))</f>
        <v/>
      </c>
      <c r="AT246" s="88"/>
      <c r="AU246" s="90" t="str">
        <f aca="false">IF(AT246="","",ROUND(AT246/(1+Справочники!$B$12),0))</f>
        <v/>
      </c>
      <c r="AV246" s="90" t="str">
        <f aca="false">IF(AT246="","",ROUND(AT246*(1-Справочники!$B$15),0))</f>
        <v/>
      </c>
      <c r="AW246" s="90" t="str">
        <f aca="false">IF(AT246="","",ROUND(AT246*(1-Справочники!$B$16),0))</f>
        <v/>
      </c>
      <c r="AX246" s="90" t="str">
        <f aca="false">IF(AT246="","",ROUND(AT246*(1-Справочники!$B$17),0))</f>
        <v/>
      </c>
      <c r="AY246" s="90" t="str">
        <f aca="false">IF(AT246="","",ROUND(AT246*(1-Справочники!$B$18),0))</f>
        <v/>
      </c>
      <c r="AZ246" s="90" t="str">
        <f aca="false">IF(AT246="","",ROUND(AT246*(1-Справочники!$B$19),0))</f>
        <v/>
      </c>
      <c r="BA246" s="81"/>
      <c r="BB246" s="81"/>
      <c r="BC246" s="81"/>
      <c r="BD246" s="81"/>
      <c r="BE246" s="91"/>
      <c r="BF246" s="81" t="s">
        <v>103</v>
      </c>
      <c r="BG246" s="89" t="n">
        <f aca="false" t="array" ref="BG246:BG246">IF(BF246="","",IFERROR(INDEX(Справочники!$B$4:$B$7,MATCH(BF246,Справочники!$A$4:$A$7,0)),""))</f>
        <v>68.5</v>
      </c>
      <c r="BH246" s="90" t="str">
        <f aca="false">IF(N(BN246)&gt;0,ROUND(SUMIF(ЗАКАЗЫ!$F$3:$F$500,$A246,ЗАКАЗЫ!$Y$3:$Y$500)/BN246,0),IF(OR(BE246="",BG246=""),"",ROUND(BE246*BG246*(1+Справочники!$B$10),0)))</f>
        <v/>
      </c>
      <c r="BI246" s="92" t="str">
        <f aca="false">IF(OR(AU246="",BH246="",AU246=0),"",(AU246-BH246)/AU246)</f>
        <v/>
      </c>
      <c r="BJ246" s="81"/>
      <c r="BK246" s="83"/>
      <c r="BL246" s="43" t="str">
        <f aca="false">IFERROR(INDEX(ЗАКАЗЫ!$N$3:$N$500,MATCH($A246,ЗАКАЗЫ!$F$3:$F$500,0)),"")</f>
        <v/>
      </c>
      <c r="BM246" s="8" t="str">
        <f aca="false">IF(BL246="","",IFERROR(VLOOKUP(BL246,'ТН ВЭД'!$A$4:$C$40,3,0),""))</f>
        <v/>
      </c>
      <c r="BN246" s="7" t="str">
        <f aca="false">IF(COUNTIF(ЗАКАЗЫ!$F$3:$F$500,$A246)=0,"",SUMIF(ЗАКАЗЫ!$F$3:$F$500,$A246,ЗАКАЗЫ!$J$3:$J$500))</f>
        <v/>
      </c>
      <c r="BO246" s="7" t="str">
        <f aca="false">IF(BN246="","",SUMIF(ЗАКАЗЫ!$F$3:$F$500,$A246,ЗАКАЗЫ!$AL$3:$AL$500))</f>
        <v/>
      </c>
      <c r="BP246" s="7" t="str">
        <f aca="false">IF(BN246="","",BN246-BO246)</f>
        <v/>
      </c>
      <c r="BQ246" s="55" t="str">
        <f aca="false">IF(BN246="","",IF(BO246&gt;=BN246,"На складе",IF(BO246&gt;0,"Частично","Ждём")))</f>
        <v/>
      </c>
      <c r="BR246" s="43"/>
      <c r="BS246" s="47" t="str">
        <f aca="false">IF(BN246="","",IF(_xlfn.MAXIFS(ЗАКАЗЫ!$AK$3:$AK$500,ЗАКАЗЫ!$F$3:$F$500,$A246)=0,"",_xlfn.MAXIFS(ЗАКАЗЫ!$AK$3:$AK$500,ЗАКАЗЫ!$F$3:$F$500,$A246)))</f>
        <v/>
      </c>
    </row>
    <row r="247" customFormat="false" ht="15.75" hidden="false" customHeight="true" outlineLevel="0" collapsed="false">
      <c r="A247" s="80" t="s">
        <v>2441</v>
      </c>
      <c r="B247" s="81"/>
      <c r="C247" s="81"/>
      <c r="D247" s="81"/>
      <c r="E247" s="83"/>
      <c r="F247" s="81"/>
      <c r="G247" s="83"/>
      <c r="H247" s="83"/>
      <c r="I247" s="84" t="str">
        <f aca="false">IF(E247="","",A247&amp;"_1.jpg")</f>
        <v/>
      </c>
      <c r="J247" s="84" t="str">
        <f aca="false">IF(E247="","",A247&amp;"_2.jpg; "&amp;A247&amp;"_3.jpg")</f>
        <v/>
      </c>
      <c r="K247" s="84" t="str">
        <f aca="false">IF(E247="","",A247&amp;"_schema.jpg")</f>
        <v/>
      </c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 t="s">
        <v>96</v>
      </c>
      <c r="W247" s="81"/>
      <c r="X247" s="81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6" t="str">
        <f aca="false">IF(SUM(Y247:AJ247)=0,"",SUM(Y247:AJ247))</f>
        <v/>
      </c>
      <c r="AL247" s="84" t="str">
        <f aca="false">MID(IF(N(Y247)&gt;0,", "&amp;Y$2,"")&amp;IF(N(Z247)&gt;0,", "&amp;Z$2,"")&amp;IF(N(AA247)&gt;0,", "&amp;AA$2,"")&amp;IF(N(AB247)&gt;0,", "&amp;AB$2,"")&amp;IF(N(AC247)&gt;0,", "&amp;AC$2,"")&amp;IF(N(AD247)&gt;0,", "&amp;AD$2,"")&amp;IF(N(AE247)&gt;0,", "&amp;AE$2,"")&amp;IF(N(AF247)&gt;0,", "&amp;AF$2,"")&amp;IF(N(AG247)&gt;0,", "&amp;AG$2,"")&amp;IF(N(AH247)&gt;0,", "&amp;AH$2,"")&amp;IF(N(AI247)&gt;0,", "&amp;AI$2,"")&amp;IF(N(AJ247)&gt;0,", "&amp;AJ$2,""),3,999)</f>
        <v/>
      </c>
      <c r="AM247" s="87" t="str">
        <f aca="false">IF(E247="","",MID(IF(N(Y247)&gt;0,", "&amp;A247&amp;"-"&amp;Y$2,"")&amp;IF(N(Z247)&gt;0,", "&amp;A247&amp;"-"&amp;Z$2,"")&amp;IF(N(AA247)&gt;0,", "&amp;A247&amp;"-"&amp;AA$2,"")&amp;IF(N(AB247)&gt;0,", "&amp;A247&amp;"-"&amp;AB$2,"")&amp;IF(N(AC247)&gt;0,", "&amp;A247&amp;"-"&amp;AC$2,"")&amp;IF(N(AD247)&gt;0,", "&amp;A247&amp;"-"&amp;AD$2,"")&amp;IF(N(AE247)&gt;0,", "&amp;A247&amp;"-"&amp;AE$2,"")&amp;IF(N(AF247)&gt;0,", "&amp;A247&amp;"-"&amp;AF$2,"")&amp;IF(N(AG247)&gt;0,", "&amp;A247&amp;"-"&amp;AG$2,"")&amp;IF(N(AH247)&gt;0,", "&amp;A247&amp;"-"&amp;AH$2,"")&amp;IF(N(AI247)&gt;0,", "&amp;A247&amp;"-"&amp;AI$2,"")&amp;IF(N(AJ247)&gt;0,", "&amp;A247&amp;"-"&amp;AJ$2,""),3,999))</f>
        <v/>
      </c>
      <c r="AN247" s="81"/>
      <c r="AO247" s="88"/>
      <c r="AP247" s="89" t="str">
        <f aca="false">IF(AO247="","",ROUND(AO247/(1+Справочники!$B$13),2))</f>
        <v/>
      </c>
      <c r="AQ247" s="90" t="str">
        <f aca="false" t="array" ref="AQ247:AQ247">IF(AP247="","",AP247*INDEX(Справочники!$B$4:$B$7,MATCH("RUB",Справочники!$A$4:$A$7,0)))</f>
        <v/>
      </c>
      <c r="AR247" s="90" t="str">
        <f aca="false">IF(AQ247="","",ROUND(AQ247*(1+Справочники!$B$12),0))</f>
        <v/>
      </c>
      <c r="AS247" s="90" t="str">
        <f aca="false">IF(AR247="","",ROUND(AR247*(1-Справочники!$B$11),0))</f>
        <v/>
      </c>
      <c r="AT247" s="88"/>
      <c r="AU247" s="90" t="str">
        <f aca="false">IF(AT247="","",ROUND(AT247/(1+Справочники!$B$12),0))</f>
        <v/>
      </c>
      <c r="AV247" s="90" t="str">
        <f aca="false">IF(AT247="","",ROUND(AT247*(1-Справочники!$B$15),0))</f>
        <v/>
      </c>
      <c r="AW247" s="90" t="str">
        <f aca="false">IF(AT247="","",ROUND(AT247*(1-Справочники!$B$16),0))</f>
        <v/>
      </c>
      <c r="AX247" s="90" t="str">
        <f aca="false">IF(AT247="","",ROUND(AT247*(1-Справочники!$B$17),0))</f>
        <v/>
      </c>
      <c r="AY247" s="90" t="str">
        <f aca="false">IF(AT247="","",ROUND(AT247*(1-Справочники!$B$18),0))</f>
        <v/>
      </c>
      <c r="AZ247" s="90" t="str">
        <f aca="false">IF(AT247="","",ROUND(AT247*(1-Справочники!$B$19),0))</f>
        <v/>
      </c>
      <c r="BA247" s="81"/>
      <c r="BB247" s="81"/>
      <c r="BC247" s="81"/>
      <c r="BD247" s="81"/>
      <c r="BE247" s="91"/>
      <c r="BF247" s="81" t="s">
        <v>103</v>
      </c>
      <c r="BG247" s="89" t="n">
        <f aca="false" t="array" ref="BG247:BG247">IF(BF247="","",IFERROR(INDEX(Справочники!$B$4:$B$7,MATCH(BF247,Справочники!$A$4:$A$7,0)),""))</f>
        <v>68.5</v>
      </c>
      <c r="BH247" s="90" t="str">
        <f aca="false">IF(N(BN247)&gt;0,ROUND(SUMIF(ЗАКАЗЫ!$F$3:$F$500,$A247,ЗАКАЗЫ!$Y$3:$Y$500)/BN247,0),IF(OR(BE247="",BG247=""),"",ROUND(BE247*BG247*(1+Справочники!$B$10),0)))</f>
        <v/>
      </c>
      <c r="BI247" s="92" t="str">
        <f aca="false">IF(OR(AU247="",BH247="",AU247=0),"",(AU247-BH247)/AU247)</f>
        <v/>
      </c>
      <c r="BJ247" s="81"/>
      <c r="BK247" s="83"/>
      <c r="BL247" s="43" t="str">
        <f aca="false">IFERROR(INDEX(ЗАКАЗЫ!$N$3:$N$500,MATCH($A247,ЗАКАЗЫ!$F$3:$F$500,0)),"")</f>
        <v/>
      </c>
      <c r="BM247" s="8" t="str">
        <f aca="false">IF(BL247="","",IFERROR(VLOOKUP(BL247,'ТН ВЭД'!$A$4:$C$40,3,0),""))</f>
        <v/>
      </c>
      <c r="BN247" s="7" t="str">
        <f aca="false">IF(COUNTIF(ЗАКАЗЫ!$F$3:$F$500,$A247)=0,"",SUMIF(ЗАКАЗЫ!$F$3:$F$500,$A247,ЗАКАЗЫ!$J$3:$J$500))</f>
        <v/>
      </c>
      <c r="BO247" s="7" t="str">
        <f aca="false">IF(BN247="","",SUMIF(ЗАКАЗЫ!$F$3:$F$500,$A247,ЗАКАЗЫ!$AL$3:$AL$500))</f>
        <v/>
      </c>
      <c r="BP247" s="7" t="str">
        <f aca="false">IF(BN247="","",BN247-BO247)</f>
        <v/>
      </c>
      <c r="BQ247" s="55" t="str">
        <f aca="false">IF(BN247="","",IF(BO247&gt;=BN247,"На складе",IF(BO247&gt;0,"Частично","Ждём")))</f>
        <v/>
      </c>
      <c r="BR247" s="43"/>
      <c r="BS247" s="47" t="str">
        <f aca="false">IF(BN247="","",IF(_xlfn.MAXIFS(ЗАКАЗЫ!$AK$3:$AK$500,ЗАКАЗЫ!$F$3:$F$500,$A247)=0,"",_xlfn.MAXIFS(ЗАКАЗЫ!$AK$3:$AK$500,ЗАКАЗЫ!$F$3:$F$500,$A247)))</f>
        <v/>
      </c>
    </row>
    <row r="248" customFormat="false" ht="15.75" hidden="false" customHeight="true" outlineLevel="0" collapsed="false">
      <c r="A248" s="80" t="s">
        <v>2442</v>
      </c>
      <c r="B248" s="81"/>
      <c r="C248" s="81"/>
      <c r="D248" s="81"/>
      <c r="E248" s="83"/>
      <c r="F248" s="81"/>
      <c r="G248" s="83"/>
      <c r="H248" s="83"/>
      <c r="I248" s="84" t="str">
        <f aca="false">IF(E248="","",A248&amp;"_1.jpg")</f>
        <v/>
      </c>
      <c r="J248" s="84" t="str">
        <f aca="false">IF(E248="","",A248&amp;"_2.jpg; "&amp;A248&amp;"_3.jpg")</f>
        <v/>
      </c>
      <c r="K248" s="84" t="str">
        <f aca="false">IF(E248="","",A248&amp;"_schema.jpg")</f>
        <v/>
      </c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 t="s">
        <v>96</v>
      </c>
      <c r="W248" s="81"/>
      <c r="X248" s="81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6" t="str">
        <f aca="false">IF(SUM(Y248:AJ248)=0,"",SUM(Y248:AJ248))</f>
        <v/>
      </c>
      <c r="AL248" s="84" t="str">
        <f aca="false">MID(IF(N(Y248)&gt;0,", "&amp;Y$2,"")&amp;IF(N(Z248)&gt;0,", "&amp;Z$2,"")&amp;IF(N(AA248)&gt;0,", "&amp;AA$2,"")&amp;IF(N(AB248)&gt;0,", "&amp;AB$2,"")&amp;IF(N(AC248)&gt;0,", "&amp;AC$2,"")&amp;IF(N(AD248)&gt;0,", "&amp;AD$2,"")&amp;IF(N(AE248)&gt;0,", "&amp;AE$2,"")&amp;IF(N(AF248)&gt;0,", "&amp;AF$2,"")&amp;IF(N(AG248)&gt;0,", "&amp;AG$2,"")&amp;IF(N(AH248)&gt;0,", "&amp;AH$2,"")&amp;IF(N(AI248)&gt;0,", "&amp;AI$2,"")&amp;IF(N(AJ248)&gt;0,", "&amp;AJ$2,""),3,999)</f>
        <v/>
      </c>
      <c r="AM248" s="87" t="str">
        <f aca="false">IF(E248="","",MID(IF(N(Y248)&gt;0,", "&amp;A248&amp;"-"&amp;Y$2,"")&amp;IF(N(Z248)&gt;0,", "&amp;A248&amp;"-"&amp;Z$2,"")&amp;IF(N(AA248)&gt;0,", "&amp;A248&amp;"-"&amp;AA$2,"")&amp;IF(N(AB248)&gt;0,", "&amp;A248&amp;"-"&amp;AB$2,"")&amp;IF(N(AC248)&gt;0,", "&amp;A248&amp;"-"&amp;AC$2,"")&amp;IF(N(AD248)&gt;0,", "&amp;A248&amp;"-"&amp;AD$2,"")&amp;IF(N(AE248)&gt;0,", "&amp;A248&amp;"-"&amp;AE$2,"")&amp;IF(N(AF248)&gt;0,", "&amp;A248&amp;"-"&amp;AF$2,"")&amp;IF(N(AG248)&gt;0,", "&amp;A248&amp;"-"&amp;AG$2,"")&amp;IF(N(AH248)&gt;0,", "&amp;A248&amp;"-"&amp;AH$2,"")&amp;IF(N(AI248)&gt;0,", "&amp;A248&amp;"-"&amp;AI$2,"")&amp;IF(N(AJ248)&gt;0,", "&amp;A248&amp;"-"&amp;AJ$2,""),3,999))</f>
        <v/>
      </c>
      <c r="AN248" s="81"/>
      <c r="AO248" s="88"/>
      <c r="AP248" s="89" t="str">
        <f aca="false">IF(AO248="","",ROUND(AO248/(1+Справочники!$B$13),2))</f>
        <v/>
      </c>
      <c r="AQ248" s="90" t="str">
        <f aca="false" t="array" ref="AQ248:AQ248">IF(AP248="","",AP248*INDEX(Справочники!$B$4:$B$7,MATCH("RUB",Справочники!$A$4:$A$7,0)))</f>
        <v/>
      </c>
      <c r="AR248" s="90" t="str">
        <f aca="false">IF(AQ248="","",ROUND(AQ248*(1+Справочники!$B$12),0))</f>
        <v/>
      </c>
      <c r="AS248" s="90" t="str">
        <f aca="false">IF(AR248="","",ROUND(AR248*(1-Справочники!$B$11),0))</f>
        <v/>
      </c>
      <c r="AT248" s="88"/>
      <c r="AU248" s="90" t="str">
        <f aca="false">IF(AT248="","",ROUND(AT248/(1+Справочники!$B$12),0))</f>
        <v/>
      </c>
      <c r="AV248" s="90" t="str">
        <f aca="false">IF(AT248="","",ROUND(AT248*(1-Справочники!$B$15),0))</f>
        <v/>
      </c>
      <c r="AW248" s="90" t="str">
        <f aca="false">IF(AT248="","",ROUND(AT248*(1-Справочники!$B$16),0))</f>
        <v/>
      </c>
      <c r="AX248" s="90" t="str">
        <f aca="false">IF(AT248="","",ROUND(AT248*(1-Справочники!$B$17),0))</f>
        <v/>
      </c>
      <c r="AY248" s="90" t="str">
        <f aca="false">IF(AT248="","",ROUND(AT248*(1-Справочники!$B$18),0))</f>
        <v/>
      </c>
      <c r="AZ248" s="90" t="str">
        <f aca="false">IF(AT248="","",ROUND(AT248*(1-Справочники!$B$19),0))</f>
        <v/>
      </c>
      <c r="BA248" s="81"/>
      <c r="BB248" s="81"/>
      <c r="BC248" s="81"/>
      <c r="BD248" s="81"/>
      <c r="BE248" s="91"/>
      <c r="BF248" s="81" t="s">
        <v>103</v>
      </c>
      <c r="BG248" s="89" t="n">
        <f aca="false" t="array" ref="BG248:BG248">IF(BF248="","",IFERROR(INDEX(Справочники!$B$4:$B$7,MATCH(BF248,Справочники!$A$4:$A$7,0)),""))</f>
        <v>68.5</v>
      </c>
      <c r="BH248" s="90" t="str">
        <f aca="false">IF(N(BN248)&gt;0,ROUND(SUMIF(ЗАКАЗЫ!$F$3:$F$500,$A248,ЗАКАЗЫ!$Y$3:$Y$500)/BN248,0),IF(OR(BE248="",BG248=""),"",ROUND(BE248*BG248*(1+Справочники!$B$10),0)))</f>
        <v/>
      </c>
      <c r="BI248" s="92" t="str">
        <f aca="false">IF(OR(AU248="",BH248="",AU248=0),"",(AU248-BH248)/AU248)</f>
        <v/>
      </c>
      <c r="BJ248" s="81"/>
      <c r="BK248" s="83"/>
      <c r="BL248" s="43" t="str">
        <f aca="false">IFERROR(INDEX(ЗАКАЗЫ!$N$3:$N$500,MATCH($A248,ЗАКАЗЫ!$F$3:$F$500,0)),"")</f>
        <v/>
      </c>
      <c r="BM248" s="8" t="str">
        <f aca="false">IF(BL248="","",IFERROR(VLOOKUP(BL248,'ТН ВЭД'!$A$4:$C$40,3,0),""))</f>
        <v/>
      </c>
      <c r="BN248" s="7" t="str">
        <f aca="false">IF(COUNTIF(ЗАКАЗЫ!$F$3:$F$500,$A248)=0,"",SUMIF(ЗАКАЗЫ!$F$3:$F$500,$A248,ЗАКАЗЫ!$J$3:$J$500))</f>
        <v/>
      </c>
      <c r="BO248" s="7" t="str">
        <f aca="false">IF(BN248="","",SUMIF(ЗАКАЗЫ!$F$3:$F$500,$A248,ЗАКАЗЫ!$AL$3:$AL$500))</f>
        <v/>
      </c>
      <c r="BP248" s="7" t="str">
        <f aca="false">IF(BN248="","",BN248-BO248)</f>
        <v/>
      </c>
      <c r="BQ248" s="55" t="str">
        <f aca="false">IF(BN248="","",IF(BO248&gt;=BN248,"На складе",IF(BO248&gt;0,"Частично","Ждём")))</f>
        <v/>
      </c>
      <c r="BR248" s="43"/>
      <c r="BS248" s="47" t="str">
        <f aca="false">IF(BN248="","",IF(_xlfn.MAXIFS(ЗАКАЗЫ!$AK$3:$AK$500,ЗАКАЗЫ!$F$3:$F$500,$A248)=0,"",_xlfn.MAXIFS(ЗАКАЗЫ!$AK$3:$AK$500,ЗАКАЗЫ!$F$3:$F$500,$A248)))</f>
        <v/>
      </c>
    </row>
    <row r="249" customFormat="false" ht="15.75" hidden="false" customHeight="true" outlineLevel="0" collapsed="false">
      <c r="A249" s="80" t="s">
        <v>2443</v>
      </c>
      <c r="B249" s="81"/>
      <c r="C249" s="81"/>
      <c r="D249" s="81"/>
      <c r="E249" s="83"/>
      <c r="F249" s="81"/>
      <c r="G249" s="83"/>
      <c r="H249" s="83"/>
      <c r="I249" s="84" t="str">
        <f aca="false">IF(E249="","",A249&amp;"_1.jpg")</f>
        <v/>
      </c>
      <c r="J249" s="84" t="str">
        <f aca="false">IF(E249="","",A249&amp;"_2.jpg; "&amp;A249&amp;"_3.jpg")</f>
        <v/>
      </c>
      <c r="K249" s="84" t="str">
        <f aca="false">IF(E249="","",A249&amp;"_schema.jpg")</f>
        <v/>
      </c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 t="s">
        <v>96</v>
      </c>
      <c r="W249" s="81"/>
      <c r="X249" s="81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6" t="str">
        <f aca="false">IF(SUM(Y249:AJ249)=0,"",SUM(Y249:AJ249))</f>
        <v/>
      </c>
      <c r="AL249" s="84" t="str">
        <f aca="false">MID(IF(N(Y249)&gt;0,", "&amp;Y$2,"")&amp;IF(N(Z249)&gt;0,", "&amp;Z$2,"")&amp;IF(N(AA249)&gt;0,", "&amp;AA$2,"")&amp;IF(N(AB249)&gt;0,", "&amp;AB$2,"")&amp;IF(N(AC249)&gt;0,", "&amp;AC$2,"")&amp;IF(N(AD249)&gt;0,", "&amp;AD$2,"")&amp;IF(N(AE249)&gt;0,", "&amp;AE$2,"")&amp;IF(N(AF249)&gt;0,", "&amp;AF$2,"")&amp;IF(N(AG249)&gt;0,", "&amp;AG$2,"")&amp;IF(N(AH249)&gt;0,", "&amp;AH$2,"")&amp;IF(N(AI249)&gt;0,", "&amp;AI$2,"")&amp;IF(N(AJ249)&gt;0,", "&amp;AJ$2,""),3,999)</f>
        <v/>
      </c>
      <c r="AM249" s="87" t="str">
        <f aca="false">IF(E249="","",MID(IF(N(Y249)&gt;0,", "&amp;A249&amp;"-"&amp;Y$2,"")&amp;IF(N(Z249)&gt;0,", "&amp;A249&amp;"-"&amp;Z$2,"")&amp;IF(N(AA249)&gt;0,", "&amp;A249&amp;"-"&amp;AA$2,"")&amp;IF(N(AB249)&gt;0,", "&amp;A249&amp;"-"&amp;AB$2,"")&amp;IF(N(AC249)&gt;0,", "&amp;A249&amp;"-"&amp;AC$2,"")&amp;IF(N(AD249)&gt;0,", "&amp;A249&amp;"-"&amp;AD$2,"")&amp;IF(N(AE249)&gt;0,", "&amp;A249&amp;"-"&amp;AE$2,"")&amp;IF(N(AF249)&gt;0,", "&amp;A249&amp;"-"&amp;AF$2,"")&amp;IF(N(AG249)&gt;0,", "&amp;A249&amp;"-"&amp;AG$2,"")&amp;IF(N(AH249)&gt;0,", "&amp;A249&amp;"-"&amp;AH$2,"")&amp;IF(N(AI249)&gt;0,", "&amp;A249&amp;"-"&amp;AI$2,"")&amp;IF(N(AJ249)&gt;0,", "&amp;A249&amp;"-"&amp;AJ$2,""),3,999))</f>
        <v/>
      </c>
      <c r="AN249" s="81"/>
      <c r="AO249" s="88"/>
      <c r="AP249" s="89" t="str">
        <f aca="false">IF(AO249="","",ROUND(AO249/(1+Справочники!$B$13),2))</f>
        <v/>
      </c>
      <c r="AQ249" s="90" t="str">
        <f aca="false" t="array" ref="AQ249:AQ249">IF(AP249="","",AP249*INDEX(Справочники!$B$4:$B$7,MATCH("RUB",Справочники!$A$4:$A$7,0)))</f>
        <v/>
      </c>
      <c r="AR249" s="90" t="str">
        <f aca="false">IF(AQ249="","",ROUND(AQ249*(1+Справочники!$B$12),0))</f>
        <v/>
      </c>
      <c r="AS249" s="90" t="str">
        <f aca="false">IF(AR249="","",ROUND(AR249*(1-Справочники!$B$11),0))</f>
        <v/>
      </c>
      <c r="AT249" s="88"/>
      <c r="AU249" s="90" t="str">
        <f aca="false">IF(AT249="","",ROUND(AT249/(1+Справочники!$B$12),0))</f>
        <v/>
      </c>
      <c r="AV249" s="90" t="str">
        <f aca="false">IF(AT249="","",ROUND(AT249*(1-Справочники!$B$15),0))</f>
        <v/>
      </c>
      <c r="AW249" s="90" t="str">
        <f aca="false">IF(AT249="","",ROUND(AT249*(1-Справочники!$B$16),0))</f>
        <v/>
      </c>
      <c r="AX249" s="90" t="str">
        <f aca="false">IF(AT249="","",ROUND(AT249*(1-Справочники!$B$17),0))</f>
        <v/>
      </c>
      <c r="AY249" s="90" t="str">
        <f aca="false">IF(AT249="","",ROUND(AT249*(1-Справочники!$B$18),0))</f>
        <v/>
      </c>
      <c r="AZ249" s="90" t="str">
        <f aca="false">IF(AT249="","",ROUND(AT249*(1-Справочники!$B$19),0))</f>
        <v/>
      </c>
      <c r="BA249" s="81"/>
      <c r="BB249" s="81"/>
      <c r="BC249" s="81"/>
      <c r="BD249" s="81"/>
      <c r="BE249" s="91"/>
      <c r="BF249" s="81" t="s">
        <v>103</v>
      </c>
      <c r="BG249" s="89" t="n">
        <f aca="false" t="array" ref="BG249:BG249">IF(BF249="","",IFERROR(INDEX(Справочники!$B$4:$B$7,MATCH(BF249,Справочники!$A$4:$A$7,0)),""))</f>
        <v>68.5</v>
      </c>
      <c r="BH249" s="90" t="str">
        <f aca="false">IF(N(BN249)&gt;0,ROUND(SUMIF(ЗАКАЗЫ!$F$3:$F$500,$A249,ЗАКАЗЫ!$Y$3:$Y$500)/BN249,0),IF(OR(BE249="",BG249=""),"",ROUND(BE249*BG249*(1+Справочники!$B$10),0)))</f>
        <v/>
      </c>
      <c r="BI249" s="92" t="str">
        <f aca="false">IF(OR(AU249="",BH249="",AU249=0),"",(AU249-BH249)/AU249)</f>
        <v/>
      </c>
      <c r="BJ249" s="81"/>
      <c r="BK249" s="83"/>
      <c r="BL249" s="43" t="str">
        <f aca="false">IFERROR(INDEX(ЗАКАЗЫ!$N$3:$N$500,MATCH($A249,ЗАКАЗЫ!$F$3:$F$500,0)),"")</f>
        <v/>
      </c>
      <c r="BM249" s="8" t="str">
        <f aca="false">IF(BL249="","",IFERROR(VLOOKUP(BL249,'ТН ВЭД'!$A$4:$C$40,3,0),""))</f>
        <v/>
      </c>
      <c r="BN249" s="7" t="str">
        <f aca="false">IF(COUNTIF(ЗАКАЗЫ!$F$3:$F$500,$A249)=0,"",SUMIF(ЗАКАЗЫ!$F$3:$F$500,$A249,ЗАКАЗЫ!$J$3:$J$500))</f>
        <v/>
      </c>
      <c r="BO249" s="7" t="str">
        <f aca="false">IF(BN249="","",SUMIF(ЗАКАЗЫ!$F$3:$F$500,$A249,ЗАКАЗЫ!$AL$3:$AL$500))</f>
        <v/>
      </c>
      <c r="BP249" s="7" t="str">
        <f aca="false">IF(BN249="","",BN249-BO249)</f>
        <v/>
      </c>
      <c r="BQ249" s="55" t="str">
        <f aca="false">IF(BN249="","",IF(BO249&gt;=BN249,"На складе",IF(BO249&gt;0,"Частично","Ждём")))</f>
        <v/>
      </c>
      <c r="BR249" s="43"/>
      <c r="BS249" s="47" t="str">
        <f aca="false">IF(BN249="","",IF(_xlfn.MAXIFS(ЗАКАЗЫ!$AK$3:$AK$500,ЗАКАЗЫ!$F$3:$F$500,$A249)=0,"",_xlfn.MAXIFS(ЗАКАЗЫ!$AK$3:$AK$500,ЗАКАЗЫ!$F$3:$F$500,$A249)))</f>
        <v/>
      </c>
    </row>
    <row r="250" customFormat="false" ht="15.75" hidden="false" customHeight="true" outlineLevel="0" collapsed="false">
      <c r="A250" s="80" t="s">
        <v>2444</v>
      </c>
      <c r="B250" s="81"/>
      <c r="C250" s="81"/>
      <c r="D250" s="81"/>
      <c r="E250" s="83"/>
      <c r="F250" s="81"/>
      <c r="G250" s="83"/>
      <c r="H250" s="83"/>
      <c r="I250" s="84" t="str">
        <f aca="false">IF(E250="","",A250&amp;"_1.jpg")</f>
        <v/>
      </c>
      <c r="J250" s="84" t="str">
        <f aca="false">IF(E250="","",A250&amp;"_2.jpg; "&amp;A250&amp;"_3.jpg")</f>
        <v/>
      </c>
      <c r="K250" s="84" t="str">
        <f aca="false">IF(E250="","",A250&amp;"_schema.jpg")</f>
        <v/>
      </c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 t="s">
        <v>96</v>
      </c>
      <c r="W250" s="81"/>
      <c r="X250" s="81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6" t="str">
        <f aca="false">IF(SUM(Y250:AJ250)=0,"",SUM(Y250:AJ250))</f>
        <v/>
      </c>
      <c r="AL250" s="84" t="str">
        <f aca="false">MID(IF(N(Y250)&gt;0,", "&amp;Y$2,"")&amp;IF(N(Z250)&gt;0,", "&amp;Z$2,"")&amp;IF(N(AA250)&gt;0,", "&amp;AA$2,"")&amp;IF(N(AB250)&gt;0,", "&amp;AB$2,"")&amp;IF(N(AC250)&gt;0,", "&amp;AC$2,"")&amp;IF(N(AD250)&gt;0,", "&amp;AD$2,"")&amp;IF(N(AE250)&gt;0,", "&amp;AE$2,"")&amp;IF(N(AF250)&gt;0,", "&amp;AF$2,"")&amp;IF(N(AG250)&gt;0,", "&amp;AG$2,"")&amp;IF(N(AH250)&gt;0,", "&amp;AH$2,"")&amp;IF(N(AI250)&gt;0,", "&amp;AI$2,"")&amp;IF(N(AJ250)&gt;0,", "&amp;AJ$2,""),3,999)</f>
        <v/>
      </c>
      <c r="AM250" s="87" t="str">
        <f aca="false">IF(E250="","",MID(IF(N(Y250)&gt;0,", "&amp;A250&amp;"-"&amp;Y$2,"")&amp;IF(N(Z250)&gt;0,", "&amp;A250&amp;"-"&amp;Z$2,"")&amp;IF(N(AA250)&gt;0,", "&amp;A250&amp;"-"&amp;AA$2,"")&amp;IF(N(AB250)&gt;0,", "&amp;A250&amp;"-"&amp;AB$2,"")&amp;IF(N(AC250)&gt;0,", "&amp;A250&amp;"-"&amp;AC$2,"")&amp;IF(N(AD250)&gt;0,", "&amp;A250&amp;"-"&amp;AD$2,"")&amp;IF(N(AE250)&gt;0,", "&amp;A250&amp;"-"&amp;AE$2,"")&amp;IF(N(AF250)&gt;0,", "&amp;A250&amp;"-"&amp;AF$2,"")&amp;IF(N(AG250)&gt;0,", "&amp;A250&amp;"-"&amp;AG$2,"")&amp;IF(N(AH250)&gt;0,", "&amp;A250&amp;"-"&amp;AH$2,"")&amp;IF(N(AI250)&gt;0,", "&amp;A250&amp;"-"&amp;AI$2,"")&amp;IF(N(AJ250)&gt;0,", "&amp;A250&amp;"-"&amp;AJ$2,""),3,999))</f>
        <v/>
      </c>
      <c r="AN250" s="81"/>
      <c r="AO250" s="88"/>
      <c r="AP250" s="89" t="str">
        <f aca="false">IF(AO250="","",ROUND(AO250/(1+Справочники!$B$13),2))</f>
        <v/>
      </c>
      <c r="AQ250" s="90" t="str">
        <f aca="false" t="array" ref="AQ250:AQ250">IF(AP250="","",AP250*INDEX(Справочники!$B$4:$B$7,MATCH("RUB",Справочники!$A$4:$A$7,0)))</f>
        <v/>
      </c>
      <c r="AR250" s="90" t="str">
        <f aca="false">IF(AQ250="","",ROUND(AQ250*(1+Справочники!$B$12),0))</f>
        <v/>
      </c>
      <c r="AS250" s="90" t="str">
        <f aca="false">IF(AR250="","",ROUND(AR250*(1-Справочники!$B$11),0))</f>
        <v/>
      </c>
      <c r="AT250" s="88"/>
      <c r="AU250" s="90" t="str">
        <f aca="false">IF(AT250="","",ROUND(AT250/(1+Справочники!$B$12),0))</f>
        <v/>
      </c>
      <c r="AV250" s="90" t="str">
        <f aca="false">IF(AT250="","",ROUND(AT250*(1-Справочники!$B$15),0))</f>
        <v/>
      </c>
      <c r="AW250" s="90" t="str">
        <f aca="false">IF(AT250="","",ROUND(AT250*(1-Справочники!$B$16),0))</f>
        <v/>
      </c>
      <c r="AX250" s="90" t="str">
        <f aca="false">IF(AT250="","",ROUND(AT250*(1-Справочники!$B$17),0))</f>
        <v/>
      </c>
      <c r="AY250" s="90" t="str">
        <f aca="false">IF(AT250="","",ROUND(AT250*(1-Справочники!$B$18),0))</f>
        <v/>
      </c>
      <c r="AZ250" s="90" t="str">
        <f aca="false">IF(AT250="","",ROUND(AT250*(1-Справочники!$B$19),0))</f>
        <v/>
      </c>
      <c r="BA250" s="81"/>
      <c r="BB250" s="81"/>
      <c r="BC250" s="81"/>
      <c r="BD250" s="81"/>
      <c r="BE250" s="91"/>
      <c r="BF250" s="81" t="s">
        <v>103</v>
      </c>
      <c r="BG250" s="89" t="n">
        <f aca="false" t="array" ref="BG250:BG250">IF(BF250="","",IFERROR(INDEX(Справочники!$B$4:$B$7,MATCH(BF250,Справочники!$A$4:$A$7,0)),""))</f>
        <v>68.5</v>
      </c>
      <c r="BH250" s="90" t="str">
        <f aca="false">IF(N(BN250)&gt;0,ROUND(SUMIF(ЗАКАЗЫ!$F$3:$F$500,$A250,ЗАКАЗЫ!$Y$3:$Y$500)/BN250,0),IF(OR(BE250="",BG250=""),"",ROUND(BE250*BG250*(1+Справочники!$B$10),0)))</f>
        <v/>
      </c>
      <c r="BI250" s="92" t="str">
        <f aca="false">IF(OR(AU250="",BH250="",AU250=0),"",(AU250-BH250)/AU250)</f>
        <v/>
      </c>
      <c r="BJ250" s="81"/>
      <c r="BK250" s="83"/>
      <c r="BL250" s="43" t="str">
        <f aca="false">IFERROR(INDEX(ЗАКАЗЫ!$N$3:$N$500,MATCH($A250,ЗАКАЗЫ!$F$3:$F$500,0)),"")</f>
        <v/>
      </c>
      <c r="BM250" s="8" t="str">
        <f aca="false">IF(BL250="","",IFERROR(VLOOKUP(BL250,'ТН ВЭД'!$A$4:$C$40,3,0),""))</f>
        <v/>
      </c>
      <c r="BN250" s="7" t="str">
        <f aca="false">IF(COUNTIF(ЗАКАЗЫ!$F$3:$F$500,$A250)=0,"",SUMIF(ЗАКАЗЫ!$F$3:$F$500,$A250,ЗАКАЗЫ!$J$3:$J$500))</f>
        <v/>
      </c>
      <c r="BO250" s="7" t="str">
        <f aca="false">IF(BN250="","",SUMIF(ЗАКАЗЫ!$F$3:$F$500,$A250,ЗАКАЗЫ!$AL$3:$AL$500))</f>
        <v/>
      </c>
      <c r="BP250" s="7" t="str">
        <f aca="false">IF(BN250="","",BN250-BO250)</f>
        <v/>
      </c>
      <c r="BQ250" s="55" t="str">
        <f aca="false">IF(BN250="","",IF(BO250&gt;=BN250,"На складе",IF(BO250&gt;0,"Частично","Ждём")))</f>
        <v/>
      </c>
      <c r="BR250" s="43"/>
      <c r="BS250" s="47" t="str">
        <f aca="false">IF(BN250="","",IF(_xlfn.MAXIFS(ЗАКАЗЫ!$AK$3:$AK$500,ЗАКАЗЫ!$F$3:$F$500,$A250)=0,"",_xlfn.MAXIFS(ЗАКАЗЫ!$AK$3:$AK$500,ЗАКАЗЫ!$F$3:$F$500,$A250)))</f>
        <v/>
      </c>
    </row>
    <row r="251" customFormat="false" ht="15.75" hidden="false" customHeight="true" outlineLevel="0" collapsed="false">
      <c r="A251" s="80" t="s">
        <v>2445</v>
      </c>
      <c r="B251" s="81"/>
      <c r="C251" s="81"/>
      <c r="D251" s="81"/>
      <c r="E251" s="83"/>
      <c r="F251" s="81"/>
      <c r="G251" s="83"/>
      <c r="H251" s="83"/>
      <c r="I251" s="84" t="str">
        <f aca="false">IF(E251="","",A251&amp;"_1.jpg")</f>
        <v/>
      </c>
      <c r="J251" s="84" t="str">
        <f aca="false">IF(E251="","",A251&amp;"_2.jpg; "&amp;A251&amp;"_3.jpg")</f>
        <v/>
      </c>
      <c r="K251" s="84" t="str">
        <f aca="false">IF(E251="","",A251&amp;"_schema.jpg")</f>
        <v/>
      </c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 t="s">
        <v>96</v>
      </c>
      <c r="W251" s="81"/>
      <c r="X251" s="81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6" t="str">
        <f aca="false">IF(SUM(Y251:AJ251)=0,"",SUM(Y251:AJ251))</f>
        <v/>
      </c>
      <c r="AL251" s="84" t="str">
        <f aca="false">MID(IF(N(Y251)&gt;0,", "&amp;Y$2,"")&amp;IF(N(Z251)&gt;0,", "&amp;Z$2,"")&amp;IF(N(AA251)&gt;0,", "&amp;AA$2,"")&amp;IF(N(AB251)&gt;0,", "&amp;AB$2,"")&amp;IF(N(AC251)&gt;0,", "&amp;AC$2,"")&amp;IF(N(AD251)&gt;0,", "&amp;AD$2,"")&amp;IF(N(AE251)&gt;0,", "&amp;AE$2,"")&amp;IF(N(AF251)&gt;0,", "&amp;AF$2,"")&amp;IF(N(AG251)&gt;0,", "&amp;AG$2,"")&amp;IF(N(AH251)&gt;0,", "&amp;AH$2,"")&amp;IF(N(AI251)&gt;0,", "&amp;AI$2,"")&amp;IF(N(AJ251)&gt;0,", "&amp;AJ$2,""),3,999)</f>
        <v/>
      </c>
      <c r="AM251" s="87" t="str">
        <f aca="false">IF(E251="","",MID(IF(N(Y251)&gt;0,", "&amp;A251&amp;"-"&amp;Y$2,"")&amp;IF(N(Z251)&gt;0,", "&amp;A251&amp;"-"&amp;Z$2,"")&amp;IF(N(AA251)&gt;0,", "&amp;A251&amp;"-"&amp;AA$2,"")&amp;IF(N(AB251)&gt;0,", "&amp;A251&amp;"-"&amp;AB$2,"")&amp;IF(N(AC251)&gt;0,", "&amp;A251&amp;"-"&amp;AC$2,"")&amp;IF(N(AD251)&gt;0,", "&amp;A251&amp;"-"&amp;AD$2,"")&amp;IF(N(AE251)&gt;0,", "&amp;A251&amp;"-"&amp;AE$2,"")&amp;IF(N(AF251)&gt;0,", "&amp;A251&amp;"-"&amp;AF$2,"")&amp;IF(N(AG251)&gt;0,", "&amp;A251&amp;"-"&amp;AG$2,"")&amp;IF(N(AH251)&gt;0,", "&amp;A251&amp;"-"&amp;AH$2,"")&amp;IF(N(AI251)&gt;0,", "&amp;A251&amp;"-"&amp;AI$2,"")&amp;IF(N(AJ251)&gt;0,", "&amp;A251&amp;"-"&amp;AJ$2,""),3,999))</f>
        <v/>
      </c>
      <c r="AN251" s="81"/>
      <c r="AO251" s="88"/>
      <c r="AP251" s="89" t="str">
        <f aca="false">IF(AO251="","",ROUND(AO251/(1+Справочники!$B$13),2))</f>
        <v/>
      </c>
      <c r="AQ251" s="90" t="str">
        <f aca="false" t="array" ref="AQ251:AQ251">IF(AP251="","",AP251*INDEX(Справочники!$B$4:$B$7,MATCH("RUB",Справочники!$A$4:$A$7,0)))</f>
        <v/>
      </c>
      <c r="AR251" s="90" t="str">
        <f aca="false">IF(AQ251="","",ROUND(AQ251*(1+Справочники!$B$12),0))</f>
        <v/>
      </c>
      <c r="AS251" s="90" t="str">
        <f aca="false">IF(AR251="","",ROUND(AR251*(1-Справочники!$B$11),0))</f>
        <v/>
      </c>
      <c r="AT251" s="88"/>
      <c r="AU251" s="90" t="str">
        <f aca="false">IF(AT251="","",ROUND(AT251/(1+Справочники!$B$12),0))</f>
        <v/>
      </c>
      <c r="AV251" s="90" t="str">
        <f aca="false">IF(AT251="","",ROUND(AT251*(1-Справочники!$B$15),0))</f>
        <v/>
      </c>
      <c r="AW251" s="90" t="str">
        <f aca="false">IF(AT251="","",ROUND(AT251*(1-Справочники!$B$16),0))</f>
        <v/>
      </c>
      <c r="AX251" s="90" t="str">
        <f aca="false">IF(AT251="","",ROUND(AT251*(1-Справочники!$B$17),0))</f>
        <v/>
      </c>
      <c r="AY251" s="90" t="str">
        <f aca="false">IF(AT251="","",ROUND(AT251*(1-Справочники!$B$18),0))</f>
        <v/>
      </c>
      <c r="AZ251" s="90" t="str">
        <f aca="false">IF(AT251="","",ROUND(AT251*(1-Справочники!$B$19),0))</f>
        <v/>
      </c>
      <c r="BA251" s="81"/>
      <c r="BB251" s="81"/>
      <c r="BC251" s="81"/>
      <c r="BD251" s="81"/>
      <c r="BE251" s="91"/>
      <c r="BF251" s="81" t="s">
        <v>103</v>
      </c>
      <c r="BG251" s="89" t="n">
        <f aca="false" t="array" ref="BG251:BG251">IF(BF251="","",IFERROR(INDEX(Справочники!$B$4:$B$7,MATCH(BF251,Справочники!$A$4:$A$7,0)),""))</f>
        <v>68.5</v>
      </c>
      <c r="BH251" s="90" t="str">
        <f aca="false">IF(N(BN251)&gt;0,ROUND(SUMIF(ЗАКАЗЫ!$F$3:$F$500,$A251,ЗАКАЗЫ!$Y$3:$Y$500)/BN251,0),IF(OR(BE251="",BG251=""),"",ROUND(BE251*BG251*(1+Справочники!$B$10),0)))</f>
        <v/>
      </c>
      <c r="BI251" s="92" t="str">
        <f aca="false">IF(OR(AU251="",BH251="",AU251=0),"",(AU251-BH251)/AU251)</f>
        <v/>
      </c>
      <c r="BJ251" s="81"/>
      <c r="BK251" s="83"/>
      <c r="BL251" s="43" t="str">
        <f aca="false">IFERROR(INDEX(ЗАКАЗЫ!$N$3:$N$500,MATCH($A251,ЗАКАЗЫ!$F$3:$F$500,0)),"")</f>
        <v/>
      </c>
      <c r="BM251" s="8" t="str">
        <f aca="false">IF(BL251="","",IFERROR(VLOOKUP(BL251,'ТН ВЭД'!$A$4:$C$40,3,0),""))</f>
        <v/>
      </c>
      <c r="BN251" s="7" t="str">
        <f aca="false">IF(COUNTIF(ЗАКАЗЫ!$F$3:$F$500,$A251)=0,"",SUMIF(ЗАКАЗЫ!$F$3:$F$500,$A251,ЗАКАЗЫ!$J$3:$J$500))</f>
        <v/>
      </c>
      <c r="BO251" s="7" t="str">
        <f aca="false">IF(BN251="","",SUMIF(ЗАКАЗЫ!$F$3:$F$500,$A251,ЗАКАЗЫ!$AL$3:$AL$500))</f>
        <v/>
      </c>
      <c r="BP251" s="7" t="str">
        <f aca="false">IF(BN251="","",BN251-BO251)</f>
        <v/>
      </c>
      <c r="BQ251" s="55" t="str">
        <f aca="false">IF(BN251="","",IF(BO251&gt;=BN251,"На складе",IF(BO251&gt;0,"Частично","Ждём")))</f>
        <v/>
      </c>
      <c r="BR251" s="43"/>
      <c r="BS251" s="47" t="str">
        <f aca="false">IF(BN251="","",IF(_xlfn.MAXIFS(ЗАКАЗЫ!$AK$3:$AK$500,ЗАКАЗЫ!$F$3:$F$500,$A251)=0,"",_xlfn.MAXIFS(ЗАКАЗЫ!$AK$3:$AK$500,ЗАКАЗЫ!$F$3:$F$500,$A251)))</f>
        <v/>
      </c>
    </row>
    <row r="252" customFormat="false" ht="15.75" hidden="false" customHeight="true" outlineLevel="0" collapsed="false">
      <c r="A252" s="80" t="s">
        <v>2446</v>
      </c>
      <c r="B252" s="81"/>
      <c r="C252" s="81"/>
      <c r="D252" s="81"/>
      <c r="E252" s="83"/>
      <c r="F252" s="81"/>
      <c r="G252" s="83"/>
      <c r="H252" s="83"/>
      <c r="I252" s="84" t="str">
        <f aca="false">IF(E252="","",A252&amp;"_1.jpg")</f>
        <v/>
      </c>
      <c r="J252" s="84" t="str">
        <f aca="false">IF(E252="","",A252&amp;"_2.jpg; "&amp;A252&amp;"_3.jpg")</f>
        <v/>
      </c>
      <c r="K252" s="84" t="str">
        <f aca="false">IF(E252="","",A252&amp;"_schema.jpg")</f>
        <v/>
      </c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 t="s">
        <v>96</v>
      </c>
      <c r="W252" s="81"/>
      <c r="X252" s="81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6" t="str">
        <f aca="false">IF(SUM(Y252:AJ252)=0,"",SUM(Y252:AJ252))</f>
        <v/>
      </c>
      <c r="AL252" s="84" t="str">
        <f aca="false">MID(IF(N(Y252)&gt;0,", "&amp;Y$2,"")&amp;IF(N(Z252)&gt;0,", "&amp;Z$2,"")&amp;IF(N(AA252)&gt;0,", "&amp;AA$2,"")&amp;IF(N(AB252)&gt;0,", "&amp;AB$2,"")&amp;IF(N(AC252)&gt;0,", "&amp;AC$2,"")&amp;IF(N(AD252)&gt;0,", "&amp;AD$2,"")&amp;IF(N(AE252)&gt;0,", "&amp;AE$2,"")&amp;IF(N(AF252)&gt;0,", "&amp;AF$2,"")&amp;IF(N(AG252)&gt;0,", "&amp;AG$2,"")&amp;IF(N(AH252)&gt;0,", "&amp;AH$2,"")&amp;IF(N(AI252)&gt;0,", "&amp;AI$2,"")&amp;IF(N(AJ252)&gt;0,", "&amp;AJ$2,""),3,999)</f>
        <v/>
      </c>
      <c r="AM252" s="87" t="str">
        <f aca="false">IF(E252="","",MID(IF(N(Y252)&gt;0,", "&amp;A252&amp;"-"&amp;Y$2,"")&amp;IF(N(Z252)&gt;0,", "&amp;A252&amp;"-"&amp;Z$2,"")&amp;IF(N(AA252)&gt;0,", "&amp;A252&amp;"-"&amp;AA$2,"")&amp;IF(N(AB252)&gt;0,", "&amp;A252&amp;"-"&amp;AB$2,"")&amp;IF(N(AC252)&gt;0,", "&amp;A252&amp;"-"&amp;AC$2,"")&amp;IF(N(AD252)&gt;0,", "&amp;A252&amp;"-"&amp;AD$2,"")&amp;IF(N(AE252)&gt;0,", "&amp;A252&amp;"-"&amp;AE$2,"")&amp;IF(N(AF252)&gt;0,", "&amp;A252&amp;"-"&amp;AF$2,"")&amp;IF(N(AG252)&gt;0,", "&amp;A252&amp;"-"&amp;AG$2,"")&amp;IF(N(AH252)&gt;0,", "&amp;A252&amp;"-"&amp;AH$2,"")&amp;IF(N(AI252)&gt;0,", "&amp;A252&amp;"-"&amp;AI$2,"")&amp;IF(N(AJ252)&gt;0,", "&amp;A252&amp;"-"&amp;AJ$2,""),3,999))</f>
        <v/>
      </c>
      <c r="AN252" s="81"/>
      <c r="AO252" s="88"/>
      <c r="AP252" s="89" t="str">
        <f aca="false">IF(AO252="","",ROUND(AO252/(1+Справочники!$B$13),2))</f>
        <v/>
      </c>
      <c r="AQ252" s="90" t="str">
        <f aca="false" t="array" ref="AQ252:AQ252">IF(AP252="","",AP252*INDEX(Справочники!$B$4:$B$7,MATCH("RUB",Справочники!$A$4:$A$7,0)))</f>
        <v/>
      </c>
      <c r="AR252" s="90" t="str">
        <f aca="false">IF(AQ252="","",ROUND(AQ252*(1+Справочники!$B$12),0))</f>
        <v/>
      </c>
      <c r="AS252" s="90" t="str">
        <f aca="false">IF(AR252="","",ROUND(AR252*(1-Справочники!$B$11),0))</f>
        <v/>
      </c>
      <c r="AT252" s="88"/>
      <c r="AU252" s="90" t="str">
        <f aca="false">IF(AT252="","",ROUND(AT252/(1+Справочники!$B$12),0))</f>
        <v/>
      </c>
      <c r="AV252" s="90" t="str">
        <f aca="false">IF(AT252="","",ROUND(AT252*(1-Справочники!$B$15),0))</f>
        <v/>
      </c>
      <c r="AW252" s="90" t="str">
        <f aca="false">IF(AT252="","",ROUND(AT252*(1-Справочники!$B$16),0))</f>
        <v/>
      </c>
      <c r="AX252" s="90" t="str">
        <f aca="false">IF(AT252="","",ROUND(AT252*(1-Справочники!$B$17),0))</f>
        <v/>
      </c>
      <c r="AY252" s="90" t="str">
        <f aca="false">IF(AT252="","",ROUND(AT252*(1-Справочники!$B$18),0))</f>
        <v/>
      </c>
      <c r="AZ252" s="90" t="str">
        <f aca="false">IF(AT252="","",ROUND(AT252*(1-Справочники!$B$19),0))</f>
        <v/>
      </c>
      <c r="BA252" s="81"/>
      <c r="BB252" s="81"/>
      <c r="BC252" s="81"/>
      <c r="BD252" s="81"/>
      <c r="BE252" s="91"/>
      <c r="BF252" s="81" t="s">
        <v>103</v>
      </c>
      <c r="BG252" s="89" t="n">
        <f aca="false" t="array" ref="BG252:BG252">IF(BF252="","",IFERROR(INDEX(Справочники!$B$4:$B$7,MATCH(BF252,Справочники!$A$4:$A$7,0)),""))</f>
        <v>68.5</v>
      </c>
      <c r="BH252" s="90" t="str">
        <f aca="false">IF(N(BN252)&gt;0,ROUND(SUMIF(ЗАКАЗЫ!$F$3:$F$500,$A252,ЗАКАЗЫ!$Y$3:$Y$500)/BN252,0),IF(OR(BE252="",BG252=""),"",ROUND(BE252*BG252*(1+Справочники!$B$10),0)))</f>
        <v/>
      </c>
      <c r="BI252" s="92" t="str">
        <f aca="false">IF(OR(AU252="",BH252="",AU252=0),"",(AU252-BH252)/AU252)</f>
        <v/>
      </c>
      <c r="BJ252" s="81"/>
      <c r="BK252" s="83"/>
      <c r="BL252" s="43" t="str">
        <f aca="false">IFERROR(INDEX(ЗАКАЗЫ!$N$3:$N$500,MATCH($A252,ЗАКАЗЫ!$F$3:$F$500,0)),"")</f>
        <v/>
      </c>
      <c r="BM252" s="8" t="str">
        <f aca="false">IF(BL252="","",IFERROR(VLOOKUP(BL252,'ТН ВЭД'!$A$4:$C$40,3,0),""))</f>
        <v/>
      </c>
      <c r="BN252" s="7" t="str">
        <f aca="false">IF(COUNTIF(ЗАКАЗЫ!$F$3:$F$500,$A252)=0,"",SUMIF(ЗАКАЗЫ!$F$3:$F$500,$A252,ЗАКАЗЫ!$J$3:$J$500))</f>
        <v/>
      </c>
      <c r="BO252" s="7" t="str">
        <f aca="false">IF(BN252="","",SUMIF(ЗАКАЗЫ!$F$3:$F$500,$A252,ЗАКАЗЫ!$AL$3:$AL$500))</f>
        <v/>
      </c>
      <c r="BP252" s="7" t="str">
        <f aca="false">IF(BN252="","",BN252-BO252)</f>
        <v/>
      </c>
      <c r="BQ252" s="55" t="str">
        <f aca="false">IF(BN252="","",IF(BO252&gt;=BN252,"На складе",IF(BO252&gt;0,"Частично","Ждём")))</f>
        <v/>
      </c>
      <c r="BR252" s="43"/>
      <c r="BS252" s="47" t="str">
        <f aca="false">IF(BN252="","",IF(_xlfn.MAXIFS(ЗАКАЗЫ!$AK$3:$AK$500,ЗАКАЗЫ!$F$3:$F$500,$A252)=0,"",_xlfn.MAXIFS(ЗАКАЗЫ!$AK$3:$AK$500,ЗАКАЗЫ!$F$3:$F$500,$A252)))</f>
        <v/>
      </c>
    </row>
    <row r="253" customFormat="false" ht="15.75" hidden="false" customHeight="true" outlineLevel="0" collapsed="false">
      <c r="A253" s="80" t="s">
        <v>2447</v>
      </c>
      <c r="B253" s="81"/>
      <c r="C253" s="81"/>
      <c r="D253" s="81"/>
      <c r="E253" s="83"/>
      <c r="F253" s="81"/>
      <c r="G253" s="83"/>
      <c r="H253" s="83"/>
      <c r="I253" s="84" t="str">
        <f aca="false">IF(E253="","",A253&amp;"_1.jpg")</f>
        <v/>
      </c>
      <c r="J253" s="84" t="str">
        <f aca="false">IF(E253="","",A253&amp;"_2.jpg; "&amp;A253&amp;"_3.jpg")</f>
        <v/>
      </c>
      <c r="K253" s="84" t="str">
        <f aca="false">IF(E253="","",A253&amp;"_schema.jpg")</f>
        <v/>
      </c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 t="s">
        <v>96</v>
      </c>
      <c r="W253" s="81"/>
      <c r="X253" s="81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6" t="str">
        <f aca="false">IF(SUM(Y253:AJ253)=0,"",SUM(Y253:AJ253))</f>
        <v/>
      </c>
      <c r="AL253" s="84" t="str">
        <f aca="false">MID(IF(N(Y253)&gt;0,", "&amp;Y$2,"")&amp;IF(N(Z253)&gt;0,", "&amp;Z$2,"")&amp;IF(N(AA253)&gt;0,", "&amp;AA$2,"")&amp;IF(N(AB253)&gt;0,", "&amp;AB$2,"")&amp;IF(N(AC253)&gt;0,", "&amp;AC$2,"")&amp;IF(N(AD253)&gt;0,", "&amp;AD$2,"")&amp;IF(N(AE253)&gt;0,", "&amp;AE$2,"")&amp;IF(N(AF253)&gt;0,", "&amp;AF$2,"")&amp;IF(N(AG253)&gt;0,", "&amp;AG$2,"")&amp;IF(N(AH253)&gt;0,", "&amp;AH$2,"")&amp;IF(N(AI253)&gt;0,", "&amp;AI$2,"")&amp;IF(N(AJ253)&gt;0,", "&amp;AJ$2,""),3,999)</f>
        <v/>
      </c>
      <c r="AM253" s="87" t="str">
        <f aca="false">IF(E253="","",MID(IF(N(Y253)&gt;0,", "&amp;A253&amp;"-"&amp;Y$2,"")&amp;IF(N(Z253)&gt;0,", "&amp;A253&amp;"-"&amp;Z$2,"")&amp;IF(N(AA253)&gt;0,", "&amp;A253&amp;"-"&amp;AA$2,"")&amp;IF(N(AB253)&gt;0,", "&amp;A253&amp;"-"&amp;AB$2,"")&amp;IF(N(AC253)&gt;0,", "&amp;A253&amp;"-"&amp;AC$2,"")&amp;IF(N(AD253)&gt;0,", "&amp;A253&amp;"-"&amp;AD$2,"")&amp;IF(N(AE253)&gt;0,", "&amp;A253&amp;"-"&amp;AE$2,"")&amp;IF(N(AF253)&gt;0,", "&amp;A253&amp;"-"&amp;AF$2,"")&amp;IF(N(AG253)&gt;0,", "&amp;A253&amp;"-"&amp;AG$2,"")&amp;IF(N(AH253)&gt;0,", "&amp;A253&amp;"-"&amp;AH$2,"")&amp;IF(N(AI253)&gt;0,", "&amp;A253&amp;"-"&amp;AI$2,"")&amp;IF(N(AJ253)&gt;0,", "&amp;A253&amp;"-"&amp;AJ$2,""),3,999))</f>
        <v/>
      </c>
      <c r="AN253" s="81"/>
      <c r="AO253" s="88"/>
      <c r="AP253" s="89" t="str">
        <f aca="false">IF(AO253="","",ROUND(AO253/(1+Справочники!$B$13),2))</f>
        <v/>
      </c>
      <c r="AQ253" s="90" t="str">
        <f aca="false" t="array" ref="AQ253:AQ253">IF(AP253="","",AP253*INDEX(Справочники!$B$4:$B$7,MATCH("RUB",Справочники!$A$4:$A$7,0)))</f>
        <v/>
      </c>
      <c r="AR253" s="90" t="str">
        <f aca="false">IF(AQ253="","",ROUND(AQ253*(1+Справочники!$B$12),0))</f>
        <v/>
      </c>
      <c r="AS253" s="90" t="str">
        <f aca="false">IF(AR253="","",ROUND(AR253*(1-Справочники!$B$11),0))</f>
        <v/>
      </c>
      <c r="AT253" s="88"/>
      <c r="AU253" s="90" t="str">
        <f aca="false">IF(AT253="","",ROUND(AT253/(1+Справочники!$B$12),0))</f>
        <v/>
      </c>
      <c r="AV253" s="90" t="str">
        <f aca="false">IF(AT253="","",ROUND(AT253*(1-Справочники!$B$15),0))</f>
        <v/>
      </c>
      <c r="AW253" s="90" t="str">
        <f aca="false">IF(AT253="","",ROUND(AT253*(1-Справочники!$B$16),0))</f>
        <v/>
      </c>
      <c r="AX253" s="90" t="str">
        <f aca="false">IF(AT253="","",ROUND(AT253*(1-Справочники!$B$17),0))</f>
        <v/>
      </c>
      <c r="AY253" s="90" t="str">
        <f aca="false">IF(AT253="","",ROUND(AT253*(1-Справочники!$B$18),0))</f>
        <v/>
      </c>
      <c r="AZ253" s="90" t="str">
        <f aca="false">IF(AT253="","",ROUND(AT253*(1-Справочники!$B$19),0))</f>
        <v/>
      </c>
      <c r="BA253" s="81"/>
      <c r="BB253" s="81"/>
      <c r="BC253" s="81"/>
      <c r="BD253" s="81"/>
      <c r="BE253" s="91"/>
      <c r="BF253" s="81" t="s">
        <v>103</v>
      </c>
      <c r="BG253" s="89" t="n">
        <f aca="false" t="array" ref="BG253:BG253">IF(BF253="","",IFERROR(INDEX(Справочники!$B$4:$B$7,MATCH(BF253,Справочники!$A$4:$A$7,0)),""))</f>
        <v>68.5</v>
      </c>
      <c r="BH253" s="90" t="str">
        <f aca="false">IF(N(BN253)&gt;0,ROUND(SUMIF(ЗАКАЗЫ!$F$3:$F$500,$A253,ЗАКАЗЫ!$Y$3:$Y$500)/BN253,0),IF(OR(BE253="",BG253=""),"",ROUND(BE253*BG253*(1+Справочники!$B$10),0)))</f>
        <v/>
      </c>
      <c r="BI253" s="92" t="str">
        <f aca="false">IF(OR(AU253="",BH253="",AU253=0),"",(AU253-BH253)/AU253)</f>
        <v/>
      </c>
      <c r="BJ253" s="81"/>
      <c r="BK253" s="83"/>
      <c r="BL253" s="43" t="str">
        <f aca="false">IFERROR(INDEX(ЗАКАЗЫ!$N$3:$N$500,MATCH($A253,ЗАКАЗЫ!$F$3:$F$500,0)),"")</f>
        <v/>
      </c>
      <c r="BM253" s="8" t="str">
        <f aca="false">IF(BL253="","",IFERROR(VLOOKUP(BL253,'ТН ВЭД'!$A$4:$C$40,3,0),""))</f>
        <v/>
      </c>
      <c r="BN253" s="7" t="str">
        <f aca="false">IF(COUNTIF(ЗАКАЗЫ!$F$3:$F$500,$A253)=0,"",SUMIF(ЗАКАЗЫ!$F$3:$F$500,$A253,ЗАКАЗЫ!$J$3:$J$500))</f>
        <v/>
      </c>
      <c r="BO253" s="7" t="str">
        <f aca="false">IF(BN253="","",SUMIF(ЗАКАЗЫ!$F$3:$F$500,$A253,ЗАКАЗЫ!$AL$3:$AL$500))</f>
        <v/>
      </c>
      <c r="BP253" s="7" t="str">
        <f aca="false">IF(BN253="","",BN253-BO253)</f>
        <v/>
      </c>
      <c r="BQ253" s="55" t="str">
        <f aca="false">IF(BN253="","",IF(BO253&gt;=BN253,"На складе",IF(BO253&gt;0,"Частично","Ждём")))</f>
        <v/>
      </c>
      <c r="BR253" s="43"/>
      <c r="BS253" s="47" t="str">
        <f aca="false">IF(BN253="","",IF(_xlfn.MAXIFS(ЗАКАЗЫ!$AK$3:$AK$500,ЗАКАЗЫ!$F$3:$F$500,$A253)=0,"",_xlfn.MAXIFS(ЗАКАЗЫ!$AK$3:$AK$500,ЗАКАЗЫ!$F$3:$F$500,$A253)))</f>
        <v/>
      </c>
    </row>
    <row r="254" customFormat="false" ht="15.75" hidden="false" customHeight="true" outlineLevel="0" collapsed="false">
      <c r="A254" s="80" t="s">
        <v>2448</v>
      </c>
      <c r="B254" s="81"/>
      <c r="C254" s="81"/>
      <c r="D254" s="81"/>
      <c r="E254" s="83"/>
      <c r="F254" s="81"/>
      <c r="G254" s="83"/>
      <c r="H254" s="83"/>
      <c r="I254" s="84" t="str">
        <f aca="false">IF(E254="","",A254&amp;"_1.jpg")</f>
        <v/>
      </c>
      <c r="J254" s="84" t="str">
        <f aca="false">IF(E254="","",A254&amp;"_2.jpg; "&amp;A254&amp;"_3.jpg")</f>
        <v/>
      </c>
      <c r="K254" s="84" t="str">
        <f aca="false">IF(E254="","",A254&amp;"_schema.jpg")</f>
        <v/>
      </c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 t="s">
        <v>96</v>
      </c>
      <c r="W254" s="81"/>
      <c r="X254" s="81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6" t="str">
        <f aca="false">IF(SUM(Y254:AJ254)=0,"",SUM(Y254:AJ254))</f>
        <v/>
      </c>
      <c r="AL254" s="84" t="str">
        <f aca="false">MID(IF(N(Y254)&gt;0,", "&amp;Y$2,"")&amp;IF(N(Z254)&gt;0,", "&amp;Z$2,"")&amp;IF(N(AA254)&gt;0,", "&amp;AA$2,"")&amp;IF(N(AB254)&gt;0,", "&amp;AB$2,"")&amp;IF(N(AC254)&gt;0,", "&amp;AC$2,"")&amp;IF(N(AD254)&gt;0,", "&amp;AD$2,"")&amp;IF(N(AE254)&gt;0,", "&amp;AE$2,"")&amp;IF(N(AF254)&gt;0,", "&amp;AF$2,"")&amp;IF(N(AG254)&gt;0,", "&amp;AG$2,"")&amp;IF(N(AH254)&gt;0,", "&amp;AH$2,"")&amp;IF(N(AI254)&gt;0,", "&amp;AI$2,"")&amp;IF(N(AJ254)&gt;0,", "&amp;AJ$2,""),3,999)</f>
        <v/>
      </c>
      <c r="AM254" s="87" t="str">
        <f aca="false">IF(E254="","",MID(IF(N(Y254)&gt;0,", "&amp;A254&amp;"-"&amp;Y$2,"")&amp;IF(N(Z254)&gt;0,", "&amp;A254&amp;"-"&amp;Z$2,"")&amp;IF(N(AA254)&gt;0,", "&amp;A254&amp;"-"&amp;AA$2,"")&amp;IF(N(AB254)&gt;0,", "&amp;A254&amp;"-"&amp;AB$2,"")&amp;IF(N(AC254)&gt;0,", "&amp;A254&amp;"-"&amp;AC$2,"")&amp;IF(N(AD254)&gt;0,", "&amp;A254&amp;"-"&amp;AD$2,"")&amp;IF(N(AE254)&gt;0,", "&amp;A254&amp;"-"&amp;AE$2,"")&amp;IF(N(AF254)&gt;0,", "&amp;A254&amp;"-"&amp;AF$2,"")&amp;IF(N(AG254)&gt;0,", "&amp;A254&amp;"-"&amp;AG$2,"")&amp;IF(N(AH254)&gt;0,", "&amp;A254&amp;"-"&amp;AH$2,"")&amp;IF(N(AI254)&gt;0,", "&amp;A254&amp;"-"&amp;AI$2,"")&amp;IF(N(AJ254)&gt;0,", "&amp;A254&amp;"-"&amp;AJ$2,""),3,999))</f>
        <v/>
      </c>
      <c r="AN254" s="81"/>
      <c r="AO254" s="88"/>
      <c r="AP254" s="89" t="str">
        <f aca="false">IF(AO254="","",ROUND(AO254/(1+Справочники!$B$13),2))</f>
        <v/>
      </c>
      <c r="AQ254" s="90" t="str">
        <f aca="false" t="array" ref="AQ254:AQ254">IF(AP254="","",AP254*INDEX(Справочники!$B$4:$B$7,MATCH("RUB",Справочники!$A$4:$A$7,0)))</f>
        <v/>
      </c>
      <c r="AR254" s="90" t="str">
        <f aca="false">IF(AQ254="","",ROUND(AQ254*(1+Справочники!$B$12),0))</f>
        <v/>
      </c>
      <c r="AS254" s="90" t="str">
        <f aca="false">IF(AR254="","",ROUND(AR254*(1-Справочники!$B$11),0))</f>
        <v/>
      </c>
      <c r="AT254" s="88"/>
      <c r="AU254" s="90" t="str">
        <f aca="false">IF(AT254="","",ROUND(AT254/(1+Справочники!$B$12),0))</f>
        <v/>
      </c>
      <c r="AV254" s="90" t="str">
        <f aca="false">IF(AT254="","",ROUND(AT254*(1-Справочники!$B$15),0))</f>
        <v/>
      </c>
      <c r="AW254" s="90" t="str">
        <f aca="false">IF(AT254="","",ROUND(AT254*(1-Справочники!$B$16),0))</f>
        <v/>
      </c>
      <c r="AX254" s="90" t="str">
        <f aca="false">IF(AT254="","",ROUND(AT254*(1-Справочники!$B$17),0))</f>
        <v/>
      </c>
      <c r="AY254" s="90" t="str">
        <f aca="false">IF(AT254="","",ROUND(AT254*(1-Справочники!$B$18),0))</f>
        <v/>
      </c>
      <c r="AZ254" s="90" t="str">
        <f aca="false">IF(AT254="","",ROUND(AT254*(1-Справочники!$B$19),0))</f>
        <v/>
      </c>
      <c r="BA254" s="81"/>
      <c r="BB254" s="81"/>
      <c r="BC254" s="81"/>
      <c r="BD254" s="81"/>
      <c r="BE254" s="91"/>
      <c r="BF254" s="81" t="s">
        <v>103</v>
      </c>
      <c r="BG254" s="89" t="n">
        <f aca="false" t="array" ref="BG254:BG254">IF(BF254="","",IFERROR(INDEX(Справочники!$B$4:$B$7,MATCH(BF254,Справочники!$A$4:$A$7,0)),""))</f>
        <v>68.5</v>
      </c>
      <c r="BH254" s="90" t="str">
        <f aca="false">IF(N(BN254)&gt;0,ROUND(SUMIF(ЗАКАЗЫ!$F$3:$F$500,$A254,ЗАКАЗЫ!$Y$3:$Y$500)/BN254,0),IF(OR(BE254="",BG254=""),"",ROUND(BE254*BG254*(1+Справочники!$B$10),0)))</f>
        <v/>
      </c>
      <c r="BI254" s="92" t="str">
        <f aca="false">IF(OR(AU254="",BH254="",AU254=0),"",(AU254-BH254)/AU254)</f>
        <v/>
      </c>
      <c r="BJ254" s="81"/>
      <c r="BK254" s="83"/>
      <c r="BL254" s="43" t="str">
        <f aca="false">IFERROR(INDEX(ЗАКАЗЫ!$N$3:$N$500,MATCH($A254,ЗАКАЗЫ!$F$3:$F$500,0)),"")</f>
        <v/>
      </c>
      <c r="BM254" s="8" t="str">
        <f aca="false">IF(BL254="","",IFERROR(VLOOKUP(BL254,'ТН ВЭД'!$A$4:$C$40,3,0),""))</f>
        <v/>
      </c>
      <c r="BN254" s="7" t="str">
        <f aca="false">IF(COUNTIF(ЗАКАЗЫ!$F$3:$F$500,$A254)=0,"",SUMIF(ЗАКАЗЫ!$F$3:$F$500,$A254,ЗАКАЗЫ!$J$3:$J$500))</f>
        <v/>
      </c>
      <c r="BO254" s="7" t="str">
        <f aca="false">IF(BN254="","",SUMIF(ЗАКАЗЫ!$F$3:$F$500,$A254,ЗАКАЗЫ!$AL$3:$AL$500))</f>
        <v/>
      </c>
      <c r="BP254" s="7" t="str">
        <f aca="false">IF(BN254="","",BN254-BO254)</f>
        <v/>
      </c>
      <c r="BQ254" s="55" t="str">
        <f aca="false">IF(BN254="","",IF(BO254&gt;=BN254,"На складе",IF(BO254&gt;0,"Частично","Ждём")))</f>
        <v/>
      </c>
      <c r="BR254" s="43"/>
      <c r="BS254" s="47" t="str">
        <f aca="false">IF(BN254="","",IF(_xlfn.MAXIFS(ЗАКАЗЫ!$AK$3:$AK$500,ЗАКАЗЫ!$F$3:$F$500,$A254)=0,"",_xlfn.MAXIFS(ЗАКАЗЫ!$AK$3:$AK$500,ЗАКАЗЫ!$F$3:$F$500,$A254)))</f>
        <v/>
      </c>
    </row>
    <row r="255" customFormat="false" ht="15.75" hidden="false" customHeight="true" outlineLevel="0" collapsed="false">
      <c r="A255" s="80" t="s">
        <v>2449</v>
      </c>
      <c r="B255" s="81"/>
      <c r="C255" s="81"/>
      <c r="D255" s="81"/>
      <c r="E255" s="83"/>
      <c r="F255" s="81"/>
      <c r="G255" s="83"/>
      <c r="H255" s="83"/>
      <c r="I255" s="84" t="str">
        <f aca="false">IF(E255="","",A255&amp;"_1.jpg")</f>
        <v/>
      </c>
      <c r="J255" s="84" t="str">
        <f aca="false">IF(E255="","",A255&amp;"_2.jpg; "&amp;A255&amp;"_3.jpg")</f>
        <v/>
      </c>
      <c r="K255" s="84" t="str">
        <f aca="false">IF(E255="","",A255&amp;"_schema.jpg")</f>
        <v/>
      </c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 t="s">
        <v>96</v>
      </c>
      <c r="W255" s="81"/>
      <c r="X255" s="81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6" t="str">
        <f aca="false">IF(SUM(Y255:AJ255)=0,"",SUM(Y255:AJ255))</f>
        <v/>
      </c>
      <c r="AL255" s="84" t="str">
        <f aca="false">MID(IF(N(Y255)&gt;0,", "&amp;Y$2,"")&amp;IF(N(Z255)&gt;0,", "&amp;Z$2,"")&amp;IF(N(AA255)&gt;0,", "&amp;AA$2,"")&amp;IF(N(AB255)&gt;0,", "&amp;AB$2,"")&amp;IF(N(AC255)&gt;0,", "&amp;AC$2,"")&amp;IF(N(AD255)&gt;0,", "&amp;AD$2,"")&amp;IF(N(AE255)&gt;0,", "&amp;AE$2,"")&amp;IF(N(AF255)&gt;0,", "&amp;AF$2,"")&amp;IF(N(AG255)&gt;0,", "&amp;AG$2,"")&amp;IF(N(AH255)&gt;0,", "&amp;AH$2,"")&amp;IF(N(AI255)&gt;0,", "&amp;AI$2,"")&amp;IF(N(AJ255)&gt;0,", "&amp;AJ$2,""),3,999)</f>
        <v/>
      </c>
      <c r="AM255" s="87" t="str">
        <f aca="false">IF(E255="","",MID(IF(N(Y255)&gt;0,", "&amp;A255&amp;"-"&amp;Y$2,"")&amp;IF(N(Z255)&gt;0,", "&amp;A255&amp;"-"&amp;Z$2,"")&amp;IF(N(AA255)&gt;0,", "&amp;A255&amp;"-"&amp;AA$2,"")&amp;IF(N(AB255)&gt;0,", "&amp;A255&amp;"-"&amp;AB$2,"")&amp;IF(N(AC255)&gt;0,", "&amp;A255&amp;"-"&amp;AC$2,"")&amp;IF(N(AD255)&gt;0,", "&amp;A255&amp;"-"&amp;AD$2,"")&amp;IF(N(AE255)&gt;0,", "&amp;A255&amp;"-"&amp;AE$2,"")&amp;IF(N(AF255)&gt;0,", "&amp;A255&amp;"-"&amp;AF$2,"")&amp;IF(N(AG255)&gt;0,", "&amp;A255&amp;"-"&amp;AG$2,"")&amp;IF(N(AH255)&gt;0,", "&amp;A255&amp;"-"&amp;AH$2,"")&amp;IF(N(AI255)&gt;0,", "&amp;A255&amp;"-"&amp;AI$2,"")&amp;IF(N(AJ255)&gt;0,", "&amp;A255&amp;"-"&amp;AJ$2,""),3,999))</f>
        <v/>
      </c>
      <c r="AN255" s="81"/>
      <c r="AO255" s="88"/>
      <c r="AP255" s="89" t="str">
        <f aca="false">IF(AO255="","",ROUND(AO255/(1+Справочники!$B$13),2))</f>
        <v/>
      </c>
      <c r="AQ255" s="90" t="str">
        <f aca="false" t="array" ref="AQ255:AQ255">IF(AP255="","",AP255*INDEX(Справочники!$B$4:$B$7,MATCH("RUB",Справочники!$A$4:$A$7,0)))</f>
        <v/>
      </c>
      <c r="AR255" s="90" t="str">
        <f aca="false">IF(AQ255="","",ROUND(AQ255*(1+Справочники!$B$12),0))</f>
        <v/>
      </c>
      <c r="AS255" s="90" t="str">
        <f aca="false">IF(AR255="","",ROUND(AR255*(1-Справочники!$B$11),0))</f>
        <v/>
      </c>
      <c r="AT255" s="88"/>
      <c r="AU255" s="90" t="str">
        <f aca="false">IF(AT255="","",ROUND(AT255/(1+Справочники!$B$12),0))</f>
        <v/>
      </c>
      <c r="AV255" s="90" t="str">
        <f aca="false">IF(AT255="","",ROUND(AT255*(1-Справочники!$B$15),0))</f>
        <v/>
      </c>
      <c r="AW255" s="90" t="str">
        <f aca="false">IF(AT255="","",ROUND(AT255*(1-Справочники!$B$16),0))</f>
        <v/>
      </c>
      <c r="AX255" s="90" t="str">
        <f aca="false">IF(AT255="","",ROUND(AT255*(1-Справочники!$B$17),0))</f>
        <v/>
      </c>
      <c r="AY255" s="90" t="str">
        <f aca="false">IF(AT255="","",ROUND(AT255*(1-Справочники!$B$18),0))</f>
        <v/>
      </c>
      <c r="AZ255" s="90" t="str">
        <f aca="false">IF(AT255="","",ROUND(AT255*(1-Справочники!$B$19),0))</f>
        <v/>
      </c>
      <c r="BA255" s="81"/>
      <c r="BB255" s="81"/>
      <c r="BC255" s="81"/>
      <c r="BD255" s="81"/>
      <c r="BE255" s="91"/>
      <c r="BF255" s="81" t="s">
        <v>103</v>
      </c>
      <c r="BG255" s="89" t="n">
        <f aca="false" t="array" ref="BG255:BG255">IF(BF255="","",IFERROR(INDEX(Справочники!$B$4:$B$7,MATCH(BF255,Справочники!$A$4:$A$7,0)),""))</f>
        <v>68.5</v>
      </c>
      <c r="BH255" s="90" t="str">
        <f aca="false">IF(N(BN255)&gt;0,ROUND(SUMIF(ЗАКАЗЫ!$F$3:$F$500,$A255,ЗАКАЗЫ!$Y$3:$Y$500)/BN255,0),IF(OR(BE255="",BG255=""),"",ROUND(BE255*BG255*(1+Справочники!$B$10),0)))</f>
        <v/>
      </c>
      <c r="BI255" s="92" t="str">
        <f aca="false">IF(OR(AU255="",BH255="",AU255=0),"",(AU255-BH255)/AU255)</f>
        <v/>
      </c>
      <c r="BJ255" s="81"/>
      <c r="BK255" s="83"/>
      <c r="BL255" s="43" t="str">
        <f aca="false">IFERROR(INDEX(ЗАКАЗЫ!$N$3:$N$500,MATCH($A255,ЗАКАЗЫ!$F$3:$F$500,0)),"")</f>
        <v/>
      </c>
      <c r="BM255" s="8" t="str">
        <f aca="false">IF(BL255="","",IFERROR(VLOOKUP(BL255,'ТН ВЭД'!$A$4:$C$40,3,0),""))</f>
        <v/>
      </c>
      <c r="BN255" s="7" t="str">
        <f aca="false">IF(COUNTIF(ЗАКАЗЫ!$F$3:$F$500,$A255)=0,"",SUMIF(ЗАКАЗЫ!$F$3:$F$500,$A255,ЗАКАЗЫ!$J$3:$J$500))</f>
        <v/>
      </c>
      <c r="BO255" s="7" t="str">
        <f aca="false">IF(BN255="","",SUMIF(ЗАКАЗЫ!$F$3:$F$500,$A255,ЗАКАЗЫ!$AL$3:$AL$500))</f>
        <v/>
      </c>
      <c r="BP255" s="7" t="str">
        <f aca="false">IF(BN255="","",BN255-BO255)</f>
        <v/>
      </c>
      <c r="BQ255" s="55" t="str">
        <f aca="false">IF(BN255="","",IF(BO255&gt;=BN255,"На складе",IF(BO255&gt;0,"Частично","Ждём")))</f>
        <v/>
      </c>
      <c r="BR255" s="43"/>
      <c r="BS255" s="47" t="str">
        <f aca="false">IF(BN255="","",IF(_xlfn.MAXIFS(ЗАКАЗЫ!$AK$3:$AK$500,ЗАКАЗЫ!$F$3:$F$500,$A255)=0,"",_xlfn.MAXIFS(ЗАКАЗЫ!$AK$3:$AK$500,ЗАКАЗЫ!$F$3:$F$500,$A255)))</f>
        <v/>
      </c>
    </row>
    <row r="256" customFormat="false" ht="15.75" hidden="false" customHeight="true" outlineLevel="0" collapsed="false">
      <c r="A256" s="80" t="s">
        <v>2450</v>
      </c>
      <c r="B256" s="81"/>
      <c r="C256" s="81"/>
      <c r="D256" s="81"/>
      <c r="E256" s="83"/>
      <c r="F256" s="81"/>
      <c r="G256" s="83"/>
      <c r="H256" s="83"/>
      <c r="I256" s="84" t="str">
        <f aca="false">IF(E256="","",A256&amp;"_1.jpg")</f>
        <v/>
      </c>
      <c r="J256" s="84" t="str">
        <f aca="false">IF(E256="","",A256&amp;"_2.jpg; "&amp;A256&amp;"_3.jpg")</f>
        <v/>
      </c>
      <c r="K256" s="84" t="str">
        <f aca="false">IF(E256="","",A256&amp;"_schema.jpg")</f>
        <v/>
      </c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 t="s">
        <v>96</v>
      </c>
      <c r="W256" s="81"/>
      <c r="X256" s="81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6" t="str">
        <f aca="false">IF(SUM(Y256:AJ256)=0,"",SUM(Y256:AJ256))</f>
        <v/>
      </c>
      <c r="AL256" s="84" t="str">
        <f aca="false">MID(IF(N(Y256)&gt;0,", "&amp;Y$2,"")&amp;IF(N(Z256)&gt;0,", "&amp;Z$2,"")&amp;IF(N(AA256)&gt;0,", "&amp;AA$2,"")&amp;IF(N(AB256)&gt;0,", "&amp;AB$2,"")&amp;IF(N(AC256)&gt;0,", "&amp;AC$2,"")&amp;IF(N(AD256)&gt;0,", "&amp;AD$2,"")&amp;IF(N(AE256)&gt;0,", "&amp;AE$2,"")&amp;IF(N(AF256)&gt;0,", "&amp;AF$2,"")&amp;IF(N(AG256)&gt;0,", "&amp;AG$2,"")&amp;IF(N(AH256)&gt;0,", "&amp;AH$2,"")&amp;IF(N(AI256)&gt;0,", "&amp;AI$2,"")&amp;IF(N(AJ256)&gt;0,", "&amp;AJ$2,""),3,999)</f>
        <v/>
      </c>
      <c r="AM256" s="87" t="str">
        <f aca="false">IF(E256="","",MID(IF(N(Y256)&gt;0,", "&amp;A256&amp;"-"&amp;Y$2,"")&amp;IF(N(Z256)&gt;0,", "&amp;A256&amp;"-"&amp;Z$2,"")&amp;IF(N(AA256)&gt;0,", "&amp;A256&amp;"-"&amp;AA$2,"")&amp;IF(N(AB256)&gt;0,", "&amp;A256&amp;"-"&amp;AB$2,"")&amp;IF(N(AC256)&gt;0,", "&amp;A256&amp;"-"&amp;AC$2,"")&amp;IF(N(AD256)&gt;0,", "&amp;A256&amp;"-"&amp;AD$2,"")&amp;IF(N(AE256)&gt;0,", "&amp;A256&amp;"-"&amp;AE$2,"")&amp;IF(N(AF256)&gt;0,", "&amp;A256&amp;"-"&amp;AF$2,"")&amp;IF(N(AG256)&gt;0,", "&amp;A256&amp;"-"&amp;AG$2,"")&amp;IF(N(AH256)&gt;0,", "&amp;A256&amp;"-"&amp;AH$2,"")&amp;IF(N(AI256)&gt;0,", "&amp;A256&amp;"-"&amp;AI$2,"")&amp;IF(N(AJ256)&gt;0,", "&amp;A256&amp;"-"&amp;AJ$2,""),3,999))</f>
        <v/>
      </c>
      <c r="AN256" s="81"/>
      <c r="AO256" s="88"/>
      <c r="AP256" s="89" t="str">
        <f aca="false">IF(AO256="","",ROUND(AO256/(1+Справочники!$B$13),2))</f>
        <v/>
      </c>
      <c r="AQ256" s="90" t="str">
        <f aca="false" t="array" ref="AQ256:AQ256">IF(AP256="","",AP256*INDEX(Справочники!$B$4:$B$7,MATCH("RUB",Справочники!$A$4:$A$7,0)))</f>
        <v/>
      </c>
      <c r="AR256" s="90" t="str">
        <f aca="false">IF(AQ256="","",ROUND(AQ256*(1+Справочники!$B$12),0))</f>
        <v/>
      </c>
      <c r="AS256" s="90" t="str">
        <f aca="false">IF(AR256="","",ROUND(AR256*(1-Справочники!$B$11),0))</f>
        <v/>
      </c>
      <c r="AT256" s="88"/>
      <c r="AU256" s="90" t="str">
        <f aca="false">IF(AT256="","",ROUND(AT256/(1+Справочники!$B$12),0))</f>
        <v/>
      </c>
      <c r="AV256" s="90" t="str">
        <f aca="false">IF(AT256="","",ROUND(AT256*(1-Справочники!$B$15),0))</f>
        <v/>
      </c>
      <c r="AW256" s="90" t="str">
        <f aca="false">IF(AT256="","",ROUND(AT256*(1-Справочники!$B$16),0))</f>
        <v/>
      </c>
      <c r="AX256" s="90" t="str">
        <f aca="false">IF(AT256="","",ROUND(AT256*(1-Справочники!$B$17),0))</f>
        <v/>
      </c>
      <c r="AY256" s="90" t="str">
        <f aca="false">IF(AT256="","",ROUND(AT256*(1-Справочники!$B$18),0))</f>
        <v/>
      </c>
      <c r="AZ256" s="90" t="str">
        <f aca="false">IF(AT256="","",ROUND(AT256*(1-Справочники!$B$19),0))</f>
        <v/>
      </c>
      <c r="BA256" s="81"/>
      <c r="BB256" s="81"/>
      <c r="BC256" s="81"/>
      <c r="BD256" s="81"/>
      <c r="BE256" s="91"/>
      <c r="BF256" s="81" t="s">
        <v>103</v>
      </c>
      <c r="BG256" s="89" t="n">
        <f aca="false" t="array" ref="BG256:BG256">IF(BF256="","",IFERROR(INDEX(Справочники!$B$4:$B$7,MATCH(BF256,Справочники!$A$4:$A$7,0)),""))</f>
        <v>68.5</v>
      </c>
      <c r="BH256" s="90" t="str">
        <f aca="false">IF(N(BN256)&gt;0,ROUND(SUMIF(ЗАКАЗЫ!$F$3:$F$500,$A256,ЗАКАЗЫ!$Y$3:$Y$500)/BN256,0),IF(OR(BE256="",BG256=""),"",ROUND(BE256*BG256*(1+Справочники!$B$10),0)))</f>
        <v/>
      </c>
      <c r="BI256" s="92" t="str">
        <f aca="false">IF(OR(AU256="",BH256="",AU256=0),"",(AU256-BH256)/AU256)</f>
        <v/>
      </c>
      <c r="BJ256" s="81"/>
      <c r="BK256" s="83"/>
      <c r="BL256" s="43" t="str">
        <f aca="false">IFERROR(INDEX(ЗАКАЗЫ!$N$3:$N$500,MATCH($A256,ЗАКАЗЫ!$F$3:$F$500,0)),"")</f>
        <v/>
      </c>
      <c r="BM256" s="8" t="str">
        <f aca="false">IF(BL256="","",IFERROR(VLOOKUP(BL256,'ТН ВЭД'!$A$4:$C$40,3,0),""))</f>
        <v/>
      </c>
      <c r="BN256" s="7" t="str">
        <f aca="false">IF(COUNTIF(ЗАКАЗЫ!$F$3:$F$500,$A256)=0,"",SUMIF(ЗАКАЗЫ!$F$3:$F$500,$A256,ЗАКАЗЫ!$J$3:$J$500))</f>
        <v/>
      </c>
      <c r="BO256" s="7" t="str">
        <f aca="false">IF(BN256="","",SUMIF(ЗАКАЗЫ!$F$3:$F$500,$A256,ЗАКАЗЫ!$AL$3:$AL$500))</f>
        <v/>
      </c>
      <c r="BP256" s="7" t="str">
        <f aca="false">IF(BN256="","",BN256-BO256)</f>
        <v/>
      </c>
      <c r="BQ256" s="55" t="str">
        <f aca="false">IF(BN256="","",IF(BO256&gt;=BN256,"На складе",IF(BO256&gt;0,"Частично","Ждём")))</f>
        <v/>
      </c>
      <c r="BR256" s="43"/>
      <c r="BS256" s="47" t="str">
        <f aca="false">IF(BN256="","",IF(_xlfn.MAXIFS(ЗАКАЗЫ!$AK$3:$AK$500,ЗАКАЗЫ!$F$3:$F$500,$A256)=0,"",_xlfn.MAXIFS(ЗАКАЗЫ!$AK$3:$AK$500,ЗАКАЗЫ!$F$3:$F$500,$A256)))</f>
        <v/>
      </c>
    </row>
    <row r="257" customFormat="false" ht="15.75" hidden="false" customHeight="true" outlineLevel="0" collapsed="false">
      <c r="A257" s="80" t="s">
        <v>2451</v>
      </c>
      <c r="B257" s="81"/>
      <c r="C257" s="81"/>
      <c r="D257" s="81"/>
      <c r="E257" s="83"/>
      <c r="F257" s="81"/>
      <c r="G257" s="83"/>
      <c r="H257" s="83"/>
      <c r="I257" s="84" t="str">
        <f aca="false">IF(E257="","",A257&amp;"_1.jpg")</f>
        <v/>
      </c>
      <c r="J257" s="84" t="str">
        <f aca="false">IF(E257="","",A257&amp;"_2.jpg; "&amp;A257&amp;"_3.jpg")</f>
        <v/>
      </c>
      <c r="K257" s="84" t="str">
        <f aca="false">IF(E257="","",A257&amp;"_schema.jpg")</f>
        <v/>
      </c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 t="s">
        <v>96</v>
      </c>
      <c r="W257" s="81"/>
      <c r="X257" s="81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6" t="str">
        <f aca="false">IF(SUM(Y257:AJ257)=0,"",SUM(Y257:AJ257))</f>
        <v/>
      </c>
      <c r="AL257" s="84" t="str">
        <f aca="false">MID(IF(N(Y257)&gt;0,", "&amp;Y$2,"")&amp;IF(N(Z257)&gt;0,", "&amp;Z$2,"")&amp;IF(N(AA257)&gt;0,", "&amp;AA$2,"")&amp;IF(N(AB257)&gt;0,", "&amp;AB$2,"")&amp;IF(N(AC257)&gt;0,", "&amp;AC$2,"")&amp;IF(N(AD257)&gt;0,", "&amp;AD$2,"")&amp;IF(N(AE257)&gt;0,", "&amp;AE$2,"")&amp;IF(N(AF257)&gt;0,", "&amp;AF$2,"")&amp;IF(N(AG257)&gt;0,", "&amp;AG$2,"")&amp;IF(N(AH257)&gt;0,", "&amp;AH$2,"")&amp;IF(N(AI257)&gt;0,", "&amp;AI$2,"")&amp;IF(N(AJ257)&gt;0,", "&amp;AJ$2,""),3,999)</f>
        <v/>
      </c>
      <c r="AM257" s="87" t="str">
        <f aca="false">IF(E257="","",MID(IF(N(Y257)&gt;0,", "&amp;A257&amp;"-"&amp;Y$2,"")&amp;IF(N(Z257)&gt;0,", "&amp;A257&amp;"-"&amp;Z$2,"")&amp;IF(N(AA257)&gt;0,", "&amp;A257&amp;"-"&amp;AA$2,"")&amp;IF(N(AB257)&gt;0,", "&amp;A257&amp;"-"&amp;AB$2,"")&amp;IF(N(AC257)&gt;0,", "&amp;A257&amp;"-"&amp;AC$2,"")&amp;IF(N(AD257)&gt;0,", "&amp;A257&amp;"-"&amp;AD$2,"")&amp;IF(N(AE257)&gt;0,", "&amp;A257&amp;"-"&amp;AE$2,"")&amp;IF(N(AF257)&gt;0,", "&amp;A257&amp;"-"&amp;AF$2,"")&amp;IF(N(AG257)&gt;0,", "&amp;A257&amp;"-"&amp;AG$2,"")&amp;IF(N(AH257)&gt;0,", "&amp;A257&amp;"-"&amp;AH$2,"")&amp;IF(N(AI257)&gt;0,", "&amp;A257&amp;"-"&amp;AI$2,"")&amp;IF(N(AJ257)&gt;0,", "&amp;A257&amp;"-"&amp;AJ$2,""),3,999))</f>
        <v/>
      </c>
      <c r="AN257" s="81"/>
      <c r="AO257" s="88"/>
      <c r="AP257" s="89" t="str">
        <f aca="false">IF(AO257="","",ROUND(AO257/(1+Справочники!$B$13),2))</f>
        <v/>
      </c>
      <c r="AQ257" s="90" t="str">
        <f aca="false" t="array" ref="AQ257:AQ257">IF(AP257="","",AP257*INDEX(Справочники!$B$4:$B$7,MATCH("RUB",Справочники!$A$4:$A$7,0)))</f>
        <v/>
      </c>
      <c r="AR257" s="90" t="str">
        <f aca="false">IF(AQ257="","",ROUND(AQ257*(1+Справочники!$B$12),0))</f>
        <v/>
      </c>
      <c r="AS257" s="90" t="str">
        <f aca="false">IF(AR257="","",ROUND(AR257*(1-Справочники!$B$11),0))</f>
        <v/>
      </c>
      <c r="AT257" s="88"/>
      <c r="AU257" s="90" t="str">
        <f aca="false">IF(AT257="","",ROUND(AT257/(1+Справочники!$B$12),0))</f>
        <v/>
      </c>
      <c r="AV257" s="90" t="str">
        <f aca="false">IF(AT257="","",ROUND(AT257*(1-Справочники!$B$15),0))</f>
        <v/>
      </c>
      <c r="AW257" s="90" t="str">
        <f aca="false">IF(AT257="","",ROUND(AT257*(1-Справочники!$B$16),0))</f>
        <v/>
      </c>
      <c r="AX257" s="90" t="str">
        <f aca="false">IF(AT257="","",ROUND(AT257*(1-Справочники!$B$17),0))</f>
        <v/>
      </c>
      <c r="AY257" s="90" t="str">
        <f aca="false">IF(AT257="","",ROUND(AT257*(1-Справочники!$B$18),0))</f>
        <v/>
      </c>
      <c r="AZ257" s="90" t="str">
        <f aca="false">IF(AT257="","",ROUND(AT257*(1-Справочники!$B$19),0))</f>
        <v/>
      </c>
      <c r="BA257" s="81"/>
      <c r="BB257" s="81"/>
      <c r="BC257" s="81"/>
      <c r="BD257" s="81"/>
      <c r="BE257" s="91"/>
      <c r="BF257" s="81" t="s">
        <v>103</v>
      </c>
      <c r="BG257" s="89" t="n">
        <f aca="false" t="array" ref="BG257:BG257">IF(BF257="","",IFERROR(INDEX(Справочники!$B$4:$B$7,MATCH(BF257,Справочники!$A$4:$A$7,0)),""))</f>
        <v>68.5</v>
      </c>
      <c r="BH257" s="90" t="str">
        <f aca="false">IF(N(BN257)&gt;0,ROUND(SUMIF(ЗАКАЗЫ!$F$3:$F$500,$A257,ЗАКАЗЫ!$Y$3:$Y$500)/BN257,0),IF(OR(BE257="",BG257=""),"",ROUND(BE257*BG257*(1+Справочники!$B$10),0)))</f>
        <v/>
      </c>
      <c r="BI257" s="92" t="str">
        <f aca="false">IF(OR(AU257="",BH257="",AU257=0),"",(AU257-BH257)/AU257)</f>
        <v/>
      </c>
      <c r="BJ257" s="81"/>
      <c r="BK257" s="83"/>
      <c r="BL257" s="43" t="str">
        <f aca="false">IFERROR(INDEX(ЗАКАЗЫ!$N$3:$N$500,MATCH($A257,ЗАКАЗЫ!$F$3:$F$500,0)),"")</f>
        <v/>
      </c>
      <c r="BM257" s="8" t="str">
        <f aca="false">IF(BL257="","",IFERROR(VLOOKUP(BL257,'ТН ВЭД'!$A$4:$C$40,3,0),""))</f>
        <v/>
      </c>
      <c r="BN257" s="7" t="str">
        <f aca="false">IF(COUNTIF(ЗАКАЗЫ!$F$3:$F$500,$A257)=0,"",SUMIF(ЗАКАЗЫ!$F$3:$F$500,$A257,ЗАКАЗЫ!$J$3:$J$500))</f>
        <v/>
      </c>
      <c r="BO257" s="7" t="str">
        <f aca="false">IF(BN257="","",SUMIF(ЗАКАЗЫ!$F$3:$F$500,$A257,ЗАКАЗЫ!$AL$3:$AL$500))</f>
        <v/>
      </c>
      <c r="BP257" s="7" t="str">
        <f aca="false">IF(BN257="","",BN257-BO257)</f>
        <v/>
      </c>
      <c r="BQ257" s="55" t="str">
        <f aca="false">IF(BN257="","",IF(BO257&gt;=BN257,"На складе",IF(BO257&gt;0,"Частично","Ждём")))</f>
        <v/>
      </c>
      <c r="BR257" s="43"/>
      <c r="BS257" s="47" t="str">
        <f aca="false">IF(BN257="","",IF(_xlfn.MAXIFS(ЗАКАЗЫ!$AK$3:$AK$500,ЗАКАЗЫ!$F$3:$F$500,$A257)=0,"",_xlfn.MAXIFS(ЗАКАЗЫ!$AK$3:$AK$500,ЗАКАЗЫ!$F$3:$F$500,$A257)))</f>
        <v/>
      </c>
    </row>
    <row r="258" customFormat="false" ht="15.75" hidden="false" customHeight="true" outlineLevel="0" collapsed="false">
      <c r="A258" s="80" t="s">
        <v>2452</v>
      </c>
      <c r="B258" s="81"/>
      <c r="C258" s="81"/>
      <c r="D258" s="81"/>
      <c r="E258" s="83"/>
      <c r="F258" s="81"/>
      <c r="G258" s="83"/>
      <c r="H258" s="83"/>
      <c r="I258" s="84" t="str">
        <f aca="false">IF(E258="","",A258&amp;"_1.jpg")</f>
        <v/>
      </c>
      <c r="J258" s="84" t="str">
        <f aca="false">IF(E258="","",A258&amp;"_2.jpg; "&amp;A258&amp;"_3.jpg")</f>
        <v/>
      </c>
      <c r="K258" s="84" t="str">
        <f aca="false">IF(E258="","",A258&amp;"_schema.jpg")</f>
        <v/>
      </c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 t="s">
        <v>96</v>
      </c>
      <c r="W258" s="81"/>
      <c r="X258" s="81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6" t="str">
        <f aca="false">IF(SUM(Y258:AJ258)=0,"",SUM(Y258:AJ258))</f>
        <v/>
      </c>
      <c r="AL258" s="84" t="str">
        <f aca="false">MID(IF(N(Y258)&gt;0,", "&amp;Y$2,"")&amp;IF(N(Z258)&gt;0,", "&amp;Z$2,"")&amp;IF(N(AA258)&gt;0,", "&amp;AA$2,"")&amp;IF(N(AB258)&gt;0,", "&amp;AB$2,"")&amp;IF(N(AC258)&gt;0,", "&amp;AC$2,"")&amp;IF(N(AD258)&gt;0,", "&amp;AD$2,"")&amp;IF(N(AE258)&gt;0,", "&amp;AE$2,"")&amp;IF(N(AF258)&gt;0,", "&amp;AF$2,"")&amp;IF(N(AG258)&gt;0,", "&amp;AG$2,"")&amp;IF(N(AH258)&gt;0,", "&amp;AH$2,"")&amp;IF(N(AI258)&gt;0,", "&amp;AI$2,"")&amp;IF(N(AJ258)&gt;0,", "&amp;AJ$2,""),3,999)</f>
        <v/>
      </c>
      <c r="AM258" s="87" t="str">
        <f aca="false">IF(E258="","",MID(IF(N(Y258)&gt;0,", "&amp;A258&amp;"-"&amp;Y$2,"")&amp;IF(N(Z258)&gt;0,", "&amp;A258&amp;"-"&amp;Z$2,"")&amp;IF(N(AA258)&gt;0,", "&amp;A258&amp;"-"&amp;AA$2,"")&amp;IF(N(AB258)&gt;0,", "&amp;A258&amp;"-"&amp;AB$2,"")&amp;IF(N(AC258)&gt;0,", "&amp;A258&amp;"-"&amp;AC$2,"")&amp;IF(N(AD258)&gt;0,", "&amp;A258&amp;"-"&amp;AD$2,"")&amp;IF(N(AE258)&gt;0,", "&amp;A258&amp;"-"&amp;AE$2,"")&amp;IF(N(AF258)&gt;0,", "&amp;A258&amp;"-"&amp;AF$2,"")&amp;IF(N(AG258)&gt;0,", "&amp;A258&amp;"-"&amp;AG$2,"")&amp;IF(N(AH258)&gt;0,", "&amp;A258&amp;"-"&amp;AH$2,"")&amp;IF(N(AI258)&gt;0,", "&amp;A258&amp;"-"&amp;AI$2,"")&amp;IF(N(AJ258)&gt;0,", "&amp;A258&amp;"-"&amp;AJ$2,""),3,999))</f>
        <v/>
      </c>
      <c r="AN258" s="81"/>
      <c r="AO258" s="88"/>
      <c r="AP258" s="89" t="str">
        <f aca="false">IF(AO258="","",ROUND(AO258/(1+Справочники!$B$13),2))</f>
        <v/>
      </c>
      <c r="AQ258" s="90" t="str">
        <f aca="false" t="array" ref="AQ258:AQ258">IF(AP258="","",AP258*INDEX(Справочники!$B$4:$B$7,MATCH("RUB",Справочники!$A$4:$A$7,0)))</f>
        <v/>
      </c>
      <c r="AR258" s="90" t="str">
        <f aca="false">IF(AQ258="","",ROUND(AQ258*(1+Справочники!$B$12),0))</f>
        <v/>
      </c>
      <c r="AS258" s="90" t="str">
        <f aca="false">IF(AR258="","",ROUND(AR258*(1-Справочники!$B$11),0))</f>
        <v/>
      </c>
      <c r="AT258" s="88"/>
      <c r="AU258" s="90" t="str">
        <f aca="false">IF(AT258="","",ROUND(AT258/(1+Справочники!$B$12),0))</f>
        <v/>
      </c>
      <c r="AV258" s="90" t="str">
        <f aca="false">IF(AT258="","",ROUND(AT258*(1-Справочники!$B$15),0))</f>
        <v/>
      </c>
      <c r="AW258" s="90" t="str">
        <f aca="false">IF(AT258="","",ROUND(AT258*(1-Справочники!$B$16),0))</f>
        <v/>
      </c>
      <c r="AX258" s="90" t="str">
        <f aca="false">IF(AT258="","",ROUND(AT258*(1-Справочники!$B$17),0))</f>
        <v/>
      </c>
      <c r="AY258" s="90" t="str">
        <f aca="false">IF(AT258="","",ROUND(AT258*(1-Справочники!$B$18),0))</f>
        <v/>
      </c>
      <c r="AZ258" s="90" t="str">
        <f aca="false">IF(AT258="","",ROUND(AT258*(1-Справочники!$B$19),0))</f>
        <v/>
      </c>
      <c r="BA258" s="81"/>
      <c r="BB258" s="81"/>
      <c r="BC258" s="81"/>
      <c r="BD258" s="81"/>
      <c r="BE258" s="91"/>
      <c r="BF258" s="81" t="s">
        <v>103</v>
      </c>
      <c r="BG258" s="89" t="n">
        <f aca="false" t="array" ref="BG258:BG258">IF(BF258="","",IFERROR(INDEX(Справочники!$B$4:$B$7,MATCH(BF258,Справочники!$A$4:$A$7,0)),""))</f>
        <v>68.5</v>
      </c>
      <c r="BH258" s="90" t="str">
        <f aca="false">IF(N(BN258)&gt;0,ROUND(SUMIF(ЗАКАЗЫ!$F$3:$F$500,$A258,ЗАКАЗЫ!$Y$3:$Y$500)/BN258,0),IF(OR(BE258="",BG258=""),"",ROUND(BE258*BG258*(1+Справочники!$B$10),0)))</f>
        <v/>
      </c>
      <c r="BI258" s="92" t="str">
        <f aca="false">IF(OR(AU258="",BH258="",AU258=0),"",(AU258-BH258)/AU258)</f>
        <v/>
      </c>
      <c r="BJ258" s="81"/>
      <c r="BK258" s="83"/>
      <c r="BL258" s="43" t="str">
        <f aca="false">IFERROR(INDEX(ЗАКАЗЫ!$N$3:$N$500,MATCH($A258,ЗАКАЗЫ!$F$3:$F$500,0)),"")</f>
        <v/>
      </c>
      <c r="BM258" s="8" t="str">
        <f aca="false">IF(BL258="","",IFERROR(VLOOKUP(BL258,'ТН ВЭД'!$A$4:$C$40,3,0),""))</f>
        <v/>
      </c>
      <c r="BN258" s="7" t="str">
        <f aca="false">IF(COUNTIF(ЗАКАЗЫ!$F$3:$F$500,$A258)=0,"",SUMIF(ЗАКАЗЫ!$F$3:$F$500,$A258,ЗАКАЗЫ!$J$3:$J$500))</f>
        <v/>
      </c>
      <c r="BO258" s="7" t="str">
        <f aca="false">IF(BN258="","",SUMIF(ЗАКАЗЫ!$F$3:$F$500,$A258,ЗАКАЗЫ!$AL$3:$AL$500))</f>
        <v/>
      </c>
      <c r="BP258" s="7" t="str">
        <f aca="false">IF(BN258="","",BN258-BO258)</f>
        <v/>
      </c>
      <c r="BQ258" s="55" t="str">
        <f aca="false">IF(BN258="","",IF(BO258&gt;=BN258,"На складе",IF(BO258&gt;0,"Частично","Ждём")))</f>
        <v/>
      </c>
      <c r="BR258" s="43"/>
      <c r="BS258" s="47" t="str">
        <f aca="false">IF(BN258="","",IF(_xlfn.MAXIFS(ЗАКАЗЫ!$AK$3:$AK$500,ЗАКАЗЫ!$F$3:$F$500,$A258)=0,"",_xlfn.MAXIFS(ЗАКАЗЫ!$AK$3:$AK$500,ЗАКАЗЫ!$F$3:$F$500,$A258)))</f>
        <v/>
      </c>
    </row>
    <row r="259" customFormat="false" ht="15.75" hidden="false" customHeight="true" outlineLevel="0" collapsed="false">
      <c r="A259" s="80" t="s">
        <v>2453</v>
      </c>
      <c r="B259" s="81"/>
      <c r="C259" s="81"/>
      <c r="D259" s="81"/>
      <c r="E259" s="83"/>
      <c r="F259" s="81"/>
      <c r="G259" s="83"/>
      <c r="H259" s="83"/>
      <c r="I259" s="84" t="str">
        <f aca="false">IF(E259="","",A259&amp;"_1.jpg")</f>
        <v/>
      </c>
      <c r="J259" s="84" t="str">
        <f aca="false">IF(E259="","",A259&amp;"_2.jpg; "&amp;A259&amp;"_3.jpg")</f>
        <v/>
      </c>
      <c r="K259" s="84" t="str">
        <f aca="false">IF(E259="","",A259&amp;"_schema.jpg")</f>
        <v/>
      </c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 t="s">
        <v>96</v>
      </c>
      <c r="W259" s="81"/>
      <c r="X259" s="81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6" t="str">
        <f aca="false">IF(SUM(Y259:AJ259)=0,"",SUM(Y259:AJ259))</f>
        <v/>
      </c>
      <c r="AL259" s="84" t="str">
        <f aca="false">MID(IF(N(Y259)&gt;0,", "&amp;Y$2,"")&amp;IF(N(Z259)&gt;0,", "&amp;Z$2,"")&amp;IF(N(AA259)&gt;0,", "&amp;AA$2,"")&amp;IF(N(AB259)&gt;0,", "&amp;AB$2,"")&amp;IF(N(AC259)&gt;0,", "&amp;AC$2,"")&amp;IF(N(AD259)&gt;0,", "&amp;AD$2,"")&amp;IF(N(AE259)&gt;0,", "&amp;AE$2,"")&amp;IF(N(AF259)&gt;0,", "&amp;AF$2,"")&amp;IF(N(AG259)&gt;0,", "&amp;AG$2,"")&amp;IF(N(AH259)&gt;0,", "&amp;AH$2,"")&amp;IF(N(AI259)&gt;0,", "&amp;AI$2,"")&amp;IF(N(AJ259)&gt;0,", "&amp;AJ$2,""),3,999)</f>
        <v/>
      </c>
      <c r="AM259" s="87" t="str">
        <f aca="false">IF(E259="","",MID(IF(N(Y259)&gt;0,", "&amp;A259&amp;"-"&amp;Y$2,"")&amp;IF(N(Z259)&gt;0,", "&amp;A259&amp;"-"&amp;Z$2,"")&amp;IF(N(AA259)&gt;0,", "&amp;A259&amp;"-"&amp;AA$2,"")&amp;IF(N(AB259)&gt;0,", "&amp;A259&amp;"-"&amp;AB$2,"")&amp;IF(N(AC259)&gt;0,", "&amp;A259&amp;"-"&amp;AC$2,"")&amp;IF(N(AD259)&gt;0,", "&amp;A259&amp;"-"&amp;AD$2,"")&amp;IF(N(AE259)&gt;0,", "&amp;A259&amp;"-"&amp;AE$2,"")&amp;IF(N(AF259)&gt;0,", "&amp;A259&amp;"-"&amp;AF$2,"")&amp;IF(N(AG259)&gt;0,", "&amp;A259&amp;"-"&amp;AG$2,"")&amp;IF(N(AH259)&gt;0,", "&amp;A259&amp;"-"&amp;AH$2,"")&amp;IF(N(AI259)&gt;0,", "&amp;A259&amp;"-"&amp;AI$2,"")&amp;IF(N(AJ259)&gt;0,", "&amp;A259&amp;"-"&amp;AJ$2,""),3,999))</f>
        <v/>
      </c>
      <c r="AN259" s="81"/>
      <c r="AO259" s="88"/>
      <c r="AP259" s="89" t="str">
        <f aca="false">IF(AO259="","",ROUND(AO259/(1+Справочники!$B$13),2))</f>
        <v/>
      </c>
      <c r="AQ259" s="90" t="str">
        <f aca="false" t="array" ref="AQ259:AQ259">IF(AP259="","",AP259*INDEX(Справочники!$B$4:$B$7,MATCH("RUB",Справочники!$A$4:$A$7,0)))</f>
        <v/>
      </c>
      <c r="AR259" s="90" t="str">
        <f aca="false">IF(AQ259="","",ROUND(AQ259*(1+Справочники!$B$12),0))</f>
        <v/>
      </c>
      <c r="AS259" s="90" t="str">
        <f aca="false">IF(AR259="","",ROUND(AR259*(1-Справочники!$B$11),0))</f>
        <v/>
      </c>
      <c r="AT259" s="88"/>
      <c r="AU259" s="90" t="str">
        <f aca="false">IF(AT259="","",ROUND(AT259/(1+Справочники!$B$12),0))</f>
        <v/>
      </c>
      <c r="AV259" s="90" t="str">
        <f aca="false">IF(AT259="","",ROUND(AT259*(1-Справочники!$B$15),0))</f>
        <v/>
      </c>
      <c r="AW259" s="90" t="str">
        <f aca="false">IF(AT259="","",ROUND(AT259*(1-Справочники!$B$16),0))</f>
        <v/>
      </c>
      <c r="AX259" s="90" t="str">
        <f aca="false">IF(AT259="","",ROUND(AT259*(1-Справочники!$B$17),0))</f>
        <v/>
      </c>
      <c r="AY259" s="90" t="str">
        <f aca="false">IF(AT259="","",ROUND(AT259*(1-Справочники!$B$18),0))</f>
        <v/>
      </c>
      <c r="AZ259" s="90" t="str">
        <f aca="false">IF(AT259="","",ROUND(AT259*(1-Справочники!$B$19),0))</f>
        <v/>
      </c>
      <c r="BA259" s="81"/>
      <c r="BB259" s="81"/>
      <c r="BC259" s="81"/>
      <c r="BD259" s="81"/>
      <c r="BE259" s="91"/>
      <c r="BF259" s="81" t="s">
        <v>103</v>
      </c>
      <c r="BG259" s="89" t="n">
        <f aca="false" t="array" ref="BG259:BG259">IF(BF259="","",IFERROR(INDEX(Справочники!$B$4:$B$7,MATCH(BF259,Справочники!$A$4:$A$7,0)),""))</f>
        <v>68.5</v>
      </c>
      <c r="BH259" s="90" t="str">
        <f aca="false">IF(N(BN259)&gt;0,ROUND(SUMIF(ЗАКАЗЫ!$F$3:$F$500,$A259,ЗАКАЗЫ!$Y$3:$Y$500)/BN259,0),IF(OR(BE259="",BG259=""),"",ROUND(BE259*BG259*(1+Справочники!$B$10),0)))</f>
        <v/>
      </c>
      <c r="BI259" s="92" t="str">
        <f aca="false">IF(OR(AU259="",BH259="",AU259=0),"",(AU259-BH259)/AU259)</f>
        <v/>
      </c>
      <c r="BJ259" s="81"/>
      <c r="BK259" s="83"/>
      <c r="BL259" s="43" t="str">
        <f aca="false">IFERROR(INDEX(ЗАКАЗЫ!$N$3:$N$500,MATCH($A259,ЗАКАЗЫ!$F$3:$F$500,0)),"")</f>
        <v/>
      </c>
      <c r="BM259" s="8" t="str">
        <f aca="false">IF(BL259="","",IFERROR(VLOOKUP(BL259,'ТН ВЭД'!$A$4:$C$40,3,0),""))</f>
        <v/>
      </c>
      <c r="BN259" s="7" t="str">
        <f aca="false">IF(COUNTIF(ЗАКАЗЫ!$F$3:$F$500,$A259)=0,"",SUMIF(ЗАКАЗЫ!$F$3:$F$500,$A259,ЗАКАЗЫ!$J$3:$J$500))</f>
        <v/>
      </c>
      <c r="BO259" s="7" t="str">
        <f aca="false">IF(BN259="","",SUMIF(ЗАКАЗЫ!$F$3:$F$500,$A259,ЗАКАЗЫ!$AL$3:$AL$500))</f>
        <v/>
      </c>
      <c r="BP259" s="7" t="str">
        <f aca="false">IF(BN259="","",BN259-BO259)</f>
        <v/>
      </c>
      <c r="BQ259" s="55" t="str">
        <f aca="false">IF(BN259="","",IF(BO259&gt;=BN259,"На складе",IF(BO259&gt;0,"Частично","Ждём")))</f>
        <v/>
      </c>
      <c r="BR259" s="43"/>
      <c r="BS259" s="47" t="str">
        <f aca="false">IF(BN259="","",IF(_xlfn.MAXIFS(ЗАКАЗЫ!$AK$3:$AK$500,ЗАКАЗЫ!$F$3:$F$500,$A259)=0,"",_xlfn.MAXIFS(ЗАКАЗЫ!$AK$3:$AK$500,ЗАКАЗЫ!$F$3:$F$500,$A259)))</f>
        <v/>
      </c>
    </row>
    <row r="260" customFormat="false" ht="15.75" hidden="false" customHeight="true" outlineLevel="0" collapsed="false">
      <c r="A260" s="80" t="s">
        <v>2454</v>
      </c>
      <c r="B260" s="81"/>
      <c r="C260" s="81"/>
      <c r="D260" s="81"/>
      <c r="E260" s="83"/>
      <c r="F260" s="81"/>
      <c r="G260" s="83"/>
      <c r="H260" s="83"/>
      <c r="I260" s="84" t="str">
        <f aca="false">IF(E260="","",A260&amp;"_1.jpg")</f>
        <v/>
      </c>
      <c r="J260" s="84" t="str">
        <f aca="false">IF(E260="","",A260&amp;"_2.jpg; "&amp;A260&amp;"_3.jpg")</f>
        <v/>
      </c>
      <c r="K260" s="84" t="str">
        <f aca="false">IF(E260="","",A260&amp;"_schema.jpg")</f>
        <v/>
      </c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 t="s">
        <v>96</v>
      </c>
      <c r="W260" s="81"/>
      <c r="X260" s="81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6" t="str">
        <f aca="false">IF(SUM(Y260:AJ260)=0,"",SUM(Y260:AJ260))</f>
        <v/>
      </c>
      <c r="AL260" s="84" t="str">
        <f aca="false">MID(IF(N(Y260)&gt;0,", "&amp;Y$2,"")&amp;IF(N(Z260)&gt;0,", "&amp;Z$2,"")&amp;IF(N(AA260)&gt;0,", "&amp;AA$2,"")&amp;IF(N(AB260)&gt;0,", "&amp;AB$2,"")&amp;IF(N(AC260)&gt;0,", "&amp;AC$2,"")&amp;IF(N(AD260)&gt;0,", "&amp;AD$2,"")&amp;IF(N(AE260)&gt;0,", "&amp;AE$2,"")&amp;IF(N(AF260)&gt;0,", "&amp;AF$2,"")&amp;IF(N(AG260)&gt;0,", "&amp;AG$2,"")&amp;IF(N(AH260)&gt;0,", "&amp;AH$2,"")&amp;IF(N(AI260)&gt;0,", "&amp;AI$2,"")&amp;IF(N(AJ260)&gt;0,", "&amp;AJ$2,""),3,999)</f>
        <v/>
      </c>
      <c r="AM260" s="87" t="str">
        <f aca="false">IF(E260="","",MID(IF(N(Y260)&gt;0,", "&amp;A260&amp;"-"&amp;Y$2,"")&amp;IF(N(Z260)&gt;0,", "&amp;A260&amp;"-"&amp;Z$2,"")&amp;IF(N(AA260)&gt;0,", "&amp;A260&amp;"-"&amp;AA$2,"")&amp;IF(N(AB260)&gt;0,", "&amp;A260&amp;"-"&amp;AB$2,"")&amp;IF(N(AC260)&gt;0,", "&amp;A260&amp;"-"&amp;AC$2,"")&amp;IF(N(AD260)&gt;0,", "&amp;A260&amp;"-"&amp;AD$2,"")&amp;IF(N(AE260)&gt;0,", "&amp;A260&amp;"-"&amp;AE$2,"")&amp;IF(N(AF260)&gt;0,", "&amp;A260&amp;"-"&amp;AF$2,"")&amp;IF(N(AG260)&gt;0,", "&amp;A260&amp;"-"&amp;AG$2,"")&amp;IF(N(AH260)&gt;0,", "&amp;A260&amp;"-"&amp;AH$2,"")&amp;IF(N(AI260)&gt;0,", "&amp;A260&amp;"-"&amp;AI$2,"")&amp;IF(N(AJ260)&gt;0,", "&amp;A260&amp;"-"&amp;AJ$2,""),3,999))</f>
        <v/>
      </c>
      <c r="AN260" s="81"/>
      <c r="AO260" s="88"/>
      <c r="AP260" s="89" t="str">
        <f aca="false">IF(AO260="","",ROUND(AO260/(1+Справочники!$B$13),2))</f>
        <v/>
      </c>
      <c r="AQ260" s="90" t="str">
        <f aca="false" t="array" ref="AQ260:AQ260">IF(AP260="","",AP260*INDEX(Справочники!$B$4:$B$7,MATCH("RUB",Справочники!$A$4:$A$7,0)))</f>
        <v/>
      </c>
      <c r="AR260" s="90" t="str">
        <f aca="false">IF(AQ260="","",ROUND(AQ260*(1+Справочники!$B$12),0))</f>
        <v/>
      </c>
      <c r="AS260" s="90" t="str">
        <f aca="false">IF(AR260="","",ROUND(AR260*(1-Справочники!$B$11),0))</f>
        <v/>
      </c>
      <c r="AT260" s="88"/>
      <c r="AU260" s="90" t="str">
        <f aca="false">IF(AT260="","",ROUND(AT260/(1+Справочники!$B$12),0))</f>
        <v/>
      </c>
      <c r="AV260" s="90" t="str">
        <f aca="false">IF(AT260="","",ROUND(AT260*(1-Справочники!$B$15),0))</f>
        <v/>
      </c>
      <c r="AW260" s="90" t="str">
        <f aca="false">IF(AT260="","",ROUND(AT260*(1-Справочники!$B$16),0))</f>
        <v/>
      </c>
      <c r="AX260" s="90" t="str">
        <f aca="false">IF(AT260="","",ROUND(AT260*(1-Справочники!$B$17),0))</f>
        <v/>
      </c>
      <c r="AY260" s="90" t="str">
        <f aca="false">IF(AT260="","",ROUND(AT260*(1-Справочники!$B$18),0))</f>
        <v/>
      </c>
      <c r="AZ260" s="90" t="str">
        <f aca="false">IF(AT260="","",ROUND(AT260*(1-Справочники!$B$19),0))</f>
        <v/>
      </c>
      <c r="BA260" s="81"/>
      <c r="BB260" s="81"/>
      <c r="BC260" s="81"/>
      <c r="BD260" s="81"/>
      <c r="BE260" s="91"/>
      <c r="BF260" s="81" t="s">
        <v>103</v>
      </c>
      <c r="BG260" s="89" t="n">
        <f aca="false" t="array" ref="BG260:BG260">IF(BF260="","",IFERROR(INDEX(Справочники!$B$4:$B$7,MATCH(BF260,Справочники!$A$4:$A$7,0)),""))</f>
        <v>68.5</v>
      </c>
      <c r="BH260" s="90" t="str">
        <f aca="false">IF(N(BN260)&gt;0,ROUND(SUMIF(ЗАКАЗЫ!$F$3:$F$500,$A260,ЗАКАЗЫ!$Y$3:$Y$500)/BN260,0),IF(OR(BE260="",BG260=""),"",ROUND(BE260*BG260*(1+Справочники!$B$10),0)))</f>
        <v/>
      </c>
      <c r="BI260" s="92" t="str">
        <f aca="false">IF(OR(AU260="",BH260="",AU260=0),"",(AU260-BH260)/AU260)</f>
        <v/>
      </c>
      <c r="BJ260" s="81"/>
      <c r="BK260" s="83"/>
      <c r="BL260" s="43" t="str">
        <f aca="false">IFERROR(INDEX(ЗАКАЗЫ!$N$3:$N$500,MATCH($A260,ЗАКАЗЫ!$F$3:$F$500,0)),"")</f>
        <v/>
      </c>
      <c r="BM260" s="8" t="str">
        <f aca="false">IF(BL260="","",IFERROR(VLOOKUP(BL260,'ТН ВЭД'!$A$4:$C$40,3,0),""))</f>
        <v/>
      </c>
      <c r="BN260" s="7" t="str">
        <f aca="false">IF(COUNTIF(ЗАКАЗЫ!$F$3:$F$500,$A260)=0,"",SUMIF(ЗАКАЗЫ!$F$3:$F$500,$A260,ЗАКАЗЫ!$J$3:$J$500))</f>
        <v/>
      </c>
      <c r="BO260" s="7" t="str">
        <f aca="false">IF(BN260="","",SUMIF(ЗАКАЗЫ!$F$3:$F$500,$A260,ЗАКАЗЫ!$AL$3:$AL$500))</f>
        <v/>
      </c>
      <c r="BP260" s="7" t="str">
        <f aca="false">IF(BN260="","",BN260-BO260)</f>
        <v/>
      </c>
      <c r="BQ260" s="55" t="str">
        <f aca="false">IF(BN260="","",IF(BO260&gt;=BN260,"На складе",IF(BO260&gt;0,"Частично","Ждём")))</f>
        <v/>
      </c>
      <c r="BR260" s="43"/>
      <c r="BS260" s="47" t="str">
        <f aca="false">IF(BN260="","",IF(_xlfn.MAXIFS(ЗАКАЗЫ!$AK$3:$AK$500,ЗАКАЗЫ!$F$3:$F$500,$A260)=0,"",_xlfn.MAXIFS(ЗАКАЗЫ!$AK$3:$AK$500,ЗАКАЗЫ!$F$3:$F$500,$A260)))</f>
        <v/>
      </c>
    </row>
    <row r="261" customFormat="false" ht="15.75" hidden="false" customHeight="true" outlineLevel="0" collapsed="false">
      <c r="A261" s="80" t="s">
        <v>2455</v>
      </c>
      <c r="B261" s="81"/>
      <c r="C261" s="81"/>
      <c r="D261" s="81"/>
      <c r="E261" s="83"/>
      <c r="F261" s="81"/>
      <c r="G261" s="83"/>
      <c r="H261" s="83"/>
      <c r="I261" s="84" t="str">
        <f aca="false">IF(E261="","",A261&amp;"_1.jpg")</f>
        <v/>
      </c>
      <c r="J261" s="84" t="str">
        <f aca="false">IF(E261="","",A261&amp;"_2.jpg; "&amp;A261&amp;"_3.jpg")</f>
        <v/>
      </c>
      <c r="K261" s="84" t="str">
        <f aca="false">IF(E261="","",A261&amp;"_schema.jpg")</f>
        <v/>
      </c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 t="s">
        <v>96</v>
      </c>
      <c r="W261" s="81"/>
      <c r="X261" s="81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6" t="str">
        <f aca="false">IF(SUM(Y261:AJ261)=0,"",SUM(Y261:AJ261))</f>
        <v/>
      </c>
      <c r="AL261" s="84" t="str">
        <f aca="false">MID(IF(N(Y261)&gt;0,", "&amp;Y$2,"")&amp;IF(N(Z261)&gt;0,", "&amp;Z$2,"")&amp;IF(N(AA261)&gt;0,", "&amp;AA$2,"")&amp;IF(N(AB261)&gt;0,", "&amp;AB$2,"")&amp;IF(N(AC261)&gt;0,", "&amp;AC$2,"")&amp;IF(N(AD261)&gt;0,", "&amp;AD$2,"")&amp;IF(N(AE261)&gt;0,", "&amp;AE$2,"")&amp;IF(N(AF261)&gt;0,", "&amp;AF$2,"")&amp;IF(N(AG261)&gt;0,", "&amp;AG$2,"")&amp;IF(N(AH261)&gt;0,", "&amp;AH$2,"")&amp;IF(N(AI261)&gt;0,", "&amp;AI$2,"")&amp;IF(N(AJ261)&gt;0,", "&amp;AJ$2,""),3,999)</f>
        <v/>
      </c>
      <c r="AM261" s="87" t="str">
        <f aca="false">IF(E261="","",MID(IF(N(Y261)&gt;0,", "&amp;A261&amp;"-"&amp;Y$2,"")&amp;IF(N(Z261)&gt;0,", "&amp;A261&amp;"-"&amp;Z$2,"")&amp;IF(N(AA261)&gt;0,", "&amp;A261&amp;"-"&amp;AA$2,"")&amp;IF(N(AB261)&gt;0,", "&amp;A261&amp;"-"&amp;AB$2,"")&amp;IF(N(AC261)&gt;0,", "&amp;A261&amp;"-"&amp;AC$2,"")&amp;IF(N(AD261)&gt;0,", "&amp;A261&amp;"-"&amp;AD$2,"")&amp;IF(N(AE261)&gt;0,", "&amp;A261&amp;"-"&amp;AE$2,"")&amp;IF(N(AF261)&gt;0,", "&amp;A261&amp;"-"&amp;AF$2,"")&amp;IF(N(AG261)&gt;0,", "&amp;A261&amp;"-"&amp;AG$2,"")&amp;IF(N(AH261)&gt;0,", "&amp;A261&amp;"-"&amp;AH$2,"")&amp;IF(N(AI261)&gt;0,", "&amp;A261&amp;"-"&amp;AI$2,"")&amp;IF(N(AJ261)&gt;0,", "&amp;A261&amp;"-"&amp;AJ$2,""),3,999))</f>
        <v/>
      </c>
      <c r="AN261" s="81"/>
      <c r="AO261" s="88"/>
      <c r="AP261" s="89" t="str">
        <f aca="false">IF(AO261="","",ROUND(AO261/(1+Справочники!$B$13),2))</f>
        <v/>
      </c>
      <c r="AQ261" s="90" t="str">
        <f aca="false" t="array" ref="AQ261:AQ261">IF(AP261="","",AP261*INDEX(Справочники!$B$4:$B$7,MATCH("RUB",Справочники!$A$4:$A$7,0)))</f>
        <v/>
      </c>
      <c r="AR261" s="90" t="str">
        <f aca="false">IF(AQ261="","",ROUND(AQ261*(1+Справочники!$B$12),0))</f>
        <v/>
      </c>
      <c r="AS261" s="90" t="str">
        <f aca="false">IF(AR261="","",ROUND(AR261*(1-Справочники!$B$11),0))</f>
        <v/>
      </c>
      <c r="AT261" s="88"/>
      <c r="AU261" s="90" t="str">
        <f aca="false">IF(AT261="","",ROUND(AT261/(1+Справочники!$B$12),0))</f>
        <v/>
      </c>
      <c r="AV261" s="90" t="str">
        <f aca="false">IF(AT261="","",ROUND(AT261*(1-Справочники!$B$15),0))</f>
        <v/>
      </c>
      <c r="AW261" s="90" t="str">
        <f aca="false">IF(AT261="","",ROUND(AT261*(1-Справочники!$B$16),0))</f>
        <v/>
      </c>
      <c r="AX261" s="90" t="str">
        <f aca="false">IF(AT261="","",ROUND(AT261*(1-Справочники!$B$17),0))</f>
        <v/>
      </c>
      <c r="AY261" s="90" t="str">
        <f aca="false">IF(AT261="","",ROUND(AT261*(1-Справочники!$B$18),0))</f>
        <v/>
      </c>
      <c r="AZ261" s="90" t="str">
        <f aca="false">IF(AT261="","",ROUND(AT261*(1-Справочники!$B$19),0))</f>
        <v/>
      </c>
      <c r="BA261" s="81"/>
      <c r="BB261" s="81"/>
      <c r="BC261" s="81"/>
      <c r="BD261" s="81"/>
      <c r="BE261" s="91"/>
      <c r="BF261" s="81" t="s">
        <v>103</v>
      </c>
      <c r="BG261" s="89" t="n">
        <f aca="false" t="array" ref="BG261:BG261">IF(BF261="","",IFERROR(INDEX(Справочники!$B$4:$B$7,MATCH(BF261,Справочники!$A$4:$A$7,0)),""))</f>
        <v>68.5</v>
      </c>
      <c r="BH261" s="90" t="str">
        <f aca="false">IF(N(BN261)&gt;0,ROUND(SUMIF(ЗАКАЗЫ!$F$3:$F$500,$A261,ЗАКАЗЫ!$Y$3:$Y$500)/BN261,0),IF(OR(BE261="",BG261=""),"",ROUND(BE261*BG261*(1+Справочники!$B$10),0)))</f>
        <v/>
      </c>
      <c r="BI261" s="92" t="str">
        <f aca="false">IF(OR(AU261="",BH261="",AU261=0),"",(AU261-BH261)/AU261)</f>
        <v/>
      </c>
      <c r="BJ261" s="81"/>
      <c r="BK261" s="83"/>
      <c r="BL261" s="43" t="str">
        <f aca="false">IFERROR(INDEX(ЗАКАЗЫ!$N$3:$N$500,MATCH($A261,ЗАКАЗЫ!$F$3:$F$500,0)),"")</f>
        <v/>
      </c>
      <c r="BM261" s="8" t="str">
        <f aca="false">IF(BL261="","",IFERROR(VLOOKUP(BL261,'ТН ВЭД'!$A$4:$C$40,3,0),""))</f>
        <v/>
      </c>
      <c r="BN261" s="7" t="str">
        <f aca="false">IF(COUNTIF(ЗАКАЗЫ!$F$3:$F$500,$A261)=0,"",SUMIF(ЗАКАЗЫ!$F$3:$F$500,$A261,ЗАКАЗЫ!$J$3:$J$500))</f>
        <v/>
      </c>
      <c r="BO261" s="7" t="str">
        <f aca="false">IF(BN261="","",SUMIF(ЗАКАЗЫ!$F$3:$F$500,$A261,ЗАКАЗЫ!$AL$3:$AL$500))</f>
        <v/>
      </c>
      <c r="BP261" s="7" t="str">
        <f aca="false">IF(BN261="","",BN261-BO261)</f>
        <v/>
      </c>
      <c r="BQ261" s="55" t="str">
        <f aca="false">IF(BN261="","",IF(BO261&gt;=BN261,"На складе",IF(BO261&gt;0,"Частично","Ждём")))</f>
        <v/>
      </c>
      <c r="BR261" s="43"/>
      <c r="BS261" s="47" t="str">
        <f aca="false">IF(BN261="","",IF(_xlfn.MAXIFS(ЗАКАЗЫ!$AK$3:$AK$500,ЗАКАЗЫ!$F$3:$F$500,$A261)=0,"",_xlfn.MAXIFS(ЗАКАЗЫ!$AK$3:$AK$500,ЗАКАЗЫ!$F$3:$F$500,$A261)))</f>
        <v/>
      </c>
    </row>
    <row r="262" customFormat="false" ht="15.75" hidden="false" customHeight="true" outlineLevel="0" collapsed="false">
      <c r="A262" s="80" t="s">
        <v>2456</v>
      </c>
      <c r="B262" s="81"/>
      <c r="C262" s="81"/>
      <c r="D262" s="81"/>
      <c r="E262" s="83"/>
      <c r="F262" s="81"/>
      <c r="G262" s="83"/>
      <c r="H262" s="83"/>
      <c r="I262" s="84" t="str">
        <f aca="false">IF(E262="","",A262&amp;"_1.jpg")</f>
        <v/>
      </c>
      <c r="J262" s="84" t="str">
        <f aca="false">IF(E262="","",A262&amp;"_2.jpg; "&amp;A262&amp;"_3.jpg")</f>
        <v/>
      </c>
      <c r="K262" s="84" t="str">
        <f aca="false">IF(E262="","",A262&amp;"_schema.jpg")</f>
        <v/>
      </c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 t="s">
        <v>96</v>
      </c>
      <c r="W262" s="81"/>
      <c r="X262" s="81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6" t="str">
        <f aca="false">IF(SUM(Y262:AJ262)=0,"",SUM(Y262:AJ262))</f>
        <v/>
      </c>
      <c r="AL262" s="84" t="str">
        <f aca="false">MID(IF(N(Y262)&gt;0,", "&amp;Y$2,"")&amp;IF(N(Z262)&gt;0,", "&amp;Z$2,"")&amp;IF(N(AA262)&gt;0,", "&amp;AA$2,"")&amp;IF(N(AB262)&gt;0,", "&amp;AB$2,"")&amp;IF(N(AC262)&gt;0,", "&amp;AC$2,"")&amp;IF(N(AD262)&gt;0,", "&amp;AD$2,"")&amp;IF(N(AE262)&gt;0,", "&amp;AE$2,"")&amp;IF(N(AF262)&gt;0,", "&amp;AF$2,"")&amp;IF(N(AG262)&gt;0,", "&amp;AG$2,"")&amp;IF(N(AH262)&gt;0,", "&amp;AH$2,"")&amp;IF(N(AI262)&gt;0,", "&amp;AI$2,"")&amp;IF(N(AJ262)&gt;0,", "&amp;AJ$2,""),3,999)</f>
        <v/>
      </c>
      <c r="AM262" s="87" t="str">
        <f aca="false">IF(E262="","",MID(IF(N(Y262)&gt;0,", "&amp;A262&amp;"-"&amp;Y$2,"")&amp;IF(N(Z262)&gt;0,", "&amp;A262&amp;"-"&amp;Z$2,"")&amp;IF(N(AA262)&gt;0,", "&amp;A262&amp;"-"&amp;AA$2,"")&amp;IF(N(AB262)&gt;0,", "&amp;A262&amp;"-"&amp;AB$2,"")&amp;IF(N(AC262)&gt;0,", "&amp;A262&amp;"-"&amp;AC$2,"")&amp;IF(N(AD262)&gt;0,", "&amp;A262&amp;"-"&amp;AD$2,"")&amp;IF(N(AE262)&gt;0,", "&amp;A262&amp;"-"&amp;AE$2,"")&amp;IF(N(AF262)&gt;0,", "&amp;A262&amp;"-"&amp;AF$2,"")&amp;IF(N(AG262)&gt;0,", "&amp;A262&amp;"-"&amp;AG$2,"")&amp;IF(N(AH262)&gt;0,", "&amp;A262&amp;"-"&amp;AH$2,"")&amp;IF(N(AI262)&gt;0,", "&amp;A262&amp;"-"&amp;AI$2,"")&amp;IF(N(AJ262)&gt;0,", "&amp;A262&amp;"-"&amp;AJ$2,""),3,999))</f>
        <v/>
      </c>
      <c r="AN262" s="81"/>
      <c r="AO262" s="88"/>
      <c r="AP262" s="89" t="str">
        <f aca="false">IF(AO262="","",ROUND(AO262/(1+Справочники!$B$13),2))</f>
        <v/>
      </c>
      <c r="AQ262" s="90" t="str">
        <f aca="false" t="array" ref="AQ262:AQ262">IF(AP262="","",AP262*INDEX(Справочники!$B$4:$B$7,MATCH("RUB",Справочники!$A$4:$A$7,0)))</f>
        <v/>
      </c>
      <c r="AR262" s="90" t="str">
        <f aca="false">IF(AQ262="","",ROUND(AQ262*(1+Справочники!$B$12),0))</f>
        <v/>
      </c>
      <c r="AS262" s="90" t="str">
        <f aca="false">IF(AR262="","",ROUND(AR262*(1-Справочники!$B$11),0))</f>
        <v/>
      </c>
      <c r="AT262" s="88"/>
      <c r="AU262" s="90" t="str">
        <f aca="false">IF(AT262="","",ROUND(AT262/(1+Справочники!$B$12),0))</f>
        <v/>
      </c>
      <c r="AV262" s="90" t="str">
        <f aca="false">IF(AT262="","",ROUND(AT262*(1-Справочники!$B$15),0))</f>
        <v/>
      </c>
      <c r="AW262" s="90" t="str">
        <f aca="false">IF(AT262="","",ROUND(AT262*(1-Справочники!$B$16),0))</f>
        <v/>
      </c>
      <c r="AX262" s="90" t="str">
        <f aca="false">IF(AT262="","",ROUND(AT262*(1-Справочники!$B$17),0))</f>
        <v/>
      </c>
      <c r="AY262" s="90" t="str">
        <f aca="false">IF(AT262="","",ROUND(AT262*(1-Справочники!$B$18),0))</f>
        <v/>
      </c>
      <c r="AZ262" s="90" t="str">
        <f aca="false">IF(AT262="","",ROUND(AT262*(1-Справочники!$B$19),0))</f>
        <v/>
      </c>
      <c r="BA262" s="81"/>
      <c r="BB262" s="81"/>
      <c r="BC262" s="81"/>
      <c r="BD262" s="81"/>
      <c r="BE262" s="91"/>
      <c r="BF262" s="81" t="s">
        <v>103</v>
      </c>
      <c r="BG262" s="89" t="n">
        <f aca="false" t="array" ref="BG262:BG262">IF(BF262="","",IFERROR(INDEX(Справочники!$B$4:$B$7,MATCH(BF262,Справочники!$A$4:$A$7,0)),""))</f>
        <v>68.5</v>
      </c>
      <c r="BH262" s="90" t="str">
        <f aca="false">IF(N(BN262)&gt;0,ROUND(SUMIF(ЗАКАЗЫ!$F$3:$F$500,$A262,ЗАКАЗЫ!$Y$3:$Y$500)/BN262,0),IF(OR(BE262="",BG262=""),"",ROUND(BE262*BG262*(1+Справочники!$B$10),0)))</f>
        <v/>
      </c>
      <c r="BI262" s="92" t="str">
        <f aca="false">IF(OR(AU262="",BH262="",AU262=0),"",(AU262-BH262)/AU262)</f>
        <v/>
      </c>
      <c r="BJ262" s="81"/>
      <c r="BK262" s="83"/>
      <c r="BL262" s="43" t="str">
        <f aca="false">IFERROR(INDEX(ЗАКАЗЫ!$N$3:$N$500,MATCH($A262,ЗАКАЗЫ!$F$3:$F$500,0)),"")</f>
        <v/>
      </c>
      <c r="BM262" s="8" t="str">
        <f aca="false">IF(BL262="","",IFERROR(VLOOKUP(BL262,'ТН ВЭД'!$A$4:$C$40,3,0),""))</f>
        <v/>
      </c>
      <c r="BN262" s="7" t="str">
        <f aca="false">IF(COUNTIF(ЗАКАЗЫ!$F$3:$F$500,$A262)=0,"",SUMIF(ЗАКАЗЫ!$F$3:$F$500,$A262,ЗАКАЗЫ!$J$3:$J$500))</f>
        <v/>
      </c>
      <c r="BO262" s="7" t="str">
        <f aca="false">IF(BN262="","",SUMIF(ЗАКАЗЫ!$F$3:$F$500,$A262,ЗАКАЗЫ!$AL$3:$AL$500))</f>
        <v/>
      </c>
      <c r="BP262" s="7" t="str">
        <f aca="false">IF(BN262="","",BN262-BO262)</f>
        <v/>
      </c>
      <c r="BQ262" s="55" t="str">
        <f aca="false">IF(BN262="","",IF(BO262&gt;=BN262,"На складе",IF(BO262&gt;0,"Частично","Ждём")))</f>
        <v/>
      </c>
      <c r="BR262" s="43"/>
      <c r="BS262" s="47" t="str">
        <f aca="false">IF(BN262="","",IF(_xlfn.MAXIFS(ЗАКАЗЫ!$AK$3:$AK$500,ЗАКАЗЫ!$F$3:$F$500,$A262)=0,"",_xlfn.MAXIFS(ЗАКАЗЫ!$AK$3:$AK$500,ЗАКАЗЫ!$F$3:$F$500,$A262)))</f>
        <v/>
      </c>
    </row>
    <row r="263" customFormat="false" ht="15.75" hidden="false" customHeight="true" outlineLevel="0" collapsed="false">
      <c r="A263" s="80" t="s">
        <v>2457</v>
      </c>
      <c r="B263" s="81"/>
      <c r="C263" s="81"/>
      <c r="D263" s="81"/>
      <c r="E263" s="83"/>
      <c r="F263" s="81"/>
      <c r="G263" s="83"/>
      <c r="H263" s="83"/>
      <c r="I263" s="84" t="str">
        <f aca="false">IF(E263="","",A263&amp;"_1.jpg")</f>
        <v/>
      </c>
      <c r="J263" s="84" t="str">
        <f aca="false">IF(E263="","",A263&amp;"_2.jpg; "&amp;A263&amp;"_3.jpg")</f>
        <v/>
      </c>
      <c r="K263" s="84" t="str">
        <f aca="false">IF(E263="","",A263&amp;"_schema.jpg")</f>
        <v/>
      </c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 t="s">
        <v>96</v>
      </c>
      <c r="W263" s="81"/>
      <c r="X263" s="81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6" t="str">
        <f aca="false">IF(SUM(Y263:AJ263)=0,"",SUM(Y263:AJ263))</f>
        <v/>
      </c>
      <c r="AL263" s="84" t="str">
        <f aca="false">MID(IF(N(Y263)&gt;0,", "&amp;Y$2,"")&amp;IF(N(Z263)&gt;0,", "&amp;Z$2,"")&amp;IF(N(AA263)&gt;0,", "&amp;AA$2,"")&amp;IF(N(AB263)&gt;0,", "&amp;AB$2,"")&amp;IF(N(AC263)&gt;0,", "&amp;AC$2,"")&amp;IF(N(AD263)&gt;0,", "&amp;AD$2,"")&amp;IF(N(AE263)&gt;0,", "&amp;AE$2,"")&amp;IF(N(AF263)&gt;0,", "&amp;AF$2,"")&amp;IF(N(AG263)&gt;0,", "&amp;AG$2,"")&amp;IF(N(AH263)&gt;0,", "&amp;AH$2,"")&amp;IF(N(AI263)&gt;0,", "&amp;AI$2,"")&amp;IF(N(AJ263)&gt;0,", "&amp;AJ$2,""),3,999)</f>
        <v/>
      </c>
      <c r="AM263" s="87" t="str">
        <f aca="false">IF(E263="","",MID(IF(N(Y263)&gt;0,", "&amp;A263&amp;"-"&amp;Y$2,"")&amp;IF(N(Z263)&gt;0,", "&amp;A263&amp;"-"&amp;Z$2,"")&amp;IF(N(AA263)&gt;0,", "&amp;A263&amp;"-"&amp;AA$2,"")&amp;IF(N(AB263)&gt;0,", "&amp;A263&amp;"-"&amp;AB$2,"")&amp;IF(N(AC263)&gt;0,", "&amp;A263&amp;"-"&amp;AC$2,"")&amp;IF(N(AD263)&gt;0,", "&amp;A263&amp;"-"&amp;AD$2,"")&amp;IF(N(AE263)&gt;0,", "&amp;A263&amp;"-"&amp;AE$2,"")&amp;IF(N(AF263)&gt;0,", "&amp;A263&amp;"-"&amp;AF$2,"")&amp;IF(N(AG263)&gt;0,", "&amp;A263&amp;"-"&amp;AG$2,"")&amp;IF(N(AH263)&gt;0,", "&amp;A263&amp;"-"&amp;AH$2,"")&amp;IF(N(AI263)&gt;0,", "&amp;A263&amp;"-"&amp;AI$2,"")&amp;IF(N(AJ263)&gt;0,", "&amp;A263&amp;"-"&amp;AJ$2,""),3,999))</f>
        <v/>
      </c>
      <c r="AN263" s="81"/>
      <c r="AO263" s="88"/>
      <c r="AP263" s="89" t="str">
        <f aca="false">IF(AO263="","",ROUND(AO263/(1+Справочники!$B$13),2))</f>
        <v/>
      </c>
      <c r="AQ263" s="90" t="str">
        <f aca="false" t="array" ref="AQ263:AQ263">IF(AP263="","",AP263*INDEX(Справочники!$B$4:$B$7,MATCH("RUB",Справочники!$A$4:$A$7,0)))</f>
        <v/>
      </c>
      <c r="AR263" s="90" t="str">
        <f aca="false">IF(AQ263="","",ROUND(AQ263*(1+Справочники!$B$12),0))</f>
        <v/>
      </c>
      <c r="AS263" s="90" t="str">
        <f aca="false">IF(AR263="","",ROUND(AR263*(1-Справочники!$B$11),0))</f>
        <v/>
      </c>
      <c r="AT263" s="88"/>
      <c r="AU263" s="90" t="str">
        <f aca="false">IF(AT263="","",ROUND(AT263/(1+Справочники!$B$12),0))</f>
        <v/>
      </c>
      <c r="AV263" s="90" t="str">
        <f aca="false">IF(AT263="","",ROUND(AT263*(1-Справочники!$B$15),0))</f>
        <v/>
      </c>
      <c r="AW263" s="90" t="str">
        <f aca="false">IF(AT263="","",ROUND(AT263*(1-Справочники!$B$16),0))</f>
        <v/>
      </c>
      <c r="AX263" s="90" t="str">
        <f aca="false">IF(AT263="","",ROUND(AT263*(1-Справочники!$B$17),0))</f>
        <v/>
      </c>
      <c r="AY263" s="90" t="str">
        <f aca="false">IF(AT263="","",ROUND(AT263*(1-Справочники!$B$18),0))</f>
        <v/>
      </c>
      <c r="AZ263" s="90" t="str">
        <f aca="false">IF(AT263="","",ROUND(AT263*(1-Справочники!$B$19),0))</f>
        <v/>
      </c>
      <c r="BA263" s="81"/>
      <c r="BB263" s="81"/>
      <c r="BC263" s="81"/>
      <c r="BD263" s="81"/>
      <c r="BE263" s="91"/>
      <c r="BF263" s="81" t="s">
        <v>103</v>
      </c>
      <c r="BG263" s="89" t="n">
        <f aca="false" t="array" ref="BG263:BG263">IF(BF263="","",IFERROR(INDEX(Справочники!$B$4:$B$7,MATCH(BF263,Справочники!$A$4:$A$7,0)),""))</f>
        <v>68.5</v>
      </c>
      <c r="BH263" s="90" t="str">
        <f aca="false">IF(N(BN263)&gt;0,ROUND(SUMIF(ЗАКАЗЫ!$F$3:$F$500,$A263,ЗАКАЗЫ!$Y$3:$Y$500)/BN263,0),IF(OR(BE263="",BG263=""),"",ROUND(BE263*BG263*(1+Справочники!$B$10),0)))</f>
        <v/>
      </c>
      <c r="BI263" s="92" t="str">
        <f aca="false">IF(OR(AU263="",BH263="",AU263=0),"",(AU263-BH263)/AU263)</f>
        <v/>
      </c>
      <c r="BJ263" s="81"/>
      <c r="BK263" s="83"/>
      <c r="BL263" s="43" t="str">
        <f aca="false">IFERROR(INDEX(ЗАКАЗЫ!$N$3:$N$500,MATCH($A263,ЗАКАЗЫ!$F$3:$F$500,0)),"")</f>
        <v/>
      </c>
      <c r="BM263" s="8" t="str">
        <f aca="false">IF(BL263="","",IFERROR(VLOOKUP(BL263,'ТН ВЭД'!$A$4:$C$40,3,0),""))</f>
        <v/>
      </c>
      <c r="BN263" s="7" t="str">
        <f aca="false">IF(COUNTIF(ЗАКАЗЫ!$F$3:$F$500,$A263)=0,"",SUMIF(ЗАКАЗЫ!$F$3:$F$500,$A263,ЗАКАЗЫ!$J$3:$J$500))</f>
        <v/>
      </c>
      <c r="BO263" s="7" t="str">
        <f aca="false">IF(BN263="","",SUMIF(ЗАКАЗЫ!$F$3:$F$500,$A263,ЗАКАЗЫ!$AL$3:$AL$500))</f>
        <v/>
      </c>
      <c r="BP263" s="7" t="str">
        <f aca="false">IF(BN263="","",BN263-BO263)</f>
        <v/>
      </c>
      <c r="BQ263" s="55" t="str">
        <f aca="false">IF(BN263="","",IF(BO263&gt;=BN263,"На складе",IF(BO263&gt;0,"Частично","Ждём")))</f>
        <v/>
      </c>
      <c r="BR263" s="43"/>
      <c r="BS263" s="47" t="str">
        <f aca="false">IF(BN263="","",IF(_xlfn.MAXIFS(ЗАКАЗЫ!$AK$3:$AK$500,ЗАКАЗЫ!$F$3:$F$500,$A263)=0,"",_xlfn.MAXIFS(ЗАКАЗЫ!$AK$3:$AK$500,ЗАКАЗЫ!$F$3:$F$500,$A263)))</f>
        <v/>
      </c>
    </row>
    <row r="264" customFormat="false" ht="15.75" hidden="false" customHeight="true" outlineLevel="0" collapsed="false">
      <c r="A264" s="80" t="s">
        <v>2458</v>
      </c>
      <c r="B264" s="81"/>
      <c r="C264" s="81"/>
      <c r="D264" s="81"/>
      <c r="E264" s="83"/>
      <c r="F264" s="81"/>
      <c r="G264" s="83"/>
      <c r="H264" s="83"/>
      <c r="I264" s="84" t="str">
        <f aca="false">IF(E264="","",A264&amp;"_1.jpg")</f>
        <v/>
      </c>
      <c r="J264" s="84" t="str">
        <f aca="false">IF(E264="","",A264&amp;"_2.jpg; "&amp;A264&amp;"_3.jpg")</f>
        <v/>
      </c>
      <c r="K264" s="84" t="str">
        <f aca="false">IF(E264="","",A264&amp;"_schema.jpg")</f>
        <v/>
      </c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 t="s">
        <v>96</v>
      </c>
      <c r="W264" s="81"/>
      <c r="X264" s="81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6" t="str">
        <f aca="false">IF(SUM(Y264:AJ264)=0,"",SUM(Y264:AJ264))</f>
        <v/>
      </c>
      <c r="AL264" s="84" t="str">
        <f aca="false">MID(IF(N(Y264)&gt;0,", "&amp;Y$2,"")&amp;IF(N(Z264)&gt;0,", "&amp;Z$2,"")&amp;IF(N(AA264)&gt;0,", "&amp;AA$2,"")&amp;IF(N(AB264)&gt;0,", "&amp;AB$2,"")&amp;IF(N(AC264)&gt;0,", "&amp;AC$2,"")&amp;IF(N(AD264)&gt;0,", "&amp;AD$2,"")&amp;IF(N(AE264)&gt;0,", "&amp;AE$2,"")&amp;IF(N(AF264)&gt;0,", "&amp;AF$2,"")&amp;IF(N(AG264)&gt;0,", "&amp;AG$2,"")&amp;IF(N(AH264)&gt;0,", "&amp;AH$2,"")&amp;IF(N(AI264)&gt;0,", "&amp;AI$2,"")&amp;IF(N(AJ264)&gt;0,", "&amp;AJ$2,""),3,999)</f>
        <v/>
      </c>
      <c r="AM264" s="87" t="str">
        <f aca="false">IF(E264="","",MID(IF(N(Y264)&gt;0,", "&amp;A264&amp;"-"&amp;Y$2,"")&amp;IF(N(Z264)&gt;0,", "&amp;A264&amp;"-"&amp;Z$2,"")&amp;IF(N(AA264)&gt;0,", "&amp;A264&amp;"-"&amp;AA$2,"")&amp;IF(N(AB264)&gt;0,", "&amp;A264&amp;"-"&amp;AB$2,"")&amp;IF(N(AC264)&gt;0,", "&amp;A264&amp;"-"&amp;AC$2,"")&amp;IF(N(AD264)&gt;0,", "&amp;A264&amp;"-"&amp;AD$2,"")&amp;IF(N(AE264)&gt;0,", "&amp;A264&amp;"-"&amp;AE$2,"")&amp;IF(N(AF264)&gt;0,", "&amp;A264&amp;"-"&amp;AF$2,"")&amp;IF(N(AG264)&gt;0,", "&amp;A264&amp;"-"&amp;AG$2,"")&amp;IF(N(AH264)&gt;0,", "&amp;A264&amp;"-"&amp;AH$2,"")&amp;IF(N(AI264)&gt;0,", "&amp;A264&amp;"-"&amp;AI$2,"")&amp;IF(N(AJ264)&gt;0,", "&amp;A264&amp;"-"&amp;AJ$2,""),3,999))</f>
        <v/>
      </c>
      <c r="AN264" s="81"/>
      <c r="AO264" s="88"/>
      <c r="AP264" s="89" t="str">
        <f aca="false">IF(AO264="","",ROUND(AO264/(1+Справочники!$B$13),2))</f>
        <v/>
      </c>
      <c r="AQ264" s="90" t="str">
        <f aca="false" t="array" ref="AQ264:AQ264">IF(AP264="","",AP264*INDEX(Справочники!$B$4:$B$7,MATCH("RUB",Справочники!$A$4:$A$7,0)))</f>
        <v/>
      </c>
      <c r="AR264" s="90" t="str">
        <f aca="false">IF(AQ264="","",ROUND(AQ264*(1+Справочники!$B$12),0))</f>
        <v/>
      </c>
      <c r="AS264" s="90" t="str">
        <f aca="false">IF(AR264="","",ROUND(AR264*(1-Справочники!$B$11),0))</f>
        <v/>
      </c>
      <c r="AT264" s="88"/>
      <c r="AU264" s="90" t="str">
        <f aca="false">IF(AT264="","",ROUND(AT264/(1+Справочники!$B$12),0))</f>
        <v/>
      </c>
      <c r="AV264" s="90" t="str">
        <f aca="false">IF(AT264="","",ROUND(AT264*(1-Справочники!$B$15),0))</f>
        <v/>
      </c>
      <c r="AW264" s="90" t="str">
        <f aca="false">IF(AT264="","",ROUND(AT264*(1-Справочники!$B$16),0))</f>
        <v/>
      </c>
      <c r="AX264" s="90" t="str">
        <f aca="false">IF(AT264="","",ROUND(AT264*(1-Справочники!$B$17),0))</f>
        <v/>
      </c>
      <c r="AY264" s="90" t="str">
        <f aca="false">IF(AT264="","",ROUND(AT264*(1-Справочники!$B$18),0))</f>
        <v/>
      </c>
      <c r="AZ264" s="90" t="str">
        <f aca="false">IF(AT264="","",ROUND(AT264*(1-Справочники!$B$19),0))</f>
        <v/>
      </c>
      <c r="BA264" s="81"/>
      <c r="BB264" s="81"/>
      <c r="BC264" s="81"/>
      <c r="BD264" s="81"/>
      <c r="BE264" s="91"/>
      <c r="BF264" s="81" t="s">
        <v>103</v>
      </c>
      <c r="BG264" s="89" t="n">
        <f aca="false" t="array" ref="BG264:BG264">IF(BF264="","",IFERROR(INDEX(Справочники!$B$4:$B$7,MATCH(BF264,Справочники!$A$4:$A$7,0)),""))</f>
        <v>68.5</v>
      </c>
      <c r="BH264" s="90" t="str">
        <f aca="false">IF(N(BN264)&gt;0,ROUND(SUMIF(ЗАКАЗЫ!$F$3:$F$500,$A264,ЗАКАЗЫ!$Y$3:$Y$500)/BN264,0),IF(OR(BE264="",BG264=""),"",ROUND(BE264*BG264*(1+Справочники!$B$10),0)))</f>
        <v/>
      </c>
      <c r="BI264" s="92" t="str">
        <f aca="false">IF(OR(AU264="",BH264="",AU264=0),"",(AU264-BH264)/AU264)</f>
        <v/>
      </c>
      <c r="BJ264" s="81"/>
      <c r="BK264" s="83"/>
      <c r="BL264" s="43" t="str">
        <f aca="false">IFERROR(INDEX(ЗАКАЗЫ!$N$3:$N$500,MATCH($A264,ЗАКАЗЫ!$F$3:$F$500,0)),"")</f>
        <v/>
      </c>
      <c r="BM264" s="8" t="str">
        <f aca="false">IF(BL264="","",IFERROR(VLOOKUP(BL264,'ТН ВЭД'!$A$4:$C$40,3,0),""))</f>
        <v/>
      </c>
      <c r="BN264" s="7" t="str">
        <f aca="false">IF(COUNTIF(ЗАКАЗЫ!$F$3:$F$500,$A264)=0,"",SUMIF(ЗАКАЗЫ!$F$3:$F$500,$A264,ЗАКАЗЫ!$J$3:$J$500))</f>
        <v/>
      </c>
      <c r="BO264" s="7" t="str">
        <f aca="false">IF(BN264="","",SUMIF(ЗАКАЗЫ!$F$3:$F$500,$A264,ЗАКАЗЫ!$AL$3:$AL$500))</f>
        <v/>
      </c>
      <c r="BP264" s="7" t="str">
        <f aca="false">IF(BN264="","",BN264-BO264)</f>
        <v/>
      </c>
      <c r="BQ264" s="55" t="str">
        <f aca="false">IF(BN264="","",IF(BO264&gt;=BN264,"На складе",IF(BO264&gt;0,"Частично","Ждём")))</f>
        <v/>
      </c>
      <c r="BR264" s="43"/>
      <c r="BS264" s="47" t="str">
        <f aca="false">IF(BN264="","",IF(_xlfn.MAXIFS(ЗАКАЗЫ!$AK$3:$AK$500,ЗАКАЗЫ!$F$3:$F$500,$A264)=0,"",_xlfn.MAXIFS(ЗАКАЗЫ!$AK$3:$AK$500,ЗАКАЗЫ!$F$3:$F$500,$A264)))</f>
        <v/>
      </c>
    </row>
    <row r="265" customFormat="false" ht="15.75" hidden="false" customHeight="true" outlineLevel="0" collapsed="false">
      <c r="A265" s="80" t="s">
        <v>2459</v>
      </c>
      <c r="B265" s="81"/>
      <c r="C265" s="81"/>
      <c r="D265" s="81"/>
      <c r="E265" s="83"/>
      <c r="F265" s="81"/>
      <c r="G265" s="83"/>
      <c r="H265" s="83"/>
      <c r="I265" s="84" t="str">
        <f aca="false">IF(E265="","",A265&amp;"_1.jpg")</f>
        <v/>
      </c>
      <c r="J265" s="84" t="str">
        <f aca="false">IF(E265="","",A265&amp;"_2.jpg; "&amp;A265&amp;"_3.jpg")</f>
        <v/>
      </c>
      <c r="K265" s="84" t="str">
        <f aca="false">IF(E265="","",A265&amp;"_schema.jpg")</f>
        <v/>
      </c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 t="s">
        <v>96</v>
      </c>
      <c r="W265" s="81"/>
      <c r="X265" s="81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6" t="str">
        <f aca="false">IF(SUM(Y265:AJ265)=0,"",SUM(Y265:AJ265))</f>
        <v/>
      </c>
      <c r="AL265" s="84" t="str">
        <f aca="false">MID(IF(N(Y265)&gt;0,", "&amp;Y$2,"")&amp;IF(N(Z265)&gt;0,", "&amp;Z$2,"")&amp;IF(N(AA265)&gt;0,", "&amp;AA$2,"")&amp;IF(N(AB265)&gt;0,", "&amp;AB$2,"")&amp;IF(N(AC265)&gt;0,", "&amp;AC$2,"")&amp;IF(N(AD265)&gt;0,", "&amp;AD$2,"")&amp;IF(N(AE265)&gt;0,", "&amp;AE$2,"")&amp;IF(N(AF265)&gt;0,", "&amp;AF$2,"")&amp;IF(N(AG265)&gt;0,", "&amp;AG$2,"")&amp;IF(N(AH265)&gt;0,", "&amp;AH$2,"")&amp;IF(N(AI265)&gt;0,", "&amp;AI$2,"")&amp;IF(N(AJ265)&gt;0,", "&amp;AJ$2,""),3,999)</f>
        <v/>
      </c>
      <c r="AM265" s="87" t="str">
        <f aca="false">IF(E265="","",MID(IF(N(Y265)&gt;0,", "&amp;A265&amp;"-"&amp;Y$2,"")&amp;IF(N(Z265)&gt;0,", "&amp;A265&amp;"-"&amp;Z$2,"")&amp;IF(N(AA265)&gt;0,", "&amp;A265&amp;"-"&amp;AA$2,"")&amp;IF(N(AB265)&gt;0,", "&amp;A265&amp;"-"&amp;AB$2,"")&amp;IF(N(AC265)&gt;0,", "&amp;A265&amp;"-"&amp;AC$2,"")&amp;IF(N(AD265)&gt;0,", "&amp;A265&amp;"-"&amp;AD$2,"")&amp;IF(N(AE265)&gt;0,", "&amp;A265&amp;"-"&amp;AE$2,"")&amp;IF(N(AF265)&gt;0,", "&amp;A265&amp;"-"&amp;AF$2,"")&amp;IF(N(AG265)&gt;0,", "&amp;A265&amp;"-"&amp;AG$2,"")&amp;IF(N(AH265)&gt;0,", "&amp;A265&amp;"-"&amp;AH$2,"")&amp;IF(N(AI265)&gt;0,", "&amp;A265&amp;"-"&amp;AI$2,"")&amp;IF(N(AJ265)&gt;0,", "&amp;A265&amp;"-"&amp;AJ$2,""),3,999))</f>
        <v/>
      </c>
      <c r="AN265" s="81"/>
      <c r="AO265" s="88"/>
      <c r="AP265" s="89" t="str">
        <f aca="false">IF(AO265="","",ROUND(AO265/(1+Справочники!$B$13),2))</f>
        <v/>
      </c>
      <c r="AQ265" s="90" t="str">
        <f aca="false" t="array" ref="AQ265:AQ265">IF(AP265="","",AP265*INDEX(Справочники!$B$4:$B$7,MATCH("RUB",Справочники!$A$4:$A$7,0)))</f>
        <v/>
      </c>
      <c r="AR265" s="90" t="str">
        <f aca="false">IF(AQ265="","",ROUND(AQ265*(1+Справочники!$B$12),0))</f>
        <v/>
      </c>
      <c r="AS265" s="90" t="str">
        <f aca="false">IF(AR265="","",ROUND(AR265*(1-Справочники!$B$11),0))</f>
        <v/>
      </c>
      <c r="AT265" s="88"/>
      <c r="AU265" s="90" t="str">
        <f aca="false">IF(AT265="","",ROUND(AT265/(1+Справочники!$B$12),0))</f>
        <v/>
      </c>
      <c r="AV265" s="90" t="str">
        <f aca="false">IF(AT265="","",ROUND(AT265*(1-Справочники!$B$15),0))</f>
        <v/>
      </c>
      <c r="AW265" s="90" t="str">
        <f aca="false">IF(AT265="","",ROUND(AT265*(1-Справочники!$B$16),0))</f>
        <v/>
      </c>
      <c r="AX265" s="90" t="str">
        <f aca="false">IF(AT265="","",ROUND(AT265*(1-Справочники!$B$17),0))</f>
        <v/>
      </c>
      <c r="AY265" s="90" t="str">
        <f aca="false">IF(AT265="","",ROUND(AT265*(1-Справочники!$B$18),0))</f>
        <v/>
      </c>
      <c r="AZ265" s="90" t="str">
        <f aca="false">IF(AT265="","",ROUND(AT265*(1-Справочники!$B$19),0))</f>
        <v/>
      </c>
      <c r="BA265" s="81"/>
      <c r="BB265" s="81"/>
      <c r="BC265" s="81"/>
      <c r="BD265" s="81"/>
      <c r="BE265" s="91"/>
      <c r="BF265" s="81" t="s">
        <v>103</v>
      </c>
      <c r="BG265" s="89" t="n">
        <f aca="false" t="array" ref="BG265:BG265">IF(BF265="","",IFERROR(INDEX(Справочники!$B$4:$B$7,MATCH(BF265,Справочники!$A$4:$A$7,0)),""))</f>
        <v>68.5</v>
      </c>
      <c r="BH265" s="90" t="str">
        <f aca="false">IF(N(BN265)&gt;0,ROUND(SUMIF(ЗАКАЗЫ!$F$3:$F$500,$A265,ЗАКАЗЫ!$Y$3:$Y$500)/BN265,0),IF(OR(BE265="",BG265=""),"",ROUND(BE265*BG265*(1+Справочники!$B$10),0)))</f>
        <v/>
      </c>
      <c r="BI265" s="92" t="str">
        <f aca="false">IF(OR(AU265="",BH265="",AU265=0),"",(AU265-BH265)/AU265)</f>
        <v/>
      </c>
      <c r="BJ265" s="81"/>
      <c r="BK265" s="83"/>
      <c r="BL265" s="43" t="str">
        <f aca="false">IFERROR(INDEX(ЗАКАЗЫ!$N$3:$N$500,MATCH($A265,ЗАКАЗЫ!$F$3:$F$500,0)),"")</f>
        <v/>
      </c>
      <c r="BM265" s="8" t="str">
        <f aca="false">IF(BL265="","",IFERROR(VLOOKUP(BL265,'ТН ВЭД'!$A$4:$C$40,3,0),""))</f>
        <v/>
      </c>
      <c r="BN265" s="7" t="str">
        <f aca="false">IF(COUNTIF(ЗАКАЗЫ!$F$3:$F$500,$A265)=0,"",SUMIF(ЗАКАЗЫ!$F$3:$F$500,$A265,ЗАКАЗЫ!$J$3:$J$500))</f>
        <v/>
      </c>
      <c r="BO265" s="7" t="str">
        <f aca="false">IF(BN265="","",SUMIF(ЗАКАЗЫ!$F$3:$F$500,$A265,ЗАКАЗЫ!$AL$3:$AL$500))</f>
        <v/>
      </c>
      <c r="BP265" s="7" t="str">
        <f aca="false">IF(BN265="","",BN265-BO265)</f>
        <v/>
      </c>
      <c r="BQ265" s="55" t="str">
        <f aca="false">IF(BN265="","",IF(BO265&gt;=BN265,"На складе",IF(BO265&gt;0,"Частично","Ждём")))</f>
        <v/>
      </c>
      <c r="BR265" s="43"/>
      <c r="BS265" s="47" t="str">
        <f aca="false">IF(BN265="","",IF(_xlfn.MAXIFS(ЗАКАЗЫ!$AK$3:$AK$500,ЗАКАЗЫ!$F$3:$F$500,$A265)=0,"",_xlfn.MAXIFS(ЗАКАЗЫ!$AK$3:$AK$500,ЗАКАЗЫ!$F$3:$F$500,$A265)))</f>
        <v/>
      </c>
    </row>
    <row r="266" customFormat="false" ht="15.75" hidden="false" customHeight="true" outlineLevel="0" collapsed="false">
      <c r="A266" s="80" t="s">
        <v>2460</v>
      </c>
      <c r="B266" s="81"/>
      <c r="C266" s="81"/>
      <c r="D266" s="81"/>
      <c r="E266" s="83"/>
      <c r="F266" s="81"/>
      <c r="G266" s="83"/>
      <c r="H266" s="83"/>
      <c r="I266" s="84" t="str">
        <f aca="false">IF(E266="","",A266&amp;"_1.jpg")</f>
        <v/>
      </c>
      <c r="J266" s="84" t="str">
        <f aca="false">IF(E266="","",A266&amp;"_2.jpg; "&amp;A266&amp;"_3.jpg")</f>
        <v/>
      </c>
      <c r="K266" s="84" t="str">
        <f aca="false">IF(E266="","",A266&amp;"_schema.jpg")</f>
        <v/>
      </c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 t="s">
        <v>96</v>
      </c>
      <c r="W266" s="81"/>
      <c r="X266" s="81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6" t="str">
        <f aca="false">IF(SUM(Y266:AJ266)=0,"",SUM(Y266:AJ266))</f>
        <v/>
      </c>
      <c r="AL266" s="84" t="str">
        <f aca="false">MID(IF(N(Y266)&gt;0,", "&amp;Y$2,"")&amp;IF(N(Z266)&gt;0,", "&amp;Z$2,"")&amp;IF(N(AA266)&gt;0,", "&amp;AA$2,"")&amp;IF(N(AB266)&gt;0,", "&amp;AB$2,"")&amp;IF(N(AC266)&gt;0,", "&amp;AC$2,"")&amp;IF(N(AD266)&gt;0,", "&amp;AD$2,"")&amp;IF(N(AE266)&gt;0,", "&amp;AE$2,"")&amp;IF(N(AF266)&gt;0,", "&amp;AF$2,"")&amp;IF(N(AG266)&gt;0,", "&amp;AG$2,"")&amp;IF(N(AH266)&gt;0,", "&amp;AH$2,"")&amp;IF(N(AI266)&gt;0,", "&amp;AI$2,"")&amp;IF(N(AJ266)&gt;0,", "&amp;AJ$2,""),3,999)</f>
        <v/>
      </c>
      <c r="AM266" s="87" t="str">
        <f aca="false">IF(E266="","",MID(IF(N(Y266)&gt;0,", "&amp;A266&amp;"-"&amp;Y$2,"")&amp;IF(N(Z266)&gt;0,", "&amp;A266&amp;"-"&amp;Z$2,"")&amp;IF(N(AA266)&gt;0,", "&amp;A266&amp;"-"&amp;AA$2,"")&amp;IF(N(AB266)&gt;0,", "&amp;A266&amp;"-"&amp;AB$2,"")&amp;IF(N(AC266)&gt;0,", "&amp;A266&amp;"-"&amp;AC$2,"")&amp;IF(N(AD266)&gt;0,", "&amp;A266&amp;"-"&amp;AD$2,"")&amp;IF(N(AE266)&gt;0,", "&amp;A266&amp;"-"&amp;AE$2,"")&amp;IF(N(AF266)&gt;0,", "&amp;A266&amp;"-"&amp;AF$2,"")&amp;IF(N(AG266)&gt;0,", "&amp;A266&amp;"-"&amp;AG$2,"")&amp;IF(N(AH266)&gt;0,", "&amp;A266&amp;"-"&amp;AH$2,"")&amp;IF(N(AI266)&gt;0,", "&amp;A266&amp;"-"&amp;AI$2,"")&amp;IF(N(AJ266)&gt;0,", "&amp;A266&amp;"-"&amp;AJ$2,""),3,999))</f>
        <v/>
      </c>
      <c r="AN266" s="81"/>
      <c r="AO266" s="88"/>
      <c r="AP266" s="89" t="str">
        <f aca="false">IF(AO266="","",ROUND(AO266/(1+Справочники!$B$13),2))</f>
        <v/>
      </c>
      <c r="AQ266" s="90" t="str">
        <f aca="false" t="array" ref="AQ266:AQ266">IF(AP266="","",AP266*INDEX(Справочники!$B$4:$B$7,MATCH("RUB",Справочники!$A$4:$A$7,0)))</f>
        <v/>
      </c>
      <c r="AR266" s="90" t="str">
        <f aca="false">IF(AQ266="","",ROUND(AQ266*(1+Справочники!$B$12),0))</f>
        <v/>
      </c>
      <c r="AS266" s="90" t="str">
        <f aca="false">IF(AR266="","",ROUND(AR266*(1-Справочники!$B$11),0))</f>
        <v/>
      </c>
      <c r="AT266" s="88"/>
      <c r="AU266" s="90" t="str">
        <f aca="false">IF(AT266="","",ROUND(AT266/(1+Справочники!$B$12),0))</f>
        <v/>
      </c>
      <c r="AV266" s="90" t="str">
        <f aca="false">IF(AT266="","",ROUND(AT266*(1-Справочники!$B$15),0))</f>
        <v/>
      </c>
      <c r="AW266" s="90" t="str">
        <f aca="false">IF(AT266="","",ROUND(AT266*(1-Справочники!$B$16),0))</f>
        <v/>
      </c>
      <c r="AX266" s="90" t="str">
        <f aca="false">IF(AT266="","",ROUND(AT266*(1-Справочники!$B$17),0))</f>
        <v/>
      </c>
      <c r="AY266" s="90" t="str">
        <f aca="false">IF(AT266="","",ROUND(AT266*(1-Справочники!$B$18),0))</f>
        <v/>
      </c>
      <c r="AZ266" s="90" t="str">
        <f aca="false">IF(AT266="","",ROUND(AT266*(1-Справочники!$B$19),0))</f>
        <v/>
      </c>
      <c r="BA266" s="81"/>
      <c r="BB266" s="81"/>
      <c r="BC266" s="81"/>
      <c r="BD266" s="81"/>
      <c r="BE266" s="91"/>
      <c r="BF266" s="81" t="s">
        <v>103</v>
      </c>
      <c r="BG266" s="89" t="n">
        <f aca="false" t="array" ref="BG266:BG266">IF(BF266="","",IFERROR(INDEX(Справочники!$B$4:$B$7,MATCH(BF266,Справочники!$A$4:$A$7,0)),""))</f>
        <v>68.5</v>
      </c>
      <c r="BH266" s="90" t="str">
        <f aca="false">IF(N(BN266)&gt;0,ROUND(SUMIF(ЗАКАЗЫ!$F$3:$F$500,$A266,ЗАКАЗЫ!$Y$3:$Y$500)/BN266,0),IF(OR(BE266="",BG266=""),"",ROUND(BE266*BG266*(1+Справочники!$B$10),0)))</f>
        <v/>
      </c>
      <c r="BI266" s="92" t="str">
        <f aca="false">IF(OR(AU266="",BH266="",AU266=0),"",(AU266-BH266)/AU266)</f>
        <v/>
      </c>
      <c r="BJ266" s="81"/>
      <c r="BK266" s="83"/>
      <c r="BL266" s="43" t="str">
        <f aca="false">IFERROR(INDEX(ЗАКАЗЫ!$N$3:$N$500,MATCH($A266,ЗАКАЗЫ!$F$3:$F$500,0)),"")</f>
        <v/>
      </c>
      <c r="BM266" s="8" t="str">
        <f aca="false">IF(BL266="","",IFERROR(VLOOKUP(BL266,'ТН ВЭД'!$A$4:$C$40,3,0),""))</f>
        <v/>
      </c>
      <c r="BN266" s="7" t="str">
        <f aca="false">IF(COUNTIF(ЗАКАЗЫ!$F$3:$F$500,$A266)=0,"",SUMIF(ЗАКАЗЫ!$F$3:$F$500,$A266,ЗАКАЗЫ!$J$3:$J$500))</f>
        <v/>
      </c>
      <c r="BO266" s="7" t="str">
        <f aca="false">IF(BN266="","",SUMIF(ЗАКАЗЫ!$F$3:$F$500,$A266,ЗАКАЗЫ!$AL$3:$AL$500))</f>
        <v/>
      </c>
      <c r="BP266" s="7" t="str">
        <f aca="false">IF(BN266="","",BN266-BO266)</f>
        <v/>
      </c>
      <c r="BQ266" s="55" t="str">
        <f aca="false">IF(BN266="","",IF(BO266&gt;=BN266,"На складе",IF(BO266&gt;0,"Частично","Ждём")))</f>
        <v/>
      </c>
      <c r="BR266" s="43"/>
      <c r="BS266" s="47" t="str">
        <f aca="false">IF(BN266="","",IF(_xlfn.MAXIFS(ЗАКАЗЫ!$AK$3:$AK$500,ЗАКАЗЫ!$F$3:$F$500,$A266)=0,"",_xlfn.MAXIFS(ЗАКАЗЫ!$AK$3:$AK$500,ЗАКАЗЫ!$F$3:$F$500,$A266)))</f>
        <v/>
      </c>
    </row>
    <row r="267" customFormat="false" ht="15.75" hidden="false" customHeight="true" outlineLevel="0" collapsed="false">
      <c r="A267" s="80" t="s">
        <v>2461</v>
      </c>
      <c r="B267" s="81"/>
      <c r="C267" s="81"/>
      <c r="D267" s="81"/>
      <c r="E267" s="83"/>
      <c r="F267" s="81"/>
      <c r="G267" s="83"/>
      <c r="H267" s="83"/>
      <c r="I267" s="84" t="str">
        <f aca="false">IF(E267="","",A267&amp;"_1.jpg")</f>
        <v/>
      </c>
      <c r="J267" s="84" t="str">
        <f aca="false">IF(E267="","",A267&amp;"_2.jpg; "&amp;A267&amp;"_3.jpg")</f>
        <v/>
      </c>
      <c r="K267" s="84" t="str">
        <f aca="false">IF(E267="","",A267&amp;"_schema.jpg")</f>
        <v/>
      </c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 t="s">
        <v>96</v>
      </c>
      <c r="W267" s="81"/>
      <c r="X267" s="81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6" t="str">
        <f aca="false">IF(SUM(Y267:AJ267)=0,"",SUM(Y267:AJ267))</f>
        <v/>
      </c>
      <c r="AL267" s="84" t="str">
        <f aca="false">MID(IF(N(Y267)&gt;0,", "&amp;Y$2,"")&amp;IF(N(Z267)&gt;0,", "&amp;Z$2,"")&amp;IF(N(AA267)&gt;0,", "&amp;AA$2,"")&amp;IF(N(AB267)&gt;0,", "&amp;AB$2,"")&amp;IF(N(AC267)&gt;0,", "&amp;AC$2,"")&amp;IF(N(AD267)&gt;0,", "&amp;AD$2,"")&amp;IF(N(AE267)&gt;0,", "&amp;AE$2,"")&amp;IF(N(AF267)&gt;0,", "&amp;AF$2,"")&amp;IF(N(AG267)&gt;0,", "&amp;AG$2,"")&amp;IF(N(AH267)&gt;0,", "&amp;AH$2,"")&amp;IF(N(AI267)&gt;0,", "&amp;AI$2,"")&amp;IF(N(AJ267)&gt;0,", "&amp;AJ$2,""),3,999)</f>
        <v/>
      </c>
      <c r="AM267" s="87" t="str">
        <f aca="false">IF(E267="","",MID(IF(N(Y267)&gt;0,", "&amp;A267&amp;"-"&amp;Y$2,"")&amp;IF(N(Z267)&gt;0,", "&amp;A267&amp;"-"&amp;Z$2,"")&amp;IF(N(AA267)&gt;0,", "&amp;A267&amp;"-"&amp;AA$2,"")&amp;IF(N(AB267)&gt;0,", "&amp;A267&amp;"-"&amp;AB$2,"")&amp;IF(N(AC267)&gt;0,", "&amp;A267&amp;"-"&amp;AC$2,"")&amp;IF(N(AD267)&gt;0,", "&amp;A267&amp;"-"&amp;AD$2,"")&amp;IF(N(AE267)&gt;0,", "&amp;A267&amp;"-"&amp;AE$2,"")&amp;IF(N(AF267)&gt;0,", "&amp;A267&amp;"-"&amp;AF$2,"")&amp;IF(N(AG267)&gt;0,", "&amp;A267&amp;"-"&amp;AG$2,"")&amp;IF(N(AH267)&gt;0,", "&amp;A267&amp;"-"&amp;AH$2,"")&amp;IF(N(AI267)&gt;0,", "&amp;A267&amp;"-"&amp;AI$2,"")&amp;IF(N(AJ267)&gt;0,", "&amp;A267&amp;"-"&amp;AJ$2,""),3,999))</f>
        <v/>
      </c>
      <c r="AN267" s="81"/>
      <c r="AO267" s="88"/>
      <c r="AP267" s="89" t="str">
        <f aca="false">IF(AO267="","",ROUND(AO267/(1+Справочники!$B$13),2))</f>
        <v/>
      </c>
      <c r="AQ267" s="90" t="str">
        <f aca="false" t="array" ref="AQ267:AQ267">IF(AP267="","",AP267*INDEX(Справочники!$B$4:$B$7,MATCH("RUB",Справочники!$A$4:$A$7,0)))</f>
        <v/>
      </c>
      <c r="AR267" s="90" t="str">
        <f aca="false">IF(AQ267="","",ROUND(AQ267*(1+Справочники!$B$12),0))</f>
        <v/>
      </c>
      <c r="AS267" s="90" t="str">
        <f aca="false">IF(AR267="","",ROUND(AR267*(1-Справочники!$B$11),0))</f>
        <v/>
      </c>
      <c r="AT267" s="88"/>
      <c r="AU267" s="90" t="str">
        <f aca="false">IF(AT267="","",ROUND(AT267/(1+Справочники!$B$12),0))</f>
        <v/>
      </c>
      <c r="AV267" s="90" t="str">
        <f aca="false">IF(AT267="","",ROUND(AT267*(1-Справочники!$B$15),0))</f>
        <v/>
      </c>
      <c r="AW267" s="90" t="str">
        <f aca="false">IF(AT267="","",ROUND(AT267*(1-Справочники!$B$16),0))</f>
        <v/>
      </c>
      <c r="AX267" s="90" t="str">
        <f aca="false">IF(AT267="","",ROUND(AT267*(1-Справочники!$B$17),0))</f>
        <v/>
      </c>
      <c r="AY267" s="90" t="str">
        <f aca="false">IF(AT267="","",ROUND(AT267*(1-Справочники!$B$18),0))</f>
        <v/>
      </c>
      <c r="AZ267" s="90" t="str">
        <f aca="false">IF(AT267="","",ROUND(AT267*(1-Справочники!$B$19),0))</f>
        <v/>
      </c>
      <c r="BA267" s="81"/>
      <c r="BB267" s="81"/>
      <c r="BC267" s="81"/>
      <c r="BD267" s="81"/>
      <c r="BE267" s="91"/>
      <c r="BF267" s="81" t="s">
        <v>103</v>
      </c>
      <c r="BG267" s="89" t="n">
        <f aca="false" t="array" ref="BG267:BG267">IF(BF267="","",IFERROR(INDEX(Справочники!$B$4:$B$7,MATCH(BF267,Справочники!$A$4:$A$7,0)),""))</f>
        <v>68.5</v>
      </c>
      <c r="BH267" s="90" t="str">
        <f aca="false">IF(N(BN267)&gt;0,ROUND(SUMIF(ЗАКАЗЫ!$F$3:$F$500,$A267,ЗАКАЗЫ!$Y$3:$Y$500)/BN267,0),IF(OR(BE267="",BG267=""),"",ROUND(BE267*BG267*(1+Справочники!$B$10),0)))</f>
        <v/>
      </c>
      <c r="BI267" s="92" t="str">
        <f aca="false">IF(OR(AU267="",BH267="",AU267=0),"",(AU267-BH267)/AU267)</f>
        <v/>
      </c>
      <c r="BJ267" s="81"/>
      <c r="BK267" s="83"/>
      <c r="BL267" s="43" t="str">
        <f aca="false">IFERROR(INDEX(ЗАКАЗЫ!$N$3:$N$500,MATCH($A267,ЗАКАЗЫ!$F$3:$F$500,0)),"")</f>
        <v/>
      </c>
      <c r="BM267" s="8" t="str">
        <f aca="false">IF(BL267="","",IFERROR(VLOOKUP(BL267,'ТН ВЭД'!$A$4:$C$40,3,0),""))</f>
        <v/>
      </c>
      <c r="BN267" s="7" t="str">
        <f aca="false">IF(COUNTIF(ЗАКАЗЫ!$F$3:$F$500,$A267)=0,"",SUMIF(ЗАКАЗЫ!$F$3:$F$500,$A267,ЗАКАЗЫ!$J$3:$J$500))</f>
        <v/>
      </c>
      <c r="BO267" s="7" t="str">
        <f aca="false">IF(BN267="","",SUMIF(ЗАКАЗЫ!$F$3:$F$500,$A267,ЗАКАЗЫ!$AL$3:$AL$500))</f>
        <v/>
      </c>
      <c r="BP267" s="7" t="str">
        <f aca="false">IF(BN267="","",BN267-BO267)</f>
        <v/>
      </c>
      <c r="BQ267" s="55" t="str">
        <f aca="false">IF(BN267="","",IF(BO267&gt;=BN267,"На складе",IF(BO267&gt;0,"Частично","Ждём")))</f>
        <v/>
      </c>
      <c r="BR267" s="43"/>
      <c r="BS267" s="47" t="str">
        <f aca="false">IF(BN267="","",IF(_xlfn.MAXIFS(ЗАКАЗЫ!$AK$3:$AK$500,ЗАКАЗЫ!$F$3:$F$500,$A267)=0,"",_xlfn.MAXIFS(ЗАКАЗЫ!$AK$3:$AK$500,ЗАКАЗЫ!$F$3:$F$500,$A267)))</f>
        <v/>
      </c>
    </row>
    <row r="268" customFormat="false" ht="15.75" hidden="false" customHeight="true" outlineLevel="0" collapsed="false">
      <c r="A268" s="80" t="s">
        <v>2462</v>
      </c>
      <c r="B268" s="81"/>
      <c r="C268" s="81"/>
      <c r="D268" s="81"/>
      <c r="E268" s="83"/>
      <c r="F268" s="81"/>
      <c r="G268" s="83"/>
      <c r="H268" s="83"/>
      <c r="I268" s="84" t="str">
        <f aca="false">IF(E268="","",A268&amp;"_1.jpg")</f>
        <v/>
      </c>
      <c r="J268" s="84" t="str">
        <f aca="false">IF(E268="","",A268&amp;"_2.jpg; "&amp;A268&amp;"_3.jpg")</f>
        <v/>
      </c>
      <c r="K268" s="84" t="str">
        <f aca="false">IF(E268="","",A268&amp;"_schema.jpg")</f>
        <v/>
      </c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 t="s">
        <v>96</v>
      </c>
      <c r="W268" s="81"/>
      <c r="X268" s="81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6" t="str">
        <f aca="false">IF(SUM(Y268:AJ268)=0,"",SUM(Y268:AJ268))</f>
        <v/>
      </c>
      <c r="AL268" s="84" t="str">
        <f aca="false">MID(IF(N(Y268)&gt;0,", "&amp;Y$2,"")&amp;IF(N(Z268)&gt;0,", "&amp;Z$2,"")&amp;IF(N(AA268)&gt;0,", "&amp;AA$2,"")&amp;IF(N(AB268)&gt;0,", "&amp;AB$2,"")&amp;IF(N(AC268)&gt;0,", "&amp;AC$2,"")&amp;IF(N(AD268)&gt;0,", "&amp;AD$2,"")&amp;IF(N(AE268)&gt;0,", "&amp;AE$2,"")&amp;IF(N(AF268)&gt;0,", "&amp;AF$2,"")&amp;IF(N(AG268)&gt;0,", "&amp;AG$2,"")&amp;IF(N(AH268)&gt;0,", "&amp;AH$2,"")&amp;IF(N(AI268)&gt;0,", "&amp;AI$2,"")&amp;IF(N(AJ268)&gt;0,", "&amp;AJ$2,""),3,999)</f>
        <v/>
      </c>
      <c r="AM268" s="87" t="str">
        <f aca="false">IF(E268="","",MID(IF(N(Y268)&gt;0,", "&amp;A268&amp;"-"&amp;Y$2,"")&amp;IF(N(Z268)&gt;0,", "&amp;A268&amp;"-"&amp;Z$2,"")&amp;IF(N(AA268)&gt;0,", "&amp;A268&amp;"-"&amp;AA$2,"")&amp;IF(N(AB268)&gt;0,", "&amp;A268&amp;"-"&amp;AB$2,"")&amp;IF(N(AC268)&gt;0,", "&amp;A268&amp;"-"&amp;AC$2,"")&amp;IF(N(AD268)&gt;0,", "&amp;A268&amp;"-"&amp;AD$2,"")&amp;IF(N(AE268)&gt;0,", "&amp;A268&amp;"-"&amp;AE$2,"")&amp;IF(N(AF268)&gt;0,", "&amp;A268&amp;"-"&amp;AF$2,"")&amp;IF(N(AG268)&gt;0,", "&amp;A268&amp;"-"&amp;AG$2,"")&amp;IF(N(AH268)&gt;0,", "&amp;A268&amp;"-"&amp;AH$2,"")&amp;IF(N(AI268)&gt;0,", "&amp;A268&amp;"-"&amp;AI$2,"")&amp;IF(N(AJ268)&gt;0,", "&amp;A268&amp;"-"&amp;AJ$2,""),3,999))</f>
        <v/>
      </c>
      <c r="AN268" s="81"/>
      <c r="AO268" s="88"/>
      <c r="AP268" s="89" t="str">
        <f aca="false">IF(AO268="","",ROUND(AO268/(1+Справочники!$B$13),2))</f>
        <v/>
      </c>
      <c r="AQ268" s="90" t="str">
        <f aca="false" t="array" ref="AQ268:AQ268">IF(AP268="","",AP268*INDEX(Справочники!$B$4:$B$7,MATCH("RUB",Справочники!$A$4:$A$7,0)))</f>
        <v/>
      </c>
      <c r="AR268" s="90" t="str">
        <f aca="false">IF(AQ268="","",ROUND(AQ268*(1+Справочники!$B$12),0))</f>
        <v/>
      </c>
      <c r="AS268" s="90" t="str">
        <f aca="false">IF(AR268="","",ROUND(AR268*(1-Справочники!$B$11),0))</f>
        <v/>
      </c>
      <c r="AT268" s="88"/>
      <c r="AU268" s="90" t="str">
        <f aca="false">IF(AT268="","",ROUND(AT268/(1+Справочники!$B$12),0))</f>
        <v/>
      </c>
      <c r="AV268" s="90" t="str">
        <f aca="false">IF(AT268="","",ROUND(AT268*(1-Справочники!$B$15),0))</f>
        <v/>
      </c>
      <c r="AW268" s="90" t="str">
        <f aca="false">IF(AT268="","",ROUND(AT268*(1-Справочники!$B$16),0))</f>
        <v/>
      </c>
      <c r="AX268" s="90" t="str">
        <f aca="false">IF(AT268="","",ROUND(AT268*(1-Справочники!$B$17),0))</f>
        <v/>
      </c>
      <c r="AY268" s="90" t="str">
        <f aca="false">IF(AT268="","",ROUND(AT268*(1-Справочники!$B$18),0))</f>
        <v/>
      </c>
      <c r="AZ268" s="90" t="str">
        <f aca="false">IF(AT268="","",ROUND(AT268*(1-Справочники!$B$19),0))</f>
        <v/>
      </c>
      <c r="BA268" s="81"/>
      <c r="BB268" s="81"/>
      <c r="BC268" s="81"/>
      <c r="BD268" s="81"/>
      <c r="BE268" s="91"/>
      <c r="BF268" s="81" t="s">
        <v>103</v>
      </c>
      <c r="BG268" s="89" t="n">
        <f aca="false" t="array" ref="BG268:BG268">IF(BF268="","",IFERROR(INDEX(Справочники!$B$4:$B$7,MATCH(BF268,Справочники!$A$4:$A$7,0)),""))</f>
        <v>68.5</v>
      </c>
      <c r="BH268" s="90" t="str">
        <f aca="false">IF(N(BN268)&gt;0,ROUND(SUMIF(ЗАКАЗЫ!$F$3:$F$500,$A268,ЗАКАЗЫ!$Y$3:$Y$500)/BN268,0),IF(OR(BE268="",BG268=""),"",ROUND(BE268*BG268*(1+Справочники!$B$10),0)))</f>
        <v/>
      </c>
      <c r="BI268" s="92" t="str">
        <f aca="false">IF(OR(AU268="",BH268="",AU268=0),"",(AU268-BH268)/AU268)</f>
        <v/>
      </c>
      <c r="BJ268" s="81"/>
      <c r="BK268" s="83"/>
      <c r="BL268" s="43" t="str">
        <f aca="false">IFERROR(INDEX(ЗАКАЗЫ!$N$3:$N$500,MATCH($A268,ЗАКАЗЫ!$F$3:$F$500,0)),"")</f>
        <v/>
      </c>
      <c r="BM268" s="8" t="str">
        <f aca="false">IF(BL268="","",IFERROR(VLOOKUP(BL268,'ТН ВЭД'!$A$4:$C$40,3,0),""))</f>
        <v/>
      </c>
      <c r="BN268" s="7" t="str">
        <f aca="false">IF(COUNTIF(ЗАКАЗЫ!$F$3:$F$500,$A268)=0,"",SUMIF(ЗАКАЗЫ!$F$3:$F$500,$A268,ЗАКАЗЫ!$J$3:$J$500))</f>
        <v/>
      </c>
      <c r="BO268" s="7" t="str">
        <f aca="false">IF(BN268="","",SUMIF(ЗАКАЗЫ!$F$3:$F$500,$A268,ЗАКАЗЫ!$AL$3:$AL$500))</f>
        <v/>
      </c>
      <c r="BP268" s="7" t="str">
        <f aca="false">IF(BN268="","",BN268-BO268)</f>
        <v/>
      </c>
      <c r="BQ268" s="55" t="str">
        <f aca="false">IF(BN268="","",IF(BO268&gt;=BN268,"На складе",IF(BO268&gt;0,"Частично","Ждём")))</f>
        <v/>
      </c>
      <c r="BR268" s="43"/>
      <c r="BS268" s="47" t="str">
        <f aca="false">IF(BN268="","",IF(_xlfn.MAXIFS(ЗАКАЗЫ!$AK$3:$AK$500,ЗАКАЗЫ!$F$3:$F$500,$A268)=0,"",_xlfn.MAXIFS(ЗАКАЗЫ!$AK$3:$AK$500,ЗАКАЗЫ!$F$3:$F$500,$A268)))</f>
        <v/>
      </c>
    </row>
    <row r="269" customFormat="false" ht="15.75" hidden="false" customHeight="true" outlineLevel="0" collapsed="false">
      <c r="A269" s="80" t="s">
        <v>2463</v>
      </c>
      <c r="B269" s="81"/>
      <c r="C269" s="81"/>
      <c r="D269" s="81"/>
      <c r="E269" s="83"/>
      <c r="F269" s="81"/>
      <c r="G269" s="83"/>
      <c r="H269" s="83"/>
      <c r="I269" s="84" t="str">
        <f aca="false">IF(E269="","",A269&amp;"_1.jpg")</f>
        <v/>
      </c>
      <c r="J269" s="84" t="str">
        <f aca="false">IF(E269="","",A269&amp;"_2.jpg; "&amp;A269&amp;"_3.jpg")</f>
        <v/>
      </c>
      <c r="K269" s="84" t="str">
        <f aca="false">IF(E269="","",A269&amp;"_schema.jpg")</f>
        <v/>
      </c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 t="s">
        <v>96</v>
      </c>
      <c r="W269" s="81"/>
      <c r="X269" s="81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6" t="str">
        <f aca="false">IF(SUM(Y269:AJ269)=0,"",SUM(Y269:AJ269))</f>
        <v/>
      </c>
      <c r="AL269" s="84" t="str">
        <f aca="false">MID(IF(N(Y269)&gt;0,", "&amp;Y$2,"")&amp;IF(N(Z269)&gt;0,", "&amp;Z$2,"")&amp;IF(N(AA269)&gt;0,", "&amp;AA$2,"")&amp;IF(N(AB269)&gt;0,", "&amp;AB$2,"")&amp;IF(N(AC269)&gt;0,", "&amp;AC$2,"")&amp;IF(N(AD269)&gt;0,", "&amp;AD$2,"")&amp;IF(N(AE269)&gt;0,", "&amp;AE$2,"")&amp;IF(N(AF269)&gt;0,", "&amp;AF$2,"")&amp;IF(N(AG269)&gt;0,", "&amp;AG$2,"")&amp;IF(N(AH269)&gt;0,", "&amp;AH$2,"")&amp;IF(N(AI269)&gt;0,", "&amp;AI$2,"")&amp;IF(N(AJ269)&gt;0,", "&amp;AJ$2,""),3,999)</f>
        <v/>
      </c>
      <c r="AM269" s="87" t="str">
        <f aca="false">IF(E269="","",MID(IF(N(Y269)&gt;0,", "&amp;A269&amp;"-"&amp;Y$2,"")&amp;IF(N(Z269)&gt;0,", "&amp;A269&amp;"-"&amp;Z$2,"")&amp;IF(N(AA269)&gt;0,", "&amp;A269&amp;"-"&amp;AA$2,"")&amp;IF(N(AB269)&gt;0,", "&amp;A269&amp;"-"&amp;AB$2,"")&amp;IF(N(AC269)&gt;0,", "&amp;A269&amp;"-"&amp;AC$2,"")&amp;IF(N(AD269)&gt;0,", "&amp;A269&amp;"-"&amp;AD$2,"")&amp;IF(N(AE269)&gt;0,", "&amp;A269&amp;"-"&amp;AE$2,"")&amp;IF(N(AF269)&gt;0,", "&amp;A269&amp;"-"&amp;AF$2,"")&amp;IF(N(AG269)&gt;0,", "&amp;A269&amp;"-"&amp;AG$2,"")&amp;IF(N(AH269)&gt;0,", "&amp;A269&amp;"-"&amp;AH$2,"")&amp;IF(N(AI269)&gt;0,", "&amp;A269&amp;"-"&amp;AI$2,"")&amp;IF(N(AJ269)&gt;0,", "&amp;A269&amp;"-"&amp;AJ$2,""),3,999))</f>
        <v/>
      </c>
      <c r="AN269" s="81"/>
      <c r="AO269" s="88"/>
      <c r="AP269" s="89" t="str">
        <f aca="false">IF(AO269="","",ROUND(AO269/(1+Справочники!$B$13),2))</f>
        <v/>
      </c>
      <c r="AQ269" s="90" t="str">
        <f aca="false" t="array" ref="AQ269:AQ269">IF(AP269="","",AP269*INDEX(Справочники!$B$4:$B$7,MATCH("RUB",Справочники!$A$4:$A$7,0)))</f>
        <v/>
      </c>
      <c r="AR269" s="90" t="str">
        <f aca="false">IF(AQ269="","",ROUND(AQ269*(1+Справочники!$B$12),0))</f>
        <v/>
      </c>
      <c r="AS269" s="90" t="str">
        <f aca="false">IF(AR269="","",ROUND(AR269*(1-Справочники!$B$11),0))</f>
        <v/>
      </c>
      <c r="AT269" s="88"/>
      <c r="AU269" s="90" t="str">
        <f aca="false">IF(AT269="","",ROUND(AT269/(1+Справочники!$B$12),0))</f>
        <v/>
      </c>
      <c r="AV269" s="90" t="str">
        <f aca="false">IF(AT269="","",ROUND(AT269*(1-Справочники!$B$15),0))</f>
        <v/>
      </c>
      <c r="AW269" s="90" t="str">
        <f aca="false">IF(AT269="","",ROUND(AT269*(1-Справочники!$B$16),0))</f>
        <v/>
      </c>
      <c r="AX269" s="90" t="str">
        <f aca="false">IF(AT269="","",ROUND(AT269*(1-Справочники!$B$17),0))</f>
        <v/>
      </c>
      <c r="AY269" s="90" t="str">
        <f aca="false">IF(AT269="","",ROUND(AT269*(1-Справочники!$B$18),0))</f>
        <v/>
      </c>
      <c r="AZ269" s="90" t="str">
        <f aca="false">IF(AT269="","",ROUND(AT269*(1-Справочники!$B$19),0))</f>
        <v/>
      </c>
      <c r="BA269" s="81"/>
      <c r="BB269" s="81"/>
      <c r="BC269" s="81"/>
      <c r="BD269" s="81"/>
      <c r="BE269" s="91"/>
      <c r="BF269" s="81" t="s">
        <v>103</v>
      </c>
      <c r="BG269" s="89" t="n">
        <f aca="false" t="array" ref="BG269:BG269">IF(BF269="","",IFERROR(INDEX(Справочники!$B$4:$B$7,MATCH(BF269,Справочники!$A$4:$A$7,0)),""))</f>
        <v>68.5</v>
      </c>
      <c r="BH269" s="90" t="str">
        <f aca="false">IF(N(BN269)&gt;0,ROUND(SUMIF(ЗАКАЗЫ!$F$3:$F$500,$A269,ЗАКАЗЫ!$Y$3:$Y$500)/BN269,0),IF(OR(BE269="",BG269=""),"",ROUND(BE269*BG269*(1+Справочники!$B$10),0)))</f>
        <v/>
      </c>
      <c r="BI269" s="92" t="str">
        <f aca="false">IF(OR(AU269="",BH269="",AU269=0),"",(AU269-BH269)/AU269)</f>
        <v/>
      </c>
      <c r="BJ269" s="81"/>
      <c r="BK269" s="83"/>
      <c r="BL269" s="43" t="str">
        <f aca="false">IFERROR(INDEX(ЗАКАЗЫ!$N$3:$N$500,MATCH($A269,ЗАКАЗЫ!$F$3:$F$500,0)),"")</f>
        <v/>
      </c>
      <c r="BM269" s="8" t="str">
        <f aca="false">IF(BL269="","",IFERROR(VLOOKUP(BL269,'ТН ВЭД'!$A$4:$C$40,3,0),""))</f>
        <v/>
      </c>
      <c r="BN269" s="7" t="str">
        <f aca="false">IF(COUNTIF(ЗАКАЗЫ!$F$3:$F$500,$A269)=0,"",SUMIF(ЗАКАЗЫ!$F$3:$F$500,$A269,ЗАКАЗЫ!$J$3:$J$500))</f>
        <v/>
      </c>
      <c r="BO269" s="7" t="str">
        <f aca="false">IF(BN269="","",SUMIF(ЗАКАЗЫ!$F$3:$F$500,$A269,ЗАКАЗЫ!$AL$3:$AL$500))</f>
        <v/>
      </c>
      <c r="BP269" s="7" t="str">
        <f aca="false">IF(BN269="","",BN269-BO269)</f>
        <v/>
      </c>
      <c r="BQ269" s="55" t="str">
        <f aca="false">IF(BN269="","",IF(BO269&gt;=BN269,"На складе",IF(BO269&gt;0,"Частично","Ждём")))</f>
        <v/>
      </c>
      <c r="BR269" s="43"/>
      <c r="BS269" s="47" t="str">
        <f aca="false">IF(BN269="","",IF(_xlfn.MAXIFS(ЗАКАЗЫ!$AK$3:$AK$500,ЗАКАЗЫ!$F$3:$F$500,$A269)=0,"",_xlfn.MAXIFS(ЗАКАЗЫ!$AK$3:$AK$500,ЗАКАЗЫ!$F$3:$F$500,$A269)))</f>
        <v/>
      </c>
    </row>
    <row r="270" customFormat="false" ht="15.75" hidden="false" customHeight="true" outlineLevel="0" collapsed="false">
      <c r="A270" s="80" t="s">
        <v>2464</v>
      </c>
      <c r="B270" s="81"/>
      <c r="C270" s="81"/>
      <c r="D270" s="81"/>
      <c r="E270" s="83"/>
      <c r="F270" s="81"/>
      <c r="G270" s="83"/>
      <c r="H270" s="83"/>
      <c r="I270" s="84" t="str">
        <f aca="false">IF(E270="","",A270&amp;"_1.jpg")</f>
        <v/>
      </c>
      <c r="J270" s="84" t="str">
        <f aca="false">IF(E270="","",A270&amp;"_2.jpg; "&amp;A270&amp;"_3.jpg")</f>
        <v/>
      </c>
      <c r="K270" s="84" t="str">
        <f aca="false">IF(E270="","",A270&amp;"_schema.jpg")</f>
        <v/>
      </c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 t="s">
        <v>96</v>
      </c>
      <c r="W270" s="81"/>
      <c r="X270" s="81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6" t="str">
        <f aca="false">IF(SUM(Y270:AJ270)=0,"",SUM(Y270:AJ270))</f>
        <v/>
      </c>
      <c r="AL270" s="84" t="str">
        <f aca="false">MID(IF(N(Y270)&gt;0,", "&amp;Y$2,"")&amp;IF(N(Z270)&gt;0,", "&amp;Z$2,"")&amp;IF(N(AA270)&gt;0,", "&amp;AA$2,"")&amp;IF(N(AB270)&gt;0,", "&amp;AB$2,"")&amp;IF(N(AC270)&gt;0,", "&amp;AC$2,"")&amp;IF(N(AD270)&gt;0,", "&amp;AD$2,"")&amp;IF(N(AE270)&gt;0,", "&amp;AE$2,"")&amp;IF(N(AF270)&gt;0,", "&amp;AF$2,"")&amp;IF(N(AG270)&gt;0,", "&amp;AG$2,"")&amp;IF(N(AH270)&gt;0,", "&amp;AH$2,"")&amp;IF(N(AI270)&gt;0,", "&amp;AI$2,"")&amp;IF(N(AJ270)&gt;0,", "&amp;AJ$2,""),3,999)</f>
        <v/>
      </c>
      <c r="AM270" s="87" t="str">
        <f aca="false">IF(E270="","",MID(IF(N(Y270)&gt;0,", "&amp;A270&amp;"-"&amp;Y$2,"")&amp;IF(N(Z270)&gt;0,", "&amp;A270&amp;"-"&amp;Z$2,"")&amp;IF(N(AA270)&gt;0,", "&amp;A270&amp;"-"&amp;AA$2,"")&amp;IF(N(AB270)&gt;0,", "&amp;A270&amp;"-"&amp;AB$2,"")&amp;IF(N(AC270)&gt;0,", "&amp;A270&amp;"-"&amp;AC$2,"")&amp;IF(N(AD270)&gt;0,", "&amp;A270&amp;"-"&amp;AD$2,"")&amp;IF(N(AE270)&gt;0,", "&amp;A270&amp;"-"&amp;AE$2,"")&amp;IF(N(AF270)&gt;0,", "&amp;A270&amp;"-"&amp;AF$2,"")&amp;IF(N(AG270)&gt;0,", "&amp;A270&amp;"-"&amp;AG$2,"")&amp;IF(N(AH270)&gt;0,", "&amp;A270&amp;"-"&amp;AH$2,"")&amp;IF(N(AI270)&gt;0,", "&amp;A270&amp;"-"&amp;AI$2,"")&amp;IF(N(AJ270)&gt;0,", "&amp;A270&amp;"-"&amp;AJ$2,""),3,999))</f>
        <v/>
      </c>
      <c r="AN270" s="81"/>
      <c r="AO270" s="88"/>
      <c r="AP270" s="89" t="str">
        <f aca="false">IF(AO270="","",ROUND(AO270/(1+Справочники!$B$13),2))</f>
        <v/>
      </c>
      <c r="AQ270" s="90" t="str">
        <f aca="false" t="array" ref="AQ270:AQ270">IF(AP270="","",AP270*INDEX(Справочники!$B$4:$B$7,MATCH("RUB",Справочники!$A$4:$A$7,0)))</f>
        <v/>
      </c>
      <c r="AR270" s="90" t="str">
        <f aca="false">IF(AQ270="","",ROUND(AQ270*(1+Справочники!$B$12),0))</f>
        <v/>
      </c>
      <c r="AS270" s="90" t="str">
        <f aca="false">IF(AR270="","",ROUND(AR270*(1-Справочники!$B$11),0))</f>
        <v/>
      </c>
      <c r="AT270" s="88"/>
      <c r="AU270" s="90" t="str">
        <f aca="false">IF(AT270="","",ROUND(AT270/(1+Справочники!$B$12),0))</f>
        <v/>
      </c>
      <c r="AV270" s="90" t="str">
        <f aca="false">IF(AT270="","",ROUND(AT270*(1-Справочники!$B$15),0))</f>
        <v/>
      </c>
      <c r="AW270" s="90" t="str">
        <f aca="false">IF(AT270="","",ROUND(AT270*(1-Справочники!$B$16),0))</f>
        <v/>
      </c>
      <c r="AX270" s="90" t="str">
        <f aca="false">IF(AT270="","",ROUND(AT270*(1-Справочники!$B$17),0))</f>
        <v/>
      </c>
      <c r="AY270" s="90" t="str">
        <f aca="false">IF(AT270="","",ROUND(AT270*(1-Справочники!$B$18),0))</f>
        <v/>
      </c>
      <c r="AZ270" s="90" t="str">
        <f aca="false">IF(AT270="","",ROUND(AT270*(1-Справочники!$B$19),0))</f>
        <v/>
      </c>
      <c r="BA270" s="81"/>
      <c r="BB270" s="81"/>
      <c r="BC270" s="81"/>
      <c r="BD270" s="81"/>
      <c r="BE270" s="91"/>
      <c r="BF270" s="81" t="s">
        <v>103</v>
      </c>
      <c r="BG270" s="89" t="n">
        <f aca="false" t="array" ref="BG270:BG270">IF(BF270="","",IFERROR(INDEX(Справочники!$B$4:$B$7,MATCH(BF270,Справочники!$A$4:$A$7,0)),""))</f>
        <v>68.5</v>
      </c>
      <c r="BH270" s="90" t="str">
        <f aca="false">IF(N(BN270)&gt;0,ROUND(SUMIF(ЗАКАЗЫ!$F$3:$F$500,$A270,ЗАКАЗЫ!$Y$3:$Y$500)/BN270,0),IF(OR(BE270="",BG270=""),"",ROUND(BE270*BG270*(1+Справочники!$B$10),0)))</f>
        <v/>
      </c>
      <c r="BI270" s="92" t="str">
        <f aca="false">IF(OR(AU270="",BH270="",AU270=0),"",(AU270-BH270)/AU270)</f>
        <v/>
      </c>
      <c r="BJ270" s="81"/>
      <c r="BK270" s="83"/>
      <c r="BL270" s="43" t="str">
        <f aca="false">IFERROR(INDEX(ЗАКАЗЫ!$N$3:$N$500,MATCH($A270,ЗАКАЗЫ!$F$3:$F$500,0)),"")</f>
        <v/>
      </c>
      <c r="BM270" s="8" t="str">
        <f aca="false">IF(BL270="","",IFERROR(VLOOKUP(BL270,'ТН ВЭД'!$A$4:$C$40,3,0),""))</f>
        <v/>
      </c>
      <c r="BN270" s="7" t="str">
        <f aca="false">IF(COUNTIF(ЗАКАЗЫ!$F$3:$F$500,$A270)=0,"",SUMIF(ЗАКАЗЫ!$F$3:$F$500,$A270,ЗАКАЗЫ!$J$3:$J$500))</f>
        <v/>
      </c>
      <c r="BO270" s="7" t="str">
        <f aca="false">IF(BN270="","",SUMIF(ЗАКАЗЫ!$F$3:$F$500,$A270,ЗАКАЗЫ!$AL$3:$AL$500))</f>
        <v/>
      </c>
      <c r="BP270" s="7" t="str">
        <f aca="false">IF(BN270="","",BN270-BO270)</f>
        <v/>
      </c>
      <c r="BQ270" s="55" t="str">
        <f aca="false">IF(BN270="","",IF(BO270&gt;=BN270,"На складе",IF(BO270&gt;0,"Частично","Ждём")))</f>
        <v/>
      </c>
      <c r="BR270" s="43"/>
      <c r="BS270" s="47" t="str">
        <f aca="false">IF(BN270="","",IF(_xlfn.MAXIFS(ЗАКАЗЫ!$AK$3:$AK$500,ЗАКАЗЫ!$F$3:$F$500,$A270)=0,"",_xlfn.MAXIFS(ЗАКАЗЫ!$AK$3:$AK$500,ЗАКАЗЫ!$F$3:$F$500,$A270)))</f>
        <v/>
      </c>
    </row>
    <row r="271" customFormat="false" ht="15.75" hidden="false" customHeight="true" outlineLevel="0" collapsed="false">
      <c r="A271" s="80" t="s">
        <v>2465</v>
      </c>
      <c r="B271" s="81"/>
      <c r="C271" s="81"/>
      <c r="D271" s="81"/>
      <c r="E271" s="83"/>
      <c r="F271" s="81"/>
      <c r="G271" s="83"/>
      <c r="H271" s="83"/>
      <c r="I271" s="84" t="str">
        <f aca="false">IF(E271="","",A271&amp;"_1.jpg")</f>
        <v/>
      </c>
      <c r="J271" s="84" t="str">
        <f aca="false">IF(E271="","",A271&amp;"_2.jpg; "&amp;A271&amp;"_3.jpg")</f>
        <v/>
      </c>
      <c r="K271" s="84" t="str">
        <f aca="false">IF(E271="","",A271&amp;"_schema.jpg")</f>
        <v/>
      </c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 t="s">
        <v>96</v>
      </c>
      <c r="W271" s="81"/>
      <c r="X271" s="81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6" t="str">
        <f aca="false">IF(SUM(Y271:AJ271)=0,"",SUM(Y271:AJ271))</f>
        <v/>
      </c>
      <c r="AL271" s="84" t="str">
        <f aca="false">MID(IF(N(Y271)&gt;0,", "&amp;Y$2,"")&amp;IF(N(Z271)&gt;0,", "&amp;Z$2,"")&amp;IF(N(AA271)&gt;0,", "&amp;AA$2,"")&amp;IF(N(AB271)&gt;0,", "&amp;AB$2,"")&amp;IF(N(AC271)&gt;0,", "&amp;AC$2,"")&amp;IF(N(AD271)&gt;0,", "&amp;AD$2,"")&amp;IF(N(AE271)&gt;0,", "&amp;AE$2,"")&amp;IF(N(AF271)&gt;0,", "&amp;AF$2,"")&amp;IF(N(AG271)&gt;0,", "&amp;AG$2,"")&amp;IF(N(AH271)&gt;0,", "&amp;AH$2,"")&amp;IF(N(AI271)&gt;0,", "&amp;AI$2,"")&amp;IF(N(AJ271)&gt;0,", "&amp;AJ$2,""),3,999)</f>
        <v/>
      </c>
      <c r="AM271" s="87" t="str">
        <f aca="false">IF(E271="","",MID(IF(N(Y271)&gt;0,", "&amp;A271&amp;"-"&amp;Y$2,"")&amp;IF(N(Z271)&gt;0,", "&amp;A271&amp;"-"&amp;Z$2,"")&amp;IF(N(AA271)&gt;0,", "&amp;A271&amp;"-"&amp;AA$2,"")&amp;IF(N(AB271)&gt;0,", "&amp;A271&amp;"-"&amp;AB$2,"")&amp;IF(N(AC271)&gt;0,", "&amp;A271&amp;"-"&amp;AC$2,"")&amp;IF(N(AD271)&gt;0,", "&amp;A271&amp;"-"&amp;AD$2,"")&amp;IF(N(AE271)&gt;0,", "&amp;A271&amp;"-"&amp;AE$2,"")&amp;IF(N(AF271)&gt;0,", "&amp;A271&amp;"-"&amp;AF$2,"")&amp;IF(N(AG271)&gt;0,", "&amp;A271&amp;"-"&amp;AG$2,"")&amp;IF(N(AH271)&gt;0,", "&amp;A271&amp;"-"&amp;AH$2,"")&amp;IF(N(AI271)&gt;0,", "&amp;A271&amp;"-"&amp;AI$2,"")&amp;IF(N(AJ271)&gt;0,", "&amp;A271&amp;"-"&amp;AJ$2,""),3,999))</f>
        <v/>
      </c>
      <c r="AN271" s="81"/>
      <c r="AO271" s="88"/>
      <c r="AP271" s="89" t="str">
        <f aca="false">IF(AO271="","",ROUND(AO271/(1+Справочники!$B$13),2))</f>
        <v/>
      </c>
      <c r="AQ271" s="90" t="str">
        <f aca="false" t="array" ref="AQ271:AQ271">IF(AP271="","",AP271*INDEX(Справочники!$B$4:$B$7,MATCH("RUB",Справочники!$A$4:$A$7,0)))</f>
        <v/>
      </c>
      <c r="AR271" s="90" t="str">
        <f aca="false">IF(AQ271="","",ROUND(AQ271*(1+Справочники!$B$12),0))</f>
        <v/>
      </c>
      <c r="AS271" s="90" t="str">
        <f aca="false">IF(AR271="","",ROUND(AR271*(1-Справочники!$B$11),0))</f>
        <v/>
      </c>
      <c r="AT271" s="88"/>
      <c r="AU271" s="90" t="str">
        <f aca="false">IF(AT271="","",ROUND(AT271/(1+Справочники!$B$12),0))</f>
        <v/>
      </c>
      <c r="AV271" s="90" t="str">
        <f aca="false">IF(AT271="","",ROUND(AT271*(1-Справочники!$B$15),0))</f>
        <v/>
      </c>
      <c r="AW271" s="90" t="str">
        <f aca="false">IF(AT271="","",ROUND(AT271*(1-Справочники!$B$16),0))</f>
        <v/>
      </c>
      <c r="AX271" s="90" t="str">
        <f aca="false">IF(AT271="","",ROUND(AT271*(1-Справочники!$B$17),0))</f>
        <v/>
      </c>
      <c r="AY271" s="90" t="str">
        <f aca="false">IF(AT271="","",ROUND(AT271*(1-Справочники!$B$18),0))</f>
        <v/>
      </c>
      <c r="AZ271" s="90" t="str">
        <f aca="false">IF(AT271="","",ROUND(AT271*(1-Справочники!$B$19),0))</f>
        <v/>
      </c>
      <c r="BA271" s="81"/>
      <c r="BB271" s="81"/>
      <c r="BC271" s="81"/>
      <c r="BD271" s="81"/>
      <c r="BE271" s="91"/>
      <c r="BF271" s="81" t="s">
        <v>103</v>
      </c>
      <c r="BG271" s="89" t="n">
        <f aca="false" t="array" ref="BG271:BG271">IF(BF271="","",IFERROR(INDEX(Справочники!$B$4:$B$7,MATCH(BF271,Справочники!$A$4:$A$7,0)),""))</f>
        <v>68.5</v>
      </c>
      <c r="BH271" s="90" t="str">
        <f aca="false">IF(N(BN271)&gt;0,ROUND(SUMIF(ЗАКАЗЫ!$F$3:$F$500,$A271,ЗАКАЗЫ!$Y$3:$Y$500)/BN271,0),IF(OR(BE271="",BG271=""),"",ROUND(BE271*BG271*(1+Справочники!$B$10),0)))</f>
        <v/>
      </c>
      <c r="BI271" s="92" t="str">
        <f aca="false">IF(OR(AU271="",BH271="",AU271=0),"",(AU271-BH271)/AU271)</f>
        <v/>
      </c>
      <c r="BJ271" s="81"/>
      <c r="BK271" s="83"/>
      <c r="BL271" s="43" t="str">
        <f aca="false">IFERROR(INDEX(ЗАКАЗЫ!$N$3:$N$500,MATCH($A271,ЗАКАЗЫ!$F$3:$F$500,0)),"")</f>
        <v/>
      </c>
      <c r="BM271" s="8" t="str">
        <f aca="false">IF(BL271="","",IFERROR(VLOOKUP(BL271,'ТН ВЭД'!$A$4:$C$40,3,0),""))</f>
        <v/>
      </c>
      <c r="BN271" s="7" t="str">
        <f aca="false">IF(COUNTIF(ЗАКАЗЫ!$F$3:$F$500,$A271)=0,"",SUMIF(ЗАКАЗЫ!$F$3:$F$500,$A271,ЗАКАЗЫ!$J$3:$J$500))</f>
        <v/>
      </c>
      <c r="BO271" s="7" t="str">
        <f aca="false">IF(BN271="","",SUMIF(ЗАКАЗЫ!$F$3:$F$500,$A271,ЗАКАЗЫ!$AL$3:$AL$500))</f>
        <v/>
      </c>
      <c r="BP271" s="7" t="str">
        <f aca="false">IF(BN271="","",BN271-BO271)</f>
        <v/>
      </c>
      <c r="BQ271" s="55" t="str">
        <f aca="false">IF(BN271="","",IF(BO271&gt;=BN271,"На складе",IF(BO271&gt;0,"Частично","Ждём")))</f>
        <v/>
      </c>
      <c r="BR271" s="43"/>
      <c r="BS271" s="47" t="str">
        <f aca="false">IF(BN271="","",IF(_xlfn.MAXIFS(ЗАКАЗЫ!$AK$3:$AK$500,ЗАКАЗЫ!$F$3:$F$500,$A271)=0,"",_xlfn.MAXIFS(ЗАКАЗЫ!$AK$3:$AK$500,ЗАКАЗЫ!$F$3:$F$500,$A271)))</f>
        <v/>
      </c>
    </row>
    <row r="272" customFormat="false" ht="15.75" hidden="false" customHeight="true" outlineLevel="0" collapsed="false">
      <c r="A272" s="80" t="s">
        <v>2466</v>
      </c>
      <c r="B272" s="81"/>
      <c r="C272" s="81"/>
      <c r="D272" s="81"/>
      <c r="E272" s="83"/>
      <c r="F272" s="81"/>
      <c r="G272" s="83"/>
      <c r="H272" s="83"/>
      <c r="I272" s="84" t="str">
        <f aca="false">IF(E272="","",A272&amp;"_1.jpg")</f>
        <v/>
      </c>
      <c r="J272" s="84" t="str">
        <f aca="false">IF(E272="","",A272&amp;"_2.jpg; "&amp;A272&amp;"_3.jpg")</f>
        <v/>
      </c>
      <c r="K272" s="84" t="str">
        <f aca="false">IF(E272="","",A272&amp;"_schema.jpg")</f>
        <v/>
      </c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 t="s">
        <v>96</v>
      </c>
      <c r="W272" s="81"/>
      <c r="X272" s="81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6" t="str">
        <f aca="false">IF(SUM(Y272:AJ272)=0,"",SUM(Y272:AJ272))</f>
        <v/>
      </c>
      <c r="AL272" s="84" t="str">
        <f aca="false">MID(IF(N(Y272)&gt;0,", "&amp;Y$2,"")&amp;IF(N(Z272)&gt;0,", "&amp;Z$2,"")&amp;IF(N(AA272)&gt;0,", "&amp;AA$2,"")&amp;IF(N(AB272)&gt;0,", "&amp;AB$2,"")&amp;IF(N(AC272)&gt;0,", "&amp;AC$2,"")&amp;IF(N(AD272)&gt;0,", "&amp;AD$2,"")&amp;IF(N(AE272)&gt;0,", "&amp;AE$2,"")&amp;IF(N(AF272)&gt;0,", "&amp;AF$2,"")&amp;IF(N(AG272)&gt;0,", "&amp;AG$2,"")&amp;IF(N(AH272)&gt;0,", "&amp;AH$2,"")&amp;IF(N(AI272)&gt;0,", "&amp;AI$2,"")&amp;IF(N(AJ272)&gt;0,", "&amp;AJ$2,""),3,999)</f>
        <v/>
      </c>
      <c r="AM272" s="87" t="str">
        <f aca="false">IF(E272="","",MID(IF(N(Y272)&gt;0,", "&amp;A272&amp;"-"&amp;Y$2,"")&amp;IF(N(Z272)&gt;0,", "&amp;A272&amp;"-"&amp;Z$2,"")&amp;IF(N(AA272)&gt;0,", "&amp;A272&amp;"-"&amp;AA$2,"")&amp;IF(N(AB272)&gt;0,", "&amp;A272&amp;"-"&amp;AB$2,"")&amp;IF(N(AC272)&gt;0,", "&amp;A272&amp;"-"&amp;AC$2,"")&amp;IF(N(AD272)&gt;0,", "&amp;A272&amp;"-"&amp;AD$2,"")&amp;IF(N(AE272)&gt;0,", "&amp;A272&amp;"-"&amp;AE$2,"")&amp;IF(N(AF272)&gt;0,", "&amp;A272&amp;"-"&amp;AF$2,"")&amp;IF(N(AG272)&gt;0,", "&amp;A272&amp;"-"&amp;AG$2,"")&amp;IF(N(AH272)&gt;0,", "&amp;A272&amp;"-"&amp;AH$2,"")&amp;IF(N(AI272)&gt;0,", "&amp;A272&amp;"-"&amp;AI$2,"")&amp;IF(N(AJ272)&gt;0,", "&amp;A272&amp;"-"&amp;AJ$2,""),3,999))</f>
        <v/>
      </c>
      <c r="AN272" s="81"/>
      <c r="AO272" s="88"/>
      <c r="AP272" s="89" t="str">
        <f aca="false">IF(AO272="","",ROUND(AO272/(1+Справочники!$B$13),2))</f>
        <v/>
      </c>
      <c r="AQ272" s="90" t="str">
        <f aca="false" t="array" ref="AQ272:AQ272">IF(AP272="","",AP272*INDEX(Справочники!$B$4:$B$7,MATCH("RUB",Справочники!$A$4:$A$7,0)))</f>
        <v/>
      </c>
      <c r="AR272" s="90" t="str">
        <f aca="false">IF(AQ272="","",ROUND(AQ272*(1+Справочники!$B$12),0))</f>
        <v/>
      </c>
      <c r="AS272" s="90" t="str">
        <f aca="false">IF(AR272="","",ROUND(AR272*(1-Справочники!$B$11),0))</f>
        <v/>
      </c>
      <c r="AT272" s="88"/>
      <c r="AU272" s="90" t="str">
        <f aca="false">IF(AT272="","",ROUND(AT272/(1+Справочники!$B$12),0))</f>
        <v/>
      </c>
      <c r="AV272" s="90" t="str">
        <f aca="false">IF(AT272="","",ROUND(AT272*(1-Справочники!$B$15),0))</f>
        <v/>
      </c>
      <c r="AW272" s="90" t="str">
        <f aca="false">IF(AT272="","",ROUND(AT272*(1-Справочники!$B$16),0))</f>
        <v/>
      </c>
      <c r="AX272" s="90" t="str">
        <f aca="false">IF(AT272="","",ROUND(AT272*(1-Справочники!$B$17),0))</f>
        <v/>
      </c>
      <c r="AY272" s="90" t="str">
        <f aca="false">IF(AT272="","",ROUND(AT272*(1-Справочники!$B$18),0))</f>
        <v/>
      </c>
      <c r="AZ272" s="90" t="str">
        <f aca="false">IF(AT272="","",ROUND(AT272*(1-Справочники!$B$19),0))</f>
        <v/>
      </c>
      <c r="BA272" s="81"/>
      <c r="BB272" s="81"/>
      <c r="BC272" s="81"/>
      <c r="BD272" s="81"/>
      <c r="BE272" s="91"/>
      <c r="BF272" s="81" t="s">
        <v>103</v>
      </c>
      <c r="BG272" s="89" t="n">
        <f aca="false" t="array" ref="BG272:BG272">IF(BF272="","",IFERROR(INDEX(Справочники!$B$4:$B$7,MATCH(BF272,Справочники!$A$4:$A$7,0)),""))</f>
        <v>68.5</v>
      </c>
      <c r="BH272" s="90" t="str">
        <f aca="false">IF(N(BN272)&gt;0,ROUND(SUMIF(ЗАКАЗЫ!$F$3:$F$500,$A272,ЗАКАЗЫ!$Y$3:$Y$500)/BN272,0),IF(OR(BE272="",BG272=""),"",ROUND(BE272*BG272*(1+Справочники!$B$10),0)))</f>
        <v/>
      </c>
      <c r="BI272" s="92" t="str">
        <f aca="false">IF(OR(AU272="",BH272="",AU272=0),"",(AU272-BH272)/AU272)</f>
        <v/>
      </c>
      <c r="BJ272" s="81"/>
      <c r="BK272" s="83"/>
      <c r="BL272" s="43" t="str">
        <f aca="false">IFERROR(INDEX(ЗАКАЗЫ!$N$3:$N$500,MATCH($A272,ЗАКАЗЫ!$F$3:$F$500,0)),"")</f>
        <v/>
      </c>
      <c r="BM272" s="8" t="str">
        <f aca="false">IF(BL272="","",IFERROR(VLOOKUP(BL272,'ТН ВЭД'!$A$4:$C$40,3,0),""))</f>
        <v/>
      </c>
      <c r="BN272" s="7" t="str">
        <f aca="false">IF(COUNTIF(ЗАКАЗЫ!$F$3:$F$500,$A272)=0,"",SUMIF(ЗАКАЗЫ!$F$3:$F$500,$A272,ЗАКАЗЫ!$J$3:$J$500))</f>
        <v/>
      </c>
      <c r="BO272" s="7" t="str">
        <f aca="false">IF(BN272="","",SUMIF(ЗАКАЗЫ!$F$3:$F$500,$A272,ЗАКАЗЫ!$AL$3:$AL$500))</f>
        <v/>
      </c>
      <c r="BP272" s="7" t="str">
        <f aca="false">IF(BN272="","",BN272-BO272)</f>
        <v/>
      </c>
      <c r="BQ272" s="55" t="str">
        <f aca="false">IF(BN272="","",IF(BO272&gt;=BN272,"На складе",IF(BO272&gt;0,"Частично","Ждём")))</f>
        <v/>
      </c>
      <c r="BR272" s="43"/>
      <c r="BS272" s="47" t="str">
        <f aca="false">IF(BN272="","",IF(_xlfn.MAXIFS(ЗАКАЗЫ!$AK$3:$AK$500,ЗАКАЗЫ!$F$3:$F$500,$A272)=0,"",_xlfn.MAXIFS(ЗАКАЗЫ!$AK$3:$AK$500,ЗАКАЗЫ!$F$3:$F$500,$A272)))</f>
        <v/>
      </c>
    </row>
    <row r="273" customFormat="false" ht="15.75" hidden="false" customHeight="true" outlineLevel="0" collapsed="false">
      <c r="A273" s="80" t="s">
        <v>2467</v>
      </c>
      <c r="B273" s="81"/>
      <c r="C273" s="81"/>
      <c r="D273" s="81"/>
      <c r="E273" s="83"/>
      <c r="F273" s="81"/>
      <c r="G273" s="83"/>
      <c r="H273" s="83"/>
      <c r="I273" s="84" t="str">
        <f aca="false">IF(E273="","",A273&amp;"_1.jpg")</f>
        <v/>
      </c>
      <c r="J273" s="84" t="str">
        <f aca="false">IF(E273="","",A273&amp;"_2.jpg; "&amp;A273&amp;"_3.jpg")</f>
        <v/>
      </c>
      <c r="K273" s="84" t="str">
        <f aca="false">IF(E273="","",A273&amp;"_schema.jpg")</f>
        <v/>
      </c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 t="s">
        <v>96</v>
      </c>
      <c r="W273" s="81"/>
      <c r="X273" s="81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6" t="str">
        <f aca="false">IF(SUM(Y273:AJ273)=0,"",SUM(Y273:AJ273))</f>
        <v/>
      </c>
      <c r="AL273" s="84" t="str">
        <f aca="false">MID(IF(N(Y273)&gt;0,", "&amp;Y$2,"")&amp;IF(N(Z273)&gt;0,", "&amp;Z$2,"")&amp;IF(N(AA273)&gt;0,", "&amp;AA$2,"")&amp;IF(N(AB273)&gt;0,", "&amp;AB$2,"")&amp;IF(N(AC273)&gt;0,", "&amp;AC$2,"")&amp;IF(N(AD273)&gt;0,", "&amp;AD$2,"")&amp;IF(N(AE273)&gt;0,", "&amp;AE$2,"")&amp;IF(N(AF273)&gt;0,", "&amp;AF$2,"")&amp;IF(N(AG273)&gt;0,", "&amp;AG$2,"")&amp;IF(N(AH273)&gt;0,", "&amp;AH$2,"")&amp;IF(N(AI273)&gt;0,", "&amp;AI$2,"")&amp;IF(N(AJ273)&gt;0,", "&amp;AJ$2,""),3,999)</f>
        <v/>
      </c>
      <c r="AM273" s="87" t="str">
        <f aca="false">IF(E273="","",MID(IF(N(Y273)&gt;0,", "&amp;A273&amp;"-"&amp;Y$2,"")&amp;IF(N(Z273)&gt;0,", "&amp;A273&amp;"-"&amp;Z$2,"")&amp;IF(N(AA273)&gt;0,", "&amp;A273&amp;"-"&amp;AA$2,"")&amp;IF(N(AB273)&gt;0,", "&amp;A273&amp;"-"&amp;AB$2,"")&amp;IF(N(AC273)&gt;0,", "&amp;A273&amp;"-"&amp;AC$2,"")&amp;IF(N(AD273)&gt;0,", "&amp;A273&amp;"-"&amp;AD$2,"")&amp;IF(N(AE273)&gt;0,", "&amp;A273&amp;"-"&amp;AE$2,"")&amp;IF(N(AF273)&gt;0,", "&amp;A273&amp;"-"&amp;AF$2,"")&amp;IF(N(AG273)&gt;0,", "&amp;A273&amp;"-"&amp;AG$2,"")&amp;IF(N(AH273)&gt;0,", "&amp;A273&amp;"-"&amp;AH$2,"")&amp;IF(N(AI273)&gt;0,", "&amp;A273&amp;"-"&amp;AI$2,"")&amp;IF(N(AJ273)&gt;0,", "&amp;A273&amp;"-"&amp;AJ$2,""),3,999))</f>
        <v/>
      </c>
      <c r="AN273" s="81"/>
      <c r="AO273" s="88"/>
      <c r="AP273" s="89" t="str">
        <f aca="false">IF(AO273="","",ROUND(AO273/(1+Справочники!$B$13),2))</f>
        <v/>
      </c>
      <c r="AQ273" s="90" t="str">
        <f aca="false" t="array" ref="AQ273:AQ273">IF(AP273="","",AP273*INDEX(Справочники!$B$4:$B$7,MATCH("RUB",Справочники!$A$4:$A$7,0)))</f>
        <v/>
      </c>
      <c r="AR273" s="90" t="str">
        <f aca="false">IF(AQ273="","",ROUND(AQ273*(1+Справочники!$B$12),0))</f>
        <v/>
      </c>
      <c r="AS273" s="90" t="str">
        <f aca="false">IF(AR273="","",ROUND(AR273*(1-Справочники!$B$11),0))</f>
        <v/>
      </c>
      <c r="AT273" s="88"/>
      <c r="AU273" s="90" t="str">
        <f aca="false">IF(AT273="","",ROUND(AT273/(1+Справочники!$B$12),0))</f>
        <v/>
      </c>
      <c r="AV273" s="90" t="str">
        <f aca="false">IF(AT273="","",ROUND(AT273*(1-Справочники!$B$15),0))</f>
        <v/>
      </c>
      <c r="AW273" s="90" t="str">
        <f aca="false">IF(AT273="","",ROUND(AT273*(1-Справочники!$B$16),0))</f>
        <v/>
      </c>
      <c r="AX273" s="90" t="str">
        <f aca="false">IF(AT273="","",ROUND(AT273*(1-Справочники!$B$17),0))</f>
        <v/>
      </c>
      <c r="AY273" s="90" t="str">
        <f aca="false">IF(AT273="","",ROUND(AT273*(1-Справочники!$B$18),0))</f>
        <v/>
      </c>
      <c r="AZ273" s="90" t="str">
        <f aca="false">IF(AT273="","",ROUND(AT273*(1-Справочники!$B$19),0))</f>
        <v/>
      </c>
      <c r="BA273" s="81"/>
      <c r="BB273" s="81"/>
      <c r="BC273" s="81"/>
      <c r="BD273" s="81"/>
      <c r="BE273" s="91"/>
      <c r="BF273" s="81" t="s">
        <v>103</v>
      </c>
      <c r="BG273" s="89" t="n">
        <f aca="false" t="array" ref="BG273:BG273">IF(BF273="","",IFERROR(INDEX(Справочники!$B$4:$B$7,MATCH(BF273,Справочники!$A$4:$A$7,0)),""))</f>
        <v>68.5</v>
      </c>
      <c r="BH273" s="90" t="str">
        <f aca="false">IF(N(BN273)&gt;0,ROUND(SUMIF(ЗАКАЗЫ!$F$3:$F$500,$A273,ЗАКАЗЫ!$Y$3:$Y$500)/BN273,0),IF(OR(BE273="",BG273=""),"",ROUND(BE273*BG273*(1+Справочники!$B$10),0)))</f>
        <v/>
      </c>
      <c r="BI273" s="92" t="str">
        <f aca="false">IF(OR(AU273="",BH273="",AU273=0),"",(AU273-BH273)/AU273)</f>
        <v/>
      </c>
      <c r="BJ273" s="81"/>
      <c r="BK273" s="83"/>
      <c r="BL273" s="43" t="str">
        <f aca="false">IFERROR(INDEX(ЗАКАЗЫ!$N$3:$N$500,MATCH($A273,ЗАКАЗЫ!$F$3:$F$500,0)),"")</f>
        <v/>
      </c>
      <c r="BM273" s="8" t="str">
        <f aca="false">IF(BL273="","",IFERROR(VLOOKUP(BL273,'ТН ВЭД'!$A$4:$C$40,3,0),""))</f>
        <v/>
      </c>
      <c r="BN273" s="7" t="str">
        <f aca="false">IF(COUNTIF(ЗАКАЗЫ!$F$3:$F$500,$A273)=0,"",SUMIF(ЗАКАЗЫ!$F$3:$F$500,$A273,ЗАКАЗЫ!$J$3:$J$500))</f>
        <v/>
      </c>
      <c r="BO273" s="7" t="str">
        <f aca="false">IF(BN273="","",SUMIF(ЗАКАЗЫ!$F$3:$F$500,$A273,ЗАКАЗЫ!$AL$3:$AL$500))</f>
        <v/>
      </c>
      <c r="BP273" s="7" t="str">
        <f aca="false">IF(BN273="","",BN273-BO273)</f>
        <v/>
      </c>
      <c r="BQ273" s="55" t="str">
        <f aca="false">IF(BN273="","",IF(BO273&gt;=BN273,"На складе",IF(BO273&gt;0,"Частично","Ждём")))</f>
        <v/>
      </c>
      <c r="BR273" s="43"/>
      <c r="BS273" s="47" t="str">
        <f aca="false">IF(BN273="","",IF(_xlfn.MAXIFS(ЗАКАЗЫ!$AK$3:$AK$500,ЗАКАЗЫ!$F$3:$F$500,$A273)=0,"",_xlfn.MAXIFS(ЗАКАЗЫ!$AK$3:$AK$500,ЗАКАЗЫ!$F$3:$F$500,$A273)))</f>
        <v/>
      </c>
    </row>
    <row r="274" customFormat="false" ht="15.75" hidden="false" customHeight="true" outlineLevel="0" collapsed="false">
      <c r="A274" s="80" t="s">
        <v>2468</v>
      </c>
      <c r="B274" s="81"/>
      <c r="C274" s="81"/>
      <c r="D274" s="81"/>
      <c r="E274" s="83"/>
      <c r="F274" s="81"/>
      <c r="G274" s="83"/>
      <c r="H274" s="83"/>
      <c r="I274" s="84" t="str">
        <f aca="false">IF(E274="","",A274&amp;"_1.jpg")</f>
        <v/>
      </c>
      <c r="J274" s="84" t="str">
        <f aca="false">IF(E274="","",A274&amp;"_2.jpg; "&amp;A274&amp;"_3.jpg")</f>
        <v/>
      </c>
      <c r="K274" s="84" t="str">
        <f aca="false">IF(E274="","",A274&amp;"_schema.jpg")</f>
        <v/>
      </c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 t="s">
        <v>96</v>
      </c>
      <c r="W274" s="81"/>
      <c r="X274" s="81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6" t="str">
        <f aca="false">IF(SUM(Y274:AJ274)=0,"",SUM(Y274:AJ274))</f>
        <v/>
      </c>
      <c r="AL274" s="84" t="str">
        <f aca="false">MID(IF(N(Y274)&gt;0,", "&amp;Y$2,"")&amp;IF(N(Z274)&gt;0,", "&amp;Z$2,"")&amp;IF(N(AA274)&gt;0,", "&amp;AA$2,"")&amp;IF(N(AB274)&gt;0,", "&amp;AB$2,"")&amp;IF(N(AC274)&gt;0,", "&amp;AC$2,"")&amp;IF(N(AD274)&gt;0,", "&amp;AD$2,"")&amp;IF(N(AE274)&gt;0,", "&amp;AE$2,"")&amp;IF(N(AF274)&gt;0,", "&amp;AF$2,"")&amp;IF(N(AG274)&gt;0,", "&amp;AG$2,"")&amp;IF(N(AH274)&gt;0,", "&amp;AH$2,"")&amp;IF(N(AI274)&gt;0,", "&amp;AI$2,"")&amp;IF(N(AJ274)&gt;0,", "&amp;AJ$2,""),3,999)</f>
        <v/>
      </c>
      <c r="AM274" s="87" t="str">
        <f aca="false">IF(E274="","",MID(IF(N(Y274)&gt;0,", "&amp;A274&amp;"-"&amp;Y$2,"")&amp;IF(N(Z274)&gt;0,", "&amp;A274&amp;"-"&amp;Z$2,"")&amp;IF(N(AA274)&gt;0,", "&amp;A274&amp;"-"&amp;AA$2,"")&amp;IF(N(AB274)&gt;0,", "&amp;A274&amp;"-"&amp;AB$2,"")&amp;IF(N(AC274)&gt;0,", "&amp;A274&amp;"-"&amp;AC$2,"")&amp;IF(N(AD274)&gt;0,", "&amp;A274&amp;"-"&amp;AD$2,"")&amp;IF(N(AE274)&gt;0,", "&amp;A274&amp;"-"&amp;AE$2,"")&amp;IF(N(AF274)&gt;0,", "&amp;A274&amp;"-"&amp;AF$2,"")&amp;IF(N(AG274)&gt;0,", "&amp;A274&amp;"-"&amp;AG$2,"")&amp;IF(N(AH274)&gt;0,", "&amp;A274&amp;"-"&amp;AH$2,"")&amp;IF(N(AI274)&gt;0,", "&amp;A274&amp;"-"&amp;AI$2,"")&amp;IF(N(AJ274)&gt;0,", "&amp;A274&amp;"-"&amp;AJ$2,""),3,999))</f>
        <v/>
      </c>
      <c r="AN274" s="81"/>
      <c r="AO274" s="88"/>
      <c r="AP274" s="89" t="str">
        <f aca="false">IF(AO274="","",ROUND(AO274/(1+Справочники!$B$13),2))</f>
        <v/>
      </c>
      <c r="AQ274" s="90" t="str">
        <f aca="false" t="array" ref="AQ274:AQ274">IF(AP274="","",AP274*INDEX(Справочники!$B$4:$B$7,MATCH("RUB",Справочники!$A$4:$A$7,0)))</f>
        <v/>
      </c>
      <c r="AR274" s="90" t="str">
        <f aca="false">IF(AQ274="","",ROUND(AQ274*(1+Справочники!$B$12),0))</f>
        <v/>
      </c>
      <c r="AS274" s="90" t="str">
        <f aca="false">IF(AR274="","",ROUND(AR274*(1-Справочники!$B$11),0))</f>
        <v/>
      </c>
      <c r="AT274" s="88"/>
      <c r="AU274" s="90" t="str">
        <f aca="false">IF(AT274="","",ROUND(AT274/(1+Справочники!$B$12),0))</f>
        <v/>
      </c>
      <c r="AV274" s="90" t="str">
        <f aca="false">IF(AT274="","",ROUND(AT274*(1-Справочники!$B$15),0))</f>
        <v/>
      </c>
      <c r="AW274" s="90" t="str">
        <f aca="false">IF(AT274="","",ROUND(AT274*(1-Справочники!$B$16),0))</f>
        <v/>
      </c>
      <c r="AX274" s="90" t="str">
        <f aca="false">IF(AT274="","",ROUND(AT274*(1-Справочники!$B$17),0))</f>
        <v/>
      </c>
      <c r="AY274" s="90" t="str">
        <f aca="false">IF(AT274="","",ROUND(AT274*(1-Справочники!$B$18),0))</f>
        <v/>
      </c>
      <c r="AZ274" s="90" t="str">
        <f aca="false">IF(AT274="","",ROUND(AT274*(1-Справочники!$B$19),0))</f>
        <v/>
      </c>
      <c r="BA274" s="81"/>
      <c r="BB274" s="81"/>
      <c r="BC274" s="81"/>
      <c r="BD274" s="81"/>
      <c r="BE274" s="91"/>
      <c r="BF274" s="81" t="s">
        <v>103</v>
      </c>
      <c r="BG274" s="89" t="n">
        <f aca="false" t="array" ref="BG274:BG274">IF(BF274="","",IFERROR(INDEX(Справочники!$B$4:$B$7,MATCH(BF274,Справочники!$A$4:$A$7,0)),""))</f>
        <v>68.5</v>
      </c>
      <c r="BH274" s="90" t="str">
        <f aca="false">IF(N(BN274)&gt;0,ROUND(SUMIF(ЗАКАЗЫ!$F$3:$F$500,$A274,ЗАКАЗЫ!$Y$3:$Y$500)/BN274,0),IF(OR(BE274="",BG274=""),"",ROUND(BE274*BG274*(1+Справочники!$B$10),0)))</f>
        <v/>
      </c>
      <c r="BI274" s="92" t="str">
        <f aca="false">IF(OR(AU274="",BH274="",AU274=0),"",(AU274-BH274)/AU274)</f>
        <v/>
      </c>
      <c r="BJ274" s="81"/>
      <c r="BK274" s="83"/>
      <c r="BL274" s="43" t="str">
        <f aca="false">IFERROR(INDEX(ЗАКАЗЫ!$N$3:$N$500,MATCH($A274,ЗАКАЗЫ!$F$3:$F$500,0)),"")</f>
        <v/>
      </c>
      <c r="BM274" s="8" t="str">
        <f aca="false">IF(BL274="","",IFERROR(VLOOKUP(BL274,'ТН ВЭД'!$A$4:$C$40,3,0),""))</f>
        <v/>
      </c>
      <c r="BN274" s="7" t="str">
        <f aca="false">IF(COUNTIF(ЗАКАЗЫ!$F$3:$F$500,$A274)=0,"",SUMIF(ЗАКАЗЫ!$F$3:$F$500,$A274,ЗАКАЗЫ!$J$3:$J$500))</f>
        <v/>
      </c>
      <c r="BO274" s="7" t="str">
        <f aca="false">IF(BN274="","",SUMIF(ЗАКАЗЫ!$F$3:$F$500,$A274,ЗАКАЗЫ!$AL$3:$AL$500))</f>
        <v/>
      </c>
      <c r="BP274" s="7" t="str">
        <f aca="false">IF(BN274="","",BN274-BO274)</f>
        <v/>
      </c>
      <c r="BQ274" s="55" t="str">
        <f aca="false">IF(BN274="","",IF(BO274&gt;=BN274,"На складе",IF(BO274&gt;0,"Частично","Ждём")))</f>
        <v/>
      </c>
      <c r="BR274" s="43"/>
      <c r="BS274" s="47" t="str">
        <f aca="false">IF(BN274="","",IF(_xlfn.MAXIFS(ЗАКАЗЫ!$AK$3:$AK$500,ЗАКАЗЫ!$F$3:$F$500,$A274)=0,"",_xlfn.MAXIFS(ЗАКАЗЫ!$AK$3:$AK$500,ЗАКАЗЫ!$F$3:$F$500,$A274)))</f>
        <v/>
      </c>
    </row>
    <row r="275" customFormat="false" ht="15.75" hidden="false" customHeight="true" outlineLevel="0" collapsed="false">
      <c r="A275" s="80" t="s">
        <v>2469</v>
      </c>
      <c r="B275" s="81"/>
      <c r="C275" s="81"/>
      <c r="D275" s="81"/>
      <c r="E275" s="83"/>
      <c r="F275" s="81"/>
      <c r="G275" s="83"/>
      <c r="H275" s="83"/>
      <c r="I275" s="84" t="str">
        <f aca="false">IF(E275="","",A275&amp;"_1.jpg")</f>
        <v/>
      </c>
      <c r="J275" s="84" t="str">
        <f aca="false">IF(E275="","",A275&amp;"_2.jpg; "&amp;A275&amp;"_3.jpg")</f>
        <v/>
      </c>
      <c r="K275" s="84" t="str">
        <f aca="false">IF(E275="","",A275&amp;"_schema.jpg")</f>
        <v/>
      </c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 t="s">
        <v>96</v>
      </c>
      <c r="W275" s="81"/>
      <c r="X275" s="81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6" t="str">
        <f aca="false">IF(SUM(Y275:AJ275)=0,"",SUM(Y275:AJ275))</f>
        <v/>
      </c>
      <c r="AL275" s="84" t="str">
        <f aca="false">MID(IF(N(Y275)&gt;0,", "&amp;Y$2,"")&amp;IF(N(Z275)&gt;0,", "&amp;Z$2,"")&amp;IF(N(AA275)&gt;0,", "&amp;AA$2,"")&amp;IF(N(AB275)&gt;0,", "&amp;AB$2,"")&amp;IF(N(AC275)&gt;0,", "&amp;AC$2,"")&amp;IF(N(AD275)&gt;0,", "&amp;AD$2,"")&amp;IF(N(AE275)&gt;0,", "&amp;AE$2,"")&amp;IF(N(AF275)&gt;0,", "&amp;AF$2,"")&amp;IF(N(AG275)&gt;0,", "&amp;AG$2,"")&amp;IF(N(AH275)&gt;0,", "&amp;AH$2,"")&amp;IF(N(AI275)&gt;0,", "&amp;AI$2,"")&amp;IF(N(AJ275)&gt;0,", "&amp;AJ$2,""),3,999)</f>
        <v/>
      </c>
      <c r="AM275" s="87" t="str">
        <f aca="false">IF(E275="","",MID(IF(N(Y275)&gt;0,", "&amp;A275&amp;"-"&amp;Y$2,"")&amp;IF(N(Z275)&gt;0,", "&amp;A275&amp;"-"&amp;Z$2,"")&amp;IF(N(AA275)&gt;0,", "&amp;A275&amp;"-"&amp;AA$2,"")&amp;IF(N(AB275)&gt;0,", "&amp;A275&amp;"-"&amp;AB$2,"")&amp;IF(N(AC275)&gt;0,", "&amp;A275&amp;"-"&amp;AC$2,"")&amp;IF(N(AD275)&gt;0,", "&amp;A275&amp;"-"&amp;AD$2,"")&amp;IF(N(AE275)&gt;0,", "&amp;A275&amp;"-"&amp;AE$2,"")&amp;IF(N(AF275)&gt;0,", "&amp;A275&amp;"-"&amp;AF$2,"")&amp;IF(N(AG275)&gt;0,", "&amp;A275&amp;"-"&amp;AG$2,"")&amp;IF(N(AH275)&gt;0,", "&amp;A275&amp;"-"&amp;AH$2,"")&amp;IF(N(AI275)&gt;0,", "&amp;A275&amp;"-"&amp;AI$2,"")&amp;IF(N(AJ275)&gt;0,", "&amp;A275&amp;"-"&amp;AJ$2,""),3,999))</f>
        <v/>
      </c>
      <c r="AN275" s="81"/>
      <c r="AO275" s="88"/>
      <c r="AP275" s="89" t="str">
        <f aca="false">IF(AO275="","",ROUND(AO275/(1+Справочники!$B$13),2))</f>
        <v/>
      </c>
      <c r="AQ275" s="90" t="str">
        <f aca="false" t="array" ref="AQ275:AQ275">IF(AP275="","",AP275*INDEX(Справочники!$B$4:$B$7,MATCH("RUB",Справочники!$A$4:$A$7,0)))</f>
        <v/>
      </c>
      <c r="AR275" s="90" t="str">
        <f aca="false">IF(AQ275="","",ROUND(AQ275*(1+Справочники!$B$12),0))</f>
        <v/>
      </c>
      <c r="AS275" s="90" t="str">
        <f aca="false">IF(AR275="","",ROUND(AR275*(1-Справочники!$B$11),0))</f>
        <v/>
      </c>
      <c r="AT275" s="88"/>
      <c r="AU275" s="90" t="str">
        <f aca="false">IF(AT275="","",ROUND(AT275/(1+Справочники!$B$12),0))</f>
        <v/>
      </c>
      <c r="AV275" s="90" t="str">
        <f aca="false">IF(AT275="","",ROUND(AT275*(1-Справочники!$B$15),0))</f>
        <v/>
      </c>
      <c r="AW275" s="90" t="str">
        <f aca="false">IF(AT275="","",ROUND(AT275*(1-Справочники!$B$16),0))</f>
        <v/>
      </c>
      <c r="AX275" s="90" t="str">
        <f aca="false">IF(AT275="","",ROUND(AT275*(1-Справочники!$B$17),0))</f>
        <v/>
      </c>
      <c r="AY275" s="90" t="str">
        <f aca="false">IF(AT275="","",ROUND(AT275*(1-Справочники!$B$18),0))</f>
        <v/>
      </c>
      <c r="AZ275" s="90" t="str">
        <f aca="false">IF(AT275="","",ROUND(AT275*(1-Справочники!$B$19),0))</f>
        <v/>
      </c>
      <c r="BA275" s="81"/>
      <c r="BB275" s="81"/>
      <c r="BC275" s="81"/>
      <c r="BD275" s="81"/>
      <c r="BE275" s="91"/>
      <c r="BF275" s="81" t="s">
        <v>103</v>
      </c>
      <c r="BG275" s="89" t="n">
        <f aca="false" t="array" ref="BG275:BG275">IF(BF275="","",IFERROR(INDEX(Справочники!$B$4:$B$7,MATCH(BF275,Справочники!$A$4:$A$7,0)),""))</f>
        <v>68.5</v>
      </c>
      <c r="BH275" s="90" t="str">
        <f aca="false">IF(N(BN275)&gt;0,ROUND(SUMIF(ЗАКАЗЫ!$F$3:$F$500,$A275,ЗАКАЗЫ!$Y$3:$Y$500)/BN275,0),IF(OR(BE275="",BG275=""),"",ROUND(BE275*BG275*(1+Справочники!$B$10),0)))</f>
        <v/>
      </c>
      <c r="BI275" s="92" t="str">
        <f aca="false">IF(OR(AU275="",BH275="",AU275=0),"",(AU275-BH275)/AU275)</f>
        <v/>
      </c>
      <c r="BJ275" s="81"/>
      <c r="BK275" s="83"/>
      <c r="BL275" s="43" t="str">
        <f aca="false">IFERROR(INDEX(ЗАКАЗЫ!$N$3:$N$500,MATCH($A275,ЗАКАЗЫ!$F$3:$F$500,0)),"")</f>
        <v/>
      </c>
      <c r="BM275" s="8" t="str">
        <f aca="false">IF(BL275="","",IFERROR(VLOOKUP(BL275,'ТН ВЭД'!$A$4:$C$40,3,0),""))</f>
        <v/>
      </c>
      <c r="BN275" s="7" t="str">
        <f aca="false">IF(COUNTIF(ЗАКАЗЫ!$F$3:$F$500,$A275)=0,"",SUMIF(ЗАКАЗЫ!$F$3:$F$500,$A275,ЗАКАЗЫ!$J$3:$J$500))</f>
        <v/>
      </c>
      <c r="BO275" s="7" t="str">
        <f aca="false">IF(BN275="","",SUMIF(ЗАКАЗЫ!$F$3:$F$500,$A275,ЗАКАЗЫ!$AL$3:$AL$500))</f>
        <v/>
      </c>
      <c r="BP275" s="7" t="str">
        <f aca="false">IF(BN275="","",BN275-BO275)</f>
        <v/>
      </c>
      <c r="BQ275" s="55" t="str">
        <f aca="false">IF(BN275="","",IF(BO275&gt;=BN275,"На складе",IF(BO275&gt;0,"Частично","Ждём")))</f>
        <v/>
      </c>
      <c r="BR275" s="43"/>
      <c r="BS275" s="47" t="str">
        <f aca="false">IF(BN275="","",IF(_xlfn.MAXIFS(ЗАКАЗЫ!$AK$3:$AK$500,ЗАКАЗЫ!$F$3:$F$500,$A275)=0,"",_xlfn.MAXIFS(ЗАКАЗЫ!$AK$3:$AK$500,ЗАКАЗЫ!$F$3:$F$500,$A275)))</f>
        <v/>
      </c>
    </row>
    <row r="276" customFormat="false" ht="15.75" hidden="false" customHeight="true" outlineLevel="0" collapsed="false">
      <c r="A276" s="80" t="s">
        <v>2470</v>
      </c>
      <c r="B276" s="81"/>
      <c r="C276" s="81"/>
      <c r="D276" s="81"/>
      <c r="E276" s="83"/>
      <c r="F276" s="81"/>
      <c r="G276" s="83"/>
      <c r="H276" s="83"/>
      <c r="I276" s="84" t="str">
        <f aca="false">IF(E276="","",A276&amp;"_1.jpg")</f>
        <v/>
      </c>
      <c r="J276" s="84" t="str">
        <f aca="false">IF(E276="","",A276&amp;"_2.jpg; "&amp;A276&amp;"_3.jpg")</f>
        <v/>
      </c>
      <c r="K276" s="84" t="str">
        <f aca="false">IF(E276="","",A276&amp;"_schema.jpg")</f>
        <v/>
      </c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 t="s">
        <v>96</v>
      </c>
      <c r="W276" s="81"/>
      <c r="X276" s="81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6" t="str">
        <f aca="false">IF(SUM(Y276:AJ276)=0,"",SUM(Y276:AJ276))</f>
        <v/>
      </c>
      <c r="AL276" s="84" t="str">
        <f aca="false">MID(IF(N(Y276)&gt;0,", "&amp;Y$2,"")&amp;IF(N(Z276)&gt;0,", "&amp;Z$2,"")&amp;IF(N(AA276)&gt;0,", "&amp;AA$2,"")&amp;IF(N(AB276)&gt;0,", "&amp;AB$2,"")&amp;IF(N(AC276)&gt;0,", "&amp;AC$2,"")&amp;IF(N(AD276)&gt;0,", "&amp;AD$2,"")&amp;IF(N(AE276)&gt;0,", "&amp;AE$2,"")&amp;IF(N(AF276)&gt;0,", "&amp;AF$2,"")&amp;IF(N(AG276)&gt;0,", "&amp;AG$2,"")&amp;IF(N(AH276)&gt;0,", "&amp;AH$2,"")&amp;IF(N(AI276)&gt;0,", "&amp;AI$2,"")&amp;IF(N(AJ276)&gt;0,", "&amp;AJ$2,""),3,999)</f>
        <v/>
      </c>
      <c r="AM276" s="87" t="str">
        <f aca="false">IF(E276="","",MID(IF(N(Y276)&gt;0,", "&amp;A276&amp;"-"&amp;Y$2,"")&amp;IF(N(Z276)&gt;0,", "&amp;A276&amp;"-"&amp;Z$2,"")&amp;IF(N(AA276)&gt;0,", "&amp;A276&amp;"-"&amp;AA$2,"")&amp;IF(N(AB276)&gt;0,", "&amp;A276&amp;"-"&amp;AB$2,"")&amp;IF(N(AC276)&gt;0,", "&amp;A276&amp;"-"&amp;AC$2,"")&amp;IF(N(AD276)&gt;0,", "&amp;A276&amp;"-"&amp;AD$2,"")&amp;IF(N(AE276)&gt;0,", "&amp;A276&amp;"-"&amp;AE$2,"")&amp;IF(N(AF276)&gt;0,", "&amp;A276&amp;"-"&amp;AF$2,"")&amp;IF(N(AG276)&gt;0,", "&amp;A276&amp;"-"&amp;AG$2,"")&amp;IF(N(AH276)&gt;0,", "&amp;A276&amp;"-"&amp;AH$2,"")&amp;IF(N(AI276)&gt;0,", "&amp;A276&amp;"-"&amp;AI$2,"")&amp;IF(N(AJ276)&gt;0,", "&amp;A276&amp;"-"&amp;AJ$2,""),3,999))</f>
        <v/>
      </c>
      <c r="AN276" s="81"/>
      <c r="AO276" s="88"/>
      <c r="AP276" s="89" t="str">
        <f aca="false">IF(AO276="","",ROUND(AO276/(1+Справочники!$B$13),2))</f>
        <v/>
      </c>
      <c r="AQ276" s="90" t="str">
        <f aca="false" t="array" ref="AQ276:AQ276">IF(AP276="","",AP276*INDEX(Справочники!$B$4:$B$7,MATCH("RUB",Справочники!$A$4:$A$7,0)))</f>
        <v/>
      </c>
      <c r="AR276" s="90" t="str">
        <f aca="false">IF(AQ276="","",ROUND(AQ276*(1+Справочники!$B$12),0))</f>
        <v/>
      </c>
      <c r="AS276" s="90" t="str">
        <f aca="false">IF(AR276="","",ROUND(AR276*(1-Справочники!$B$11),0))</f>
        <v/>
      </c>
      <c r="AT276" s="88"/>
      <c r="AU276" s="90" t="str">
        <f aca="false">IF(AT276="","",ROUND(AT276/(1+Справочники!$B$12),0))</f>
        <v/>
      </c>
      <c r="AV276" s="90" t="str">
        <f aca="false">IF(AT276="","",ROUND(AT276*(1-Справочники!$B$15),0))</f>
        <v/>
      </c>
      <c r="AW276" s="90" t="str">
        <f aca="false">IF(AT276="","",ROUND(AT276*(1-Справочники!$B$16),0))</f>
        <v/>
      </c>
      <c r="AX276" s="90" t="str">
        <f aca="false">IF(AT276="","",ROUND(AT276*(1-Справочники!$B$17),0))</f>
        <v/>
      </c>
      <c r="AY276" s="90" t="str">
        <f aca="false">IF(AT276="","",ROUND(AT276*(1-Справочники!$B$18),0))</f>
        <v/>
      </c>
      <c r="AZ276" s="90" t="str">
        <f aca="false">IF(AT276="","",ROUND(AT276*(1-Справочники!$B$19),0))</f>
        <v/>
      </c>
      <c r="BA276" s="81"/>
      <c r="BB276" s="81"/>
      <c r="BC276" s="81"/>
      <c r="BD276" s="81"/>
      <c r="BE276" s="91"/>
      <c r="BF276" s="81" t="s">
        <v>103</v>
      </c>
      <c r="BG276" s="89" t="n">
        <f aca="false" t="array" ref="BG276:BG276">IF(BF276="","",IFERROR(INDEX(Справочники!$B$4:$B$7,MATCH(BF276,Справочники!$A$4:$A$7,0)),""))</f>
        <v>68.5</v>
      </c>
      <c r="BH276" s="90" t="str">
        <f aca="false">IF(N(BN276)&gt;0,ROUND(SUMIF(ЗАКАЗЫ!$F$3:$F$500,$A276,ЗАКАЗЫ!$Y$3:$Y$500)/BN276,0),IF(OR(BE276="",BG276=""),"",ROUND(BE276*BG276*(1+Справочники!$B$10),0)))</f>
        <v/>
      </c>
      <c r="BI276" s="92" t="str">
        <f aca="false">IF(OR(AU276="",BH276="",AU276=0),"",(AU276-BH276)/AU276)</f>
        <v/>
      </c>
      <c r="BJ276" s="81"/>
      <c r="BK276" s="83"/>
      <c r="BL276" s="43" t="str">
        <f aca="false">IFERROR(INDEX(ЗАКАЗЫ!$N$3:$N$500,MATCH($A276,ЗАКАЗЫ!$F$3:$F$500,0)),"")</f>
        <v/>
      </c>
      <c r="BM276" s="8" t="str">
        <f aca="false">IF(BL276="","",IFERROR(VLOOKUP(BL276,'ТН ВЭД'!$A$4:$C$40,3,0),""))</f>
        <v/>
      </c>
      <c r="BN276" s="7" t="str">
        <f aca="false">IF(COUNTIF(ЗАКАЗЫ!$F$3:$F$500,$A276)=0,"",SUMIF(ЗАКАЗЫ!$F$3:$F$500,$A276,ЗАКАЗЫ!$J$3:$J$500))</f>
        <v/>
      </c>
      <c r="BO276" s="7" t="str">
        <f aca="false">IF(BN276="","",SUMIF(ЗАКАЗЫ!$F$3:$F$500,$A276,ЗАКАЗЫ!$AL$3:$AL$500))</f>
        <v/>
      </c>
      <c r="BP276" s="7" t="str">
        <f aca="false">IF(BN276="","",BN276-BO276)</f>
        <v/>
      </c>
      <c r="BQ276" s="55" t="str">
        <f aca="false">IF(BN276="","",IF(BO276&gt;=BN276,"На складе",IF(BO276&gt;0,"Частично","Ждём")))</f>
        <v/>
      </c>
      <c r="BR276" s="43"/>
      <c r="BS276" s="47" t="str">
        <f aca="false">IF(BN276="","",IF(_xlfn.MAXIFS(ЗАКАЗЫ!$AK$3:$AK$500,ЗАКАЗЫ!$F$3:$F$500,$A276)=0,"",_xlfn.MAXIFS(ЗАКАЗЫ!$AK$3:$AK$500,ЗАКАЗЫ!$F$3:$F$500,$A276)))</f>
        <v/>
      </c>
    </row>
    <row r="277" customFormat="false" ht="15.75" hidden="false" customHeight="true" outlineLevel="0" collapsed="false">
      <c r="A277" s="80" t="s">
        <v>2471</v>
      </c>
      <c r="B277" s="81"/>
      <c r="C277" s="81"/>
      <c r="D277" s="81"/>
      <c r="E277" s="83"/>
      <c r="F277" s="81"/>
      <c r="G277" s="83"/>
      <c r="H277" s="83"/>
      <c r="I277" s="84" t="str">
        <f aca="false">IF(E277="","",A277&amp;"_1.jpg")</f>
        <v/>
      </c>
      <c r="J277" s="84" t="str">
        <f aca="false">IF(E277="","",A277&amp;"_2.jpg; "&amp;A277&amp;"_3.jpg")</f>
        <v/>
      </c>
      <c r="K277" s="84" t="str">
        <f aca="false">IF(E277="","",A277&amp;"_schema.jpg")</f>
        <v/>
      </c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 t="s">
        <v>96</v>
      </c>
      <c r="W277" s="81"/>
      <c r="X277" s="81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6" t="str">
        <f aca="false">IF(SUM(Y277:AJ277)=0,"",SUM(Y277:AJ277))</f>
        <v/>
      </c>
      <c r="AL277" s="84" t="str">
        <f aca="false">MID(IF(N(Y277)&gt;0,", "&amp;Y$2,"")&amp;IF(N(Z277)&gt;0,", "&amp;Z$2,"")&amp;IF(N(AA277)&gt;0,", "&amp;AA$2,"")&amp;IF(N(AB277)&gt;0,", "&amp;AB$2,"")&amp;IF(N(AC277)&gt;0,", "&amp;AC$2,"")&amp;IF(N(AD277)&gt;0,", "&amp;AD$2,"")&amp;IF(N(AE277)&gt;0,", "&amp;AE$2,"")&amp;IF(N(AF277)&gt;0,", "&amp;AF$2,"")&amp;IF(N(AG277)&gt;0,", "&amp;AG$2,"")&amp;IF(N(AH277)&gt;0,", "&amp;AH$2,"")&amp;IF(N(AI277)&gt;0,", "&amp;AI$2,"")&amp;IF(N(AJ277)&gt;0,", "&amp;AJ$2,""),3,999)</f>
        <v/>
      </c>
      <c r="AM277" s="87" t="str">
        <f aca="false">IF(E277="","",MID(IF(N(Y277)&gt;0,", "&amp;A277&amp;"-"&amp;Y$2,"")&amp;IF(N(Z277)&gt;0,", "&amp;A277&amp;"-"&amp;Z$2,"")&amp;IF(N(AA277)&gt;0,", "&amp;A277&amp;"-"&amp;AA$2,"")&amp;IF(N(AB277)&gt;0,", "&amp;A277&amp;"-"&amp;AB$2,"")&amp;IF(N(AC277)&gt;0,", "&amp;A277&amp;"-"&amp;AC$2,"")&amp;IF(N(AD277)&gt;0,", "&amp;A277&amp;"-"&amp;AD$2,"")&amp;IF(N(AE277)&gt;0,", "&amp;A277&amp;"-"&amp;AE$2,"")&amp;IF(N(AF277)&gt;0,", "&amp;A277&amp;"-"&amp;AF$2,"")&amp;IF(N(AG277)&gt;0,", "&amp;A277&amp;"-"&amp;AG$2,"")&amp;IF(N(AH277)&gt;0,", "&amp;A277&amp;"-"&amp;AH$2,"")&amp;IF(N(AI277)&gt;0,", "&amp;A277&amp;"-"&amp;AI$2,"")&amp;IF(N(AJ277)&gt;0,", "&amp;A277&amp;"-"&amp;AJ$2,""),3,999))</f>
        <v/>
      </c>
      <c r="AN277" s="81"/>
      <c r="AO277" s="88"/>
      <c r="AP277" s="89" t="str">
        <f aca="false">IF(AO277="","",ROUND(AO277/(1+Справочники!$B$13),2))</f>
        <v/>
      </c>
      <c r="AQ277" s="90" t="str">
        <f aca="false" t="array" ref="AQ277:AQ277">IF(AP277="","",AP277*INDEX(Справочники!$B$4:$B$7,MATCH("RUB",Справочники!$A$4:$A$7,0)))</f>
        <v/>
      </c>
      <c r="AR277" s="90" t="str">
        <f aca="false">IF(AQ277="","",ROUND(AQ277*(1+Справочники!$B$12),0))</f>
        <v/>
      </c>
      <c r="AS277" s="90" t="str">
        <f aca="false">IF(AR277="","",ROUND(AR277*(1-Справочники!$B$11),0))</f>
        <v/>
      </c>
      <c r="AT277" s="88"/>
      <c r="AU277" s="90" t="str">
        <f aca="false">IF(AT277="","",ROUND(AT277/(1+Справочники!$B$12),0))</f>
        <v/>
      </c>
      <c r="AV277" s="90" t="str">
        <f aca="false">IF(AT277="","",ROUND(AT277*(1-Справочники!$B$15),0))</f>
        <v/>
      </c>
      <c r="AW277" s="90" t="str">
        <f aca="false">IF(AT277="","",ROUND(AT277*(1-Справочники!$B$16),0))</f>
        <v/>
      </c>
      <c r="AX277" s="90" t="str">
        <f aca="false">IF(AT277="","",ROUND(AT277*(1-Справочники!$B$17),0))</f>
        <v/>
      </c>
      <c r="AY277" s="90" t="str">
        <f aca="false">IF(AT277="","",ROUND(AT277*(1-Справочники!$B$18),0))</f>
        <v/>
      </c>
      <c r="AZ277" s="90" t="str">
        <f aca="false">IF(AT277="","",ROUND(AT277*(1-Справочники!$B$19),0))</f>
        <v/>
      </c>
      <c r="BA277" s="81"/>
      <c r="BB277" s="81"/>
      <c r="BC277" s="81"/>
      <c r="BD277" s="81"/>
      <c r="BE277" s="91"/>
      <c r="BF277" s="81" t="s">
        <v>103</v>
      </c>
      <c r="BG277" s="89" t="n">
        <f aca="false" t="array" ref="BG277:BG277">IF(BF277="","",IFERROR(INDEX(Справочники!$B$4:$B$7,MATCH(BF277,Справочники!$A$4:$A$7,0)),""))</f>
        <v>68.5</v>
      </c>
      <c r="BH277" s="90" t="str">
        <f aca="false">IF(N(BN277)&gt;0,ROUND(SUMIF(ЗАКАЗЫ!$F$3:$F$500,$A277,ЗАКАЗЫ!$Y$3:$Y$500)/BN277,0),IF(OR(BE277="",BG277=""),"",ROUND(BE277*BG277*(1+Справочники!$B$10),0)))</f>
        <v/>
      </c>
      <c r="BI277" s="92" t="str">
        <f aca="false">IF(OR(AU277="",BH277="",AU277=0),"",(AU277-BH277)/AU277)</f>
        <v/>
      </c>
      <c r="BJ277" s="81"/>
      <c r="BK277" s="83"/>
      <c r="BL277" s="43" t="str">
        <f aca="false">IFERROR(INDEX(ЗАКАЗЫ!$N$3:$N$500,MATCH($A277,ЗАКАЗЫ!$F$3:$F$500,0)),"")</f>
        <v/>
      </c>
      <c r="BM277" s="8" t="str">
        <f aca="false">IF(BL277="","",IFERROR(VLOOKUP(BL277,'ТН ВЭД'!$A$4:$C$40,3,0),""))</f>
        <v/>
      </c>
      <c r="BN277" s="7" t="str">
        <f aca="false">IF(COUNTIF(ЗАКАЗЫ!$F$3:$F$500,$A277)=0,"",SUMIF(ЗАКАЗЫ!$F$3:$F$500,$A277,ЗАКАЗЫ!$J$3:$J$500))</f>
        <v/>
      </c>
      <c r="BO277" s="7" t="str">
        <f aca="false">IF(BN277="","",SUMIF(ЗАКАЗЫ!$F$3:$F$500,$A277,ЗАКАЗЫ!$AL$3:$AL$500))</f>
        <v/>
      </c>
      <c r="BP277" s="7" t="str">
        <f aca="false">IF(BN277="","",BN277-BO277)</f>
        <v/>
      </c>
      <c r="BQ277" s="55" t="str">
        <f aca="false">IF(BN277="","",IF(BO277&gt;=BN277,"На складе",IF(BO277&gt;0,"Частично","Ждём")))</f>
        <v/>
      </c>
      <c r="BR277" s="43"/>
      <c r="BS277" s="47" t="str">
        <f aca="false">IF(BN277="","",IF(_xlfn.MAXIFS(ЗАКАЗЫ!$AK$3:$AK$500,ЗАКАЗЫ!$F$3:$F$500,$A277)=0,"",_xlfn.MAXIFS(ЗАКАЗЫ!$AK$3:$AK$500,ЗАКАЗЫ!$F$3:$F$500,$A277)))</f>
        <v/>
      </c>
    </row>
    <row r="278" customFormat="false" ht="15.75" hidden="false" customHeight="true" outlineLevel="0" collapsed="false">
      <c r="A278" s="80" t="s">
        <v>2472</v>
      </c>
      <c r="B278" s="81"/>
      <c r="C278" s="81"/>
      <c r="D278" s="81"/>
      <c r="E278" s="83"/>
      <c r="F278" s="81"/>
      <c r="G278" s="83"/>
      <c r="H278" s="83"/>
      <c r="I278" s="84" t="str">
        <f aca="false">IF(E278="","",A278&amp;"_1.jpg")</f>
        <v/>
      </c>
      <c r="J278" s="84" t="str">
        <f aca="false">IF(E278="","",A278&amp;"_2.jpg; "&amp;A278&amp;"_3.jpg")</f>
        <v/>
      </c>
      <c r="K278" s="84" t="str">
        <f aca="false">IF(E278="","",A278&amp;"_schema.jpg")</f>
        <v/>
      </c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 t="s">
        <v>96</v>
      </c>
      <c r="W278" s="81"/>
      <c r="X278" s="81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6" t="str">
        <f aca="false">IF(SUM(Y278:AJ278)=0,"",SUM(Y278:AJ278))</f>
        <v/>
      </c>
      <c r="AL278" s="84" t="str">
        <f aca="false">MID(IF(N(Y278)&gt;0,", "&amp;Y$2,"")&amp;IF(N(Z278)&gt;0,", "&amp;Z$2,"")&amp;IF(N(AA278)&gt;0,", "&amp;AA$2,"")&amp;IF(N(AB278)&gt;0,", "&amp;AB$2,"")&amp;IF(N(AC278)&gt;0,", "&amp;AC$2,"")&amp;IF(N(AD278)&gt;0,", "&amp;AD$2,"")&amp;IF(N(AE278)&gt;0,", "&amp;AE$2,"")&amp;IF(N(AF278)&gt;0,", "&amp;AF$2,"")&amp;IF(N(AG278)&gt;0,", "&amp;AG$2,"")&amp;IF(N(AH278)&gt;0,", "&amp;AH$2,"")&amp;IF(N(AI278)&gt;0,", "&amp;AI$2,"")&amp;IF(N(AJ278)&gt;0,", "&amp;AJ$2,""),3,999)</f>
        <v/>
      </c>
      <c r="AM278" s="87" t="str">
        <f aca="false">IF(E278="","",MID(IF(N(Y278)&gt;0,", "&amp;A278&amp;"-"&amp;Y$2,"")&amp;IF(N(Z278)&gt;0,", "&amp;A278&amp;"-"&amp;Z$2,"")&amp;IF(N(AA278)&gt;0,", "&amp;A278&amp;"-"&amp;AA$2,"")&amp;IF(N(AB278)&gt;0,", "&amp;A278&amp;"-"&amp;AB$2,"")&amp;IF(N(AC278)&gt;0,", "&amp;A278&amp;"-"&amp;AC$2,"")&amp;IF(N(AD278)&gt;0,", "&amp;A278&amp;"-"&amp;AD$2,"")&amp;IF(N(AE278)&gt;0,", "&amp;A278&amp;"-"&amp;AE$2,"")&amp;IF(N(AF278)&gt;0,", "&amp;A278&amp;"-"&amp;AF$2,"")&amp;IF(N(AG278)&gt;0,", "&amp;A278&amp;"-"&amp;AG$2,"")&amp;IF(N(AH278)&gt;0,", "&amp;A278&amp;"-"&amp;AH$2,"")&amp;IF(N(AI278)&gt;0,", "&amp;A278&amp;"-"&amp;AI$2,"")&amp;IF(N(AJ278)&gt;0,", "&amp;A278&amp;"-"&amp;AJ$2,""),3,999))</f>
        <v/>
      </c>
      <c r="AN278" s="81"/>
      <c r="AO278" s="88"/>
      <c r="AP278" s="89" t="str">
        <f aca="false">IF(AO278="","",ROUND(AO278/(1+Справочники!$B$13),2))</f>
        <v/>
      </c>
      <c r="AQ278" s="90" t="str">
        <f aca="false" t="array" ref="AQ278:AQ278">IF(AP278="","",AP278*INDEX(Справочники!$B$4:$B$7,MATCH("RUB",Справочники!$A$4:$A$7,0)))</f>
        <v/>
      </c>
      <c r="AR278" s="90" t="str">
        <f aca="false">IF(AQ278="","",ROUND(AQ278*(1+Справочники!$B$12),0))</f>
        <v/>
      </c>
      <c r="AS278" s="90" t="str">
        <f aca="false">IF(AR278="","",ROUND(AR278*(1-Справочники!$B$11),0))</f>
        <v/>
      </c>
      <c r="AT278" s="88"/>
      <c r="AU278" s="90" t="str">
        <f aca="false">IF(AT278="","",ROUND(AT278/(1+Справочники!$B$12),0))</f>
        <v/>
      </c>
      <c r="AV278" s="90" t="str">
        <f aca="false">IF(AT278="","",ROUND(AT278*(1-Справочники!$B$15),0))</f>
        <v/>
      </c>
      <c r="AW278" s="90" t="str">
        <f aca="false">IF(AT278="","",ROUND(AT278*(1-Справочники!$B$16),0))</f>
        <v/>
      </c>
      <c r="AX278" s="90" t="str">
        <f aca="false">IF(AT278="","",ROUND(AT278*(1-Справочники!$B$17),0))</f>
        <v/>
      </c>
      <c r="AY278" s="90" t="str">
        <f aca="false">IF(AT278="","",ROUND(AT278*(1-Справочники!$B$18),0))</f>
        <v/>
      </c>
      <c r="AZ278" s="90" t="str">
        <f aca="false">IF(AT278="","",ROUND(AT278*(1-Справочники!$B$19),0))</f>
        <v/>
      </c>
      <c r="BA278" s="81"/>
      <c r="BB278" s="81"/>
      <c r="BC278" s="81"/>
      <c r="BD278" s="81"/>
      <c r="BE278" s="91"/>
      <c r="BF278" s="81" t="s">
        <v>103</v>
      </c>
      <c r="BG278" s="89" t="n">
        <f aca="false" t="array" ref="BG278:BG278">IF(BF278="","",IFERROR(INDEX(Справочники!$B$4:$B$7,MATCH(BF278,Справочники!$A$4:$A$7,0)),""))</f>
        <v>68.5</v>
      </c>
      <c r="BH278" s="90" t="str">
        <f aca="false">IF(N(BN278)&gt;0,ROUND(SUMIF(ЗАКАЗЫ!$F$3:$F$500,$A278,ЗАКАЗЫ!$Y$3:$Y$500)/BN278,0),IF(OR(BE278="",BG278=""),"",ROUND(BE278*BG278*(1+Справочники!$B$10),0)))</f>
        <v/>
      </c>
      <c r="BI278" s="92" t="str">
        <f aca="false">IF(OR(AU278="",BH278="",AU278=0),"",(AU278-BH278)/AU278)</f>
        <v/>
      </c>
      <c r="BJ278" s="81"/>
      <c r="BK278" s="83"/>
      <c r="BL278" s="43" t="str">
        <f aca="false">IFERROR(INDEX(ЗАКАЗЫ!$N$3:$N$500,MATCH($A278,ЗАКАЗЫ!$F$3:$F$500,0)),"")</f>
        <v/>
      </c>
      <c r="BM278" s="8" t="str">
        <f aca="false">IF(BL278="","",IFERROR(VLOOKUP(BL278,'ТН ВЭД'!$A$4:$C$40,3,0),""))</f>
        <v/>
      </c>
      <c r="BN278" s="7" t="str">
        <f aca="false">IF(COUNTIF(ЗАКАЗЫ!$F$3:$F$500,$A278)=0,"",SUMIF(ЗАКАЗЫ!$F$3:$F$500,$A278,ЗАКАЗЫ!$J$3:$J$500))</f>
        <v/>
      </c>
      <c r="BO278" s="7" t="str">
        <f aca="false">IF(BN278="","",SUMIF(ЗАКАЗЫ!$F$3:$F$500,$A278,ЗАКАЗЫ!$AL$3:$AL$500))</f>
        <v/>
      </c>
      <c r="BP278" s="7" t="str">
        <f aca="false">IF(BN278="","",BN278-BO278)</f>
        <v/>
      </c>
      <c r="BQ278" s="55" t="str">
        <f aca="false">IF(BN278="","",IF(BO278&gt;=BN278,"На складе",IF(BO278&gt;0,"Частично","Ждём")))</f>
        <v/>
      </c>
      <c r="BR278" s="43"/>
      <c r="BS278" s="47" t="str">
        <f aca="false">IF(BN278="","",IF(_xlfn.MAXIFS(ЗАКАЗЫ!$AK$3:$AK$500,ЗАКАЗЫ!$F$3:$F$500,$A278)=0,"",_xlfn.MAXIFS(ЗАКАЗЫ!$AK$3:$AK$500,ЗАКАЗЫ!$F$3:$F$500,$A278)))</f>
        <v/>
      </c>
    </row>
    <row r="279" customFormat="false" ht="15.75" hidden="false" customHeight="true" outlineLevel="0" collapsed="false">
      <c r="A279" s="80" t="s">
        <v>2473</v>
      </c>
      <c r="B279" s="81"/>
      <c r="C279" s="81"/>
      <c r="D279" s="81"/>
      <c r="E279" s="83"/>
      <c r="F279" s="81"/>
      <c r="G279" s="83"/>
      <c r="H279" s="83"/>
      <c r="I279" s="84" t="str">
        <f aca="false">IF(E279="","",A279&amp;"_1.jpg")</f>
        <v/>
      </c>
      <c r="J279" s="84" t="str">
        <f aca="false">IF(E279="","",A279&amp;"_2.jpg; "&amp;A279&amp;"_3.jpg")</f>
        <v/>
      </c>
      <c r="K279" s="84" t="str">
        <f aca="false">IF(E279="","",A279&amp;"_schema.jpg")</f>
        <v/>
      </c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 t="s">
        <v>96</v>
      </c>
      <c r="W279" s="81"/>
      <c r="X279" s="81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6" t="str">
        <f aca="false">IF(SUM(Y279:AJ279)=0,"",SUM(Y279:AJ279))</f>
        <v/>
      </c>
      <c r="AL279" s="84" t="str">
        <f aca="false">MID(IF(N(Y279)&gt;0,", "&amp;Y$2,"")&amp;IF(N(Z279)&gt;0,", "&amp;Z$2,"")&amp;IF(N(AA279)&gt;0,", "&amp;AA$2,"")&amp;IF(N(AB279)&gt;0,", "&amp;AB$2,"")&amp;IF(N(AC279)&gt;0,", "&amp;AC$2,"")&amp;IF(N(AD279)&gt;0,", "&amp;AD$2,"")&amp;IF(N(AE279)&gt;0,", "&amp;AE$2,"")&amp;IF(N(AF279)&gt;0,", "&amp;AF$2,"")&amp;IF(N(AG279)&gt;0,", "&amp;AG$2,"")&amp;IF(N(AH279)&gt;0,", "&amp;AH$2,"")&amp;IF(N(AI279)&gt;0,", "&amp;AI$2,"")&amp;IF(N(AJ279)&gt;0,", "&amp;AJ$2,""),3,999)</f>
        <v/>
      </c>
      <c r="AM279" s="87" t="str">
        <f aca="false">IF(E279="","",MID(IF(N(Y279)&gt;0,", "&amp;A279&amp;"-"&amp;Y$2,"")&amp;IF(N(Z279)&gt;0,", "&amp;A279&amp;"-"&amp;Z$2,"")&amp;IF(N(AA279)&gt;0,", "&amp;A279&amp;"-"&amp;AA$2,"")&amp;IF(N(AB279)&gt;0,", "&amp;A279&amp;"-"&amp;AB$2,"")&amp;IF(N(AC279)&gt;0,", "&amp;A279&amp;"-"&amp;AC$2,"")&amp;IF(N(AD279)&gt;0,", "&amp;A279&amp;"-"&amp;AD$2,"")&amp;IF(N(AE279)&gt;0,", "&amp;A279&amp;"-"&amp;AE$2,"")&amp;IF(N(AF279)&gt;0,", "&amp;A279&amp;"-"&amp;AF$2,"")&amp;IF(N(AG279)&gt;0,", "&amp;A279&amp;"-"&amp;AG$2,"")&amp;IF(N(AH279)&gt;0,", "&amp;A279&amp;"-"&amp;AH$2,"")&amp;IF(N(AI279)&gt;0,", "&amp;A279&amp;"-"&amp;AI$2,"")&amp;IF(N(AJ279)&gt;0,", "&amp;A279&amp;"-"&amp;AJ$2,""),3,999))</f>
        <v/>
      </c>
      <c r="AN279" s="81"/>
      <c r="AO279" s="88"/>
      <c r="AP279" s="89" t="str">
        <f aca="false">IF(AO279="","",ROUND(AO279/(1+Справочники!$B$13),2))</f>
        <v/>
      </c>
      <c r="AQ279" s="90" t="str">
        <f aca="false" t="array" ref="AQ279:AQ279">IF(AP279="","",AP279*INDEX(Справочники!$B$4:$B$7,MATCH("RUB",Справочники!$A$4:$A$7,0)))</f>
        <v/>
      </c>
      <c r="AR279" s="90" t="str">
        <f aca="false">IF(AQ279="","",ROUND(AQ279*(1+Справочники!$B$12),0))</f>
        <v/>
      </c>
      <c r="AS279" s="90" t="str">
        <f aca="false">IF(AR279="","",ROUND(AR279*(1-Справочники!$B$11),0))</f>
        <v/>
      </c>
      <c r="AT279" s="88"/>
      <c r="AU279" s="90" t="str">
        <f aca="false">IF(AT279="","",ROUND(AT279/(1+Справочники!$B$12),0))</f>
        <v/>
      </c>
      <c r="AV279" s="90" t="str">
        <f aca="false">IF(AT279="","",ROUND(AT279*(1-Справочники!$B$15),0))</f>
        <v/>
      </c>
      <c r="AW279" s="90" t="str">
        <f aca="false">IF(AT279="","",ROUND(AT279*(1-Справочники!$B$16),0))</f>
        <v/>
      </c>
      <c r="AX279" s="90" t="str">
        <f aca="false">IF(AT279="","",ROUND(AT279*(1-Справочники!$B$17),0))</f>
        <v/>
      </c>
      <c r="AY279" s="90" t="str">
        <f aca="false">IF(AT279="","",ROUND(AT279*(1-Справочники!$B$18),0))</f>
        <v/>
      </c>
      <c r="AZ279" s="90" t="str">
        <f aca="false">IF(AT279="","",ROUND(AT279*(1-Справочники!$B$19),0))</f>
        <v/>
      </c>
      <c r="BA279" s="81"/>
      <c r="BB279" s="81"/>
      <c r="BC279" s="81"/>
      <c r="BD279" s="81"/>
      <c r="BE279" s="91"/>
      <c r="BF279" s="81" t="s">
        <v>103</v>
      </c>
      <c r="BG279" s="89" t="n">
        <f aca="false" t="array" ref="BG279:BG279">IF(BF279="","",IFERROR(INDEX(Справочники!$B$4:$B$7,MATCH(BF279,Справочники!$A$4:$A$7,0)),""))</f>
        <v>68.5</v>
      </c>
      <c r="BH279" s="90" t="str">
        <f aca="false">IF(N(BN279)&gt;0,ROUND(SUMIF(ЗАКАЗЫ!$F$3:$F$500,$A279,ЗАКАЗЫ!$Y$3:$Y$500)/BN279,0),IF(OR(BE279="",BG279=""),"",ROUND(BE279*BG279*(1+Справочники!$B$10),0)))</f>
        <v/>
      </c>
      <c r="BI279" s="92" t="str">
        <f aca="false">IF(OR(AU279="",BH279="",AU279=0),"",(AU279-BH279)/AU279)</f>
        <v/>
      </c>
      <c r="BJ279" s="81"/>
      <c r="BK279" s="83"/>
      <c r="BL279" s="43" t="str">
        <f aca="false">IFERROR(INDEX(ЗАКАЗЫ!$N$3:$N$500,MATCH($A279,ЗАКАЗЫ!$F$3:$F$500,0)),"")</f>
        <v/>
      </c>
      <c r="BM279" s="8" t="str">
        <f aca="false">IF(BL279="","",IFERROR(VLOOKUP(BL279,'ТН ВЭД'!$A$4:$C$40,3,0),""))</f>
        <v/>
      </c>
      <c r="BN279" s="7" t="str">
        <f aca="false">IF(COUNTIF(ЗАКАЗЫ!$F$3:$F$500,$A279)=0,"",SUMIF(ЗАКАЗЫ!$F$3:$F$500,$A279,ЗАКАЗЫ!$J$3:$J$500))</f>
        <v/>
      </c>
      <c r="BO279" s="7" t="str">
        <f aca="false">IF(BN279="","",SUMIF(ЗАКАЗЫ!$F$3:$F$500,$A279,ЗАКАЗЫ!$AL$3:$AL$500))</f>
        <v/>
      </c>
      <c r="BP279" s="7" t="str">
        <f aca="false">IF(BN279="","",BN279-BO279)</f>
        <v/>
      </c>
      <c r="BQ279" s="55" t="str">
        <f aca="false">IF(BN279="","",IF(BO279&gt;=BN279,"На складе",IF(BO279&gt;0,"Частично","Ждём")))</f>
        <v/>
      </c>
      <c r="BR279" s="43"/>
      <c r="BS279" s="47" t="str">
        <f aca="false">IF(BN279="","",IF(_xlfn.MAXIFS(ЗАКАЗЫ!$AK$3:$AK$500,ЗАКАЗЫ!$F$3:$F$500,$A279)=0,"",_xlfn.MAXIFS(ЗАКАЗЫ!$AK$3:$AK$500,ЗАКАЗЫ!$F$3:$F$500,$A279)))</f>
        <v/>
      </c>
    </row>
    <row r="280" customFormat="false" ht="15.75" hidden="false" customHeight="true" outlineLevel="0" collapsed="false">
      <c r="A280" s="80" t="s">
        <v>2474</v>
      </c>
      <c r="B280" s="81"/>
      <c r="C280" s="81"/>
      <c r="D280" s="81"/>
      <c r="E280" s="83"/>
      <c r="F280" s="81"/>
      <c r="G280" s="83"/>
      <c r="H280" s="83"/>
      <c r="I280" s="84" t="str">
        <f aca="false">IF(E280="","",A280&amp;"_1.jpg")</f>
        <v/>
      </c>
      <c r="J280" s="84" t="str">
        <f aca="false">IF(E280="","",A280&amp;"_2.jpg; "&amp;A280&amp;"_3.jpg")</f>
        <v/>
      </c>
      <c r="K280" s="84" t="str">
        <f aca="false">IF(E280="","",A280&amp;"_schema.jpg")</f>
        <v/>
      </c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 t="s">
        <v>96</v>
      </c>
      <c r="W280" s="81"/>
      <c r="X280" s="81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6" t="str">
        <f aca="false">IF(SUM(Y280:AJ280)=0,"",SUM(Y280:AJ280))</f>
        <v/>
      </c>
      <c r="AL280" s="84" t="str">
        <f aca="false">MID(IF(N(Y280)&gt;0,", "&amp;Y$2,"")&amp;IF(N(Z280)&gt;0,", "&amp;Z$2,"")&amp;IF(N(AA280)&gt;0,", "&amp;AA$2,"")&amp;IF(N(AB280)&gt;0,", "&amp;AB$2,"")&amp;IF(N(AC280)&gt;0,", "&amp;AC$2,"")&amp;IF(N(AD280)&gt;0,", "&amp;AD$2,"")&amp;IF(N(AE280)&gt;0,", "&amp;AE$2,"")&amp;IF(N(AF280)&gt;0,", "&amp;AF$2,"")&amp;IF(N(AG280)&gt;0,", "&amp;AG$2,"")&amp;IF(N(AH280)&gt;0,", "&amp;AH$2,"")&amp;IF(N(AI280)&gt;0,", "&amp;AI$2,"")&amp;IF(N(AJ280)&gt;0,", "&amp;AJ$2,""),3,999)</f>
        <v/>
      </c>
      <c r="AM280" s="87" t="str">
        <f aca="false">IF(E280="","",MID(IF(N(Y280)&gt;0,", "&amp;A280&amp;"-"&amp;Y$2,"")&amp;IF(N(Z280)&gt;0,", "&amp;A280&amp;"-"&amp;Z$2,"")&amp;IF(N(AA280)&gt;0,", "&amp;A280&amp;"-"&amp;AA$2,"")&amp;IF(N(AB280)&gt;0,", "&amp;A280&amp;"-"&amp;AB$2,"")&amp;IF(N(AC280)&gt;0,", "&amp;A280&amp;"-"&amp;AC$2,"")&amp;IF(N(AD280)&gt;0,", "&amp;A280&amp;"-"&amp;AD$2,"")&amp;IF(N(AE280)&gt;0,", "&amp;A280&amp;"-"&amp;AE$2,"")&amp;IF(N(AF280)&gt;0,", "&amp;A280&amp;"-"&amp;AF$2,"")&amp;IF(N(AG280)&gt;0,", "&amp;A280&amp;"-"&amp;AG$2,"")&amp;IF(N(AH280)&gt;0,", "&amp;A280&amp;"-"&amp;AH$2,"")&amp;IF(N(AI280)&gt;0,", "&amp;A280&amp;"-"&amp;AI$2,"")&amp;IF(N(AJ280)&gt;0,", "&amp;A280&amp;"-"&amp;AJ$2,""),3,999))</f>
        <v/>
      </c>
      <c r="AN280" s="81"/>
      <c r="AO280" s="88"/>
      <c r="AP280" s="89" t="str">
        <f aca="false">IF(AO280="","",ROUND(AO280/(1+Справочники!$B$13),2))</f>
        <v/>
      </c>
      <c r="AQ280" s="90" t="str">
        <f aca="false" t="array" ref="AQ280:AQ280">IF(AP280="","",AP280*INDEX(Справочники!$B$4:$B$7,MATCH("RUB",Справочники!$A$4:$A$7,0)))</f>
        <v/>
      </c>
      <c r="AR280" s="90" t="str">
        <f aca="false">IF(AQ280="","",ROUND(AQ280*(1+Справочники!$B$12),0))</f>
        <v/>
      </c>
      <c r="AS280" s="90" t="str">
        <f aca="false">IF(AR280="","",ROUND(AR280*(1-Справочники!$B$11),0))</f>
        <v/>
      </c>
      <c r="AT280" s="88"/>
      <c r="AU280" s="90" t="str">
        <f aca="false">IF(AT280="","",ROUND(AT280/(1+Справочники!$B$12),0))</f>
        <v/>
      </c>
      <c r="AV280" s="90" t="str">
        <f aca="false">IF(AT280="","",ROUND(AT280*(1-Справочники!$B$15),0))</f>
        <v/>
      </c>
      <c r="AW280" s="90" t="str">
        <f aca="false">IF(AT280="","",ROUND(AT280*(1-Справочники!$B$16),0))</f>
        <v/>
      </c>
      <c r="AX280" s="90" t="str">
        <f aca="false">IF(AT280="","",ROUND(AT280*(1-Справочники!$B$17),0))</f>
        <v/>
      </c>
      <c r="AY280" s="90" t="str">
        <f aca="false">IF(AT280="","",ROUND(AT280*(1-Справочники!$B$18),0))</f>
        <v/>
      </c>
      <c r="AZ280" s="90" t="str">
        <f aca="false">IF(AT280="","",ROUND(AT280*(1-Справочники!$B$19),0))</f>
        <v/>
      </c>
      <c r="BA280" s="81"/>
      <c r="BB280" s="81"/>
      <c r="BC280" s="81"/>
      <c r="BD280" s="81"/>
      <c r="BE280" s="91"/>
      <c r="BF280" s="81" t="s">
        <v>103</v>
      </c>
      <c r="BG280" s="89" t="n">
        <f aca="false" t="array" ref="BG280:BG280">IF(BF280="","",IFERROR(INDEX(Справочники!$B$4:$B$7,MATCH(BF280,Справочники!$A$4:$A$7,0)),""))</f>
        <v>68.5</v>
      </c>
      <c r="BH280" s="90" t="str">
        <f aca="false">IF(N(BN280)&gt;0,ROUND(SUMIF(ЗАКАЗЫ!$F$3:$F$500,$A280,ЗАКАЗЫ!$Y$3:$Y$500)/BN280,0),IF(OR(BE280="",BG280=""),"",ROUND(BE280*BG280*(1+Справочники!$B$10),0)))</f>
        <v/>
      </c>
      <c r="BI280" s="92" t="str">
        <f aca="false">IF(OR(AU280="",BH280="",AU280=0),"",(AU280-BH280)/AU280)</f>
        <v/>
      </c>
      <c r="BJ280" s="81"/>
      <c r="BK280" s="83"/>
      <c r="BL280" s="43" t="str">
        <f aca="false">IFERROR(INDEX(ЗАКАЗЫ!$N$3:$N$500,MATCH($A280,ЗАКАЗЫ!$F$3:$F$500,0)),"")</f>
        <v/>
      </c>
      <c r="BM280" s="8" t="str">
        <f aca="false">IF(BL280="","",IFERROR(VLOOKUP(BL280,'ТН ВЭД'!$A$4:$C$40,3,0),""))</f>
        <v/>
      </c>
      <c r="BN280" s="7" t="str">
        <f aca="false">IF(COUNTIF(ЗАКАЗЫ!$F$3:$F$500,$A280)=0,"",SUMIF(ЗАКАЗЫ!$F$3:$F$500,$A280,ЗАКАЗЫ!$J$3:$J$500))</f>
        <v/>
      </c>
      <c r="BO280" s="7" t="str">
        <f aca="false">IF(BN280="","",SUMIF(ЗАКАЗЫ!$F$3:$F$500,$A280,ЗАКАЗЫ!$AL$3:$AL$500))</f>
        <v/>
      </c>
      <c r="BP280" s="7" t="str">
        <f aca="false">IF(BN280="","",BN280-BO280)</f>
        <v/>
      </c>
      <c r="BQ280" s="55" t="str">
        <f aca="false">IF(BN280="","",IF(BO280&gt;=BN280,"На складе",IF(BO280&gt;0,"Частично","Ждём")))</f>
        <v/>
      </c>
      <c r="BR280" s="43"/>
      <c r="BS280" s="47" t="str">
        <f aca="false">IF(BN280="","",IF(_xlfn.MAXIFS(ЗАКАЗЫ!$AK$3:$AK$500,ЗАКАЗЫ!$F$3:$F$500,$A280)=0,"",_xlfn.MAXIFS(ЗАКАЗЫ!$AK$3:$AK$500,ЗАКАЗЫ!$F$3:$F$500,$A280)))</f>
        <v/>
      </c>
    </row>
    <row r="281" customFormat="false" ht="15.75" hidden="false" customHeight="true" outlineLevel="0" collapsed="false">
      <c r="A281" s="80" t="s">
        <v>2475</v>
      </c>
      <c r="B281" s="81"/>
      <c r="C281" s="81"/>
      <c r="D281" s="81"/>
      <c r="E281" s="83"/>
      <c r="F281" s="81"/>
      <c r="G281" s="83"/>
      <c r="H281" s="83"/>
      <c r="I281" s="84" t="str">
        <f aca="false">IF(E281="","",A281&amp;"_1.jpg")</f>
        <v/>
      </c>
      <c r="J281" s="84" t="str">
        <f aca="false">IF(E281="","",A281&amp;"_2.jpg; "&amp;A281&amp;"_3.jpg")</f>
        <v/>
      </c>
      <c r="K281" s="84" t="str">
        <f aca="false">IF(E281="","",A281&amp;"_schema.jpg")</f>
        <v/>
      </c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 t="s">
        <v>96</v>
      </c>
      <c r="W281" s="81"/>
      <c r="X281" s="81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6" t="str">
        <f aca="false">IF(SUM(Y281:AJ281)=0,"",SUM(Y281:AJ281))</f>
        <v/>
      </c>
      <c r="AL281" s="84" t="str">
        <f aca="false">MID(IF(N(Y281)&gt;0,", "&amp;Y$2,"")&amp;IF(N(Z281)&gt;0,", "&amp;Z$2,"")&amp;IF(N(AA281)&gt;0,", "&amp;AA$2,"")&amp;IF(N(AB281)&gt;0,", "&amp;AB$2,"")&amp;IF(N(AC281)&gt;0,", "&amp;AC$2,"")&amp;IF(N(AD281)&gt;0,", "&amp;AD$2,"")&amp;IF(N(AE281)&gt;0,", "&amp;AE$2,"")&amp;IF(N(AF281)&gt;0,", "&amp;AF$2,"")&amp;IF(N(AG281)&gt;0,", "&amp;AG$2,"")&amp;IF(N(AH281)&gt;0,", "&amp;AH$2,"")&amp;IF(N(AI281)&gt;0,", "&amp;AI$2,"")&amp;IF(N(AJ281)&gt;0,", "&amp;AJ$2,""),3,999)</f>
        <v/>
      </c>
      <c r="AM281" s="87" t="str">
        <f aca="false">IF(E281="","",MID(IF(N(Y281)&gt;0,", "&amp;A281&amp;"-"&amp;Y$2,"")&amp;IF(N(Z281)&gt;0,", "&amp;A281&amp;"-"&amp;Z$2,"")&amp;IF(N(AA281)&gt;0,", "&amp;A281&amp;"-"&amp;AA$2,"")&amp;IF(N(AB281)&gt;0,", "&amp;A281&amp;"-"&amp;AB$2,"")&amp;IF(N(AC281)&gt;0,", "&amp;A281&amp;"-"&amp;AC$2,"")&amp;IF(N(AD281)&gt;0,", "&amp;A281&amp;"-"&amp;AD$2,"")&amp;IF(N(AE281)&gt;0,", "&amp;A281&amp;"-"&amp;AE$2,"")&amp;IF(N(AF281)&gt;0,", "&amp;A281&amp;"-"&amp;AF$2,"")&amp;IF(N(AG281)&gt;0,", "&amp;A281&amp;"-"&amp;AG$2,"")&amp;IF(N(AH281)&gt;0,", "&amp;A281&amp;"-"&amp;AH$2,"")&amp;IF(N(AI281)&gt;0,", "&amp;A281&amp;"-"&amp;AI$2,"")&amp;IF(N(AJ281)&gt;0,", "&amp;A281&amp;"-"&amp;AJ$2,""),3,999))</f>
        <v/>
      </c>
      <c r="AN281" s="81"/>
      <c r="AO281" s="88"/>
      <c r="AP281" s="89" t="str">
        <f aca="false">IF(AO281="","",ROUND(AO281/(1+Справочники!$B$13),2))</f>
        <v/>
      </c>
      <c r="AQ281" s="90" t="str">
        <f aca="false" t="array" ref="AQ281:AQ281">IF(AP281="","",AP281*INDEX(Справочники!$B$4:$B$7,MATCH("RUB",Справочники!$A$4:$A$7,0)))</f>
        <v/>
      </c>
      <c r="AR281" s="90" t="str">
        <f aca="false">IF(AQ281="","",ROUND(AQ281*(1+Справочники!$B$12),0))</f>
        <v/>
      </c>
      <c r="AS281" s="90" t="str">
        <f aca="false">IF(AR281="","",ROUND(AR281*(1-Справочники!$B$11),0))</f>
        <v/>
      </c>
      <c r="AT281" s="88"/>
      <c r="AU281" s="90" t="str">
        <f aca="false">IF(AT281="","",ROUND(AT281/(1+Справочники!$B$12),0))</f>
        <v/>
      </c>
      <c r="AV281" s="90" t="str">
        <f aca="false">IF(AT281="","",ROUND(AT281*(1-Справочники!$B$15),0))</f>
        <v/>
      </c>
      <c r="AW281" s="90" t="str">
        <f aca="false">IF(AT281="","",ROUND(AT281*(1-Справочники!$B$16),0))</f>
        <v/>
      </c>
      <c r="AX281" s="90" t="str">
        <f aca="false">IF(AT281="","",ROUND(AT281*(1-Справочники!$B$17),0))</f>
        <v/>
      </c>
      <c r="AY281" s="90" t="str">
        <f aca="false">IF(AT281="","",ROUND(AT281*(1-Справочники!$B$18),0))</f>
        <v/>
      </c>
      <c r="AZ281" s="90" t="str">
        <f aca="false">IF(AT281="","",ROUND(AT281*(1-Справочники!$B$19),0))</f>
        <v/>
      </c>
      <c r="BA281" s="81"/>
      <c r="BB281" s="81"/>
      <c r="BC281" s="81"/>
      <c r="BD281" s="81"/>
      <c r="BE281" s="91"/>
      <c r="BF281" s="81" t="s">
        <v>103</v>
      </c>
      <c r="BG281" s="89" t="n">
        <f aca="false" t="array" ref="BG281:BG281">IF(BF281="","",IFERROR(INDEX(Справочники!$B$4:$B$7,MATCH(BF281,Справочники!$A$4:$A$7,0)),""))</f>
        <v>68.5</v>
      </c>
      <c r="BH281" s="90" t="str">
        <f aca="false">IF(N(BN281)&gt;0,ROUND(SUMIF(ЗАКАЗЫ!$F$3:$F$500,$A281,ЗАКАЗЫ!$Y$3:$Y$500)/BN281,0),IF(OR(BE281="",BG281=""),"",ROUND(BE281*BG281*(1+Справочники!$B$10),0)))</f>
        <v/>
      </c>
      <c r="BI281" s="92" t="str">
        <f aca="false">IF(OR(AU281="",BH281="",AU281=0),"",(AU281-BH281)/AU281)</f>
        <v/>
      </c>
      <c r="BJ281" s="81"/>
      <c r="BK281" s="83"/>
      <c r="BL281" s="43" t="str">
        <f aca="false">IFERROR(INDEX(ЗАКАЗЫ!$N$3:$N$500,MATCH($A281,ЗАКАЗЫ!$F$3:$F$500,0)),"")</f>
        <v/>
      </c>
      <c r="BM281" s="8" t="str">
        <f aca="false">IF(BL281="","",IFERROR(VLOOKUP(BL281,'ТН ВЭД'!$A$4:$C$40,3,0),""))</f>
        <v/>
      </c>
      <c r="BN281" s="7" t="str">
        <f aca="false">IF(COUNTIF(ЗАКАЗЫ!$F$3:$F$500,$A281)=0,"",SUMIF(ЗАКАЗЫ!$F$3:$F$500,$A281,ЗАКАЗЫ!$J$3:$J$500))</f>
        <v/>
      </c>
      <c r="BO281" s="7" t="str">
        <f aca="false">IF(BN281="","",SUMIF(ЗАКАЗЫ!$F$3:$F$500,$A281,ЗАКАЗЫ!$AL$3:$AL$500))</f>
        <v/>
      </c>
      <c r="BP281" s="7" t="str">
        <f aca="false">IF(BN281="","",BN281-BO281)</f>
        <v/>
      </c>
      <c r="BQ281" s="55" t="str">
        <f aca="false">IF(BN281="","",IF(BO281&gt;=BN281,"На складе",IF(BO281&gt;0,"Частично","Ждём")))</f>
        <v/>
      </c>
      <c r="BR281" s="43"/>
      <c r="BS281" s="47" t="str">
        <f aca="false">IF(BN281="","",IF(_xlfn.MAXIFS(ЗАКАЗЫ!$AK$3:$AK$500,ЗАКАЗЫ!$F$3:$F$500,$A281)=0,"",_xlfn.MAXIFS(ЗАКАЗЫ!$AK$3:$AK$500,ЗАКАЗЫ!$F$3:$F$500,$A281)))</f>
        <v/>
      </c>
    </row>
    <row r="282" customFormat="false" ht="15.75" hidden="false" customHeight="true" outlineLevel="0" collapsed="false">
      <c r="A282" s="80" t="s">
        <v>2476</v>
      </c>
      <c r="B282" s="81"/>
      <c r="C282" s="81"/>
      <c r="D282" s="81"/>
      <c r="E282" s="83"/>
      <c r="F282" s="81"/>
      <c r="G282" s="83"/>
      <c r="H282" s="83"/>
      <c r="I282" s="84" t="str">
        <f aca="false">IF(E282="","",A282&amp;"_1.jpg")</f>
        <v/>
      </c>
      <c r="J282" s="84" t="str">
        <f aca="false">IF(E282="","",A282&amp;"_2.jpg; "&amp;A282&amp;"_3.jpg")</f>
        <v/>
      </c>
      <c r="K282" s="84" t="str">
        <f aca="false">IF(E282="","",A282&amp;"_schema.jpg")</f>
        <v/>
      </c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 t="s">
        <v>96</v>
      </c>
      <c r="W282" s="81"/>
      <c r="X282" s="81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6" t="str">
        <f aca="false">IF(SUM(Y282:AJ282)=0,"",SUM(Y282:AJ282))</f>
        <v/>
      </c>
      <c r="AL282" s="84" t="str">
        <f aca="false">MID(IF(N(Y282)&gt;0,", "&amp;Y$2,"")&amp;IF(N(Z282)&gt;0,", "&amp;Z$2,"")&amp;IF(N(AA282)&gt;0,", "&amp;AA$2,"")&amp;IF(N(AB282)&gt;0,", "&amp;AB$2,"")&amp;IF(N(AC282)&gt;0,", "&amp;AC$2,"")&amp;IF(N(AD282)&gt;0,", "&amp;AD$2,"")&amp;IF(N(AE282)&gt;0,", "&amp;AE$2,"")&amp;IF(N(AF282)&gt;0,", "&amp;AF$2,"")&amp;IF(N(AG282)&gt;0,", "&amp;AG$2,"")&amp;IF(N(AH282)&gt;0,", "&amp;AH$2,"")&amp;IF(N(AI282)&gt;0,", "&amp;AI$2,"")&amp;IF(N(AJ282)&gt;0,", "&amp;AJ$2,""),3,999)</f>
        <v/>
      </c>
      <c r="AM282" s="87" t="str">
        <f aca="false">IF(E282="","",MID(IF(N(Y282)&gt;0,", "&amp;A282&amp;"-"&amp;Y$2,"")&amp;IF(N(Z282)&gt;0,", "&amp;A282&amp;"-"&amp;Z$2,"")&amp;IF(N(AA282)&gt;0,", "&amp;A282&amp;"-"&amp;AA$2,"")&amp;IF(N(AB282)&gt;0,", "&amp;A282&amp;"-"&amp;AB$2,"")&amp;IF(N(AC282)&gt;0,", "&amp;A282&amp;"-"&amp;AC$2,"")&amp;IF(N(AD282)&gt;0,", "&amp;A282&amp;"-"&amp;AD$2,"")&amp;IF(N(AE282)&gt;0,", "&amp;A282&amp;"-"&amp;AE$2,"")&amp;IF(N(AF282)&gt;0,", "&amp;A282&amp;"-"&amp;AF$2,"")&amp;IF(N(AG282)&gt;0,", "&amp;A282&amp;"-"&amp;AG$2,"")&amp;IF(N(AH282)&gt;0,", "&amp;A282&amp;"-"&amp;AH$2,"")&amp;IF(N(AI282)&gt;0,", "&amp;A282&amp;"-"&amp;AI$2,"")&amp;IF(N(AJ282)&gt;0,", "&amp;A282&amp;"-"&amp;AJ$2,""),3,999))</f>
        <v/>
      </c>
      <c r="AN282" s="81"/>
      <c r="AO282" s="88"/>
      <c r="AP282" s="89" t="str">
        <f aca="false">IF(AO282="","",ROUND(AO282/(1+Справочники!$B$13),2))</f>
        <v/>
      </c>
      <c r="AQ282" s="90" t="str">
        <f aca="false" t="array" ref="AQ282:AQ282">IF(AP282="","",AP282*INDEX(Справочники!$B$4:$B$7,MATCH("RUB",Справочники!$A$4:$A$7,0)))</f>
        <v/>
      </c>
      <c r="AR282" s="90" t="str">
        <f aca="false">IF(AQ282="","",ROUND(AQ282*(1+Справочники!$B$12),0))</f>
        <v/>
      </c>
      <c r="AS282" s="90" t="str">
        <f aca="false">IF(AR282="","",ROUND(AR282*(1-Справочники!$B$11),0))</f>
        <v/>
      </c>
      <c r="AT282" s="88"/>
      <c r="AU282" s="90" t="str">
        <f aca="false">IF(AT282="","",ROUND(AT282/(1+Справочники!$B$12),0))</f>
        <v/>
      </c>
      <c r="AV282" s="90" t="str">
        <f aca="false">IF(AT282="","",ROUND(AT282*(1-Справочники!$B$15),0))</f>
        <v/>
      </c>
      <c r="AW282" s="90" t="str">
        <f aca="false">IF(AT282="","",ROUND(AT282*(1-Справочники!$B$16),0))</f>
        <v/>
      </c>
      <c r="AX282" s="90" t="str">
        <f aca="false">IF(AT282="","",ROUND(AT282*(1-Справочники!$B$17),0))</f>
        <v/>
      </c>
      <c r="AY282" s="90" t="str">
        <f aca="false">IF(AT282="","",ROUND(AT282*(1-Справочники!$B$18),0))</f>
        <v/>
      </c>
      <c r="AZ282" s="90" t="str">
        <f aca="false">IF(AT282="","",ROUND(AT282*(1-Справочники!$B$19),0))</f>
        <v/>
      </c>
      <c r="BA282" s="81"/>
      <c r="BB282" s="81"/>
      <c r="BC282" s="81"/>
      <c r="BD282" s="81"/>
      <c r="BE282" s="91"/>
      <c r="BF282" s="81" t="s">
        <v>103</v>
      </c>
      <c r="BG282" s="89" t="n">
        <f aca="false" t="array" ref="BG282:BG282">IF(BF282="","",IFERROR(INDEX(Справочники!$B$4:$B$7,MATCH(BF282,Справочники!$A$4:$A$7,0)),""))</f>
        <v>68.5</v>
      </c>
      <c r="BH282" s="90" t="str">
        <f aca="false">IF(N(BN282)&gt;0,ROUND(SUMIF(ЗАКАЗЫ!$F$3:$F$500,$A282,ЗАКАЗЫ!$Y$3:$Y$500)/BN282,0),IF(OR(BE282="",BG282=""),"",ROUND(BE282*BG282*(1+Справочники!$B$10),0)))</f>
        <v/>
      </c>
      <c r="BI282" s="92" t="str">
        <f aca="false">IF(OR(AU282="",BH282="",AU282=0),"",(AU282-BH282)/AU282)</f>
        <v/>
      </c>
      <c r="BJ282" s="81"/>
      <c r="BK282" s="83"/>
      <c r="BL282" s="43" t="str">
        <f aca="false">IFERROR(INDEX(ЗАКАЗЫ!$N$3:$N$500,MATCH($A282,ЗАКАЗЫ!$F$3:$F$500,0)),"")</f>
        <v/>
      </c>
      <c r="BM282" s="8" t="str">
        <f aca="false">IF(BL282="","",IFERROR(VLOOKUP(BL282,'ТН ВЭД'!$A$4:$C$40,3,0),""))</f>
        <v/>
      </c>
      <c r="BN282" s="7" t="str">
        <f aca="false">IF(COUNTIF(ЗАКАЗЫ!$F$3:$F$500,$A282)=0,"",SUMIF(ЗАКАЗЫ!$F$3:$F$500,$A282,ЗАКАЗЫ!$J$3:$J$500))</f>
        <v/>
      </c>
      <c r="BO282" s="7" t="str">
        <f aca="false">IF(BN282="","",SUMIF(ЗАКАЗЫ!$F$3:$F$500,$A282,ЗАКАЗЫ!$AL$3:$AL$500))</f>
        <v/>
      </c>
      <c r="BP282" s="7" t="str">
        <f aca="false">IF(BN282="","",BN282-BO282)</f>
        <v/>
      </c>
      <c r="BQ282" s="55" t="str">
        <f aca="false">IF(BN282="","",IF(BO282&gt;=BN282,"На складе",IF(BO282&gt;0,"Частично","Ждём")))</f>
        <v/>
      </c>
      <c r="BR282" s="43"/>
      <c r="BS282" s="47" t="str">
        <f aca="false">IF(BN282="","",IF(_xlfn.MAXIFS(ЗАКАЗЫ!$AK$3:$AK$500,ЗАКАЗЫ!$F$3:$F$500,$A282)=0,"",_xlfn.MAXIFS(ЗАКАЗЫ!$AK$3:$AK$500,ЗАКАЗЫ!$F$3:$F$500,$A282)))</f>
        <v/>
      </c>
    </row>
    <row r="283" customFormat="false" ht="15.75" hidden="false" customHeight="true" outlineLevel="0" collapsed="false">
      <c r="A283" s="80" t="s">
        <v>2477</v>
      </c>
      <c r="B283" s="81"/>
      <c r="C283" s="81"/>
      <c r="D283" s="81"/>
      <c r="E283" s="83"/>
      <c r="F283" s="81"/>
      <c r="G283" s="83"/>
      <c r="H283" s="83"/>
      <c r="I283" s="84" t="str">
        <f aca="false">IF(E283="","",A283&amp;"_1.jpg")</f>
        <v/>
      </c>
      <c r="J283" s="84" t="str">
        <f aca="false">IF(E283="","",A283&amp;"_2.jpg; "&amp;A283&amp;"_3.jpg")</f>
        <v/>
      </c>
      <c r="K283" s="84" t="str">
        <f aca="false">IF(E283="","",A283&amp;"_schema.jpg")</f>
        <v/>
      </c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 t="s">
        <v>96</v>
      </c>
      <c r="W283" s="81"/>
      <c r="X283" s="81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6" t="str">
        <f aca="false">IF(SUM(Y283:AJ283)=0,"",SUM(Y283:AJ283))</f>
        <v/>
      </c>
      <c r="AL283" s="84" t="str">
        <f aca="false">MID(IF(N(Y283)&gt;0,", "&amp;Y$2,"")&amp;IF(N(Z283)&gt;0,", "&amp;Z$2,"")&amp;IF(N(AA283)&gt;0,", "&amp;AA$2,"")&amp;IF(N(AB283)&gt;0,", "&amp;AB$2,"")&amp;IF(N(AC283)&gt;0,", "&amp;AC$2,"")&amp;IF(N(AD283)&gt;0,", "&amp;AD$2,"")&amp;IF(N(AE283)&gt;0,", "&amp;AE$2,"")&amp;IF(N(AF283)&gt;0,", "&amp;AF$2,"")&amp;IF(N(AG283)&gt;0,", "&amp;AG$2,"")&amp;IF(N(AH283)&gt;0,", "&amp;AH$2,"")&amp;IF(N(AI283)&gt;0,", "&amp;AI$2,"")&amp;IF(N(AJ283)&gt;0,", "&amp;AJ$2,""),3,999)</f>
        <v/>
      </c>
      <c r="AM283" s="87" t="str">
        <f aca="false">IF(E283="","",MID(IF(N(Y283)&gt;0,", "&amp;A283&amp;"-"&amp;Y$2,"")&amp;IF(N(Z283)&gt;0,", "&amp;A283&amp;"-"&amp;Z$2,"")&amp;IF(N(AA283)&gt;0,", "&amp;A283&amp;"-"&amp;AA$2,"")&amp;IF(N(AB283)&gt;0,", "&amp;A283&amp;"-"&amp;AB$2,"")&amp;IF(N(AC283)&gt;0,", "&amp;A283&amp;"-"&amp;AC$2,"")&amp;IF(N(AD283)&gt;0,", "&amp;A283&amp;"-"&amp;AD$2,"")&amp;IF(N(AE283)&gt;0,", "&amp;A283&amp;"-"&amp;AE$2,"")&amp;IF(N(AF283)&gt;0,", "&amp;A283&amp;"-"&amp;AF$2,"")&amp;IF(N(AG283)&gt;0,", "&amp;A283&amp;"-"&amp;AG$2,"")&amp;IF(N(AH283)&gt;0,", "&amp;A283&amp;"-"&amp;AH$2,"")&amp;IF(N(AI283)&gt;0,", "&amp;A283&amp;"-"&amp;AI$2,"")&amp;IF(N(AJ283)&gt;0,", "&amp;A283&amp;"-"&amp;AJ$2,""),3,999))</f>
        <v/>
      </c>
      <c r="AN283" s="81"/>
      <c r="AO283" s="88"/>
      <c r="AP283" s="89" t="str">
        <f aca="false">IF(AO283="","",ROUND(AO283/(1+Справочники!$B$13),2))</f>
        <v/>
      </c>
      <c r="AQ283" s="90" t="str">
        <f aca="false" t="array" ref="AQ283:AQ283">IF(AP283="","",AP283*INDEX(Справочники!$B$4:$B$7,MATCH("RUB",Справочники!$A$4:$A$7,0)))</f>
        <v/>
      </c>
      <c r="AR283" s="90" t="str">
        <f aca="false">IF(AQ283="","",ROUND(AQ283*(1+Справочники!$B$12),0))</f>
        <v/>
      </c>
      <c r="AS283" s="90" t="str">
        <f aca="false">IF(AR283="","",ROUND(AR283*(1-Справочники!$B$11),0))</f>
        <v/>
      </c>
      <c r="AT283" s="88"/>
      <c r="AU283" s="90" t="str">
        <f aca="false">IF(AT283="","",ROUND(AT283/(1+Справочники!$B$12),0))</f>
        <v/>
      </c>
      <c r="AV283" s="90" t="str">
        <f aca="false">IF(AT283="","",ROUND(AT283*(1-Справочники!$B$15),0))</f>
        <v/>
      </c>
      <c r="AW283" s="90" t="str">
        <f aca="false">IF(AT283="","",ROUND(AT283*(1-Справочники!$B$16),0))</f>
        <v/>
      </c>
      <c r="AX283" s="90" t="str">
        <f aca="false">IF(AT283="","",ROUND(AT283*(1-Справочники!$B$17),0))</f>
        <v/>
      </c>
      <c r="AY283" s="90" t="str">
        <f aca="false">IF(AT283="","",ROUND(AT283*(1-Справочники!$B$18),0))</f>
        <v/>
      </c>
      <c r="AZ283" s="90" t="str">
        <f aca="false">IF(AT283="","",ROUND(AT283*(1-Справочники!$B$19),0))</f>
        <v/>
      </c>
      <c r="BA283" s="81"/>
      <c r="BB283" s="81"/>
      <c r="BC283" s="81"/>
      <c r="BD283" s="81"/>
      <c r="BE283" s="91"/>
      <c r="BF283" s="81" t="s">
        <v>103</v>
      </c>
      <c r="BG283" s="89" t="n">
        <f aca="false" t="array" ref="BG283:BG283">IF(BF283="","",IFERROR(INDEX(Справочники!$B$4:$B$7,MATCH(BF283,Справочники!$A$4:$A$7,0)),""))</f>
        <v>68.5</v>
      </c>
      <c r="BH283" s="90" t="str">
        <f aca="false">IF(N(BN283)&gt;0,ROUND(SUMIF(ЗАКАЗЫ!$F$3:$F$500,$A283,ЗАКАЗЫ!$Y$3:$Y$500)/BN283,0),IF(OR(BE283="",BG283=""),"",ROUND(BE283*BG283*(1+Справочники!$B$10),0)))</f>
        <v/>
      </c>
      <c r="BI283" s="92" t="str">
        <f aca="false">IF(OR(AU283="",BH283="",AU283=0),"",(AU283-BH283)/AU283)</f>
        <v/>
      </c>
      <c r="BJ283" s="81"/>
      <c r="BK283" s="83"/>
      <c r="BL283" s="43" t="str">
        <f aca="false">IFERROR(INDEX(ЗАКАЗЫ!$N$3:$N$500,MATCH($A283,ЗАКАЗЫ!$F$3:$F$500,0)),"")</f>
        <v/>
      </c>
      <c r="BM283" s="8" t="str">
        <f aca="false">IF(BL283="","",IFERROR(VLOOKUP(BL283,'ТН ВЭД'!$A$4:$C$40,3,0),""))</f>
        <v/>
      </c>
      <c r="BN283" s="7" t="str">
        <f aca="false">IF(COUNTIF(ЗАКАЗЫ!$F$3:$F$500,$A283)=0,"",SUMIF(ЗАКАЗЫ!$F$3:$F$500,$A283,ЗАКАЗЫ!$J$3:$J$500))</f>
        <v/>
      </c>
      <c r="BO283" s="7" t="str">
        <f aca="false">IF(BN283="","",SUMIF(ЗАКАЗЫ!$F$3:$F$500,$A283,ЗАКАЗЫ!$AL$3:$AL$500))</f>
        <v/>
      </c>
      <c r="BP283" s="7" t="str">
        <f aca="false">IF(BN283="","",BN283-BO283)</f>
        <v/>
      </c>
      <c r="BQ283" s="55" t="str">
        <f aca="false">IF(BN283="","",IF(BO283&gt;=BN283,"На складе",IF(BO283&gt;0,"Частично","Ждём")))</f>
        <v/>
      </c>
      <c r="BR283" s="43"/>
      <c r="BS283" s="47" t="str">
        <f aca="false">IF(BN283="","",IF(_xlfn.MAXIFS(ЗАКАЗЫ!$AK$3:$AK$500,ЗАКАЗЫ!$F$3:$F$500,$A283)=0,"",_xlfn.MAXIFS(ЗАКАЗЫ!$AK$3:$AK$500,ЗАКАЗЫ!$F$3:$F$500,$A283)))</f>
        <v/>
      </c>
    </row>
    <row r="284" customFormat="false" ht="15.75" hidden="false" customHeight="true" outlineLevel="0" collapsed="false">
      <c r="A284" s="80" t="s">
        <v>2478</v>
      </c>
      <c r="B284" s="81"/>
      <c r="C284" s="81"/>
      <c r="D284" s="81"/>
      <c r="E284" s="83"/>
      <c r="F284" s="81"/>
      <c r="G284" s="83"/>
      <c r="H284" s="83"/>
      <c r="I284" s="84" t="str">
        <f aca="false">IF(E284="","",A284&amp;"_1.jpg")</f>
        <v/>
      </c>
      <c r="J284" s="84" t="str">
        <f aca="false">IF(E284="","",A284&amp;"_2.jpg; "&amp;A284&amp;"_3.jpg")</f>
        <v/>
      </c>
      <c r="K284" s="84" t="str">
        <f aca="false">IF(E284="","",A284&amp;"_schema.jpg")</f>
        <v/>
      </c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 t="s">
        <v>96</v>
      </c>
      <c r="W284" s="81"/>
      <c r="X284" s="81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6" t="str">
        <f aca="false">IF(SUM(Y284:AJ284)=0,"",SUM(Y284:AJ284))</f>
        <v/>
      </c>
      <c r="AL284" s="84" t="str">
        <f aca="false">MID(IF(N(Y284)&gt;0,", "&amp;Y$2,"")&amp;IF(N(Z284)&gt;0,", "&amp;Z$2,"")&amp;IF(N(AA284)&gt;0,", "&amp;AA$2,"")&amp;IF(N(AB284)&gt;0,", "&amp;AB$2,"")&amp;IF(N(AC284)&gt;0,", "&amp;AC$2,"")&amp;IF(N(AD284)&gt;0,", "&amp;AD$2,"")&amp;IF(N(AE284)&gt;0,", "&amp;AE$2,"")&amp;IF(N(AF284)&gt;0,", "&amp;AF$2,"")&amp;IF(N(AG284)&gt;0,", "&amp;AG$2,"")&amp;IF(N(AH284)&gt;0,", "&amp;AH$2,"")&amp;IF(N(AI284)&gt;0,", "&amp;AI$2,"")&amp;IF(N(AJ284)&gt;0,", "&amp;AJ$2,""),3,999)</f>
        <v/>
      </c>
      <c r="AM284" s="87" t="str">
        <f aca="false">IF(E284="","",MID(IF(N(Y284)&gt;0,", "&amp;A284&amp;"-"&amp;Y$2,"")&amp;IF(N(Z284)&gt;0,", "&amp;A284&amp;"-"&amp;Z$2,"")&amp;IF(N(AA284)&gt;0,", "&amp;A284&amp;"-"&amp;AA$2,"")&amp;IF(N(AB284)&gt;0,", "&amp;A284&amp;"-"&amp;AB$2,"")&amp;IF(N(AC284)&gt;0,", "&amp;A284&amp;"-"&amp;AC$2,"")&amp;IF(N(AD284)&gt;0,", "&amp;A284&amp;"-"&amp;AD$2,"")&amp;IF(N(AE284)&gt;0,", "&amp;A284&amp;"-"&amp;AE$2,"")&amp;IF(N(AF284)&gt;0,", "&amp;A284&amp;"-"&amp;AF$2,"")&amp;IF(N(AG284)&gt;0,", "&amp;A284&amp;"-"&amp;AG$2,"")&amp;IF(N(AH284)&gt;0,", "&amp;A284&amp;"-"&amp;AH$2,"")&amp;IF(N(AI284)&gt;0,", "&amp;A284&amp;"-"&amp;AI$2,"")&amp;IF(N(AJ284)&gt;0,", "&amp;A284&amp;"-"&amp;AJ$2,""),3,999))</f>
        <v/>
      </c>
      <c r="AN284" s="81"/>
      <c r="AO284" s="88"/>
      <c r="AP284" s="89" t="str">
        <f aca="false">IF(AO284="","",ROUND(AO284/(1+Справочники!$B$13),2))</f>
        <v/>
      </c>
      <c r="AQ284" s="90" t="str">
        <f aca="false" t="array" ref="AQ284:AQ284">IF(AP284="","",AP284*INDEX(Справочники!$B$4:$B$7,MATCH("RUB",Справочники!$A$4:$A$7,0)))</f>
        <v/>
      </c>
      <c r="AR284" s="90" t="str">
        <f aca="false">IF(AQ284="","",ROUND(AQ284*(1+Справочники!$B$12),0))</f>
        <v/>
      </c>
      <c r="AS284" s="90" t="str">
        <f aca="false">IF(AR284="","",ROUND(AR284*(1-Справочники!$B$11),0))</f>
        <v/>
      </c>
      <c r="AT284" s="88"/>
      <c r="AU284" s="90" t="str">
        <f aca="false">IF(AT284="","",ROUND(AT284/(1+Справочники!$B$12),0))</f>
        <v/>
      </c>
      <c r="AV284" s="90" t="str">
        <f aca="false">IF(AT284="","",ROUND(AT284*(1-Справочники!$B$15),0))</f>
        <v/>
      </c>
      <c r="AW284" s="90" t="str">
        <f aca="false">IF(AT284="","",ROUND(AT284*(1-Справочники!$B$16),0))</f>
        <v/>
      </c>
      <c r="AX284" s="90" t="str">
        <f aca="false">IF(AT284="","",ROUND(AT284*(1-Справочники!$B$17),0))</f>
        <v/>
      </c>
      <c r="AY284" s="90" t="str">
        <f aca="false">IF(AT284="","",ROUND(AT284*(1-Справочники!$B$18),0))</f>
        <v/>
      </c>
      <c r="AZ284" s="90" t="str">
        <f aca="false">IF(AT284="","",ROUND(AT284*(1-Справочники!$B$19),0))</f>
        <v/>
      </c>
      <c r="BA284" s="81"/>
      <c r="BB284" s="81"/>
      <c r="BC284" s="81"/>
      <c r="BD284" s="81"/>
      <c r="BE284" s="91"/>
      <c r="BF284" s="81" t="s">
        <v>103</v>
      </c>
      <c r="BG284" s="89" t="n">
        <f aca="false" t="array" ref="BG284:BG284">IF(BF284="","",IFERROR(INDEX(Справочники!$B$4:$B$7,MATCH(BF284,Справочники!$A$4:$A$7,0)),""))</f>
        <v>68.5</v>
      </c>
      <c r="BH284" s="90" t="str">
        <f aca="false">IF(N(BN284)&gt;0,ROUND(SUMIF(ЗАКАЗЫ!$F$3:$F$500,$A284,ЗАКАЗЫ!$Y$3:$Y$500)/BN284,0),IF(OR(BE284="",BG284=""),"",ROUND(BE284*BG284*(1+Справочники!$B$10),0)))</f>
        <v/>
      </c>
      <c r="BI284" s="92" t="str">
        <f aca="false">IF(OR(AU284="",BH284="",AU284=0),"",(AU284-BH284)/AU284)</f>
        <v/>
      </c>
      <c r="BJ284" s="81"/>
      <c r="BK284" s="83"/>
      <c r="BL284" s="43" t="str">
        <f aca="false">IFERROR(INDEX(ЗАКАЗЫ!$N$3:$N$500,MATCH($A284,ЗАКАЗЫ!$F$3:$F$500,0)),"")</f>
        <v/>
      </c>
      <c r="BM284" s="8" t="str">
        <f aca="false">IF(BL284="","",IFERROR(VLOOKUP(BL284,'ТН ВЭД'!$A$4:$C$40,3,0),""))</f>
        <v/>
      </c>
      <c r="BN284" s="7" t="str">
        <f aca="false">IF(COUNTIF(ЗАКАЗЫ!$F$3:$F$500,$A284)=0,"",SUMIF(ЗАКАЗЫ!$F$3:$F$500,$A284,ЗАКАЗЫ!$J$3:$J$500))</f>
        <v/>
      </c>
      <c r="BO284" s="7" t="str">
        <f aca="false">IF(BN284="","",SUMIF(ЗАКАЗЫ!$F$3:$F$500,$A284,ЗАКАЗЫ!$AL$3:$AL$500))</f>
        <v/>
      </c>
      <c r="BP284" s="7" t="str">
        <f aca="false">IF(BN284="","",BN284-BO284)</f>
        <v/>
      </c>
      <c r="BQ284" s="55" t="str">
        <f aca="false">IF(BN284="","",IF(BO284&gt;=BN284,"На складе",IF(BO284&gt;0,"Частично","Ждём")))</f>
        <v/>
      </c>
      <c r="BR284" s="43"/>
      <c r="BS284" s="47" t="str">
        <f aca="false">IF(BN284="","",IF(_xlfn.MAXIFS(ЗАКАЗЫ!$AK$3:$AK$500,ЗАКАЗЫ!$F$3:$F$500,$A284)=0,"",_xlfn.MAXIFS(ЗАКАЗЫ!$AK$3:$AK$500,ЗАКАЗЫ!$F$3:$F$500,$A284)))</f>
        <v/>
      </c>
    </row>
    <row r="285" customFormat="false" ht="15.75" hidden="false" customHeight="true" outlineLevel="0" collapsed="false">
      <c r="A285" s="80" t="s">
        <v>2479</v>
      </c>
      <c r="B285" s="81"/>
      <c r="C285" s="81"/>
      <c r="D285" s="81"/>
      <c r="E285" s="83"/>
      <c r="F285" s="81"/>
      <c r="G285" s="83"/>
      <c r="H285" s="83"/>
      <c r="I285" s="84" t="str">
        <f aca="false">IF(E285="","",A285&amp;"_1.jpg")</f>
        <v/>
      </c>
      <c r="J285" s="84" t="str">
        <f aca="false">IF(E285="","",A285&amp;"_2.jpg; "&amp;A285&amp;"_3.jpg")</f>
        <v/>
      </c>
      <c r="K285" s="84" t="str">
        <f aca="false">IF(E285="","",A285&amp;"_schema.jpg")</f>
        <v/>
      </c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 t="s">
        <v>96</v>
      </c>
      <c r="W285" s="81"/>
      <c r="X285" s="81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6" t="str">
        <f aca="false">IF(SUM(Y285:AJ285)=0,"",SUM(Y285:AJ285))</f>
        <v/>
      </c>
      <c r="AL285" s="84" t="str">
        <f aca="false">MID(IF(N(Y285)&gt;0,", "&amp;Y$2,"")&amp;IF(N(Z285)&gt;0,", "&amp;Z$2,"")&amp;IF(N(AA285)&gt;0,", "&amp;AA$2,"")&amp;IF(N(AB285)&gt;0,", "&amp;AB$2,"")&amp;IF(N(AC285)&gt;0,", "&amp;AC$2,"")&amp;IF(N(AD285)&gt;0,", "&amp;AD$2,"")&amp;IF(N(AE285)&gt;0,", "&amp;AE$2,"")&amp;IF(N(AF285)&gt;0,", "&amp;AF$2,"")&amp;IF(N(AG285)&gt;0,", "&amp;AG$2,"")&amp;IF(N(AH285)&gt;0,", "&amp;AH$2,"")&amp;IF(N(AI285)&gt;0,", "&amp;AI$2,"")&amp;IF(N(AJ285)&gt;0,", "&amp;AJ$2,""),3,999)</f>
        <v/>
      </c>
      <c r="AM285" s="87" t="str">
        <f aca="false">IF(E285="","",MID(IF(N(Y285)&gt;0,", "&amp;A285&amp;"-"&amp;Y$2,"")&amp;IF(N(Z285)&gt;0,", "&amp;A285&amp;"-"&amp;Z$2,"")&amp;IF(N(AA285)&gt;0,", "&amp;A285&amp;"-"&amp;AA$2,"")&amp;IF(N(AB285)&gt;0,", "&amp;A285&amp;"-"&amp;AB$2,"")&amp;IF(N(AC285)&gt;0,", "&amp;A285&amp;"-"&amp;AC$2,"")&amp;IF(N(AD285)&gt;0,", "&amp;A285&amp;"-"&amp;AD$2,"")&amp;IF(N(AE285)&gt;0,", "&amp;A285&amp;"-"&amp;AE$2,"")&amp;IF(N(AF285)&gt;0,", "&amp;A285&amp;"-"&amp;AF$2,"")&amp;IF(N(AG285)&gt;0,", "&amp;A285&amp;"-"&amp;AG$2,"")&amp;IF(N(AH285)&gt;0,", "&amp;A285&amp;"-"&amp;AH$2,"")&amp;IF(N(AI285)&gt;0,", "&amp;A285&amp;"-"&amp;AI$2,"")&amp;IF(N(AJ285)&gt;0,", "&amp;A285&amp;"-"&amp;AJ$2,""),3,999))</f>
        <v/>
      </c>
      <c r="AN285" s="81"/>
      <c r="AO285" s="88"/>
      <c r="AP285" s="89" t="str">
        <f aca="false">IF(AO285="","",ROUND(AO285/(1+Справочники!$B$13),2))</f>
        <v/>
      </c>
      <c r="AQ285" s="90" t="str">
        <f aca="false" t="array" ref="AQ285:AQ285">IF(AP285="","",AP285*INDEX(Справочники!$B$4:$B$7,MATCH("RUB",Справочники!$A$4:$A$7,0)))</f>
        <v/>
      </c>
      <c r="AR285" s="90" t="str">
        <f aca="false">IF(AQ285="","",ROUND(AQ285*(1+Справочники!$B$12),0))</f>
        <v/>
      </c>
      <c r="AS285" s="90" t="str">
        <f aca="false">IF(AR285="","",ROUND(AR285*(1-Справочники!$B$11),0))</f>
        <v/>
      </c>
      <c r="AT285" s="88"/>
      <c r="AU285" s="90" t="str">
        <f aca="false">IF(AT285="","",ROUND(AT285/(1+Справочники!$B$12),0))</f>
        <v/>
      </c>
      <c r="AV285" s="90" t="str">
        <f aca="false">IF(AT285="","",ROUND(AT285*(1-Справочники!$B$15),0))</f>
        <v/>
      </c>
      <c r="AW285" s="90" t="str">
        <f aca="false">IF(AT285="","",ROUND(AT285*(1-Справочники!$B$16),0))</f>
        <v/>
      </c>
      <c r="AX285" s="90" t="str">
        <f aca="false">IF(AT285="","",ROUND(AT285*(1-Справочники!$B$17),0))</f>
        <v/>
      </c>
      <c r="AY285" s="90" t="str">
        <f aca="false">IF(AT285="","",ROUND(AT285*(1-Справочники!$B$18),0))</f>
        <v/>
      </c>
      <c r="AZ285" s="90" t="str">
        <f aca="false">IF(AT285="","",ROUND(AT285*(1-Справочники!$B$19),0))</f>
        <v/>
      </c>
      <c r="BA285" s="81"/>
      <c r="BB285" s="81"/>
      <c r="BC285" s="81"/>
      <c r="BD285" s="81"/>
      <c r="BE285" s="91"/>
      <c r="BF285" s="81" t="s">
        <v>103</v>
      </c>
      <c r="BG285" s="89" t="n">
        <f aca="false" t="array" ref="BG285:BG285">IF(BF285="","",IFERROR(INDEX(Справочники!$B$4:$B$7,MATCH(BF285,Справочники!$A$4:$A$7,0)),""))</f>
        <v>68.5</v>
      </c>
      <c r="BH285" s="90" t="str">
        <f aca="false">IF(N(BN285)&gt;0,ROUND(SUMIF(ЗАКАЗЫ!$F$3:$F$500,$A285,ЗАКАЗЫ!$Y$3:$Y$500)/BN285,0),IF(OR(BE285="",BG285=""),"",ROUND(BE285*BG285*(1+Справочники!$B$10),0)))</f>
        <v/>
      </c>
      <c r="BI285" s="92" t="str">
        <f aca="false">IF(OR(AU285="",BH285="",AU285=0),"",(AU285-BH285)/AU285)</f>
        <v/>
      </c>
      <c r="BJ285" s="81"/>
      <c r="BK285" s="83"/>
      <c r="BL285" s="43" t="str">
        <f aca="false">IFERROR(INDEX(ЗАКАЗЫ!$N$3:$N$500,MATCH($A285,ЗАКАЗЫ!$F$3:$F$500,0)),"")</f>
        <v/>
      </c>
      <c r="BM285" s="8" t="str">
        <f aca="false">IF(BL285="","",IFERROR(VLOOKUP(BL285,'ТН ВЭД'!$A$4:$C$40,3,0),""))</f>
        <v/>
      </c>
      <c r="BN285" s="7" t="str">
        <f aca="false">IF(COUNTIF(ЗАКАЗЫ!$F$3:$F$500,$A285)=0,"",SUMIF(ЗАКАЗЫ!$F$3:$F$500,$A285,ЗАКАЗЫ!$J$3:$J$500))</f>
        <v/>
      </c>
      <c r="BO285" s="7" t="str">
        <f aca="false">IF(BN285="","",SUMIF(ЗАКАЗЫ!$F$3:$F$500,$A285,ЗАКАЗЫ!$AL$3:$AL$500))</f>
        <v/>
      </c>
      <c r="BP285" s="7" t="str">
        <f aca="false">IF(BN285="","",BN285-BO285)</f>
        <v/>
      </c>
      <c r="BQ285" s="55" t="str">
        <f aca="false">IF(BN285="","",IF(BO285&gt;=BN285,"На складе",IF(BO285&gt;0,"Частично","Ждём")))</f>
        <v/>
      </c>
      <c r="BR285" s="43"/>
      <c r="BS285" s="47" t="str">
        <f aca="false">IF(BN285="","",IF(_xlfn.MAXIFS(ЗАКАЗЫ!$AK$3:$AK$500,ЗАКАЗЫ!$F$3:$F$500,$A285)=0,"",_xlfn.MAXIFS(ЗАКАЗЫ!$AK$3:$AK$500,ЗАКАЗЫ!$F$3:$F$500,$A285)))</f>
        <v/>
      </c>
    </row>
    <row r="286" customFormat="false" ht="15.75" hidden="false" customHeight="true" outlineLevel="0" collapsed="false">
      <c r="A286" s="80" t="s">
        <v>2480</v>
      </c>
      <c r="B286" s="81"/>
      <c r="C286" s="81"/>
      <c r="D286" s="81"/>
      <c r="E286" s="83"/>
      <c r="F286" s="81"/>
      <c r="G286" s="83"/>
      <c r="H286" s="83"/>
      <c r="I286" s="84" t="str">
        <f aca="false">IF(E286="","",A286&amp;"_1.jpg")</f>
        <v/>
      </c>
      <c r="J286" s="84" t="str">
        <f aca="false">IF(E286="","",A286&amp;"_2.jpg; "&amp;A286&amp;"_3.jpg")</f>
        <v/>
      </c>
      <c r="K286" s="84" t="str">
        <f aca="false">IF(E286="","",A286&amp;"_schema.jpg")</f>
        <v/>
      </c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 t="s">
        <v>96</v>
      </c>
      <c r="W286" s="81"/>
      <c r="X286" s="81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6" t="str">
        <f aca="false">IF(SUM(Y286:AJ286)=0,"",SUM(Y286:AJ286))</f>
        <v/>
      </c>
      <c r="AL286" s="84" t="str">
        <f aca="false">MID(IF(N(Y286)&gt;0,", "&amp;Y$2,"")&amp;IF(N(Z286)&gt;0,", "&amp;Z$2,"")&amp;IF(N(AA286)&gt;0,", "&amp;AA$2,"")&amp;IF(N(AB286)&gt;0,", "&amp;AB$2,"")&amp;IF(N(AC286)&gt;0,", "&amp;AC$2,"")&amp;IF(N(AD286)&gt;0,", "&amp;AD$2,"")&amp;IF(N(AE286)&gt;0,", "&amp;AE$2,"")&amp;IF(N(AF286)&gt;0,", "&amp;AF$2,"")&amp;IF(N(AG286)&gt;0,", "&amp;AG$2,"")&amp;IF(N(AH286)&gt;0,", "&amp;AH$2,"")&amp;IF(N(AI286)&gt;0,", "&amp;AI$2,"")&amp;IF(N(AJ286)&gt;0,", "&amp;AJ$2,""),3,999)</f>
        <v/>
      </c>
      <c r="AM286" s="87" t="str">
        <f aca="false">IF(E286="","",MID(IF(N(Y286)&gt;0,", "&amp;A286&amp;"-"&amp;Y$2,"")&amp;IF(N(Z286)&gt;0,", "&amp;A286&amp;"-"&amp;Z$2,"")&amp;IF(N(AA286)&gt;0,", "&amp;A286&amp;"-"&amp;AA$2,"")&amp;IF(N(AB286)&gt;0,", "&amp;A286&amp;"-"&amp;AB$2,"")&amp;IF(N(AC286)&gt;0,", "&amp;A286&amp;"-"&amp;AC$2,"")&amp;IF(N(AD286)&gt;0,", "&amp;A286&amp;"-"&amp;AD$2,"")&amp;IF(N(AE286)&gt;0,", "&amp;A286&amp;"-"&amp;AE$2,"")&amp;IF(N(AF286)&gt;0,", "&amp;A286&amp;"-"&amp;AF$2,"")&amp;IF(N(AG286)&gt;0,", "&amp;A286&amp;"-"&amp;AG$2,"")&amp;IF(N(AH286)&gt;0,", "&amp;A286&amp;"-"&amp;AH$2,"")&amp;IF(N(AI286)&gt;0,", "&amp;A286&amp;"-"&amp;AI$2,"")&amp;IF(N(AJ286)&gt;0,", "&amp;A286&amp;"-"&amp;AJ$2,""),3,999))</f>
        <v/>
      </c>
      <c r="AN286" s="81"/>
      <c r="AO286" s="88"/>
      <c r="AP286" s="89" t="str">
        <f aca="false">IF(AO286="","",ROUND(AO286/(1+Справочники!$B$13),2))</f>
        <v/>
      </c>
      <c r="AQ286" s="90" t="str">
        <f aca="false" t="array" ref="AQ286:AQ286">IF(AP286="","",AP286*INDEX(Справочники!$B$4:$B$7,MATCH("RUB",Справочники!$A$4:$A$7,0)))</f>
        <v/>
      </c>
      <c r="AR286" s="90" t="str">
        <f aca="false">IF(AQ286="","",ROUND(AQ286*(1+Справочники!$B$12),0))</f>
        <v/>
      </c>
      <c r="AS286" s="90" t="str">
        <f aca="false">IF(AR286="","",ROUND(AR286*(1-Справочники!$B$11),0))</f>
        <v/>
      </c>
      <c r="AT286" s="88"/>
      <c r="AU286" s="90" t="str">
        <f aca="false">IF(AT286="","",ROUND(AT286/(1+Справочники!$B$12),0))</f>
        <v/>
      </c>
      <c r="AV286" s="90" t="str">
        <f aca="false">IF(AT286="","",ROUND(AT286*(1-Справочники!$B$15),0))</f>
        <v/>
      </c>
      <c r="AW286" s="90" t="str">
        <f aca="false">IF(AT286="","",ROUND(AT286*(1-Справочники!$B$16),0))</f>
        <v/>
      </c>
      <c r="AX286" s="90" t="str">
        <f aca="false">IF(AT286="","",ROUND(AT286*(1-Справочники!$B$17),0))</f>
        <v/>
      </c>
      <c r="AY286" s="90" t="str">
        <f aca="false">IF(AT286="","",ROUND(AT286*(1-Справочники!$B$18),0))</f>
        <v/>
      </c>
      <c r="AZ286" s="90" t="str">
        <f aca="false">IF(AT286="","",ROUND(AT286*(1-Справочники!$B$19),0))</f>
        <v/>
      </c>
      <c r="BA286" s="81"/>
      <c r="BB286" s="81"/>
      <c r="BC286" s="81"/>
      <c r="BD286" s="81"/>
      <c r="BE286" s="91"/>
      <c r="BF286" s="81" t="s">
        <v>103</v>
      </c>
      <c r="BG286" s="89" t="n">
        <f aca="false" t="array" ref="BG286:BG286">IF(BF286="","",IFERROR(INDEX(Справочники!$B$4:$B$7,MATCH(BF286,Справочники!$A$4:$A$7,0)),""))</f>
        <v>68.5</v>
      </c>
      <c r="BH286" s="90" t="str">
        <f aca="false">IF(N(BN286)&gt;0,ROUND(SUMIF(ЗАКАЗЫ!$F$3:$F$500,$A286,ЗАКАЗЫ!$Y$3:$Y$500)/BN286,0),IF(OR(BE286="",BG286=""),"",ROUND(BE286*BG286*(1+Справочники!$B$10),0)))</f>
        <v/>
      </c>
      <c r="BI286" s="92" t="str">
        <f aca="false">IF(OR(AU286="",BH286="",AU286=0),"",(AU286-BH286)/AU286)</f>
        <v/>
      </c>
      <c r="BJ286" s="81"/>
      <c r="BK286" s="83"/>
      <c r="BL286" s="43" t="str">
        <f aca="false">IFERROR(INDEX(ЗАКАЗЫ!$N$3:$N$500,MATCH($A286,ЗАКАЗЫ!$F$3:$F$500,0)),"")</f>
        <v/>
      </c>
      <c r="BM286" s="8" t="str">
        <f aca="false">IF(BL286="","",IFERROR(VLOOKUP(BL286,'ТН ВЭД'!$A$4:$C$40,3,0),""))</f>
        <v/>
      </c>
      <c r="BN286" s="7" t="str">
        <f aca="false">IF(COUNTIF(ЗАКАЗЫ!$F$3:$F$500,$A286)=0,"",SUMIF(ЗАКАЗЫ!$F$3:$F$500,$A286,ЗАКАЗЫ!$J$3:$J$500))</f>
        <v/>
      </c>
      <c r="BO286" s="7" t="str">
        <f aca="false">IF(BN286="","",SUMIF(ЗАКАЗЫ!$F$3:$F$500,$A286,ЗАКАЗЫ!$AL$3:$AL$500))</f>
        <v/>
      </c>
      <c r="BP286" s="7" t="str">
        <f aca="false">IF(BN286="","",BN286-BO286)</f>
        <v/>
      </c>
      <c r="BQ286" s="55" t="str">
        <f aca="false">IF(BN286="","",IF(BO286&gt;=BN286,"На складе",IF(BO286&gt;0,"Частично","Ждём")))</f>
        <v/>
      </c>
      <c r="BR286" s="43"/>
      <c r="BS286" s="47" t="str">
        <f aca="false">IF(BN286="","",IF(_xlfn.MAXIFS(ЗАКАЗЫ!$AK$3:$AK$500,ЗАКАЗЫ!$F$3:$F$500,$A286)=0,"",_xlfn.MAXIFS(ЗАКАЗЫ!$AK$3:$AK$500,ЗАКАЗЫ!$F$3:$F$500,$A286)))</f>
        <v/>
      </c>
    </row>
    <row r="287" customFormat="false" ht="15.75" hidden="false" customHeight="true" outlineLevel="0" collapsed="false">
      <c r="A287" s="80" t="s">
        <v>2481</v>
      </c>
      <c r="B287" s="81"/>
      <c r="C287" s="81"/>
      <c r="D287" s="81"/>
      <c r="E287" s="83"/>
      <c r="F287" s="81"/>
      <c r="G287" s="83"/>
      <c r="H287" s="83"/>
      <c r="I287" s="84" t="str">
        <f aca="false">IF(E287="","",A287&amp;"_1.jpg")</f>
        <v/>
      </c>
      <c r="J287" s="84" t="str">
        <f aca="false">IF(E287="","",A287&amp;"_2.jpg; "&amp;A287&amp;"_3.jpg")</f>
        <v/>
      </c>
      <c r="K287" s="84" t="str">
        <f aca="false">IF(E287="","",A287&amp;"_schema.jpg")</f>
        <v/>
      </c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 t="s">
        <v>96</v>
      </c>
      <c r="W287" s="81"/>
      <c r="X287" s="81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6" t="str">
        <f aca="false">IF(SUM(Y287:AJ287)=0,"",SUM(Y287:AJ287))</f>
        <v/>
      </c>
      <c r="AL287" s="84" t="str">
        <f aca="false">MID(IF(N(Y287)&gt;0,", "&amp;Y$2,"")&amp;IF(N(Z287)&gt;0,", "&amp;Z$2,"")&amp;IF(N(AA287)&gt;0,", "&amp;AA$2,"")&amp;IF(N(AB287)&gt;0,", "&amp;AB$2,"")&amp;IF(N(AC287)&gt;0,", "&amp;AC$2,"")&amp;IF(N(AD287)&gt;0,", "&amp;AD$2,"")&amp;IF(N(AE287)&gt;0,", "&amp;AE$2,"")&amp;IF(N(AF287)&gt;0,", "&amp;AF$2,"")&amp;IF(N(AG287)&gt;0,", "&amp;AG$2,"")&amp;IF(N(AH287)&gt;0,", "&amp;AH$2,"")&amp;IF(N(AI287)&gt;0,", "&amp;AI$2,"")&amp;IF(N(AJ287)&gt;0,", "&amp;AJ$2,""),3,999)</f>
        <v/>
      </c>
      <c r="AM287" s="87" t="str">
        <f aca="false">IF(E287="","",MID(IF(N(Y287)&gt;0,", "&amp;A287&amp;"-"&amp;Y$2,"")&amp;IF(N(Z287)&gt;0,", "&amp;A287&amp;"-"&amp;Z$2,"")&amp;IF(N(AA287)&gt;0,", "&amp;A287&amp;"-"&amp;AA$2,"")&amp;IF(N(AB287)&gt;0,", "&amp;A287&amp;"-"&amp;AB$2,"")&amp;IF(N(AC287)&gt;0,", "&amp;A287&amp;"-"&amp;AC$2,"")&amp;IF(N(AD287)&gt;0,", "&amp;A287&amp;"-"&amp;AD$2,"")&amp;IF(N(AE287)&gt;0,", "&amp;A287&amp;"-"&amp;AE$2,"")&amp;IF(N(AF287)&gt;0,", "&amp;A287&amp;"-"&amp;AF$2,"")&amp;IF(N(AG287)&gt;0,", "&amp;A287&amp;"-"&amp;AG$2,"")&amp;IF(N(AH287)&gt;0,", "&amp;A287&amp;"-"&amp;AH$2,"")&amp;IF(N(AI287)&gt;0,", "&amp;A287&amp;"-"&amp;AI$2,"")&amp;IF(N(AJ287)&gt;0,", "&amp;A287&amp;"-"&amp;AJ$2,""),3,999))</f>
        <v/>
      </c>
      <c r="AN287" s="81"/>
      <c r="AO287" s="88"/>
      <c r="AP287" s="89" t="str">
        <f aca="false">IF(AO287="","",ROUND(AO287/(1+Справочники!$B$13),2))</f>
        <v/>
      </c>
      <c r="AQ287" s="90" t="str">
        <f aca="false" t="array" ref="AQ287:AQ287">IF(AP287="","",AP287*INDEX(Справочники!$B$4:$B$7,MATCH("RUB",Справочники!$A$4:$A$7,0)))</f>
        <v/>
      </c>
      <c r="AR287" s="90" t="str">
        <f aca="false">IF(AQ287="","",ROUND(AQ287*(1+Справочники!$B$12),0))</f>
        <v/>
      </c>
      <c r="AS287" s="90" t="str">
        <f aca="false">IF(AR287="","",ROUND(AR287*(1-Справочники!$B$11),0))</f>
        <v/>
      </c>
      <c r="AT287" s="88"/>
      <c r="AU287" s="90" t="str">
        <f aca="false">IF(AT287="","",ROUND(AT287/(1+Справочники!$B$12),0))</f>
        <v/>
      </c>
      <c r="AV287" s="90" t="str">
        <f aca="false">IF(AT287="","",ROUND(AT287*(1-Справочники!$B$15),0))</f>
        <v/>
      </c>
      <c r="AW287" s="90" t="str">
        <f aca="false">IF(AT287="","",ROUND(AT287*(1-Справочники!$B$16),0))</f>
        <v/>
      </c>
      <c r="AX287" s="90" t="str">
        <f aca="false">IF(AT287="","",ROUND(AT287*(1-Справочники!$B$17),0))</f>
        <v/>
      </c>
      <c r="AY287" s="90" t="str">
        <f aca="false">IF(AT287="","",ROUND(AT287*(1-Справочники!$B$18),0))</f>
        <v/>
      </c>
      <c r="AZ287" s="90" t="str">
        <f aca="false">IF(AT287="","",ROUND(AT287*(1-Справочники!$B$19),0))</f>
        <v/>
      </c>
      <c r="BA287" s="81"/>
      <c r="BB287" s="81"/>
      <c r="BC287" s="81"/>
      <c r="BD287" s="81"/>
      <c r="BE287" s="91"/>
      <c r="BF287" s="81" t="s">
        <v>103</v>
      </c>
      <c r="BG287" s="89" t="n">
        <f aca="false" t="array" ref="BG287:BG287">IF(BF287="","",IFERROR(INDEX(Справочники!$B$4:$B$7,MATCH(BF287,Справочники!$A$4:$A$7,0)),""))</f>
        <v>68.5</v>
      </c>
      <c r="BH287" s="90" t="str">
        <f aca="false">IF(N(BN287)&gt;0,ROUND(SUMIF(ЗАКАЗЫ!$F$3:$F$500,$A287,ЗАКАЗЫ!$Y$3:$Y$500)/BN287,0),IF(OR(BE287="",BG287=""),"",ROUND(BE287*BG287*(1+Справочники!$B$10),0)))</f>
        <v/>
      </c>
      <c r="BI287" s="92" t="str">
        <f aca="false">IF(OR(AU287="",BH287="",AU287=0),"",(AU287-BH287)/AU287)</f>
        <v/>
      </c>
      <c r="BJ287" s="81"/>
      <c r="BK287" s="83"/>
      <c r="BL287" s="43" t="str">
        <f aca="false">IFERROR(INDEX(ЗАКАЗЫ!$N$3:$N$500,MATCH($A287,ЗАКАЗЫ!$F$3:$F$500,0)),"")</f>
        <v/>
      </c>
      <c r="BM287" s="8" t="str">
        <f aca="false">IF(BL287="","",IFERROR(VLOOKUP(BL287,'ТН ВЭД'!$A$4:$C$40,3,0),""))</f>
        <v/>
      </c>
      <c r="BN287" s="7" t="str">
        <f aca="false">IF(COUNTIF(ЗАКАЗЫ!$F$3:$F$500,$A287)=0,"",SUMIF(ЗАКАЗЫ!$F$3:$F$500,$A287,ЗАКАЗЫ!$J$3:$J$500))</f>
        <v/>
      </c>
      <c r="BO287" s="7" t="str">
        <f aca="false">IF(BN287="","",SUMIF(ЗАКАЗЫ!$F$3:$F$500,$A287,ЗАКАЗЫ!$AL$3:$AL$500))</f>
        <v/>
      </c>
      <c r="BP287" s="7" t="str">
        <f aca="false">IF(BN287="","",BN287-BO287)</f>
        <v/>
      </c>
      <c r="BQ287" s="55" t="str">
        <f aca="false">IF(BN287="","",IF(BO287&gt;=BN287,"На складе",IF(BO287&gt;0,"Частично","Ждём")))</f>
        <v/>
      </c>
      <c r="BR287" s="43"/>
      <c r="BS287" s="47" t="str">
        <f aca="false">IF(BN287="","",IF(_xlfn.MAXIFS(ЗАКАЗЫ!$AK$3:$AK$500,ЗАКАЗЫ!$F$3:$F$500,$A287)=0,"",_xlfn.MAXIFS(ЗАКАЗЫ!$AK$3:$AK$500,ЗАКАЗЫ!$F$3:$F$500,$A287)))</f>
        <v/>
      </c>
    </row>
    <row r="288" customFormat="false" ht="15.75" hidden="false" customHeight="true" outlineLevel="0" collapsed="false">
      <c r="A288" s="80" t="s">
        <v>2482</v>
      </c>
      <c r="B288" s="81"/>
      <c r="C288" s="81"/>
      <c r="D288" s="81"/>
      <c r="E288" s="83"/>
      <c r="F288" s="81"/>
      <c r="G288" s="83"/>
      <c r="H288" s="83"/>
      <c r="I288" s="84" t="str">
        <f aca="false">IF(E288="","",A288&amp;"_1.jpg")</f>
        <v/>
      </c>
      <c r="J288" s="84" t="str">
        <f aca="false">IF(E288="","",A288&amp;"_2.jpg; "&amp;A288&amp;"_3.jpg")</f>
        <v/>
      </c>
      <c r="K288" s="84" t="str">
        <f aca="false">IF(E288="","",A288&amp;"_schema.jpg")</f>
        <v/>
      </c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 t="s">
        <v>96</v>
      </c>
      <c r="W288" s="81"/>
      <c r="X288" s="81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6" t="str">
        <f aca="false">IF(SUM(Y288:AJ288)=0,"",SUM(Y288:AJ288))</f>
        <v/>
      </c>
      <c r="AL288" s="84" t="str">
        <f aca="false">MID(IF(N(Y288)&gt;0,", "&amp;Y$2,"")&amp;IF(N(Z288)&gt;0,", "&amp;Z$2,"")&amp;IF(N(AA288)&gt;0,", "&amp;AA$2,"")&amp;IF(N(AB288)&gt;0,", "&amp;AB$2,"")&amp;IF(N(AC288)&gt;0,", "&amp;AC$2,"")&amp;IF(N(AD288)&gt;0,", "&amp;AD$2,"")&amp;IF(N(AE288)&gt;0,", "&amp;AE$2,"")&amp;IF(N(AF288)&gt;0,", "&amp;AF$2,"")&amp;IF(N(AG288)&gt;0,", "&amp;AG$2,"")&amp;IF(N(AH288)&gt;0,", "&amp;AH$2,"")&amp;IF(N(AI288)&gt;0,", "&amp;AI$2,"")&amp;IF(N(AJ288)&gt;0,", "&amp;AJ$2,""),3,999)</f>
        <v/>
      </c>
      <c r="AM288" s="87" t="str">
        <f aca="false">IF(E288="","",MID(IF(N(Y288)&gt;0,", "&amp;A288&amp;"-"&amp;Y$2,"")&amp;IF(N(Z288)&gt;0,", "&amp;A288&amp;"-"&amp;Z$2,"")&amp;IF(N(AA288)&gt;0,", "&amp;A288&amp;"-"&amp;AA$2,"")&amp;IF(N(AB288)&gt;0,", "&amp;A288&amp;"-"&amp;AB$2,"")&amp;IF(N(AC288)&gt;0,", "&amp;A288&amp;"-"&amp;AC$2,"")&amp;IF(N(AD288)&gt;0,", "&amp;A288&amp;"-"&amp;AD$2,"")&amp;IF(N(AE288)&gt;0,", "&amp;A288&amp;"-"&amp;AE$2,"")&amp;IF(N(AF288)&gt;0,", "&amp;A288&amp;"-"&amp;AF$2,"")&amp;IF(N(AG288)&gt;0,", "&amp;A288&amp;"-"&amp;AG$2,"")&amp;IF(N(AH288)&gt;0,", "&amp;A288&amp;"-"&amp;AH$2,"")&amp;IF(N(AI288)&gt;0,", "&amp;A288&amp;"-"&amp;AI$2,"")&amp;IF(N(AJ288)&gt;0,", "&amp;A288&amp;"-"&amp;AJ$2,""),3,999))</f>
        <v/>
      </c>
      <c r="AN288" s="81"/>
      <c r="AO288" s="88"/>
      <c r="AP288" s="89" t="str">
        <f aca="false">IF(AO288="","",ROUND(AO288/(1+Справочники!$B$13),2))</f>
        <v/>
      </c>
      <c r="AQ288" s="90" t="str">
        <f aca="false" t="array" ref="AQ288:AQ288">IF(AP288="","",AP288*INDEX(Справочники!$B$4:$B$7,MATCH("RUB",Справочники!$A$4:$A$7,0)))</f>
        <v/>
      </c>
      <c r="AR288" s="90" t="str">
        <f aca="false">IF(AQ288="","",ROUND(AQ288*(1+Справочники!$B$12),0))</f>
        <v/>
      </c>
      <c r="AS288" s="90" t="str">
        <f aca="false">IF(AR288="","",ROUND(AR288*(1-Справочники!$B$11),0))</f>
        <v/>
      </c>
      <c r="AT288" s="88"/>
      <c r="AU288" s="90" t="str">
        <f aca="false">IF(AT288="","",ROUND(AT288/(1+Справочники!$B$12),0))</f>
        <v/>
      </c>
      <c r="AV288" s="90" t="str">
        <f aca="false">IF(AT288="","",ROUND(AT288*(1-Справочники!$B$15),0))</f>
        <v/>
      </c>
      <c r="AW288" s="90" t="str">
        <f aca="false">IF(AT288="","",ROUND(AT288*(1-Справочники!$B$16),0))</f>
        <v/>
      </c>
      <c r="AX288" s="90" t="str">
        <f aca="false">IF(AT288="","",ROUND(AT288*(1-Справочники!$B$17),0))</f>
        <v/>
      </c>
      <c r="AY288" s="90" t="str">
        <f aca="false">IF(AT288="","",ROUND(AT288*(1-Справочники!$B$18),0))</f>
        <v/>
      </c>
      <c r="AZ288" s="90" t="str">
        <f aca="false">IF(AT288="","",ROUND(AT288*(1-Справочники!$B$19),0))</f>
        <v/>
      </c>
      <c r="BA288" s="81"/>
      <c r="BB288" s="81"/>
      <c r="BC288" s="81"/>
      <c r="BD288" s="81"/>
      <c r="BE288" s="91"/>
      <c r="BF288" s="81" t="s">
        <v>103</v>
      </c>
      <c r="BG288" s="89" t="n">
        <f aca="false" t="array" ref="BG288:BG288">IF(BF288="","",IFERROR(INDEX(Справочники!$B$4:$B$7,MATCH(BF288,Справочники!$A$4:$A$7,0)),""))</f>
        <v>68.5</v>
      </c>
      <c r="BH288" s="90" t="str">
        <f aca="false">IF(N(BN288)&gt;0,ROUND(SUMIF(ЗАКАЗЫ!$F$3:$F$500,$A288,ЗАКАЗЫ!$Y$3:$Y$500)/BN288,0),IF(OR(BE288="",BG288=""),"",ROUND(BE288*BG288*(1+Справочники!$B$10),0)))</f>
        <v/>
      </c>
      <c r="BI288" s="92" t="str">
        <f aca="false">IF(OR(AU288="",BH288="",AU288=0),"",(AU288-BH288)/AU288)</f>
        <v/>
      </c>
      <c r="BJ288" s="81"/>
      <c r="BK288" s="83"/>
      <c r="BL288" s="43" t="str">
        <f aca="false">IFERROR(INDEX(ЗАКАЗЫ!$N$3:$N$500,MATCH($A288,ЗАКАЗЫ!$F$3:$F$500,0)),"")</f>
        <v/>
      </c>
      <c r="BM288" s="8" t="str">
        <f aca="false">IF(BL288="","",IFERROR(VLOOKUP(BL288,'ТН ВЭД'!$A$4:$C$40,3,0),""))</f>
        <v/>
      </c>
      <c r="BN288" s="7" t="str">
        <f aca="false">IF(COUNTIF(ЗАКАЗЫ!$F$3:$F$500,$A288)=0,"",SUMIF(ЗАКАЗЫ!$F$3:$F$500,$A288,ЗАКАЗЫ!$J$3:$J$500))</f>
        <v/>
      </c>
      <c r="BO288" s="7" t="str">
        <f aca="false">IF(BN288="","",SUMIF(ЗАКАЗЫ!$F$3:$F$500,$A288,ЗАКАЗЫ!$AL$3:$AL$500))</f>
        <v/>
      </c>
      <c r="BP288" s="7" t="str">
        <f aca="false">IF(BN288="","",BN288-BO288)</f>
        <v/>
      </c>
      <c r="BQ288" s="55" t="str">
        <f aca="false">IF(BN288="","",IF(BO288&gt;=BN288,"На складе",IF(BO288&gt;0,"Частично","Ждём")))</f>
        <v/>
      </c>
      <c r="BR288" s="43"/>
      <c r="BS288" s="47" t="str">
        <f aca="false">IF(BN288="","",IF(_xlfn.MAXIFS(ЗАКАЗЫ!$AK$3:$AK$500,ЗАКАЗЫ!$F$3:$F$500,$A288)=0,"",_xlfn.MAXIFS(ЗАКАЗЫ!$AK$3:$AK$500,ЗАКАЗЫ!$F$3:$F$500,$A288)))</f>
        <v/>
      </c>
    </row>
    <row r="289" customFormat="false" ht="15.75" hidden="false" customHeight="true" outlineLevel="0" collapsed="false">
      <c r="A289" s="80" t="s">
        <v>2483</v>
      </c>
      <c r="B289" s="81"/>
      <c r="C289" s="81"/>
      <c r="D289" s="81"/>
      <c r="E289" s="83"/>
      <c r="F289" s="81"/>
      <c r="G289" s="83"/>
      <c r="H289" s="83"/>
      <c r="I289" s="84" t="str">
        <f aca="false">IF(E289="","",A289&amp;"_1.jpg")</f>
        <v/>
      </c>
      <c r="J289" s="84" t="str">
        <f aca="false">IF(E289="","",A289&amp;"_2.jpg; "&amp;A289&amp;"_3.jpg")</f>
        <v/>
      </c>
      <c r="K289" s="84" t="str">
        <f aca="false">IF(E289="","",A289&amp;"_schema.jpg")</f>
        <v/>
      </c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 t="s">
        <v>96</v>
      </c>
      <c r="W289" s="81"/>
      <c r="X289" s="81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6" t="str">
        <f aca="false">IF(SUM(Y289:AJ289)=0,"",SUM(Y289:AJ289))</f>
        <v/>
      </c>
      <c r="AL289" s="84" t="str">
        <f aca="false">MID(IF(N(Y289)&gt;0,", "&amp;Y$2,"")&amp;IF(N(Z289)&gt;0,", "&amp;Z$2,"")&amp;IF(N(AA289)&gt;0,", "&amp;AA$2,"")&amp;IF(N(AB289)&gt;0,", "&amp;AB$2,"")&amp;IF(N(AC289)&gt;0,", "&amp;AC$2,"")&amp;IF(N(AD289)&gt;0,", "&amp;AD$2,"")&amp;IF(N(AE289)&gt;0,", "&amp;AE$2,"")&amp;IF(N(AF289)&gt;0,", "&amp;AF$2,"")&amp;IF(N(AG289)&gt;0,", "&amp;AG$2,"")&amp;IF(N(AH289)&gt;0,", "&amp;AH$2,"")&amp;IF(N(AI289)&gt;0,", "&amp;AI$2,"")&amp;IF(N(AJ289)&gt;0,", "&amp;AJ$2,""),3,999)</f>
        <v/>
      </c>
      <c r="AM289" s="87" t="str">
        <f aca="false">IF(E289="","",MID(IF(N(Y289)&gt;0,", "&amp;A289&amp;"-"&amp;Y$2,"")&amp;IF(N(Z289)&gt;0,", "&amp;A289&amp;"-"&amp;Z$2,"")&amp;IF(N(AA289)&gt;0,", "&amp;A289&amp;"-"&amp;AA$2,"")&amp;IF(N(AB289)&gt;0,", "&amp;A289&amp;"-"&amp;AB$2,"")&amp;IF(N(AC289)&gt;0,", "&amp;A289&amp;"-"&amp;AC$2,"")&amp;IF(N(AD289)&gt;0,", "&amp;A289&amp;"-"&amp;AD$2,"")&amp;IF(N(AE289)&gt;0,", "&amp;A289&amp;"-"&amp;AE$2,"")&amp;IF(N(AF289)&gt;0,", "&amp;A289&amp;"-"&amp;AF$2,"")&amp;IF(N(AG289)&gt;0,", "&amp;A289&amp;"-"&amp;AG$2,"")&amp;IF(N(AH289)&gt;0,", "&amp;A289&amp;"-"&amp;AH$2,"")&amp;IF(N(AI289)&gt;0,", "&amp;A289&amp;"-"&amp;AI$2,"")&amp;IF(N(AJ289)&gt;0,", "&amp;A289&amp;"-"&amp;AJ$2,""),3,999))</f>
        <v/>
      </c>
      <c r="AN289" s="81"/>
      <c r="AO289" s="88"/>
      <c r="AP289" s="89" t="str">
        <f aca="false">IF(AO289="","",ROUND(AO289/(1+Справочники!$B$13),2))</f>
        <v/>
      </c>
      <c r="AQ289" s="90" t="str">
        <f aca="false" t="array" ref="AQ289:AQ289">IF(AP289="","",AP289*INDEX(Справочники!$B$4:$B$7,MATCH("RUB",Справочники!$A$4:$A$7,0)))</f>
        <v/>
      </c>
      <c r="AR289" s="90" t="str">
        <f aca="false">IF(AQ289="","",ROUND(AQ289*(1+Справочники!$B$12),0))</f>
        <v/>
      </c>
      <c r="AS289" s="90" t="str">
        <f aca="false">IF(AR289="","",ROUND(AR289*(1-Справочники!$B$11),0))</f>
        <v/>
      </c>
      <c r="AT289" s="88"/>
      <c r="AU289" s="90" t="str">
        <f aca="false">IF(AT289="","",ROUND(AT289/(1+Справочники!$B$12),0))</f>
        <v/>
      </c>
      <c r="AV289" s="90" t="str">
        <f aca="false">IF(AT289="","",ROUND(AT289*(1-Справочники!$B$15),0))</f>
        <v/>
      </c>
      <c r="AW289" s="90" t="str">
        <f aca="false">IF(AT289="","",ROUND(AT289*(1-Справочники!$B$16),0))</f>
        <v/>
      </c>
      <c r="AX289" s="90" t="str">
        <f aca="false">IF(AT289="","",ROUND(AT289*(1-Справочники!$B$17),0))</f>
        <v/>
      </c>
      <c r="AY289" s="90" t="str">
        <f aca="false">IF(AT289="","",ROUND(AT289*(1-Справочники!$B$18),0))</f>
        <v/>
      </c>
      <c r="AZ289" s="90" t="str">
        <f aca="false">IF(AT289="","",ROUND(AT289*(1-Справочники!$B$19),0))</f>
        <v/>
      </c>
      <c r="BA289" s="81"/>
      <c r="BB289" s="81"/>
      <c r="BC289" s="81"/>
      <c r="BD289" s="81"/>
      <c r="BE289" s="91"/>
      <c r="BF289" s="81" t="s">
        <v>103</v>
      </c>
      <c r="BG289" s="89" t="n">
        <f aca="false" t="array" ref="BG289:BG289">IF(BF289="","",IFERROR(INDEX(Справочники!$B$4:$B$7,MATCH(BF289,Справочники!$A$4:$A$7,0)),""))</f>
        <v>68.5</v>
      </c>
      <c r="BH289" s="90" t="str">
        <f aca="false">IF(N(BN289)&gt;0,ROUND(SUMIF(ЗАКАЗЫ!$F$3:$F$500,$A289,ЗАКАЗЫ!$Y$3:$Y$500)/BN289,0),IF(OR(BE289="",BG289=""),"",ROUND(BE289*BG289*(1+Справочники!$B$10),0)))</f>
        <v/>
      </c>
      <c r="BI289" s="92" t="str">
        <f aca="false">IF(OR(AU289="",BH289="",AU289=0),"",(AU289-BH289)/AU289)</f>
        <v/>
      </c>
      <c r="BJ289" s="81"/>
      <c r="BK289" s="83"/>
      <c r="BL289" s="43" t="str">
        <f aca="false">IFERROR(INDEX(ЗАКАЗЫ!$N$3:$N$500,MATCH($A289,ЗАКАЗЫ!$F$3:$F$500,0)),"")</f>
        <v/>
      </c>
      <c r="BM289" s="8" t="str">
        <f aca="false">IF(BL289="","",IFERROR(VLOOKUP(BL289,'ТН ВЭД'!$A$4:$C$40,3,0),""))</f>
        <v/>
      </c>
      <c r="BN289" s="7" t="str">
        <f aca="false">IF(COUNTIF(ЗАКАЗЫ!$F$3:$F$500,$A289)=0,"",SUMIF(ЗАКАЗЫ!$F$3:$F$500,$A289,ЗАКАЗЫ!$J$3:$J$500))</f>
        <v/>
      </c>
      <c r="BO289" s="7" t="str">
        <f aca="false">IF(BN289="","",SUMIF(ЗАКАЗЫ!$F$3:$F$500,$A289,ЗАКАЗЫ!$AL$3:$AL$500))</f>
        <v/>
      </c>
      <c r="BP289" s="7" t="str">
        <f aca="false">IF(BN289="","",BN289-BO289)</f>
        <v/>
      </c>
      <c r="BQ289" s="55" t="str">
        <f aca="false">IF(BN289="","",IF(BO289&gt;=BN289,"На складе",IF(BO289&gt;0,"Частично","Ждём")))</f>
        <v/>
      </c>
      <c r="BR289" s="43"/>
      <c r="BS289" s="47" t="str">
        <f aca="false">IF(BN289="","",IF(_xlfn.MAXIFS(ЗАКАЗЫ!$AK$3:$AK$500,ЗАКАЗЫ!$F$3:$F$500,$A289)=0,"",_xlfn.MAXIFS(ЗАКАЗЫ!$AK$3:$AK$500,ЗАКАЗЫ!$F$3:$F$500,$A289)))</f>
        <v/>
      </c>
    </row>
    <row r="290" customFormat="false" ht="15.75" hidden="false" customHeight="true" outlineLevel="0" collapsed="false">
      <c r="A290" s="80" t="s">
        <v>2484</v>
      </c>
      <c r="B290" s="81"/>
      <c r="C290" s="81"/>
      <c r="D290" s="81"/>
      <c r="E290" s="83"/>
      <c r="F290" s="81"/>
      <c r="G290" s="83"/>
      <c r="H290" s="83"/>
      <c r="I290" s="84" t="str">
        <f aca="false">IF(E290="","",A290&amp;"_1.jpg")</f>
        <v/>
      </c>
      <c r="J290" s="84" t="str">
        <f aca="false">IF(E290="","",A290&amp;"_2.jpg; "&amp;A290&amp;"_3.jpg")</f>
        <v/>
      </c>
      <c r="K290" s="84" t="str">
        <f aca="false">IF(E290="","",A290&amp;"_schema.jpg")</f>
        <v/>
      </c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 t="s">
        <v>96</v>
      </c>
      <c r="W290" s="81"/>
      <c r="X290" s="81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6" t="str">
        <f aca="false">IF(SUM(Y290:AJ290)=0,"",SUM(Y290:AJ290))</f>
        <v/>
      </c>
      <c r="AL290" s="84" t="str">
        <f aca="false">MID(IF(N(Y290)&gt;0,", "&amp;Y$2,"")&amp;IF(N(Z290)&gt;0,", "&amp;Z$2,"")&amp;IF(N(AA290)&gt;0,", "&amp;AA$2,"")&amp;IF(N(AB290)&gt;0,", "&amp;AB$2,"")&amp;IF(N(AC290)&gt;0,", "&amp;AC$2,"")&amp;IF(N(AD290)&gt;0,", "&amp;AD$2,"")&amp;IF(N(AE290)&gt;0,", "&amp;AE$2,"")&amp;IF(N(AF290)&gt;0,", "&amp;AF$2,"")&amp;IF(N(AG290)&gt;0,", "&amp;AG$2,"")&amp;IF(N(AH290)&gt;0,", "&amp;AH$2,"")&amp;IF(N(AI290)&gt;0,", "&amp;AI$2,"")&amp;IF(N(AJ290)&gt;0,", "&amp;AJ$2,""),3,999)</f>
        <v/>
      </c>
      <c r="AM290" s="87" t="str">
        <f aca="false">IF(E290="","",MID(IF(N(Y290)&gt;0,", "&amp;A290&amp;"-"&amp;Y$2,"")&amp;IF(N(Z290)&gt;0,", "&amp;A290&amp;"-"&amp;Z$2,"")&amp;IF(N(AA290)&gt;0,", "&amp;A290&amp;"-"&amp;AA$2,"")&amp;IF(N(AB290)&gt;0,", "&amp;A290&amp;"-"&amp;AB$2,"")&amp;IF(N(AC290)&gt;0,", "&amp;A290&amp;"-"&amp;AC$2,"")&amp;IF(N(AD290)&gt;0,", "&amp;A290&amp;"-"&amp;AD$2,"")&amp;IF(N(AE290)&gt;0,", "&amp;A290&amp;"-"&amp;AE$2,"")&amp;IF(N(AF290)&gt;0,", "&amp;A290&amp;"-"&amp;AF$2,"")&amp;IF(N(AG290)&gt;0,", "&amp;A290&amp;"-"&amp;AG$2,"")&amp;IF(N(AH290)&gt;0,", "&amp;A290&amp;"-"&amp;AH$2,"")&amp;IF(N(AI290)&gt;0,", "&amp;A290&amp;"-"&amp;AI$2,"")&amp;IF(N(AJ290)&gt;0,", "&amp;A290&amp;"-"&amp;AJ$2,""),3,999))</f>
        <v/>
      </c>
      <c r="AN290" s="81"/>
      <c r="AO290" s="88"/>
      <c r="AP290" s="89" t="str">
        <f aca="false">IF(AO290="","",ROUND(AO290/(1+Справочники!$B$13),2))</f>
        <v/>
      </c>
      <c r="AQ290" s="90" t="str">
        <f aca="false" t="array" ref="AQ290:AQ290">IF(AP290="","",AP290*INDEX(Справочники!$B$4:$B$7,MATCH("RUB",Справочники!$A$4:$A$7,0)))</f>
        <v/>
      </c>
      <c r="AR290" s="90" t="str">
        <f aca="false">IF(AQ290="","",ROUND(AQ290*(1+Справочники!$B$12),0))</f>
        <v/>
      </c>
      <c r="AS290" s="90" t="str">
        <f aca="false">IF(AR290="","",ROUND(AR290*(1-Справочники!$B$11),0))</f>
        <v/>
      </c>
      <c r="AT290" s="88"/>
      <c r="AU290" s="90" t="str">
        <f aca="false">IF(AT290="","",ROUND(AT290/(1+Справочники!$B$12),0))</f>
        <v/>
      </c>
      <c r="AV290" s="90" t="str">
        <f aca="false">IF(AT290="","",ROUND(AT290*(1-Справочники!$B$15),0))</f>
        <v/>
      </c>
      <c r="AW290" s="90" t="str">
        <f aca="false">IF(AT290="","",ROUND(AT290*(1-Справочники!$B$16),0))</f>
        <v/>
      </c>
      <c r="AX290" s="90" t="str">
        <f aca="false">IF(AT290="","",ROUND(AT290*(1-Справочники!$B$17),0))</f>
        <v/>
      </c>
      <c r="AY290" s="90" t="str">
        <f aca="false">IF(AT290="","",ROUND(AT290*(1-Справочники!$B$18),0))</f>
        <v/>
      </c>
      <c r="AZ290" s="90" t="str">
        <f aca="false">IF(AT290="","",ROUND(AT290*(1-Справочники!$B$19),0))</f>
        <v/>
      </c>
      <c r="BA290" s="81"/>
      <c r="BB290" s="81"/>
      <c r="BC290" s="81"/>
      <c r="BD290" s="81"/>
      <c r="BE290" s="91"/>
      <c r="BF290" s="81" t="s">
        <v>103</v>
      </c>
      <c r="BG290" s="89" t="n">
        <f aca="false" t="array" ref="BG290:BG290">IF(BF290="","",IFERROR(INDEX(Справочники!$B$4:$B$7,MATCH(BF290,Справочники!$A$4:$A$7,0)),""))</f>
        <v>68.5</v>
      </c>
      <c r="BH290" s="90" t="str">
        <f aca="false">IF(N(BN290)&gt;0,ROUND(SUMIF(ЗАКАЗЫ!$F$3:$F$500,$A290,ЗАКАЗЫ!$Y$3:$Y$500)/BN290,0),IF(OR(BE290="",BG290=""),"",ROUND(BE290*BG290*(1+Справочники!$B$10),0)))</f>
        <v/>
      </c>
      <c r="BI290" s="92" t="str">
        <f aca="false">IF(OR(AU290="",BH290="",AU290=0),"",(AU290-BH290)/AU290)</f>
        <v/>
      </c>
      <c r="BJ290" s="81"/>
      <c r="BK290" s="83"/>
      <c r="BL290" s="43" t="str">
        <f aca="false">IFERROR(INDEX(ЗАКАЗЫ!$N$3:$N$500,MATCH($A290,ЗАКАЗЫ!$F$3:$F$500,0)),"")</f>
        <v/>
      </c>
      <c r="BM290" s="8" t="str">
        <f aca="false">IF(BL290="","",IFERROR(VLOOKUP(BL290,'ТН ВЭД'!$A$4:$C$40,3,0),""))</f>
        <v/>
      </c>
      <c r="BN290" s="7" t="str">
        <f aca="false">IF(COUNTIF(ЗАКАЗЫ!$F$3:$F$500,$A290)=0,"",SUMIF(ЗАКАЗЫ!$F$3:$F$500,$A290,ЗАКАЗЫ!$J$3:$J$500))</f>
        <v/>
      </c>
      <c r="BO290" s="7" t="str">
        <f aca="false">IF(BN290="","",SUMIF(ЗАКАЗЫ!$F$3:$F$500,$A290,ЗАКАЗЫ!$AL$3:$AL$500))</f>
        <v/>
      </c>
      <c r="BP290" s="7" t="str">
        <f aca="false">IF(BN290="","",BN290-BO290)</f>
        <v/>
      </c>
      <c r="BQ290" s="55" t="str">
        <f aca="false">IF(BN290="","",IF(BO290&gt;=BN290,"На складе",IF(BO290&gt;0,"Частично","Ждём")))</f>
        <v/>
      </c>
      <c r="BR290" s="43"/>
      <c r="BS290" s="47" t="str">
        <f aca="false">IF(BN290="","",IF(_xlfn.MAXIFS(ЗАКАЗЫ!$AK$3:$AK$500,ЗАКАЗЫ!$F$3:$F$500,$A290)=0,"",_xlfn.MAXIFS(ЗАКАЗЫ!$AK$3:$AK$500,ЗАКАЗЫ!$F$3:$F$500,$A290)))</f>
        <v/>
      </c>
    </row>
    <row r="291" customFormat="false" ht="15.75" hidden="false" customHeight="true" outlineLevel="0" collapsed="false">
      <c r="A291" s="80" t="s">
        <v>2485</v>
      </c>
      <c r="B291" s="81"/>
      <c r="C291" s="81"/>
      <c r="D291" s="81"/>
      <c r="E291" s="83"/>
      <c r="F291" s="81"/>
      <c r="G291" s="83"/>
      <c r="H291" s="83"/>
      <c r="I291" s="84" t="str">
        <f aca="false">IF(E291="","",A291&amp;"_1.jpg")</f>
        <v/>
      </c>
      <c r="J291" s="84" t="str">
        <f aca="false">IF(E291="","",A291&amp;"_2.jpg; "&amp;A291&amp;"_3.jpg")</f>
        <v/>
      </c>
      <c r="K291" s="84" t="str">
        <f aca="false">IF(E291="","",A291&amp;"_schema.jpg")</f>
        <v/>
      </c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 t="s">
        <v>96</v>
      </c>
      <c r="W291" s="81"/>
      <c r="X291" s="81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6" t="str">
        <f aca="false">IF(SUM(Y291:AJ291)=0,"",SUM(Y291:AJ291))</f>
        <v/>
      </c>
      <c r="AL291" s="84" t="str">
        <f aca="false">MID(IF(N(Y291)&gt;0,", "&amp;Y$2,"")&amp;IF(N(Z291)&gt;0,", "&amp;Z$2,"")&amp;IF(N(AA291)&gt;0,", "&amp;AA$2,"")&amp;IF(N(AB291)&gt;0,", "&amp;AB$2,"")&amp;IF(N(AC291)&gt;0,", "&amp;AC$2,"")&amp;IF(N(AD291)&gt;0,", "&amp;AD$2,"")&amp;IF(N(AE291)&gt;0,", "&amp;AE$2,"")&amp;IF(N(AF291)&gt;0,", "&amp;AF$2,"")&amp;IF(N(AG291)&gt;0,", "&amp;AG$2,"")&amp;IF(N(AH291)&gt;0,", "&amp;AH$2,"")&amp;IF(N(AI291)&gt;0,", "&amp;AI$2,"")&amp;IF(N(AJ291)&gt;0,", "&amp;AJ$2,""),3,999)</f>
        <v/>
      </c>
      <c r="AM291" s="87" t="str">
        <f aca="false">IF(E291="","",MID(IF(N(Y291)&gt;0,", "&amp;A291&amp;"-"&amp;Y$2,"")&amp;IF(N(Z291)&gt;0,", "&amp;A291&amp;"-"&amp;Z$2,"")&amp;IF(N(AA291)&gt;0,", "&amp;A291&amp;"-"&amp;AA$2,"")&amp;IF(N(AB291)&gt;0,", "&amp;A291&amp;"-"&amp;AB$2,"")&amp;IF(N(AC291)&gt;0,", "&amp;A291&amp;"-"&amp;AC$2,"")&amp;IF(N(AD291)&gt;0,", "&amp;A291&amp;"-"&amp;AD$2,"")&amp;IF(N(AE291)&gt;0,", "&amp;A291&amp;"-"&amp;AE$2,"")&amp;IF(N(AF291)&gt;0,", "&amp;A291&amp;"-"&amp;AF$2,"")&amp;IF(N(AG291)&gt;0,", "&amp;A291&amp;"-"&amp;AG$2,"")&amp;IF(N(AH291)&gt;0,", "&amp;A291&amp;"-"&amp;AH$2,"")&amp;IF(N(AI291)&gt;0,", "&amp;A291&amp;"-"&amp;AI$2,"")&amp;IF(N(AJ291)&gt;0,", "&amp;A291&amp;"-"&amp;AJ$2,""),3,999))</f>
        <v/>
      </c>
      <c r="AN291" s="81"/>
      <c r="AO291" s="88"/>
      <c r="AP291" s="89" t="str">
        <f aca="false">IF(AO291="","",ROUND(AO291/(1+Справочники!$B$13),2))</f>
        <v/>
      </c>
      <c r="AQ291" s="90" t="str">
        <f aca="false" t="array" ref="AQ291:AQ291">IF(AP291="","",AP291*INDEX(Справочники!$B$4:$B$7,MATCH("RUB",Справочники!$A$4:$A$7,0)))</f>
        <v/>
      </c>
      <c r="AR291" s="90" t="str">
        <f aca="false">IF(AQ291="","",ROUND(AQ291*(1+Справочники!$B$12),0))</f>
        <v/>
      </c>
      <c r="AS291" s="90" t="str">
        <f aca="false">IF(AR291="","",ROUND(AR291*(1-Справочники!$B$11),0))</f>
        <v/>
      </c>
      <c r="AT291" s="88"/>
      <c r="AU291" s="90" t="str">
        <f aca="false">IF(AT291="","",ROUND(AT291/(1+Справочники!$B$12),0))</f>
        <v/>
      </c>
      <c r="AV291" s="90" t="str">
        <f aca="false">IF(AT291="","",ROUND(AT291*(1-Справочники!$B$15),0))</f>
        <v/>
      </c>
      <c r="AW291" s="90" t="str">
        <f aca="false">IF(AT291="","",ROUND(AT291*(1-Справочники!$B$16),0))</f>
        <v/>
      </c>
      <c r="AX291" s="90" t="str">
        <f aca="false">IF(AT291="","",ROUND(AT291*(1-Справочники!$B$17),0))</f>
        <v/>
      </c>
      <c r="AY291" s="90" t="str">
        <f aca="false">IF(AT291="","",ROUND(AT291*(1-Справочники!$B$18),0))</f>
        <v/>
      </c>
      <c r="AZ291" s="90" t="str">
        <f aca="false">IF(AT291="","",ROUND(AT291*(1-Справочники!$B$19),0))</f>
        <v/>
      </c>
      <c r="BA291" s="81"/>
      <c r="BB291" s="81"/>
      <c r="BC291" s="81"/>
      <c r="BD291" s="81"/>
      <c r="BE291" s="91"/>
      <c r="BF291" s="81" t="s">
        <v>103</v>
      </c>
      <c r="BG291" s="89" t="n">
        <f aca="false" t="array" ref="BG291:BG291">IF(BF291="","",IFERROR(INDEX(Справочники!$B$4:$B$7,MATCH(BF291,Справочники!$A$4:$A$7,0)),""))</f>
        <v>68.5</v>
      </c>
      <c r="BH291" s="90" t="str">
        <f aca="false">IF(N(BN291)&gt;0,ROUND(SUMIF(ЗАКАЗЫ!$F$3:$F$500,$A291,ЗАКАЗЫ!$Y$3:$Y$500)/BN291,0),IF(OR(BE291="",BG291=""),"",ROUND(BE291*BG291*(1+Справочники!$B$10),0)))</f>
        <v/>
      </c>
      <c r="BI291" s="92" t="str">
        <f aca="false">IF(OR(AU291="",BH291="",AU291=0),"",(AU291-BH291)/AU291)</f>
        <v/>
      </c>
      <c r="BJ291" s="81"/>
      <c r="BK291" s="83"/>
      <c r="BL291" s="43" t="str">
        <f aca="false">IFERROR(INDEX(ЗАКАЗЫ!$N$3:$N$500,MATCH($A291,ЗАКАЗЫ!$F$3:$F$500,0)),"")</f>
        <v/>
      </c>
      <c r="BM291" s="8" t="str">
        <f aca="false">IF(BL291="","",IFERROR(VLOOKUP(BL291,'ТН ВЭД'!$A$4:$C$40,3,0),""))</f>
        <v/>
      </c>
      <c r="BN291" s="7" t="str">
        <f aca="false">IF(COUNTIF(ЗАКАЗЫ!$F$3:$F$500,$A291)=0,"",SUMIF(ЗАКАЗЫ!$F$3:$F$500,$A291,ЗАКАЗЫ!$J$3:$J$500))</f>
        <v/>
      </c>
      <c r="BO291" s="7" t="str">
        <f aca="false">IF(BN291="","",SUMIF(ЗАКАЗЫ!$F$3:$F$500,$A291,ЗАКАЗЫ!$AL$3:$AL$500))</f>
        <v/>
      </c>
      <c r="BP291" s="7" t="str">
        <f aca="false">IF(BN291="","",BN291-BO291)</f>
        <v/>
      </c>
      <c r="BQ291" s="55" t="str">
        <f aca="false">IF(BN291="","",IF(BO291&gt;=BN291,"На складе",IF(BO291&gt;0,"Частично","Ждём")))</f>
        <v/>
      </c>
      <c r="BR291" s="43"/>
      <c r="BS291" s="47" t="str">
        <f aca="false">IF(BN291="","",IF(_xlfn.MAXIFS(ЗАКАЗЫ!$AK$3:$AK$500,ЗАКАЗЫ!$F$3:$F$500,$A291)=0,"",_xlfn.MAXIFS(ЗАКАЗЫ!$AK$3:$AK$500,ЗАКАЗЫ!$F$3:$F$500,$A291)))</f>
        <v/>
      </c>
    </row>
    <row r="292" customFormat="false" ht="15.75" hidden="false" customHeight="true" outlineLevel="0" collapsed="false">
      <c r="A292" s="80" t="s">
        <v>2486</v>
      </c>
      <c r="B292" s="81"/>
      <c r="C292" s="81"/>
      <c r="D292" s="81"/>
      <c r="E292" s="83"/>
      <c r="F292" s="81"/>
      <c r="G292" s="83"/>
      <c r="H292" s="83"/>
      <c r="I292" s="84" t="str">
        <f aca="false">IF(E292="","",A292&amp;"_1.jpg")</f>
        <v/>
      </c>
      <c r="J292" s="84" t="str">
        <f aca="false">IF(E292="","",A292&amp;"_2.jpg; "&amp;A292&amp;"_3.jpg")</f>
        <v/>
      </c>
      <c r="K292" s="84" t="str">
        <f aca="false">IF(E292="","",A292&amp;"_schema.jpg")</f>
        <v/>
      </c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 t="s">
        <v>96</v>
      </c>
      <c r="W292" s="81"/>
      <c r="X292" s="81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6" t="str">
        <f aca="false">IF(SUM(Y292:AJ292)=0,"",SUM(Y292:AJ292))</f>
        <v/>
      </c>
      <c r="AL292" s="84" t="str">
        <f aca="false">MID(IF(N(Y292)&gt;0,", "&amp;Y$2,"")&amp;IF(N(Z292)&gt;0,", "&amp;Z$2,"")&amp;IF(N(AA292)&gt;0,", "&amp;AA$2,"")&amp;IF(N(AB292)&gt;0,", "&amp;AB$2,"")&amp;IF(N(AC292)&gt;0,", "&amp;AC$2,"")&amp;IF(N(AD292)&gt;0,", "&amp;AD$2,"")&amp;IF(N(AE292)&gt;0,", "&amp;AE$2,"")&amp;IF(N(AF292)&gt;0,", "&amp;AF$2,"")&amp;IF(N(AG292)&gt;0,", "&amp;AG$2,"")&amp;IF(N(AH292)&gt;0,", "&amp;AH$2,"")&amp;IF(N(AI292)&gt;0,", "&amp;AI$2,"")&amp;IF(N(AJ292)&gt;0,", "&amp;AJ$2,""),3,999)</f>
        <v/>
      </c>
      <c r="AM292" s="87" t="str">
        <f aca="false">IF(E292="","",MID(IF(N(Y292)&gt;0,", "&amp;A292&amp;"-"&amp;Y$2,"")&amp;IF(N(Z292)&gt;0,", "&amp;A292&amp;"-"&amp;Z$2,"")&amp;IF(N(AA292)&gt;0,", "&amp;A292&amp;"-"&amp;AA$2,"")&amp;IF(N(AB292)&gt;0,", "&amp;A292&amp;"-"&amp;AB$2,"")&amp;IF(N(AC292)&gt;0,", "&amp;A292&amp;"-"&amp;AC$2,"")&amp;IF(N(AD292)&gt;0,", "&amp;A292&amp;"-"&amp;AD$2,"")&amp;IF(N(AE292)&gt;0,", "&amp;A292&amp;"-"&amp;AE$2,"")&amp;IF(N(AF292)&gt;0,", "&amp;A292&amp;"-"&amp;AF$2,"")&amp;IF(N(AG292)&gt;0,", "&amp;A292&amp;"-"&amp;AG$2,"")&amp;IF(N(AH292)&gt;0,", "&amp;A292&amp;"-"&amp;AH$2,"")&amp;IF(N(AI292)&gt;0,", "&amp;A292&amp;"-"&amp;AI$2,"")&amp;IF(N(AJ292)&gt;0,", "&amp;A292&amp;"-"&amp;AJ$2,""),3,999))</f>
        <v/>
      </c>
      <c r="AN292" s="81"/>
      <c r="AO292" s="88"/>
      <c r="AP292" s="89" t="str">
        <f aca="false">IF(AO292="","",ROUND(AO292/(1+Справочники!$B$13),2))</f>
        <v/>
      </c>
      <c r="AQ292" s="90" t="str">
        <f aca="false" t="array" ref="AQ292:AQ292">IF(AP292="","",AP292*INDEX(Справочники!$B$4:$B$7,MATCH("RUB",Справочники!$A$4:$A$7,0)))</f>
        <v/>
      </c>
      <c r="AR292" s="90" t="str">
        <f aca="false">IF(AQ292="","",ROUND(AQ292*(1+Справочники!$B$12),0))</f>
        <v/>
      </c>
      <c r="AS292" s="90" t="str">
        <f aca="false">IF(AR292="","",ROUND(AR292*(1-Справочники!$B$11),0))</f>
        <v/>
      </c>
      <c r="AT292" s="88"/>
      <c r="AU292" s="90" t="str">
        <f aca="false">IF(AT292="","",ROUND(AT292/(1+Справочники!$B$12),0))</f>
        <v/>
      </c>
      <c r="AV292" s="90" t="str">
        <f aca="false">IF(AT292="","",ROUND(AT292*(1-Справочники!$B$15),0))</f>
        <v/>
      </c>
      <c r="AW292" s="90" t="str">
        <f aca="false">IF(AT292="","",ROUND(AT292*(1-Справочники!$B$16),0))</f>
        <v/>
      </c>
      <c r="AX292" s="90" t="str">
        <f aca="false">IF(AT292="","",ROUND(AT292*(1-Справочники!$B$17),0))</f>
        <v/>
      </c>
      <c r="AY292" s="90" t="str">
        <f aca="false">IF(AT292="","",ROUND(AT292*(1-Справочники!$B$18),0))</f>
        <v/>
      </c>
      <c r="AZ292" s="90" t="str">
        <f aca="false">IF(AT292="","",ROUND(AT292*(1-Справочники!$B$19),0))</f>
        <v/>
      </c>
      <c r="BA292" s="81"/>
      <c r="BB292" s="81"/>
      <c r="BC292" s="81"/>
      <c r="BD292" s="81"/>
      <c r="BE292" s="91"/>
      <c r="BF292" s="81" t="s">
        <v>103</v>
      </c>
      <c r="BG292" s="89" t="n">
        <f aca="false" t="array" ref="BG292:BG292">IF(BF292="","",IFERROR(INDEX(Справочники!$B$4:$B$7,MATCH(BF292,Справочники!$A$4:$A$7,0)),""))</f>
        <v>68.5</v>
      </c>
      <c r="BH292" s="90" t="str">
        <f aca="false">IF(N(BN292)&gt;0,ROUND(SUMIF(ЗАКАЗЫ!$F$3:$F$500,$A292,ЗАКАЗЫ!$Y$3:$Y$500)/BN292,0),IF(OR(BE292="",BG292=""),"",ROUND(BE292*BG292*(1+Справочники!$B$10),0)))</f>
        <v/>
      </c>
      <c r="BI292" s="92" t="str">
        <f aca="false">IF(OR(AU292="",BH292="",AU292=0),"",(AU292-BH292)/AU292)</f>
        <v/>
      </c>
      <c r="BJ292" s="81"/>
      <c r="BK292" s="83"/>
      <c r="BL292" s="43" t="str">
        <f aca="false">IFERROR(INDEX(ЗАКАЗЫ!$N$3:$N$500,MATCH($A292,ЗАКАЗЫ!$F$3:$F$500,0)),"")</f>
        <v/>
      </c>
      <c r="BM292" s="8" t="str">
        <f aca="false">IF(BL292="","",IFERROR(VLOOKUP(BL292,'ТН ВЭД'!$A$4:$C$40,3,0),""))</f>
        <v/>
      </c>
      <c r="BN292" s="7" t="str">
        <f aca="false">IF(COUNTIF(ЗАКАЗЫ!$F$3:$F$500,$A292)=0,"",SUMIF(ЗАКАЗЫ!$F$3:$F$500,$A292,ЗАКАЗЫ!$J$3:$J$500))</f>
        <v/>
      </c>
      <c r="BO292" s="7" t="str">
        <f aca="false">IF(BN292="","",SUMIF(ЗАКАЗЫ!$F$3:$F$500,$A292,ЗАКАЗЫ!$AL$3:$AL$500))</f>
        <v/>
      </c>
      <c r="BP292" s="7" t="str">
        <f aca="false">IF(BN292="","",BN292-BO292)</f>
        <v/>
      </c>
      <c r="BQ292" s="55" t="str">
        <f aca="false">IF(BN292="","",IF(BO292&gt;=BN292,"На складе",IF(BO292&gt;0,"Частично","Ждём")))</f>
        <v/>
      </c>
      <c r="BR292" s="43"/>
      <c r="BS292" s="47" t="str">
        <f aca="false">IF(BN292="","",IF(_xlfn.MAXIFS(ЗАКАЗЫ!$AK$3:$AK$500,ЗАКАЗЫ!$F$3:$F$500,$A292)=0,"",_xlfn.MAXIFS(ЗАКАЗЫ!$AK$3:$AK$500,ЗАКАЗЫ!$F$3:$F$500,$A292)))</f>
        <v/>
      </c>
    </row>
    <row r="293" customFormat="false" ht="15.75" hidden="false" customHeight="true" outlineLevel="0" collapsed="false">
      <c r="A293" s="80" t="s">
        <v>2487</v>
      </c>
      <c r="B293" s="81"/>
      <c r="C293" s="81"/>
      <c r="D293" s="81"/>
      <c r="E293" s="83"/>
      <c r="F293" s="81"/>
      <c r="G293" s="83"/>
      <c r="H293" s="83"/>
      <c r="I293" s="84" t="str">
        <f aca="false">IF(E293="","",A293&amp;"_1.jpg")</f>
        <v/>
      </c>
      <c r="J293" s="84" t="str">
        <f aca="false">IF(E293="","",A293&amp;"_2.jpg; "&amp;A293&amp;"_3.jpg")</f>
        <v/>
      </c>
      <c r="K293" s="84" t="str">
        <f aca="false">IF(E293="","",A293&amp;"_schema.jpg")</f>
        <v/>
      </c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 t="s">
        <v>96</v>
      </c>
      <c r="W293" s="81"/>
      <c r="X293" s="81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6" t="str">
        <f aca="false">IF(SUM(Y293:AJ293)=0,"",SUM(Y293:AJ293))</f>
        <v/>
      </c>
      <c r="AL293" s="84" t="str">
        <f aca="false">MID(IF(N(Y293)&gt;0,", "&amp;Y$2,"")&amp;IF(N(Z293)&gt;0,", "&amp;Z$2,"")&amp;IF(N(AA293)&gt;0,", "&amp;AA$2,"")&amp;IF(N(AB293)&gt;0,", "&amp;AB$2,"")&amp;IF(N(AC293)&gt;0,", "&amp;AC$2,"")&amp;IF(N(AD293)&gt;0,", "&amp;AD$2,"")&amp;IF(N(AE293)&gt;0,", "&amp;AE$2,"")&amp;IF(N(AF293)&gt;0,", "&amp;AF$2,"")&amp;IF(N(AG293)&gt;0,", "&amp;AG$2,"")&amp;IF(N(AH293)&gt;0,", "&amp;AH$2,"")&amp;IF(N(AI293)&gt;0,", "&amp;AI$2,"")&amp;IF(N(AJ293)&gt;0,", "&amp;AJ$2,""),3,999)</f>
        <v/>
      </c>
      <c r="AM293" s="87" t="str">
        <f aca="false">IF(E293="","",MID(IF(N(Y293)&gt;0,", "&amp;A293&amp;"-"&amp;Y$2,"")&amp;IF(N(Z293)&gt;0,", "&amp;A293&amp;"-"&amp;Z$2,"")&amp;IF(N(AA293)&gt;0,", "&amp;A293&amp;"-"&amp;AA$2,"")&amp;IF(N(AB293)&gt;0,", "&amp;A293&amp;"-"&amp;AB$2,"")&amp;IF(N(AC293)&gt;0,", "&amp;A293&amp;"-"&amp;AC$2,"")&amp;IF(N(AD293)&gt;0,", "&amp;A293&amp;"-"&amp;AD$2,"")&amp;IF(N(AE293)&gt;0,", "&amp;A293&amp;"-"&amp;AE$2,"")&amp;IF(N(AF293)&gt;0,", "&amp;A293&amp;"-"&amp;AF$2,"")&amp;IF(N(AG293)&gt;0,", "&amp;A293&amp;"-"&amp;AG$2,"")&amp;IF(N(AH293)&gt;0,", "&amp;A293&amp;"-"&amp;AH$2,"")&amp;IF(N(AI293)&gt;0,", "&amp;A293&amp;"-"&amp;AI$2,"")&amp;IF(N(AJ293)&gt;0,", "&amp;A293&amp;"-"&amp;AJ$2,""),3,999))</f>
        <v/>
      </c>
      <c r="AN293" s="81"/>
      <c r="AO293" s="88"/>
      <c r="AP293" s="89" t="str">
        <f aca="false">IF(AO293="","",ROUND(AO293/(1+Справочники!$B$13),2))</f>
        <v/>
      </c>
      <c r="AQ293" s="90" t="str">
        <f aca="false" t="array" ref="AQ293:AQ293">IF(AP293="","",AP293*INDEX(Справочники!$B$4:$B$7,MATCH("RUB",Справочники!$A$4:$A$7,0)))</f>
        <v/>
      </c>
      <c r="AR293" s="90" t="str">
        <f aca="false">IF(AQ293="","",ROUND(AQ293*(1+Справочники!$B$12),0))</f>
        <v/>
      </c>
      <c r="AS293" s="90" t="str">
        <f aca="false">IF(AR293="","",ROUND(AR293*(1-Справочники!$B$11),0))</f>
        <v/>
      </c>
      <c r="AT293" s="88"/>
      <c r="AU293" s="90" t="str">
        <f aca="false">IF(AT293="","",ROUND(AT293/(1+Справочники!$B$12),0))</f>
        <v/>
      </c>
      <c r="AV293" s="90" t="str">
        <f aca="false">IF(AT293="","",ROUND(AT293*(1-Справочники!$B$15),0))</f>
        <v/>
      </c>
      <c r="AW293" s="90" t="str">
        <f aca="false">IF(AT293="","",ROUND(AT293*(1-Справочники!$B$16),0))</f>
        <v/>
      </c>
      <c r="AX293" s="90" t="str">
        <f aca="false">IF(AT293="","",ROUND(AT293*(1-Справочники!$B$17),0))</f>
        <v/>
      </c>
      <c r="AY293" s="90" t="str">
        <f aca="false">IF(AT293="","",ROUND(AT293*(1-Справочники!$B$18),0))</f>
        <v/>
      </c>
      <c r="AZ293" s="90" t="str">
        <f aca="false">IF(AT293="","",ROUND(AT293*(1-Справочники!$B$19),0))</f>
        <v/>
      </c>
      <c r="BA293" s="81"/>
      <c r="BB293" s="81"/>
      <c r="BC293" s="81"/>
      <c r="BD293" s="81"/>
      <c r="BE293" s="91"/>
      <c r="BF293" s="81" t="s">
        <v>103</v>
      </c>
      <c r="BG293" s="89" t="n">
        <f aca="false" t="array" ref="BG293:BG293">IF(BF293="","",IFERROR(INDEX(Справочники!$B$4:$B$7,MATCH(BF293,Справочники!$A$4:$A$7,0)),""))</f>
        <v>68.5</v>
      </c>
      <c r="BH293" s="90" t="str">
        <f aca="false">IF(N(BN293)&gt;0,ROUND(SUMIF(ЗАКАЗЫ!$F$3:$F$500,$A293,ЗАКАЗЫ!$Y$3:$Y$500)/BN293,0),IF(OR(BE293="",BG293=""),"",ROUND(BE293*BG293*(1+Справочники!$B$10),0)))</f>
        <v/>
      </c>
      <c r="BI293" s="92" t="str">
        <f aca="false">IF(OR(AU293="",BH293="",AU293=0),"",(AU293-BH293)/AU293)</f>
        <v/>
      </c>
      <c r="BJ293" s="81"/>
      <c r="BK293" s="83"/>
      <c r="BL293" s="43" t="str">
        <f aca="false">IFERROR(INDEX(ЗАКАЗЫ!$N$3:$N$500,MATCH($A293,ЗАКАЗЫ!$F$3:$F$500,0)),"")</f>
        <v/>
      </c>
      <c r="BM293" s="8" t="str">
        <f aca="false">IF(BL293="","",IFERROR(VLOOKUP(BL293,'ТН ВЭД'!$A$4:$C$40,3,0),""))</f>
        <v/>
      </c>
      <c r="BN293" s="7" t="str">
        <f aca="false">IF(COUNTIF(ЗАКАЗЫ!$F$3:$F$500,$A293)=0,"",SUMIF(ЗАКАЗЫ!$F$3:$F$500,$A293,ЗАКАЗЫ!$J$3:$J$500))</f>
        <v/>
      </c>
      <c r="BO293" s="7" t="str">
        <f aca="false">IF(BN293="","",SUMIF(ЗАКАЗЫ!$F$3:$F$500,$A293,ЗАКАЗЫ!$AL$3:$AL$500))</f>
        <v/>
      </c>
      <c r="BP293" s="7" t="str">
        <f aca="false">IF(BN293="","",BN293-BO293)</f>
        <v/>
      </c>
      <c r="BQ293" s="55" t="str">
        <f aca="false">IF(BN293="","",IF(BO293&gt;=BN293,"На складе",IF(BO293&gt;0,"Частично","Ждём")))</f>
        <v/>
      </c>
      <c r="BR293" s="43"/>
      <c r="BS293" s="47" t="str">
        <f aca="false">IF(BN293="","",IF(_xlfn.MAXIFS(ЗАКАЗЫ!$AK$3:$AK$500,ЗАКАЗЫ!$F$3:$F$500,$A293)=0,"",_xlfn.MAXIFS(ЗАКАЗЫ!$AK$3:$AK$500,ЗАКАЗЫ!$F$3:$F$500,$A293)))</f>
        <v/>
      </c>
    </row>
    <row r="294" customFormat="false" ht="15.75" hidden="false" customHeight="true" outlineLevel="0" collapsed="false">
      <c r="A294" s="80" t="s">
        <v>2488</v>
      </c>
      <c r="B294" s="81"/>
      <c r="C294" s="81"/>
      <c r="D294" s="81"/>
      <c r="E294" s="83"/>
      <c r="F294" s="81"/>
      <c r="G294" s="83"/>
      <c r="H294" s="83"/>
      <c r="I294" s="84" t="str">
        <f aca="false">IF(E294="","",A294&amp;"_1.jpg")</f>
        <v/>
      </c>
      <c r="J294" s="84" t="str">
        <f aca="false">IF(E294="","",A294&amp;"_2.jpg; "&amp;A294&amp;"_3.jpg")</f>
        <v/>
      </c>
      <c r="K294" s="84" t="str">
        <f aca="false">IF(E294="","",A294&amp;"_schema.jpg")</f>
        <v/>
      </c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 t="s">
        <v>96</v>
      </c>
      <c r="W294" s="81"/>
      <c r="X294" s="81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6" t="str">
        <f aca="false">IF(SUM(Y294:AJ294)=0,"",SUM(Y294:AJ294))</f>
        <v/>
      </c>
      <c r="AL294" s="84" t="str">
        <f aca="false">MID(IF(N(Y294)&gt;0,", "&amp;Y$2,"")&amp;IF(N(Z294)&gt;0,", "&amp;Z$2,"")&amp;IF(N(AA294)&gt;0,", "&amp;AA$2,"")&amp;IF(N(AB294)&gt;0,", "&amp;AB$2,"")&amp;IF(N(AC294)&gt;0,", "&amp;AC$2,"")&amp;IF(N(AD294)&gt;0,", "&amp;AD$2,"")&amp;IF(N(AE294)&gt;0,", "&amp;AE$2,"")&amp;IF(N(AF294)&gt;0,", "&amp;AF$2,"")&amp;IF(N(AG294)&gt;0,", "&amp;AG$2,"")&amp;IF(N(AH294)&gt;0,", "&amp;AH$2,"")&amp;IF(N(AI294)&gt;0,", "&amp;AI$2,"")&amp;IF(N(AJ294)&gt;0,", "&amp;AJ$2,""),3,999)</f>
        <v/>
      </c>
      <c r="AM294" s="87" t="str">
        <f aca="false">IF(E294="","",MID(IF(N(Y294)&gt;0,", "&amp;A294&amp;"-"&amp;Y$2,"")&amp;IF(N(Z294)&gt;0,", "&amp;A294&amp;"-"&amp;Z$2,"")&amp;IF(N(AA294)&gt;0,", "&amp;A294&amp;"-"&amp;AA$2,"")&amp;IF(N(AB294)&gt;0,", "&amp;A294&amp;"-"&amp;AB$2,"")&amp;IF(N(AC294)&gt;0,", "&amp;A294&amp;"-"&amp;AC$2,"")&amp;IF(N(AD294)&gt;0,", "&amp;A294&amp;"-"&amp;AD$2,"")&amp;IF(N(AE294)&gt;0,", "&amp;A294&amp;"-"&amp;AE$2,"")&amp;IF(N(AF294)&gt;0,", "&amp;A294&amp;"-"&amp;AF$2,"")&amp;IF(N(AG294)&gt;0,", "&amp;A294&amp;"-"&amp;AG$2,"")&amp;IF(N(AH294)&gt;0,", "&amp;A294&amp;"-"&amp;AH$2,"")&amp;IF(N(AI294)&gt;0,", "&amp;A294&amp;"-"&amp;AI$2,"")&amp;IF(N(AJ294)&gt;0,", "&amp;A294&amp;"-"&amp;AJ$2,""),3,999))</f>
        <v/>
      </c>
      <c r="AN294" s="81"/>
      <c r="AO294" s="88"/>
      <c r="AP294" s="89" t="str">
        <f aca="false">IF(AO294="","",ROUND(AO294/(1+Справочники!$B$13),2))</f>
        <v/>
      </c>
      <c r="AQ294" s="90" t="str">
        <f aca="false" t="array" ref="AQ294:AQ294">IF(AP294="","",AP294*INDEX(Справочники!$B$4:$B$7,MATCH("RUB",Справочники!$A$4:$A$7,0)))</f>
        <v/>
      </c>
      <c r="AR294" s="90" t="str">
        <f aca="false">IF(AQ294="","",ROUND(AQ294*(1+Справочники!$B$12),0))</f>
        <v/>
      </c>
      <c r="AS294" s="90" t="str">
        <f aca="false">IF(AR294="","",ROUND(AR294*(1-Справочники!$B$11),0))</f>
        <v/>
      </c>
      <c r="AT294" s="88"/>
      <c r="AU294" s="90" t="str">
        <f aca="false">IF(AT294="","",ROUND(AT294/(1+Справочники!$B$12),0))</f>
        <v/>
      </c>
      <c r="AV294" s="90" t="str">
        <f aca="false">IF(AT294="","",ROUND(AT294*(1-Справочники!$B$15),0))</f>
        <v/>
      </c>
      <c r="AW294" s="90" t="str">
        <f aca="false">IF(AT294="","",ROUND(AT294*(1-Справочники!$B$16),0))</f>
        <v/>
      </c>
      <c r="AX294" s="90" t="str">
        <f aca="false">IF(AT294="","",ROUND(AT294*(1-Справочники!$B$17),0))</f>
        <v/>
      </c>
      <c r="AY294" s="90" t="str">
        <f aca="false">IF(AT294="","",ROUND(AT294*(1-Справочники!$B$18),0))</f>
        <v/>
      </c>
      <c r="AZ294" s="90" t="str">
        <f aca="false">IF(AT294="","",ROUND(AT294*(1-Справочники!$B$19),0))</f>
        <v/>
      </c>
      <c r="BA294" s="81"/>
      <c r="BB294" s="81"/>
      <c r="BC294" s="81"/>
      <c r="BD294" s="81"/>
      <c r="BE294" s="91"/>
      <c r="BF294" s="81" t="s">
        <v>103</v>
      </c>
      <c r="BG294" s="89" t="n">
        <f aca="false" t="array" ref="BG294:BG294">IF(BF294="","",IFERROR(INDEX(Справочники!$B$4:$B$7,MATCH(BF294,Справочники!$A$4:$A$7,0)),""))</f>
        <v>68.5</v>
      </c>
      <c r="BH294" s="90" t="str">
        <f aca="false">IF(N(BN294)&gt;0,ROUND(SUMIF(ЗАКАЗЫ!$F$3:$F$500,$A294,ЗАКАЗЫ!$Y$3:$Y$500)/BN294,0),IF(OR(BE294="",BG294=""),"",ROUND(BE294*BG294*(1+Справочники!$B$10),0)))</f>
        <v/>
      </c>
      <c r="BI294" s="92" t="str">
        <f aca="false">IF(OR(AU294="",BH294="",AU294=0),"",(AU294-BH294)/AU294)</f>
        <v/>
      </c>
      <c r="BJ294" s="81"/>
      <c r="BK294" s="83"/>
      <c r="BL294" s="43" t="str">
        <f aca="false">IFERROR(INDEX(ЗАКАЗЫ!$N$3:$N$500,MATCH($A294,ЗАКАЗЫ!$F$3:$F$500,0)),"")</f>
        <v/>
      </c>
      <c r="BM294" s="8" t="str">
        <f aca="false">IF(BL294="","",IFERROR(VLOOKUP(BL294,'ТН ВЭД'!$A$4:$C$40,3,0),""))</f>
        <v/>
      </c>
      <c r="BN294" s="7" t="str">
        <f aca="false">IF(COUNTIF(ЗАКАЗЫ!$F$3:$F$500,$A294)=0,"",SUMIF(ЗАКАЗЫ!$F$3:$F$500,$A294,ЗАКАЗЫ!$J$3:$J$500))</f>
        <v/>
      </c>
      <c r="BO294" s="7" t="str">
        <f aca="false">IF(BN294="","",SUMIF(ЗАКАЗЫ!$F$3:$F$500,$A294,ЗАКАЗЫ!$AL$3:$AL$500))</f>
        <v/>
      </c>
      <c r="BP294" s="7" t="str">
        <f aca="false">IF(BN294="","",BN294-BO294)</f>
        <v/>
      </c>
      <c r="BQ294" s="55" t="str">
        <f aca="false">IF(BN294="","",IF(BO294&gt;=BN294,"На складе",IF(BO294&gt;0,"Частично","Ждём")))</f>
        <v/>
      </c>
      <c r="BR294" s="43"/>
      <c r="BS294" s="47" t="str">
        <f aca="false">IF(BN294="","",IF(_xlfn.MAXIFS(ЗАКАЗЫ!$AK$3:$AK$500,ЗАКАЗЫ!$F$3:$F$500,$A294)=0,"",_xlfn.MAXIFS(ЗАКАЗЫ!$AK$3:$AK$500,ЗАКАЗЫ!$F$3:$F$500,$A294)))</f>
        <v/>
      </c>
    </row>
    <row r="295" customFormat="false" ht="15.75" hidden="false" customHeight="true" outlineLevel="0" collapsed="false">
      <c r="A295" s="80" t="s">
        <v>2489</v>
      </c>
      <c r="B295" s="81"/>
      <c r="C295" s="81"/>
      <c r="D295" s="81"/>
      <c r="E295" s="83"/>
      <c r="F295" s="81"/>
      <c r="G295" s="83"/>
      <c r="H295" s="83"/>
      <c r="I295" s="84" t="str">
        <f aca="false">IF(E295="","",A295&amp;"_1.jpg")</f>
        <v/>
      </c>
      <c r="J295" s="84" t="str">
        <f aca="false">IF(E295="","",A295&amp;"_2.jpg; "&amp;A295&amp;"_3.jpg")</f>
        <v/>
      </c>
      <c r="K295" s="84" t="str">
        <f aca="false">IF(E295="","",A295&amp;"_schema.jpg")</f>
        <v/>
      </c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 t="s">
        <v>96</v>
      </c>
      <c r="W295" s="81"/>
      <c r="X295" s="81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6" t="str">
        <f aca="false">IF(SUM(Y295:AJ295)=0,"",SUM(Y295:AJ295))</f>
        <v/>
      </c>
      <c r="AL295" s="84" t="str">
        <f aca="false">MID(IF(N(Y295)&gt;0,", "&amp;Y$2,"")&amp;IF(N(Z295)&gt;0,", "&amp;Z$2,"")&amp;IF(N(AA295)&gt;0,", "&amp;AA$2,"")&amp;IF(N(AB295)&gt;0,", "&amp;AB$2,"")&amp;IF(N(AC295)&gt;0,", "&amp;AC$2,"")&amp;IF(N(AD295)&gt;0,", "&amp;AD$2,"")&amp;IF(N(AE295)&gt;0,", "&amp;AE$2,"")&amp;IF(N(AF295)&gt;0,", "&amp;AF$2,"")&amp;IF(N(AG295)&gt;0,", "&amp;AG$2,"")&amp;IF(N(AH295)&gt;0,", "&amp;AH$2,"")&amp;IF(N(AI295)&gt;0,", "&amp;AI$2,"")&amp;IF(N(AJ295)&gt;0,", "&amp;AJ$2,""),3,999)</f>
        <v/>
      </c>
      <c r="AM295" s="87" t="str">
        <f aca="false">IF(E295="","",MID(IF(N(Y295)&gt;0,", "&amp;A295&amp;"-"&amp;Y$2,"")&amp;IF(N(Z295)&gt;0,", "&amp;A295&amp;"-"&amp;Z$2,"")&amp;IF(N(AA295)&gt;0,", "&amp;A295&amp;"-"&amp;AA$2,"")&amp;IF(N(AB295)&gt;0,", "&amp;A295&amp;"-"&amp;AB$2,"")&amp;IF(N(AC295)&gt;0,", "&amp;A295&amp;"-"&amp;AC$2,"")&amp;IF(N(AD295)&gt;0,", "&amp;A295&amp;"-"&amp;AD$2,"")&amp;IF(N(AE295)&gt;0,", "&amp;A295&amp;"-"&amp;AE$2,"")&amp;IF(N(AF295)&gt;0,", "&amp;A295&amp;"-"&amp;AF$2,"")&amp;IF(N(AG295)&gt;0,", "&amp;A295&amp;"-"&amp;AG$2,"")&amp;IF(N(AH295)&gt;0,", "&amp;A295&amp;"-"&amp;AH$2,"")&amp;IF(N(AI295)&gt;0,", "&amp;A295&amp;"-"&amp;AI$2,"")&amp;IF(N(AJ295)&gt;0,", "&amp;A295&amp;"-"&amp;AJ$2,""),3,999))</f>
        <v/>
      </c>
      <c r="AN295" s="81"/>
      <c r="AO295" s="88"/>
      <c r="AP295" s="89" t="str">
        <f aca="false">IF(AO295="","",ROUND(AO295/(1+Справочники!$B$13),2))</f>
        <v/>
      </c>
      <c r="AQ295" s="90" t="str">
        <f aca="false" t="array" ref="AQ295:AQ295">IF(AP295="","",AP295*INDEX(Справочники!$B$4:$B$7,MATCH("RUB",Справочники!$A$4:$A$7,0)))</f>
        <v/>
      </c>
      <c r="AR295" s="90" t="str">
        <f aca="false">IF(AQ295="","",ROUND(AQ295*(1+Справочники!$B$12),0))</f>
        <v/>
      </c>
      <c r="AS295" s="90" t="str">
        <f aca="false">IF(AR295="","",ROUND(AR295*(1-Справочники!$B$11),0))</f>
        <v/>
      </c>
      <c r="AT295" s="88"/>
      <c r="AU295" s="90" t="str">
        <f aca="false">IF(AT295="","",ROUND(AT295/(1+Справочники!$B$12),0))</f>
        <v/>
      </c>
      <c r="AV295" s="90" t="str">
        <f aca="false">IF(AT295="","",ROUND(AT295*(1-Справочники!$B$15),0))</f>
        <v/>
      </c>
      <c r="AW295" s="90" t="str">
        <f aca="false">IF(AT295="","",ROUND(AT295*(1-Справочники!$B$16),0))</f>
        <v/>
      </c>
      <c r="AX295" s="90" t="str">
        <f aca="false">IF(AT295="","",ROUND(AT295*(1-Справочники!$B$17),0))</f>
        <v/>
      </c>
      <c r="AY295" s="90" t="str">
        <f aca="false">IF(AT295="","",ROUND(AT295*(1-Справочники!$B$18),0))</f>
        <v/>
      </c>
      <c r="AZ295" s="90" t="str">
        <f aca="false">IF(AT295="","",ROUND(AT295*(1-Справочники!$B$19),0))</f>
        <v/>
      </c>
      <c r="BA295" s="81"/>
      <c r="BB295" s="81"/>
      <c r="BC295" s="81"/>
      <c r="BD295" s="81"/>
      <c r="BE295" s="91"/>
      <c r="BF295" s="81" t="s">
        <v>103</v>
      </c>
      <c r="BG295" s="89" t="n">
        <f aca="false" t="array" ref="BG295:BG295">IF(BF295="","",IFERROR(INDEX(Справочники!$B$4:$B$7,MATCH(BF295,Справочники!$A$4:$A$7,0)),""))</f>
        <v>68.5</v>
      </c>
      <c r="BH295" s="90" t="str">
        <f aca="false">IF(N(BN295)&gt;0,ROUND(SUMIF(ЗАКАЗЫ!$F$3:$F$500,$A295,ЗАКАЗЫ!$Y$3:$Y$500)/BN295,0),IF(OR(BE295="",BG295=""),"",ROUND(BE295*BG295*(1+Справочники!$B$10),0)))</f>
        <v/>
      </c>
      <c r="BI295" s="92" t="str">
        <f aca="false">IF(OR(AU295="",BH295="",AU295=0),"",(AU295-BH295)/AU295)</f>
        <v/>
      </c>
      <c r="BJ295" s="81"/>
      <c r="BK295" s="83"/>
      <c r="BL295" s="43" t="str">
        <f aca="false">IFERROR(INDEX(ЗАКАЗЫ!$N$3:$N$500,MATCH($A295,ЗАКАЗЫ!$F$3:$F$500,0)),"")</f>
        <v/>
      </c>
      <c r="BM295" s="8" t="str">
        <f aca="false">IF(BL295="","",IFERROR(VLOOKUP(BL295,'ТН ВЭД'!$A$4:$C$40,3,0),""))</f>
        <v/>
      </c>
      <c r="BN295" s="7" t="str">
        <f aca="false">IF(COUNTIF(ЗАКАЗЫ!$F$3:$F$500,$A295)=0,"",SUMIF(ЗАКАЗЫ!$F$3:$F$500,$A295,ЗАКАЗЫ!$J$3:$J$500))</f>
        <v/>
      </c>
      <c r="BO295" s="7" t="str">
        <f aca="false">IF(BN295="","",SUMIF(ЗАКАЗЫ!$F$3:$F$500,$A295,ЗАКАЗЫ!$AL$3:$AL$500))</f>
        <v/>
      </c>
      <c r="BP295" s="7" t="str">
        <f aca="false">IF(BN295="","",BN295-BO295)</f>
        <v/>
      </c>
      <c r="BQ295" s="55" t="str">
        <f aca="false">IF(BN295="","",IF(BO295&gt;=BN295,"На складе",IF(BO295&gt;0,"Частично","Ждём")))</f>
        <v/>
      </c>
      <c r="BR295" s="43"/>
      <c r="BS295" s="47" t="str">
        <f aca="false">IF(BN295="","",IF(_xlfn.MAXIFS(ЗАКАЗЫ!$AK$3:$AK$500,ЗАКАЗЫ!$F$3:$F$500,$A295)=0,"",_xlfn.MAXIFS(ЗАКАЗЫ!$AK$3:$AK$500,ЗАКАЗЫ!$F$3:$F$500,$A295)))</f>
        <v/>
      </c>
    </row>
    <row r="296" customFormat="false" ht="15.75" hidden="false" customHeight="true" outlineLevel="0" collapsed="false">
      <c r="A296" s="80" t="s">
        <v>2490</v>
      </c>
      <c r="B296" s="81"/>
      <c r="C296" s="81"/>
      <c r="D296" s="81"/>
      <c r="E296" s="83"/>
      <c r="F296" s="81"/>
      <c r="G296" s="83"/>
      <c r="H296" s="83"/>
      <c r="I296" s="84" t="str">
        <f aca="false">IF(E296="","",A296&amp;"_1.jpg")</f>
        <v/>
      </c>
      <c r="J296" s="84" t="str">
        <f aca="false">IF(E296="","",A296&amp;"_2.jpg; "&amp;A296&amp;"_3.jpg")</f>
        <v/>
      </c>
      <c r="K296" s="84" t="str">
        <f aca="false">IF(E296="","",A296&amp;"_schema.jpg")</f>
        <v/>
      </c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 t="s">
        <v>96</v>
      </c>
      <c r="W296" s="81"/>
      <c r="X296" s="81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6" t="str">
        <f aca="false">IF(SUM(Y296:AJ296)=0,"",SUM(Y296:AJ296))</f>
        <v/>
      </c>
      <c r="AL296" s="84" t="str">
        <f aca="false">MID(IF(N(Y296)&gt;0,", "&amp;Y$2,"")&amp;IF(N(Z296)&gt;0,", "&amp;Z$2,"")&amp;IF(N(AA296)&gt;0,", "&amp;AA$2,"")&amp;IF(N(AB296)&gt;0,", "&amp;AB$2,"")&amp;IF(N(AC296)&gt;0,", "&amp;AC$2,"")&amp;IF(N(AD296)&gt;0,", "&amp;AD$2,"")&amp;IF(N(AE296)&gt;0,", "&amp;AE$2,"")&amp;IF(N(AF296)&gt;0,", "&amp;AF$2,"")&amp;IF(N(AG296)&gt;0,", "&amp;AG$2,"")&amp;IF(N(AH296)&gt;0,", "&amp;AH$2,"")&amp;IF(N(AI296)&gt;0,", "&amp;AI$2,"")&amp;IF(N(AJ296)&gt;0,", "&amp;AJ$2,""),3,999)</f>
        <v/>
      </c>
      <c r="AM296" s="87" t="str">
        <f aca="false">IF(E296="","",MID(IF(N(Y296)&gt;0,", "&amp;A296&amp;"-"&amp;Y$2,"")&amp;IF(N(Z296)&gt;0,", "&amp;A296&amp;"-"&amp;Z$2,"")&amp;IF(N(AA296)&gt;0,", "&amp;A296&amp;"-"&amp;AA$2,"")&amp;IF(N(AB296)&gt;0,", "&amp;A296&amp;"-"&amp;AB$2,"")&amp;IF(N(AC296)&gt;0,", "&amp;A296&amp;"-"&amp;AC$2,"")&amp;IF(N(AD296)&gt;0,", "&amp;A296&amp;"-"&amp;AD$2,"")&amp;IF(N(AE296)&gt;0,", "&amp;A296&amp;"-"&amp;AE$2,"")&amp;IF(N(AF296)&gt;0,", "&amp;A296&amp;"-"&amp;AF$2,"")&amp;IF(N(AG296)&gt;0,", "&amp;A296&amp;"-"&amp;AG$2,"")&amp;IF(N(AH296)&gt;0,", "&amp;A296&amp;"-"&amp;AH$2,"")&amp;IF(N(AI296)&gt;0,", "&amp;A296&amp;"-"&amp;AI$2,"")&amp;IF(N(AJ296)&gt;0,", "&amp;A296&amp;"-"&amp;AJ$2,""),3,999))</f>
        <v/>
      </c>
      <c r="AN296" s="81"/>
      <c r="AO296" s="88"/>
      <c r="AP296" s="89" t="str">
        <f aca="false">IF(AO296="","",ROUND(AO296/(1+Справочники!$B$13),2))</f>
        <v/>
      </c>
      <c r="AQ296" s="90" t="str">
        <f aca="false" t="array" ref="AQ296:AQ296">IF(AP296="","",AP296*INDEX(Справочники!$B$4:$B$7,MATCH("RUB",Справочники!$A$4:$A$7,0)))</f>
        <v/>
      </c>
      <c r="AR296" s="90" t="str">
        <f aca="false">IF(AQ296="","",ROUND(AQ296*(1+Справочники!$B$12),0))</f>
        <v/>
      </c>
      <c r="AS296" s="90" t="str">
        <f aca="false">IF(AR296="","",ROUND(AR296*(1-Справочники!$B$11),0))</f>
        <v/>
      </c>
      <c r="AT296" s="88"/>
      <c r="AU296" s="90" t="str">
        <f aca="false">IF(AT296="","",ROUND(AT296/(1+Справочники!$B$12),0))</f>
        <v/>
      </c>
      <c r="AV296" s="90" t="str">
        <f aca="false">IF(AT296="","",ROUND(AT296*(1-Справочники!$B$15),0))</f>
        <v/>
      </c>
      <c r="AW296" s="90" t="str">
        <f aca="false">IF(AT296="","",ROUND(AT296*(1-Справочники!$B$16),0))</f>
        <v/>
      </c>
      <c r="AX296" s="90" t="str">
        <f aca="false">IF(AT296="","",ROUND(AT296*(1-Справочники!$B$17),0))</f>
        <v/>
      </c>
      <c r="AY296" s="90" t="str">
        <f aca="false">IF(AT296="","",ROUND(AT296*(1-Справочники!$B$18),0))</f>
        <v/>
      </c>
      <c r="AZ296" s="90" t="str">
        <f aca="false">IF(AT296="","",ROUND(AT296*(1-Справочники!$B$19),0))</f>
        <v/>
      </c>
      <c r="BA296" s="81"/>
      <c r="BB296" s="81"/>
      <c r="BC296" s="81"/>
      <c r="BD296" s="81"/>
      <c r="BE296" s="91"/>
      <c r="BF296" s="81" t="s">
        <v>103</v>
      </c>
      <c r="BG296" s="89" t="n">
        <f aca="false" t="array" ref="BG296:BG296">IF(BF296="","",IFERROR(INDEX(Справочники!$B$4:$B$7,MATCH(BF296,Справочники!$A$4:$A$7,0)),""))</f>
        <v>68.5</v>
      </c>
      <c r="BH296" s="90" t="str">
        <f aca="false">IF(N(BN296)&gt;0,ROUND(SUMIF(ЗАКАЗЫ!$F$3:$F$500,$A296,ЗАКАЗЫ!$Y$3:$Y$500)/BN296,0),IF(OR(BE296="",BG296=""),"",ROUND(BE296*BG296*(1+Справочники!$B$10),0)))</f>
        <v/>
      </c>
      <c r="BI296" s="92" t="str">
        <f aca="false">IF(OR(AU296="",BH296="",AU296=0),"",(AU296-BH296)/AU296)</f>
        <v/>
      </c>
      <c r="BJ296" s="81"/>
      <c r="BK296" s="83"/>
      <c r="BL296" s="43" t="str">
        <f aca="false">IFERROR(INDEX(ЗАКАЗЫ!$N$3:$N$500,MATCH($A296,ЗАКАЗЫ!$F$3:$F$500,0)),"")</f>
        <v/>
      </c>
      <c r="BM296" s="8" t="str">
        <f aca="false">IF(BL296="","",IFERROR(VLOOKUP(BL296,'ТН ВЭД'!$A$4:$C$40,3,0),""))</f>
        <v/>
      </c>
      <c r="BN296" s="7" t="str">
        <f aca="false">IF(COUNTIF(ЗАКАЗЫ!$F$3:$F$500,$A296)=0,"",SUMIF(ЗАКАЗЫ!$F$3:$F$500,$A296,ЗАКАЗЫ!$J$3:$J$500))</f>
        <v/>
      </c>
      <c r="BO296" s="7" t="str">
        <f aca="false">IF(BN296="","",SUMIF(ЗАКАЗЫ!$F$3:$F$500,$A296,ЗАКАЗЫ!$AL$3:$AL$500))</f>
        <v/>
      </c>
      <c r="BP296" s="7" t="str">
        <f aca="false">IF(BN296="","",BN296-BO296)</f>
        <v/>
      </c>
      <c r="BQ296" s="55" t="str">
        <f aca="false">IF(BN296="","",IF(BO296&gt;=BN296,"На складе",IF(BO296&gt;0,"Частично","Ждём")))</f>
        <v/>
      </c>
      <c r="BR296" s="43"/>
      <c r="BS296" s="47" t="str">
        <f aca="false">IF(BN296="","",IF(_xlfn.MAXIFS(ЗАКАЗЫ!$AK$3:$AK$500,ЗАКАЗЫ!$F$3:$F$500,$A296)=0,"",_xlfn.MAXIFS(ЗАКАЗЫ!$AK$3:$AK$500,ЗАКАЗЫ!$F$3:$F$500,$A296)))</f>
        <v/>
      </c>
    </row>
    <row r="297" customFormat="false" ht="15.75" hidden="false" customHeight="true" outlineLevel="0" collapsed="false">
      <c r="A297" s="80" t="s">
        <v>2491</v>
      </c>
      <c r="B297" s="81"/>
      <c r="C297" s="81"/>
      <c r="D297" s="81"/>
      <c r="E297" s="83"/>
      <c r="F297" s="81"/>
      <c r="G297" s="83"/>
      <c r="H297" s="83"/>
      <c r="I297" s="84" t="str">
        <f aca="false">IF(E297="","",A297&amp;"_1.jpg")</f>
        <v/>
      </c>
      <c r="J297" s="84" t="str">
        <f aca="false">IF(E297="","",A297&amp;"_2.jpg; "&amp;A297&amp;"_3.jpg")</f>
        <v/>
      </c>
      <c r="K297" s="84" t="str">
        <f aca="false">IF(E297="","",A297&amp;"_schema.jpg")</f>
        <v/>
      </c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 t="s">
        <v>96</v>
      </c>
      <c r="W297" s="81"/>
      <c r="X297" s="81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6" t="str">
        <f aca="false">IF(SUM(Y297:AJ297)=0,"",SUM(Y297:AJ297))</f>
        <v/>
      </c>
      <c r="AL297" s="84" t="str">
        <f aca="false">MID(IF(N(Y297)&gt;0,", "&amp;Y$2,"")&amp;IF(N(Z297)&gt;0,", "&amp;Z$2,"")&amp;IF(N(AA297)&gt;0,", "&amp;AA$2,"")&amp;IF(N(AB297)&gt;0,", "&amp;AB$2,"")&amp;IF(N(AC297)&gt;0,", "&amp;AC$2,"")&amp;IF(N(AD297)&gt;0,", "&amp;AD$2,"")&amp;IF(N(AE297)&gt;0,", "&amp;AE$2,"")&amp;IF(N(AF297)&gt;0,", "&amp;AF$2,"")&amp;IF(N(AG297)&gt;0,", "&amp;AG$2,"")&amp;IF(N(AH297)&gt;0,", "&amp;AH$2,"")&amp;IF(N(AI297)&gt;0,", "&amp;AI$2,"")&amp;IF(N(AJ297)&gt;0,", "&amp;AJ$2,""),3,999)</f>
        <v/>
      </c>
      <c r="AM297" s="87" t="str">
        <f aca="false">IF(E297="","",MID(IF(N(Y297)&gt;0,", "&amp;A297&amp;"-"&amp;Y$2,"")&amp;IF(N(Z297)&gt;0,", "&amp;A297&amp;"-"&amp;Z$2,"")&amp;IF(N(AA297)&gt;0,", "&amp;A297&amp;"-"&amp;AA$2,"")&amp;IF(N(AB297)&gt;0,", "&amp;A297&amp;"-"&amp;AB$2,"")&amp;IF(N(AC297)&gt;0,", "&amp;A297&amp;"-"&amp;AC$2,"")&amp;IF(N(AD297)&gt;0,", "&amp;A297&amp;"-"&amp;AD$2,"")&amp;IF(N(AE297)&gt;0,", "&amp;A297&amp;"-"&amp;AE$2,"")&amp;IF(N(AF297)&gt;0,", "&amp;A297&amp;"-"&amp;AF$2,"")&amp;IF(N(AG297)&gt;0,", "&amp;A297&amp;"-"&amp;AG$2,"")&amp;IF(N(AH297)&gt;0,", "&amp;A297&amp;"-"&amp;AH$2,"")&amp;IF(N(AI297)&gt;0,", "&amp;A297&amp;"-"&amp;AI$2,"")&amp;IF(N(AJ297)&gt;0,", "&amp;A297&amp;"-"&amp;AJ$2,""),3,999))</f>
        <v/>
      </c>
      <c r="AN297" s="81"/>
      <c r="AO297" s="88"/>
      <c r="AP297" s="89" t="str">
        <f aca="false">IF(AO297="","",ROUND(AO297/(1+Справочники!$B$13),2))</f>
        <v/>
      </c>
      <c r="AQ297" s="90" t="str">
        <f aca="false" t="array" ref="AQ297:AQ297">IF(AP297="","",AP297*INDEX(Справочники!$B$4:$B$7,MATCH("RUB",Справочники!$A$4:$A$7,0)))</f>
        <v/>
      </c>
      <c r="AR297" s="90" t="str">
        <f aca="false">IF(AQ297="","",ROUND(AQ297*(1+Справочники!$B$12),0))</f>
        <v/>
      </c>
      <c r="AS297" s="90" t="str">
        <f aca="false">IF(AR297="","",ROUND(AR297*(1-Справочники!$B$11),0))</f>
        <v/>
      </c>
      <c r="AT297" s="88"/>
      <c r="AU297" s="90" t="str">
        <f aca="false">IF(AT297="","",ROUND(AT297/(1+Справочники!$B$12),0))</f>
        <v/>
      </c>
      <c r="AV297" s="90" t="str">
        <f aca="false">IF(AT297="","",ROUND(AT297*(1-Справочники!$B$15),0))</f>
        <v/>
      </c>
      <c r="AW297" s="90" t="str">
        <f aca="false">IF(AT297="","",ROUND(AT297*(1-Справочники!$B$16),0))</f>
        <v/>
      </c>
      <c r="AX297" s="90" t="str">
        <f aca="false">IF(AT297="","",ROUND(AT297*(1-Справочники!$B$17),0))</f>
        <v/>
      </c>
      <c r="AY297" s="90" t="str">
        <f aca="false">IF(AT297="","",ROUND(AT297*(1-Справочники!$B$18),0))</f>
        <v/>
      </c>
      <c r="AZ297" s="90" t="str">
        <f aca="false">IF(AT297="","",ROUND(AT297*(1-Справочники!$B$19),0))</f>
        <v/>
      </c>
      <c r="BA297" s="81"/>
      <c r="BB297" s="81"/>
      <c r="BC297" s="81"/>
      <c r="BD297" s="81"/>
      <c r="BE297" s="91"/>
      <c r="BF297" s="81" t="s">
        <v>103</v>
      </c>
      <c r="BG297" s="89" t="n">
        <f aca="false" t="array" ref="BG297:BG297">IF(BF297="","",IFERROR(INDEX(Справочники!$B$4:$B$7,MATCH(BF297,Справочники!$A$4:$A$7,0)),""))</f>
        <v>68.5</v>
      </c>
      <c r="BH297" s="90" t="str">
        <f aca="false">IF(N(BN297)&gt;0,ROUND(SUMIF(ЗАКАЗЫ!$F$3:$F$500,$A297,ЗАКАЗЫ!$Y$3:$Y$500)/BN297,0),IF(OR(BE297="",BG297=""),"",ROUND(BE297*BG297*(1+Справочники!$B$10),0)))</f>
        <v/>
      </c>
      <c r="BI297" s="92" t="str">
        <f aca="false">IF(OR(AU297="",BH297="",AU297=0),"",(AU297-BH297)/AU297)</f>
        <v/>
      </c>
      <c r="BJ297" s="81"/>
      <c r="BK297" s="83"/>
      <c r="BL297" s="43" t="str">
        <f aca="false">IFERROR(INDEX(ЗАКАЗЫ!$N$3:$N$500,MATCH($A297,ЗАКАЗЫ!$F$3:$F$500,0)),"")</f>
        <v/>
      </c>
      <c r="BM297" s="8" t="str">
        <f aca="false">IF(BL297="","",IFERROR(VLOOKUP(BL297,'ТН ВЭД'!$A$4:$C$40,3,0),""))</f>
        <v/>
      </c>
      <c r="BN297" s="7" t="str">
        <f aca="false">IF(COUNTIF(ЗАКАЗЫ!$F$3:$F$500,$A297)=0,"",SUMIF(ЗАКАЗЫ!$F$3:$F$500,$A297,ЗАКАЗЫ!$J$3:$J$500))</f>
        <v/>
      </c>
      <c r="BO297" s="7" t="str">
        <f aca="false">IF(BN297="","",SUMIF(ЗАКАЗЫ!$F$3:$F$500,$A297,ЗАКАЗЫ!$AL$3:$AL$500))</f>
        <v/>
      </c>
      <c r="BP297" s="7" t="str">
        <f aca="false">IF(BN297="","",BN297-BO297)</f>
        <v/>
      </c>
      <c r="BQ297" s="55" t="str">
        <f aca="false">IF(BN297="","",IF(BO297&gt;=BN297,"На складе",IF(BO297&gt;0,"Частично","Ждём")))</f>
        <v/>
      </c>
      <c r="BR297" s="43"/>
      <c r="BS297" s="47" t="str">
        <f aca="false">IF(BN297="","",IF(_xlfn.MAXIFS(ЗАКАЗЫ!$AK$3:$AK$500,ЗАКАЗЫ!$F$3:$F$500,$A297)=0,"",_xlfn.MAXIFS(ЗАКАЗЫ!$AK$3:$AK$500,ЗАКАЗЫ!$F$3:$F$500,$A297)))</f>
        <v/>
      </c>
    </row>
    <row r="298" customFormat="false" ht="15.75" hidden="false" customHeight="true" outlineLevel="0" collapsed="false">
      <c r="A298" s="80" t="s">
        <v>2492</v>
      </c>
      <c r="B298" s="81"/>
      <c r="C298" s="81"/>
      <c r="D298" s="81"/>
      <c r="E298" s="83"/>
      <c r="F298" s="81"/>
      <c r="G298" s="83"/>
      <c r="H298" s="83"/>
      <c r="I298" s="84" t="str">
        <f aca="false">IF(E298="","",A298&amp;"_1.jpg")</f>
        <v/>
      </c>
      <c r="J298" s="84" t="str">
        <f aca="false">IF(E298="","",A298&amp;"_2.jpg; "&amp;A298&amp;"_3.jpg")</f>
        <v/>
      </c>
      <c r="K298" s="84" t="str">
        <f aca="false">IF(E298="","",A298&amp;"_schema.jpg")</f>
        <v/>
      </c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 t="s">
        <v>96</v>
      </c>
      <c r="W298" s="81"/>
      <c r="X298" s="81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6" t="str">
        <f aca="false">IF(SUM(Y298:AJ298)=0,"",SUM(Y298:AJ298))</f>
        <v/>
      </c>
      <c r="AL298" s="84" t="str">
        <f aca="false">MID(IF(N(Y298)&gt;0,", "&amp;Y$2,"")&amp;IF(N(Z298)&gt;0,", "&amp;Z$2,"")&amp;IF(N(AA298)&gt;0,", "&amp;AA$2,"")&amp;IF(N(AB298)&gt;0,", "&amp;AB$2,"")&amp;IF(N(AC298)&gt;0,", "&amp;AC$2,"")&amp;IF(N(AD298)&gt;0,", "&amp;AD$2,"")&amp;IF(N(AE298)&gt;0,", "&amp;AE$2,"")&amp;IF(N(AF298)&gt;0,", "&amp;AF$2,"")&amp;IF(N(AG298)&gt;0,", "&amp;AG$2,"")&amp;IF(N(AH298)&gt;0,", "&amp;AH$2,"")&amp;IF(N(AI298)&gt;0,", "&amp;AI$2,"")&amp;IF(N(AJ298)&gt;0,", "&amp;AJ$2,""),3,999)</f>
        <v/>
      </c>
      <c r="AM298" s="87" t="str">
        <f aca="false">IF(E298="","",MID(IF(N(Y298)&gt;0,", "&amp;A298&amp;"-"&amp;Y$2,"")&amp;IF(N(Z298)&gt;0,", "&amp;A298&amp;"-"&amp;Z$2,"")&amp;IF(N(AA298)&gt;0,", "&amp;A298&amp;"-"&amp;AA$2,"")&amp;IF(N(AB298)&gt;0,", "&amp;A298&amp;"-"&amp;AB$2,"")&amp;IF(N(AC298)&gt;0,", "&amp;A298&amp;"-"&amp;AC$2,"")&amp;IF(N(AD298)&gt;0,", "&amp;A298&amp;"-"&amp;AD$2,"")&amp;IF(N(AE298)&gt;0,", "&amp;A298&amp;"-"&amp;AE$2,"")&amp;IF(N(AF298)&gt;0,", "&amp;A298&amp;"-"&amp;AF$2,"")&amp;IF(N(AG298)&gt;0,", "&amp;A298&amp;"-"&amp;AG$2,"")&amp;IF(N(AH298)&gt;0,", "&amp;A298&amp;"-"&amp;AH$2,"")&amp;IF(N(AI298)&gt;0,", "&amp;A298&amp;"-"&amp;AI$2,"")&amp;IF(N(AJ298)&gt;0,", "&amp;A298&amp;"-"&amp;AJ$2,""),3,999))</f>
        <v/>
      </c>
      <c r="AN298" s="81"/>
      <c r="AO298" s="88"/>
      <c r="AP298" s="89" t="str">
        <f aca="false">IF(AO298="","",ROUND(AO298/(1+Справочники!$B$13),2))</f>
        <v/>
      </c>
      <c r="AQ298" s="90" t="str">
        <f aca="false" t="array" ref="AQ298:AQ298">IF(AP298="","",AP298*INDEX(Справочники!$B$4:$B$7,MATCH("RUB",Справочники!$A$4:$A$7,0)))</f>
        <v/>
      </c>
      <c r="AR298" s="90" t="str">
        <f aca="false">IF(AQ298="","",ROUND(AQ298*(1+Справочники!$B$12),0))</f>
        <v/>
      </c>
      <c r="AS298" s="90" t="str">
        <f aca="false">IF(AR298="","",ROUND(AR298*(1-Справочники!$B$11),0))</f>
        <v/>
      </c>
      <c r="AT298" s="88"/>
      <c r="AU298" s="90" t="str">
        <f aca="false">IF(AT298="","",ROUND(AT298/(1+Справочники!$B$12),0))</f>
        <v/>
      </c>
      <c r="AV298" s="90" t="str">
        <f aca="false">IF(AT298="","",ROUND(AT298*(1-Справочники!$B$15),0))</f>
        <v/>
      </c>
      <c r="AW298" s="90" t="str">
        <f aca="false">IF(AT298="","",ROUND(AT298*(1-Справочники!$B$16),0))</f>
        <v/>
      </c>
      <c r="AX298" s="90" t="str">
        <f aca="false">IF(AT298="","",ROUND(AT298*(1-Справочники!$B$17),0))</f>
        <v/>
      </c>
      <c r="AY298" s="90" t="str">
        <f aca="false">IF(AT298="","",ROUND(AT298*(1-Справочники!$B$18),0))</f>
        <v/>
      </c>
      <c r="AZ298" s="90" t="str">
        <f aca="false">IF(AT298="","",ROUND(AT298*(1-Справочники!$B$19),0))</f>
        <v/>
      </c>
      <c r="BA298" s="81"/>
      <c r="BB298" s="81"/>
      <c r="BC298" s="81"/>
      <c r="BD298" s="81"/>
      <c r="BE298" s="91"/>
      <c r="BF298" s="81" t="s">
        <v>103</v>
      </c>
      <c r="BG298" s="89" t="n">
        <f aca="false" t="array" ref="BG298:BG298">IF(BF298="","",IFERROR(INDEX(Справочники!$B$4:$B$7,MATCH(BF298,Справочники!$A$4:$A$7,0)),""))</f>
        <v>68.5</v>
      </c>
      <c r="BH298" s="90" t="str">
        <f aca="false">IF(N(BN298)&gt;0,ROUND(SUMIF(ЗАКАЗЫ!$F$3:$F$500,$A298,ЗАКАЗЫ!$Y$3:$Y$500)/BN298,0),IF(OR(BE298="",BG298=""),"",ROUND(BE298*BG298*(1+Справочники!$B$10),0)))</f>
        <v/>
      </c>
      <c r="BI298" s="92" t="str">
        <f aca="false">IF(OR(AU298="",BH298="",AU298=0),"",(AU298-BH298)/AU298)</f>
        <v/>
      </c>
      <c r="BJ298" s="81"/>
      <c r="BK298" s="83"/>
      <c r="BL298" s="43" t="str">
        <f aca="false">IFERROR(INDEX(ЗАКАЗЫ!$N$3:$N$500,MATCH($A298,ЗАКАЗЫ!$F$3:$F$500,0)),"")</f>
        <v/>
      </c>
      <c r="BM298" s="8" t="str">
        <f aca="false">IF(BL298="","",IFERROR(VLOOKUP(BL298,'ТН ВЭД'!$A$4:$C$40,3,0),""))</f>
        <v/>
      </c>
      <c r="BN298" s="7" t="str">
        <f aca="false">IF(COUNTIF(ЗАКАЗЫ!$F$3:$F$500,$A298)=0,"",SUMIF(ЗАКАЗЫ!$F$3:$F$500,$A298,ЗАКАЗЫ!$J$3:$J$500))</f>
        <v/>
      </c>
      <c r="BO298" s="7" t="str">
        <f aca="false">IF(BN298="","",SUMIF(ЗАКАЗЫ!$F$3:$F$500,$A298,ЗАКАЗЫ!$AL$3:$AL$500))</f>
        <v/>
      </c>
      <c r="BP298" s="7" t="str">
        <f aca="false">IF(BN298="","",BN298-BO298)</f>
        <v/>
      </c>
      <c r="BQ298" s="55" t="str">
        <f aca="false">IF(BN298="","",IF(BO298&gt;=BN298,"На складе",IF(BO298&gt;0,"Частично","Ждём")))</f>
        <v/>
      </c>
      <c r="BR298" s="43"/>
      <c r="BS298" s="47" t="str">
        <f aca="false">IF(BN298="","",IF(_xlfn.MAXIFS(ЗАКАЗЫ!$AK$3:$AK$500,ЗАКАЗЫ!$F$3:$F$500,$A298)=0,"",_xlfn.MAXIFS(ЗАКАЗЫ!$AK$3:$AK$500,ЗАКАЗЫ!$F$3:$F$500,$A298)))</f>
        <v/>
      </c>
    </row>
    <row r="299" customFormat="false" ht="15.75" hidden="false" customHeight="true" outlineLevel="0" collapsed="false">
      <c r="A299" s="80" t="s">
        <v>2493</v>
      </c>
      <c r="B299" s="81"/>
      <c r="C299" s="81"/>
      <c r="D299" s="81"/>
      <c r="E299" s="83"/>
      <c r="F299" s="81"/>
      <c r="G299" s="83"/>
      <c r="H299" s="83"/>
      <c r="I299" s="84" t="str">
        <f aca="false">IF(E299="","",A299&amp;"_1.jpg")</f>
        <v/>
      </c>
      <c r="J299" s="84" t="str">
        <f aca="false">IF(E299="","",A299&amp;"_2.jpg; "&amp;A299&amp;"_3.jpg")</f>
        <v/>
      </c>
      <c r="K299" s="84" t="str">
        <f aca="false">IF(E299="","",A299&amp;"_schema.jpg")</f>
        <v/>
      </c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 t="s">
        <v>96</v>
      </c>
      <c r="W299" s="81"/>
      <c r="X299" s="81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6" t="str">
        <f aca="false">IF(SUM(Y299:AJ299)=0,"",SUM(Y299:AJ299))</f>
        <v/>
      </c>
      <c r="AL299" s="84" t="str">
        <f aca="false">MID(IF(N(Y299)&gt;0,", "&amp;Y$2,"")&amp;IF(N(Z299)&gt;0,", "&amp;Z$2,"")&amp;IF(N(AA299)&gt;0,", "&amp;AA$2,"")&amp;IF(N(AB299)&gt;0,", "&amp;AB$2,"")&amp;IF(N(AC299)&gt;0,", "&amp;AC$2,"")&amp;IF(N(AD299)&gt;0,", "&amp;AD$2,"")&amp;IF(N(AE299)&gt;0,", "&amp;AE$2,"")&amp;IF(N(AF299)&gt;0,", "&amp;AF$2,"")&amp;IF(N(AG299)&gt;0,", "&amp;AG$2,"")&amp;IF(N(AH299)&gt;0,", "&amp;AH$2,"")&amp;IF(N(AI299)&gt;0,", "&amp;AI$2,"")&amp;IF(N(AJ299)&gt;0,", "&amp;AJ$2,""),3,999)</f>
        <v/>
      </c>
      <c r="AM299" s="87" t="str">
        <f aca="false">IF(E299="","",MID(IF(N(Y299)&gt;0,", "&amp;A299&amp;"-"&amp;Y$2,"")&amp;IF(N(Z299)&gt;0,", "&amp;A299&amp;"-"&amp;Z$2,"")&amp;IF(N(AA299)&gt;0,", "&amp;A299&amp;"-"&amp;AA$2,"")&amp;IF(N(AB299)&gt;0,", "&amp;A299&amp;"-"&amp;AB$2,"")&amp;IF(N(AC299)&gt;0,", "&amp;A299&amp;"-"&amp;AC$2,"")&amp;IF(N(AD299)&gt;0,", "&amp;A299&amp;"-"&amp;AD$2,"")&amp;IF(N(AE299)&gt;0,", "&amp;A299&amp;"-"&amp;AE$2,"")&amp;IF(N(AF299)&gt;0,", "&amp;A299&amp;"-"&amp;AF$2,"")&amp;IF(N(AG299)&gt;0,", "&amp;A299&amp;"-"&amp;AG$2,"")&amp;IF(N(AH299)&gt;0,", "&amp;A299&amp;"-"&amp;AH$2,"")&amp;IF(N(AI299)&gt;0,", "&amp;A299&amp;"-"&amp;AI$2,"")&amp;IF(N(AJ299)&gt;0,", "&amp;A299&amp;"-"&amp;AJ$2,""),3,999))</f>
        <v/>
      </c>
      <c r="AN299" s="81"/>
      <c r="AO299" s="88"/>
      <c r="AP299" s="89" t="str">
        <f aca="false">IF(AO299="","",ROUND(AO299/(1+Справочники!$B$13),2))</f>
        <v/>
      </c>
      <c r="AQ299" s="90" t="str">
        <f aca="false" t="array" ref="AQ299:AQ299">IF(AP299="","",AP299*INDEX(Справочники!$B$4:$B$7,MATCH("RUB",Справочники!$A$4:$A$7,0)))</f>
        <v/>
      </c>
      <c r="AR299" s="90" t="str">
        <f aca="false">IF(AQ299="","",ROUND(AQ299*(1+Справочники!$B$12),0))</f>
        <v/>
      </c>
      <c r="AS299" s="90" t="str">
        <f aca="false">IF(AR299="","",ROUND(AR299*(1-Справочники!$B$11),0))</f>
        <v/>
      </c>
      <c r="AT299" s="88"/>
      <c r="AU299" s="90" t="str">
        <f aca="false">IF(AT299="","",ROUND(AT299/(1+Справочники!$B$12),0))</f>
        <v/>
      </c>
      <c r="AV299" s="90" t="str">
        <f aca="false">IF(AT299="","",ROUND(AT299*(1-Справочники!$B$15),0))</f>
        <v/>
      </c>
      <c r="AW299" s="90" t="str">
        <f aca="false">IF(AT299="","",ROUND(AT299*(1-Справочники!$B$16),0))</f>
        <v/>
      </c>
      <c r="AX299" s="90" t="str">
        <f aca="false">IF(AT299="","",ROUND(AT299*(1-Справочники!$B$17),0))</f>
        <v/>
      </c>
      <c r="AY299" s="90" t="str">
        <f aca="false">IF(AT299="","",ROUND(AT299*(1-Справочники!$B$18),0))</f>
        <v/>
      </c>
      <c r="AZ299" s="90" t="str">
        <f aca="false">IF(AT299="","",ROUND(AT299*(1-Справочники!$B$19),0))</f>
        <v/>
      </c>
      <c r="BA299" s="81"/>
      <c r="BB299" s="81"/>
      <c r="BC299" s="81"/>
      <c r="BD299" s="81"/>
      <c r="BE299" s="91"/>
      <c r="BF299" s="81" t="s">
        <v>103</v>
      </c>
      <c r="BG299" s="89" t="n">
        <f aca="false" t="array" ref="BG299:BG299">IF(BF299="","",IFERROR(INDEX(Справочники!$B$4:$B$7,MATCH(BF299,Справочники!$A$4:$A$7,0)),""))</f>
        <v>68.5</v>
      </c>
      <c r="BH299" s="90" t="str">
        <f aca="false">IF(N(BN299)&gt;0,ROUND(SUMIF(ЗАКАЗЫ!$F$3:$F$500,$A299,ЗАКАЗЫ!$Y$3:$Y$500)/BN299,0),IF(OR(BE299="",BG299=""),"",ROUND(BE299*BG299*(1+Справочники!$B$10),0)))</f>
        <v/>
      </c>
      <c r="BI299" s="92" t="str">
        <f aca="false">IF(OR(AU299="",BH299="",AU299=0),"",(AU299-BH299)/AU299)</f>
        <v/>
      </c>
      <c r="BJ299" s="81"/>
      <c r="BK299" s="83"/>
      <c r="BL299" s="43" t="str">
        <f aca="false">IFERROR(INDEX(ЗАКАЗЫ!$N$3:$N$500,MATCH($A299,ЗАКАЗЫ!$F$3:$F$500,0)),"")</f>
        <v/>
      </c>
      <c r="BM299" s="8" t="str">
        <f aca="false">IF(BL299="","",IFERROR(VLOOKUP(BL299,'ТН ВЭД'!$A$4:$C$40,3,0),""))</f>
        <v/>
      </c>
      <c r="BN299" s="7" t="str">
        <f aca="false">IF(COUNTIF(ЗАКАЗЫ!$F$3:$F$500,$A299)=0,"",SUMIF(ЗАКАЗЫ!$F$3:$F$500,$A299,ЗАКАЗЫ!$J$3:$J$500))</f>
        <v/>
      </c>
      <c r="BO299" s="7" t="str">
        <f aca="false">IF(BN299="","",SUMIF(ЗАКАЗЫ!$F$3:$F$500,$A299,ЗАКАЗЫ!$AL$3:$AL$500))</f>
        <v/>
      </c>
      <c r="BP299" s="7" t="str">
        <f aca="false">IF(BN299="","",BN299-BO299)</f>
        <v/>
      </c>
      <c r="BQ299" s="55" t="str">
        <f aca="false">IF(BN299="","",IF(BO299&gt;=BN299,"На складе",IF(BO299&gt;0,"Частично","Ждём")))</f>
        <v/>
      </c>
      <c r="BR299" s="43"/>
      <c r="BS299" s="47" t="str">
        <f aca="false">IF(BN299="","",IF(_xlfn.MAXIFS(ЗАКАЗЫ!$AK$3:$AK$500,ЗАКАЗЫ!$F$3:$F$500,$A299)=0,"",_xlfn.MAXIFS(ЗАКАЗЫ!$AK$3:$AK$500,ЗАКАЗЫ!$F$3:$F$500,$A299)))</f>
        <v/>
      </c>
    </row>
    <row r="300" customFormat="false" ht="15.75" hidden="false" customHeight="true" outlineLevel="0" collapsed="false">
      <c r="A300" s="80" t="s">
        <v>2494</v>
      </c>
      <c r="B300" s="81"/>
      <c r="C300" s="81"/>
      <c r="D300" s="81"/>
      <c r="E300" s="83"/>
      <c r="F300" s="81"/>
      <c r="G300" s="83"/>
      <c r="H300" s="83"/>
      <c r="I300" s="84" t="str">
        <f aca="false">IF(E300="","",A300&amp;"_1.jpg")</f>
        <v/>
      </c>
      <c r="J300" s="84" t="str">
        <f aca="false">IF(E300="","",A300&amp;"_2.jpg; "&amp;A300&amp;"_3.jpg")</f>
        <v/>
      </c>
      <c r="K300" s="84" t="str">
        <f aca="false">IF(E300="","",A300&amp;"_schema.jpg")</f>
        <v/>
      </c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 t="s">
        <v>96</v>
      </c>
      <c r="W300" s="81"/>
      <c r="X300" s="81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6" t="str">
        <f aca="false">IF(SUM(Y300:AJ300)=0,"",SUM(Y300:AJ300))</f>
        <v/>
      </c>
      <c r="AL300" s="84" t="str">
        <f aca="false">MID(IF(N(Y300)&gt;0,", "&amp;Y$2,"")&amp;IF(N(Z300)&gt;0,", "&amp;Z$2,"")&amp;IF(N(AA300)&gt;0,", "&amp;AA$2,"")&amp;IF(N(AB300)&gt;0,", "&amp;AB$2,"")&amp;IF(N(AC300)&gt;0,", "&amp;AC$2,"")&amp;IF(N(AD300)&gt;0,", "&amp;AD$2,"")&amp;IF(N(AE300)&gt;0,", "&amp;AE$2,"")&amp;IF(N(AF300)&gt;0,", "&amp;AF$2,"")&amp;IF(N(AG300)&gt;0,", "&amp;AG$2,"")&amp;IF(N(AH300)&gt;0,", "&amp;AH$2,"")&amp;IF(N(AI300)&gt;0,", "&amp;AI$2,"")&amp;IF(N(AJ300)&gt;0,", "&amp;AJ$2,""),3,999)</f>
        <v/>
      </c>
      <c r="AM300" s="87" t="str">
        <f aca="false">IF(E300="","",MID(IF(N(Y300)&gt;0,", "&amp;A300&amp;"-"&amp;Y$2,"")&amp;IF(N(Z300)&gt;0,", "&amp;A300&amp;"-"&amp;Z$2,"")&amp;IF(N(AA300)&gt;0,", "&amp;A300&amp;"-"&amp;AA$2,"")&amp;IF(N(AB300)&gt;0,", "&amp;A300&amp;"-"&amp;AB$2,"")&amp;IF(N(AC300)&gt;0,", "&amp;A300&amp;"-"&amp;AC$2,"")&amp;IF(N(AD300)&gt;0,", "&amp;A300&amp;"-"&amp;AD$2,"")&amp;IF(N(AE300)&gt;0,", "&amp;A300&amp;"-"&amp;AE$2,"")&amp;IF(N(AF300)&gt;0,", "&amp;A300&amp;"-"&amp;AF$2,"")&amp;IF(N(AG300)&gt;0,", "&amp;A300&amp;"-"&amp;AG$2,"")&amp;IF(N(AH300)&gt;0,", "&amp;A300&amp;"-"&amp;AH$2,"")&amp;IF(N(AI300)&gt;0,", "&amp;A300&amp;"-"&amp;AI$2,"")&amp;IF(N(AJ300)&gt;0,", "&amp;A300&amp;"-"&amp;AJ$2,""),3,999))</f>
        <v/>
      </c>
      <c r="AN300" s="81"/>
      <c r="AO300" s="88"/>
      <c r="AP300" s="89" t="str">
        <f aca="false">IF(AO300="","",ROUND(AO300/(1+Справочники!$B$13),2))</f>
        <v/>
      </c>
      <c r="AQ300" s="90" t="str">
        <f aca="false" t="array" ref="AQ300:AQ300">IF(AP300="","",AP300*INDEX(Справочники!$B$4:$B$7,MATCH("RUB",Справочники!$A$4:$A$7,0)))</f>
        <v/>
      </c>
      <c r="AR300" s="90" t="str">
        <f aca="false">IF(AQ300="","",ROUND(AQ300*(1+Справочники!$B$12),0))</f>
        <v/>
      </c>
      <c r="AS300" s="90" t="str">
        <f aca="false">IF(AR300="","",ROUND(AR300*(1-Справочники!$B$11),0))</f>
        <v/>
      </c>
      <c r="AT300" s="88"/>
      <c r="AU300" s="90" t="str">
        <f aca="false">IF(AT300="","",ROUND(AT300/(1+Справочники!$B$12),0))</f>
        <v/>
      </c>
      <c r="AV300" s="90" t="str">
        <f aca="false">IF(AT300="","",ROUND(AT300*(1-Справочники!$B$15),0))</f>
        <v/>
      </c>
      <c r="AW300" s="90" t="str">
        <f aca="false">IF(AT300="","",ROUND(AT300*(1-Справочники!$B$16),0))</f>
        <v/>
      </c>
      <c r="AX300" s="90" t="str">
        <f aca="false">IF(AT300="","",ROUND(AT300*(1-Справочники!$B$17),0))</f>
        <v/>
      </c>
      <c r="AY300" s="90" t="str">
        <f aca="false">IF(AT300="","",ROUND(AT300*(1-Справочники!$B$18),0))</f>
        <v/>
      </c>
      <c r="AZ300" s="90" t="str">
        <f aca="false">IF(AT300="","",ROUND(AT300*(1-Справочники!$B$19),0))</f>
        <v/>
      </c>
      <c r="BA300" s="81"/>
      <c r="BB300" s="81"/>
      <c r="BC300" s="81"/>
      <c r="BD300" s="81"/>
      <c r="BE300" s="91"/>
      <c r="BF300" s="81" t="s">
        <v>103</v>
      </c>
      <c r="BG300" s="89" t="n">
        <f aca="false" t="array" ref="BG300:BG300">IF(BF300="","",IFERROR(INDEX(Справочники!$B$4:$B$7,MATCH(BF300,Справочники!$A$4:$A$7,0)),""))</f>
        <v>68.5</v>
      </c>
      <c r="BH300" s="90" t="str">
        <f aca="false">IF(N(BN300)&gt;0,ROUND(SUMIF(ЗАКАЗЫ!$F$3:$F$500,$A300,ЗАКАЗЫ!$Y$3:$Y$500)/BN300,0),IF(OR(BE300="",BG300=""),"",ROUND(BE300*BG300*(1+Справочники!$B$10),0)))</f>
        <v/>
      </c>
      <c r="BI300" s="92" t="str">
        <f aca="false">IF(OR(AU300="",BH300="",AU300=0),"",(AU300-BH300)/AU300)</f>
        <v/>
      </c>
      <c r="BJ300" s="81"/>
      <c r="BK300" s="83"/>
      <c r="BL300" s="43" t="str">
        <f aca="false">IFERROR(INDEX(ЗАКАЗЫ!$N$3:$N$500,MATCH($A300,ЗАКАЗЫ!$F$3:$F$500,0)),"")</f>
        <v/>
      </c>
      <c r="BM300" s="8" t="str">
        <f aca="false">IF(BL300="","",IFERROR(VLOOKUP(BL300,'ТН ВЭД'!$A$4:$C$40,3,0),""))</f>
        <v/>
      </c>
      <c r="BN300" s="7" t="str">
        <f aca="false">IF(COUNTIF(ЗАКАЗЫ!$F$3:$F$500,$A300)=0,"",SUMIF(ЗАКАЗЫ!$F$3:$F$500,$A300,ЗАКАЗЫ!$J$3:$J$500))</f>
        <v/>
      </c>
      <c r="BO300" s="7" t="str">
        <f aca="false">IF(BN300="","",SUMIF(ЗАКАЗЫ!$F$3:$F$500,$A300,ЗАКАЗЫ!$AL$3:$AL$500))</f>
        <v/>
      </c>
      <c r="BP300" s="7" t="str">
        <f aca="false">IF(BN300="","",BN300-BO300)</f>
        <v/>
      </c>
      <c r="BQ300" s="55" t="str">
        <f aca="false">IF(BN300="","",IF(BO300&gt;=BN300,"На складе",IF(BO300&gt;0,"Частично","Ждём")))</f>
        <v/>
      </c>
      <c r="BR300" s="43"/>
      <c r="BS300" s="47" t="str">
        <f aca="false">IF(BN300="","",IF(_xlfn.MAXIFS(ЗАКАЗЫ!$AK$3:$AK$500,ЗАКАЗЫ!$F$3:$F$500,$A300)=0,"",_xlfn.MAXIFS(ЗАКАЗЫ!$AK$3:$AK$500,ЗАКАЗЫ!$F$3:$F$500,$A300)))</f>
        <v/>
      </c>
    </row>
    <row r="301" customFormat="false" ht="15.75" hidden="false" customHeight="true" outlineLevel="0" collapsed="false">
      <c r="A301" s="80" t="s">
        <v>2495</v>
      </c>
      <c r="B301" s="81"/>
      <c r="C301" s="81"/>
      <c r="D301" s="81"/>
      <c r="E301" s="83"/>
      <c r="F301" s="81"/>
      <c r="G301" s="83"/>
      <c r="H301" s="83"/>
      <c r="I301" s="84" t="str">
        <f aca="false">IF(E301="","",A301&amp;"_1.jpg")</f>
        <v/>
      </c>
      <c r="J301" s="84" t="str">
        <f aca="false">IF(E301="","",A301&amp;"_2.jpg; "&amp;A301&amp;"_3.jpg")</f>
        <v/>
      </c>
      <c r="K301" s="84" t="str">
        <f aca="false">IF(E301="","",A301&amp;"_schema.jpg")</f>
        <v/>
      </c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 t="s">
        <v>96</v>
      </c>
      <c r="W301" s="81"/>
      <c r="X301" s="81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6" t="str">
        <f aca="false">IF(SUM(Y301:AJ301)=0,"",SUM(Y301:AJ301))</f>
        <v/>
      </c>
      <c r="AL301" s="84" t="str">
        <f aca="false">MID(IF(N(Y301)&gt;0,", "&amp;Y$2,"")&amp;IF(N(Z301)&gt;0,", "&amp;Z$2,"")&amp;IF(N(AA301)&gt;0,", "&amp;AA$2,"")&amp;IF(N(AB301)&gt;0,", "&amp;AB$2,"")&amp;IF(N(AC301)&gt;0,", "&amp;AC$2,"")&amp;IF(N(AD301)&gt;0,", "&amp;AD$2,"")&amp;IF(N(AE301)&gt;0,", "&amp;AE$2,"")&amp;IF(N(AF301)&gt;0,", "&amp;AF$2,"")&amp;IF(N(AG301)&gt;0,", "&amp;AG$2,"")&amp;IF(N(AH301)&gt;0,", "&amp;AH$2,"")&amp;IF(N(AI301)&gt;0,", "&amp;AI$2,"")&amp;IF(N(AJ301)&gt;0,", "&amp;AJ$2,""),3,999)</f>
        <v/>
      </c>
      <c r="AM301" s="87" t="str">
        <f aca="false">IF(E301="","",MID(IF(N(Y301)&gt;0,", "&amp;A301&amp;"-"&amp;Y$2,"")&amp;IF(N(Z301)&gt;0,", "&amp;A301&amp;"-"&amp;Z$2,"")&amp;IF(N(AA301)&gt;0,", "&amp;A301&amp;"-"&amp;AA$2,"")&amp;IF(N(AB301)&gt;0,", "&amp;A301&amp;"-"&amp;AB$2,"")&amp;IF(N(AC301)&gt;0,", "&amp;A301&amp;"-"&amp;AC$2,"")&amp;IF(N(AD301)&gt;0,", "&amp;A301&amp;"-"&amp;AD$2,"")&amp;IF(N(AE301)&gt;0,", "&amp;A301&amp;"-"&amp;AE$2,"")&amp;IF(N(AF301)&gt;0,", "&amp;A301&amp;"-"&amp;AF$2,"")&amp;IF(N(AG301)&gt;0,", "&amp;A301&amp;"-"&amp;AG$2,"")&amp;IF(N(AH301)&gt;0,", "&amp;A301&amp;"-"&amp;AH$2,"")&amp;IF(N(AI301)&gt;0,", "&amp;A301&amp;"-"&amp;AI$2,"")&amp;IF(N(AJ301)&gt;0,", "&amp;A301&amp;"-"&amp;AJ$2,""),3,999))</f>
        <v/>
      </c>
      <c r="AN301" s="81"/>
      <c r="AO301" s="88"/>
      <c r="AP301" s="89" t="str">
        <f aca="false">IF(AO301="","",ROUND(AO301/(1+Справочники!$B$13),2))</f>
        <v/>
      </c>
      <c r="AQ301" s="90" t="str">
        <f aca="false" t="array" ref="AQ301:AQ301">IF(AP301="","",AP301*INDEX(Справочники!$B$4:$B$7,MATCH("RUB",Справочники!$A$4:$A$7,0)))</f>
        <v/>
      </c>
      <c r="AR301" s="90" t="str">
        <f aca="false">IF(AQ301="","",ROUND(AQ301*(1+Справочники!$B$12),0))</f>
        <v/>
      </c>
      <c r="AS301" s="90" t="str">
        <f aca="false">IF(AR301="","",ROUND(AR301*(1-Справочники!$B$11),0))</f>
        <v/>
      </c>
      <c r="AT301" s="88"/>
      <c r="AU301" s="90" t="str">
        <f aca="false">IF(AT301="","",ROUND(AT301/(1+Справочники!$B$12),0))</f>
        <v/>
      </c>
      <c r="AV301" s="90" t="str">
        <f aca="false">IF(AT301="","",ROUND(AT301*(1-Справочники!$B$15),0))</f>
        <v/>
      </c>
      <c r="AW301" s="90" t="str">
        <f aca="false">IF(AT301="","",ROUND(AT301*(1-Справочники!$B$16),0))</f>
        <v/>
      </c>
      <c r="AX301" s="90" t="str">
        <f aca="false">IF(AT301="","",ROUND(AT301*(1-Справочники!$B$17),0))</f>
        <v/>
      </c>
      <c r="AY301" s="90" t="str">
        <f aca="false">IF(AT301="","",ROUND(AT301*(1-Справочники!$B$18),0))</f>
        <v/>
      </c>
      <c r="AZ301" s="90" t="str">
        <f aca="false">IF(AT301="","",ROUND(AT301*(1-Справочники!$B$19),0))</f>
        <v/>
      </c>
      <c r="BA301" s="81"/>
      <c r="BB301" s="81"/>
      <c r="BC301" s="81"/>
      <c r="BD301" s="81"/>
      <c r="BE301" s="91"/>
      <c r="BF301" s="81" t="s">
        <v>103</v>
      </c>
      <c r="BG301" s="89" t="n">
        <f aca="false" t="array" ref="BG301:BG301">IF(BF301="","",IFERROR(INDEX(Справочники!$B$4:$B$7,MATCH(BF301,Справочники!$A$4:$A$7,0)),""))</f>
        <v>68.5</v>
      </c>
      <c r="BH301" s="90" t="str">
        <f aca="false">IF(N(BN301)&gt;0,ROUND(SUMIF(ЗАКАЗЫ!$F$3:$F$500,$A301,ЗАКАЗЫ!$Y$3:$Y$500)/BN301,0),IF(OR(BE301="",BG301=""),"",ROUND(BE301*BG301*(1+Справочники!$B$10),0)))</f>
        <v/>
      </c>
      <c r="BI301" s="92" t="str">
        <f aca="false">IF(OR(AU301="",BH301="",AU301=0),"",(AU301-BH301)/AU301)</f>
        <v/>
      </c>
      <c r="BJ301" s="81"/>
      <c r="BK301" s="83"/>
      <c r="BL301" s="43" t="str">
        <f aca="false">IFERROR(INDEX(ЗАКАЗЫ!$N$3:$N$500,MATCH($A301,ЗАКАЗЫ!$F$3:$F$500,0)),"")</f>
        <v/>
      </c>
      <c r="BM301" s="8" t="str">
        <f aca="false">IF(BL301="","",IFERROR(VLOOKUP(BL301,'ТН ВЭД'!$A$4:$C$40,3,0),""))</f>
        <v/>
      </c>
      <c r="BN301" s="7" t="str">
        <f aca="false">IF(COUNTIF(ЗАКАЗЫ!$F$3:$F$500,$A301)=0,"",SUMIF(ЗАКАЗЫ!$F$3:$F$500,$A301,ЗАКАЗЫ!$J$3:$J$500))</f>
        <v/>
      </c>
      <c r="BO301" s="7" t="str">
        <f aca="false">IF(BN301="","",SUMIF(ЗАКАЗЫ!$F$3:$F$500,$A301,ЗАКАЗЫ!$AL$3:$AL$500))</f>
        <v/>
      </c>
      <c r="BP301" s="7" t="str">
        <f aca="false">IF(BN301="","",BN301-BO301)</f>
        <v/>
      </c>
      <c r="BQ301" s="55" t="str">
        <f aca="false">IF(BN301="","",IF(BO301&gt;=BN301,"На складе",IF(BO301&gt;0,"Частично","Ждём")))</f>
        <v/>
      </c>
      <c r="BR301" s="43"/>
      <c r="BS301" s="47" t="str">
        <f aca="false">IF(BN301="","",IF(_xlfn.MAXIFS(ЗАКАЗЫ!$AK$3:$AK$500,ЗАКАЗЫ!$F$3:$F$500,$A301)=0,"",_xlfn.MAXIFS(ЗАКАЗЫ!$AK$3:$AK$500,ЗАКАЗЫ!$F$3:$F$500,$A301)))</f>
        <v/>
      </c>
    </row>
    <row r="302" customFormat="false" ht="15.75" hidden="false" customHeight="true" outlineLevel="0" collapsed="false">
      <c r="A302" s="80" t="s">
        <v>2496</v>
      </c>
      <c r="B302" s="81"/>
      <c r="C302" s="81"/>
      <c r="D302" s="81"/>
      <c r="E302" s="83"/>
      <c r="F302" s="81"/>
      <c r="G302" s="83"/>
      <c r="H302" s="83"/>
      <c r="I302" s="84" t="str">
        <f aca="false">IF(E302="","",A302&amp;"_1.jpg")</f>
        <v/>
      </c>
      <c r="J302" s="84" t="str">
        <f aca="false">IF(E302="","",A302&amp;"_2.jpg; "&amp;A302&amp;"_3.jpg")</f>
        <v/>
      </c>
      <c r="K302" s="84" t="str">
        <f aca="false">IF(E302="","",A302&amp;"_schema.jpg")</f>
        <v/>
      </c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 t="s">
        <v>96</v>
      </c>
      <c r="W302" s="81"/>
      <c r="X302" s="81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6" t="str">
        <f aca="false">IF(SUM(Y302:AJ302)=0,"",SUM(Y302:AJ302))</f>
        <v/>
      </c>
      <c r="AL302" s="84" t="str">
        <f aca="false">MID(IF(N(Y302)&gt;0,", "&amp;Y$2,"")&amp;IF(N(Z302)&gt;0,", "&amp;Z$2,"")&amp;IF(N(AA302)&gt;0,", "&amp;AA$2,"")&amp;IF(N(AB302)&gt;0,", "&amp;AB$2,"")&amp;IF(N(AC302)&gt;0,", "&amp;AC$2,"")&amp;IF(N(AD302)&gt;0,", "&amp;AD$2,"")&amp;IF(N(AE302)&gt;0,", "&amp;AE$2,"")&amp;IF(N(AF302)&gt;0,", "&amp;AF$2,"")&amp;IF(N(AG302)&gt;0,", "&amp;AG$2,"")&amp;IF(N(AH302)&gt;0,", "&amp;AH$2,"")&amp;IF(N(AI302)&gt;0,", "&amp;AI$2,"")&amp;IF(N(AJ302)&gt;0,", "&amp;AJ$2,""),3,999)</f>
        <v/>
      </c>
      <c r="AM302" s="87" t="str">
        <f aca="false">IF(E302="","",MID(IF(N(Y302)&gt;0,", "&amp;A302&amp;"-"&amp;Y$2,"")&amp;IF(N(Z302)&gt;0,", "&amp;A302&amp;"-"&amp;Z$2,"")&amp;IF(N(AA302)&gt;0,", "&amp;A302&amp;"-"&amp;AA$2,"")&amp;IF(N(AB302)&gt;0,", "&amp;A302&amp;"-"&amp;AB$2,"")&amp;IF(N(AC302)&gt;0,", "&amp;A302&amp;"-"&amp;AC$2,"")&amp;IF(N(AD302)&gt;0,", "&amp;A302&amp;"-"&amp;AD$2,"")&amp;IF(N(AE302)&gt;0,", "&amp;A302&amp;"-"&amp;AE$2,"")&amp;IF(N(AF302)&gt;0,", "&amp;A302&amp;"-"&amp;AF$2,"")&amp;IF(N(AG302)&gt;0,", "&amp;A302&amp;"-"&amp;AG$2,"")&amp;IF(N(AH302)&gt;0,", "&amp;A302&amp;"-"&amp;AH$2,"")&amp;IF(N(AI302)&gt;0,", "&amp;A302&amp;"-"&amp;AI$2,"")&amp;IF(N(AJ302)&gt;0,", "&amp;A302&amp;"-"&amp;AJ$2,""),3,999))</f>
        <v/>
      </c>
      <c r="AN302" s="81"/>
      <c r="AO302" s="88"/>
      <c r="AP302" s="89" t="str">
        <f aca="false">IF(AO302="","",ROUND(AO302/(1+Справочники!$B$13),2))</f>
        <v/>
      </c>
      <c r="AQ302" s="90" t="str">
        <f aca="false" t="array" ref="AQ302:AQ302">IF(AP302="","",AP302*INDEX(Справочники!$B$4:$B$7,MATCH("RUB",Справочники!$A$4:$A$7,0)))</f>
        <v/>
      </c>
      <c r="AR302" s="90" t="str">
        <f aca="false">IF(AQ302="","",ROUND(AQ302*(1+Справочники!$B$12),0))</f>
        <v/>
      </c>
      <c r="AS302" s="90" t="str">
        <f aca="false">IF(AR302="","",ROUND(AR302*(1-Справочники!$B$11),0))</f>
        <v/>
      </c>
      <c r="AT302" s="88"/>
      <c r="AU302" s="90" t="str">
        <f aca="false">IF(AT302="","",ROUND(AT302/(1+Справочники!$B$12),0))</f>
        <v/>
      </c>
      <c r="AV302" s="90" t="str">
        <f aca="false">IF(AT302="","",ROUND(AT302*(1-Справочники!$B$15),0))</f>
        <v/>
      </c>
      <c r="AW302" s="90" t="str">
        <f aca="false">IF(AT302="","",ROUND(AT302*(1-Справочники!$B$16),0))</f>
        <v/>
      </c>
      <c r="AX302" s="90" t="str">
        <f aca="false">IF(AT302="","",ROUND(AT302*(1-Справочники!$B$17),0))</f>
        <v/>
      </c>
      <c r="AY302" s="90" t="str">
        <f aca="false">IF(AT302="","",ROUND(AT302*(1-Справочники!$B$18),0))</f>
        <v/>
      </c>
      <c r="AZ302" s="90" t="str">
        <f aca="false">IF(AT302="","",ROUND(AT302*(1-Справочники!$B$19),0))</f>
        <v/>
      </c>
      <c r="BA302" s="81"/>
      <c r="BB302" s="81"/>
      <c r="BC302" s="81"/>
      <c r="BD302" s="81"/>
      <c r="BE302" s="91"/>
      <c r="BF302" s="81" t="s">
        <v>103</v>
      </c>
      <c r="BG302" s="89" t="n">
        <f aca="false" t="array" ref="BG302:BG302">IF(BF302="","",IFERROR(INDEX(Справочники!$B$4:$B$7,MATCH(BF302,Справочники!$A$4:$A$7,0)),""))</f>
        <v>68.5</v>
      </c>
      <c r="BH302" s="90" t="str">
        <f aca="false">IF(N(BN302)&gt;0,ROUND(SUMIF(ЗАКАЗЫ!$F$3:$F$500,$A302,ЗАКАЗЫ!$Y$3:$Y$500)/BN302,0),IF(OR(BE302="",BG302=""),"",ROUND(BE302*BG302*(1+Справочники!$B$10),0)))</f>
        <v/>
      </c>
      <c r="BI302" s="92" t="str">
        <f aca="false">IF(OR(AU302="",BH302="",AU302=0),"",(AU302-BH302)/AU302)</f>
        <v/>
      </c>
      <c r="BJ302" s="81"/>
      <c r="BK302" s="83"/>
      <c r="BL302" s="43" t="str">
        <f aca="false">IFERROR(INDEX(ЗАКАЗЫ!$N$3:$N$500,MATCH($A302,ЗАКАЗЫ!$F$3:$F$500,0)),"")</f>
        <v/>
      </c>
      <c r="BM302" s="8" t="str">
        <f aca="false">IF(BL302="","",IFERROR(VLOOKUP(BL302,'ТН ВЭД'!$A$4:$C$40,3,0),""))</f>
        <v/>
      </c>
      <c r="BN302" s="7" t="str">
        <f aca="false">IF(COUNTIF(ЗАКАЗЫ!$F$3:$F$500,$A302)=0,"",SUMIF(ЗАКАЗЫ!$F$3:$F$500,$A302,ЗАКАЗЫ!$J$3:$J$500))</f>
        <v/>
      </c>
      <c r="BO302" s="7" t="str">
        <f aca="false">IF(BN302="","",SUMIF(ЗАКАЗЫ!$F$3:$F$500,$A302,ЗАКАЗЫ!$AL$3:$AL$500))</f>
        <v/>
      </c>
      <c r="BP302" s="7" t="str">
        <f aca="false">IF(BN302="","",BN302-BO302)</f>
        <v/>
      </c>
      <c r="BQ302" s="55" t="str">
        <f aca="false">IF(BN302="","",IF(BO302&gt;=BN302,"На складе",IF(BO302&gt;0,"Частично","Ждём")))</f>
        <v/>
      </c>
      <c r="BR302" s="43"/>
      <c r="BS302" s="47" t="str">
        <f aca="false">IF(BN302="","",IF(_xlfn.MAXIFS(ЗАКАЗЫ!$AK$3:$AK$500,ЗАКАЗЫ!$F$3:$F$500,$A302)=0,"",_xlfn.MAXIFS(ЗАКАЗЫ!$AK$3:$AK$500,ЗАКАЗЫ!$F$3:$F$500,$A302)))</f>
        <v/>
      </c>
    </row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A1:H1"/>
    <mergeCell ref="I1:M1"/>
    <mergeCell ref="N1:X1"/>
    <mergeCell ref="Y1:AM1"/>
    <mergeCell ref="AN1:BA1"/>
    <mergeCell ref="BB1:BK1"/>
    <mergeCell ref="BL1:BS1"/>
  </mergeCells>
  <conditionalFormatting sqref="Y3:AJ302">
    <cfRule type="expression" priority="2" aboveAverage="0" equalAverage="0" bottom="0" percent="0" rank="0" text="" dxfId="28">
      <formula>N(Y3)&gt;0</formula>
    </cfRule>
  </conditionalFormatting>
  <conditionalFormatting sqref="A3:A302">
    <cfRule type="expression" priority="3" aboveAverage="0" equalAverage="0" bottom="0" percent="0" rank="0" text="" dxfId="29">
      <formula>$E3=""</formula>
    </cfRule>
  </conditionalFormatting>
  <conditionalFormatting sqref="A3:BK302">
    <cfRule type="expression" priority="4" aboveAverage="0" equalAverage="0" bottom="0" percent="0" rank="0" text="" dxfId="30">
      <formula>$B3="Снят"</formula>
    </cfRule>
  </conditionalFormatting>
  <conditionalFormatting sqref="D3:D302">
    <cfRule type="expression" priority="5" aboveAverage="0" equalAverage="0" bottom="0" percent="0" rank="0" text="" dxfId="31">
      <formula>AND($D3="Да",COUNTIF($D$3:$D$302,"Да")&gt;5)</formula>
    </cfRule>
  </conditionalFormatting>
  <conditionalFormatting sqref="BI3:BI302">
    <cfRule type="expression" priority="6" aboveAverage="0" equalAverage="0" bottom="0" percent="0" rank="0" text="" dxfId="31">
      <formula>AND(ISNUMBER($BI3),$BI3&lt;0.2)</formula>
    </cfRule>
  </conditionalFormatting>
  <conditionalFormatting sqref="BQ3:BQ302">
    <cfRule type="expression" priority="7" aboveAverage="0" equalAverage="0" bottom="0" percent="0" rank="0" text="" dxfId="8">
      <formula>BQ3="На складе"</formula>
    </cfRule>
    <cfRule type="expression" priority="8" aboveAverage="0" equalAverage="0" bottom="0" percent="0" rank="0" text="" dxfId="9">
      <formula>BQ3="Частично"</formula>
    </cfRule>
  </conditionalFormatting>
  <conditionalFormatting sqref="AK3:AK302">
    <cfRule type="expression" priority="9" aboveAverage="0" equalAverage="0" bottom="0" percent="0" rank="0" text="" dxfId="32">
      <formula>AND(N($BN3)&gt;0,N($AK3)&lt;&gt;N($BN3))</formula>
    </cfRule>
  </conditionalFormatting>
  <dataValidations count="7">
    <dataValidation allowBlank="true" errorStyle="stop" operator="greaterThanOrEqual" prompt="Только целое число штук" showDropDown="false" showErrorMessage="true" showInputMessage="true" sqref="Y3:AJ302" type="decimal">
      <formula1>0</formula1>
      <formula2>0</formula2>
    </dataValidation>
    <dataValidation allowBlank="true" errorStyle="stop" operator="between" showDropDown="false" showErrorMessage="true" showInputMessage="false" sqref="D3:D302 L3:M302" type="list">
      <formula1>Справочники!$F$4:$F$40</formula1>
      <formula2>0</formula2>
    </dataValidation>
    <dataValidation allowBlank="true" errorStyle="stop" operator="between" showDropDown="false" showErrorMessage="true" showInputMessage="false" sqref="B3:B302" type="list">
      <formula1>Справочники!$E$4:$E$40</formula1>
      <formula2>0</formula2>
    </dataValidation>
    <dataValidation allowBlank="true" errorStyle="stop" operator="between" showDropDown="false" showErrorMessage="false" showInputMessage="false" sqref="BB3:BB302" type="list">
      <formula1>Поставщики!$A$2:$A$101</formula1>
      <formula2>0</formula2>
    </dataValidation>
    <dataValidation allowBlank="true" errorStyle="stop" operator="between" showDropDown="false" showErrorMessage="false" showInputMessage="false" sqref="V3:V302" type="list">
      <formula1>Справочники!$G$4:$G$40</formula1>
      <formula2>0</formula2>
    </dataValidation>
    <dataValidation allowBlank="true" errorStyle="stop" operator="between" showDropDown="false" showErrorMessage="false" showInputMessage="false" sqref="N3:N302" type="list">
      <formula1>Справочники!$H$4:$H$40</formula1>
      <formula2>0</formula2>
    </dataValidation>
    <dataValidation allowBlank="true" errorStyle="stop" operator="between" showDropDown="false" showErrorMessage="true" showInputMessage="false" sqref="BF3:BF302" type="list">
      <formula1>"KZT,CNY,USD,RUB"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7.5"/>
    <col collapsed="false" customWidth="true" hidden="false" outlineLevel="0" max="4" min="4" style="0" width="9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8" min="8" style="0" width="46"/>
    <col collapsed="false" customWidth="true" hidden="false" outlineLevel="0" max="9" min="9" style="0" width="20"/>
    <col collapsed="false" customWidth="true" hidden="false" outlineLevel="0" max="11" min="10" style="0" width="22"/>
    <col collapsed="false" customWidth="true" hidden="false" outlineLevel="0" max="13" min="12" style="0" width="9"/>
    <col collapsed="false" customWidth="true" hidden="false" outlineLevel="0" max="14" min="14" style="0" width="18"/>
    <col collapsed="false" customWidth="true" hidden="false" outlineLevel="0" max="20" min="15" style="0" width="15"/>
    <col collapsed="false" customWidth="true" hidden="false" outlineLevel="0" max="21" min="21" style="0" width="9"/>
    <col collapsed="false" customWidth="true" hidden="false" outlineLevel="0" max="22" min="22" style="0" width="8"/>
    <col collapsed="false" customWidth="true" hidden="false" outlineLevel="0" max="23" min="23" style="0" width="9"/>
    <col collapsed="false" customWidth="true" hidden="false" outlineLevel="0" max="24" min="24" style="0" width="18"/>
    <col collapsed="false" customWidth="true" hidden="false" outlineLevel="0" max="36" min="25" style="0" width="9"/>
    <col collapsed="false" customWidth="true" hidden="false" outlineLevel="0" max="37" min="37" style="0" width="11"/>
    <col collapsed="false" customWidth="true" hidden="false" outlineLevel="0" max="38" min="38" style="0" width="26"/>
    <col collapsed="false" customWidth="true" hidden="false" outlineLevel="0" max="39" min="39" style="0" width="34"/>
    <col collapsed="false" customWidth="true" hidden="false" outlineLevel="0" max="40" min="40" style="0" width="10"/>
    <col collapsed="false" customWidth="true" hidden="false" outlineLevel="0" max="44" min="41" style="0" width="11"/>
    <col collapsed="false" customWidth="true" hidden="false" outlineLevel="0" max="46" min="45" style="0" width="12"/>
    <col collapsed="false" customWidth="true" hidden="false" outlineLevel="0" max="52" min="47" style="0" width="11"/>
    <col collapsed="false" customWidth="true" hidden="false" outlineLevel="0" max="53" min="53" style="0" width="10"/>
    <col collapsed="false" customWidth="true" hidden="false" outlineLevel="0" max="54" min="54" style="0" width="18"/>
    <col collapsed="false" customWidth="true" hidden="false" outlineLevel="0" max="55" min="55" style="0" width="14"/>
    <col collapsed="false" customWidth="true" hidden="false" outlineLevel="0" max="56" min="56" style="0" width="24"/>
    <col collapsed="false" customWidth="true" hidden="false" outlineLevel="0" max="57" min="57" style="0" width="10"/>
    <col collapsed="false" customWidth="true" hidden="false" outlineLevel="0" max="59" min="58" style="0" width="8"/>
    <col collapsed="false" customWidth="true" hidden="false" outlineLevel="0" max="60" min="60" style="0" width="12"/>
    <col collapsed="false" customWidth="true" hidden="false" outlineLevel="0" max="61" min="61" style="0" width="9"/>
    <col collapsed="false" customWidth="true" hidden="false" outlineLevel="0" max="62" min="62" style="0" width="10"/>
    <col collapsed="false" customWidth="true" hidden="false" outlineLevel="0" max="63" min="63" style="0" width="30"/>
    <col collapsed="false" customWidth="true" hidden="false" outlineLevel="0" max="64" min="64" style="0" width="14"/>
    <col collapsed="false" customWidth="true" hidden="false" outlineLevel="0" max="65" min="65" style="0" width="8"/>
    <col collapsed="false" customWidth="true" hidden="false" outlineLevel="0" max="66" min="66" style="0" width="11"/>
    <col collapsed="false" customWidth="true" hidden="false" outlineLevel="0" max="67" min="67" style="0" width="10"/>
    <col collapsed="false" customWidth="true" hidden="false" outlineLevel="0" max="68" min="68" style="0" width="9"/>
    <col collapsed="false" customWidth="true" hidden="false" outlineLevel="0" max="69" min="69" style="0" width="11"/>
    <col collapsed="false" customWidth="true" hidden="false" outlineLevel="0" max="70" min="70" style="0" width="22"/>
    <col collapsed="false" customWidth="true" hidden="false" outlineLevel="0" max="71" min="71" style="0" width="11"/>
  </cols>
  <sheetData>
    <row r="1" customFormat="false" ht="19.5" hidden="false" customHeight="true" outlineLevel="0" collapsed="false">
      <c r="A1" s="56" t="s">
        <v>416</v>
      </c>
      <c r="B1" s="56"/>
      <c r="C1" s="56"/>
      <c r="D1" s="56"/>
      <c r="E1" s="56"/>
      <c r="F1" s="56"/>
      <c r="G1" s="56"/>
      <c r="H1" s="56"/>
      <c r="I1" s="57" t="s">
        <v>417</v>
      </c>
      <c r="J1" s="57"/>
      <c r="K1" s="57"/>
      <c r="L1" s="57"/>
      <c r="M1" s="57"/>
      <c r="N1" s="58" t="s">
        <v>418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59" t="s">
        <v>419</v>
      </c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60" t="s">
        <v>420</v>
      </c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1" t="s">
        <v>421</v>
      </c>
      <c r="BC1" s="61"/>
      <c r="BD1" s="61"/>
      <c r="BE1" s="61"/>
      <c r="BF1" s="61"/>
      <c r="BG1" s="61"/>
      <c r="BH1" s="61"/>
      <c r="BI1" s="61"/>
      <c r="BJ1" s="61"/>
      <c r="BK1" s="61"/>
      <c r="BL1" s="37" t="s">
        <v>422</v>
      </c>
      <c r="BM1" s="37"/>
      <c r="BN1" s="37"/>
      <c r="BO1" s="37"/>
      <c r="BP1" s="37"/>
      <c r="BQ1" s="37"/>
      <c r="BR1" s="37"/>
      <c r="BS1" s="37"/>
    </row>
    <row r="2" customFormat="false" ht="48" hidden="false" customHeight="true" outlineLevel="0" collapsed="false">
      <c r="A2" s="62" t="s">
        <v>73</v>
      </c>
      <c r="B2" s="62" t="s">
        <v>46</v>
      </c>
      <c r="C2" s="62" t="s">
        <v>186</v>
      </c>
      <c r="D2" s="62" t="s">
        <v>423</v>
      </c>
      <c r="E2" s="62" t="s">
        <v>424</v>
      </c>
      <c r="F2" s="62" t="s">
        <v>80</v>
      </c>
      <c r="G2" s="62" t="s">
        <v>425</v>
      </c>
      <c r="H2" s="62" t="s">
        <v>426</v>
      </c>
      <c r="I2" s="64" t="s">
        <v>427</v>
      </c>
      <c r="J2" s="64" t="s">
        <v>428</v>
      </c>
      <c r="K2" s="64" t="s">
        <v>429</v>
      </c>
      <c r="L2" s="64" t="s">
        <v>430</v>
      </c>
      <c r="M2" s="64" t="s">
        <v>431</v>
      </c>
      <c r="N2" s="65" t="s">
        <v>84</v>
      </c>
      <c r="O2" s="65" t="s">
        <v>2497</v>
      </c>
      <c r="P2" s="65" t="s">
        <v>2498</v>
      </c>
      <c r="Q2" s="65" t="s">
        <v>2499</v>
      </c>
      <c r="R2" s="65" t="s">
        <v>2500</v>
      </c>
      <c r="S2" s="65" t="s">
        <v>1507</v>
      </c>
      <c r="T2" s="65" t="s">
        <v>778</v>
      </c>
      <c r="U2" s="65" t="s">
        <v>94</v>
      </c>
      <c r="V2" s="65" t="s">
        <v>95</v>
      </c>
      <c r="W2" s="65" t="s">
        <v>438</v>
      </c>
      <c r="X2" s="65" t="s">
        <v>439</v>
      </c>
      <c r="Y2" s="66" t="str">
        <f aca="false">Справочники!$K$4</f>
        <v>BLACK</v>
      </c>
      <c r="Z2" s="67" t="str">
        <f aca="false">Справочники!$K$5</f>
        <v>ORANGE</v>
      </c>
      <c r="AA2" s="68" t="str">
        <f aca="false">Справочники!$K$6</f>
        <v>RED</v>
      </c>
      <c r="AB2" s="69" t="str">
        <f aca="false">Справочники!$K$7</f>
        <v>BLUE</v>
      </c>
      <c r="AC2" s="70" t="str">
        <f aca="false">Справочники!$K$8</f>
        <v>GRAY</v>
      </c>
      <c r="AD2" s="71" t="str">
        <f aca="false">Справочники!$K$9</f>
        <v>GREEN</v>
      </c>
      <c r="AE2" s="72" t="str">
        <f aca="false">Справочники!$K$10</f>
        <v>YELLOW</v>
      </c>
      <c r="AF2" s="73" t="str">
        <f aca="false">Справочники!$K$11</f>
        <v>WHITE</v>
      </c>
      <c r="AG2" s="74" t="str">
        <f aca="false">Справочники!$K$12</f>
        <v>BEIGE</v>
      </c>
      <c r="AH2" s="75" t="str">
        <f aca="false">Справочники!$K$13</f>
        <v>BROWN</v>
      </c>
      <c r="AI2" s="76" t="str">
        <f aca="false">Справочники!$K$14</f>
        <v>NATURAL</v>
      </c>
      <c r="AJ2" s="76" t="str">
        <f aca="false">Справочники!$K$15</f>
        <v>MULTI</v>
      </c>
      <c r="AK2" s="77" t="s">
        <v>440</v>
      </c>
      <c r="AL2" s="77" t="s">
        <v>441</v>
      </c>
      <c r="AM2" s="77" t="s">
        <v>442</v>
      </c>
      <c r="AN2" s="78" t="s">
        <v>443</v>
      </c>
      <c r="AO2" s="78" t="s">
        <v>98</v>
      </c>
      <c r="AP2" s="78" t="s">
        <v>444</v>
      </c>
      <c r="AQ2" s="78" t="s">
        <v>445</v>
      </c>
      <c r="AR2" s="78" t="s">
        <v>206</v>
      </c>
      <c r="AS2" s="78" t="s">
        <v>446</v>
      </c>
      <c r="AT2" s="78" t="s">
        <v>99</v>
      </c>
      <c r="AU2" s="78" t="s">
        <v>208</v>
      </c>
      <c r="AV2" s="78" t="s">
        <v>447</v>
      </c>
      <c r="AW2" s="78" t="s">
        <v>448</v>
      </c>
      <c r="AX2" s="78" t="s">
        <v>449</v>
      </c>
      <c r="AY2" s="78" t="s">
        <v>450</v>
      </c>
      <c r="AZ2" s="78" t="s">
        <v>451</v>
      </c>
      <c r="BA2" s="78" t="s">
        <v>452</v>
      </c>
      <c r="BB2" s="79" t="s">
        <v>38</v>
      </c>
      <c r="BC2" s="79" t="s">
        <v>453</v>
      </c>
      <c r="BD2" s="79" t="s">
        <v>454</v>
      </c>
      <c r="BE2" s="79" t="s">
        <v>101</v>
      </c>
      <c r="BF2" s="79" t="s">
        <v>102</v>
      </c>
      <c r="BG2" s="79" t="s">
        <v>455</v>
      </c>
      <c r="BH2" s="79" t="s">
        <v>456</v>
      </c>
      <c r="BI2" s="79" t="s">
        <v>457</v>
      </c>
      <c r="BJ2" s="79" t="s">
        <v>104</v>
      </c>
      <c r="BK2" s="79" t="s">
        <v>145</v>
      </c>
      <c r="BL2" s="4" t="s">
        <v>458</v>
      </c>
      <c r="BM2" s="4" t="s">
        <v>193</v>
      </c>
      <c r="BN2" s="4" t="s">
        <v>459</v>
      </c>
      <c r="BO2" s="4" t="s">
        <v>211</v>
      </c>
      <c r="BP2" s="4" t="s">
        <v>460</v>
      </c>
      <c r="BQ2" s="4" t="s">
        <v>461</v>
      </c>
      <c r="BR2" s="4" t="s">
        <v>462</v>
      </c>
      <c r="BS2" s="4" t="s">
        <v>44</v>
      </c>
    </row>
    <row r="3" customFormat="false" ht="79.5" hidden="false" customHeight="true" outlineLevel="0" collapsed="false">
      <c r="A3" s="80" t="s">
        <v>220</v>
      </c>
      <c r="B3" s="81" t="s">
        <v>841</v>
      </c>
      <c r="C3" s="81"/>
      <c r="D3" s="81"/>
      <c r="E3" s="83" t="s">
        <v>2501</v>
      </c>
      <c r="F3" s="81" t="s">
        <v>2502</v>
      </c>
      <c r="G3" s="83" t="s">
        <v>2503</v>
      </c>
      <c r="H3" s="83" t="s">
        <v>2504</v>
      </c>
      <c r="I3" s="84" t="str">
        <f aca="false">IF(E3="","",A3&amp;"_1.jpg")</f>
        <v>AKO-KR-001_1.jpg</v>
      </c>
      <c r="J3" s="84" t="str">
        <f aca="false">IF(E3="","",A3&amp;"_2.jpg; "&amp;A3&amp;"_3.jpg")</f>
        <v>AKO-KR-001_2.jpg; AKO-KR-001_3.jpg</v>
      </c>
      <c r="K3" s="84" t="str">
        <f aca="false">IF(E3="","",A3&amp;"_schema.jpg")</f>
        <v>AKO-KR-001_schema.jpg</v>
      </c>
      <c r="L3" s="81" t="s">
        <v>150</v>
      </c>
      <c r="M3" s="81"/>
      <c r="N3" s="81" t="s">
        <v>1141</v>
      </c>
      <c r="O3" s="81" t="s">
        <v>2505</v>
      </c>
      <c r="P3" s="81"/>
      <c r="Q3" s="81"/>
      <c r="R3" s="81"/>
      <c r="S3" s="81"/>
      <c r="T3" s="81" t="s">
        <v>2506</v>
      </c>
      <c r="U3" s="81"/>
      <c r="V3" s="81" t="s">
        <v>96</v>
      </c>
      <c r="W3" s="81"/>
      <c r="X3" s="81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 t="n">
        <v>10</v>
      </c>
      <c r="AJ3" s="85"/>
      <c r="AK3" s="86" t="n">
        <f aca="false">IF(SUM(Y3:AJ3)=0,"",SUM(Y3:AJ3))</f>
        <v>10</v>
      </c>
      <c r="AL3" s="84" t="str">
        <f aca="false">MID(IF(N(Y3)&gt;0,", "&amp;Y$2,"")&amp;IF(N(Z3)&gt;0,", "&amp;Z$2,"")&amp;IF(N(AA3)&gt;0,", "&amp;AA$2,"")&amp;IF(N(AB3)&gt;0,", "&amp;AB$2,"")&amp;IF(N(AC3)&gt;0,", "&amp;AC$2,"")&amp;IF(N(AD3)&gt;0,", "&amp;AD$2,"")&amp;IF(N(AE3)&gt;0,", "&amp;AE$2,"")&amp;IF(N(AF3)&gt;0,", "&amp;AF$2,"")&amp;IF(N(AG3)&gt;0,", "&amp;AG$2,"")&amp;IF(N(AH3)&gt;0,", "&amp;AH$2,"")&amp;IF(N(AI3)&gt;0,", "&amp;AI$2,"")&amp;IF(N(AJ3)&gt;0,", "&amp;AJ$2,""),3,999)</f>
        <v>NATURAL</v>
      </c>
      <c r="AM3" s="87" t="str">
        <f aca="false">IF(E3="","",MID(IF(N(Y3)&gt;0,", "&amp;A3&amp;"-"&amp;Y$2,"")&amp;IF(N(Z3)&gt;0,", "&amp;A3&amp;"-"&amp;Z$2,"")&amp;IF(N(AA3)&gt;0,", "&amp;A3&amp;"-"&amp;AA$2,"")&amp;IF(N(AB3)&gt;0,", "&amp;A3&amp;"-"&amp;AB$2,"")&amp;IF(N(AC3)&gt;0,", "&amp;A3&amp;"-"&amp;AC$2,"")&amp;IF(N(AD3)&gt;0,", "&amp;A3&amp;"-"&amp;AD$2,"")&amp;IF(N(AE3)&gt;0,", "&amp;A3&amp;"-"&amp;AE$2,"")&amp;IF(N(AF3)&gt;0,", "&amp;A3&amp;"-"&amp;AF$2,"")&amp;IF(N(AG3)&gt;0,", "&amp;A3&amp;"-"&amp;AG$2,"")&amp;IF(N(AH3)&gt;0,", "&amp;A3&amp;"-"&amp;AH$2,"")&amp;IF(N(AI3)&gt;0,", "&amp;A3&amp;"-"&amp;AI$2,"")&amp;IF(N(AJ3)&gt;0,", "&amp;A3&amp;"-"&amp;AJ$2,""),3,999))</f>
        <v>AKO-KR-001-NATURAL</v>
      </c>
      <c r="AN3" s="81" t="n">
        <v>1</v>
      </c>
      <c r="AO3" s="88"/>
      <c r="AP3" s="89" t="str">
        <f aca="false">IF(AO3="","",ROUND(AO3/(1+Справочники!$B$13),2))</f>
        <v/>
      </c>
      <c r="AQ3" s="90" t="str">
        <f aca="false" t="array" ref="AQ3:AQ3">IF(AP3="","",AP3*INDEX(Справочники!$B$4:$B$7,MATCH("RUB",Справочники!$A$4:$A$7,0)))</f>
        <v/>
      </c>
      <c r="AR3" s="90" t="str">
        <f aca="false">IF(AQ3="","",ROUND(AQ3*(1+Справочники!$B$12),0))</f>
        <v/>
      </c>
      <c r="AS3" s="90" t="str">
        <f aca="false">IF(AR3="","",ROUND(AR3*(1-Справочники!$B$11),0))</f>
        <v/>
      </c>
      <c r="AT3" s="93" t="n">
        <f aca="false">IF(BH3="","",IF(AS3="",ROUNDUP(BH3/(1-Справочники!$B$23)*(1+Справочники!$B$12),-1),MAX(AS3,ROUNDUP(BH3/(1-Справочники!$B$24)*(1+Справочники!$B$12),-1))))</f>
        <v>6430</v>
      </c>
      <c r="AU3" s="90" t="n">
        <f aca="false">IF(AT3="","",ROUND(AT3/(1+Справочники!$B$12),0))</f>
        <v>5543</v>
      </c>
      <c r="AV3" s="90" t="n">
        <f aca="false">IF(AT3="","",ROUND(AT3*(1-Справочники!$B$15),0))</f>
        <v>6237</v>
      </c>
      <c r="AW3" s="90" t="n">
        <f aca="false">IF(AT3="","",ROUND(AT3*(1-Справочники!$B$16),0))</f>
        <v>6044</v>
      </c>
      <c r="AX3" s="90" t="n">
        <f aca="false">IF(AT3="","",ROUND(AT3*(1-Справочники!$B$17),0))</f>
        <v>5851</v>
      </c>
      <c r="AY3" s="90" t="n">
        <f aca="false">IF(AT3="","",ROUND(AT3*(1-Справочники!$B$18),0))</f>
        <v>5658</v>
      </c>
      <c r="AZ3" s="90" t="n">
        <f aca="false">IF(AT3="","",ROUND(AT3*(1-Справочники!$B$19),0))</f>
        <v>5466</v>
      </c>
      <c r="BA3" s="81"/>
      <c r="BB3" s="81" t="s">
        <v>147</v>
      </c>
      <c r="BC3" s="81" t="s">
        <v>221</v>
      </c>
      <c r="BD3" s="81"/>
      <c r="BE3" s="91" t="n">
        <v>33</v>
      </c>
      <c r="BF3" s="81" t="s">
        <v>103</v>
      </c>
      <c r="BG3" s="89" t="n">
        <f aca="false" t="array" ref="BG3:BG3">IF(BF3="","",IFERROR(INDEX(Справочники!$B$4:$B$7,MATCH(BF3,Справочники!$A$4:$A$7,0)),""))</f>
        <v>68.5</v>
      </c>
      <c r="BH3" s="90" t="n">
        <f aca="false">IF(N(BN3)&gt;0,ROUND(SUMIF(ЗАКАЗЫ!$F$3:$F$500,$A3,ЗАКАЗЫ!$Y$3:$Y$500)/BN3,0),IF(OR(BE3="",BG3=""),"",ROUND(BE3*BG3*(1+Справочники!$B$10),0)))</f>
        <v>2769</v>
      </c>
      <c r="BI3" s="92" t="n">
        <f aca="false">IF(OR(AU3="",BH3="",AU3=0),"",(AU3-BH3)/AU3)</f>
        <v>0.500451019303626</v>
      </c>
      <c r="BJ3" s="81" t="n">
        <v>12</v>
      </c>
      <c r="BK3" s="83"/>
      <c r="BL3" s="43" t="str">
        <f aca="false">IFERROR(INDEX(ЗАКАЗЫ!$N$3:$N$500,MATCH($A3,ЗАКАЗЫ!$F$3:$F$500,0)),"")</f>
        <v>7326 90 980 7</v>
      </c>
      <c r="BM3" s="8" t="n">
        <f aca="false">IF(BL3="","",IFERROR(VLOOKUP(BL3,'ТН ВЭД'!$A$4:$C$40,3,0),""))</f>
        <v>0.075</v>
      </c>
      <c r="BN3" s="7" t="n">
        <f aca="false">IF(COUNTIF(ЗАКАЗЫ!$F$3:$F$500,$A3)=0,"",SUMIF(ЗАКАЗЫ!$F$3:$F$500,$A3,ЗАКАЗЫ!$J$3:$J$500))</f>
        <v>10</v>
      </c>
      <c r="BO3" s="7" t="n">
        <f aca="false">IF(BN3="","",SUMIF(ЗАКАЗЫ!$F$3:$F$500,$A3,ЗАКАЗЫ!$AL$3:$AL$500))</f>
        <v>0</v>
      </c>
      <c r="BP3" s="7" t="n">
        <f aca="false">IF(BN3="","",BN3-BO3)</f>
        <v>10</v>
      </c>
      <c r="BQ3" s="55" t="str">
        <f aca="false">IF(BN3="","",IF(BO3&gt;=BN3,"На складе",IF(BO3&gt;0,"Частично","Ждём")))</f>
        <v>Ждём</v>
      </c>
      <c r="BR3" s="43" t="s">
        <v>2507</v>
      </c>
      <c r="BS3" s="47" t="n">
        <f aca="false">IF(BN3="","",IF(_xlfn.MAXIFS(ЗАКАЗЫ!$AK$3:$AK$500,ЗАКАЗЫ!$F$3:$F$500,$A3)=0,"",_xlfn.MAXIFS(ЗАКАЗЫ!$AK$3:$AK$500,ЗАКАЗЫ!$F$3:$F$500,$A3)))</f>
        <v>46323</v>
      </c>
    </row>
    <row r="4" customFormat="false" ht="79.5" hidden="false" customHeight="true" outlineLevel="0" collapsed="false">
      <c r="A4" s="80" t="s">
        <v>236</v>
      </c>
      <c r="B4" s="81" t="s">
        <v>841</v>
      </c>
      <c r="C4" s="81"/>
      <c r="D4" s="81"/>
      <c r="E4" s="83" t="s">
        <v>2508</v>
      </c>
      <c r="F4" s="81" t="s">
        <v>2502</v>
      </c>
      <c r="G4" s="83" t="s">
        <v>2509</v>
      </c>
      <c r="H4" s="83" t="s">
        <v>2510</v>
      </c>
      <c r="I4" s="84" t="str">
        <f aca="false">IF(E4="","",A4&amp;"_1.jpg")</f>
        <v>AKO-KR-002_1.jpg</v>
      </c>
      <c r="J4" s="84" t="str">
        <f aca="false">IF(E4="","",A4&amp;"_2.jpg; "&amp;A4&amp;"_3.jpg")</f>
        <v>AKO-KR-002_2.jpg; AKO-KR-002_3.jpg</v>
      </c>
      <c r="K4" s="84" t="str">
        <f aca="false">IF(E4="","",A4&amp;"_schema.jpg")</f>
        <v>AKO-KR-002_schema.jpg</v>
      </c>
      <c r="L4" s="81" t="s">
        <v>150</v>
      </c>
      <c r="M4" s="81"/>
      <c r="N4" s="81" t="s">
        <v>1141</v>
      </c>
      <c r="O4" s="81" t="s">
        <v>2505</v>
      </c>
      <c r="P4" s="81"/>
      <c r="Q4" s="81"/>
      <c r="R4" s="81"/>
      <c r="S4" s="81"/>
      <c r="T4" s="81" t="s">
        <v>2506</v>
      </c>
      <c r="U4" s="81"/>
      <c r="V4" s="81" t="s">
        <v>96</v>
      </c>
      <c r="W4" s="81"/>
      <c r="X4" s="81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 t="n">
        <v>10</v>
      </c>
      <c r="AJ4" s="85"/>
      <c r="AK4" s="86" t="n">
        <f aca="false">IF(SUM(Y4:AJ4)=0,"",SUM(Y4:AJ4))</f>
        <v>10</v>
      </c>
      <c r="AL4" s="84" t="str">
        <f aca="false">MID(IF(N(Y4)&gt;0,", "&amp;Y$2,"")&amp;IF(N(Z4)&gt;0,", "&amp;Z$2,"")&amp;IF(N(AA4)&gt;0,", "&amp;AA$2,"")&amp;IF(N(AB4)&gt;0,", "&amp;AB$2,"")&amp;IF(N(AC4)&gt;0,", "&amp;AC$2,"")&amp;IF(N(AD4)&gt;0,", "&amp;AD$2,"")&amp;IF(N(AE4)&gt;0,", "&amp;AE$2,"")&amp;IF(N(AF4)&gt;0,", "&amp;AF$2,"")&amp;IF(N(AG4)&gt;0,", "&amp;AG$2,"")&amp;IF(N(AH4)&gt;0,", "&amp;AH$2,"")&amp;IF(N(AI4)&gt;0,", "&amp;AI$2,"")&amp;IF(N(AJ4)&gt;0,", "&amp;AJ$2,""),3,999)</f>
        <v>NATURAL</v>
      </c>
      <c r="AM4" s="87" t="str">
        <f aca="false">IF(E4="","",MID(IF(N(Y4)&gt;0,", "&amp;A4&amp;"-"&amp;Y$2,"")&amp;IF(N(Z4)&gt;0,", "&amp;A4&amp;"-"&amp;Z$2,"")&amp;IF(N(AA4)&gt;0,", "&amp;A4&amp;"-"&amp;AA$2,"")&amp;IF(N(AB4)&gt;0,", "&amp;A4&amp;"-"&amp;AB$2,"")&amp;IF(N(AC4)&gt;0,", "&amp;A4&amp;"-"&amp;AC$2,"")&amp;IF(N(AD4)&gt;0,", "&amp;A4&amp;"-"&amp;AD$2,"")&amp;IF(N(AE4)&gt;0,", "&amp;A4&amp;"-"&amp;AE$2,"")&amp;IF(N(AF4)&gt;0,", "&amp;A4&amp;"-"&amp;AF$2,"")&amp;IF(N(AG4)&gt;0,", "&amp;A4&amp;"-"&amp;AG$2,"")&amp;IF(N(AH4)&gt;0,", "&amp;A4&amp;"-"&amp;AH$2,"")&amp;IF(N(AI4)&gt;0,", "&amp;A4&amp;"-"&amp;AI$2,"")&amp;IF(N(AJ4)&gt;0,", "&amp;A4&amp;"-"&amp;AJ$2,""),3,999))</f>
        <v>AKO-KR-002-NATURAL</v>
      </c>
      <c r="AN4" s="81" t="n">
        <v>1</v>
      </c>
      <c r="AO4" s="88"/>
      <c r="AP4" s="89" t="str">
        <f aca="false">IF(AO4="","",ROUND(AO4/(1+Справочники!$B$13),2))</f>
        <v/>
      </c>
      <c r="AQ4" s="90" t="str">
        <f aca="false" t="array" ref="AQ4:AQ4">IF(AP4="","",AP4*INDEX(Справочники!$B$4:$B$7,MATCH("RUB",Справочники!$A$4:$A$7,0)))</f>
        <v/>
      </c>
      <c r="AR4" s="90" t="str">
        <f aca="false">IF(AQ4="","",ROUND(AQ4*(1+Справочники!$B$12),0))</f>
        <v/>
      </c>
      <c r="AS4" s="90" t="str">
        <f aca="false">IF(AR4="","",ROUND(AR4*(1-Справочники!$B$11),0))</f>
        <v/>
      </c>
      <c r="AT4" s="93" t="n">
        <f aca="false">IF(BH4="","",IF(AS4="",ROUNDUP(BH4/(1-Справочники!$B$23)*(1+Справочники!$B$12),-1),MAX(AS4,ROUNDUP(BH4/(1-Справочники!$B$24)*(1+Справочники!$B$12),-1))))</f>
        <v>19080</v>
      </c>
      <c r="AU4" s="90" t="n">
        <f aca="false">IF(AT4="","",ROUND(AT4/(1+Справочники!$B$12),0))</f>
        <v>16448</v>
      </c>
      <c r="AV4" s="90" t="n">
        <f aca="false">IF(AT4="","",ROUND(AT4*(1-Справочники!$B$15),0))</f>
        <v>18508</v>
      </c>
      <c r="AW4" s="90" t="n">
        <f aca="false">IF(AT4="","",ROUND(AT4*(1-Справочники!$B$16),0))</f>
        <v>17935</v>
      </c>
      <c r="AX4" s="90" t="n">
        <f aca="false">IF(AT4="","",ROUND(AT4*(1-Справочники!$B$17),0))</f>
        <v>17363</v>
      </c>
      <c r="AY4" s="90" t="n">
        <f aca="false">IF(AT4="","",ROUND(AT4*(1-Справочники!$B$18),0))</f>
        <v>16790</v>
      </c>
      <c r="AZ4" s="90" t="n">
        <f aca="false">IF(AT4="","",ROUND(AT4*(1-Справочники!$B$19),0))</f>
        <v>16218</v>
      </c>
      <c r="BA4" s="81"/>
      <c r="BB4" s="81" t="s">
        <v>147</v>
      </c>
      <c r="BC4" s="81" t="s">
        <v>237</v>
      </c>
      <c r="BD4" s="81"/>
      <c r="BE4" s="91" t="n">
        <v>98</v>
      </c>
      <c r="BF4" s="81" t="s">
        <v>103</v>
      </c>
      <c r="BG4" s="89" t="n">
        <f aca="false" t="array" ref="BG4:BG4">IF(BF4="","",IFERROR(INDEX(Справочники!$B$4:$B$7,MATCH(BF4,Справочники!$A$4:$A$7,0)),""))</f>
        <v>68.5</v>
      </c>
      <c r="BH4" s="90" t="n">
        <f aca="false">IF(N(BN4)&gt;0,ROUND(SUMIF(ЗАКАЗЫ!$F$3:$F$500,$A4,ЗАКАЗЫ!$Y$3:$Y$500)/BN4,0),IF(OR(BE4="",BG4=""),"",ROUND(BE4*BG4*(1+Справочники!$B$10),0)))</f>
        <v>8223</v>
      </c>
      <c r="BI4" s="92" t="n">
        <f aca="false">IF(OR(AU4="",BH4="",AU4=0),"",(AU4-BH4)/AU4)</f>
        <v>0.50006079766537</v>
      </c>
      <c r="BJ4" s="81" t="n">
        <v>12</v>
      </c>
      <c r="BK4" s="83"/>
      <c r="BL4" s="43" t="str">
        <f aca="false">IFERROR(INDEX(ЗАКАЗЫ!$N$3:$N$500,MATCH($A4,ЗАКАЗЫ!$F$3:$F$500,0)),"")</f>
        <v>7326 90 980 7</v>
      </c>
      <c r="BM4" s="8" t="n">
        <f aca="false">IF(BL4="","",IFERROR(VLOOKUP(BL4,'ТН ВЭД'!$A$4:$C$40,3,0),""))</f>
        <v>0.075</v>
      </c>
      <c r="BN4" s="7" t="n">
        <f aca="false">IF(COUNTIF(ЗАКАЗЫ!$F$3:$F$500,$A4)=0,"",SUMIF(ЗАКАЗЫ!$F$3:$F$500,$A4,ЗАКАЗЫ!$J$3:$J$500))</f>
        <v>10</v>
      </c>
      <c r="BO4" s="7" t="n">
        <f aca="false">IF(BN4="","",SUMIF(ЗАКАЗЫ!$F$3:$F$500,$A4,ЗАКАЗЫ!$AL$3:$AL$500))</f>
        <v>0</v>
      </c>
      <c r="BP4" s="7" t="n">
        <f aca="false">IF(BN4="","",BN4-BO4)</f>
        <v>10</v>
      </c>
      <c r="BQ4" s="55" t="str">
        <f aca="false">IF(BN4="","",IF(BO4&gt;=BN4,"На складе",IF(BO4&gt;0,"Частично","Ждём")))</f>
        <v>Ждём</v>
      </c>
      <c r="BR4" s="43" t="s">
        <v>2511</v>
      </c>
      <c r="BS4" s="47" t="n">
        <f aca="false">IF(BN4="","",IF(_xlfn.MAXIFS(ЗАКАЗЫ!$AK$3:$AK$500,ЗАКАЗЫ!$F$3:$F$500,$A4)=0,"",_xlfn.MAXIFS(ЗАКАЗЫ!$AK$3:$AK$500,ЗАКАЗЫ!$F$3:$F$500,$A4)))</f>
        <v>46323</v>
      </c>
    </row>
    <row r="5" customFormat="false" ht="79.5" hidden="false" customHeight="true" outlineLevel="0" collapsed="false">
      <c r="A5" s="80" t="s">
        <v>379</v>
      </c>
      <c r="B5" s="81" t="s">
        <v>841</v>
      </c>
      <c r="C5" s="81"/>
      <c r="D5" s="81"/>
      <c r="E5" s="83" t="s">
        <v>2512</v>
      </c>
      <c r="F5" s="81" t="s">
        <v>2513</v>
      </c>
      <c r="G5" s="83" t="s">
        <v>2514</v>
      </c>
      <c r="H5" s="83" t="s">
        <v>2515</v>
      </c>
      <c r="I5" s="84" t="str">
        <f aca="false">IF(E5="","",A5&amp;"_1.jpg")</f>
        <v>AKO-KR-003_1.jpg</v>
      </c>
      <c r="J5" s="84" t="str">
        <f aca="false">IF(E5="","",A5&amp;"_2.jpg; "&amp;A5&amp;"_3.jpg")</f>
        <v>AKO-KR-003_2.jpg; AKO-KR-003_3.jpg</v>
      </c>
      <c r="K5" s="84" t="str">
        <f aca="false">IF(E5="","",A5&amp;"_schema.jpg")</f>
        <v>AKO-KR-003_schema.jpg</v>
      </c>
      <c r="L5" s="81" t="s">
        <v>150</v>
      </c>
      <c r="M5" s="81"/>
      <c r="N5" s="81" t="s">
        <v>1181</v>
      </c>
      <c r="O5" s="81" t="s">
        <v>2516</v>
      </c>
      <c r="P5" s="81"/>
      <c r="Q5" s="81" t="s">
        <v>2517</v>
      </c>
      <c r="R5" s="81"/>
      <c r="S5" s="81"/>
      <c r="T5" s="81" t="s">
        <v>2518</v>
      </c>
      <c r="U5" s="81"/>
      <c r="V5" s="81" t="s">
        <v>96</v>
      </c>
      <c r="W5" s="81"/>
      <c r="X5" s="81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 t="n">
        <v>400</v>
      </c>
      <c r="AJ5" s="85"/>
      <c r="AK5" s="86" t="n">
        <f aca="false">IF(SUM(Y5:AJ5)=0,"",SUM(Y5:AJ5))</f>
        <v>400</v>
      </c>
      <c r="AL5" s="84" t="str">
        <f aca="false">MID(IF(N(Y5)&gt;0,", "&amp;Y$2,"")&amp;IF(N(Z5)&gt;0,", "&amp;Z$2,"")&amp;IF(N(AA5)&gt;0,", "&amp;AA$2,"")&amp;IF(N(AB5)&gt;0,", "&amp;AB$2,"")&amp;IF(N(AC5)&gt;0,", "&amp;AC$2,"")&amp;IF(N(AD5)&gt;0,", "&amp;AD$2,"")&amp;IF(N(AE5)&gt;0,", "&amp;AE$2,"")&amp;IF(N(AF5)&gt;0,", "&amp;AF$2,"")&amp;IF(N(AG5)&gt;0,", "&amp;AG$2,"")&amp;IF(N(AH5)&gt;0,", "&amp;AH$2,"")&amp;IF(N(AI5)&gt;0,", "&amp;AI$2,"")&amp;IF(N(AJ5)&gt;0,", "&amp;AJ$2,""),3,999)</f>
        <v>NATURAL</v>
      </c>
      <c r="AM5" s="87" t="str">
        <f aca="false">IF(E5="","",MID(IF(N(Y5)&gt;0,", "&amp;A5&amp;"-"&amp;Y$2,"")&amp;IF(N(Z5)&gt;0,", "&amp;A5&amp;"-"&amp;Z$2,"")&amp;IF(N(AA5)&gt;0,", "&amp;A5&amp;"-"&amp;AA$2,"")&amp;IF(N(AB5)&gt;0,", "&amp;A5&amp;"-"&amp;AB$2,"")&amp;IF(N(AC5)&gt;0,", "&amp;A5&amp;"-"&amp;AC$2,"")&amp;IF(N(AD5)&gt;0,", "&amp;A5&amp;"-"&amp;AD$2,"")&amp;IF(N(AE5)&gt;0,", "&amp;A5&amp;"-"&amp;AE$2,"")&amp;IF(N(AF5)&gt;0,", "&amp;A5&amp;"-"&amp;AF$2,"")&amp;IF(N(AG5)&gt;0,", "&amp;A5&amp;"-"&amp;AG$2,"")&amp;IF(N(AH5)&gt;0,", "&amp;A5&amp;"-"&amp;AH$2,"")&amp;IF(N(AI5)&gt;0,", "&amp;A5&amp;"-"&amp;AI$2,"")&amp;IF(N(AJ5)&gt;0,", "&amp;A5&amp;"-"&amp;AJ$2,""),3,999))</f>
        <v>AKO-KR-003-NATURAL</v>
      </c>
      <c r="AN5" s="81" t="n">
        <v>1</v>
      </c>
      <c r="AO5" s="88" t="n">
        <v>735</v>
      </c>
      <c r="AP5" s="89" t="n">
        <f aca="false">IF(AO5="","",ROUND(AO5/(1+Справочники!$B$13),2))</f>
        <v>735</v>
      </c>
      <c r="AQ5" s="90" t="n">
        <f aca="false" t="array" ref="AQ5:AQ5">IF(AP5="","",AP5*INDEX(Справочники!$B$4:$B$7,MATCH("RUB",Справочники!$A$4:$A$7,0)))</f>
        <v>3895.5</v>
      </c>
      <c r="AR5" s="90" t="n">
        <f aca="false">IF(AQ5="","",ROUND(AQ5*(1+Справочники!$B$12),0))</f>
        <v>4519</v>
      </c>
      <c r="AS5" s="90" t="n">
        <f aca="false">IF(AR5="","",ROUND(AR5*(1-Справочники!$B$11),0))</f>
        <v>4157</v>
      </c>
      <c r="AT5" s="93" t="n">
        <f aca="false">IF(BH5="","",IF(AS5="",ROUNDUP(BH5/(1-Справочники!$B$23)*(1+Справочники!$B$12),-1),MAX(AS5,ROUNDUP(BH5/(1-Справочники!$B$24)*(1+Справочники!$B$12),-1))))</f>
        <v>4157</v>
      </c>
      <c r="AU5" s="90" t="n">
        <f aca="false">IF(AT5="","",ROUND(AT5/(1+Справочники!$B$12),0))</f>
        <v>3584</v>
      </c>
      <c r="AV5" s="90" t="n">
        <f aca="false">IF(AT5="","",ROUND(AT5*(1-Справочники!$B$15),0))</f>
        <v>4032</v>
      </c>
      <c r="AW5" s="90" t="n">
        <f aca="false">IF(AT5="","",ROUND(AT5*(1-Справочники!$B$16),0))</f>
        <v>3908</v>
      </c>
      <c r="AX5" s="90" t="n">
        <f aca="false">IF(AT5="","",ROUND(AT5*(1-Справочники!$B$17),0))</f>
        <v>3783</v>
      </c>
      <c r="AY5" s="90" t="n">
        <f aca="false">IF(AT5="","",ROUND(AT5*(1-Справочники!$B$18),0))</f>
        <v>3658</v>
      </c>
      <c r="AZ5" s="90" t="n">
        <f aca="false">IF(AT5="","",ROUND(AT5*(1-Справочники!$B$19),0))</f>
        <v>3533</v>
      </c>
      <c r="BA5" s="81"/>
      <c r="BB5" s="81" t="s">
        <v>100</v>
      </c>
      <c r="BC5" s="81" t="s">
        <v>380</v>
      </c>
      <c r="BD5" s="81"/>
      <c r="BE5" s="91" t="n">
        <v>13.51</v>
      </c>
      <c r="BF5" s="81" t="s">
        <v>103</v>
      </c>
      <c r="BG5" s="89" t="n">
        <f aca="false" t="array" ref="BG5:BG5">IF(BF5="","",IFERROR(INDEX(Справочники!$B$4:$B$7,MATCH(BF5,Справочники!$A$4:$A$7,0)),""))</f>
        <v>68.5</v>
      </c>
      <c r="BH5" s="90" t="n">
        <f aca="false">IF(N(BN5)&gt;0,ROUND(SUMIF(ЗАКАЗЫ!$F$3:$F$500,$A5,ЗАКАЗЫ!$Y$3:$Y$500)/BN5,0),IF(OR(BE5="",BG5=""),"",ROUND(BE5*BG5*(1+Справочники!$B$10),0)))</f>
        <v>1134</v>
      </c>
      <c r="BI5" s="92" t="n">
        <f aca="false">IF(OR(AU5="",BH5="",AU5=0),"",(AU5-BH5)/AU5)</f>
        <v>0.68359375</v>
      </c>
      <c r="BJ5" s="81"/>
      <c r="BK5" s="83"/>
      <c r="BL5" s="43" t="str">
        <f aca="false">IFERROR(INDEX(ЗАКАЗЫ!$N$3:$N$500,MATCH($A5,ЗАКАЗЫ!$F$3:$F$500,0)),"")</f>
        <v>7326 90 980 7</v>
      </c>
      <c r="BM5" s="8" t="n">
        <f aca="false">IF(BL5="","",IFERROR(VLOOKUP(BL5,'ТН ВЭД'!$A$4:$C$40,3,0),""))</f>
        <v>0.075</v>
      </c>
      <c r="BN5" s="7" t="n">
        <f aca="false">IF(COUNTIF(ЗАКАЗЫ!$F$3:$F$500,$A5)=0,"",SUMIF(ЗАКАЗЫ!$F$3:$F$500,$A5,ЗАКАЗЫ!$J$3:$J$500))</f>
        <v>400</v>
      </c>
      <c r="BO5" s="7" t="n">
        <f aca="false">IF(BN5="","",SUMIF(ЗАКАЗЫ!$F$3:$F$500,$A5,ЗАКАЗЫ!$AL$3:$AL$500))</f>
        <v>0</v>
      </c>
      <c r="BP5" s="7" t="n">
        <f aca="false">IF(BN5="","",BN5-BO5)</f>
        <v>400</v>
      </c>
      <c r="BQ5" s="55" t="str">
        <f aca="false">IF(BN5="","",IF(BO5&gt;=BN5,"На складе",IF(BO5&gt;0,"Частично","Ждём")))</f>
        <v>Ждём</v>
      </c>
      <c r="BR5" s="43" t="s">
        <v>2519</v>
      </c>
      <c r="BS5" s="47" t="str">
        <f aca="false">IF(BN5="","",IF(_xlfn.MAXIFS(ЗАКАЗЫ!$AK$3:$AK$500,ЗАКАЗЫ!$F$3:$F$500,$A5)=0,"",_xlfn.MAXIFS(ЗАКАЗЫ!$AK$3:$AK$500,ЗАКАЗЫ!$F$3:$F$500,$A5)))</f>
        <v/>
      </c>
    </row>
    <row r="6" customFormat="false" ht="79.5" hidden="false" customHeight="true" outlineLevel="0" collapsed="false">
      <c r="A6" s="80" t="s">
        <v>381</v>
      </c>
      <c r="B6" s="81" t="s">
        <v>841</v>
      </c>
      <c r="C6" s="81"/>
      <c r="D6" s="81"/>
      <c r="E6" s="83" t="s">
        <v>2520</v>
      </c>
      <c r="F6" s="81" t="s">
        <v>2521</v>
      </c>
      <c r="G6" s="83" t="s">
        <v>2522</v>
      </c>
      <c r="H6" s="83" t="s">
        <v>2523</v>
      </c>
      <c r="I6" s="84" t="str">
        <f aca="false">IF(E6="","",A6&amp;"_1.jpg")</f>
        <v>AKO-KR-004_1.jpg</v>
      </c>
      <c r="J6" s="84" t="str">
        <f aca="false">IF(E6="","",A6&amp;"_2.jpg; "&amp;A6&amp;"_3.jpg")</f>
        <v>AKO-KR-004_2.jpg; AKO-KR-004_3.jpg</v>
      </c>
      <c r="K6" s="84" t="str">
        <f aca="false">IF(E6="","",A6&amp;"_schema.jpg")</f>
        <v>AKO-KR-004_schema.jpg</v>
      </c>
      <c r="L6" s="81" t="s">
        <v>150</v>
      </c>
      <c r="M6" s="81"/>
      <c r="N6" s="81" t="s">
        <v>1181</v>
      </c>
      <c r="O6" s="81" t="s">
        <v>2524</v>
      </c>
      <c r="P6" s="81"/>
      <c r="Q6" s="81"/>
      <c r="R6" s="81"/>
      <c r="S6" s="81"/>
      <c r="T6" s="81" t="s">
        <v>2525</v>
      </c>
      <c r="U6" s="81"/>
      <c r="V6" s="81" t="s">
        <v>96</v>
      </c>
      <c r="W6" s="81"/>
      <c r="X6" s="81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 t="n">
        <v>100</v>
      </c>
      <c r="AJ6" s="85"/>
      <c r="AK6" s="86" t="n">
        <f aca="false">IF(SUM(Y6:AJ6)=0,"",SUM(Y6:AJ6))</f>
        <v>100</v>
      </c>
      <c r="AL6" s="84" t="str">
        <f aca="false">MID(IF(N(Y6)&gt;0,", "&amp;Y$2,"")&amp;IF(N(Z6)&gt;0,", "&amp;Z$2,"")&amp;IF(N(AA6)&gt;0,", "&amp;AA$2,"")&amp;IF(N(AB6)&gt;0,", "&amp;AB$2,"")&amp;IF(N(AC6)&gt;0,", "&amp;AC$2,"")&amp;IF(N(AD6)&gt;0,", "&amp;AD$2,"")&amp;IF(N(AE6)&gt;0,", "&amp;AE$2,"")&amp;IF(N(AF6)&gt;0,", "&amp;AF$2,"")&amp;IF(N(AG6)&gt;0,", "&amp;AG$2,"")&amp;IF(N(AH6)&gt;0,", "&amp;AH$2,"")&amp;IF(N(AI6)&gt;0,", "&amp;AI$2,"")&amp;IF(N(AJ6)&gt;0,", "&amp;AJ$2,""),3,999)</f>
        <v>NATURAL</v>
      </c>
      <c r="AM6" s="87" t="str">
        <f aca="false">IF(E6="","",MID(IF(N(Y6)&gt;0,", "&amp;A6&amp;"-"&amp;Y$2,"")&amp;IF(N(Z6)&gt;0,", "&amp;A6&amp;"-"&amp;Z$2,"")&amp;IF(N(AA6)&gt;0,", "&amp;A6&amp;"-"&amp;AA$2,"")&amp;IF(N(AB6)&gt;0,", "&amp;A6&amp;"-"&amp;AB$2,"")&amp;IF(N(AC6)&gt;0,", "&amp;A6&amp;"-"&amp;AC$2,"")&amp;IF(N(AD6)&gt;0,", "&amp;A6&amp;"-"&amp;AD$2,"")&amp;IF(N(AE6)&gt;0,", "&amp;A6&amp;"-"&amp;AE$2,"")&amp;IF(N(AF6)&gt;0,", "&amp;A6&amp;"-"&amp;AF$2,"")&amp;IF(N(AG6)&gt;0,", "&amp;A6&amp;"-"&amp;AG$2,"")&amp;IF(N(AH6)&gt;0,", "&amp;A6&amp;"-"&amp;AH$2,"")&amp;IF(N(AI6)&gt;0,", "&amp;A6&amp;"-"&amp;AI$2,"")&amp;IF(N(AJ6)&gt;0,", "&amp;A6&amp;"-"&amp;AJ$2,""),3,999))</f>
        <v>AKO-KR-004-NATURAL</v>
      </c>
      <c r="AN6" s="81" t="n">
        <v>1</v>
      </c>
      <c r="AO6" s="88" t="n">
        <v>2550</v>
      </c>
      <c r="AP6" s="89" t="n">
        <f aca="false">IF(AO6="","",ROUND(AO6/(1+Справочники!$B$13),2))</f>
        <v>2550</v>
      </c>
      <c r="AQ6" s="90" t="n">
        <f aca="false" t="array" ref="AQ6:AQ6">IF(AP6="","",AP6*INDEX(Справочники!$B$4:$B$7,MATCH("RUB",Справочники!$A$4:$A$7,0)))</f>
        <v>13515</v>
      </c>
      <c r="AR6" s="90" t="n">
        <f aca="false">IF(AQ6="","",ROUND(AQ6*(1+Справочники!$B$12),0))</f>
        <v>15677</v>
      </c>
      <c r="AS6" s="90" t="n">
        <f aca="false">IF(AR6="","",ROUND(AR6*(1-Справочники!$B$11),0))</f>
        <v>14423</v>
      </c>
      <c r="AT6" s="93" t="n">
        <f aca="false">IF(BH6="","",IF(AS6="",ROUNDUP(BH6/(1-Справочники!$B$23)*(1+Справочники!$B$12),-1),MAX(AS6,ROUNDUP(BH6/(1-Справочники!$B$24)*(1+Справочники!$B$12),-1))))</f>
        <v>14423</v>
      </c>
      <c r="AU6" s="90" t="n">
        <f aca="false">IF(AT6="","",ROUND(AT6/(1+Справочники!$B$12),0))</f>
        <v>12434</v>
      </c>
      <c r="AV6" s="90" t="n">
        <f aca="false">IF(AT6="","",ROUND(AT6*(1-Справочники!$B$15),0))</f>
        <v>13990</v>
      </c>
      <c r="AW6" s="90" t="n">
        <f aca="false">IF(AT6="","",ROUND(AT6*(1-Справочники!$B$16),0))</f>
        <v>13558</v>
      </c>
      <c r="AX6" s="90" t="n">
        <f aca="false">IF(AT6="","",ROUND(AT6*(1-Справочники!$B$17),0))</f>
        <v>13125</v>
      </c>
      <c r="AY6" s="90" t="n">
        <f aca="false">IF(AT6="","",ROUND(AT6*(1-Справочники!$B$18),0))</f>
        <v>12692</v>
      </c>
      <c r="AZ6" s="90" t="n">
        <f aca="false">IF(AT6="","",ROUND(AT6*(1-Справочники!$B$19),0))</f>
        <v>12260</v>
      </c>
      <c r="BA6" s="81"/>
      <c r="BB6" s="81" t="s">
        <v>100</v>
      </c>
      <c r="BC6" s="81" t="s">
        <v>382</v>
      </c>
      <c r="BD6" s="81"/>
      <c r="BE6" s="91" t="n">
        <v>22.8</v>
      </c>
      <c r="BF6" s="81" t="s">
        <v>103</v>
      </c>
      <c r="BG6" s="89" t="n">
        <f aca="false" t="array" ref="BG6:BG6">IF(BF6="","",IFERROR(INDEX(Справочники!$B$4:$B$7,MATCH(BF6,Справочники!$A$4:$A$7,0)),""))</f>
        <v>68.5</v>
      </c>
      <c r="BH6" s="90" t="n">
        <f aca="false">IF(N(BN6)&gt;0,ROUND(SUMIF(ЗАКАЗЫ!$F$3:$F$500,$A6,ЗАКАЗЫ!$Y$3:$Y$500)/BN6,0),IF(OR(BE6="",BG6=""),"",ROUND(BE6*BG6*(1+Справочники!$B$10),0)))</f>
        <v>1913</v>
      </c>
      <c r="BI6" s="92" t="n">
        <f aca="false">IF(OR(AU6="",BH6="",AU6=0),"",(AU6-BH6)/AU6)</f>
        <v>0.846147659642915</v>
      </c>
      <c r="BJ6" s="81"/>
      <c r="BK6" s="83"/>
      <c r="BL6" s="43" t="str">
        <f aca="false">IFERROR(INDEX(ЗАКАЗЫ!$N$3:$N$500,MATCH($A6,ЗАКАЗЫ!$F$3:$F$500,0)),"")</f>
        <v>7326 90 980 7</v>
      </c>
      <c r="BM6" s="8" t="n">
        <f aca="false">IF(BL6="","",IFERROR(VLOOKUP(BL6,'ТН ВЭД'!$A$4:$C$40,3,0),""))</f>
        <v>0.075</v>
      </c>
      <c r="BN6" s="7" t="n">
        <f aca="false">IF(COUNTIF(ЗАКАЗЫ!$F$3:$F$500,$A6)=0,"",SUMIF(ЗАКАЗЫ!$F$3:$F$500,$A6,ЗАКАЗЫ!$J$3:$J$500))</f>
        <v>100</v>
      </c>
      <c r="BO6" s="7" t="n">
        <f aca="false">IF(BN6="","",SUMIF(ЗАКАЗЫ!$F$3:$F$500,$A6,ЗАКАЗЫ!$AL$3:$AL$500))</f>
        <v>0</v>
      </c>
      <c r="BP6" s="7" t="n">
        <f aca="false">IF(BN6="","",BN6-BO6)</f>
        <v>100</v>
      </c>
      <c r="BQ6" s="55" t="str">
        <f aca="false">IF(BN6="","",IF(BO6&gt;=BN6,"На складе",IF(BO6&gt;0,"Частично","Ждём")))</f>
        <v>Ждём</v>
      </c>
      <c r="BR6" s="43" t="s">
        <v>2526</v>
      </c>
      <c r="BS6" s="47" t="str">
        <f aca="false">IF(BN6="","",IF(_xlfn.MAXIFS(ЗАКАЗЫ!$AK$3:$AK$500,ЗАКАЗЫ!$F$3:$F$500,$A6)=0,"",_xlfn.MAXIFS(ЗАКАЗЫ!$AK$3:$AK$500,ЗАКАЗЫ!$F$3:$F$500,$A6)))</f>
        <v/>
      </c>
    </row>
    <row r="7" customFormat="false" ht="79.5" hidden="false" customHeight="true" outlineLevel="0" collapsed="false">
      <c r="A7" s="80" t="s">
        <v>384</v>
      </c>
      <c r="B7" s="81" t="s">
        <v>841</v>
      </c>
      <c r="C7" s="81"/>
      <c r="D7" s="81"/>
      <c r="E7" s="83" t="s">
        <v>2527</v>
      </c>
      <c r="F7" s="81" t="s">
        <v>2513</v>
      </c>
      <c r="G7" s="83" t="s">
        <v>2528</v>
      </c>
      <c r="H7" s="83" t="s">
        <v>2529</v>
      </c>
      <c r="I7" s="84" t="str">
        <f aca="false">IF(E7="","",A7&amp;"_1.jpg")</f>
        <v>AKO-KR-005_1.jpg</v>
      </c>
      <c r="J7" s="84" t="str">
        <f aca="false">IF(E7="","",A7&amp;"_2.jpg; "&amp;A7&amp;"_3.jpg")</f>
        <v>AKO-KR-005_2.jpg; AKO-KR-005_3.jpg</v>
      </c>
      <c r="K7" s="84" t="str">
        <f aca="false">IF(E7="","",A7&amp;"_schema.jpg")</f>
        <v>AKO-KR-005_schema.jpg</v>
      </c>
      <c r="L7" s="81" t="s">
        <v>150</v>
      </c>
      <c r="M7" s="81"/>
      <c r="N7" s="81" t="s">
        <v>1181</v>
      </c>
      <c r="O7" s="81" t="s">
        <v>2516</v>
      </c>
      <c r="P7" s="81"/>
      <c r="Q7" s="81" t="s">
        <v>2530</v>
      </c>
      <c r="R7" s="81"/>
      <c r="S7" s="81"/>
      <c r="T7" s="81" t="s">
        <v>2518</v>
      </c>
      <c r="U7" s="81"/>
      <c r="V7" s="81" t="s">
        <v>96</v>
      </c>
      <c r="W7" s="81"/>
      <c r="X7" s="81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 t="n">
        <v>500</v>
      </c>
      <c r="AJ7" s="85"/>
      <c r="AK7" s="86" t="n">
        <f aca="false">IF(SUM(Y7:AJ7)=0,"",SUM(Y7:AJ7))</f>
        <v>500</v>
      </c>
      <c r="AL7" s="84" t="str">
        <f aca="false">MID(IF(N(Y7)&gt;0,", "&amp;Y$2,"")&amp;IF(N(Z7)&gt;0,", "&amp;Z$2,"")&amp;IF(N(AA7)&gt;0,", "&amp;AA$2,"")&amp;IF(N(AB7)&gt;0,", "&amp;AB$2,"")&amp;IF(N(AC7)&gt;0,", "&amp;AC$2,"")&amp;IF(N(AD7)&gt;0,", "&amp;AD$2,"")&amp;IF(N(AE7)&gt;0,", "&amp;AE$2,"")&amp;IF(N(AF7)&gt;0,", "&amp;AF$2,"")&amp;IF(N(AG7)&gt;0,", "&amp;AG$2,"")&amp;IF(N(AH7)&gt;0,", "&amp;AH$2,"")&amp;IF(N(AI7)&gt;0,", "&amp;AI$2,"")&amp;IF(N(AJ7)&gt;0,", "&amp;AJ$2,""),3,999)</f>
        <v>NATURAL</v>
      </c>
      <c r="AM7" s="87" t="str">
        <f aca="false">IF(E7="","",MID(IF(N(Y7)&gt;0,", "&amp;A7&amp;"-"&amp;Y$2,"")&amp;IF(N(Z7)&gt;0,", "&amp;A7&amp;"-"&amp;Z$2,"")&amp;IF(N(AA7)&gt;0,", "&amp;A7&amp;"-"&amp;AA$2,"")&amp;IF(N(AB7)&gt;0,", "&amp;A7&amp;"-"&amp;AB$2,"")&amp;IF(N(AC7)&gt;0,", "&amp;A7&amp;"-"&amp;AC$2,"")&amp;IF(N(AD7)&gt;0,", "&amp;A7&amp;"-"&amp;AD$2,"")&amp;IF(N(AE7)&gt;0,", "&amp;A7&amp;"-"&amp;AE$2,"")&amp;IF(N(AF7)&gt;0,", "&amp;A7&amp;"-"&amp;AF$2,"")&amp;IF(N(AG7)&gt;0,", "&amp;A7&amp;"-"&amp;AG$2,"")&amp;IF(N(AH7)&gt;0,", "&amp;A7&amp;"-"&amp;AH$2,"")&amp;IF(N(AI7)&gt;0,", "&amp;A7&amp;"-"&amp;AI$2,"")&amp;IF(N(AJ7)&gt;0,", "&amp;A7&amp;"-"&amp;AJ$2,""),3,999))</f>
        <v>AKO-KR-005-NATURAL</v>
      </c>
      <c r="AN7" s="81" t="n">
        <v>1</v>
      </c>
      <c r="AO7" s="88" t="n">
        <v>485</v>
      </c>
      <c r="AP7" s="89" t="n">
        <f aca="false">IF(AO7="","",ROUND(AO7/(1+Справочники!$B$13),2))</f>
        <v>485</v>
      </c>
      <c r="AQ7" s="90" t="n">
        <f aca="false" t="array" ref="AQ7:AQ7">IF(AP7="","",AP7*INDEX(Справочники!$B$4:$B$7,MATCH("RUB",Справочники!$A$4:$A$7,0)))</f>
        <v>2570.5</v>
      </c>
      <c r="AR7" s="90" t="n">
        <f aca="false">IF(AQ7="","",ROUND(AQ7*(1+Справочники!$B$12),0))</f>
        <v>2982</v>
      </c>
      <c r="AS7" s="90" t="n">
        <f aca="false">IF(AR7="","",ROUND(AR7*(1-Справочники!$B$11),0))</f>
        <v>2743</v>
      </c>
      <c r="AT7" s="93" t="n">
        <f aca="false">IF(BH7="","",IF(AS7="",ROUNDUP(BH7/(1-Справочники!$B$23)*(1+Справочники!$B$12),-1),MAX(AS7,ROUNDUP(BH7/(1-Справочники!$B$24)*(1+Справочники!$B$12),-1))))</f>
        <v>2743</v>
      </c>
      <c r="AU7" s="90" t="n">
        <f aca="false">IF(AT7="","",ROUND(AT7/(1+Справочники!$B$12),0))</f>
        <v>2365</v>
      </c>
      <c r="AV7" s="90" t="n">
        <f aca="false">IF(AT7="","",ROUND(AT7*(1-Справочники!$B$15),0))</f>
        <v>2661</v>
      </c>
      <c r="AW7" s="90" t="n">
        <f aca="false">IF(AT7="","",ROUND(AT7*(1-Справочники!$B$16),0))</f>
        <v>2578</v>
      </c>
      <c r="AX7" s="90" t="n">
        <f aca="false">IF(AT7="","",ROUND(AT7*(1-Справочники!$B$17),0))</f>
        <v>2496</v>
      </c>
      <c r="AY7" s="90" t="n">
        <f aca="false">IF(AT7="","",ROUND(AT7*(1-Справочники!$B$18),0))</f>
        <v>2414</v>
      </c>
      <c r="AZ7" s="90" t="n">
        <f aca="false">IF(AT7="","",ROUND(AT7*(1-Справочники!$B$19),0))</f>
        <v>2332</v>
      </c>
      <c r="BA7" s="81"/>
      <c r="BB7" s="81" t="s">
        <v>100</v>
      </c>
      <c r="BC7" s="81" t="s">
        <v>385</v>
      </c>
      <c r="BD7" s="81"/>
      <c r="BE7" s="91" t="n">
        <v>4.6</v>
      </c>
      <c r="BF7" s="81" t="s">
        <v>103</v>
      </c>
      <c r="BG7" s="89" t="n">
        <f aca="false" t="array" ref="BG7:BG7">IF(BF7="","",IFERROR(INDEX(Справочники!$B$4:$B$7,MATCH(BF7,Справочники!$A$4:$A$7,0)),""))</f>
        <v>68.5</v>
      </c>
      <c r="BH7" s="90" t="n">
        <f aca="false">IF(N(BN7)&gt;0,ROUND(SUMIF(ЗАКАЗЫ!$F$3:$F$500,$A7,ЗАКАЗЫ!$Y$3:$Y$500)/BN7,0),IF(OR(BE7="",BG7=""),"",ROUND(BE7*BG7*(1+Справочники!$B$10),0)))</f>
        <v>386</v>
      </c>
      <c r="BI7" s="92" t="n">
        <f aca="false">IF(OR(AU7="",BH7="",AU7=0),"",(AU7-BH7)/AU7)</f>
        <v>0.836786469344609</v>
      </c>
      <c r="BJ7" s="81"/>
      <c r="BK7" s="83"/>
      <c r="BL7" s="43" t="str">
        <f aca="false">IFERROR(INDEX(ЗАКАЗЫ!$N$3:$N$500,MATCH($A7,ЗАКАЗЫ!$F$3:$F$500,0)),"")</f>
        <v>7326 90 980 7</v>
      </c>
      <c r="BM7" s="8" t="n">
        <f aca="false">IF(BL7="","",IFERROR(VLOOKUP(BL7,'ТН ВЭД'!$A$4:$C$40,3,0),""))</f>
        <v>0.075</v>
      </c>
      <c r="BN7" s="7" t="n">
        <f aca="false">IF(COUNTIF(ЗАКАЗЫ!$F$3:$F$500,$A7)=0,"",SUMIF(ЗАКАЗЫ!$F$3:$F$500,$A7,ЗАКАЗЫ!$J$3:$J$500))</f>
        <v>500</v>
      </c>
      <c r="BO7" s="7" t="n">
        <f aca="false">IF(BN7="","",SUMIF(ЗАКАЗЫ!$F$3:$F$500,$A7,ЗАКАЗЫ!$AL$3:$AL$500))</f>
        <v>0</v>
      </c>
      <c r="BP7" s="7" t="n">
        <f aca="false">IF(BN7="","",BN7-BO7)</f>
        <v>500</v>
      </c>
      <c r="BQ7" s="55" t="str">
        <f aca="false">IF(BN7="","",IF(BO7&gt;=BN7,"На складе",IF(BO7&gt;0,"Частично","Ждём")))</f>
        <v>Ждём</v>
      </c>
      <c r="BR7" s="43" t="s">
        <v>2531</v>
      </c>
      <c r="BS7" s="47" t="str">
        <f aca="false">IF(BN7="","",IF(_xlfn.MAXIFS(ЗАКАЗЫ!$AK$3:$AK$500,ЗАКАЗЫ!$F$3:$F$500,$A7)=0,"",_xlfn.MAXIFS(ЗАКАЗЫ!$AK$3:$AK$500,ЗАКАЗЫ!$F$3:$F$500,$A7)))</f>
        <v/>
      </c>
    </row>
    <row r="8" customFormat="false" ht="79.5" hidden="false" customHeight="true" outlineLevel="0" collapsed="false">
      <c r="A8" s="80" t="s">
        <v>386</v>
      </c>
      <c r="B8" s="81" t="s">
        <v>841</v>
      </c>
      <c r="C8" s="81"/>
      <c r="D8" s="81"/>
      <c r="E8" s="83" t="s">
        <v>2532</v>
      </c>
      <c r="F8" s="81" t="s">
        <v>2502</v>
      </c>
      <c r="G8" s="83" t="s">
        <v>2533</v>
      </c>
      <c r="H8" s="83" t="s">
        <v>2534</v>
      </c>
      <c r="I8" s="84" t="str">
        <f aca="false">IF(E8="","",A8&amp;"_1.jpg")</f>
        <v>AKO-KR-006_1.jpg</v>
      </c>
      <c r="J8" s="84" t="str">
        <f aca="false">IF(E8="","",A8&amp;"_2.jpg; "&amp;A8&amp;"_3.jpg")</f>
        <v>AKO-KR-006_2.jpg; AKO-KR-006_3.jpg</v>
      </c>
      <c r="K8" s="84" t="str">
        <f aca="false">IF(E8="","",A8&amp;"_schema.jpg")</f>
        <v>AKO-KR-006_schema.jpg</v>
      </c>
      <c r="L8" s="81" t="s">
        <v>150</v>
      </c>
      <c r="M8" s="81"/>
      <c r="N8" s="81" t="s">
        <v>1141</v>
      </c>
      <c r="O8" s="81" t="s">
        <v>2505</v>
      </c>
      <c r="P8" s="81"/>
      <c r="Q8" s="81" t="s">
        <v>2535</v>
      </c>
      <c r="R8" s="81" t="s">
        <v>2536</v>
      </c>
      <c r="S8" s="81"/>
      <c r="T8" s="81" t="s">
        <v>2506</v>
      </c>
      <c r="U8" s="81"/>
      <c r="V8" s="81" t="s">
        <v>96</v>
      </c>
      <c r="W8" s="81"/>
      <c r="X8" s="81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 t="n">
        <v>200</v>
      </c>
      <c r="AJ8" s="85"/>
      <c r="AK8" s="86" t="n">
        <f aca="false">IF(SUM(Y8:AJ8)=0,"",SUM(Y8:AJ8))</f>
        <v>200</v>
      </c>
      <c r="AL8" s="84" t="str">
        <f aca="false">MID(IF(N(Y8)&gt;0,", "&amp;Y$2,"")&amp;IF(N(Z8)&gt;0,", "&amp;Z$2,"")&amp;IF(N(AA8)&gt;0,", "&amp;AA$2,"")&amp;IF(N(AB8)&gt;0,", "&amp;AB$2,"")&amp;IF(N(AC8)&gt;0,", "&amp;AC$2,"")&amp;IF(N(AD8)&gt;0,", "&amp;AD$2,"")&amp;IF(N(AE8)&gt;0,", "&amp;AE$2,"")&amp;IF(N(AF8)&gt;0,", "&amp;AF$2,"")&amp;IF(N(AG8)&gt;0,", "&amp;AG$2,"")&amp;IF(N(AH8)&gt;0,", "&amp;AH$2,"")&amp;IF(N(AI8)&gt;0,", "&amp;AI$2,"")&amp;IF(N(AJ8)&gt;0,", "&amp;AJ$2,""),3,999)</f>
        <v>NATURAL</v>
      </c>
      <c r="AM8" s="87" t="str">
        <f aca="false">IF(E8="","",MID(IF(N(Y8)&gt;0,", "&amp;A8&amp;"-"&amp;Y$2,"")&amp;IF(N(Z8)&gt;0,", "&amp;A8&amp;"-"&amp;Z$2,"")&amp;IF(N(AA8)&gt;0,", "&amp;A8&amp;"-"&amp;AA$2,"")&amp;IF(N(AB8)&gt;0,", "&amp;A8&amp;"-"&amp;AB$2,"")&amp;IF(N(AC8)&gt;0,", "&amp;A8&amp;"-"&amp;AC$2,"")&amp;IF(N(AD8)&gt;0,", "&amp;A8&amp;"-"&amp;AD$2,"")&amp;IF(N(AE8)&gt;0,", "&amp;A8&amp;"-"&amp;AE$2,"")&amp;IF(N(AF8)&gt;0,", "&amp;A8&amp;"-"&amp;AF$2,"")&amp;IF(N(AG8)&gt;0,", "&amp;A8&amp;"-"&amp;AG$2,"")&amp;IF(N(AH8)&gt;0,", "&amp;A8&amp;"-"&amp;AH$2,"")&amp;IF(N(AI8)&gt;0,", "&amp;A8&amp;"-"&amp;AI$2,"")&amp;IF(N(AJ8)&gt;0,", "&amp;A8&amp;"-"&amp;AJ$2,""),3,999))</f>
        <v>AKO-KR-006-NATURAL</v>
      </c>
      <c r="AN8" s="81" t="n">
        <v>1</v>
      </c>
      <c r="AO8" s="88" t="n">
        <v>4150</v>
      </c>
      <c r="AP8" s="89" t="n">
        <f aca="false">IF(AO8="","",ROUND(AO8/(1+Справочники!$B$13),2))</f>
        <v>4150</v>
      </c>
      <c r="AQ8" s="90" t="n">
        <f aca="false" t="array" ref="AQ8:AQ8">IF(AP8="","",AP8*INDEX(Справочники!$B$4:$B$7,MATCH("RUB",Справочники!$A$4:$A$7,0)))</f>
        <v>21995</v>
      </c>
      <c r="AR8" s="90" t="n">
        <f aca="false">IF(AQ8="","",ROUND(AQ8*(1+Справочники!$B$12),0))</f>
        <v>25514</v>
      </c>
      <c r="AS8" s="90" t="n">
        <f aca="false">IF(AR8="","",ROUND(AR8*(1-Справочники!$B$11),0))</f>
        <v>23473</v>
      </c>
      <c r="AT8" s="93" t="n">
        <f aca="false">IF(BH8="","",IF(AS8="",ROUNDUP(BH8/(1-Справочники!$B$23)*(1+Справочники!$B$12),-1),MAX(AS8,ROUNDUP(BH8/(1-Справочники!$B$24)*(1+Справочники!$B$12),-1))))</f>
        <v>23473</v>
      </c>
      <c r="AU8" s="90" t="n">
        <f aca="false">IF(AT8="","",ROUND(AT8/(1+Справочники!$B$12),0))</f>
        <v>20235</v>
      </c>
      <c r="AV8" s="90" t="n">
        <f aca="false">IF(AT8="","",ROUND(AT8*(1-Справочники!$B$15),0))</f>
        <v>22769</v>
      </c>
      <c r="AW8" s="90" t="n">
        <f aca="false">IF(AT8="","",ROUND(AT8*(1-Справочники!$B$16),0))</f>
        <v>22065</v>
      </c>
      <c r="AX8" s="90" t="n">
        <f aca="false">IF(AT8="","",ROUND(AT8*(1-Справочники!$B$17),0))</f>
        <v>21360</v>
      </c>
      <c r="AY8" s="90" t="n">
        <f aca="false">IF(AT8="","",ROUND(AT8*(1-Справочники!$B$18),0))</f>
        <v>20656</v>
      </c>
      <c r="AZ8" s="90" t="n">
        <f aca="false">IF(AT8="","",ROUND(AT8*(1-Справочники!$B$19),0))</f>
        <v>19952</v>
      </c>
      <c r="BA8" s="81"/>
      <c r="BB8" s="81" t="s">
        <v>100</v>
      </c>
      <c r="BC8" s="81" t="s">
        <v>387</v>
      </c>
      <c r="BD8" s="81"/>
      <c r="BE8" s="91" t="n">
        <v>105</v>
      </c>
      <c r="BF8" s="81" t="s">
        <v>103</v>
      </c>
      <c r="BG8" s="89" t="n">
        <f aca="false" t="array" ref="BG8:BG8">IF(BF8="","",IFERROR(INDEX(Справочники!$B$4:$B$7,MATCH(BF8,Справочники!$A$4:$A$7,0)),""))</f>
        <v>68.5</v>
      </c>
      <c r="BH8" s="90" t="n">
        <f aca="false">IF(N(BN8)&gt;0,ROUND(SUMIF(ЗАКАЗЫ!$F$3:$F$500,$A8,ЗАКАЗЫ!$Y$3:$Y$500)/BN8,0),IF(OR(BE8="",BG8=""),"",ROUND(BE8*BG8*(1+Справочники!$B$10),0)))</f>
        <v>8811</v>
      </c>
      <c r="BI8" s="92" t="n">
        <f aca="false">IF(OR(AU8="",BH8="",AU8=0),"",(AU8-BH8)/AU8)</f>
        <v>0.564566345441067</v>
      </c>
      <c r="BJ8" s="81"/>
      <c r="BK8" s="83"/>
      <c r="BL8" s="43" t="str">
        <f aca="false">IFERROR(INDEX(ЗАКАЗЫ!$N$3:$N$500,MATCH($A8,ЗАКАЗЫ!$F$3:$F$500,0)),"")</f>
        <v>7326 90 980 7</v>
      </c>
      <c r="BM8" s="8" t="n">
        <f aca="false">IF(BL8="","",IFERROR(VLOOKUP(BL8,'ТН ВЭД'!$A$4:$C$40,3,0),""))</f>
        <v>0.075</v>
      </c>
      <c r="BN8" s="7" t="n">
        <f aca="false">IF(COUNTIF(ЗАКАЗЫ!$F$3:$F$500,$A8)=0,"",SUMIF(ЗАКАЗЫ!$F$3:$F$500,$A8,ЗАКАЗЫ!$J$3:$J$500))</f>
        <v>200</v>
      </c>
      <c r="BO8" s="7" t="n">
        <f aca="false">IF(BN8="","",SUMIF(ЗАКАЗЫ!$F$3:$F$500,$A8,ЗАКАЗЫ!$AL$3:$AL$500))</f>
        <v>0</v>
      </c>
      <c r="BP8" s="7" t="n">
        <f aca="false">IF(BN8="","",BN8-BO8)</f>
        <v>200</v>
      </c>
      <c r="BQ8" s="55" t="str">
        <f aca="false">IF(BN8="","",IF(BO8&gt;=BN8,"На складе",IF(BO8&gt;0,"Частично","Ждём")))</f>
        <v>Ждём</v>
      </c>
      <c r="BR8" s="43" t="s">
        <v>2537</v>
      </c>
      <c r="BS8" s="47" t="str">
        <f aca="false">IF(BN8="","",IF(_xlfn.MAXIFS(ЗАКАЗЫ!$AK$3:$AK$500,ЗАКАЗЫ!$F$3:$F$500,$A8)=0,"",_xlfn.MAXIFS(ЗАКАЗЫ!$AK$3:$AK$500,ЗАКАЗЫ!$F$3:$F$500,$A8)))</f>
        <v/>
      </c>
    </row>
    <row r="9" customFormat="false" ht="79.5" hidden="false" customHeight="true" outlineLevel="0" collapsed="false">
      <c r="A9" s="80" t="s">
        <v>402</v>
      </c>
      <c r="B9" s="81" t="s">
        <v>841</v>
      </c>
      <c r="C9" s="81"/>
      <c r="D9" s="81"/>
      <c r="E9" s="83" t="s">
        <v>2538</v>
      </c>
      <c r="F9" s="81" t="s">
        <v>2513</v>
      </c>
      <c r="G9" s="83" t="s">
        <v>2539</v>
      </c>
      <c r="H9" s="83" t="s">
        <v>2540</v>
      </c>
      <c r="I9" s="84" t="str">
        <f aca="false">IF(E9="","",A9&amp;"_1.jpg")</f>
        <v>AKO-KR-007_1.jpg</v>
      </c>
      <c r="J9" s="84" t="str">
        <f aca="false">IF(E9="","",A9&amp;"_2.jpg; "&amp;A9&amp;"_3.jpg")</f>
        <v>AKO-KR-007_2.jpg; AKO-KR-007_3.jpg</v>
      </c>
      <c r="K9" s="84" t="str">
        <f aca="false">IF(E9="","",A9&amp;"_schema.jpg")</f>
        <v>AKO-KR-007_schema.jpg</v>
      </c>
      <c r="L9" s="81" t="s">
        <v>150</v>
      </c>
      <c r="M9" s="81"/>
      <c r="N9" s="81" t="s">
        <v>1141</v>
      </c>
      <c r="O9" s="81" t="s">
        <v>2516</v>
      </c>
      <c r="P9" s="81"/>
      <c r="Q9" s="81" t="s">
        <v>2541</v>
      </c>
      <c r="R9" s="81"/>
      <c r="S9" s="81"/>
      <c r="T9" s="81" t="s">
        <v>2506</v>
      </c>
      <c r="U9" s="81"/>
      <c r="V9" s="81" t="s">
        <v>96</v>
      </c>
      <c r="W9" s="81"/>
      <c r="X9" s="81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 t="n">
        <v>500</v>
      </c>
      <c r="AJ9" s="85"/>
      <c r="AK9" s="86" t="n">
        <f aca="false">IF(SUM(Y9:AJ9)=0,"",SUM(Y9:AJ9))</f>
        <v>500</v>
      </c>
      <c r="AL9" s="84" t="str">
        <f aca="false">MID(IF(N(Y9)&gt;0,", "&amp;Y$2,"")&amp;IF(N(Z9)&gt;0,", "&amp;Z$2,"")&amp;IF(N(AA9)&gt;0,", "&amp;AA$2,"")&amp;IF(N(AB9)&gt;0,", "&amp;AB$2,"")&amp;IF(N(AC9)&gt;0,", "&amp;AC$2,"")&amp;IF(N(AD9)&gt;0,", "&amp;AD$2,"")&amp;IF(N(AE9)&gt;0,", "&amp;AE$2,"")&amp;IF(N(AF9)&gt;0,", "&amp;AF$2,"")&amp;IF(N(AG9)&gt;0,", "&amp;AG$2,"")&amp;IF(N(AH9)&gt;0,", "&amp;AH$2,"")&amp;IF(N(AI9)&gt;0,", "&amp;AI$2,"")&amp;IF(N(AJ9)&gt;0,", "&amp;AJ$2,""),3,999)</f>
        <v>NATURAL</v>
      </c>
      <c r="AM9" s="87" t="str">
        <f aca="false">IF(E9="","",MID(IF(N(Y9)&gt;0,", "&amp;A9&amp;"-"&amp;Y$2,"")&amp;IF(N(Z9)&gt;0,", "&amp;A9&amp;"-"&amp;Z$2,"")&amp;IF(N(AA9)&gt;0,", "&amp;A9&amp;"-"&amp;AA$2,"")&amp;IF(N(AB9)&gt;0,", "&amp;A9&amp;"-"&amp;AB$2,"")&amp;IF(N(AC9)&gt;0,", "&amp;A9&amp;"-"&amp;AC$2,"")&amp;IF(N(AD9)&gt;0,", "&amp;A9&amp;"-"&amp;AD$2,"")&amp;IF(N(AE9)&gt;0,", "&amp;A9&amp;"-"&amp;AE$2,"")&amp;IF(N(AF9)&gt;0,", "&amp;A9&amp;"-"&amp;AF$2,"")&amp;IF(N(AG9)&gt;0,", "&amp;A9&amp;"-"&amp;AG$2,"")&amp;IF(N(AH9)&gt;0,", "&amp;A9&amp;"-"&amp;AH$2,"")&amp;IF(N(AI9)&gt;0,", "&amp;A9&amp;"-"&amp;AI$2,"")&amp;IF(N(AJ9)&gt;0,", "&amp;A9&amp;"-"&amp;AJ$2,""),3,999))</f>
        <v>AKO-KR-007-NATURAL</v>
      </c>
      <c r="AN9" s="81" t="n">
        <v>1</v>
      </c>
      <c r="AO9" s="88"/>
      <c r="AP9" s="89" t="str">
        <f aca="false">IF(AO9="","",ROUND(AO9/(1+Справочники!$B$13),2))</f>
        <v/>
      </c>
      <c r="AQ9" s="90" t="str">
        <f aca="false" t="array" ref="AQ9:AQ9">IF(AP9="","",AP9*INDEX(Справочники!$B$4:$B$7,MATCH("RUB",Справочники!$A$4:$A$7,0)))</f>
        <v/>
      </c>
      <c r="AR9" s="90" t="str">
        <f aca="false">IF(AQ9="","",ROUND(AQ9*(1+Справочники!$B$12),0))</f>
        <v/>
      </c>
      <c r="AS9" s="90" t="str">
        <f aca="false">IF(AR9="","",ROUND(AR9*(1-Справочники!$B$11),0))</f>
        <v/>
      </c>
      <c r="AT9" s="93" t="n">
        <f aca="false">IF(BH9="","",IF(AS9="",ROUNDUP(BH9/(1-Справочники!$B$23)*(1+Справочники!$B$12),-1),MAX(AS9,ROUNDUP(BH9/(1-Справочники!$B$24)*(1+Справочники!$B$12),-1))))</f>
        <v>560</v>
      </c>
      <c r="AU9" s="90" t="n">
        <f aca="false">IF(AT9="","",ROUND(AT9/(1+Справочники!$B$12),0))</f>
        <v>483</v>
      </c>
      <c r="AV9" s="90" t="n">
        <f aca="false">IF(AT9="","",ROUND(AT9*(1-Справочники!$B$15),0))</f>
        <v>543</v>
      </c>
      <c r="AW9" s="90" t="n">
        <f aca="false">IF(AT9="","",ROUND(AT9*(1-Справочники!$B$16),0))</f>
        <v>526</v>
      </c>
      <c r="AX9" s="90" t="n">
        <f aca="false">IF(AT9="","",ROUND(AT9*(1-Справочники!$B$17),0))</f>
        <v>510</v>
      </c>
      <c r="AY9" s="90" t="n">
        <f aca="false">IF(AT9="","",ROUND(AT9*(1-Справочники!$B$18),0))</f>
        <v>493</v>
      </c>
      <c r="AZ9" s="90" t="n">
        <f aca="false">IF(AT9="","",ROUND(AT9*(1-Справочники!$B$19),0))</f>
        <v>476</v>
      </c>
      <c r="BA9" s="81"/>
      <c r="BB9" s="81" t="s">
        <v>166</v>
      </c>
      <c r="BC9" s="81" t="s">
        <v>403</v>
      </c>
      <c r="BD9" s="81"/>
      <c r="BE9" s="91" t="n">
        <v>2.75</v>
      </c>
      <c r="BF9" s="81" t="s">
        <v>103</v>
      </c>
      <c r="BG9" s="89" t="n">
        <f aca="false" t="array" ref="BG9:BG9">IF(BF9="","",IFERROR(INDEX(Справочники!$B$4:$B$7,MATCH(BF9,Справочники!$A$4:$A$7,0)),""))</f>
        <v>68.5</v>
      </c>
      <c r="BH9" s="90" t="n">
        <f aca="false">IF(N(BN9)&gt;0,ROUND(SUMIF(ЗАКАЗЫ!$F$3:$F$500,$A9,ЗАКАЗЫ!$Y$3:$Y$500)/BN9,0),IF(OR(BE9="",BG9=""),"",ROUND(BE9*BG9*(1+Справочники!$B$10),0)))</f>
        <v>238</v>
      </c>
      <c r="BI9" s="92" t="n">
        <f aca="false">IF(OR(AU9="",BH9="",AU9=0),"",(AU9-BH9)/AU9)</f>
        <v>0.507246376811594</v>
      </c>
      <c r="BJ9" s="81"/>
      <c r="BK9" s="83"/>
      <c r="BL9" s="43" t="str">
        <f aca="false">IFERROR(INDEX(ЗАКАЗЫ!$N$3:$N$500,MATCH($A9,ЗАКАЗЫ!$F$3:$F$500,0)),"")</f>
        <v>7326 90 980 7</v>
      </c>
      <c r="BM9" s="8" t="n">
        <f aca="false">IF(BL9="","",IFERROR(VLOOKUP(BL9,'ТН ВЭД'!$A$4:$C$40,3,0),""))</f>
        <v>0.075</v>
      </c>
      <c r="BN9" s="7" t="n">
        <f aca="false">IF(COUNTIF(ЗАКАЗЫ!$F$3:$F$500,$A9)=0,"",SUMIF(ЗАКАЗЫ!$F$3:$F$500,$A9,ЗАКАЗЫ!$J$3:$J$500))</f>
        <v>500</v>
      </c>
      <c r="BO9" s="7" t="n">
        <f aca="false">IF(BN9="","",SUMIF(ЗАКАЗЫ!$F$3:$F$500,$A9,ЗАКАЗЫ!$AL$3:$AL$500))</f>
        <v>0</v>
      </c>
      <c r="BP9" s="7" t="n">
        <f aca="false">IF(BN9="","",BN9-BO9)</f>
        <v>500</v>
      </c>
      <c r="BQ9" s="55" t="str">
        <f aca="false">IF(BN9="","",IF(BO9&gt;=BN9,"На складе",IF(BO9&gt;0,"Частично","Ждём")))</f>
        <v>Ждём</v>
      </c>
      <c r="BR9" s="43" t="s">
        <v>2542</v>
      </c>
      <c r="BS9" s="47" t="str">
        <f aca="false">IF(BN9="","",IF(_xlfn.MAXIFS(ЗАКАЗЫ!$AK$3:$AK$500,ЗАКАЗЫ!$F$3:$F$500,$A9)=0,"",_xlfn.MAXIFS(ЗАКАЗЫ!$AK$3:$AK$500,ЗАКАЗЫ!$F$3:$F$500,$A9)))</f>
        <v/>
      </c>
    </row>
    <row r="10" customFormat="false" ht="79.5" hidden="false" customHeight="true" outlineLevel="0" collapsed="false">
      <c r="A10" s="80" t="s">
        <v>404</v>
      </c>
      <c r="B10" s="81" t="s">
        <v>841</v>
      </c>
      <c r="C10" s="81"/>
      <c r="D10" s="81"/>
      <c r="E10" s="83" t="s">
        <v>2543</v>
      </c>
      <c r="F10" s="81" t="s">
        <v>2513</v>
      </c>
      <c r="G10" s="83" t="s">
        <v>2544</v>
      </c>
      <c r="H10" s="83" t="s">
        <v>2545</v>
      </c>
      <c r="I10" s="84" t="str">
        <f aca="false">IF(E10="","",A10&amp;"_1.jpg")</f>
        <v>AKO-KR-008_1.jpg</v>
      </c>
      <c r="J10" s="84" t="str">
        <f aca="false">IF(E10="","",A10&amp;"_2.jpg; "&amp;A10&amp;"_3.jpg")</f>
        <v>AKO-KR-008_2.jpg; AKO-KR-008_3.jpg</v>
      </c>
      <c r="K10" s="84" t="str">
        <f aca="false">IF(E10="","",A10&amp;"_schema.jpg")</f>
        <v>AKO-KR-008_schema.jpg</v>
      </c>
      <c r="L10" s="81" t="s">
        <v>150</v>
      </c>
      <c r="M10" s="81"/>
      <c r="N10" s="81" t="s">
        <v>1181</v>
      </c>
      <c r="O10" s="81" t="s">
        <v>2516</v>
      </c>
      <c r="P10" s="81"/>
      <c r="Q10" s="81" t="s">
        <v>2546</v>
      </c>
      <c r="R10" s="81"/>
      <c r="S10" s="81"/>
      <c r="T10" s="81" t="s">
        <v>2518</v>
      </c>
      <c r="U10" s="81"/>
      <c r="V10" s="81" t="s">
        <v>96</v>
      </c>
      <c r="W10" s="81"/>
      <c r="X10" s="81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 t="n">
        <v>500</v>
      </c>
      <c r="AJ10" s="85"/>
      <c r="AK10" s="86" t="n">
        <f aca="false">IF(SUM(Y10:AJ10)=0,"",SUM(Y10:AJ10))</f>
        <v>500</v>
      </c>
      <c r="AL10" s="84" t="str">
        <f aca="false">MID(IF(N(Y10)&gt;0,", "&amp;Y$2,"")&amp;IF(N(Z10)&gt;0,", "&amp;Z$2,"")&amp;IF(N(AA10)&gt;0,", "&amp;AA$2,"")&amp;IF(N(AB10)&gt;0,", "&amp;AB$2,"")&amp;IF(N(AC10)&gt;0,", "&amp;AC$2,"")&amp;IF(N(AD10)&gt;0,", "&amp;AD$2,"")&amp;IF(N(AE10)&gt;0,", "&amp;AE$2,"")&amp;IF(N(AF10)&gt;0,", "&amp;AF$2,"")&amp;IF(N(AG10)&gt;0,", "&amp;AG$2,"")&amp;IF(N(AH10)&gt;0,", "&amp;AH$2,"")&amp;IF(N(AI10)&gt;0,", "&amp;AI$2,"")&amp;IF(N(AJ10)&gt;0,", "&amp;AJ$2,""),3,999)</f>
        <v>NATURAL</v>
      </c>
      <c r="AM10" s="87" t="str">
        <f aca="false">IF(E10="","",MID(IF(N(Y10)&gt;0,", "&amp;A10&amp;"-"&amp;Y$2,"")&amp;IF(N(Z10)&gt;0,", "&amp;A10&amp;"-"&amp;Z$2,"")&amp;IF(N(AA10)&gt;0,", "&amp;A10&amp;"-"&amp;AA$2,"")&amp;IF(N(AB10)&gt;0,", "&amp;A10&amp;"-"&amp;AB$2,"")&amp;IF(N(AC10)&gt;0,", "&amp;A10&amp;"-"&amp;AC$2,"")&amp;IF(N(AD10)&gt;0,", "&amp;A10&amp;"-"&amp;AD$2,"")&amp;IF(N(AE10)&gt;0,", "&amp;A10&amp;"-"&amp;AE$2,"")&amp;IF(N(AF10)&gt;0,", "&amp;A10&amp;"-"&amp;AF$2,"")&amp;IF(N(AG10)&gt;0,", "&amp;A10&amp;"-"&amp;AG$2,"")&amp;IF(N(AH10)&gt;0,", "&amp;A10&amp;"-"&amp;AH$2,"")&amp;IF(N(AI10)&gt;0,", "&amp;A10&amp;"-"&amp;AI$2,"")&amp;IF(N(AJ10)&gt;0,", "&amp;A10&amp;"-"&amp;AJ$2,""),3,999))</f>
        <v>AKO-KR-008-NATURAL</v>
      </c>
      <c r="AN10" s="81" t="n">
        <v>1</v>
      </c>
      <c r="AO10" s="88"/>
      <c r="AP10" s="89" t="str">
        <f aca="false">IF(AO10="","",ROUND(AO10/(1+Справочники!$B$13),2))</f>
        <v/>
      </c>
      <c r="AQ10" s="90" t="str">
        <f aca="false" t="array" ref="AQ10:AQ10">IF(AP10="","",AP10*INDEX(Справочники!$B$4:$B$7,MATCH("RUB",Справочники!$A$4:$A$7,0)))</f>
        <v/>
      </c>
      <c r="AR10" s="90" t="str">
        <f aca="false">IF(AQ10="","",ROUND(AQ10*(1+Справочники!$B$12),0))</f>
        <v/>
      </c>
      <c r="AS10" s="90" t="str">
        <f aca="false">IF(AR10="","",ROUND(AR10*(1-Справочники!$B$11),0))</f>
        <v/>
      </c>
      <c r="AT10" s="93" t="n">
        <f aca="false">IF(BH10="","",IF(AS10="",ROUNDUP(BH10/(1-Справочники!$B$23)*(1+Справочники!$B$12),-1),MAX(AS10,ROUNDUP(BH10/(1-Справочники!$B$24)*(1+Справочники!$B$12),-1))))</f>
        <v>1710</v>
      </c>
      <c r="AU10" s="90" t="n">
        <f aca="false">IF(AT10="","",ROUND(AT10/(1+Справочники!$B$12),0))</f>
        <v>1474</v>
      </c>
      <c r="AV10" s="90" t="n">
        <f aca="false">IF(AT10="","",ROUND(AT10*(1-Справочники!$B$15),0))</f>
        <v>1659</v>
      </c>
      <c r="AW10" s="90" t="n">
        <f aca="false">IF(AT10="","",ROUND(AT10*(1-Справочники!$B$16),0))</f>
        <v>1607</v>
      </c>
      <c r="AX10" s="90" t="n">
        <f aca="false">IF(AT10="","",ROUND(AT10*(1-Справочники!$B$17),0))</f>
        <v>1556</v>
      </c>
      <c r="AY10" s="90" t="n">
        <f aca="false">IF(AT10="","",ROUND(AT10*(1-Справочники!$B$18),0))</f>
        <v>1505</v>
      </c>
      <c r="AZ10" s="90" t="n">
        <f aca="false">IF(AT10="","",ROUND(AT10*(1-Справочники!$B$19),0))</f>
        <v>1454</v>
      </c>
      <c r="BA10" s="81"/>
      <c r="BB10" s="81" t="s">
        <v>166</v>
      </c>
      <c r="BC10" s="81" t="s">
        <v>405</v>
      </c>
      <c r="BD10" s="81"/>
      <c r="BE10" s="91" t="n">
        <v>8.5</v>
      </c>
      <c r="BF10" s="81" t="s">
        <v>103</v>
      </c>
      <c r="BG10" s="89" t="n">
        <f aca="false" t="array" ref="BG10:BG10">IF(BF10="","",IFERROR(INDEX(Справочники!$B$4:$B$7,MATCH(BF10,Справочники!$A$4:$A$7,0)),""))</f>
        <v>68.5</v>
      </c>
      <c r="BH10" s="90" t="n">
        <f aca="false">IF(N(BN10)&gt;0,ROUND(SUMIF(ЗАКАЗЫ!$F$3:$F$500,$A10,ЗАКАЗЫ!$Y$3:$Y$500)/BN10,0),IF(OR(BE10="",BG10=""),"",ROUND(BE10*BG10*(1+Справочники!$B$10),0)))</f>
        <v>735</v>
      </c>
      <c r="BI10" s="92" t="n">
        <f aca="false">IF(OR(AU10="",BH10="",AU10=0),"",(AU10-BH10)/AU10)</f>
        <v>0.501356852103121</v>
      </c>
      <c r="BJ10" s="81"/>
      <c r="BK10" s="83"/>
      <c r="BL10" s="43" t="str">
        <f aca="false">IFERROR(INDEX(ЗАКАЗЫ!$N$3:$N$500,MATCH($A10,ЗАКАЗЫ!$F$3:$F$500,0)),"")</f>
        <v>7326 90 980 7</v>
      </c>
      <c r="BM10" s="8" t="n">
        <f aca="false">IF(BL10="","",IFERROR(VLOOKUP(BL10,'ТН ВЭД'!$A$4:$C$40,3,0),""))</f>
        <v>0.075</v>
      </c>
      <c r="BN10" s="7" t="n">
        <f aca="false">IF(COUNTIF(ЗАКАЗЫ!$F$3:$F$500,$A10)=0,"",SUMIF(ЗАКАЗЫ!$F$3:$F$500,$A10,ЗАКАЗЫ!$J$3:$J$500))</f>
        <v>500</v>
      </c>
      <c r="BO10" s="7" t="n">
        <f aca="false">IF(BN10="","",SUMIF(ЗАКАЗЫ!$F$3:$F$500,$A10,ЗАКАЗЫ!$AL$3:$AL$500))</f>
        <v>0</v>
      </c>
      <c r="BP10" s="7" t="n">
        <f aca="false">IF(BN10="","",BN10-BO10)</f>
        <v>500</v>
      </c>
      <c r="BQ10" s="55" t="str">
        <f aca="false">IF(BN10="","",IF(BO10&gt;=BN10,"На складе",IF(BO10&gt;0,"Частично","Ждём")))</f>
        <v>Ждём</v>
      </c>
      <c r="BR10" s="43" t="s">
        <v>2547</v>
      </c>
      <c r="BS10" s="47" t="str">
        <f aca="false">IF(BN10="","",IF(_xlfn.MAXIFS(ЗАКАЗЫ!$AK$3:$AK$500,ЗАКАЗЫ!$F$3:$F$500,$A10)=0,"",_xlfn.MAXIFS(ЗАКАЗЫ!$AK$3:$AK$500,ЗАКАЗЫ!$F$3:$F$500,$A10)))</f>
        <v/>
      </c>
    </row>
    <row r="11" customFormat="false" ht="79.5" hidden="false" customHeight="true" outlineLevel="0" collapsed="false">
      <c r="A11" s="80" t="s">
        <v>406</v>
      </c>
      <c r="B11" s="81" t="s">
        <v>841</v>
      </c>
      <c r="C11" s="81"/>
      <c r="D11" s="81"/>
      <c r="E11" s="83" t="s">
        <v>2548</v>
      </c>
      <c r="F11" s="81" t="s">
        <v>2502</v>
      </c>
      <c r="G11" s="83" t="s">
        <v>2549</v>
      </c>
      <c r="H11" s="83" t="s">
        <v>2550</v>
      </c>
      <c r="I11" s="84" t="str">
        <f aca="false">IF(E11="","",A11&amp;"_1.jpg")</f>
        <v>AKO-KR-009_1.jpg</v>
      </c>
      <c r="J11" s="84" t="str">
        <f aca="false">IF(E11="","",A11&amp;"_2.jpg; "&amp;A11&amp;"_3.jpg")</f>
        <v>AKO-KR-009_2.jpg; AKO-KR-009_3.jpg</v>
      </c>
      <c r="K11" s="84" t="str">
        <f aca="false">IF(E11="","",A11&amp;"_schema.jpg")</f>
        <v>AKO-KR-009_schema.jpg</v>
      </c>
      <c r="L11" s="81" t="s">
        <v>150</v>
      </c>
      <c r="M11" s="81"/>
      <c r="N11" s="81" t="s">
        <v>1141</v>
      </c>
      <c r="O11" s="81" t="s">
        <v>2505</v>
      </c>
      <c r="P11" s="81"/>
      <c r="Q11" s="81"/>
      <c r="R11" s="81"/>
      <c r="S11" s="81"/>
      <c r="T11" s="81" t="s">
        <v>2506</v>
      </c>
      <c r="U11" s="81"/>
      <c r="V11" s="81" t="s">
        <v>96</v>
      </c>
      <c r="W11" s="81"/>
      <c r="X11" s="81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 t="n">
        <v>200</v>
      </c>
      <c r="AJ11" s="85"/>
      <c r="AK11" s="86" t="n">
        <f aca="false">IF(SUM(Y11:AJ11)=0,"",SUM(Y11:AJ11))</f>
        <v>200</v>
      </c>
      <c r="AL11" s="84" t="str">
        <f aca="false">MID(IF(N(Y11)&gt;0,", "&amp;Y$2,"")&amp;IF(N(Z11)&gt;0,", "&amp;Z$2,"")&amp;IF(N(AA11)&gt;0,", "&amp;AA$2,"")&amp;IF(N(AB11)&gt;0,", "&amp;AB$2,"")&amp;IF(N(AC11)&gt;0,", "&amp;AC$2,"")&amp;IF(N(AD11)&gt;0,", "&amp;AD$2,"")&amp;IF(N(AE11)&gt;0,", "&amp;AE$2,"")&amp;IF(N(AF11)&gt;0,", "&amp;AF$2,"")&amp;IF(N(AG11)&gt;0,", "&amp;AG$2,"")&amp;IF(N(AH11)&gt;0,", "&amp;AH$2,"")&amp;IF(N(AI11)&gt;0,", "&amp;AI$2,"")&amp;IF(N(AJ11)&gt;0,", "&amp;AJ$2,""),3,999)</f>
        <v>NATURAL</v>
      </c>
      <c r="AM11" s="87" t="str">
        <f aca="false">IF(E11="","",MID(IF(N(Y11)&gt;0,", "&amp;A11&amp;"-"&amp;Y$2,"")&amp;IF(N(Z11)&gt;0,", "&amp;A11&amp;"-"&amp;Z$2,"")&amp;IF(N(AA11)&gt;0,", "&amp;A11&amp;"-"&amp;AA$2,"")&amp;IF(N(AB11)&gt;0,", "&amp;A11&amp;"-"&amp;AB$2,"")&amp;IF(N(AC11)&gt;0,", "&amp;A11&amp;"-"&amp;AC$2,"")&amp;IF(N(AD11)&gt;0,", "&amp;A11&amp;"-"&amp;AD$2,"")&amp;IF(N(AE11)&gt;0,", "&amp;A11&amp;"-"&amp;AE$2,"")&amp;IF(N(AF11)&gt;0,", "&amp;A11&amp;"-"&amp;AF$2,"")&amp;IF(N(AG11)&gt;0,", "&amp;A11&amp;"-"&amp;AG$2,"")&amp;IF(N(AH11)&gt;0,", "&amp;A11&amp;"-"&amp;AH$2,"")&amp;IF(N(AI11)&gt;0,", "&amp;A11&amp;"-"&amp;AI$2,"")&amp;IF(N(AJ11)&gt;0,", "&amp;A11&amp;"-"&amp;AJ$2,""),3,999))</f>
        <v>AKO-KR-009-NATURAL</v>
      </c>
      <c r="AN11" s="81" t="n">
        <v>1</v>
      </c>
      <c r="AO11" s="88"/>
      <c r="AP11" s="89" t="str">
        <f aca="false">IF(AO11="","",ROUND(AO11/(1+Справочники!$B$13),2))</f>
        <v/>
      </c>
      <c r="AQ11" s="90" t="str">
        <f aca="false" t="array" ref="AQ11:AQ11">IF(AP11="","",AP11*INDEX(Справочники!$B$4:$B$7,MATCH("RUB",Справочники!$A$4:$A$7,0)))</f>
        <v/>
      </c>
      <c r="AR11" s="90" t="str">
        <f aca="false">IF(AQ11="","",ROUND(AQ11*(1+Справочники!$B$12),0))</f>
        <v/>
      </c>
      <c r="AS11" s="90" t="str">
        <f aca="false">IF(AR11="","",ROUND(AR11*(1-Справочники!$B$11),0))</f>
        <v/>
      </c>
      <c r="AT11" s="93" t="n">
        <f aca="false">IF(BH11="","",IF(AS11="",ROUNDUP(BH11/(1-Справочники!$B$23)*(1+Справочники!$B$12),-1),MAX(AS11,ROUNDUP(BH11/(1-Справочники!$B$24)*(1+Справочники!$B$12),-1))))</f>
        <v>13650</v>
      </c>
      <c r="AU11" s="90" t="n">
        <f aca="false">IF(AT11="","",ROUND(AT11/(1+Справочники!$B$12),0))</f>
        <v>11767</v>
      </c>
      <c r="AV11" s="90" t="n">
        <f aca="false">IF(AT11="","",ROUND(AT11*(1-Справочники!$B$15),0))</f>
        <v>13241</v>
      </c>
      <c r="AW11" s="90" t="n">
        <f aca="false">IF(AT11="","",ROUND(AT11*(1-Справочники!$B$16),0))</f>
        <v>12831</v>
      </c>
      <c r="AX11" s="90" t="n">
        <f aca="false">IF(AT11="","",ROUND(AT11*(1-Справочники!$B$17),0))</f>
        <v>12422</v>
      </c>
      <c r="AY11" s="90" t="n">
        <f aca="false">IF(AT11="","",ROUND(AT11*(1-Справочники!$B$18),0))</f>
        <v>12012</v>
      </c>
      <c r="AZ11" s="90" t="n">
        <f aca="false">IF(AT11="","",ROUND(AT11*(1-Справочники!$B$19),0))</f>
        <v>11603</v>
      </c>
      <c r="BA11" s="81"/>
      <c r="BB11" s="81" t="s">
        <v>166</v>
      </c>
      <c r="BC11" s="81" t="s">
        <v>407</v>
      </c>
      <c r="BD11" s="81"/>
      <c r="BE11" s="91" t="n">
        <v>68</v>
      </c>
      <c r="BF11" s="81" t="s">
        <v>103</v>
      </c>
      <c r="BG11" s="89" t="n">
        <f aca="false" t="array" ref="BG11:BG11">IF(BF11="","",IFERROR(INDEX(Справочники!$B$4:$B$7,MATCH(BF11,Справочники!$A$4:$A$7,0)),""))</f>
        <v>68.5</v>
      </c>
      <c r="BH11" s="90" t="n">
        <f aca="false">IF(N(BN11)&gt;0,ROUND(SUMIF(ЗАКАЗЫ!$F$3:$F$500,$A11,ЗАКАЗЫ!$Y$3:$Y$500)/BN11,0),IF(OR(BE11="",BG11=""),"",ROUND(BE11*BG11*(1+Справочники!$B$10),0)))</f>
        <v>5883</v>
      </c>
      <c r="BI11" s="92" t="n">
        <f aca="false">IF(OR(AU11="",BH11="",AU11=0),"",(AU11-BH11)/AU11)</f>
        <v>0.500042491714116</v>
      </c>
      <c r="BJ11" s="81"/>
      <c r="BK11" s="83"/>
      <c r="BL11" s="43" t="str">
        <f aca="false">IFERROR(INDEX(ЗАКАЗЫ!$N$3:$N$500,MATCH($A11,ЗАКАЗЫ!$F$3:$F$500,0)),"")</f>
        <v>7326 90 980 7</v>
      </c>
      <c r="BM11" s="8" t="n">
        <f aca="false">IF(BL11="","",IFERROR(VLOOKUP(BL11,'ТН ВЭД'!$A$4:$C$40,3,0),""))</f>
        <v>0.075</v>
      </c>
      <c r="BN11" s="7" t="n">
        <f aca="false">IF(COUNTIF(ЗАКАЗЫ!$F$3:$F$500,$A11)=0,"",SUMIF(ЗАКАЗЫ!$F$3:$F$500,$A11,ЗАКАЗЫ!$J$3:$J$500))</f>
        <v>200</v>
      </c>
      <c r="BO11" s="7" t="n">
        <f aca="false">IF(BN11="","",SUMIF(ЗАКАЗЫ!$F$3:$F$500,$A11,ЗАКАЗЫ!$AL$3:$AL$500))</f>
        <v>0</v>
      </c>
      <c r="BP11" s="7" t="n">
        <f aca="false">IF(BN11="","",BN11-BO11)</f>
        <v>200</v>
      </c>
      <c r="BQ11" s="55" t="str">
        <f aca="false">IF(BN11="","",IF(BO11&gt;=BN11,"На складе",IF(BO11&gt;0,"Частично","Ждём")))</f>
        <v>Ждём</v>
      </c>
      <c r="BR11" s="43" t="s">
        <v>2551</v>
      </c>
      <c r="BS11" s="47" t="str">
        <f aca="false">IF(BN11="","",IF(_xlfn.MAXIFS(ЗАКАЗЫ!$AK$3:$AK$500,ЗАКАЗЫ!$F$3:$F$500,$A11)=0,"",_xlfn.MAXIFS(ЗАКАЗЫ!$AK$3:$AK$500,ЗАКАЗЫ!$F$3:$F$500,$A11)))</f>
        <v/>
      </c>
    </row>
    <row r="12" customFormat="false" ht="15.75" hidden="false" customHeight="true" outlineLevel="0" collapsed="false">
      <c r="A12" s="80" t="s">
        <v>2552</v>
      </c>
      <c r="B12" s="81"/>
      <c r="C12" s="81"/>
      <c r="D12" s="81"/>
      <c r="E12" s="83"/>
      <c r="F12" s="81"/>
      <c r="G12" s="83"/>
      <c r="H12" s="83"/>
      <c r="I12" s="84" t="str">
        <f aca="false">IF(E12="","",A12&amp;"_1.jpg")</f>
        <v/>
      </c>
      <c r="J12" s="84" t="str">
        <f aca="false">IF(E12="","",A12&amp;"_2.jpg; "&amp;A12&amp;"_3.jpg")</f>
        <v/>
      </c>
      <c r="K12" s="84" t="str">
        <f aca="false">IF(E12="","",A12&amp;"_schema.jpg")</f>
        <v/>
      </c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 t="s">
        <v>96</v>
      </c>
      <c r="W12" s="81"/>
      <c r="X12" s="81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6" t="str">
        <f aca="false">IF(SUM(Y12:AJ12)=0,"",SUM(Y12:AJ12))</f>
        <v/>
      </c>
      <c r="AL12" s="84" t="str">
        <f aca="false">MID(IF(N(Y12)&gt;0,", "&amp;Y$2,"")&amp;IF(N(Z12)&gt;0,", "&amp;Z$2,"")&amp;IF(N(AA12)&gt;0,", "&amp;AA$2,"")&amp;IF(N(AB12)&gt;0,", "&amp;AB$2,"")&amp;IF(N(AC12)&gt;0,", "&amp;AC$2,"")&amp;IF(N(AD12)&gt;0,", "&amp;AD$2,"")&amp;IF(N(AE12)&gt;0,", "&amp;AE$2,"")&amp;IF(N(AF12)&gt;0,", "&amp;AF$2,"")&amp;IF(N(AG12)&gt;0,", "&amp;AG$2,"")&amp;IF(N(AH12)&gt;0,", "&amp;AH$2,"")&amp;IF(N(AI12)&gt;0,", "&amp;AI$2,"")&amp;IF(N(AJ12)&gt;0,", "&amp;AJ$2,""),3,999)</f>
        <v/>
      </c>
      <c r="AM12" s="87" t="str">
        <f aca="false">IF(E12="","",MID(IF(N(Y12)&gt;0,", "&amp;A12&amp;"-"&amp;Y$2,"")&amp;IF(N(Z12)&gt;0,", "&amp;A12&amp;"-"&amp;Z$2,"")&amp;IF(N(AA12)&gt;0,", "&amp;A12&amp;"-"&amp;AA$2,"")&amp;IF(N(AB12)&gt;0,", "&amp;A12&amp;"-"&amp;AB$2,"")&amp;IF(N(AC12)&gt;0,", "&amp;A12&amp;"-"&amp;AC$2,"")&amp;IF(N(AD12)&gt;0,", "&amp;A12&amp;"-"&amp;AD$2,"")&amp;IF(N(AE12)&gt;0,", "&amp;A12&amp;"-"&amp;AE$2,"")&amp;IF(N(AF12)&gt;0,", "&amp;A12&amp;"-"&amp;AF$2,"")&amp;IF(N(AG12)&gt;0,", "&amp;A12&amp;"-"&amp;AG$2,"")&amp;IF(N(AH12)&gt;0,", "&amp;A12&amp;"-"&amp;AH$2,"")&amp;IF(N(AI12)&gt;0,", "&amp;A12&amp;"-"&amp;AI$2,"")&amp;IF(N(AJ12)&gt;0,", "&amp;A12&amp;"-"&amp;AJ$2,""),3,999))</f>
        <v/>
      </c>
      <c r="AN12" s="81"/>
      <c r="AO12" s="88"/>
      <c r="AP12" s="89" t="str">
        <f aca="false">IF(AO12="","",ROUND(AO12/(1+Справочники!$B$13),2))</f>
        <v/>
      </c>
      <c r="AQ12" s="90" t="str">
        <f aca="false" t="array" ref="AQ12:AQ12">IF(AP12="","",AP12*INDEX(Справочники!$B$4:$B$7,MATCH("RUB",Справочники!$A$4:$A$7,0)))</f>
        <v/>
      </c>
      <c r="AR12" s="90" t="str">
        <f aca="false">IF(AQ12="","",ROUND(AQ12*(1+Справочники!$B$12),0))</f>
        <v/>
      </c>
      <c r="AS12" s="90" t="str">
        <f aca="false">IF(AR12="","",ROUND(AR12*(1-Справочники!$B$11),0))</f>
        <v/>
      </c>
      <c r="AT12" s="88"/>
      <c r="AU12" s="90" t="str">
        <f aca="false">IF(AT12="","",ROUND(AT12/(1+Справочники!$B$12),0))</f>
        <v/>
      </c>
      <c r="AV12" s="90" t="str">
        <f aca="false">IF(AT12="","",ROUND(AT12*(1-Справочники!$B$15),0))</f>
        <v/>
      </c>
      <c r="AW12" s="90" t="str">
        <f aca="false">IF(AT12="","",ROUND(AT12*(1-Справочники!$B$16),0))</f>
        <v/>
      </c>
      <c r="AX12" s="90" t="str">
        <f aca="false">IF(AT12="","",ROUND(AT12*(1-Справочники!$B$17),0))</f>
        <v/>
      </c>
      <c r="AY12" s="90" t="str">
        <f aca="false">IF(AT12="","",ROUND(AT12*(1-Справочники!$B$18),0))</f>
        <v/>
      </c>
      <c r="AZ12" s="90" t="str">
        <f aca="false">IF(AT12="","",ROUND(AT12*(1-Справочники!$B$19),0))</f>
        <v/>
      </c>
      <c r="BA12" s="81"/>
      <c r="BB12" s="81"/>
      <c r="BC12" s="81"/>
      <c r="BD12" s="81"/>
      <c r="BE12" s="91"/>
      <c r="BF12" s="81" t="s">
        <v>103</v>
      </c>
      <c r="BG12" s="89" t="n">
        <f aca="false" t="array" ref="BG12:BG12">IF(BF12="","",IFERROR(INDEX(Справочники!$B$4:$B$7,MATCH(BF12,Справочники!$A$4:$A$7,0)),""))</f>
        <v>68.5</v>
      </c>
      <c r="BH12" s="90" t="str">
        <f aca="false">IF(N(BN12)&gt;0,ROUND(SUMIF(ЗАКАЗЫ!$F$3:$F$500,$A12,ЗАКАЗЫ!$Y$3:$Y$500)/BN12,0),IF(OR(BE12="",BG12=""),"",ROUND(BE12*BG12*(1+Справочники!$B$10),0)))</f>
        <v/>
      </c>
      <c r="BI12" s="92" t="str">
        <f aca="false">IF(OR(AU12="",BH12="",AU12=0),"",(AU12-BH12)/AU12)</f>
        <v/>
      </c>
      <c r="BJ12" s="81"/>
      <c r="BK12" s="83"/>
      <c r="BL12" s="43" t="str">
        <f aca="false">IFERROR(INDEX(ЗАКАЗЫ!$N$3:$N$500,MATCH($A12,ЗАКАЗЫ!$F$3:$F$500,0)),"")</f>
        <v/>
      </c>
      <c r="BM12" s="8" t="str">
        <f aca="false">IF(BL12="","",IFERROR(VLOOKUP(BL12,'ТН ВЭД'!$A$4:$C$40,3,0),""))</f>
        <v/>
      </c>
      <c r="BN12" s="7" t="str">
        <f aca="false">IF(COUNTIF(ЗАКАЗЫ!$F$3:$F$500,$A12)=0,"",SUMIF(ЗАКАЗЫ!$F$3:$F$500,$A12,ЗАКАЗЫ!$J$3:$J$500))</f>
        <v/>
      </c>
      <c r="BO12" s="7" t="str">
        <f aca="false">IF(BN12="","",SUMIF(ЗАКАЗЫ!$F$3:$F$500,$A12,ЗАКАЗЫ!$AL$3:$AL$500))</f>
        <v/>
      </c>
      <c r="BP12" s="7" t="str">
        <f aca="false">IF(BN12="","",BN12-BO12)</f>
        <v/>
      </c>
      <c r="BQ12" s="55" t="str">
        <f aca="false">IF(BN12="","",IF(BO12&gt;=BN12,"На складе",IF(BO12&gt;0,"Частично","Ждём")))</f>
        <v/>
      </c>
      <c r="BR12" s="43"/>
      <c r="BS12" s="47" t="str">
        <f aca="false">IF(BN12="","",IF(_xlfn.MAXIFS(ЗАКАЗЫ!$AK$3:$AK$500,ЗАКАЗЫ!$F$3:$F$500,$A12)=0,"",_xlfn.MAXIFS(ЗАКАЗЫ!$AK$3:$AK$500,ЗАКАЗЫ!$F$3:$F$500,$A12)))</f>
        <v/>
      </c>
    </row>
    <row r="13" customFormat="false" ht="15.75" hidden="false" customHeight="true" outlineLevel="0" collapsed="false">
      <c r="A13" s="80" t="s">
        <v>2553</v>
      </c>
      <c r="B13" s="81"/>
      <c r="C13" s="81"/>
      <c r="D13" s="81"/>
      <c r="E13" s="83"/>
      <c r="F13" s="81"/>
      <c r="G13" s="83"/>
      <c r="H13" s="83"/>
      <c r="I13" s="84" t="str">
        <f aca="false">IF(E13="","",A13&amp;"_1.jpg")</f>
        <v/>
      </c>
      <c r="J13" s="84" t="str">
        <f aca="false">IF(E13="","",A13&amp;"_2.jpg; "&amp;A13&amp;"_3.jpg")</f>
        <v/>
      </c>
      <c r="K13" s="84" t="str">
        <f aca="false">IF(E13="","",A13&amp;"_schema.jpg")</f>
        <v/>
      </c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 t="s">
        <v>96</v>
      </c>
      <c r="W13" s="81"/>
      <c r="X13" s="81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6" t="str">
        <f aca="false">IF(SUM(Y13:AJ13)=0,"",SUM(Y13:AJ13))</f>
        <v/>
      </c>
      <c r="AL13" s="84" t="str">
        <f aca="false">MID(IF(N(Y13)&gt;0,", "&amp;Y$2,"")&amp;IF(N(Z13)&gt;0,", "&amp;Z$2,"")&amp;IF(N(AA13)&gt;0,", "&amp;AA$2,"")&amp;IF(N(AB13)&gt;0,", "&amp;AB$2,"")&amp;IF(N(AC13)&gt;0,", "&amp;AC$2,"")&amp;IF(N(AD13)&gt;0,", "&amp;AD$2,"")&amp;IF(N(AE13)&gt;0,", "&amp;AE$2,"")&amp;IF(N(AF13)&gt;0,", "&amp;AF$2,"")&amp;IF(N(AG13)&gt;0,", "&amp;AG$2,"")&amp;IF(N(AH13)&gt;0,", "&amp;AH$2,"")&amp;IF(N(AI13)&gt;0,", "&amp;AI$2,"")&amp;IF(N(AJ13)&gt;0,", "&amp;AJ$2,""),3,999)</f>
        <v/>
      </c>
      <c r="AM13" s="87" t="str">
        <f aca="false">IF(E13="","",MID(IF(N(Y13)&gt;0,", "&amp;A13&amp;"-"&amp;Y$2,"")&amp;IF(N(Z13)&gt;0,", "&amp;A13&amp;"-"&amp;Z$2,"")&amp;IF(N(AA13)&gt;0,", "&amp;A13&amp;"-"&amp;AA$2,"")&amp;IF(N(AB13)&gt;0,", "&amp;A13&amp;"-"&amp;AB$2,"")&amp;IF(N(AC13)&gt;0,", "&amp;A13&amp;"-"&amp;AC$2,"")&amp;IF(N(AD13)&gt;0,", "&amp;A13&amp;"-"&amp;AD$2,"")&amp;IF(N(AE13)&gt;0,", "&amp;A13&amp;"-"&amp;AE$2,"")&amp;IF(N(AF13)&gt;0,", "&amp;A13&amp;"-"&amp;AF$2,"")&amp;IF(N(AG13)&gt;0,", "&amp;A13&amp;"-"&amp;AG$2,"")&amp;IF(N(AH13)&gt;0,", "&amp;A13&amp;"-"&amp;AH$2,"")&amp;IF(N(AI13)&gt;0,", "&amp;A13&amp;"-"&amp;AI$2,"")&amp;IF(N(AJ13)&gt;0,", "&amp;A13&amp;"-"&amp;AJ$2,""),3,999))</f>
        <v/>
      </c>
      <c r="AN13" s="81"/>
      <c r="AO13" s="88"/>
      <c r="AP13" s="89" t="str">
        <f aca="false">IF(AO13="","",ROUND(AO13/(1+Справочники!$B$13),2))</f>
        <v/>
      </c>
      <c r="AQ13" s="90" t="str">
        <f aca="false" t="array" ref="AQ13:AQ13">IF(AP13="","",AP13*INDEX(Справочники!$B$4:$B$7,MATCH("RUB",Справочники!$A$4:$A$7,0)))</f>
        <v/>
      </c>
      <c r="AR13" s="90" t="str">
        <f aca="false">IF(AQ13="","",ROUND(AQ13*(1+Справочники!$B$12),0))</f>
        <v/>
      </c>
      <c r="AS13" s="90" t="str">
        <f aca="false">IF(AR13="","",ROUND(AR13*(1-Справочники!$B$11),0))</f>
        <v/>
      </c>
      <c r="AT13" s="88"/>
      <c r="AU13" s="90" t="str">
        <f aca="false">IF(AT13="","",ROUND(AT13/(1+Справочники!$B$12),0))</f>
        <v/>
      </c>
      <c r="AV13" s="90" t="str">
        <f aca="false">IF(AT13="","",ROUND(AT13*(1-Справочники!$B$15),0))</f>
        <v/>
      </c>
      <c r="AW13" s="90" t="str">
        <f aca="false">IF(AT13="","",ROUND(AT13*(1-Справочники!$B$16),0))</f>
        <v/>
      </c>
      <c r="AX13" s="90" t="str">
        <f aca="false">IF(AT13="","",ROUND(AT13*(1-Справочники!$B$17),0))</f>
        <v/>
      </c>
      <c r="AY13" s="90" t="str">
        <f aca="false">IF(AT13="","",ROUND(AT13*(1-Справочники!$B$18),0))</f>
        <v/>
      </c>
      <c r="AZ13" s="90" t="str">
        <f aca="false">IF(AT13="","",ROUND(AT13*(1-Справочники!$B$19),0))</f>
        <v/>
      </c>
      <c r="BA13" s="81"/>
      <c r="BB13" s="81"/>
      <c r="BC13" s="81"/>
      <c r="BD13" s="81"/>
      <c r="BE13" s="91"/>
      <c r="BF13" s="81" t="s">
        <v>103</v>
      </c>
      <c r="BG13" s="89" t="n">
        <f aca="false" t="array" ref="BG13:BG13">IF(BF13="","",IFERROR(INDEX(Справочники!$B$4:$B$7,MATCH(BF13,Справочники!$A$4:$A$7,0)),""))</f>
        <v>68.5</v>
      </c>
      <c r="BH13" s="90" t="str">
        <f aca="false">IF(N(BN13)&gt;0,ROUND(SUMIF(ЗАКАЗЫ!$F$3:$F$500,$A13,ЗАКАЗЫ!$Y$3:$Y$500)/BN13,0),IF(OR(BE13="",BG13=""),"",ROUND(BE13*BG13*(1+Справочники!$B$10),0)))</f>
        <v/>
      </c>
      <c r="BI13" s="92" t="str">
        <f aca="false">IF(OR(AU13="",BH13="",AU13=0),"",(AU13-BH13)/AU13)</f>
        <v/>
      </c>
      <c r="BJ13" s="81"/>
      <c r="BK13" s="83"/>
      <c r="BL13" s="43" t="str">
        <f aca="false">IFERROR(INDEX(ЗАКАЗЫ!$N$3:$N$500,MATCH($A13,ЗАКАЗЫ!$F$3:$F$500,0)),"")</f>
        <v/>
      </c>
      <c r="BM13" s="8" t="str">
        <f aca="false">IF(BL13="","",IFERROR(VLOOKUP(BL13,'ТН ВЭД'!$A$4:$C$40,3,0),""))</f>
        <v/>
      </c>
      <c r="BN13" s="7" t="str">
        <f aca="false">IF(COUNTIF(ЗАКАЗЫ!$F$3:$F$500,$A13)=0,"",SUMIF(ЗАКАЗЫ!$F$3:$F$500,$A13,ЗАКАЗЫ!$J$3:$J$500))</f>
        <v/>
      </c>
      <c r="BO13" s="7" t="str">
        <f aca="false">IF(BN13="","",SUMIF(ЗАКАЗЫ!$F$3:$F$500,$A13,ЗАКАЗЫ!$AL$3:$AL$500))</f>
        <v/>
      </c>
      <c r="BP13" s="7" t="str">
        <f aca="false">IF(BN13="","",BN13-BO13)</f>
        <v/>
      </c>
      <c r="BQ13" s="55" t="str">
        <f aca="false">IF(BN13="","",IF(BO13&gt;=BN13,"На складе",IF(BO13&gt;0,"Частично","Ждём")))</f>
        <v/>
      </c>
      <c r="BR13" s="43"/>
      <c r="BS13" s="47" t="str">
        <f aca="false">IF(BN13="","",IF(_xlfn.MAXIFS(ЗАКАЗЫ!$AK$3:$AK$500,ЗАКАЗЫ!$F$3:$F$500,$A13)=0,"",_xlfn.MAXIFS(ЗАКАЗЫ!$AK$3:$AK$500,ЗАКАЗЫ!$F$3:$F$500,$A13)))</f>
        <v/>
      </c>
    </row>
    <row r="14" customFormat="false" ht="15.75" hidden="false" customHeight="true" outlineLevel="0" collapsed="false">
      <c r="A14" s="80" t="s">
        <v>2554</v>
      </c>
      <c r="B14" s="81"/>
      <c r="C14" s="81"/>
      <c r="D14" s="81"/>
      <c r="E14" s="83"/>
      <c r="F14" s="81"/>
      <c r="G14" s="83"/>
      <c r="H14" s="83"/>
      <c r="I14" s="84" t="str">
        <f aca="false">IF(E14="","",A14&amp;"_1.jpg")</f>
        <v/>
      </c>
      <c r="J14" s="84" t="str">
        <f aca="false">IF(E14="","",A14&amp;"_2.jpg; "&amp;A14&amp;"_3.jpg")</f>
        <v/>
      </c>
      <c r="K14" s="84" t="str">
        <f aca="false">IF(E14="","",A14&amp;"_schema.jpg")</f>
        <v/>
      </c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 t="s">
        <v>96</v>
      </c>
      <c r="W14" s="81"/>
      <c r="X14" s="81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6" t="str">
        <f aca="false">IF(SUM(Y14:AJ14)=0,"",SUM(Y14:AJ14))</f>
        <v/>
      </c>
      <c r="AL14" s="84" t="str">
        <f aca="false">MID(IF(N(Y14)&gt;0,", "&amp;Y$2,"")&amp;IF(N(Z14)&gt;0,", "&amp;Z$2,"")&amp;IF(N(AA14)&gt;0,", "&amp;AA$2,"")&amp;IF(N(AB14)&gt;0,", "&amp;AB$2,"")&amp;IF(N(AC14)&gt;0,", "&amp;AC$2,"")&amp;IF(N(AD14)&gt;0,", "&amp;AD$2,"")&amp;IF(N(AE14)&gt;0,", "&amp;AE$2,"")&amp;IF(N(AF14)&gt;0,", "&amp;AF$2,"")&amp;IF(N(AG14)&gt;0,", "&amp;AG$2,"")&amp;IF(N(AH14)&gt;0,", "&amp;AH$2,"")&amp;IF(N(AI14)&gt;0,", "&amp;AI$2,"")&amp;IF(N(AJ14)&gt;0,", "&amp;AJ$2,""),3,999)</f>
        <v/>
      </c>
      <c r="AM14" s="87" t="str">
        <f aca="false">IF(E14="","",MID(IF(N(Y14)&gt;0,", "&amp;A14&amp;"-"&amp;Y$2,"")&amp;IF(N(Z14)&gt;0,", "&amp;A14&amp;"-"&amp;Z$2,"")&amp;IF(N(AA14)&gt;0,", "&amp;A14&amp;"-"&amp;AA$2,"")&amp;IF(N(AB14)&gt;0,", "&amp;A14&amp;"-"&amp;AB$2,"")&amp;IF(N(AC14)&gt;0,", "&amp;A14&amp;"-"&amp;AC$2,"")&amp;IF(N(AD14)&gt;0,", "&amp;A14&amp;"-"&amp;AD$2,"")&amp;IF(N(AE14)&gt;0,", "&amp;A14&amp;"-"&amp;AE$2,"")&amp;IF(N(AF14)&gt;0,", "&amp;A14&amp;"-"&amp;AF$2,"")&amp;IF(N(AG14)&gt;0,", "&amp;A14&amp;"-"&amp;AG$2,"")&amp;IF(N(AH14)&gt;0,", "&amp;A14&amp;"-"&amp;AH$2,"")&amp;IF(N(AI14)&gt;0,", "&amp;A14&amp;"-"&amp;AI$2,"")&amp;IF(N(AJ14)&gt;0,", "&amp;A14&amp;"-"&amp;AJ$2,""),3,999))</f>
        <v/>
      </c>
      <c r="AN14" s="81"/>
      <c r="AO14" s="88"/>
      <c r="AP14" s="89" t="str">
        <f aca="false">IF(AO14="","",ROUND(AO14/(1+Справочники!$B$13),2))</f>
        <v/>
      </c>
      <c r="AQ14" s="90" t="str">
        <f aca="false" t="array" ref="AQ14:AQ14">IF(AP14="","",AP14*INDEX(Справочники!$B$4:$B$7,MATCH("RUB",Справочники!$A$4:$A$7,0)))</f>
        <v/>
      </c>
      <c r="AR14" s="90" t="str">
        <f aca="false">IF(AQ14="","",ROUND(AQ14*(1+Справочники!$B$12),0))</f>
        <v/>
      </c>
      <c r="AS14" s="90" t="str">
        <f aca="false">IF(AR14="","",ROUND(AR14*(1-Справочники!$B$11),0))</f>
        <v/>
      </c>
      <c r="AT14" s="88"/>
      <c r="AU14" s="90" t="str">
        <f aca="false">IF(AT14="","",ROUND(AT14/(1+Справочники!$B$12),0))</f>
        <v/>
      </c>
      <c r="AV14" s="90" t="str">
        <f aca="false">IF(AT14="","",ROUND(AT14*(1-Справочники!$B$15),0))</f>
        <v/>
      </c>
      <c r="AW14" s="90" t="str">
        <f aca="false">IF(AT14="","",ROUND(AT14*(1-Справочники!$B$16),0))</f>
        <v/>
      </c>
      <c r="AX14" s="90" t="str">
        <f aca="false">IF(AT14="","",ROUND(AT14*(1-Справочники!$B$17),0))</f>
        <v/>
      </c>
      <c r="AY14" s="90" t="str">
        <f aca="false">IF(AT14="","",ROUND(AT14*(1-Справочники!$B$18),0))</f>
        <v/>
      </c>
      <c r="AZ14" s="90" t="str">
        <f aca="false">IF(AT14="","",ROUND(AT14*(1-Справочники!$B$19),0))</f>
        <v/>
      </c>
      <c r="BA14" s="81"/>
      <c r="BB14" s="81"/>
      <c r="BC14" s="81"/>
      <c r="BD14" s="81"/>
      <c r="BE14" s="91"/>
      <c r="BF14" s="81" t="s">
        <v>103</v>
      </c>
      <c r="BG14" s="89" t="n">
        <f aca="false" t="array" ref="BG14:BG14">IF(BF14="","",IFERROR(INDEX(Справочники!$B$4:$B$7,MATCH(BF14,Справочники!$A$4:$A$7,0)),""))</f>
        <v>68.5</v>
      </c>
      <c r="BH14" s="90" t="str">
        <f aca="false">IF(N(BN14)&gt;0,ROUND(SUMIF(ЗАКАЗЫ!$F$3:$F$500,$A14,ЗАКАЗЫ!$Y$3:$Y$500)/BN14,0),IF(OR(BE14="",BG14=""),"",ROUND(BE14*BG14*(1+Справочники!$B$10),0)))</f>
        <v/>
      </c>
      <c r="BI14" s="92" t="str">
        <f aca="false">IF(OR(AU14="",BH14="",AU14=0),"",(AU14-BH14)/AU14)</f>
        <v/>
      </c>
      <c r="BJ14" s="81"/>
      <c r="BK14" s="83"/>
      <c r="BL14" s="43" t="str">
        <f aca="false">IFERROR(INDEX(ЗАКАЗЫ!$N$3:$N$500,MATCH($A14,ЗАКАЗЫ!$F$3:$F$500,0)),"")</f>
        <v/>
      </c>
      <c r="BM14" s="8" t="str">
        <f aca="false">IF(BL14="","",IFERROR(VLOOKUP(BL14,'ТН ВЭД'!$A$4:$C$40,3,0),""))</f>
        <v/>
      </c>
      <c r="BN14" s="7" t="str">
        <f aca="false">IF(COUNTIF(ЗАКАЗЫ!$F$3:$F$500,$A14)=0,"",SUMIF(ЗАКАЗЫ!$F$3:$F$500,$A14,ЗАКАЗЫ!$J$3:$J$500))</f>
        <v/>
      </c>
      <c r="BO14" s="7" t="str">
        <f aca="false">IF(BN14="","",SUMIF(ЗАКАЗЫ!$F$3:$F$500,$A14,ЗАКАЗЫ!$AL$3:$AL$500))</f>
        <v/>
      </c>
      <c r="BP14" s="7" t="str">
        <f aca="false">IF(BN14="","",BN14-BO14)</f>
        <v/>
      </c>
      <c r="BQ14" s="55" t="str">
        <f aca="false">IF(BN14="","",IF(BO14&gt;=BN14,"На складе",IF(BO14&gt;0,"Частично","Ждём")))</f>
        <v/>
      </c>
      <c r="BR14" s="43"/>
      <c r="BS14" s="47" t="str">
        <f aca="false">IF(BN14="","",IF(_xlfn.MAXIFS(ЗАКАЗЫ!$AK$3:$AK$500,ЗАКАЗЫ!$F$3:$F$500,$A14)=0,"",_xlfn.MAXIFS(ЗАКАЗЫ!$AK$3:$AK$500,ЗАКАЗЫ!$F$3:$F$500,$A14)))</f>
        <v/>
      </c>
    </row>
    <row r="15" customFormat="false" ht="15.75" hidden="false" customHeight="true" outlineLevel="0" collapsed="false">
      <c r="A15" s="80" t="s">
        <v>2555</v>
      </c>
      <c r="B15" s="81"/>
      <c r="C15" s="81"/>
      <c r="D15" s="81"/>
      <c r="E15" s="83"/>
      <c r="F15" s="81"/>
      <c r="G15" s="83"/>
      <c r="H15" s="83"/>
      <c r="I15" s="84" t="str">
        <f aca="false">IF(E15="","",A15&amp;"_1.jpg")</f>
        <v/>
      </c>
      <c r="J15" s="84" t="str">
        <f aca="false">IF(E15="","",A15&amp;"_2.jpg; "&amp;A15&amp;"_3.jpg")</f>
        <v/>
      </c>
      <c r="K15" s="84" t="str">
        <f aca="false">IF(E15="","",A15&amp;"_schema.jpg")</f>
        <v/>
      </c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 t="s">
        <v>96</v>
      </c>
      <c r="W15" s="81"/>
      <c r="X15" s="81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6" t="str">
        <f aca="false">IF(SUM(Y15:AJ15)=0,"",SUM(Y15:AJ15))</f>
        <v/>
      </c>
      <c r="AL15" s="84" t="str">
        <f aca="false">MID(IF(N(Y15)&gt;0,", "&amp;Y$2,"")&amp;IF(N(Z15)&gt;0,", "&amp;Z$2,"")&amp;IF(N(AA15)&gt;0,", "&amp;AA$2,"")&amp;IF(N(AB15)&gt;0,", "&amp;AB$2,"")&amp;IF(N(AC15)&gt;0,", "&amp;AC$2,"")&amp;IF(N(AD15)&gt;0,", "&amp;AD$2,"")&amp;IF(N(AE15)&gt;0,", "&amp;AE$2,"")&amp;IF(N(AF15)&gt;0,", "&amp;AF$2,"")&amp;IF(N(AG15)&gt;0,", "&amp;AG$2,"")&amp;IF(N(AH15)&gt;0,", "&amp;AH$2,"")&amp;IF(N(AI15)&gt;0,", "&amp;AI$2,"")&amp;IF(N(AJ15)&gt;0,", "&amp;AJ$2,""),3,999)</f>
        <v/>
      </c>
      <c r="AM15" s="87" t="str">
        <f aca="false">IF(E15="","",MID(IF(N(Y15)&gt;0,", "&amp;A15&amp;"-"&amp;Y$2,"")&amp;IF(N(Z15)&gt;0,", "&amp;A15&amp;"-"&amp;Z$2,"")&amp;IF(N(AA15)&gt;0,", "&amp;A15&amp;"-"&amp;AA$2,"")&amp;IF(N(AB15)&gt;0,", "&amp;A15&amp;"-"&amp;AB$2,"")&amp;IF(N(AC15)&gt;0,", "&amp;A15&amp;"-"&amp;AC$2,"")&amp;IF(N(AD15)&gt;0,", "&amp;A15&amp;"-"&amp;AD$2,"")&amp;IF(N(AE15)&gt;0,", "&amp;A15&amp;"-"&amp;AE$2,"")&amp;IF(N(AF15)&gt;0,", "&amp;A15&amp;"-"&amp;AF$2,"")&amp;IF(N(AG15)&gt;0,", "&amp;A15&amp;"-"&amp;AG$2,"")&amp;IF(N(AH15)&gt;0,", "&amp;A15&amp;"-"&amp;AH$2,"")&amp;IF(N(AI15)&gt;0,", "&amp;A15&amp;"-"&amp;AI$2,"")&amp;IF(N(AJ15)&gt;0,", "&amp;A15&amp;"-"&amp;AJ$2,""),3,999))</f>
        <v/>
      </c>
      <c r="AN15" s="81"/>
      <c r="AO15" s="88"/>
      <c r="AP15" s="89" t="str">
        <f aca="false">IF(AO15="","",ROUND(AO15/(1+Справочники!$B$13),2))</f>
        <v/>
      </c>
      <c r="AQ15" s="90" t="str">
        <f aca="false" t="array" ref="AQ15:AQ15">IF(AP15="","",AP15*INDEX(Справочники!$B$4:$B$7,MATCH("RUB",Справочники!$A$4:$A$7,0)))</f>
        <v/>
      </c>
      <c r="AR15" s="90" t="str">
        <f aca="false">IF(AQ15="","",ROUND(AQ15*(1+Справочники!$B$12),0))</f>
        <v/>
      </c>
      <c r="AS15" s="90" t="str">
        <f aca="false">IF(AR15="","",ROUND(AR15*(1-Справочники!$B$11),0))</f>
        <v/>
      </c>
      <c r="AT15" s="88"/>
      <c r="AU15" s="90" t="str">
        <f aca="false">IF(AT15="","",ROUND(AT15/(1+Справочники!$B$12),0))</f>
        <v/>
      </c>
      <c r="AV15" s="90" t="str">
        <f aca="false">IF(AT15="","",ROUND(AT15*(1-Справочники!$B$15),0))</f>
        <v/>
      </c>
      <c r="AW15" s="90" t="str">
        <f aca="false">IF(AT15="","",ROUND(AT15*(1-Справочники!$B$16),0))</f>
        <v/>
      </c>
      <c r="AX15" s="90" t="str">
        <f aca="false">IF(AT15="","",ROUND(AT15*(1-Справочники!$B$17),0))</f>
        <v/>
      </c>
      <c r="AY15" s="90" t="str">
        <f aca="false">IF(AT15="","",ROUND(AT15*(1-Справочники!$B$18),0))</f>
        <v/>
      </c>
      <c r="AZ15" s="90" t="str">
        <f aca="false">IF(AT15="","",ROUND(AT15*(1-Справочники!$B$19),0))</f>
        <v/>
      </c>
      <c r="BA15" s="81"/>
      <c r="BB15" s="81"/>
      <c r="BC15" s="81"/>
      <c r="BD15" s="81"/>
      <c r="BE15" s="91"/>
      <c r="BF15" s="81" t="s">
        <v>103</v>
      </c>
      <c r="BG15" s="89" t="n">
        <f aca="false" t="array" ref="BG15:BG15">IF(BF15="","",IFERROR(INDEX(Справочники!$B$4:$B$7,MATCH(BF15,Справочники!$A$4:$A$7,0)),""))</f>
        <v>68.5</v>
      </c>
      <c r="BH15" s="90" t="str">
        <f aca="false">IF(N(BN15)&gt;0,ROUND(SUMIF(ЗАКАЗЫ!$F$3:$F$500,$A15,ЗАКАЗЫ!$Y$3:$Y$500)/BN15,0),IF(OR(BE15="",BG15=""),"",ROUND(BE15*BG15*(1+Справочники!$B$10),0)))</f>
        <v/>
      </c>
      <c r="BI15" s="92" t="str">
        <f aca="false">IF(OR(AU15="",BH15="",AU15=0),"",(AU15-BH15)/AU15)</f>
        <v/>
      </c>
      <c r="BJ15" s="81"/>
      <c r="BK15" s="83"/>
      <c r="BL15" s="43" t="str">
        <f aca="false">IFERROR(INDEX(ЗАКАЗЫ!$N$3:$N$500,MATCH($A15,ЗАКАЗЫ!$F$3:$F$500,0)),"")</f>
        <v/>
      </c>
      <c r="BM15" s="8" t="str">
        <f aca="false">IF(BL15="","",IFERROR(VLOOKUP(BL15,'ТН ВЭД'!$A$4:$C$40,3,0),""))</f>
        <v/>
      </c>
      <c r="BN15" s="7" t="str">
        <f aca="false">IF(COUNTIF(ЗАКАЗЫ!$F$3:$F$500,$A15)=0,"",SUMIF(ЗАКАЗЫ!$F$3:$F$500,$A15,ЗАКАЗЫ!$J$3:$J$500))</f>
        <v/>
      </c>
      <c r="BO15" s="7" t="str">
        <f aca="false">IF(BN15="","",SUMIF(ЗАКАЗЫ!$F$3:$F$500,$A15,ЗАКАЗЫ!$AL$3:$AL$500))</f>
        <v/>
      </c>
      <c r="BP15" s="7" t="str">
        <f aca="false">IF(BN15="","",BN15-BO15)</f>
        <v/>
      </c>
      <c r="BQ15" s="55" t="str">
        <f aca="false">IF(BN15="","",IF(BO15&gt;=BN15,"На складе",IF(BO15&gt;0,"Частично","Ждём")))</f>
        <v/>
      </c>
      <c r="BR15" s="43"/>
      <c r="BS15" s="47" t="str">
        <f aca="false">IF(BN15="","",IF(_xlfn.MAXIFS(ЗАКАЗЫ!$AK$3:$AK$500,ЗАКАЗЫ!$F$3:$F$500,$A15)=0,"",_xlfn.MAXIFS(ЗАКАЗЫ!$AK$3:$AK$500,ЗАКАЗЫ!$F$3:$F$500,$A15)))</f>
        <v/>
      </c>
    </row>
    <row r="16" customFormat="false" ht="15.75" hidden="false" customHeight="true" outlineLevel="0" collapsed="false">
      <c r="A16" s="80" t="s">
        <v>2556</v>
      </c>
      <c r="B16" s="81"/>
      <c r="C16" s="81"/>
      <c r="D16" s="81"/>
      <c r="E16" s="83"/>
      <c r="F16" s="81"/>
      <c r="G16" s="83"/>
      <c r="H16" s="83"/>
      <c r="I16" s="84" t="str">
        <f aca="false">IF(E16="","",A16&amp;"_1.jpg")</f>
        <v/>
      </c>
      <c r="J16" s="84" t="str">
        <f aca="false">IF(E16="","",A16&amp;"_2.jpg; "&amp;A16&amp;"_3.jpg")</f>
        <v/>
      </c>
      <c r="K16" s="84" t="str">
        <f aca="false">IF(E16="","",A16&amp;"_schema.jpg")</f>
        <v/>
      </c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 t="s">
        <v>96</v>
      </c>
      <c r="W16" s="81"/>
      <c r="X16" s="81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6" t="str">
        <f aca="false">IF(SUM(Y16:AJ16)=0,"",SUM(Y16:AJ16))</f>
        <v/>
      </c>
      <c r="AL16" s="84" t="str">
        <f aca="false">MID(IF(N(Y16)&gt;0,", "&amp;Y$2,"")&amp;IF(N(Z16)&gt;0,", "&amp;Z$2,"")&amp;IF(N(AA16)&gt;0,", "&amp;AA$2,"")&amp;IF(N(AB16)&gt;0,", "&amp;AB$2,"")&amp;IF(N(AC16)&gt;0,", "&amp;AC$2,"")&amp;IF(N(AD16)&gt;0,", "&amp;AD$2,"")&amp;IF(N(AE16)&gt;0,", "&amp;AE$2,"")&amp;IF(N(AF16)&gt;0,", "&amp;AF$2,"")&amp;IF(N(AG16)&gt;0,", "&amp;AG$2,"")&amp;IF(N(AH16)&gt;0,", "&amp;AH$2,"")&amp;IF(N(AI16)&gt;0,", "&amp;AI$2,"")&amp;IF(N(AJ16)&gt;0,", "&amp;AJ$2,""),3,999)</f>
        <v/>
      </c>
      <c r="AM16" s="87" t="str">
        <f aca="false">IF(E16="","",MID(IF(N(Y16)&gt;0,", "&amp;A16&amp;"-"&amp;Y$2,"")&amp;IF(N(Z16)&gt;0,", "&amp;A16&amp;"-"&amp;Z$2,"")&amp;IF(N(AA16)&gt;0,", "&amp;A16&amp;"-"&amp;AA$2,"")&amp;IF(N(AB16)&gt;0,", "&amp;A16&amp;"-"&amp;AB$2,"")&amp;IF(N(AC16)&gt;0,", "&amp;A16&amp;"-"&amp;AC$2,"")&amp;IF(N(AD16)&gt;0,", "&amp;A16&amp;"-"&amp;AD$2,"")&amp;IF(N(AE16)&gt;0,", "&amp;A16&amp;"-"&amp;AE$2,"")&amp;IF(N(AF16)&gt;0,", "&amp;A16&amp;"-"&amp;AF$2,"")&amp;IF(N(AG16)&gt;0,", "&amp;A16&amp;"-"&amp;AG$2,"")&amp;IF(N(AH16)&gt;0,", "&amp;A16&amp;"-"&amp;AH$2,"")&amp;IF(N(AI16)&gt;0,", "&amp;A16&amp;"-"&amp;AI$2,"")&amp;IF(N(AJ16)&gt;0,", "&amp;A16&amp;"-"&amp;AJ$2,""),3,999))</f>
        <v/>
      </c>
      <c r="AN16" s="81"/>
      <c r="AO16" s="88"/>
      <c r="AP16" s="89" t="str">
        <f aca="false">IF(AO16="","",ROUND(AO16/(1+Справочники!$B$13),2))</f>
        <v/>
      </c>
      <c r="AQ16" s="90" t="str">
        <f aca="false" t="array" ref="AQ16:AQ16">IF(AP16="","",AP16*INDEX(Справочники!$B$4:$B$7,MATCH("RUB",Справочники!$A$4:$A$7,0)))</f>
        <v/>
      </c>
      <c r="AR16" s="90" t="str">
        <f aca="false">IF(AQ16="","",ROUND(AQ16*(1+Справочники!$B$12),0))</f>
        <v/>
      </c>
      <c r="AS16" s="90" t="str">
        <f aca="false">IF(AR16="","",ROUND(AR16*(1-Справочники!$B$11),0))</f>
        <v/>
      </c>
      <c r="AT16" s="88"/>
      <c r="AU16" s="90" t="str">
        <f aca="false">IF(AT16="","",ROUND(AT16/(1+Справочники!$B$12),0))</f>
        <v/>
      </c>
      <c r="AV16" s="90" t="str">
        <f aca="false">IF(AT16="","",ROUND(AT16*(1-Справочники!$B$15),0))</f>
        <v/>
      </c>
      <c r="AW16" s="90" t="str">
        <f aca="false">IF(AT16="","",ROUND(AT16*(1-Справочники!$B$16),0))</f>
        <v/>
      </c>
      <c r="AX16" s="90" t="str">
        <f aca="false">IF(AT16="","",ROUND(AT16*(1-Справочники!$B$17),0))</f>
        <v/>
      </c>
      <c r="AY16" s="90" t="str">
        <f aca="false">IF(AT16="","",ROUND(AT16*(1-Справочники!$B$18),0))</f>
        <v/>
      </c>
      <c r="AZ16" s="90" t="str">
        <f aca="false">IF(AT16="","",ROUND(AT16*(1-Справочники!$B$19),0))</f>
        <v/>
      </c>
      <c r="BA16" s="81"/>
      <c r="BB16" s="81"/>
      <c r="BC16" s="81"/>
      <c r="BD16" s="81"/>
      <c r="BE16" s="91"/>
      <c r="BF16" s="81" t="s">
        <v>103</v>
      </c>
      <c r="BG16" s="89" t="n">
        <f aca="false" t="array" ref="BG16:BG16">IF(BF16="","",IFERROR(INDEX(Справочники!$B$4:$B$7,MATCH(BF16,Справочники!$A$4:$A$7,0)),""))</f>
        <v>68.5</v>
      </c>
      <c r="BH16" s="90" t="str">
        <f aca="false">IF(N(BN16)&gt;0,ROUND(SUMIF(ЗАКАЗЫ!$F$3:$F$500,$A16,ЗАКАЗЫ!$Y$3:$Y$500)/BN16,0),IF(OR(BE16="",BG16=""),"",ROUND(BE16*BG16*(1+Справочники!$B$10),0)))</f>
        <v/>
      </c>
      <c r="BI16" s="92" t="str">
        <f aca="false">IF(OR(AU16="",BH16="",AU16=0),"",(AU16-BH16)/AU16)</f>
        <v/>
      </c>
      <c r="BJ16" s="81"/>
      <c r="BK16" s="83"/>
      <c r="BL16" s="43" t="str">
        <f aca="false">IFERROR(INDEX(ЗАКАЗЫ!$N$3:$N$500,MATCH($A16,ЗАКАЗЫ!$F$3:$F$500,0)),"")</f>
        <v/>
      </c>
      <c r="BM16" s="8" t="str">
        <f aca="false">IF(BL16="","",IFERROR(VLOOKUP(BL16,'ТН ВЭД'!$A$4:$C$40,3,0),""))</f>
        <v/>
      </c>
      <c r="BN16" s="7" t="str">
        <f aca="false">IF(COUNTIF(ЗАКАЗЫ!$F$3:$F$500,$A16)=0,"",SUMIF(ЗАКАЗЫ!$F$3:$F$500,$A16,ЗАКАЗЫ!$J$3:$J$500))</f>
        <v/>
      </c>
      <c r="BO16" s="7" t="str">
        <f aca="false">IF(BN16="","",SUMIF(ЗАКАЗЫ!$F$3:$F$500,$A16,ЗАКАЗЫ!$AL$3:$AL$500))</f>
        <v/>
      </c>
      <c r="BP16" s="7" t="str">
        <f aca="false">IF(BN16="","",BN16-BO16)</f>
        <v/>
      </c>
      <c r="BQ16" s="55" t="str">
        <f aca="false">IF(BN16="","",IF(BO16&gt;=BN16,"На складе",IF(BO16&gt;0,"Частично","Ждём")))</f>
        <v/>
      </c>
      <c r="BR16" s="43"/>
      <c r="BS16" s="47" t="str">
        <f aca="false">IF(BN16="","",IF(_xlfn.MAXIFS(ЗАКАЗЫ!$AK$3:$AK$500,ЗАКАЗЫ!$F$3:$F$500,$A16)=0,"",_xlfn.MAXIFS(ЗАКАЗЫ!$AK$3:$AK$500,ЗАКАЗЫ!$F$3:$F$500,$A16)))</f>
        <v/>
      </c>
    </row>
    <row r="17" customFormat="false" ht="15.75" hidden="false" customHeight="true" outlineLevel="0" collapsed="false">
      <c r="A17" s="80" t="s">
        <v>2557</v>
      </c>
      <c r="B17" s="81"/>
      <c r="C17" s="81"/>
      <c r="D17" s="81"/>
      <c r="E17" s="83"/>
      <c r="F17" s="81"/>
      <c r="G17" s="83"/>
      <c r="H17" s="83"/>
      <c r="I17" s="84" t="str">
        <f aca="false">IF(E17="","",A17&amp;"_1.jpg")</f>
        <v/>
      </c>
      <c r="J17" s="84" t="str">
        <f aca="false">IF(E17="","",A17&amp;"_2.jpg; "&amp;A17&amp;"_3.jpg")</f>
        <v/>
      </c>
      <c r="K17" s="84" t="str">
        <f aca="false">IF(E17="","",A17&amp;"_schema.jpg")</f>
        <v/>
      </c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 t="s">
        <v>96</v>
      </c>
      <c r="W17" s="81"/>
      <c r="X17" s="81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6" t="str">
        <f aca="false">IF(SUM(Y17:AJ17)=0,"",SUM(Y17:AJ17))</f>
        <v/>
      </c>
      <c r="AL17" s="84" t="str">
        <f aca="false">MID(IF(N(Y17)&gt;0,", "&amp;Y$2,"")&amp;IF(N(Z17)&gt;0,", "&amp;Z$2,"")&amp;IF(N(AA17)&gt;0,", "&amp;AA$2,"")&amp;IF(N(AB17)&gt;0,", "&amp;AB$2,"")&amp;IF(N(AC17)&gt;0,", "&amp;AC$2,"")&amp;IF(N(AD17)&gt;0,", "&amp;AD$2,"")&amp;IF(N(AE17)&gt;0,", "&amp;AE$2,"")&amp;IF(N(AF17)&gt;0,", "&amp;AF$2,"")&amp;IF(N(AG17)&gt;0,", "&amp;AG$2,"")&amp;IF(N(AH17)&gt;0,", "&amp;AH$2,"")&amp;IF(N(AI17)&gt;0,", "&amp;AI$2,"")&amp;IF(N(AJ17)&gt;0,", "&amp;AJ$2,""),3,999)</f>
        <v/>
      </c>
      <c r="AM17" s="87" t="str">
        <f aca="false">IF(E17="","",MID(IF(N(Y17)&gt;0,", "&amp;A17&amp;"-"&amp;Y$2,"")&amp;IF(N(Z17)&gt;0,", "&amp;A17&amp;"-"&amp;Z$2,"")&amp;IF(N(AA17)&gt;0,", "&amp;A17&amp;"-"&amp;AA$2,"")&amp;IF(N(AB17)&gt;0,", "&amp;A17&amp;"-"&amp;AB$2,"")&amp;IF(N(AC17)&gt;0,", "&amp;A17&amp;"-"&amp;AC$2,"")&amp;IF(N(AD17)&gt;0,", "&amp;A17&amp;"-"&amp;AD$2,"")&amp;IF(N(AE17)&gt;0,", "&amp;A17&amp;"-"&amp;AE$2,"")&amp;IF(N(AF17)&gt;0,", "&amp;A17&amp;"-"&amp;AF$2,"")&amp;IF(N(AG17)&gt;0,", "&amp;A17&amp;"-"&amp;AG$2,"")&amp;IF(N(AH17)&gt;0,", "&amp;A17&amp;"-"&amp;AH$2,"")&amp;IF(N(AI17)&gt;0,", "&amp;A17&amp;"-"&amp;AI$2,"")&amp;IF(N(AJ17)&gt;0,", "&amp;A17&amp;"-"&amp;AJ$2,""),3,999))</f>
        <v/>
      </c>
      <c r="AN17" s="81"/>
      <c r="AO17" s="88"/>
      <c r="AP17" s="89" t="str">
        <f aca="false">IF(AO17="","",ROUND(AO17/(1+Справочники!$B$13),2))</f>
        <v/>
      </c>
      <c r="AQ17" s="90" t="str">
        <f aca="false" t="array" ref="AQ17:AQ17">IF(AP17="","",AP17*INDEX(Справочники!$B$4:$B$7,MATCH("RUB",Справочники!$A$4:$A$7,0)))</f>
        <v/>
      </c>
      <c r="AR17" s="90" t="str">
        <f aca="false">IF(AQ17="","",ROUND(AQ17*(1+Справочники!$B$12),0))</f>
        <v/>
      </c>
      <c r="AS17" s="90" t="str">
        <f aca="false">IF(AR17="","",ROUND(AR17*(1-Справочники!$B$11),0))</f>
        <v/>
      </c>
      <c r="AT17" s="88"/>
      <c r="AU17" s="90" t="str">
        <f aca="false">IF(AT17="","",ROUND(AT17/(1+Справочники!$B$12),0))</f>
        <v/>
      </c>
      <c r="AV17" s="90" t="str">
        <f aca="false">IF(AT17="","",ROUND(AT17*(1-Справочники!$B$15),0))</f>
        <v/>
      </c>
      <c r="AW17" s="90" t="str">
        <f aca="false">IF(AT17="","",ROUND(AT17*(1-Справочники!$B$16),0))</f>
        <v/>
      </c>
      <c r="AX17" s="90" t="str">
        <f aca="false">IF(AT17="","",ROUND(AT17*(1-Справочники!$B$17),0))</f>
        <v/>
      </c>
      <c r="AY17" s="90" t="str">
        <f aca="false">IF(AT17="","",ROUND(AT17*(1-Справочники!$B$18),0))</f>
        <v/>
      </c>
      <c r="AZ17" s="90" t="str">
        <f aca="false">IF(AT17="","",ROUND(AT17*(1-Справочники!$B$19),0))</f>
        <v/>
      </c>
      <c r="BA17" s="81"/>
      <c r="BB17" s="81"/>
      <c r="BC17" s="81"/>
      <c r="BD17" s="81"/>
      <c r="BE17" s="91"/>
      <c r="BF17" s="81" t="s">
        <v>103</v>
      </c>
      <c r="BG17" s="89" t="n">
        <f aca="false" t="array" ref="BG17:BG17">IF(BF17="","",IFERROR(INDEX(Справочники!$B$4:$B$7,MATCH(BF17,Справочники!$A$4:$A$7,0)),""))</f>
        <v>68.5</v>
      </c>
      <c r="BH17" s="90" t="str">
        <f aca="false">IF(N(BN17)&gt;0,ROUND(SUMIF(ЗАКАЗЫ!$F$3:$F$500,$A17,ЗАКАЗЫ!$Y$3:$Y$500)/BN17,0),IF(OR(BE17="",BG17=""),"",ROUND(BE17*BG17*(1+Справочники!$B$10),0)))</f>
        <v/>
      </c>
      <c r="BI17" s="92" t="str">
        <f aca="false">IF(OR(AU17="",BH17="",AU17=0),"",(AU17-BH17)/AU17)</f>
        <v/>
      </c>
      <c r="BJ17" s="81"/>
      <c r="BK17" s="83"/>
      <c r="BL17" s="43" t="str">
        <f aca="false">IFERROR(INDEX(ЗАКАЗЫ!$N$3:$N$500,MATCH($A17,ЗАКАЗЫ!$F$3:$F$500,0)),"")</f>
        <v/>
      </c>
      <c r="BM17" s="8" t="str">
        <f aca="false">IF(BL17="","",IFERROR(VLOOKUP(BL17,'ТН ВЭД'!$A$4:$C$40,3,0),""))</f>
        <v/>
      </c>
      <c r="BN17" s="7" t="str">
        <f aca="false">IF(COUNTIF(ЗАКАЗЫ!$F$3:$F$500,$A17)=0,"",SUMIF(ЗАКАЗЫ!$F$3:$F$500,$A17,ЗАКАЗЫ!$J$3:$J$500))</f>
        <v/>
      </c>
      <c r="BO17" s="7" t="str">
        <f aca="false">IF(BN17="","",SUMIF(ЗАКАЗЫ!$F$3:$F$500,$A17,ЗАКАЗЫ!$AL$3:$AL$500))</f>
        <v/>
      </c>
      <c r="BP17" s="7" t="str">
        <f aca="false">IF(BN17="","",BN17-BO17)</f>
        <v/>
      </c>
      <c r="BQ17" s="55" t="str">
        <f aca="false">IF(BN17="","",IF(BO17&gt;=BN17,"На складе",IF(BO17&gt;0,"Частично","Ждём")))</f>
        <v/>
      </c>
      <c r="BR17" s="43"/>
      <c r="BS17" s="47" t="str">
        <f aca="false">IF(BN17="","",IF(_xlfn.MAXIFS(ЗАКАЗЫ!$AK$3:$AK$500,ЗАКАЗЫ!$F$3:$F$500,$A17)=0,"",_xlfn.MAXIFS(ЗАКАЗЫ!$AK$3:$AK$500,ЗАКАЗЫ!$F$3:$F$500,$A17)))</f>
        <v/>
      </c>
    </row>
    <row r="18" customFormat="false" ht="15.75" hidden="false" customHeight="true" outlineLevel="0" collapsed="false">
      <c r="A18" s="80" t="s">
        <v>2558</v>
      </c>
      <c r="B18" s="81"/>
      <c r="C18" s="81"/>
      <c r="D18" s="81"/>
      <c r="E18" s="83"/>
      <c r="F18" s="81"/>
      <c r="G18" s="83"/>
      <c r="H18" s="83"/>
      <c r="I18" s="84" t="str">
        <f aca="false">IF(E18="","",A18&amp;"_1.jpg")</f>
        <v/>
      </c>
      <c r="J18" s="84" t="str">
        <f aca="false">IF(E18="","",A18&amp;"_2.jpg; "&amp;A18&amp;"_3.jpg")</f>
        <v/>
      </c>
      <c r="K18" s="84" t="str">
        <f aca="false">IF(E18="","",A18&amp;"_schema.jpg")</f>
        <v/>
      </c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 t="s">
        <v>96</v>
      </c>
      <c r="W18" s="81"/>
      <c r="X18" s="81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6" t="str">
        <f aca="false">IF(SUM(Y18:AJ18)=0,"",SUM(Y18:AJ18))</f>
        <v/>
      </c>
      <c r="AL18" s="84" t="str">
        <f aca="false">MID(IF(N(Y18)&gt;0,", "&amp;Y$2,"")&amp;IF(N(Z18)&gt;0,", "&amp;Z$2,"")&amp;IF(N(AA18)&gt;0,", "&amp;AA$2,"")&amp;IF(N(AB18)&gt;0,", "&amp;AB$2,"")&amp;IF(N(AC18)&gt;0,", "&amp;AC$2,"")&amp;IF(N(AD18)&gt;0,", "&amp;AD$2,"")&amp;IF(N(AE18)&gt;0,", "&amp;AE$2,"")&amp;IF(N(AF18)&gt;0,", "&amp;AF$2,"")&amp;IF(N(AG18)&gt;0,", "&amp;AG$2,"")&amp;IF(N(AH18)&gt;0,", "&amp;AH$2,"")&amp;IF(N(AI18)&gt;0,", "&amp;AI$2,"")&amp;IF(N(AJ18)&gt;0,", "&amp;AJ$2,""),3,999)</f>
        <v/>
      </c>
      <c r="AM18" s="87" t="str">
        <f aca="false">IF(E18="","",MID(IF(N(Y18)&gt;0,", "&amp;A18&amp;"-"&amp;Y$2,"")&amp;IF(N(Z18)&gt;0,", "&amp;A18&amp;"-"&amp;Z$2,"")&amp;IF(N(AA18)&gt;0,", "&amp;A18&amp;"-"&amp;AA$2,"")&amp;IF(N(AB18)&gt;0,", "&amp;A18&amp;"-"&amp;AB$2,"")&amp;IF(N(AC18)&gt;0,", "&amp;A18&amp;"-"&amp;AC$2,"")&amp;IF(N(AD18)&gt;0,", "&amp;A18&amp;"-"&amp;AD$2,"")&amp;IF(N(AE18)&gt;0,", "&amp;A18&amp;"-"&amp;AE$2,"")&amp;IF(N(AF18)&gt;0,", "&amp;A18&amp;"-"&amp;AF$2,"")&amp;IF(N(AG18)&gt;0,", "&amp;A18&amp;"-"&amp;AG$2,"")&amp;IF(N(AH18)&gt;0,", "&amp;A18&amp;"-"&amp;AH$2,"")&amp;IF(N(AI18)&gt;0,", "&amp;A18&amp;"-"&amp;AI$2,"")&amp;IF(N(AJ18)&gt;0,", "&amp;A18&amp;"-"&amp;AJ$2,""),3,999))</f>
        <v/>
      </c>
      <c r="AN18" s="81"/>
      <c r="AO18" s="88"/>
      <c r="AP18" s="89" t="str">
        <f aca="false">IF(AO18="","",ROUND(AO18/(1+Справочники!$B$13),2))</f>
        <v/>
      </c>
      <c r="AQ18" s="90" t="str">
        <f aca="false" t="array" ref="AQ18:AQ18">IF(AP18="","",AP18*INDEX(Справочники!$B$4:$B$7,MATCH("RUB",Справочники!$A$4:$A$7,0)))</f>
        <v/>
      </c>
      <c r="AR18" s="90" t="str">
        <f aca="false">IF(AQ18="","",ROUND(AQ18*(1+Справочники!$B$12),0))</f>
        <v/>
      </c>
      <c r="AS18" s="90" t="str">
        <f aca="false">IF(AR18="","",ROUND(AR18*(1-Справочники!$B$11),0))</f>
        <v/>
      </c>
      <c r="AT18" s="88"/>
      <c r="AU18" s="90" t="str">
        <f aca="false">IF(AT18="","",ROUND(AT18/(1+Справочники!$B$12),0))</f>
        <v/>
      </c>
      <c r="AV18" s="90" t="str">
        <f aca="false">IF(AT18="","",ROUND(AT18*(1-Справочники!$B$15),0))</f>
        <v/>
      </c>
      <c r="AW18" s="90" t="str">
        <f aca="false">IF(AT18="","",ROUND(AT18*(1-Справочники!$B$16),0))</f>
        <v/>
      </c>
      <c r="AX18" s="90" t="str">
        <f aca="false">IF(AT18="","",ROUND(AT18*(1-Справочники!$B$17),0))</f>
        <v/>
      </c>
      <c r="AY18" s="90" t="str">
        <f aca="false">IF(AT18="","",ROUND(AT18*(1-Справочники!$B$18),0))</f>
        <v/>
      </c>
      <c r="AZ18" s="90" t="str">
        <f aca="false">IF(AT18="","",ROUND(AT18*(1-Справочники!$B$19),0))</f>
        <v/>
      </c>
      <c r="BA18" s="81"/>
      <c r="BB18" s="81"/>
      <c r="BC18" s="81"/>
      <c r="BD18" s="81"/>
      <c r="BE18" s="91"/>
      <c r="BF18" s="81" t="s">
        <v>103</v>
      </c>
      <c r="BG18" s="89" t="n">
        <f aca="false" t="array" ref="BG18:BG18">IF(BF18="","",IFERROR(INDEX(Справочники!$B$4:$B$7,MATCH(BF18,Справочники!$A$4:$A$7,0)),""))</f>
        <v>68.5</v>
      </c>
      <c r="BH18" s="90" t="str">
        <f aca="false">IF(N(BN18)&gt;0,ROUND(SUMIF(ЗАКАЗЫ!$F$3:$F$500,$A18,ЗАКАЗЫ!$Y$3:$Y$500)/BN18,0),IF(OR(BE18="",BG18=""),"",ROUND(BE18*BG18*(1+Справочники!$B$10),0)))</f>
        <v/>
      </c>
      <c r="BI18" s="92" t="str">
        <f aca="false">IF(OR(AU18="",BH18="",AU18=0),"",(AU18-BH18)/AU18)</f>
        <v/>
      </c>
      <c r="BJ18" s="81"/>
      <c r="BK18" s="83"/>
      <c r="BL18" s="43" t="str">
        <f aca="false">IFERROR(INDEX(ЗАКАЗЫ!$N$3:$N$500,MATCH($A18,ЗАКАЗЫ!$F$3:$F$500,0)),"")</f>
        <v/>
      </c>
      <c r="BM18" s="8" t="str">
        <f aca="false">IF(BL18="","",IFERROR(VLOOKUP(BL18,'ТН ВЭД'!$A$4:$C$40,3,0),""))</f>
        <v/>
      </c>
      <c r="BN18" s="7" t="str">
        <f aca="false">IF(COUNTIF(ЗАКАЗЫ!$F$3:$F$500,$A18)=0,"",SUMIF(ЗАКАЗЫ!$F$3:$F$500,$A18,ЗАКАЗЫ!$J$3:$J$500))</f>
        <v/>
      </c>
      <c r="BO18" s="7" t="str">
        <f aca="false">IF(BN18="","",SUMIF(ЗАКАЗЫ!$F$3:$F$500,$A18,ЗАКАЗЫ!$AL$3:$AL$500))</f>
        <v/>
      </c>
      <c r="BP18" s="7" t="str">
        <f aca="false">IF(BN18="","",BN18-BO18)</f>
        <v/>
      </c>
      <c r="BQ18" s="55" t="str">
        <f aca="false">IF(BN18="","",IF(BO18&gt;=BN18,"На складе",IF(BO18&gt;0,"Частично","Ждём")))</f>
        <v/>
      </c>
      <c r="BR18" s="43"/>
      <c r="BS18" s="47" t="str">
        <f aca="false">IF(BN18="","",IF(_xlfn.MAXIFS(ЗАКАЗЫ!$AK$3:$AK$500,ЗАКАЗЫ!$F$3:$F$500,$A18)=0,"",_xlfn.MAXIFS(ЗАКАЗЫ!$AK$3:$AK$500,ЗАКАЗЫ!$F$3:$F$500,$A18)))</f>
        <v/>
      </c>
    </row>
    <row r="19" customFormat="false" ht="15.75" hidden="false" customHeight="true" outlineLevel="0" collapsed="false">
      <c r="A19" s="80" t="s">
        <v>2559</v>
      </c>
      <c r="B19" s="81"/>
      <c r="C19" s="81"/>
      <c r="D19" s="81"/>
      <c r="E19" s="83"/>
      <c r="F19" s="81"/>
      <c r="G19" s="83"/>
      <c r="H19" s="83"/>
      <c r="I19" s="84" t="str">
        <f aca="false">IF(E19="","",A19&amp;"_1.jpg")</f>
        <v/>
      </c>
      <c r="J19" s="84" t="str">
        <f aca="false">IF(E19="","",A19&amp;"_2.jpg; "&amp;A19&amp;"_3.jpg")</f>
        <v/>
      </c>
      <c r="K19" s="84" t="str">
        <f aca="false">IF(E19="","",A19&amp;"_schema.jpg")</f>
        <v/>
      </c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 t="s">
        <v>96</v>
      </c>
      <c r="W19" s="81"/>
      <c r="X19" s="81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6" t="str">
        <f aca="false">IF(SUM(Y19:AJ19)=0,"",SUM(Y19:AJ19))</f>
        <v/>
      </c>
      <c r="AL19" s="84" t="str">
        <f aca="false">MID(IF(N(Y19)&gt;0,", "&amp;Y$2,"")&amp;IF(N(Z19)&gt;0,", "&amp;Z$2,"")&amp;IF(N(AA19)&gt;0,", "&amp;AA$2,"")&amp;IF(N(AB19)&gt;0,", "&amp;AB$2,"")&amp;IF(N(AC19)&gt;0,", "&amp;AC$2,"")&amp;IF(N(AD19)&gt;0,", "&amp;AD$2,"")&amp;IF(N(AE19)&gt;0,", "&amp;AE$2,"")&amp;IF(N(AF19)&gt;0,", "&amp;AF$2,"")&amp;IF(N(AG19)&gt;0,", "&amp;AG$2,"")&amp;IF(N(AH19)&gt;0,", "&amp;AH$2,"")&amp;IF(N(AI19)&gt;0,", "&amp;AI$2,"")&amp;IF(N(AJ19)&gt;0,", "&amp;AJ$2,""),3,999)</f>
        <v/>
      </c>
      <c r="AM19" s="87" t="str">
        <f aca="false">IF(E19="","",MID(IF(N(Y19)&gt;0,", "&amp;A19&amp;"-"&amp;Y$2,"")&amp;IF(N(Z19)&gt;0,", "&amp;A19&amp;"-"&amp;Z$2,"")&amp;IF(N(AA19)&gt;0,", "&amp;A19&amp;"-"&amp;AA$2,"")&amp;IF(N(AB19)&gt;0,", "&amp;A19&amp;"-"&amp;AB$2,"")&amp;IF(N(AC19)&gt;0,", "&amp;A19&amp;"-"&amp;AC$2,"")&amp;IF(N(AD19)&gt;0,", "&amp;A19&amp;"-"&amp;AD$2,"")&amp;IF(N(AE19)&gt;0,", "&amp;A19&amp;"-"&amp;AE$2,"")&amp;IF(N(AF19)&gt;0,", "&amp;A19&amp;"-"&amp;AF$2,"")&amp;IF(N(AG19)&gt;0,", "&amp;A19&amp;"-"&amp;AG$2,"")&amp;IF(N(AH19)&gt;0,", "&amp;A19&amp;"-"&amp;AH$2,"")&amp;IF(N(AI19)&gt;0,", "&amp;A19&amp;"-"&amp;AI$2,"")&amp;IF(N(AJ19)&gt;0,", "&amp;A19&amp;"-"&amp;AJ$2,""),3,999))</f>
        <v/>
      </c>
      <c r="AN19" s="81"/>
      <c r="AO19" s="88"/>
      <c r="AP19" s="89" t="str">
        <f aca="false">IF(AO19="","",ROUND(AO19/(1+Справочники!$B$13),2))</f>
        <v/>
      </c>
      <c r="AQ19" s="90" t="str">
        <f aca="false" t="array" ref="AQ19:AQ19">IF(AP19="","",AP19*INDEX(Справочники!$B$4:$B$7,MATCH("RUB",Справочники!$A$4:$A$7,0)))</f>
        <v/>
      </c>
      <c r="AR19" s="90" t="str">
        <f aca="false">IF(AQ19="","",ROUND(AQ19*(1+Справочники!$B$12),0))</f>
        <v/>
      </c>
      <c r="AS19" s="90" t="str">
        <f aca="false">IF(AR19="","",ROUND(AR19*(1-Справочники!$B$11),0))</f>
        <v/>
      </c>
      <c r="AT19" s="88"/>
      <c r="AU19" s="90" t="str">
        <f aca="false">IF(AT19="","",ROUND(AT19/(1+Справочники!$B$12),0))</f>
        <v/>
      </c>
      <c r="AV19" s="90" t="str">
        <f aca="false">IF(AT19="","",ROUND(AT19*(1-Справочники!$B$15),0))</f>
        <v/>
      </c>
      <c r="AW19" s="90" t="str">
        <f aca="false">IF(AT19="","",ROUND(AT19*(1-Справочники!$B$16),0))</f>
        <v/>
      </c>
      <c r="AX19" s="90" t="str">
        <f aca="false">IF(AT19="","",ROUND(AT19*(1-Справочники!$B$17),0))</f>
        <v/>
      </c>
      <c r="AY19" s="90" t="str">
        <f aca="false">IF(AT19="","",ROUND(AT19*(1-Справочники!$B$18),0))</f>
        <v/>
      </c>
      <c r="AZ19" s="90" t="str">
        <f aca="false">IF(AT19="","",ROUND(AT19*(1-Справочники!$B$19),0))</f>
        <v/>
      </c>
      <c r="BA19" s="81"/>
      <c r="BB19" s="81"/>
      <c r="BC19" s="81"/>
      <c r="BD19" s="81"/>
      <c r="BE19" s="91"/>
      <c r="BF19" s="81" t="s">
        <v>103</v>
      </c>
      <c r="BG19" s="89" t="n">
        <f aca="false" t="array" ref="BG19:BG19">IF(BF19="","",IFERROR(INDEX(Справочники!$B$4:$B$7,MATCH(BF19,Справочники!$A$4:$A$7,0)),""))</f>
        <v>68.5</v>
      </c>
      <c r="BH19" s="90" t="str">
        <f aca="false">IF(N(BN19)&gt;0,ROUND(SUMIF(ЗАКАЗЫ!$F$3:$F$500,$A19,ЗАКАЗЫ!$Y$3:$Y$500)/BN19,0),IF(OR(BE19="",BG19=""),"",ROUND(BE19*BG19*(1+Справочники!$B$10),0)))</f>
        <v/>
      </c>
      <c r="BI19" s="92" t="str">
        <f aca="false">IF(OR(AU19="",BH19="",AU19=0),"",(AU19-BH19)/AU19)</f>
        <v/>
      </c>
      <c r="BJ19" s="81"/>
      <c r="BK19" s="83"/>
      <c r="BL19" s="43" t="str">
        <f aca="false">IFERROR(INDEX(ЗАКАЗЫ!$N$3:$N$500,MATCH($A19,ЗАКАЗЫ!$F$3:$F$500,0)),"")</f>
        <v/>
      </c>
      <c r="BM19" s="8" t="str">
        <f aca="false">IF(BL19="","",IFERROR(VLOOKUP(BL19,'ТН ВЭД'!$A$4:$C$40,3,0),""))</f>
        <v/>
      </c>
      <c r="BN19" s="7" t="str">
        <f aca="false">IF(COUNTIF(ЗАКАЗЫ!$F$3:$F$500,$A19)=0,"",SUMIF(ЗАКАЗЫ!$F$3:$F$500,$A19,ЗАКАЗЫ!$J$3:$J$500))</f>
        <v/>
      </c>
      <c r="BO19" s="7" t="str">
        <f aca="false">IF(BN19="","",SUMIF(ЗАКАЗЫ!$F$3:$F$500,$A19,ЗАКАЗЫ!$AL$3:$AL$500))</f>
        <v/>
      </c>
      <c r="BP19" s="7" t="str">
        <f aca="false">IF(BN19="","",BN19-BO19)</f>
        <v/>
      </c>
      <c r="BQ19" s="55" t="str">
        <f aca="false">IF(BN19="","",IF(BO19&gt;=BN19,"На складе",IF(BO19&gt;0,"Частично","Ждём")))</f>
        <v/>
      </c>
      <c r="BR19" s="43"/>
      <c r="BS19" s="47" t="str">
        <f aca="false">IF(BN19="","",IF(_xlfn.MAXIFS(ЗАКАЗЫ!$AK$3:$AK$500,ЗАКАЗЫ!$F$3:$F$500,$A19)=0,"",_xlfn.MAXIFS(ЗАКАЗЫ!$AK$3:$AK$500,ЗАКАЗЫ!$F$3:$F$500,$A19)))</f>
        <v/>
      </c>
    </row>
    <row r="20" customFormat="false" ht="15.75" hidden="false" customHeight="true" outlineLevel="0" collapsed="false">
      <c r="A20" s="80" t="s">
        <v>2560</v>
      </c>
      <c r="B20" s="81"/>
      <c r="C20" s="81"/>
      <c r="D20" s="81"/>
      <c r="E20" s="83"/>
      <c r="F20" s="81"/>
      <c r="G20" s="83"/>
      <c r="H20" s="83"/>
      <c r="I20" s="84" t="str">
        <f aca="false">IF(E20="","",A20&amp;"_1.jpg")</f>
        <v/>
      </c>
      <c r="J20" s="84" t="str">
        <f aca="false">IF(E20="","",A20&amp;"_2.jpg; "&amp;A20&amp;"_3.jpg")</f>
        <v/>
      </c>
      <c r="K20" s="84" t="str">
        <f aca="false">IF(E20="","",A20&amp;"_schema.jpg")</f>
        <v/>
      </c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 t="s">
        <v>96</v>
      </c>
      <c r="W20" s="81"/>
      <c r="X20" s="81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6" t="str">
        <f aca="false">IF(SUM(Y20:AJ20)=0,"",SUM(Y20:AJ20))</f>
        <v/>
      </c>
      <c r="AL20" s="84" t="str">
        <f aca="false">MID(IF(N(Y20)&gt;0,", "&amp;Y$2,"")&amp;IF(N(Z20)&gt;0,", "&amp;Z$2,"")&amp;IF(N(AA20)&gt;0,", "&amp;AA$2,"")&amp;IF(N(AB20)&gt;0,", "&amp;AB$2,"")&amp;IF(N(AC20)&gt;0,", "&amp;AC$2,"")&amp;IF(N(AD20)&gt;0,", "&amp;AD$2,"")&amp;IF(N(AE20)&gt;0,", "&amp;AE$2,"")&amp;IF(N(AF20)&gt;0,", "&amp;AF$2,"")&amp;IF(N(AG20)&gt;0,", "&amp;AG$2,"")&amp;IF(N(AH20)&gt;0,", "&amp;AH$2,"")&amp;IF(N(AI20)&gt;0,", "&amp;AI$2,"")&amp;IF(N(AJ20)&gt;0,", "&amp;AJ$2,""),3,999)</f>
        <v/>
      </c>
      <c r="AM20" s="87" t="str">
        <f aca="false">IF(E20="","",MID(IF(N(Y20)&gt;0,", "&amp;A20&amp;"-"&amp;Y$2,"")&amp;IF(N(Z20)&gt;0,", "&amp;A20&amp;"-"&amp;Z$2,"")&amp;IF(N(AA20)&gt;0,", "&amp;A20&amp;"-"&amp;AA$2,"")&amp;IF(N(AB20)&gt;0,", "&amp;A20&amp;"-"&amp;AB$2,"")&amp;IF(N(AC20)&gt;0,", "&amp;A20&amp;"-"&amp;AC$2,"")&amp;IF(N(AD20)&gt;0,", "&amp;A20&amp;"-"&amp;AD$2,"")&amp;IF(N(AE20)&gt;0,", "&amp;A20&amp;"-"&amp;AE$2,"")&amp;IF(N(AF20)&gt;0,", "&amp;A20&amp;"-"&amp;AF$2,"")&amp;IF(N(AG20)&gt;0,", "&amp;A20&amp;"-"&amp;AG$2,"")&amp;IF(N(AH20)&gt;0,", "&amp;A20&amp;"-"&amp;AH$2,"")&amp;IF(N(AI20)&gt;0,", "&amp;A20&amp;"-"&amp;AI$2,"")&amp;IF(N(AJ20)&gt;0,", "&amp;A20&amp;"-"&amp;AJ$2,""),3,999))</f>
        <v/>
      </c>
      <c r="AN20" s="81"/>
      <c r="AO20" s="88"/>
      <c r="AP20" s="89" t="str">
        <f aca="false">IF(AO20="","",ROUND(AO20/(1+Справочники!$B$13),2))</f>
        <v/>
      </c>
      <c r="AQ20" s="90" t="str">
        <f aca="false" t="array" ref="AQ20:AQ20">IF(AP20="","",AP20*INDEX(Справочники!$B$4:$B$7,MATCH("RUB",Справочники!$A$4:$A$7,0)))</f>
        <v/>
      </c>
      <c r="AR20" s="90" t="str">
        <f aca="false">IF(AQ20="","",ROUND(AQ20*(1+Справочники!$B$12),0))</f>
        <v/>
      </c>
      <c r="AS20" s="90" t="str">
        <f aca="false">IF(AR20="","",ROUND(AR20*(1-Справочники!$B$11),0))</f>
        <v/>
      </c>
      <c r="AT20" s="88"/>
      <c r="AU20" s="90" t="str">
        <f aca="false">IF(AT20="","",ROUND(AT20/(1+Справочники!$B$12),0))</f>
        <v/>
      </c>
      <c r="AV20" s="90" t="str">
        <f aca="false">IF(AT20="","",ROUND(AT20*(1-Справочники!$B$15),0))</f>
        <v/>
      </c>
      <c r="AW20" s="90" t="str">
        <f aca="false">IF(AT20="","",ROUND(AT20*(1-Справочники!$B$16),0))</f>
        <v/>
      </c>
      <c r="AX20" s="90" t="str">
        <f aca="false">IF(AT20="","",ROUND(AT20*(1-Справочники!$B$17),0))</f>
        <v/>
      </c>
      <c r="AY20" s="90" t="str">
        <f aca="false">IF(AT20="","",ROUND(AT20*(1-Справочники!$B$18),0))</f>
        <v/>
      </c>
      <c r="AZ20" s="90" t="str">
        <f aca="false">IF(AT20="","",ROUND(AT20*(1-Справочники!$B$19),0))</f>
        <v/>
      </c>
      <c r="BA20" s="81"/>
      <c r="BB20" s="81"/>
      <c r="BC20" s="81"/>
      <c r="BD20" s="81"/>
      <c r="BE20" s="91"/>
      <c r="BF20" s="81" t="s">
        <v>103</v>
      </c>
      <c r="BG20" s="89" t="n">
        <f aca="false" t="array" ref="BG20:BG20">IF(BF20="","",IFERROR(INDEX(Справочники!$B$4:$B$7,MATCH(BF20,Справочники!$A$4:$A$7,0)),""))</f>
        <v>68.5</v>
      </c>
      <c r="BH20" s="90" t="str">
        <f aca="false">IF(N(BN20)&gt;0,ROUND(SUMIF(ЗАКАЗЫ!$F$3:$F$500,$A20,ЗАКАЗЫ!$Y$3:$Y$500)/BN20,0),IF(OR(BE20="",BG20=""),"",ROUND(BE20*BG20*(1+Справочники!$B$10),0)))</f>
        <v/>
      </c>
      <c r="BI20" s="92" t="str">
        <f aca="false">IF(OR(AU20="",BH20="",AU20=0),"",(AU20-BH20)/AU20)</f>
        <v/>
      </c>
      <c r="BJ20" s="81"/>
      <c r="BK20" s="83"/>
      <c r="BL20" s="43" t="str">
        <f aca="false">IFERROR(INDEX(ЗАКАЗЫ!$N$3:$N$500,MATCH($A20,ЗАКАЗЫ!$F$3:$F$500,0)),"")</f>
        <v/>
      </c>
      <c r="BM20" s="8" t="str">
        <f aca="false">IF(BL20="","",IFERROR(VLOOKUP(BL20,'ТН ВЭД'!$A$4:$C$40,3,0),""))</f>
        <v/>
      </c>
      <c r="BN20" s="7" t="str">
        <f aca="false">IF(COUNTIF(ЗАКАЗЫ!$F$3:$F$500,$A20)=0,"",SUMIF(ЗАКАЗЫ!$F$3:$F$500,$A20,ЗАКАЗЫ!$J$3:$J$500))</f>
        <v/>
      </c>
      <c r="BO20" s="7" t="str">
        <f aca="false">IF(BN20="","",SUMIF(ЗАКАЗЫ!$F$3:$F$500,$A20,ЗАКАЗЫ!$AL$3:$AL$500))</f>
        <v/>
      </c>
      <c r="BP20" s="7" t="str">
        <f aca="false">IF(BN20="","",BN20-BO20)</f>
        <v/>
      </c>
      <c r="BQ20" s="55" t="str">
        <f aca="false">IF(BN20="","",IF(BO20&gt;=BN20,"На складе",IF(BO20&gt;0,"Частично","Ждём")))</f>
        <v/>
      </c>
      <c r="BR20" s="43"/>
      <c r="BS20" s="47" t="str">
        <f aca="false">IF(BN20="","",IF(_xlfn.MAXIFS(ЗАКАЗЫ!$AK$3:$AK$500,ЗАКАЗЫ!$F$3:$F$500,$A20)=0,"",_xlfn.MAXIFS(ЗАКАЗЫ!$AK$3:$AK$500,ЗАКАЗЫ!$F$3:$F$500,$A20)))</f>
        <v/>
      </c>
    </row>
    <row r="21" customFormat="false" ht="15.75" hidden="false" customHeight="true" outlineLevel="0" collapsed="false">
      <c r="A21" s="80" t="s">
        <v>2561</v>
      </c>
      <c r="B21" s="81"/>
      <c r="C21" s="81"/>
      <c r="D21" s="81"/>
      <c r="E21" s="83"/>
      <c r="F21" s="81"/>
      <c r="G21" s="83"/>
      <c r="H21" s="83"/>
      <c r="I21" s="84" t="str">
        <f aca="false">IF(E21="","",A21&amp;"_1.jpg")</f>
        <v/>
      </c>
      <c r="J21" s="84" t="str">
        <f aca="false">IF(E21="","",A21&amp;"_2.jpg; "&amp;A21&amp;"_3.jpg")</f>
        <v/>
      </c>
      <c r="K21" s="84" t="str">
        <f aca="false">IF(E21="","",A21&amp;"_schema.jpg")</f>
        <v/>
      </c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 t="s">
        <v>96</v>
      </c>
      <c r="W21" s="81"/>
      <c r="X21" s="81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6" t="str">
        <f aca="false">IF(SUM(Y21:AJ21)=0,"",SUM(Y21:AJ21))</f>
        <v/>
      </c>
      <c r="AL21" s="84" t="str">
        <f aca="false">MID(IF(N(Y21)&gt;0,", "&amp;Y$2,"")&amp;IF(N(Z21)&gt;0,", "&amp;Z$2,"")&amp;IF(N(AA21)&gt;0,", "&amp;AA$2,"")&amp;IF(N(AB21)&gt;0,", "&amp;AB$2,"")&amp;IF(N(AC21)&gt;0,", "&amp;AC$2,"")&amp;IF(N(AD21)&gt;0,", "&amp;AD$2,"")&amp;IF(N(AE21)&gt;0,", "&amp;AE$2,"")&amp;IF(N(AF21)&gt;0,", "&amp;AF$2,"")&amp;IF(N(AG21)&gt;0,", "&amp;AG$2,"")&amp;IF(N(AH21)&gt;0,", "&amp;AH$2,"")&amp;IF(N(AI21)&gt;0,", "&amp;AI$2,"")&amp;IF(N(AJ21)&gt;0,", "&amp;AJ$2,""),3,999)</f>
        <v/>
      </c>
      <c r="AM21" s="87" t="str">
        <f aca="false">IF(E21="","",MID(IF(N(Y21)&gt;0,", "&amp;A21&amp;"-"&amp;Y$2,"")&amp;IF(N(Z21)&gt;0,", "&amp;A21&amp;"-"&amp;Z$2,"")&amp;IF(N(AA21)&gt;0,", "&amp;A21&amp;"-"&amp;AA$2,"")&amp;IF(N(AB21)&gt;0,", "&amp;A21&amp;"-"&amp;AB$2,"")&amp;IF(N(AC21)&gt;0,", "&amp;A21&amp;"-"&amp;AC$2,"")&amp;IF(N(AD21)&gt;0,", "&amp;A21&amp;"-"&amp;AD$2,"")&amp;IF(N(AE21)&gt;0,", "&amp;A21&amp;"-"&amp;AE$2,"")&amp;IF(N(AF21)&gt;0,", "&amp;A21&amp;"-"&amp;AF$2,"")&amp;IF(N(AG21)&gt;0,", "&amp;A21&amp;"-"&amp;AG$2,"")&amp;IF(N(AH21)&gt;0,", "&amp;A21&amp;"-"&amp;AH$2,"")&amp;IF(N(AI21)&gt;0,", "&amp;A21&amp;"-"&amp;AI$2,"")&amp;IF(N(AJ21)&gt;0,", "&amp;A21&amp;"-"&amp;AJ$2,""),3,999))</f>
        <v/>
      </c>
      <c r="AN21" s="81"/>
      <c r="AO21" s="88"/>
      <c r="AP21" s="89" t="str">
        <f aca="false">IF(AO21="","",ROUND(AO21/(1+Справочники!$B$13),2))</f>
        <v/>
      </c>
      <c r="AQ21" s="90" t="str">
        <f aca="false" t="array" ref="AQ21:AQ21">IF(AP21="","",AP21*INDEX(Справочники!$B$4:$B$7,MATCH("RUB",Справочники!$A$4:$A$7,0)))</f>
        <v/>
      </c>
      <c r="AR21" s="90" t="str">
        <f aca="false">IF(AQ21="","",ROUND(AQ21*(1+Справочники!$B$12),0))</f>
        <v/>
      </c>
      <c r="AS21" s="90" t="str">
        <f aca="false">IF(AR21="","",ROUND(AR21*(1-Справочники!$B$11),0))</f>
        <v/>
      </c>
      <c r="AT21" s="88"/>
      <c r="AU21" s="90" t="str">
        <f aca="false">IF(AT21="","",ROUND(AT21/(1+Справочники!$B$12),0))</f>
        <v/>
      </c>
      <c r="AV21" s="90" t="str">
        <f aca="false">IF(AT21="","",ROUND(AT21*(1-Справочники!$B$15),0))</f>
        <v/>
      </c>
      <c r="AW21" s="90" t="str">
        <f aca="false">IF(AT21="","",ROUND(AT21*(1-Справочники!$B$16),0))</f>
        <v/>
      </c>
      <c r="AX21" s="90" t="str">
        <f aca="false">IF(AT21="","",ROUND(AT21*(1-Справочники!$B$17),0))</f>
        <v/>
      </c>
      <c r="AY21" s="90" t="str">
        <f aca="false">IF(AT21="","",ROUND(AT21*(1-Справочники!$B$18),0))</f>
        <v/>
      </c>
      <c r="AZ21" s="90" t="str">
        <f aca="false">IF(AT21="","",ROUND(AT21*(1-Справочники!$B$19),0))</f>
        <v/>
      </c>
      <c r="BA21" s="81"/>
      <c r="BB21" s="81"/>
      <c r="BC21" s="81"/>
      <c r="BD21" s="81"/>
      <c r="BE21" s="91"/>
      <c r="BF21" s="81" t="s">
        <v>103</v>
      </c>
      <c r="BG21" s="89" t="n">
        <f aca="false" t="array" ref="BG21:BG21">IF(BF21="","",IFERROR(INDEX(Справочники!$B$4:$B$7,MATCH(BF21,Справочники!$A$4:$A$7,0)),""))</f>
        <v>68.5</v>
      </c>
      <c r="BH21" s="90" t="str">
        <f aca="false">IF(N(BN21)&gt;0,ROUND(SUMIF(ЗАКАЗЫ!$F$3:$F$500,$A21,ЗАКАЗЫ!$Y$3:$Y$500)/BN21,0),IF(OR(BE21="",BG21=""),"",ROUND(BE21*BG21*(1+Справочники!$B$10),0)))</f>
        <v/>
      </c>
      <c r="BI21" s="92" t="str">
        <f aca="false">IF(OR(AU21="",BH21="",AU21=0),"",(AU21-BH21)/AU21)</f>
        <v/>
      </c>
      <c r="BJ21" s="81"/>
      <c r="BK21" s="83"/>
      <c r="BL21" s="43" t="str">
        <f aca="false">IFERROR(INDEX(ЗАКАЗЫ!$N$3:$N$500,MATCH($A21,ЗАКАЗЫ!$F$3:$F$500,0)),"")</f>
        <v/>
      </c>
      <c r="BM21" s="8" t="str">
        <f aca="false">IF(BL21="","",IFERROR(VLOOKUP(BL21,'ТН ВЭД'!$A$4:$C$40,3,0),""))</f>
        <v/>
      </c>
      <c r="BN21" s="7" t="str">
        <f aca="false">IF(COUNTIF(ЗАКАЗЫ!$F$3:$F$500,$A21)=0,"",SUMIF(ЗАКАЗЫ!$F$3:$F$500,$A21,ЗАКАЗЫ!$J$3:$J$500))</f>
        <v/>
      </c>
      <c r="BO21" s="7" t="str">
        <f aca="false">IF(BN21="","",SUMIF(ЗАКАЗЫ!$F$3:$F$500,$A21,ЗАКАЗЫ!$AL$3:$AL$500))</f>
        <v/>
      </c>
      <c r="BP21" s="7" t="str">
        <f aca="false">IF(BN21="","",BN21-BO21)</f>
        <v/>
      </c>
      <c r="BQ21" s="55" t="str">
        <f aca="false">IF(BN21="","",IF(BO21&gt;=BN21,"На складе",IF(BO21&gt;0,"Частично","Ждём")))</f>
        <v/>
      </c>
      <c r="BR21" s="43"/>
      <c r="BS21" s="47" t="str">
        <f aca="false">IF(BN21="","",IF(_xlfn.MAXIFS(ЗАКАЗЫ!$AK$3:$AK$500,ЗАКАЗЫ!$F$3:$F$500,$A21)=0,"",_xlfn.MAXIFS(ЗАКАЗЫ!$AK$3:$AK$500,ЗАКАЗЫ!$F$3:$F$500,$A21)))</f>
        <v/>
      </c>
    </row>
    <row r="22" customFormat="false" ht="15.75" hidden="false" customHeight="true" outlineLevel="0" collapsed="false">
      <c r="A22" s="80" t="s">
        <v>2562</v>
      </c>
      <c r="B22" s="81"/>
      <c r="C22" s="81"/>
      <c r="D22" s="81"/>
      <c r="E22" s="83"/>
      <c r="F22" s="81"/>
      <c r="G22" s="83"/>
      <c r="H22" s="83"/>
      <c r="I22" s="84" t="str">
        <f aca="false">IF(E22="","",A22&amp;"_1.jpg")</f>
        <v/>
      </c>
      <c r="J22" s="84" t="str">
        <f aca="false">IF(E22="","",A22&amp;"_2.jpg; "&amp;A22&amp;"_3.jpg")</f>
        <v/>
      </c>
      <c r="K22" s="84" t="str">
        <f aca="false">IF(E22="","",A22&amp;"_schema.jpg")</f>
        <v/>
      </c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 t="s">
        <v>96</v>
      </c>
      <c r="W22" s="81"/>
      <c r="X22" s="81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6" t="str">
        <f aca="false">IF(SUM(Y22:AJ22)=0,"",SUM(Y22:AJ22))</f>
        <v/>
      </c>
      <c r="AL22" s="84" t="str">
        <f aca="false">MID(IF(N(Y22)&gt;0,", "&amp;Y$2,"")&amp;IF(N(Z22)&gt;0,", "&amp;Z$2,"")&amp;IF(N(AA22)&gt;0,", "&amp;AA$2,"")&amp;IF(N(AB22)&gt;0,", "&amp;AB$2,"")&amp;IF(N(AC22)&gt;0,", "&amp;AC$2,"")&amp;IF(N(AD22)&gt;0,", "&amp;AD$2,"")&amp;IF(N(AE22)&gt;0,", "&amp;AE$2,"")&amp;IF(N(AF22)&gt;0,", "&amp;AF$2,"")&amp;IF(N(AG22)&gt;0,", "&amp;AG$2,"")&amp;IF(N(AH22)&gt;0,", "&amp;AH$2,"")&amp;IF(N(AI22)&gt;0,", "&amp;AI$2,"")&amp;IF(N(AJ22)&gt;0,", "&amp;AJ$2,""),3,999)</f>
        <v/>
      </c>
      <c r="AM22" s="87" t="str">
        <f aca="false">IF(E22="","",MID(IF(N(Y22)&gt;0,", "&amp;A22&amp;"-"&amp;Y$2,"")&amp;IF(N(Z22)&gt;0,", "&amp;A22&amp;"-"&amp;Z$2,"")&amp;IF(N(AA22)&gt;0,", "&amp;A22&amp;"-"&amp;AA$2,"")&amp;IF(N(AB22)&gt;0,", "&amp;A22&amp;"-"&amp;AB$2,"")&amp;IF(N(AC22)&gt;0,", "&amp;A22&amp;"-"&amp;AC$2,"")&amp;IF(N(AD22)&gt;0,", "&amp;A22&amp;"-"&amp;AD$2,"")&amp;IF(N(AE22)&gt;0,", "&amp;A22&amp;"-"&amp;AE$2,"")&amp;IF(N(AF22)&gt;0,", "&amp;A22&amp;"-"&amp;AF$2,"")&amp;IF(N(AG22)&gt;0,", "&amp;A22&amp;"-"&amp;AG$2,"")&amp;IF(N(AH22)&gt;0,", "&amp;A22&amp;"-"&amp;AH$2,"")&amp;IF(N(AI22)&gt;0,", "&amp;A22&amp;"-"&amp;AI$2,"")&amp;IF(N(AJ22)&gt;0,", "&amp;A22&amp;"-"&amp;AJ$2,""),3,999))</f>
        <v/>
      </c>
      <c r="AN22" s="81"/>
      <c r="AO22" s="88"/>
      <c r="AP22" s="89" t="str">
        <f aca="false">IF(AO22="","",ROUND(AO22/(1+Справочники!$B$13),2))</f>
        <v/>
      </c>
      <c r="AQ22" s="90" t="str">
        <f aca="false" t="array" ref="AQ22:AQ22">IF(AP22="","",AP22*INDEX(Справочники!$B$4:$B$7,MATCH("RUB",Справочники!$A$4:$A$7,0)))</f>
        <v/>
      </c>
      <c r="AR22" s="90" t="str">
        <f aca="false">IF(AQ22="","",ROUND(AQ22*(1+Справочники!$B$12),0))</f>
        <v/>
      </c>
      <c r="AS22" s="90" t="str">
        <f aca="false">IF(AR22="","",ROUND(AR22*(1-Справочники!$B$11),0))</f>
        <v/>
      </c>
      <c r="AT22" s="88"/>
      <c r="AU22" s="90" t="str">
        <f aca="false">IF(AT22="","",ROUND(AT22/(1+Справочники!$B$12),0))</f>
        <v/>
      </c>
      <c r="AV22" s="90" t="str">
        <f aca="false">IF(AT22="","",ROUND(AT22*(1-Справочники!$B$15),0))</f>
        <v/>
      </c>
      <c r="AW22" s="90" t="str">
        <f aca="false">IF(AT22="","",ROUND(AT22*(1-Справочники!$B$16),0))</f>
        <v/>
      </c>
      <c r="AX22" s="90" t="str">
        <f aca="false">IF(AT22="","",ROUND(AT22*(1-Справочники!$B$17),0))</f>
        <v/>
      </c>
      <c r="AY22" s="90" t="str">
        <f aca="false">IF(AT22="","",ROUND(AT22*(1-Справочники!$B$18),0))</f>
        <v/>
      </c>
      <c r="AZ22" s="90" t="str">
        <f aca="false">IF(AT22="","",ROUND(AT22*(1-Справочники!$B$19),0))</f>
        <v/>
      </c>
      <c r="BA22" s="81"/>
      <c r="BB22" s="81"/>
      <c r="BC22" s="81"/>
      <c r="BD22" s="81"/>
      <c r="BE22" s="91"/>
      <c r="BF22" s="81" t="s">
        <v>103</v>
      </c>
      <c r="BG22" s="89" t="n">
        <f aca="false" t="array" ref="BG22:BG22">IF(BF22="","",IFERROR(INDEX(Справочники!$B$4:$B$7,MATCH(BF22,Справочники!$A$4:$A$7,0)),""))</f>
        <v>68.5</v>
      </c>
      <c r="BH22" s="90" t="str">
        <f aca="false">IF(N(BN22)&gt;0,ROUND(SUMIF(ЗАКАЗЫ!$F$3:$F$500,$A22,ЗАКАЗЫ!$Y$3:$Y$500)/BN22,0),IF(OR(BE22="",BG22=""),"",ROUND(BE22*BG22*(1+Справочники!$B$10),0)))</f>
        <v/>
      </c>
      <c r="BI22" s="92" t="str">
        <f aca="false">IF(OR(AU22="",BH22="",AU22=0),"",(AU22-BH22)/AU22)</f>
        <v/>
      </c>
      <c r="BJ22" s="81"/>
      <c r="BK22" s="83"/>
      <c r="BL22" s="43" t="str">
        <f aca="false">IFERROR(INDEX(ЗАКАЗЫ!$N$3:$N$500,MATCH($A22,ЗАКАЗЫ!$F$3:$F$500,0)),"")</f>
        <v/>
      </c>
      <c r="BM22" s="8" t="str">
        <f aca="false">IF(BL22="","",IFERROR(VLOOKUP(BL22,'ТН ВЭД'!$A$4:$C$40,3,0),""))</f>
        <v/>
      </c>
      <c r="BN22" s="7" t="str">
        <f aca="false">IF(COUNTIF(ЗАКАЗЫ!$F$3:$F$500,$A22)=0,"",SUMIF(ЗАКАЗЫ!$F$3:$F$500,$A22,ЗАКАЗЫ!$J$3:$J$500))</f>
        <v/>
      </c>
      <c r="BO22" s="7" t="str">
        <f aca="false">IF(BN22="","",SUMIF(ЗАКАЗЫ!$F$3:$F$500,$A22,ЗАКАЗЫ!$AL$3:$AL$500))</f>
        <v/>
      </c>
      <c r="BP22" s="7" t="str">
        <f aca="false">IF(BN22="","",BN22-BO22)</f>
        <v/>
      </c>
      <c r="BQ22" s="55" t="str">
        <f aca="false">IF(BN22="","",IF(BO22&gt;=BN22,"На складе",IF(BO22&gt;0,"Частично","Ждём")))</f>
        <v/>
      </c>
      <c r="BR22" s="43"/>
      <c r="BS22" s="47" t="str">
        <f aca="false">IF(BN22="","",IF(_xlfn.MAXIFS(ЗАКАЗЫ!$AK$3:$AK$500,ЗАКАЗЫ!$F$3:$F$500,$A22)=0,"",_xlfn.MAXIFS(ЗАКАЗЫ!$AK$3:$AK$500,ЗАКАЗЫ!$F$3:$F$500,$A22)))</f>
        <v/>
      </c>
    </row>
    <row r="23" customFormat="false" ht="15.75" hidden="false" customHeight="true" outlineLevel="0" collapsed="false">
      <c r="A23" s="80" t="s">
        <v>2563</v>
      </c>
      <c r="B23" s="81"/>
      <c r="C23" s="81"/>
      <c r="D23" s="81"/>
      <c r="E23" s="83"/>
      <c r="F23" s="81"/>
      <c r="G23" s="83"/>
      <c r="H23" s="83"/>
      <c r="I23" s="84" t="str">
        <f aca="false">IF(E23="","",A23&amp;"_1.jpg")</f>
        <v/>
      </c>
      <c r="J23" s="84" t="str">
        <f aca="false">IF(E23="","",A23&amp;"_2.jpg; "&amp;A23&amp;"_3.jpg")</f>
        <v/>
      </c>
      <c r="K23" s="84" t="str">
        <f aca="false">IF(E23="","",A23&amp;"_schema.jpg")</f>
        <v/>
      </c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 t="s">
        <v>96</v>
      </c>
      <c r="W23" s="81"/>
      <c r="X23" s="81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6" t="str">
        <f aca="false">IF(SUM(Y23:AJ23)=0,"",SUM(Y23:AJ23))</f>
        <v/>
      </c>
      <c r="AL23" s="84" t="str">
        <f aca="false">MID(IF(N(Y23)&gt;0,", "&amp;Y$2,"")&amp;IF(N(Z23)&gt;0,", "&amp;Z$2,"")&amp;IF(N(AA23)&gt;0,", "&amp;AA$2,"")&amp;IF(N(AB23)&gt;0,", "&amp;AB$2,"")&amp;IF(N(AC23)&gt;0,", "&amp;AC$2,"")&amp;IF(N(AD23)&gt;0,", "&amp;AD$2,"")&amp;IF(N(AE23)&gt;0,", "&amp;AE$2,"")&amp;IF(N(AF23)&gt;0,", "&amp;AF$2,"")&amp;IF(N(AG23)&gt;0,", "&amp;AG$2,"")&amp;IF(N(AH23)&gt;0,", "&amp;AH$2,"")&amp;IF(N(AI23)&gt;0,", "&amp;AI$2,"")&amp;IF(N(AJ23)&gt;0,", "&amp;AJ$2,""),3,999)</f>
        <v/>
      </c>
      <c r="AM23" s="87" t="str">
        <f aca="false">IF(E23="","",MID(IF(N(Y23)&gt;0,", "&amp;A23&amp;"-"&amp;Y$2,"")&amp;IF(N(Z23)&gt;0,", "&amp;A23&amp;"-"&amp;Z$2,"")&amp;IF(N(AA23)&gt;0,", "&amp;A23&amp;"-"&amp;AA$2,"")&amp;IF(N(AB23)&gt;0,", "&amp;A23&amp;"-"&amp;AB$2,"")&amp;IF(N(AC23)&gt;0,", "&amp;A23&amp;"-"&amp;AC$2,"")&amp;IF(N(AD23)&gt;0,", "&amp;A23&amp;"-"&amp;AD$2,"")&amp;IF(N(AE23)&gt;0,", "&amp;A23&amp;"-"&amp;AE$2,"")&amp;IF(N(AF23)&gt;0,", "&amp;A23&amp;"-"&amp;AF$2,"")&amp;IF(N(AG23)&gt;0,", "&amp;A23&amp;"-"&amp;AG$2,"")&amp;IF(N(AH23)&gt;0,", "&amp;A23&amp;"-"&amp;AH$2,"")&amp;IF(N(AI23)&gt;0,", "&amp;A23&amp;"-"&amp;AI$2,"")&amp;IF(N(AJ23)&gt;0,", "&amp;A23&amp;"-"&amp;AJ$2,""),3,999))</f>
        <v/>
      </c>
      <c r="AN23" s="81"/>
      <c r="AO23" s="88"/>
      <c r="AP23" s="89" t="str">
        <f aca="false">IF(AO23="","",ROUND(AO23/(1+Справочники!$B$13),2))</f>
        <v/>
      </c>
      <c r="AQ23" s="90" t="str">
        <f aca="false" t="array" ref="AQ23:AQ23">IF(AP23="","",AP23*INDEX(Справочники!$B$4:$B$7,MATCH("RUB",Справочники!$A$4:$A$7,0)))</f>
        <v/>
      </c>
      <c r="AR23" s="90" t="str">
        <f aca="false">IF(AQ23="","",ROUND(AQ23*(1+Справочники!$B$12),0))</f>
        <v/>
      </c>
      <c r="AS23" s="90" t="str">
        <f aca="false">IF(AR23="","",ROUND(AR23*(1-Справочники!$B$11),0))</f>
        <v/>
      </c>
      <c r="AT23" s="88"/>
      <c r="AU23" s="90" t="str">
        <f aca="false">IF(AT23="","",ROUND(AT23/(1+Справочники!$B$12),0))</f>
        <v/>
      </c>
      <c r="AV23" s="90" t="str">
        <f aca="false">IF(AT23="","",ROUND(AT23*(1-Справочники!$B$15),0))</f>
        <v/>
      </c>
      <c r="AW23" s="90" t="str">
        <f aca="false">IF(AT23="","",ROUND(AT23*(1-Справочники!$B$16),0))</f>
        <v/>
      </c>
      <c r="AX23" s="90" t="str">
        <f aca="false">IF(AT23="","",ROUND(AT23*(1-Справочники!$B$17),0))</f>
        <v/>
      </c>
      <c r="AY23" s="90" t="str">
        <f aca="false">IF(AT23="","",ROUND(AT23*(1-Справочники!$B$18),0))</f>
        <v/>
      </c>
      <c r="AZ23" s="90" t="str">
        <f aca="false">IF(AT23="","",ROUND(AT23*(1-Справочники!$B$19),0))</f>
        <v/>
      </c>
      <c r="BA23" s="81"/>
      <c r="BB23" s="81"/>
      <c r="BC23" s="81"/>
      <c r="BD23" s="81"/>
      <c r="BE23" s="91"/>
      <c r="BF23" s="81" t="s">
        <v>103</v>
      </c>
      <c r="BG23" s="89" t="n">
        <f aca="false" t="array" ref="BG23:BG23">IF(BF23="","",IFERROR(INDEX(Справочники!$B$4:$B$7,MATCH(BF23,Справочники!$A$4:$A$7,0)),""))</f>
        <v>68.5</v>
      </c>
      <c r="BH23" s="90" t="str">
        <f aca="false">IF(N(BN23)&gt;0,ROUND(SUMIF(ЗАКАЗЫ!$F$3:$F$500,$A23,ЗАКАЗЫ!$Y$3:$Y$500)/BN23,0),IF(OR(BE23="",BG23=""),"",ROUND(BE23*BG23*(1+Справочники!$B$10),0)))</f>
        <v/>
      </c>
      <c r="BI23" s="92" t="str">
        <f aca="false">IF(OR(AU23="",BH23="",AU23=0),"",(AU23-BH23)/AU23)</f>
        <v/>
      </c>
      <c r="BJ23" s="81"/>
      <c r="BK23" s="83"/>
      <c r="BL23" s="43" t="str">
        <f aca="false">IFERROR(INDEX(ЗАКАЗЫ!$N$3:$N$500,MATCH($A23,ЗАКАЗЫ!$F$3:$F$500,0)),"")</f>
        <v/>
      </c>
      <c r="BM23" s="8" t="str">
        <f aca="false">IF(BL23="","",IFERROR(VLOOKUP(BL23,'ТН ВЭД'!$A$4:$C$40,3,0),""))</f>
        <v/>
      </c>
      <c r="BN23" s="7" t="str">
        <f aca="false">IF(COUNTIF(ЗАКАЗЫ!$F$3:$F$500,$A23)=0,"",SUMIF(ЗАКАЗЫ!$F$3:$F$500,$A23,ЗАКАЗЫ!$J$3:$J$500))</f>
        <v/>
      </c>
      <c r="BO23" s="7" t="str">
        <f aca="false">IF(BN23="","",SUMIF(ЗАКАЗЫ!$F$3:$F$500,$A23,ЗАКАЗЫ!$AL$3:$AL$500))</f>
        <v/>
      </c>
      <c r="BP23" s="7" t="str">
        <f aca="false">IF(BN23="","",BN23-BO23)</f>
        <v/>
      </c>
      <c r="BQ23" s="55" t="str">
        <f aca="false">IF(BN23="","",IF(BO23&gt;=BN23,"На складе",IF(BO23&gt;0,"Частично","Ждём")))</f>
        <v/>
      </c>
      <c r="BR23" s="43"/>
      <c r="BS23" s="47" t="str">
        <f aca="false">IF(BN23="","",IF(_xlfn.MAXIFS(ЗАКАЗЫ!$AK$3:$AK$500,ЗАКАЗЫ!$F$3:$F$500,$A23)=0,"",_xlfn.MAXIFS(ЗАКАЗЫ!$AK$3:$AK$500,ЗАКАЗЫ!$F$3:$F$500,$A23)))</f>
        <v/>
      </c>
    </row>
    <row r="24" customFormat="false" ht="15.75" hidden="false" customHeight="true" outlineLevel="0" collapsed="false">
      <c r="A24" s="80" t="s">
        <v>2564</v>
      </c>
      <c r="B24" s="81"/>
      <c r="C24" s="81"/>
      <c r="D24" s="81"/>
      <c r="E24" s="83"/>
      <c r="F24" s="81"/>
      <c r="G24" s="83"/>
      <c r="H24" s="83"/>
      <c r="I24" s="84" t="str">
        <f aca="false">IF(E24="","",A24&amp;"_1.jpg")</f>
        <v/>
      </c>
      <c r="J24" s="84" t="str">
        <f aca="false">IF(E24="","",A24&amp;"_2.jpg; "&amp;A24&amp;"_3.jpg")</f>
        <v/>
      </c>
      <c r="K24" s="84" t="str">
        <f aca="false">IF(E24="","",A24&amp;"_schema.jpg")</f>
        <v/>
      </c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 t="s">
        <v>96</v>
      </c>
      <c r="W24" s="81"/>
      <c r="X24" s="81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6" t="str">
        <f aca="false">IF(SUM(Y24:AJ24)=0,"",SUM(Y24:AJ24))</f>
        <v/>
      </c>
      <c r="AL24" s="84" t="str">
        <f aca="false">MID(IF(N(Y24)&gt;0,", "&amp;Y$2,"")&amp;IF(N(Z24)&gt;0,", "&amp;Z$2,"")&amp;IF(N(AA24)&gt;0,", "&amp;AA$2,"")&amp;IF(N(AB24)&gt;0,", "&amp;AB$2,"")&amp;IF(N(AC24)&gt;0,", "&amp;AC$2,"")&amp;IF(N(AD24)&gt;0,", "&amp;AD$2,"")&amp;IF(N(AE24)&gt;0,", "&amp;AE$2,"")&amp;IF(N(AF24)&gt;0,", "&amp;AF$2,"")&amp;IF(N(AG24)&gt;0,", "&amp;AG$2,"")&amp;IF(N(AH24)&gt;0,", "&amp;AH$2,"")&amp;IF(N(AI24)&gt;0,", "&amp;AI$2,"")&amp;IF(N(AJ24)&gt;0,", "&amp;AJ$2,""),3,999)</f>
        <v/>
      </c>
      <c r="AM24" s="87" t="str">
        <f aca="false">IF(E24="","",MID(IF(N(Y24)&gt;0,", "&amp;A24&amp;"-"&amp;Y$2,"")&amp;IF(N(Z24)&gt;0,", "&amp;A24&amp;"-"&amp;Z$2,"")&amp;IF(N(AA24)&gt;0,", "&amp;A24&amp;"-"&amp;AA$2,"")&amp;IF(N(AB24)&gt;0,", "&amp;A24&amp;"-"&amp;AB$2,"")&amp;IF(N(AC24)&gt;0,", "&amp;A24&amp;"-"&amp;AC$2,"")&amp;IF(N(AD24)&gt;0,", "&amp;A24&amp;"-"&amp;AD$2,"")&amp;IF(N(AE24)&gt;0,", "&amp;A24&amp;"-"&amp;AE$2,"")&amp;IF(N(AF24)&gt;0,", "&amp;A24&amp;"-"&amp;AF$2,"")&amp;IF(N(AG24)&gt;0,", "&amp;A24&amp;"-"&amp;AG$2,"")&amp;IF(N(AH24)&gt;0,", "&amp;A24&amp;"-"&amp;AH$2,"")&amp;IF(N(AI24)&gt;0,", "&amp;A24&amp;"-"&amp;AI$2,"")&amp;IF(N(AJ24)&gt;0,", "&amp;A24&amp;"-"&amp;AJ$2,""),3,999))</f>
        <v/>
      </c>
      <c r="AN24" s="81"/>
      <c r="AO24" s="88"/>
      <c r="AP24" s="89" t="str">
        <f aca="false">IF(AO24="","",ROUND(AO24/(1+Справочники!$B$13),2))</f>
        <v/>
      </c>
      <c r="AQ24" s="90" t="str">
        <f aca="false" t="array" ref="AQ24:AQ24">IF(AP24="","",AP24*INDEX(Справочники!$B$4:$B$7,MATCH("RUB",Справочники!$A$4:$A$7,0)))</f>
        <v/>
      </c>
      <c r="AR24" s="90" t="str">
        <f aca="false">IF(AQ24="","",ROUND(AQ24*(1+Справочники!$B$12),0))</f>
        <v/>
      </c>
      <c r="AS24" s="90" t="str">
        <f aca="false">IF(AR24="","",ROUND(AR24*(1-Справочники!$B$11),0))</f>
        <v/>
      </c>
      <c r="AT24" s="88"/>
      <c r="AU24" s="90" t="str">
        <f aca="false">IF(AT24="","",ROUND(AT24/(1+Справочники!$B$12),0))</f>
        <v/>
      </c>
      <c r="AV24" s="90" t="str">
        <f aca="false">IF(AT24="","",ROUND(AT24*(1-Справочники!$B$15),0))</f>
        <v/>
      </c>
      <c r="AW24" s="90" t="str">
        <f aca="false">IF(AT24="","",ROUND(AT24*(1-Справочники!$B$16),0))</f>
        <v/>
      </c>
      <c r="AX24" s="90" t="str">
        <f aca="false">IF(AT24="","",ROUND(AT24*(1-Справочники!$B$17),0))</f>
        <v/>
      </c>
      <c r="AY24" s="90" t="str">
        <f aca="false">IF(AT24="","",ROUND(AT24*(1-Справочники!$B$18),0))</f>
        <v/>
      </c>
      <c r="AZ24" s="90" t="str">
        <f aca="false">IF(AT24="","",ROUND(AT24*(1-Справочники!$B$19),0))</f>
        <v/>
      </c>
      <c r="BA24" s="81"/>
      <c r="BB24" s="81"/>
      <c r="BC24" s="81"/>
      <c r="BD24" s="81"/>
      <c r="BE24" s="91"/>
      <c r="BF24" s="81" t="s">
        <v>103</v>
      </c>
      <c r="BG24" s="89" t="n">
        <f aca="false" t="array" ref="BG24:BG24">IF(BF24="","",IFERROR(INDEX(Справочники!$B$4:$B$7,MATCH(BF24,Справочники!$A$4:$A$7,0)),""))</f>
        <v>68.5</v>
      </c>
      <c r="BH24" s="90" t="str">
        <f aca="false">IF(N(BN24)&gt;0,ROUND(SUMIF(ЗАКАЗЫ!$F$3:$F$500,$A24,ЗАКАЗЫ!$Y$3:$Y$500)/BN24,0),IF(OR(BE24="",BG24=""),"",ROUND(BE24*BG24*(1+Справочники!$B$10),0)))</f>
        <v/>
      </c>
      <c r="BI24" s="92" t="str">
        <f aca="false">IF(OR(AU24="",BH24="",AU24=0),"",(AU24-BH24)/AU24)</f>
        <v/>
      </c>
      <c r="BJ24" s="81"/>
      <c r="BK24" s="83"/>
      <c r="BL24" s="43" t="str">
        <f aca="false">IFERROR(INDEX(ЗАКАЗЫ!$N$3:$N$500,MATCH($A24,ЗАКАЗЫ!$F$3:$F$500,0)),"")</f>
        <v/>
      </c>
      <c r="BM24" s="8" t="str">
        <f aca="false">IF(BL24="","",IFERROR(VLOOKUP(BL24,'ТН ВЭД'!$A$4:$C$40,3,0),""))</f>
        <v/>
      </c>
      <c r="BN24" s="7" t="str">
        <f aca="false">IF(COUNTIF(ЗАКАЗЫ!$F$3:$F$500,$A24)=0,"",SUMIF(ЗАКАЗЫ!$F$3:$F$500,$A24,ЗАКАЗЫ!$J$3:$J$500))</f>
        <v/>
      </c>
      <c r="BO24" s="7" t="str">
        <f aca="false">IF(BN24="","",SUMIF(ЗАКАЗЫ!$F$3:$F$500,$A24,ЗАКАЗЫ!$AL$3:$AL$500))</f>
        <v/>
      </c>
      <c r="BP24" s="7" t="str">
        <f aca="false">IF(BN24="","",BN24-BO24)</f>
        <v/>
      </c>
      <c r="BQ24" s="55" t="str">
        <f aca="false">IF(BN24="","",IF(BO24&gt;=BN24,"На складе",IF(BO24&gt;0,"Частично","Ждём")))</f>
        <v/>
      </c>
      <c r="BR24" s="43"/>
      <c r="BS24" s="47" t="str">
        <f aca="false">IF(BN24="","",IF(_xlfn.MAXIFS(ЗАКАЗЫ!$AK$3:$AK$500,ЗАКАЗЫ!$F$3:$F$500,$A24)=0,"",_xlfn.MAXIFS(ЗАКАЗЫ!$AK$3:$AK$500,ЗАКАЗЫ!$F$3:$F$500,$A24)))</f>
        <v/>
      </c>
    </row>
    <row r="25" customFormat="false" ht="15.75" hidden="false" customHeight="true" outlineLevel="0" collapsed="false">
      <c r="A25" s="80" t="s">
        <v>2565</v>
      </c>
      <c r="B25" s="81"/>
      <c r="C25" s="81"/>
      <c r="D25" s="81"/>
      <c r="E25" s="83"/>
      <c r="F25" s="81"/>
      <c r="G25" s="83"/>
      <c r="H25" s="83"/>
      <c r="I25" s="84" t="str">
        <f aca="false">IF(E25="","",A25&amp;"_1.jpg")</f>
        <v/>
      </c>
      <c r="J25" s="84" t="str">
        <f aca="false">IF(E25="","",A25&amp;"_2.jpg; "&amp;A25&amp;"_3.jpg")</f>
        <v/>
      </c>
      <c r="K25" s="84" t="str">
        <f aca="false">IF(E25="","",A25&amp;"_schema.jpg")</f>
        <v/>
      </c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 t="s">
        <v>96</v>
      </c>
      <c r="W25" s="81"/>
      <c r="X25" s="81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6" t="str">
        <f aca="false">IF(SUM(Y25:AJ25)=0,"",SUM(Y25:AJ25))</f>
        <v/>
      </c>
      <c r="AL25" s="84" t="str">
        <f aca="false">MID(IF(N(Y25)&gt;0,", "&amp;Y$2,"")&amp;IF(N(Z25)&gt;0,", "&amp;Z$2,"")&amp;IF(N(AA25)&gt;0,", "&amp;AA$2,"")&amp;IF(N(AB25)&gt;0,", "&amp;AB$2,"")&amp;IF(N(AC25)&gt;0,", "&amp;AC$2,"")&amp;IF(N(AD25)&gt;0,", "&amp;AD$2,"")&amp;IF(N(AE25)&gt;0,", "&amp;AE$2,"")&amp;IF(N(AF25)&gt;0,", "&amp;AF$2,"")&amp;IF(N(AG25)&gt;0,", "&amp;AG$2,"")&amp;IF(N(AH25)&gt;0,", "&amp;AH$2,"")&amp;IF(N(AI25)&gt;0,", "&amp;AI$2,"")&amp;IF(N(AJ25)&gt;0,", "&amp;AJ$2,""),3,999)</f>
        <v/>
      </c>
      <c r="AM25" s="87" t="str">
        <f aca="false">IF(E25="","",MID(IF(N(Y25)&gt;0,", "&amp;A25&amp;"-"&amp;Y$2,"")&amp;IF(N(Z25)&gt;0,", "&amp;A25&amp;"-"&amp;Z$2,"")&amp;IF(N(AA25)&gt;0,", "&amp;A25&amp;"-"&amp;AA$2,"")&amp;IF(N(AB25)&gt;0,", "&amp;A25&amp;"-"&amp;AB$2,"")&amp;IF(N(AC25)&gt;0,", "&amp;A25&amp;"-"&amp;AC$2,"")&amp;IF(N(AD25)&gt;0,", "&amp;A25&amp;"-"&amp;AD$2,"")&amp;IF(N(AE25)&gt;0,", "&amp;A25&amp;"-"&amp;AE$2,"")&amp;IF(N(AF25)&gt;0,", "&amp;A25&amp;"-"&amp;AF$2,"")&amp;IF(N(AG25)&gt;0,", "&amp;A25&amp;"-"&amp;AG$2,"")&amp;IF(N(AH25)&gt;0,", "&amp;A25&amp;"-"&amp;AH$2,"")&amp;IF(N(AI25)&gt;0,", "&amp;A25&amp;"-"&amp;AI$2,"")&amp;IF(N(AJ25)&gt;0,", "&amp;A25&amp;"-"&amp;AJ$2,""),3,999))</f>
        <v/>
      </c>
      <c r="AN25" s="81"/>
      <c r="AO25" s="88"/>
      <c r="AP25" s="89" t="str">
        <f aca="false">IF(AO25="","",ROUND(AO25/(1+Справочники!$B$13),2))</f>
        <v/>
      </c>
      <c r="AQ25" s="90" t="str">
        <f aca="false" t="array" ref="AQ25:AQ25">IF(AP25="","",AP25*INDEX(Справочники!$B$4:$B$7,MATCH("RUB",Справочники!$A$4:$A$7,0)))</f>
        <v/>
      </c>
      <c r="AR25" s="90" t="str">
        <f aca="false">IF(AQ25="","",ROUND(AQ25*(1+Справочники!$B$12),0))</f>
        <v/>
      </c>
      <c r="AS25" s="90" t="str">
        <f aca="false">IF(AR25="","",ROUND(AR25*(1-Справочники!$B$11),0))</f>
        <v/>
      </c>
      <c r="AT25" s="88"/>
      <c r="AU25" s="90" t="str">
        <f aca="false">IF(AT25="","",ROUND(AT25/(1+Справочники!$B$12),0))</f>
        <v/>
      </c>
      <c r="AV25" s="90" t="str">
        <f aca="false">IF(AT25="","",ROUND(AT25*(1-Справочники!$B$15),0))</f>
        <v/>
      </c>
      <c r="AW25" s="90" t="str">
        <f aca="false">IF(AT25="","",ROUND(AT25*(1-Справочники!$B$16),0))</f>
        <v/>
      </c>
      <c r="AX25" s="90" t="str">
        <f aca="false">IF(AT25="","",ROUND(AT25*(1-Справочники!$B$17),0))</f>
        <v/>
      </c>
      <c r="AY25" s="90" t="str">
        <f aca="false">IF(AT25="","",ROUND(AT25*(1-Справочники!$B$18),0))</f>
        <v/>
      </c>
      <c r="AZ25" s="90" t="str">
        <f aca="false">IF(AT25="","",ROUND(AT25*(1-Справочники!$B$19),0))</f>
        <v/>
      </c>
      <c r="BA25" s="81"/>
      <c r="BB25" s="81"/>
      <c r="BC25" s="81"/>
      <c r="BD25" s="81"/>
      <c r="BE25" s="91"/>
      <c r="BF25" s="81" t="s">
        <v>103</v>
      </c>
      <c r="BG25" s="89" t="n">
        <f aca="false" t="array" ref="BG25:BG25">IF(BF25="","",IFERROR(INDEX(Справочники!$B$4:$B$7,MATCH(BF25,Справочники!$A$4:$A$7,0)),""))</f>
        <v>68.5</v>
      </c>
      <c r="BH25" s="90" t="str">
        <f aca="false">IF(N(BN25)&gt;0,ROUND(SUMIF(ЗАКАЗЫ!$F$3:$F$500,$A25,ЗАКАЗЫ!$Y$3:$Y$500)/BN25,0),IF(OR(BE25="",BG25=""),"",ROUND(BE25*BG25*(1+Справочники!$B$10),0)))</f>
        <v/>
      </c>
      <c r="BI25" s="92" t="str">
        <f aca="false">IF(OR(AU25="",BH25="",AU25=0),"",(AU25-BH25)/AU25)</f>
        <v/>
      </c>
      <c r="BJ25" s="81"/>
      <c r="BK25" s="83"/>
      <c r="BL25" s="43" t="str">
        <f aca="false">IFERROR(INDEX(ЗАКАЗЫ!$N$3:$N$500,MATCH($A25,ЗАКАЗЫ!$F$3:$F$500,0)),"")</f>
        <v/>
      </c>
      <c r="BM25" s="8" t="str">
        <f aca="false">IF(BL25="","",IFERROR(VLOOKUP(BL25,'ТН ВЭД'!$A$4:$C$40,3,0),""))</f>
        <v/>
      </c>
      <c r="BN25" s="7" t="str">
        <f aca="false">IF(COUNTIF(ЗАКАЗЫ!$F$3:$F$500,$A25)=0,"",SUMIF(ЗАКАЗЫ!$F$3:$F$500,$A25,ЗАКАЗЫ!$J$3:$J$500))</f>
        <v/>
      </c>
      <c r="BO25" s="7" t="str">
        <f aca="false">IF(BN25="","",SUMIF(ЗАКАЗЫ!$F$3:$F$500,$A25,ЗАКАЗЫ!$AL$3:$AL$500))</f>
        <v/>
      </c>
      <c r="BP25" s="7" t="str">
        <f aca="false">IF(BN25="","",BN25-BO25)</f>
        <v/>
      </c>
      <c r="BQ25" s="55" t="str">
        <f aca="false">IF(BN25="","",IF(BO25&gt;=BN25,"На складе",IF(BO25&gt;0,"Частично","Ждём")))</f>
        <v/>
      </c>
      <c r="BR25" s="43"/>
      <c r="BS25" s="47" t="str">
        <f aca="false">IF(BN25="","",IF(_xlfn.MAXIFS(ЗАКАЗЫ!$AK$3:$AK$500,ЗАКАЗЫ!$F$3:$F$500,$A25)=0,"",_xlfn.MAXIFS(ЗАКАЗЫ!$AK$3:$AK$500,ЗАКАЗЫ!$F$3:$F$500,$A25)))</f>
        <v/>
      </c>
    </row>
    <row r="26" customFormat="false" ht="15.75" hidden="false" customHeight="true" outlineLevel="0" collapsed="false">
      <c r="A26" s="80" t="s">
        <v>2566</v>
      </c>
      <c r="B26" s="81"/>
      <c r="C26" s="81"/>
      <c r="D26" s="81"/>
      <c r="E26" s="83"/>
      <c r="F26" s="81"/>
      <c r="G26" s="83"/>
      <c r="H26" s="83"/>
      <c r="I26" s="84" t="str">
        <f aca="false">IF(E26="","",A26&amp;"_1.jpg")</f>
        <v/>
      </c>
      <c r="J26" s="84" t="str">
        <f aca="false">IF(E26="","",A26&amp;"_2.jpg; "&amp;A26&amp;"_3.jpg")</f>
        <v/>
      </c>
      <c r="K26" s="84" t="str">
        <f aca="false">IF(E26="","",A26&amp;"_schema.jpg")</f>
        <v/>
      </c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 t="s">
        <v>96</v>
      </c>
      <c r="W26" s="81"/>
      <c r="X26" s="81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6" t="str">
        <f aca="false">IF(SUM(Y26:AJ26)=0,"",SUM(Y26:AJ26))</f>
        <v/>
      </c>
      <c r="AL26" s="84" t="str">
        <f aca="false">MID(IF(N(Y26)&gt;0,", "&amp;Y$2,"")&amp;IF(N(Z26)&gt;0,", "&amp;Z$2,"")&amp;IF(N(AA26)&gt;0,", "&amp;AA$2,"")&amp;IF(N(AB26)&gt;0,", "&amp;AB$2,"")&amp;IF(N(AC26)&gt;0,", "&amp;AC$2,"")&amp;IF(N(AD26)&gt;0,", "&amp;AD$2,"")&amp;IF(N(AE26)&gt;0,", "&amp;AE$2,"")&amp;IF(N(AF26)&gt;0,", "&amp;AF$2,"")&amp;IF(N(AG26)&gt;0,", "&amp;AG$2,"")&amp;IF(N(AH26)&gt;0,", "&amp;AH$2,"")&amp;IF(N(AI26)&gt;0,", "&amp;AI$2,"")&amp;IF(N(AJ26)&gt;0,", "&amp;AJ$2,""),3,999)</f>
        <v/>
      </c>
      <c r="AM26" s="87" t="str">
        <f aca="false">IF(E26="","",MID(IF(N(Y26)&gt;0,", "&amp;A26&amp;"-"&amp;Y$2,"")&amp;IF(N(Z26)&gt;0,", "&amp;A26&amp;"-"&amp;Z$2,"")&amp;IF(N(AA26)&gt;0,", "&amp;A26&amp;"-"&amp;AA$2,"")&amp;IF(N(AB26)&gt;0,", "&amp;A26&amp;"-"&amp;AB$2,"")&amp;IF(N(AC26)&gt;0,", "&amp;A26&amp;"-"&amp;AC$2,"")&amp;IF(N(AD26)&gt;0,", "&amp;A26&amp;"-"&amp;AD$2,"")&amp;IF(N(AE26)&gt;0,", "&amp;A26&amp;"-"&amp;AE$2,"")&amp;IF(N(AF26)&gt;0,", "&amp;A26&amp;"-"&amp;AF$2,"")&amp;IF(N(AG26)&gt;0,", "&amp;A26&amp;"-"&amp;AG$2,"")&amp;IF(N(AH26)&gt;0,", "&amp;A26&amp;"-"&amp;AH$2,"")&amp;IF(N(AI26)&gt;0,", "&amp;A26&amp;"-"&amp;AI$2,"")&amp;IF(N(AJ26)&gt;0,", "&amp;A26&amp;"-"&amp;AJ$2,""),3,999))</f>
        <v/>
      </c>
      <c r="AN26" s="81"/>
      <c r="AO26" s="88"/>
      <c r="AP26" s="89" t="str">
        <f aca="false">IF(AO26="","",ROUND(AO26/(1+Справочники!$B$13),2))</f>
        <v/>
      </c>
      <c r="AQ26" s="90" t="str">
        <f aca="false" t="array" ref="AQ26:AQ26">IF(AP26="","",AP26*INDEX(Справочники!$B$4:$B$7,MATCH("RUB",Справочники!$A$4:$A$7,0)))</f>
        <v/>
      </c>
      <c r="AR26" s="90" t="str">
        <f aca="false">IF(AQ26="","",ROUND(AQ26*(1+Справочники!$B$12),0))</f>
        <v/>
      </c>
      <c r="AS26" s="90" t="str">
        <f aca="false">IF(AR26="","",ROUND(AR26*(1-Справочники!$B$11),0))</f>
        <v/>
      </c>
      <c r="AT26" s="88"/>
      <c r="AU26" s="90" t="str">
        <f aca="false">IF(AT26="","",ROUND(AT26/(1+Справочники!$B$12),0))</f>
        <v/>
      </c>
      <c r="AV26" s="90" t="str">
        <f aca="false">IF(AT26="","",ROUND(AT26*(1-Справочники!$B$15),0))</f>
        <v/>
      </c>
      <c r="AW26" s="90" t="str">
        <f aca="false">IF(AT26="","",ROUND(AT26*(1-Справочники!$B$16),0))</f>
        <v/>
      </c>
      <c r="AX26" s="90" t="str">
        <f aca="false">IF(AT26="","",ROUND(AT26*(1-Справочники!$B$17),0))</f>
        <v/>
      </c>
      <c r="AY26" s="90" t="str">
        <f aca="false">IF(AT26="","",ROUND(AT26*(1-Справочники!$B$18),0))</f>
        <v/>
      </c>
      <c r="AZ26" s="90" t="str">
        <f aca="false">IF(AT26="","",ROUND(AT26*(1-Справочники!$B$19),0))</f>
        <v/>
      </c>
      <c r="BA26" s="81"/>
      <c r="BB26" s="81"/>
      <c r="BC26" s="81"/>
      <c r="BD26" s="81"/>
      <c r="BE26" s="91"/>
      <c r="BF26" s="81" t="s">
        <v>103</v>
      </c>
      <c r="BG26" s="89" t="n">
        <f aca="false" t="array" ref="BG26:BG26">IF(BF26="","",IFERROR(INDEX(Справочники!$B$4:$B$7,MATCH(BF26,Справочники!$A$4:$A$7,0)),""))</f>
        <v>68.5</v>
      </c>
      <c r="BH26" s="90" t="str">
        <f aca="false">IF(N(BN26)&gt;0,ROUND(SUMIF(ЗАКАЗЫ!$F$3:$F$500,$A26,ЗАКАЗЫ!$Y$3:$Y$500)/BN26,0),IF(OR(BE26="",BG26=""),"",ROUND(BE26*BG26*(1+Справочники!$B$10),0)))</f>
        <v/>
      </c>
      <c r="BI26" s="92" t="str">
        <f aca="false">IF(OR(AU26="",BH26="",AU26=0),"",(AU26-BH26)/AU26)</f>
        <v/>
      </c>
      <c r="BJ26" s="81"/>
      <c r="BK26" s="83"/>
      <c r="BL26" s="43" t="str">
        <f aca="false">IFERROR(INDEX(ЗАКАЗЫ!$N$3:$N$500,MATCH($A26,ЗАКАЗЫ!$F$3:$F$500,0)),"")</f>
        <v/>
      </c>
      <c r="BM26" s="8" t="str">
        <f aca="false">IF(BL26="","",IFERROR(VLOOKUP(BL26,'ТН ВЭД'!$A$4:$C$40,3,0),""))</f>
        <v/>
      </c>
      <c r="BN26" s="7" t="str">
        <f aca="false">IF(COUNTIF(ЗАКАЗЫ!$F$3:$F$500,$A26)=0,"",SUMIF(ЗАКАЗЫ!$F$3:$F$500,$A26,ЗАКАЗЫ!$J$3:$J$500))</f>
        <v/>
      </c>
      <c r="BO26" s="7" t="str">
        <f aca="false">IF(BN26="","",SUMIF(ЗАКАЗЫ!$F$3:$F$500,$A26,ЗАКАЗЫ!$AL$3:$AL$500))</f>
        <v/>
      </c>
      <c r="BP26" s="7" t="str">
        <f aca="false">IF(BN26="","",BN26-BO26)</f>
        <v/>
      </c>
      <c r="BQ26" s="55" t="str">
        <f aca="false">IF(BN26="","",IF(BO26&gt;=BN26,"На складе",IF(BO26&gt;0,"Частично","Ждём")))</f>
        <v/>
      </c>
      <c r="BR26" s="43"/>
      <c r="BS26" s="47" t="str">
        <f aca="false">IF(BN26="","",IF(_xlfn.MAXIFS(ЗАКАЗЫ!$AK$3:$AK$500,ЗАКАЗЫ!$F$3:$F$500,$A26)=0,"",_xlfn.MAXIFS(ЗАКАЗЫ!$AK$3:$AK$500,ЗАКАЗЫ!$F$3:$F$500,$A26)))</f>
        <v/>
      </c>
    </row>
    <row r="27" customFormat="false" ht="15.75" hidden="false" customHeight="true" outlineLevel="0" collapsed="false">
      <c r="A27" s="80" t="s">
        <v>2567</v>
      </c>
      <c r="B27" s="81"/>
      <c r="C27" s="81"/>
      <c r="D27" s="81"/>
      <c r="E27" s="83"/>
      <c r="F27" s="81"/>
      <c r="G27" s="83"/>
      <c r="H27" s="83"/>
      <c r="I27" s="84" t="str">
        <f aca="false">IF(E27="","",A27&amp;"_1.jpg")</f>
        <v/>
      </c>
      <c r="J27" s="84" t="str">
        <f aca="false">IF(E27="","",A27&amp;"_2.jpg; "&amp;A27&amp;"_3.jpg")</f>
        <v/>
      </c>
      <c r="K27" s="84" t="str">
        <f aca="false">IF(E27="","",A27&amp;"_schema.jpg")</f>
        <v/>
      </c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 t="s">
        <v>96</v>
      </c>
      <c r="W27" s="81"/>
      <c r="X27" s="81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6" t="str">
        <f aca="false">IF(SUM(Y27:AJ27)=0,"",SUM(Y27:AJ27))</f>
        <v/>
      </c>
      <c r="AL27" s="84" t="str">
        <f aca="false">MID(IF(N(Y27)&gt;0,", "&amp;Y$2,"")&amp;IF(N(Z27)&gt;0,", "&amp;Z$2,"")&amp;IF(N(AA27)&gt;0,", "&amp;AA$2,"")&amp;IF(N(AB27)&gt;0,", "&amp;AB$2,"")&amp;IF(N(AC27)&gt;0,", "&amp;AC$2,"")&amp;IF(N(AD27)&gt;0,", "&amp;AD$2,"")&amp;IF(N(AE27)&gt;0,", "&amp;AE$2,"")&amp;IF(N(AF27)&gt;0,", "&amp;AF$2,"")&amp;IF(N(AG27)&gt;0,", "&amp;AG$2,"")&amp;IF(N(AH27)&gt;0,", "&amp;AH$2,"")&amp;IF(N(AI27)&gt;0,", "&amp;AI$2,"")&amp;IF(N(AJ27)&gt;0,", "&amp;AJ$2,""),3,999)</f>
        <v/>
      </c>
      <c r="AM27" s="87" t="str">
        <f aca="false">IF(E27="","",MID(IF(N(Y27)&gt;0,", "&amp;A27&amp;"-"&amp;Y$2,"")&amp;IF(N(Z27)&gt;0,", "&amp;A27&amp;"-"&amp;Z$2,"")&amp;IF(N(AA27)&gt;0,", "&amp;A27&amp;"-"&amp;AA$2,"")&amp;IF(N(AB27)&gt;0,", "&amp;A27&amp;"-"&amp;AB$2,"")&amp;IF(N(AC27)&gt;0,", "&amp;A27&amp;"-"&amp;AC$2,"")&amp;IF(N(AD27)&gt;0,", "&amp;A27&amp;"-"&amp;AD$2,"")&amp;IF(N(AE27)&gt;0,", "&amp;A27&amp;"-"&amp;AE$2,"")&amp;IF(N(AF27)&gt;0,", "&amp;A27&amp;"-"&amp;AF$2,"")&amp;IF(N(AG27)&gt;0,", "&amp;A27&amp;"-"&amp;AG$2,"")&amp;IF(N(AH27)&gt;0,", "&amp;A27&amp;"-"&amp;AH$2,"")&amp;IF(N(AI27)&gt;0,", "&amp;A27&amp;"-"&amp;AI$2,"")&amp;IF(N(AJ27)&gt;0,", "&amp;A27&amp;"-"&amp;AJ$2,""),3,999))</f>
        <v/>
      </c>
      <c r="AN27" s="81"/>
      <c r="AO27" s="88"/>
      <c r="AP27" s="89" t="str">
        <f aca="false">IF(AO27="","",ROUND(AO27/(1+Справочники!$B$13),2))</f>
        <v/>
      </c>
      <c r="AQ27" s="90" t="str">
        <f aca="false" t="array" ref="AQ27:AQ27">IF(AP27="","",AP27*INDEX(Справочники!$B$4:$B$7,MATCH("RUB",Справочники!$A$4:$A$7,0)))</f>
        <v/>
      </c>
      <c r="AR27" s="90" t="str">
        <f aca="false">IF(AQ27="","",ROUND(AQ27*(1+Справочники!$B$12),0))</f>
        <v/>
      </c>
      <c r="AS27" s="90" t="str">
        <f aca="false">IF(AR27="","",ROUND(AR27*(1-Справочники!$B$11),0))</f>
        <v/>
      </c>
      <c r="AT27" s="88"/>
      <c r="AU27" s="90" t="str">
        <f aca="false">IF(AT27="","",ROUND(AT27/(1+Справочники!$B$12),0))</f>
        <v/>
      </c>
      <c r="AV27" s="90" t="str">
        <f aca="false">IF(AT27="","",ROUND(AT27*(1-Справочники!$B$15),0))</f>
        <v/>
      </c>
      <c r="AW27" s="90" t="str">
        <f aca="false">IF(AT27="","",ROUND(AT27*(1-Справочники!$B$16),0))</f>
        <v/>
      </c>
      <c r="AX27" s="90" t="str">
        <f aca="false">IF(AT27="","",ROUND(AT27*(1-Справочники!$B$17),0))</f>
        <v/>
      </c>
      <c r="AY27" s="90" t="str">
        <f aca="false">IF(AT27="","",ROUND(AT27*(1-Справочники!$B$18),0))</f>
        <v/>
      </c>
      <c r="AZ27" s="90" t="str">
        <f aca="false">IF(AT27="","",ROUND(AT27*(1-Справочники!$B$19),0))</f>
        <v/>
      </c>
      <c r="BA27" s="81"/>
      <c r="BB27" s="81"/>
      <c r="BC27" s="81"/>
      <c r="BD27" s="81"/>
      <c r="BE27" s="91"/>
      <c r="BF27" s="81" t="s">
        <v>103</v>
      </c>
      <c r="BG27" s="89" t="n">
        <f aca="false" t="array" ref="BG27:BG27">IF(BF27="","",IFERROR(INDEX(Справочники!$B$4:$B$7,MATCH(BF27,Справочники!$A$4:$A$7,0)),""))</f>
        <v>68.5</v>
      </c>
      <c r="BH27" s="90" t="str">
        <f aca="false">IF(N(BN27)&gt;0,ROUND(SUMIF(ЗАКАЗЫ!$F$3:$F$500,$A27,ЗАКАЗЫ!$Y$3:$Y$500)/BN27,0),IF(OR(BE27="",BG27=""),"",ROUND(BE27*BG27*(1+Справочники!$B$10),0)))</f>
        <v/>
      </c>
      <c r="BI27" s="92" t="str">
        <f aca="false">IF(OR(AU27="",BH27="",AU27=0),"",(AU27-BH27)/AU27)</f>
        <v/>
      </c>
      <c r="BJ27" s="81"/>
      <c r="BK27" s="83"/>
      <c r="BL27" s="43" t="str">
        <f aca="false">IFERROR(INDEX(ЗАКАЗЫ!$N$3:$N$500,MATCH($A27,ЗАКАЗЫ!$F$3:$F$500,0)),"")</f>
        <v/>
      </c>
      <c r="BM27" s="8" t="str">
        <f aca="false">IF(BL27="","",IFERROR(VLOOKUP(BL27,'ТН ВЭД'!$A$4:$C$40,3,0),""))</f>
        <v/>
      </c>
      <c r="BN27" s="7" t="str">
        <f aca="false">IF(COUNTIF(ЗАКАЗЫ!$F$3:$F$500,$A27)=0,"",SUMIF(ЗАКАЗЫ!$F$3:$F$500,$A27,ЗАКАЗЫ!$J$3:$J$500))</f>
        <v/>
      </c>
      <c r="BO27" s="7" t="str">
        <f aca="false">IF(BN27="","",SUMIF(ЗАКАЗЫ!$F$3:$F$500,$A27,ЗАКАЗЫ!$AL$3:$AL$500))</f>
        <v/>
      </c>
      <c r="BP27" s="7" t="str">
        <f aca="false">IF(BN27="","",BN27-BO27)</f>
        <v/>
      </c>
      <c r="BQ27" s="55" t="str">
        <f aca="false">IF(BN27="","",IF(BO27&gt;=BN27,"На складе",IF(BO27&gt;0,"Частично","Ждём")))</f>
        <v/>
      </c>
      <c r="BR27" s="43"/>
      <c r="BS27" s="47" t="str">
        <f aca="false">IF(BN27="","",IF(_xlfn.MAXIFS(ЗАКАЗЫ!$AK$3:$AK$500,ЗАКАЗЫ!$F$3:$F$500,$A27)=0,"",_xlfn.MAXIFS(ЗАКАЗЫ!$AK$3:$AK$500,ЗАКАЗЫ!$F$3:$F$500,$A27)))</f>
        <v/>
      </c>
    </row>
    <row r="28" customFormat="false" ht="15.75" hidden="false" customHeight="true" outlineLevel="0" collapsed="false">
      <c r="A28" s="80" t="s">
        <v>2568</v>
      </c>
      <c r="B28" s="81"/>
      <c r="C28" s="81"/>
      <c r="D28" s="81"/>
      <c r="E28" s="83"/>
      <c r="F28" s="81"/>
      <c r="G28" s="83"/>
      <c r="H28" s="83"/>
      <c r="I28" s="84" t="str">
        <f aca="false">IF(E28="","",A28&amp;"_1.jpg")</f>
        <v/>
      </c>
      <c r="J28" s="84" t="str">
        <f aca="false">IF(E28="","",A28&amp;"_2.jpg; "&amp;A28&amp;"_3.jpg")</f>
        <v/>
      </c>
      <c r="K28" s="84" t="str">
        <f aca="false">IF(E28="","",A28&amp;"_schema.jpg")</f>
        <v/>
      </c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 t="s">
        <v>96</v>
      </c>
      <c r="W28" s="81"/>
      <c r="X28" s="81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6" t="str">
        <f aca="false">IF(SUM(Y28:AJ28)=0,"",SUM(Y28:AJ28))</f>
        <v/>
      </c>
      <c r="AL28" s="84" t="str">
        <f aca="false">MID(IF(N(Y28)&gt;0,", "&amp;Y$2,"")&amp;IF(N(Z28)&gt;0,", "&amp;Z$2,"")&amp;IF(N(AA28)&gt;0,", "&amp;AA$2,"")&amp;IF(N(AB28)&gt;0,", "&amp;AB$2,"")&amp;IF(N(AC28)&gt;0,", "&amp;AC$2,"")&amp;IF(N(AD28)&gt;0,", "&amp;AD$2,"")&amp;IF(N(AE28)&gt;0,", "&amp;AE$2,"")&amp;IF(N(AF28)&gt;0,", "&amp;AF$2,"")&amp;IF(N(AG28)&gt;0,", "&amp;AG$2,"")&amp;IF(N(AH28)&gt;0,", "&amp;AH$2,"")&amp;IF(N(AI28)&gt;0,", "&amp;AI$2,"")&amp;IF(N(AJ28)&gt;0,", "&amp;AJ$2,""),3,999)</f>
        <v/>
      </c>
      <c r="AM28" s="87" t="str">
        <f aca="false">IF(E28="","",MID(IF(N(Y28)&gt;0,", "&amp;A28&amp;"-"&amp;Y$2,"")&amp;IF(N(Z28)&gt;0,", "&amp;A28&amp;"-"&amp;Z$2,"")&amp;IF(N(AA28)&gt;0,", "&amp;A28&amp;"-"&amp;AA$2,"")&amp;IF(N(AB28)&gt;0,", "&amp;A28&amp;"-"&amp;AB$2,"")&amp;IF(N(AC28)&gt;0,", "&amp;A28&amp;"-"&amp;AC$2,"")&amp;IF(N(AD28)&gt;0,", "&amp;A28&amp;"-"&amp;AD$2,"")&amp;IF(N(AE28)&gt;0,", "&amp;A28&amp;"-"&amp;AE$2,"")&amp;IF(N(AF28)&gt;0,", "&amp;A28&amp;"-"&amp;AF$2,"")&amp;IF(N(AG28)&gt;0,", "&amp;A28&amp;"-"&amp;AG$2,"")&amp;IF(N(AH28)&gt;0,", "&amp;A28&amp;"-"&amp;AH$2,"")&amp;IF(N(AI28)&gt;0,", "&amp;A28&amp;"-"&amp;AI$2,"")&amp;IF(N(AJ28)&gt;0,", "&amp;A28&amp;"-"&amp;AJ$2,""),3,999))</f>
        <v/>
      </c>
      <c r="AN28" s="81"/>
      <c r="AO28" s="88"/>
      <c r="AP28" s="89" t="str">
        <f aca="false">IF(AO28="","",ROUND(AO28/(1+Справочники!$B$13),2))</f>
        <v/>
      </c>
      <c r="AQ28" s="90" t="str">
        <f aca="false" t="array" ref="AQ28:AQ28">IF(AP28="","",AP28*INDEX(Справочники!$B$4:$B$7,MATCH("RUB",Справочники!$A$4:$A$7,0)))</f>
        <v/>
      </c>
      <c r="AR28" s="90" t="str">
        <f aca="false">IF(AQ28="","",ROUND(AQ28*(1+Справочники!$B$12),0))</f>
        <v/>
      </c>
      <c r="AS28" s="90" t="str">
        <f aca="false">IF(AR28="","",ROUND(AR28*(1-Справочники!$B$11),0))</f>
        <v/>
      </c>
      <c r="AT28" s="88"/>
      <c r="AU28" s="90" t="str">
        <f aca="false">IF(AT28="","",ROUND(AT28/(1+Справочники!$B$12),0))</f>
        <v/>
      </c>
      <c r="AV28" s="90" t="str">
        <f aca="false">IF(AT28="","",ROUND(AT28*(1-Справочники!$B$15),0))</f>
        <v/>
      </c>
      <c r="AW28" s="90" t="str">
        <f aca="false">IF(AT28="","",ROUND(AT28*(1-Справочники!$B$16),0))</f>
        <v/>
      </c>
      <c r="AX28" s="90" t="str">
        <f aca="false">IF(AT28="","",ROUND(AT28*(1-Справочники!$B$17),0))</f>
        <v/>
      </c>
      <c r="AY28" s="90" t="str">
        <f aca="false">IF(AT28="","",ROUND(AT28*(1-Справочники!$B$18),0))</f>
        <v/>
      </c>
      <c r="AZ28" s="90" t="str">
        <f aca="false">IF(AT28="","",ROUND(AT28*(1-Справочники!$B$19),0))</f>
        <v/>
      </c>
      <c r="BA28" s="81"/>
      <c r="BB28" s="81"/>
      <c r="BC28" s="81"/>
      <c r="BD28" s="81"/>
      <c r="BE28" s="91"/>
      <c r="BF28" s="81" t="s">
        <v>103</v>
      </c>
      <c r="BG28" s="89" t="n">
        <f aca="false" t="array" ref="BG28:BG28">IF(BF28="","",IFERROR(INDEX(Справочники!$B$4:$B$7,MATCH(BF28,Справочники!$A$4:$A$7,0)),""))</f>
        <v>68.5</v>
      </c>
      <c r="BH28" s="90" t="str">
        <f aca="false">IF(N(BN28)&gt;0,ROUND(SUMIF(ЗАКАЗЫ!$F$3:$F$500,$A28,ЗАКАЗЫ!$Y$3:$Y$500)/BN28,0),IF(OR(BE28="",BG28=""),"",ROUND(BE28*BG28*(1+Справочники!$B$10),0)))</f>
        <v/>
      </c>
      <c r="BI28" s="92" t="str">
        <f aca="false">IF(OR(AU28="",BH28="",AU28=0),"",(AU28-BH28)/AU28)</f>
        <v/>
      </c>
      <c r="BJ28" s="81"/>
      <c r="BK28" s="83"/>
      <c r="BL28" s="43" t="str">
        <f aca="false">IFERROR(INDEX(ЗАКАЗЫ!$N$3:$N$500,MATCH($A28,ЗАКАЗЫ!$F$3:$F$500,0)),"")</f>
        <v/>
      </c>
      <c r="BM28" s="8" t="str">
        <f aca="false">IF(BL28="","",IFERROR(VLOOKUP(BL28,'ТН ВЭД'!$A$4:$C$40,3,0),""))</f>
        <v/>
      </c>
      <c r="BN28" s="7" t="str">
        <f aca="false">IF(COUNTIF(ЗАКАЗЫ!$F$3:$F$500,$A28)=0,"",SUMIF(ЗАКАЗЫ!$F$3:$F$500,$A28,ЗАКАЗЫ!$J$3:$J$500))</f>
        <v/>
      </c>
      <c r="BO28" s="7" t="str">
        <f aca="false">IF(BN28="","",SUMIF(ЗАКАЗЫ!$F$3:$F$500,$A28,ЗАКАЗЫ!$AL$3:$AL$500))</f>
        <v/>
      </c>
      <c r="BP28" s="7" t="str">
        <f aca="false">IF(BN28="","",BN28-BO28)</f>
        <v/>
      </c>
      <c r="BQ28" s="55" t="str">
        <f aca="false">IF(BN28="","",IF(BO28&gt;=BN28,"На складе",IF(BO28&gt;0,"Частично","Ждём")))</f>
        <v/>
      </c>
      <c r="BR28" s="43"/>
      <c r="BS28" s="47" t="str">
        <f aca="false">IF(BN28="","",IF(_xlfn.MAXIFS(ЗАКАЗЫ!$AK$3:$AK$500,ЗАКАЗЫ!$F$3:$F$500,$A28)=0,"",_xlfn.MAXIFS(ЗАКАЗЫ!$AK$3:$AK$500,ЗАКАЗЫ!$F$3:$F$500,$A28)))</f>
        <v/>
      </c>
    </row>
    <row r="29" customFormat="false" ht="15.75" hidden="false" customHeight="true" outlineLevel="0" collapsed="false">
      <c r="A29" s="80" t="s">
        <v>2569</v>
      </c>
      <c r="B29" s="81"/>
      <c r="C29" s="81"/>
      <c r="D29" s="81"/>
      <c r="E29" s="83"/>
      <c r="F29" s="81"/>
      <c r="G29" s="83"/>
      <c r="H29" s="83"/>
      <c r="I29" s="84" t="str">
        <f aca="false">IF(E29="","",A29&amp;"_1.jpg")</f>
        <v/>
      </c>
      <c r="J29" s="84" t="str">
        <f aca="false">IF(E29="","",A29&amp;"_2.jpg; "&amp;A29&amp;"_3.jpg")</f>
        <v/>
      </c>
      <c r="K29" s="84" t="str">
        <f aca="false">IF(E29="","",A29&amp;"_schema.jpg")</f>
        <v/>
      </c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 t="s">
        <v>96</v>
      </c>
      <c r="W29" s="81"/>
      <c r="X29" s="81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6" t="str">
        <f aca="false">IF(SUM(Y29:AJ29)=0,"",SUM(Y29:AJ29))</f>
        <v/>
      </c>
      <c r="AL29" s="84" t="str">
        <f aca="false">MID(IF(N(Y29)&gt;0,", "&amp;Y$2,"")&amp;IF(N(Z29)&gt;0,", "&amp;Z$2,"")&amp;IF(N(AA29)&gt;0,", "&amp;AA$2,"")&amp;IF(N(AB29)&gt;0,", "&amp;AB$2,"")&amp;IF(N(AC29)&gt;0,", "&amp;AC$2,"")&amp;IF(N(AD29)&gt;0,", "&amp;AD$2,"")&amp;IF(N(AE29)&gt;0,", "&amp;AE$2,"")&amp;IF(N(AF29)&gt;0,", "&amp;AF$2,"")&amp;IF(N(AG29)&gt;0,", "&amp;AG$2,"")&amp;IF(N(AH29)&gt;0,", "&amp;AH$2,"")&amp;IF(N(AI29)&gt;0,", "&amp;AI$2,"")&amp;IF(N(AJ29)&gt;0,", "&amp;AJ$2,""),3,999)</f>
        <v/>
      </c>
      <c r="AM29" s="87" t="str">
        <f aca="false">IF(E29="","",MID(IF(N(Y29)&gt;0,", "&amp;A29&amp;"-"&amp;Y$2,"")&amp;IF(N(Z29)&gt;0,", "&amp;A29&amp;"-"&amp;Z$2,"")&amp;IF(N(AA29)&gt;0,", "&amp;A29&amp;"-"&amp;AA$2,"")&amp;IF(N(AB29)&gt;0,", "&amp;A29&amp;"-"&amp;AB$2,"")&amp;IF(N(AC29)&gt;0,", "&amp;A29&amp;"-"&amp;AC$2,"")&amp;IF(N(AD29)&gt;0,", "&amp;A29&amp;"-"&amp;AD$2,"")&amp;IF(N(AE29)&gt;0,", "&amp;A29&amp;"-"&amp;AE$2,"")&amp;IF(N(AF29)&gt;0,", "&amp;A29&amp;"-"&amp;AF$2,"")&amp;IF(N(AG29)&gt;0,", "&amp;A29&amp;"-"&amp;AG$2,"")&amp;IF(N(AH29)&gt;0,", "&amp;A29&amp;"-"&amp;AH$2,"")&amp;IF(N(AI29)&gt;0,", "&amp;A29&amp;"-"&amp;AI$2,"")&amp;IF(N(AJ29)&gt;0,", "&amp;A29&amp;"-"&amp;AJ$2,""),3,999))</f>
        <v/>
      </c>
      <c r="AN29" s="81"/>
      <c r="AO29" s="88"/>
      <c r="AP29" s="89" t="str">
        <f aca="false">IF(AO29="","",ROUND(AO29/(1+Справочники!$B$13),2))</f>
        <v/>
      </c>
      <c r="AQ29" s="90" t="str">
        <f aca="false" t="array" ref="AQ29:AQ29">IF(AP29="","",AP29*INDEX(Справочники!$B$4:$B$7,MATCH("RUB",Справочники!$A$4:$A$7,0)))</f>
        <v/>
      </c>
      <c r="AR29" s="90" t="str">
        <f aca="false">IF(AQ29="","",ROUND(AQ29*(1+Справочники!$B$12),0))</f>
        <v/>
      </c>
      <c r="AS29" s="90" t="str">
        <f aca="false">IF(AR29="","",ROUND(AR29*(1-Справочники!$B$11),0))</f>
        <v/>
      </c>
      <c r="AT29" s="88"/>
      <c r="AU29" s="90" t="str">
        <f aca="false">IF(AT29="","",ROUND(AT29/(1+Справочники!$B$12),0))</f>
        <v/>
      </c>
      <c r="AV29" s="90" t="str">
        <f aca="false">IF(AT29="","",ROUND(AT29*(1-Справочники!$B$15),0))</f>
        <v/>
      </c>
      <c r="AW29" s="90" t="str">
        <f aca="false">IF(AT29="","",ROUND(AT29*(1-Справочники!$B$16),0))</f>
        <v/>
      </c>
      <c r="AX29" s="90" t="str">
        <f aca="false">IF(AT29="","",ROUND(AT29*(1-Справочники!$B$17),0))</f>
        <v/>
      </c>
      <c r="AY29" s="90" t="str">
        <f aca="false">IF(AT29="","",ROUND(AT29*(1-Справочники!$B$18),0))</f>
        <v/>
      </c>
      <c r="AZ29" s="90" t="str">
        <f aca="false">IF(AT29="","",ROUND(AT29*(1-Справочники!$B$19),0))</f>
        <v/>
      </c>
      <c r="BA29" s="81"/>
      <c r="BB29" s="81"/>
      <c r="BC29" s="81"/>
      <c r="BD29" s="81"/>
      <c r="BE29" s="91"/>
      <c r="BF29" s="81" t="s">
        <v>103</v>
      </c>
      <c r="BG29" s="89" t="n">
        <f aca="false" t="array" ref="BG29:BG29">IF(BF29="","",IFERROR(INDEX(Справочники!$B$4:$B$7,MATCH(BF29,Справочники!$A$4:$A$7,0)),""))</f>
        <v>68.5</v>
      </c>
      <c r="BH29" s="90" t="str">
        <f aca="false">IF(N(BN29)&gt;0,ROUND(SUMIF(ЗАКАЗЫ!$F$3:$F$500,$A29,ЗАКАЗЫ!$Y$3:$Y$500)/BN29,0),IF(OR(BE29="",BG29=""),"",ROUND(BE29*BG29*(1+Справочники!$B$10),0)))</f>
        <v/>
      </c>
      <c r="BI29" s="92" t="str">
        <f aca="false">IF(OR(AU29="",BH29="",AU29=0),"",(AU29-BH29)/AU29)</f>
        <v/>
      </c>
      <c r="BJ29" s="81"/>
      <c r="BK29" s="83"/>
      <c r="BL29" s="43" t="str">
        <f aca="false">IFERROR(INDEX(ЗАКАЗЫ!$N$3:$N$500,MATCH($A29,ЗАКАЗЫ!$F$3:$F$500,0)),"")</f>
        <v/>
      </c>
      <c r="BM29" s="8" t="str">
        <f aca="false">IF(BL29="","",IFERROR(VLOOKUP(BL29,'ТН ВЭД'!$A$4:$C$40,3,0),""))</f>
        <v/>
      </c>
      <c r="BN29" s="7" t="str">
        <f aca="false">IF(COUNTIF(ЗАКАЗЫ!$F$3:$F$500,$A29)=0,"",SUMIF(ЗАКАЗЫ!$F$3:$F$500,$A29,ЗАКАЗЫ!$J$3:$J$500))</f>
        <v/>
      </c>
      <c r="BO29" s="7" t="str">
        <f aca="false">IF(BN29="","",SUMIF(ЗАКАЗЫ!$F$3:$F$500,$A29,ЗАКАЗЫ!$AL$3:$AL$500))</f>
        <v/>
      </c>
      <c r="BP29" s="7" t="str">
        <f aca="false">IF(BN29="","",BN29-BO29)</f>
        <v/>
      </c>
      <c r="BQ29" s="55" t="str">
        <f aca="false">IF(BN29="","",IF(BO29&gt;=BN29,"На складе",IF(BO29&gt;0,"Частично","Ждём")))</f>
        <v/>
      </c>
      <c r="BR29" s="43"/>
      <c r="BS29" s="47" t="str">
        <f aca="false">IF(BN29="","",IF(_xlfn.MAXIFS(ЗАКАЗЫ!$AK$3:$AK$500,ЗАКАЗЫ!$F$3:$F$500,$A29)=0,"",_xlfn.MAXIFS(ЗАКАЗЫ!$AK$3:$AK$500,ЗАКАЗЫ!$F$3:$F$500,$A29)))</f>
        <v/>
      </c>
    </row>
    <row r="30" customFormat="false" ht="15.75" hidden="false" customHeight="true" outlineLevel="0" collapsed="false">
      <c r="A30" s="80" t="s">
        <v>2570</v>
      </c>
      <c r="B30" s="81"/>
      <c r="C30" s="81"/>
      <c r="D30" s="81"/>
      <c r="E30" s="83"/>
      <c r="F30" s="81"/>
      <c r="G30" s="83"/>
      <c r="H30" s="83"/>
      <c r="I30" s="84" t="str">
        <f aca="false">IF(E30="","",A30&amp;"_1.jpg")</f>
        <v/>
      </c>
      <c r="J30" s="84" t="str">
        <f aca="false">IF(E30="","",A30&amp;"_2.jpg; "&amp;A30&amp;"_3.jpg")</f>
        <v/>
      </c>
      <c r="K30" s="84" t="str">
        <f aca="false">IF(E30="","",A30&amp;"_schema.jpg")</f>
        <v/>
      </c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 t="s">
        <v>96</v>
      </c>
      <c r="W30" s="81"/>
      <c r="X30" s="81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6" t="str">
        <f aca="false">IF(SUM(Y30:AJ30)=0,"",SUM(Y30:AJ30))</f>
        <v/>
      </c>
      <c r="AL30" s="84" t="str">
        <f aca="false">MID(IF(N(Y30)&gt;0,", "&amp;Y$2,"")&amp;IF(N(Z30)&gt;0,", "&amp;Z$2,"")&amp;IF(N(AA30)&gt;0,", "&amp;AA$2,"")&amp;IF(N(AB30)&gt;0,", "&amp;AB$2,"")&amp;IF(N(AC30)&gt;0,", "&amp;AC$2,"")&amp;IF(N(AD30)&gt;0,", "&amp;AD$2,"")&amp;IF(N(AE30)&gt;0,", "&amp;AE$2,"")&amp;IF(N(AF30)&gt;0,", "&amp;AF$2,"")&amp;IF(N(AG30)&gt;0,", "&amp;AG$2,"")&amp;IF(N(AH30)&gt;0,", "&amp;AH$2,"")&amp;IF(N(AI30)&gt;0,", "&amp;AI$2,"")&amp;IF(N(AJ30)&gt;0,", "&amp;AJ$2,""),3,999)</f>
        <v/>
      </c>
      <c r="AM30" s="87" t="str">
        <f aca="false">IF(E30="","",MID(IF(N(Y30)&gt;0,", "&amp;A30&amp;"-"&amp;Y$2,"")&amp;IF(N(Z30)&gt;0,", "&amp;A30&amp;"-"&amp;Z$2,"")&amp;IF(N(AA30)&gt;0,", "&amp;A30&amp;"-"&amp;AA$2,"")&amp;IF(N(AB30)&gt;0,", "&amp;A30&amp;"-"&amp;AB$2,"")&amp;IF(N(AC30)&gt;0,", "&amp;A30&amp;"-"&amp;AC$2,"")&amp;IF(N(AD30)&gt;0,", "&amp;A30&amp;"-"&amp;AD$2,"")&amp;IF(N(AE30)&gt;0,", "&amp;A30&amp;"-"&amp;AE$2,"")&amp;IF(N(AF30)&gt;0,", "&amp;A30&amp;"-"&amp;AF$2,"")&amp;IF(N(AG30)&gt;0,", "&amp;A30&amp;"-"&amp;AG$2,"")&amp;IF(N(AH30)&gt;0,", "&amp;A30&amp;"-"&amp;AH$2,"")&amp;IF(N(AI30)&gt;0,", "&amp;A30&amp;"-"&amp;AI$2,"")&amp;IF(N(AJ30)&gt;0,", "&amp;A30&amp;"-"&amp;AJ$2,""),3,999))</f>
        <v/>
      </c>
      <c r="AN30" s="81"/>
      <c r="AO30" s="88"/>
      <c r="AP30" s="89" t="str">
        <f aca="false">IF(AO30="","",ROUND(AO30/(1+Справочники!$B$13),2))</f>
        <v/>
      </c>
      <c r="AQ30" s="90" t="str">
        <f aca="false" t="array" ref="AQ30:AQ30">IF(AP30="","",AP30*INDEX(Справочники!$B$4:$B$7,MATCH("RUB",Справочники!$A$4:$A$7,0)))</f>
        <v/>
      </c>
      <c r="AR30" s="90" t="str">
        <f aca="false">IF(AQ30="","",ROUND(AQ30*(1+Справочники!$B$12),0))</f>
        <v/>
      </c>
      <c r="AS30" s="90" t="str">
        <f aca="false">IF(AR30="","",ROUND(AR30*(1-Справочники!$B$11),0))</f>
        <v/>
      </c>
      <c r="AT30" s="88"/>
      <c r="AU30" s="90" t="str">
        <f aca="false">IF(AT30="","",ROUND(AT30/(1+Справочники!$B$12),0))</f>
        <v/>
      </c>
      <c r="AV30" s="90" t="str">
        <f aca="false">IF(AT30="","",ROUND(AT30*(1-Справочники!$B$15),0))</f>
        <v/>
      </c>
      <c r="AW30" s="90" t="str">
        <f aca="false">IF(AT30="","",ROUND(AT30*(1-Справочники!$B$16),0))</f>
        <v/>
      </c>
      <c r="AX30" s="90" t="str">
        <f aca="false">IF(AT30="","",ROUND(AT30*(1-Справочники!$B$17),0))</f>
        <v/>
      </c>
      <c r="AY30" s="90" t="str">
        <f aca="false">IF(AT30="","",ROUND(AT30*(1-Справочники!$B$18),0))</f>
        <v/>
      </c>
      <c r="AZ30" s="90" t="str">
        <f aca="false">IF(AT30="","",ROUND(AT30*(1-Справочники!$B$19),0))</f>
        <v/>
      </c>
      <c r="BA30" s="81"/>
      <c r="BB30" s="81"/>
      <c r="BC30" s="81"/>
      <c r="BD30" s="81"/>
      <c r="BE30" s="91"/>
      <c r="BF30" s="81" t="s">
        <v>103</v>
      </c>
      <c r="BG30" s="89" t="n">
        <f aca="false" t="array" ref="BG30:BG30">IF(BF30="","",IFERROR(INDEX(Справочники!$B$4:$B$7,MATCH(BF30,Справочники!$A$4:$A$7,0)),""))</f>
        <v>68.5</v>
      </c>
      <c r="BH30" s="90" t="str">
        <f aca="false">IF(N(BN30)&gt;0,ROUND(SUMIF(ЗАКАЗЫ!$F$3:$F$500,$A30,ЗАКАЗЫ!$Y$3:$Y$500)/BN30,0),IF(OR(BE30="",BG30=""),"",ROUND(BE30*BG30*(1+Справочники!$B$10),0)))</f>
        <v/>
      </c>
      <c r="BI30" s="92" t="str">
        <f aca="false">IF(OR(AU30="",BH30="",AU30=0),"",(AU30-BH30)/AU30)</f>
        <v/>
      </c>
      <c r="BJ30" s="81"/>
      <c r="BK30" s="83"/>
      <c r="BL30" s="43" t="str">
        <f aca="false">IFERROR(INDEX(ЗАКАЗЫ!$N$3:$N$500,MATCH($A30,ЗАКАЗЫ!$F$3:$F$500,0)),"")</f>
        <v/>
      </c>
      <c r="BM30" s="8" t="str">
        <f aca="false">IF(BL30="","",IFERROR(VLOOKUP(BL30,'ТН ВЭД'!$A$4:$C$40,3,0),""))</f>
        <v/>
      </c>
      <c r="BN30" s="7" t="str">
        <f aca="false">IF(COUNTIF(ЗАКАЗЫ!$F$3:$F$500,$A30)=0,"",SUMIF(ЗАКАЗЫ!$F$3:$F$500,$A30,ЗАКАЗЫ!$J$3:$J$500))</f>
        <v/>
      </c>
      <c r="BO30" s="7" t="str">
        <f aca="false">IF(BN30="","",SUMIF(ЗАКАЗЫ!$F$3:$F$500,$A30,ЗАКАЗЫ!$AL$3:$AL$500))</f>
        <v/>
      </c>
      <c r="BP30" s="7" t="str">
        <f aca="false">IF(BN30="","",BN30-BO30)</f>
        <v/>
      </c>
      <c r="BQ30" s="55" t="str">
        <f aca="false">IF(BN30="","",IF(BO30&gt;=BN30,"На складе",IF(BO30&gt;0,"Частично","Ждём")))</f>
        <v/>
      </c>
      <c r="BR30" s="43"/>
      <c r="BS30" s="47" t="str">
        <f aca="false">IF(BN30="","",IF(_xlfn.MAXIFS(ЗАКАЗЫ!$AK$3:$AK$500,ЗАКАЗЫ!$F$3:$F$500,$A30)=0,"",_xlfn.MAXIFS(ЗАКАЗЫ!$AK$3:$AK$500,ЗАКАЗЫ!$F$3:$F$500,$A30)))</f>
        <v/>
      </c>
    </row>
    <row r="31" customFormat="false" ht="15.75" hidden="false" customHeight="true" outlineLevel="0" collapsed="false">
      <c r="A31" s="80" t="s">
        <v>2571</v>
      </c>
      <c r="B31" s="81"/>
      <c r="C31" s="81"/>
      <c r="D31" s="81"/>
      <c r="E31" s="83"/>
      <c r="F31" s="81"/>
      <c r="G31" s="83"/>
      <c r="H31" s="83"/>
      <c r="I31" s="84" t="str">
        <f aca="false">IF(E31="","",A31&amp;"_1.jpg")</f>
        <v/>
      </c>
      <c r="J31" s="84" t="str">
        <f aca="false">IF(E31="","",A31&amp;"_2.jpg; "&amp;A31&amp;"_3.jpg")</f>
        <v/>
      </c>
      <c r="K31" s="84" t="str">
        <f aca="false">IF(E31="","",A31&amp;"_schema.jpg")</f>
        <v/>
      </c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 t="s">
        <v>96</v>
      </c>
      <c r="W31" s="81"/>
      <c r="X31" s="81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6" t="str">
        <f aca="false">IF(SUM(Y31:AJ31)=0,"",SUM(Y31:AJ31))</f>
        <v/>
      </c>
      <c r="AL31" s="84" t="str">
        <f aca="false">MID(IF(N(Y31)&gt;0,", "&amp;Y$2,"")&amp;IF(N(Z31)&gt;0,", "&amp;Z$2,"")&amp;IF(N(AA31)&gt;0,", "&amp;AA$2,"")&amp;IF(N(AB31)&gt;0,", "&amp;AB$2,"")&amp;IF(N(AC31)&gt;0,", "&amp;AC$2,"")&amp;IF(N(AD31)&gt;0,", "&amp;AD$2,"")&amp;IF(N(AE31)&gt;0,", "&amp;AE$2,"")&amp;IF(N(AF31)&gt;0,", "&amp;AF$2,"")&amp;IF(N(AG31)&gt;0,", "&amp;AG$2,"")&amp;IF(N(AH31)&gt;0,", "&amp;AH$2,"")&amp;IF(N(AI31)&gt;0,", "&amp;AI$2,"")&amp;IF(N(AJ31)&gt;0,", "&amp;AJ$2,""),3,999)</f>
        <v/>
      </c>
      <c r="AM31" s="87" t="str">
        <f aca="false">IF(E31="","",MID(IF(N(Y31)&gt;0,", "&amp;A31&amp;"-"&amp;Y$2,"")&amp;IF(N(Z31)&gt;0,", "&amp;A31&amp;"-"&amp;Z$2,"")&amp;IF(N(AA31)&gt;0,", "&amp;A31&amp;"-"&amp;AA$2,"")&amp;IF(N(AB31)&gt;0,", "&amp;A31&amp;"-"&amp;AB$2,"")&amp;IF(N(AC31)&gt;0,", "&amp;A31&amp;"-"&amp;AC$2,"")&amp;IF(N(AD31)&gt;0,", "&amp;A31&amp;"-"&amp;AD$2,"")&amp;IF(N(AE31)&gt;0,", "&amp;A31&amp;"-"&amp;AE$2,"")&amp;IF(N(AF31)&gt;0,", "&amp;A31&amp;"-"&amp;AF$2,"")&amp;IF(N(AG31)&gt;0,", "&amp;A31&amp;"-"&amp;AG$2,"")&amp;IF(N(AH31)&gt;0,", "&amp;A31&amp;"-"&amp;AH$2,"")&amp;IF(N(AI31)&gt;0,", "&amp;A31&amp;"-"&amp;AI$2,"")&amp;IF(N(AJ31)&gt;0,", "&amp;A31&amp;"-"&amp;AJ$2,""),3,999))</f>
        <v/>
      </c>
      <c r="AN31" s="81"/>
      <c r="AO31" s="88"/>
      <c r="AP31" s="89" t="str">
        <f aca="false">IF(AO31="","",ROUND(AO31/(1+Справочники!$B$13),2))</f>
        <v/>
      </c>
      <c r="AQ31" s="90" t="str">
        <f aca="false" t="array" ref="AQ31:AQ31">IF(AP31="","",AP31*INDEX(Справочники!$B$4:$B$7,MATCH("RUB",Справочники!$A$4:$A$7,0)))</f>
        <v/>
      </c>
      <c r="AR31" s="90" t="str">
        <f aca="false">IF(AQ31="","",ROUND(AQ31*(1+Справочники!$B$12),0))</f>
        <v/>
      </c>
      <c r="AS31" s="90" t="str">
        <f aca="false">IF(AR31="","",ROUND(AR31*(1-Справочники!$B$11),0))</f>
        <v/>
      </c>
      <c r="AT31" s="88"/>
      <c r="AU31" s="90" t="str">
        <f aca="false">IF(AT31="","",ROUND(AT31/(1+Справочники!$B$12),0))</f>
        <v/>
      </c>
      <c r="AV31" s="90" t="str">
        <f aca="false">IF(AT31="","",ROUND(AT31*(1-Справочники!$B$15),0))</f>
        <v/>
      </c>
      <c r="AW31" s="90" t="str">
        <f aca="false">IF(AT31="","",ROUND(AT31*(1-Справочники!$B$16),0))</f>
        <v/>
      </c>
      <c r="AX31" s="90" t="str">
        <f aca="false">IF(AT31="","",ROUND(AT31*(1-Справочники!$B$17),0))</f>
        <v/>
      </c>
      <c r="AY31" s="90" t="str">
        <f aca="false">IF(AT31="","",ROUND(AT31*(1-Справочники!$B$18),0))</f>
        <v/>
      </c>
      <c r="AZ31" s="90" t="str">
        <f aca="false">IF(AT31="","",ROUND(AT31*(1-Справочники!$B$19),0))</f>
        <v/>
      </c>
      <c r="BA31" s="81"/>
      <c r="BB31" s="81"/>
      <c r="BC31" s="81"/>
      <c r="BD31" s="81"/>
      <c r="BE31" s="91"/>
      <c r="BF31" s="81" t="s">
        <v>103</v>
      </c>
      <c r="BG31" s="89" t="n">
        <f aca="false" t="array" ref="BG31:BG31">IF(BF31="","",IFERROR(INDEX(Справочники!$B$4:$B$7,MATCH(BF31,Справочники!$A$4:$A$7,0)),""))</f>
        <v>68.5</v>
      </c>
      <c r="BH31" s="90" t="str">
        <f aca="false">IF(N(BN31)&gt;0,ROUND(SUMIF(ЗАКАЗЫ!$F$3:$F$500,$A31,ЗАКАЗЫ!$Y$3:$Y$500)/BN31,0),IF(OR(BE31="",BG31=""),"",ROUND(BE31*BG31*(1+Справочники!$B$10),0)))</f>
        <v/>
      </c>
      <c r="BI31" s="92" t="str">
        <f aca="false">IF(OR(AU31="",BH31="",AU31=0),"",(AU31-BH31)/AU31)</f>
        <v/>
      </c>
      <c r="BJ31" s="81"/>
      <c r="BK31" s="83"/>
      <c r="BL31" s="43" t="str">
        <f aca="false">IFERROR(INDEX(ЗАКАЗЫ!$N$3:$N$500,MATCH($A31,ЗАКАЗЫ!$F$3:$F$500,0)),"")</f>
        <v/>
      </c>
      <c r="BM31" s="8" t="str">
        <f aca="false">IF(BL31="","",IFERROR(VLOOKUP(BL31,'ТН ВЭД'!$A$4:$C$40,3,0),""))</f>
        <v/>
      </c>
      <c r="BN31" s="7" t="str">
        <f aca="false">IF(COUNTIF(ЗАКАЗЫ!$F$3:$F$500,$A31)=0,"",SUMIF(ЗАКАЗЫ!$F$3:$F$500,$A31,ЗАКАЗЫ!$J$3:$J$500))</f>
        <v/>
      </c>
      <c r="BO31" s="7" t="str">
        <f aca="false">IF(BN31="","",SUMIF(ЗАКАЗЫ!$F$3:$F$500,$A31,ЗАКАЗЫ!$AL$3:$AL$500))</f>
        <v/>
      </c>
      <c r="BP31" s="7" t="str">
        <f aca="false">IF(BN31="","",BN31-BO31)</f>
        <v/>
      </c>
      <c r="BQ31" s="55" t="str">
        <f aca="false">IF(BN31="","",IF(BO31&gt;=BN31,"На складе",IF(BO31&gt;0,"Частично","Ждём")))</f>
        <v/>
      </c>
      <c r="BR31" s="43"/>
      <c r="BS31" s="47" t="str">
        <f aca="false">IF(BN31="","",IF(_xlfn.MAXIFS(ЗАКАЗЫ!$AK$3:$AK$500,ЗАКАЗЫ!$F$3:$F$500,$A31)=0,"",_xlfn.MAXIFS(ЗАКАЗЫ!$AK$3:$AK$500,ЗАКАЗЫ!$F$3:$F$500,$A31)))</f>
        <v/>
      </c>
    </row>
    <row r="32" customFormat="false" ht="15.75" hidden="false" customHeight="true" outlineLevel="0" collapsed="false">
      <c r="A32" s="80" t="s">
        <v>2572</v>
      </c>
      <c r="B32" s="81"/>
      <c r="C32" s="81"/>
      <c r="D32" s="81"/>
      <c r="E32" s="83"/>
      <c r="F32" s="81"/>
      <c r="G32" s="83"/>
      <c r="H32" s="83"/>
      <c r="I32" s="84" t="str">
        <f aca="false">IF(E32="","",A32&amp;"_1.jpg")</f>
        <v/>
      </c>
      <c r="J32" s="84" t="str">
        <f aca="false">IF(E32="","",A32&amp;"_2.jpg; "&amp;A32&amp;"_3.jpg")</f>
        <v/>
      </c>
      <c r="K32" s="84" t="str">
        <f aca="false">IF(E32="","",A32&amp;"_schema.jpg")</f>
        <v/>
      </c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 t="s">
        <v>96</v>
      </c>
      <c r="W32" s="81"/>
      <c r="X32" s="81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6" t="str">
        <f aca="false">IF(SUM(Y32:AJ32)=0,"",SUM(Y32:AJ32))</f>
        <v/>
      </c>
      <c r="AL32" s="84" t="str">
        <f aca="false">MID(IF(N(Y32)&gt;0,", "&amp;Y$2,"")&amp;IF(N(Z32)&gt;0,", "&amp;Z$2,"")&amp;IF(N(AA32)&gt;0,", "&amp;AA$2,"")&amp;IF(N(AB32)&gt;0,", "&amp;AB$2,"")&amp;IF(N(AC32)&gt;0,", "&amp;AC$2,"")&amp;IF(N(AD32)&gt;0,", "&amp;AD$2,"")&amp;IF(N(AE32)&gt;0,", "&amp;AE$2,"")&amp;IF(N(AF32)&gt;0,", "&amp;AF$2,"")&amp;IF(N(AG32)&gt;0,", "&amp;AG$2,"")&amp;IF(N(AH32)&gt;0,", "&amp;AH$2,"")&amp;IF(N(AI32)&gt;0,", "&amp;AI$2,"")&amp;IF(N(AJ32)&gt;0,", "&amp;AJ$2,""),3,999)</f>
        <v/>
      </c>
      <c r="AM32" s="87" t="str">
        <f aca="false">IF(E32="","",MID(IF(N(Y32)&gt;0,", "&amp;A32&amp;"-"&amp;Y$2,"")&amp;IF(N(Z32)&gt;0,", "&amp;A32&amp;"-"&amp;Z$2,"")&amp;IF(N(AA32)&gt;0,", "&amp;A32&amp;"-"&amp;AA$2,"")&amp;IF(N(AB32)&gt;0,", "&amp;A32&amp;"-"&amp;AB$2,"")&amp;IF(N(AC32)&gt;0,", "&amp;A32&amp;"-"&amp;AC$2,"")&amp;IF(N(AD32)&gt;0,", "&amp;A32&amp;"-"&amp;AD$2,"")&amp;IF(N(AE32)&gt;0,", "&amp;A32&amp;"-"&amp;AE$2,"")&amp;IF(N(AF32)&gt;0,", "&amp;A32&amp;"-"&amp;AF$2,"")&amp;IF(N(AG32)&gt;0,", "&amp;A32&amp;"-"&amp;AG$2,"")&amp;IF(N(AH32)&gt;0,", "&amp;A32&amp;"-"&amp;AH$2,"")&amp;IF(N(AI32)&gt;0,", "&amp;A32&amp;"-"&amp;AI$2,"")&amp;IF(N(AJ32)&gt;0,", "&amp;A32&amp;"-"&amp;AJ$2,""),3,999))</f>
        <v/>
      </c>
      <c r="AN32" s="81"/>
      <c r="AO32" s="88"/>
      <c r="AP32" s="89" t="str">
        <f aca="false">IF(AO32="","",ROUND(AO32/(1+Справочники!$B$13),2))</f>
        <v/>
      </c>
      <c r="AQ32" s="90" t="str">
        <f aca="false" t="array" ref="AQ32:AQ32">IF(AP32="","",AP32*INDEX(Справочники!$B$4:$B$7,MATCH("RUB",Справочники!$A$4:$A$7,0)))</f>
        <v/>
      </c>
      <c r="AR32" s="90" t="str">
        <f aca="false">IF(AQ32="","",ROUND(AQ32*(1+Справочники!$B$12),0))</f>
        <v/>
      </c>
      <c r="AS32" s="90" t="str">
        <f aca="false">IF(AR32="","",ROUND(AR32*(1-Справочники!$B$11),0))</f>
        <v/>
      </c>
      <c r="AT32" s="88"/>
      <c r="AU32" s="90" t="str">
        <f aca="false">IF(AT32="","",ROUND(AT32/(1+Справочники!$B$12),0))</f>
        <v/>
      </c>
      <c r="AV32" s="90" t="str">
        <f aca="false">IF(AT32="","",ROUND(AT32*(1-Справочники!$B$15),0))</f>
        <v/>
      </c>
      <c r="AW32" s="90" t="str">
        <f aca="false">IF(AT32="","",ROUND(AT32*(1-Справочники!$B$16),0))</f>
        <v/>
      </c>
      <c r="AX32" s="90" t="str">
        <f aca="false">IF(AT32="","",ROUND(AT32*(1-Справочники!$B$17),0))</f>
        <v/>
      </c>
      <c r="AY32" s="90" t="str">
        <f aca="false">IF(AT32="","",ROUND(AT32*(1-Справочники!$B$18),0))</f>
        <v/>
      </c>
      <c r="AZ32" s="90" t="str">
        <f aca="false">IF(AT32="","",ROUND(AT32*(1-Справочники!$B$19),0))</f>
        <v/>
      </c>
      <c r="BA32" s="81"/>
      <c r="BB32" s="81"/>
      <c r="BC32" s="81"/>
      <c r="BD32" s="81"/>
      <c r="BE32" s="91"/>
      <c r="BF32" s="81" t="s">
        <v>103</v>
      </c>
      <c r="BG32" s="89" t="n">
        <f aca="false" t="array" ref="BG32:BG32">IF(BF32="","",IFERROR(INDEX(Справочники!$B$4:$B$7,MATCH(BF32,Справочники!$A$4:$A$7,0)),""))</f>
        <v>68.5</v>
      </c>
      <c r="BH32" s="90" t="str">
        <f aca="false">IF(N(BN32)&gt;0,ROUND(SUMIF(ЗАКАЗЫ!$F$3:$F$500,$A32,ЗАКАЗЫ!$Y$3:$Y$500)/BN32,0),IF(OR(BE32="",BG32=""),"",ROUND(BE32*BG32*(1+Справочники!$B$10),0)))</f>
        <v/>
      </c>
      <c r="BI32" s="92" t="str">
        <f aca="false">IF(OR(AU32="",BH32="",AU32=0),"",(AU32-BH32)/AU32)</f>
        <v/>
      </c>
      <c r="BJ32" s="81"/>
      <c r="BK32" s="83"/>
      <c r="BL32" s="43" t="str">
        <f aca="false">IFERROR(INDEX(ЗАКАЗЫ!$N$3:$N$500,MATCH($A32,ЗАКАЗЫ!$F$3:$F$500,0)),"")</f>
        <v/>
      </c>
      <c r="BM32" s="8" t="str">
        <f aca="false">IF(BL32="","",IFERROR(VLOOKUP(BL32,'ТН ВЭД'!$A$4:$C$40,3,0),""))</f>
        <v/>
      </c>
      <c r="BN32" s="7" t="str">
        <f aca="false">IF(COUNTIF(ЗАКАЗЫ!$F$3:$F$500,$A32)=0,"",SUMIF(ЗАКАЗЫ!$F$3:$F$500,$A32,ЗАКАЗЫ!$J$3:$J$500))</f>
        <v/>
      </c>
      <c r="BO32" s="7" t="str">
        <f aca="false">IF(BN32="","",SUMIF(ЗАКАЗЫ!$F$3:$F$500,$A32,ЗАКАЗЫ!$AL$3:$AL$500))</f>
        <v/>
      </c>
      <c r="BP32" s="7" t="str">
        <f aca="false">IF(BN32="","",BN32-BO32)</f>
        <v/>
      </c>
      <c r="BQ32" s="55" t="str">
        <f aca="false">IF(BN32="","",IF(BO32&gt;=BN32,"На складе",IF(BO32&gt;0,"Частично","Ждём")))</f>
        <v/>
      </c>
      <c r="BR32" s="43"/>
      <c r="BS32" s="47" t="str">
        <f aca="false">IF(BN32="","",IF(_xlfn.MAXIFS(ЗАКАЗЫ!$AK$3:$AK$500,ЗАКАЗЫ!$F$3:$F$500,$A32)=0,"",_xlfn.MAXIFS(ЗАКАЗЫ!$AK$3:$AK$500,ЗАКАЗЫ!$F$3:$F$500,$A32)))</f>
        <v/>
      </c>
    </row>
    <row r="33" customFormat="false" ht="15.75" hidden="false" customHeight="true" outlineLevel="0" collapsed="false">
      <c r="A33" s="80" t="s">
        <v>2573</v>
      </c>
      <c r="B33" s="81"/>
      <c r="C33" s="81"/>
      <c r="D33" s="81"/>
      <c r="E33" s="83"/>
      <c r="F33" s="81"/>
      <c r="G33" s="83"/>
      <c r="H33" s="83"/>
      <c r="I33" s="84" t="str">
        <f aca="false">IF(E33="","",A33&amp;"_1.jpg")</f>
        <v/>
      </c>
      <c r="J33" s="84" t="str">
        <f aca="false">IF(E33="","",A33&amp;"_2.jpg; "&amp;A33&amp;"_3.jpg")</f>
        <v/>
      </c>
      <c r="K33" s="84" t="str">
        <f aca="false">IF(E33="","",A33&amp;"_schema.jpg")</f>
        <v/>
      </c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 t="s">
        <v>96</v>
      </c>
      <c r="W33" s="81"/>
      <c r="X33" s="81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6" t="str">
        <f aca="false">IF(SUM(Y33:AJ33)=0,"",SUM(Y33:AJ33))</f>
        <v/>
      </c>
      <c r="AL33" s="84" t="str">
        <f aca="false">MID(IF(N(Y33)&gt;0,", "&amp;Y$2,"")&amp;IF(N(Z33)&gt;0,", "&amp;Z$2,"")&amp;IF(N(AA33)&gt;0,", "&amp;AA$2,"")&amp;IF(N(AB33)&gt;0,", "&amp;AB$2,"")&amp;IF(N(AC33)&gt;0,", "&amp;AC$2,"")&amp;IF(N(AD33)&gt;0,", "&amp;AD$2,"")&amp;IF(N(AE33)&gt;0,", "&amp;AE$2,"")&amp;IF(N(AF33)&gt;0,", "&amp;AF$2,"")&amp;IF(N(AG33)&gt;0,", "&amp;AG$2,"")&amp;IF(N(AH33)&gt;0,", "&amp;AH$2,"")&amp;IF(N(AI33)&gt;0,", "&amp;AI$2,"")&amp;IF(N(AJ33)&gt;0,", "&amp;AJ$2,""),3,999)</f>
        <v/>
      </c>
      <c r="AM33" s="87" t="str">
        <f aca="false">IF(E33="","",MID(IF(N(Y33)&gt;0,", "&amp;A33&amp;"-"&amp;Y$2,"")&amp;IF(N(Z33)&gt;0,", "&amp;A33&amp;"-"&amp;Z$2,"")&amp;IF(N(AA33)&gt;0,", "&amp;A33&amp;"-"&amp;AA$2,"")&amp;IF(N(AB33)&gt;0,", "&amp;A33&amp;"-"&amp;AB$2,"")&amp;IF(N(AC33)&gt;0,", "&amp;A33&amp;"-"&amp;AC$2,"")&amp;IF(N(AD33)&gt;0,", "&amp;A33&amp;"-"&amp;AD$2,"")&amp;IF(N(AE33)&gt;0,", "&amp;A33&amp;"-"&amp;AE$2,"")&amp;IF(N(AF33)&gt;0,", "&amp;A33&amp;"-"&amp;AF$2,"")&amp;IF(N(AG33)&gt;0,", "&amp;A33&amp;"-"&amp;AG$2,"")&amp;IF(N(AH33)&gt;0,", "&amp;A33&amp;"-"&amp;AH$2,"")&amp;IF(N(AI33)&gt;0,", "&amp;A33&amp;"-"&amp;AI$2,"")&amp;IF(N(AJ33)&gt;0,", "&amp;A33&amp;"-"&amp;AJ$2,""),3,999))</f>
        <v/>
      </c>
      <c r="AN33" s="81"/>
      <c r="AO33" s="88"/>
      <c r="AP33" s="89" t="str">
        <f aca="false">IF(AO33="","",ROUND(AO33/(1+Справочники!$B$13),2))</f>
        <v/>
      </c>
      <c r="AQ33" s="90" t="str">
        <f aca="false" t="array" ref="AQ33:AQ33">IF(AP33="","",AP33*INDEX(Справочники!$B$4:$B$7,MATCH("RUB",Справочники!$A$4:$A$7,0)))</f>
        <v/>
      </c>
      <c r="AR33" s="90" t="str">
        <f aca="false">IF(AQ33="","",ROUND(AQ33*(1+Справочники!$B$12),0))</f>
        <v/>
      </c>
      <c r="AS33" s="90" t="str">
        <f aca="false">IF(AR33="","",ROUND(AR33*(1-Справочники!$B$11),0))</f>
        <v/>
      </c>
      <c r="AT33" s="88"/>
      <c r="AU33" s="90" t="str">
        <f aca="false">IF(AT33="","",ROUND(AT33/(1+Справочники!$B$12),0))</f>
        <v/>
      </c>
      <c r="AV33" s="90" t="str">
        <f aca="false">IF(AT33="","",ROUND(AT33*(1-Справочники!$B$15),0))</f>
        <v/>
      </c>
      <c r="AW33" s="90" t="str">
        <f aca="false">IF(AT33="","",ROUND(AT33*(1-Справочники!$B$16),0))</f>
        <v/>
      </c>
      <c r="AX33" s="90" t="str">
        <f aca="false">IF(AT33="","",ROUND(AT33*(1-Справочники!$B$17),0))</f>
        <v/>
      </c>
      <c r="AY33" s="90" t="str">
        <f aca="false">IF(AT33="","",ROUND(AT33*(1-Справочники!$B$18),0))</f>
        <v/>
      </c>
      <c r="AZ33" s="90" t="str">
        <f aca="false">IF(AT33="","",ROUND(AT33*(1-Справочники!$B$19),0))</f>
        <v/>
      </c>
      <c r="BA33" s="81"/>
      <c r="BB33" s="81"/>
      <c r="BC33" s="81"/>
      <c r="BD33" s="81"/>
      <c r="BE33" s="91"/>
      <c r="BF33" s="81" t="s">
        <v>103</v>
      </c>
      <c r="BG33" s="89" t="n">
        <f aca="false" t="array" ref="BG33:BG33">IF(BF33="","",IFERROR(INDEX(Справочники!$B$4:$B$7,MATCH(BF33,Справочники!$A$4:$A$7,0)),""))</f>
        <v>68.5</v>
      </c>
      <c r="BH33" s="90" t="str">
        <f aca="false">IF(N(BN33)&gt;0,ROUND(SUMIF(ЗАКАЗЫ!$F$3:$F$500,$A33,ЗАКАЗЫ!$Y$3:$Y$500)/BN33,0),IF(OR(BE33="",BG33=""),"",ROUND(BE33*BG33*(1+Справочники!$B$10),0)))</f>
        <v/>
      </c>
      <c r="BI33" s="92" t="str">
        <f aca="false">IF(OR(AU33="",BH33="",AU33=0),"",(AU33-BH33)/AU33)</f>
        <v/>
      </c>
      <c r="BJ33" s="81"/>
      <c r="BK33" s="83"/>
      <c r="BL33" s="43" t="str">
        <f aca="false">IFERROR(INDEX(ЗАКАЗЫ!$N$3:$N$500,MATCH($A33,ЗАКАЗЫ!$F$3:$F$500,0)),"")</f>
        <v/>
      </c>
      <c r="BM33" s="8" t="str">
        <f aca="false">IF(BL33="","",IFERROR(VLOOKUP(BL33,'ТН ВЭД'!$A$4:$C$40,3,0),""))</f>
        <v/>
      </c>
      <c r="BN33" s="7" t="str">
        <f aca="false">IF(COUNTIF(ЗАКАЗЫ!$F$3:$F$500,$A33)=0,"",SUMIF(ЗАКАЗЫ!$F$3:$F$500,$A33,ЗАКАЗЫ!$J$3:$J$500))</f>
        <v/>
      </c>
      <c r="BO33" s="7" t="str">
        <f aca="false">IF(BN33="","",SUMIF(ЗАКАЗЫ!$F$3:$F$500,$A33,ЗАКАЗЫ!$AL$3:$AL$500))</f>
        <v/>
      </c>
      <c r="BP33" s="7" t="str">
        <f aca="false">IF(BN33="","",BN33-BO33)</f>
        <v/>
      </c>
      <c r="BQ33" s="55" t="str">
        <f aca="false">IF(BN33="","",IF(BO33&gt;=BN33,"На складе",IF(BO33&gt;0,"Частично","Ждём")))</f>
        <v/>
      </c>
      <c r="BR33" s="43"/>
      <c r="BS33" s="47" t="str">
        <f aca="false">IF(BN33="","",IF(_xlfn.MAXIFS(ЗАКАЗЫ!$AK$3:$AK$500,ЗАКАЗЫ!$F$3:$F$500,$A33)=0,"",_xlfn.MAXIFS(ЗАКАЗЫ!$AK$3:$AK$500,ЗАКАЗЫ!$F$3:$F$500,$A33)))</f>
        <v/>
      </c>
    </row>
    <row r="34" customFormat="false" ht="15.75" hidden="false" customHeight="true" outlineLevel="0" collapsed="false">
      <c r="A34" s="80" t="s">
        <v>2574</v>
      </c>
      <c r="B34" s="81"/>
      <c r="C34" s="81"/>
      <c r="D34" s="81"/>
      <c r="E34" s="83"/>
      <c r="F34" s="81"/>
      <c r="G34" s="83"/>
      <c r="H34" s="83"/>
      <c r="I34" s="84" t="str">
        <f aca="false">IF(E34="","",A34&amp;"_1.jpg")</f>
        <v/>
      </c>
      <c r="J34" s="84" t="str">
        <f aca="false">IF(E34="","",A34&amp;"_2.jpg; "&amp;A34&amp;"_3.jpg")</f>
        <v/>
      </c>
      <c r="K34" s="84" t="str">
        <f aca="false">IF(E34="","",A34&amp;"_schema.jpg")</f>
        <v/>
      </c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 t="s">
        <v>96</v>
      </c>
      <c r="W34" s="81"/>
      <c r="X34" s="81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6" t="str">
        <f aca="false">IF(SUM(Y34:AJ34)=0,"",SUM(Y34:AJ34))</f>
        <v/>
      </c>
      <c r="AL34" s="84" t="str">
        <f aca="false">MID(IF(N(Y34)&gt;0,", "&amp;Y$2,"")&amp;IF(N(Z34)&gt;0,", "&amp;Z$2,"")&amp;IF(N(AA34)&gt;0,", "&amp;AA$2,"")&amp;IF(N(AB34)&gt;0,", "&amp;AB$2,"")&amp;IF(N(AC34)&gt;0,", "&amp;AC$2,"")&amp;IF(N(AD34)&gt;0,", "&amp;AD$2,"")&amp;IF(N(AE34)&gt;0,", "&amp;AE$2,"")&amp;IF(N(AF34)&gt;0,", "&amp;AF$2,"")&amp;IF(N(AG34)&gt;0,", "&amp;AG$2,"")&amp;IF(N(AH34)&gt;0,", "&amp;AH$2,"")&amp;IF(N(AI34)&gt;0,", "&amp;AI$2,"")&amp;IF(N(AJ34)&gt;0,", "&amp;AJ$2,""),3,999)</f>
        <v/>
      </c>
      <c r="AM34" s="87" t="str">
        <f aca="false">IF(E34="","",MID(IF(N(Y34)&gt;0,", "&amp;A34&amp;"-"&amp;Y$2,"")&amp;IF(N(Z34)&gt;0,", "&amp;A34&amp;"-"&amp;Z$2,"")&amp;IF(N(AA34)&gt;0,", "&amp;A34&amp;"-"&amp;AA$2,"")&amp;IF(N(AB34)&gt;0,", "&amp;A34&amp;"-"&amp;AB$2,"")&amp;IF(N(AC34)&gt;0,", "&amp;A34&amp;"-"&amp;AC$2,"")&amp;IF(N(AD34)&gt;0,", "&amp;A34&amp;"-"&amp;AD$2,"")&amp;IF(N(AE34)&gt;0,", "&amp;A34&amp;"-"&amp;AE$2,"")&amp;IF(N(AF34)&gt;0,", "&amp;A34&amp;"-"&amp;AF$2,"")&amp;IF(N(AG34)&gt;0,", "&amp;A34&amp;"-"&amp;AG$2,"")&amp;IF(N(AH34)&gt;0,", "&amp;A34&amp;"-"&amp;AH$2,"")&amp;IF(N(AI34)&gt;0,", "&amp;A34&amp;"-"&amp;AI$2,"")&amp;IF(N(AJ34)&gt;0,", "&amp;A34&amp;"-"&amp;AJ$2,""),3,999))</f>
        <v/>
      </c>
      <c r="AN34" s="81"/>
      <c r="AO34" s="88"/>
      <c r="AP34" s="89" t="str">
        <f aca="false">IF(AO34="","",ROUND(AO34/(1+Справочники!$B$13),2))</f>
        <v/>
      </c>
      <c r="AQ34" s="90" t="str">
        <f aca="false" t="array" ref="AQ34:AQ34">IF(AP34="","",AP34*INDEX(Справочники!$B$4:$B$7,MATCH("RUB",Справочники!$A$4:$A$7,0)))</f>
        <v/>
      </c>
      <c r="AR34" s="90" t="str">
        <f aca="false">IF(AQ34="","",ROUND(AQ34*(1+Справочники!$B$12),0))</f>
        <v/>
      </c>
      <c r="AS34" s="90" t="str">
        <f aca="false">IF(AR34="","",ROUND(AR34*(1-Справочники!$B$11),0))</f>
        <v/>
      </c>
      <c r="AT34" s="88"/>
      <c r="AU34" s="90" t="str">
        <f aca="false">IF(AT34="","",ROUND(AT34/(1+Справочники!$B$12),0))</f>
        <v/>
      </c>
      <c r="AV34" s="90" t="str">
        <f aca="false">IF(AT34="","",ROUND(AT34*(1-Справочники!$B$15),0))</f>
        <v/>
      </c>
      <c r="AW34" s="90" t="str">
        <f aca="false">IF(AT34="","",ROUND(AT34*(1-Справочники!$B$16),0))</f>
        <v/>
      </c>
      <c r="AX34" s="90" t="str">
        <f aca="false">IF(AT34="","",ROUND(AT34*(1-Справочники!$B$17),0))</f>
        <v/>
      </c>
      <c r="AY34" s="90" t="str">
        <f aca="false">IF(AT34="","",ROUND(AT34*(1-Справочники!$B$18),0))</f>
        <v/>
      </c>
      <c r="AZ34" s="90" t="str">
        <f aca="false">IF(AT34="","",ROUND(AT34*(1-Справочники!$B$19),0))</f>
        <v/>
      </c>
      <c r="BA34" s="81"/>
      <c r="BB34" s="81"/>
      <c r="BC34" s="81"/>
      <c r="BD34" s="81"/>
      <c r="BE34" s="91"/>
      <c r="BF34" s="81" t="s">
        <v>103</v>
      </c>
      <c r="BG34" s="89" t="n">
        <f aca="false" t="array" ref="BG34:BG34">IF(BF34="","",IFERROR(INDEX(Справочники!$B$4:$B$7,MATCH(BF34,Справочники!$A$4:$A$7,0)),""))</f>
        <v>68.5</v>
      </c>
      <c r="BH34" s="90" t="str">
        <f aca="false">IF(N(BN34)&gt;0,ROUND(SUMIF(ЗАКАЗЫ!$F$3:$F$500,$A34,ЗАКАЗЫ!$Y$3:$Y$500)/BN34,0),IF(OR(BE34="",BG34=""),"",ROUND(BE34*BG34*(1+Справочники!$B$10),0)))</f>
        <v/>
      </c>
      <c r="BI34" s="92" t="str">
        <f aca="false">IF(OR(AU34="",BH34="",AU34=0),"",(AU34-BH34)/AU34)</f>
        <v/>
      </c>
      <c r="BJ34" s="81"/>
      <c r="BK34" s="83"/>
      <c r="BL34" s="43" t="str">
        <f aca="false">IFERROR(INDEX(ЗАКАЗЫ!$N$3:$N$500,MATCH($A34,ЗАКАЗЫ!$F$3:$F$500,0)),"")</f>
        <v/>
      </c>
      <c r="BM34" s="8" t="str">
        <f aca="false">IF(BL34="","",IFERROR(VLOOKUP(BL34,'ТН ВЭД'!$A$4:$C$40,3,0),""))</f>
        <v/>
      </c>
      <c r="BN34" s="7" t="str">
        <f aca="false">IF(COUNTIF(ЗАКАЗЫ!$F$3:$F$500,$A34)=0,"",SUMIF(ЗАКАЗЫ!$F$3:$F$500,$A34,ЗАКАЗЫ!$J$3:$J$500))</f>
        <v/>
      </c>
      <c r="BO34" s="7" t="str">
        <f aca="false">IF(BN34="","",SUMIF(ЗАКАЗЫ!$F$3:$F$500,$A34,ЗАКАЗЫ!$AL$3:$AL$500))</f>
        <v/>
      </c>
      <c r="BP34" s="7" t="str">
        <f aca="false">IF(BN34="","",BN34-BO34)</f>
        <v/>
      </c>
      <c r="BQ34" s="55" t="str">
        <f aca="false">IF(BN34="","",IF(BO34&gt;=BN34,"На складе",IF(BO34&gt;0,"Частично","Ждём")))</f>
        <v/>
      </c>
      <c r="BR34" s="43"/>
      <c r="BS34" s="47" t="str">
        <f aca="false">IF(BN34="","",IF(_xlfn.MAXIFS(ЗАКАЗЫ!$AK$3:$AK$500,ЗАКАЗЫ!$F$3:$F$500,$A34)=0,"",_xlfn.MAXIFS(ЗАКАЗЫ!$AK$3:$AK$500,ЗАКАЗЫ!$F$3:$F$500,$A34)))</f>
        <v/>
      </c>
    </row>
    <row r="35" customFormat="false" ht="15.75" hidden="false" customHeight="true" outlineLevel="0" collapsed="false">
      <c r="A35" s="80" t="s">
        <v>2575</v>
      </c>
      <c r="B35" s="81"/>
      <c r="C35" s="81"/>
      <c r="D35" s="81"/>
      <c r="E35" s="83"/>
      <c r="F35" s="81"/>
      <c r="G35" s="83"/>
      <c r="H35" s="83"/>
      <c r="I35" s="84" t="str">
        <f aca="false">IF(E35="","",A35&amp;"_1.jpg")</f>
        <v/>
      </c>
      <c r="J35" s="84" t="str">
        <f aca="false">IF(E35="","",A35&amp;"_2.jpg; "&amp;A35&amp;"_3.jpg")</f>
        <v/>
      </c>
      <c r="K35" s="84" t="str">
        <f aca="false">IF(E35="","",A35&amp;"_schema.jpg")</f>
        <v/>
      </c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 t="s">
        <v>96</v>
      </c>
      <c r="W35" s="81"/>
      <c r="X35" s="81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6" t="str">
        <f aca="false">IF(SUM(Y35:AJ35)=0,"",SUM(Y35:AJ35))</f>
        <v/>
      </c>
      <c r="AL35" s="84" t="str">
        <f aca="false">MID(IF(N(Y35)&gt;0,", "&amp;Y$2,"")&amp;IF(N(Z35)&gt;0,", "&amp;Z$2,"")&amp;IF(N(AA35)&gt;0,", "&amp;AA$2,"")&amp;IF(N(AB35)&gt;0,", "&amp;AB$2,"")&amp;IF(N(AC35)&gt;0,", "&amp;AC$2,"")&amp;IF(N(AD35)&gt;0,", "&amp;AD$2,"")&amp;IF(N(AE35)&gt;0,", "&amp;AE$2,"")&amp;IF(N(AF35)&gt;0,", "&amp;AF$2,"")&amp;IF(N(AG35)&gt;0,", "&amp;AG$2,"")&amp;IF(N(AH35)&gt;0,", "&amp;AH$2,"")&amp;IF(N(AI35)&gt;0,", "&amp;AI$2,"")&amp;IF(N(AJ35)&gt;0,", "&amp;AJ$2,""),3,999)</f>
        <v/>
      </c>
      <c r="AM35" s="87" t="str">
        <f aca="false">IF(E35="","",MID(IF(N(Y35)&gt;0,", "&amp;A35&amp;"-"&amp;Y$2,"")&amp;IF(N(Z35)&gt;0,", "&amp;A35&amp;"-"&amp;Z$2,"")&amp;IF(N(AA35)&gt;0,", "&amp;A35&amp;"-"&amp;AA$2,"")&amp;IF(N(AB35)&gt;0,", "&amp;A35&amp;"-"&amp;AB$2,"")&amp;IF(N(AC35)&gt;0,", "&amp;A35&amp;"-"&amp;AC$2,"")&amp;IF(N(AD35)&gt;0,", "&amp;A35&amp;"-"&amp;AD$2,"")&amp;IF(N(AE35)&gt;0,", "&amp;A35&amp;"-"&amp;AE$2,"")&amp;IF(N(AF35)&gt;0,", "&amp;A35&amp;"-"&amp;AF$2,"")&amp;IF(N(AG35)&gt;0,", "&amp;A35&amp;"-"&amp;AG$2,"")&amp;IF(N(AH35)&gt;0,", "&amp;A35&amp;"-"&amp;AH$2,"")&amp;IF(N(AI35)&gt;0,", "&amp;A35&amp;"-"&amp;AI$2,"")&amp;IF(N(AJ35)&gt;0,", "&amp;A35&amp;"-"&amp;AJ$2,""),3,999))</f>
        <v/>
      </c>
      <c r="AN35" s="81"/>
      <c r="AO35" s="88"/>
      <c r="AP35" s="89" t="str">
        <f aca="false">IF(AO35="","",ROUND(AO35/(1+Справочники!$B$13),2))</f>
        <v/>
      </c>
      <c r="AQ35" s="90" t="str">
        <f aca="false" t="array" ref="AQ35:AQ35">IF(AP35="","",AP35*INDEX(Справочники!$B$4:$B$7,MATCH("RUB",Справочники!$A$4:$A$7,0)))</f>
        <v/>
      </c>
      <c r="AR35" s="90" t="str">
        <f aca="false">IF(AQ35="","",ROUND(AQ35*(1+Справочники!$B$12),0))</f>
        <v/>
      </c>
      <c r="AS35" s="90" t="str">
        <f aca="false">IF(AR35="","",ROUND(AR35*(1-Справочники!$B$11),0))</f>
        <v/>
      </c>
      <c r="AT35" s="88"/>
      <c r="AU35" s="90" t="str">
        <f aca="false">IF(AT35="","",ROUND(AT35/(1+Справочники!$B$12),0))</f>
        <v/>
      </c>
      <c r="AV35" s="90" t="str">
        <f aca="false">IF(AT35="","",ROUND(AT35*(1-Справочники!$B$15),0))</f>
        <v/>
      </c>
      <c r="AW35" s="90" t="str">
        <f aca="false">IF(AT35="","",ROUND(AT35*(1-Справочники!$B$16),0))</f>
        <v/>
      </c>
      <c r="AX35" s="90" t="str">
        <f aca="false">IF(AT35="","",ROUND(AT35*(1-Справочники!$B$17),0))</f>
        <v/>
      </c>
      <c r="AY35" s="90" t="str">
        <f aca="false">IF(AT35="","",ROUND(AT35*(1-Справочники!$B$18),0))</f>
        <v/>
      </c>
      <c r="AZ35" s="90" t="str">
        <f aca="false">IF(AT35="","",ROUND(AT35*(1-Справочники!$B$19),0))</f>
        <v/>
      </c>
      <c r="BA35" s="81"/>
      <c r="BB35" s="81"/>
      <c r="BC35" s="81"/>
      <c r="BD35" s="81"/>
      <c r="BE35" s="91"/>
      <c r="BF35" s="81" t="s">
        <v>103</v>
      </c>
      <c r="BG35" s="89" t="n">
        <f aca="false" t="array" ref="BG35:BG35">IF(BF35="","",IFERROR(INDEX(Справочники!$B$4:$B$7,MATCH(BF35,Справочники!$A$4:$A$7,0)),""))</f>
        <v>68.5</v>
      </c>
      <c r="BH35" s="90" t="str">
        <f aca="false">IF(N(BN35)&gt;0,ROUND(SUMIF(ЗАКАЗЫ!$F$3:$F$500,$A35,ЗАКАЗЫ!$Y$3:$Y$500)/BN35,0),IF(OR(BE35="",BG35=""),"",ROUND(BE35*BG35*(1+Справочники!$B$10),0)))</f>
        <v/>
      </c>
      <c r="BI35" s="92" t="str">
        <f aca="false">IF(OR(AU35="",BH35="",AU35=0),"",(AU35-BH35)/AU35)</f>
        <v/>
      </c>
      <c r="BJ35" s="81"/>
      <c r="BK35" s="83"/>
      <c r="BL35" s="43" t="str">
        <f aca="false">IFERROR(INDEX(ЗАКАЗЫ!$N$3:$N$500,MATCH($A35,ЗАКАЗЫ!$F$3:$F$500,0)),"")</f>
        <v/>
      </c>
      <c r="BM35" s="8" t="str">
        <f aca="false">IF(BL35="","",IFERROR(VLOOKUP(BL35,'ТН ВЭД'!$A$4:$C$40,3,0),""))</f>
        <v/>
      </c>
      <c r="BN35" s="7" t="str">
        <f aca="false">IF(COUNTIF(ЗАКАЗЫ!$F$3:$F$500,$A35)=0,"",SUMIF(ЗАКАЗЫ!$F$3:$F$500,$A35,ЗАКАЗЫ!$J$3:$J$500))</f>
        <v/>
      </c>
      <c r="BO35" s="7" t="str">
        <f aca="false">IF(BN35="","",SUMIF(ЗАКАЗЫ!$F$3:$F$500,$A35,ЗАКАЗЫ!$AL$3:$AL$500))</f>
        <v/>
      </c>
      <c r="BP35" s="7" t="str">
        <f aca="false">IF(BN35="","",BN35-BO35)</f>
        <v/>
      </c>
      <c r="BQ35" s="55" t="str">
        <f aca="false">IF(BN35="","",IF(BO35&gt;=BN35,"На складе",IF(BO35&gt;0,"Частично","Ждём")))</f>
        <v/>
      </c>
      <c r="BR35" s="43"/>
      <c r="BS35" s="47" t="str">
        <f aca="false">IF(BN35="","",IF(_xlfn.MAXIFS(ЗАКАЗЫ!$AK$3:$AK$500,ЗАКАЗЫ!$F$3:$F$500,$A35)=0,"",_xlfn.MAXIFS(ЗАКАЗЫ!$AK$3:$AK$500,ЗАКАЗЫ!$F$3:$F$500,$A35)))</f>
        <v/>
      </c>
    </row>
    <row r="36" customFormat="false" ht="15.75" hidden="false" customHeight="true" outlineLevel="0" collapsed="false">
      <c r="A36" s="80" t="s">
        <v>2576</v>
      </c>
      <c r="B36" s="81"/>
      <c r="C36" s="81"/>
      <c r="D36" s="81"/>
      <c r="E36" s="83"/>
      <c r="F36" s="81"/>
      <c r="G36" s="83"/>
      <c r="H36" s="83"/>
      <c r="I36" s="84" t="str">
        <f aca="false">IF(E36="","",A36&amp;"_1.jpg")</f>
        <v/>
      </c>
      <c r="J36" s="84" t="str">
        <f aca="false">IF(E36="","",A36&amp;"_2.jpg; "&amp;A36&amp;"_3.jpg")</f>
        <v/>
      </c>
      <c r="K36" s="84" t="str">
        <f aca="false">IF(E36="","",A36&amp;"_schema.jpg")</f>
        <v/>
      </c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 t="s">
        <v>96</v>
      </c>
      <c r="W36" s="81"/>
      <c r="X36" s="81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6" t="str">
        <f aca="false">IF(SUM(Y36:AJ36)=0,"",SUM(Y36:AJ36))</f>
        <v/>
      </c>
      <c r="AL36" s="84" t="str">
        <f aca="false">MID(IF(N(Y36)&gt;0,", "&amp;Y$2,"")&amp;IF(N(Z36)&gt;0,", "&amp;Z$2,"")&amp;IF(N(AA36)&gt;0,", "&amp;AA$2,"")&amp;IF(N(AB36)&gt;0,", "&amp;AB$2,"")&amp;IF(N(AC36)&gt;0,", "&amp;AC$2,"")&amp;IF(N(AD36)&gt;0,", "&amp;AD$2,"")&amp;IF(N(AE36)&gt;0,", "&amp;AE$2,"")&amp;IF(N(AF36)&gt;0,", "&amp;AF$2,"")&amp;IF(N(AG36)&gt;0,", "&amp;AG$2,"")&amp;IF(N(AH36)&gt;0,", "&amp;AH$2,"")&amp;IF(N(AI36)&gt;0,", "&amp;AI$2,"")&amp;IF(N(AJ36)&gt;0,", "&amp;AJ$2,""),3,999)</f>
        <v/>
      </c>
      <c r="AM36" s="87" t="str">
        <f aca="false">IF(E36="","",MID(IF(N(Y36)&gt;0,", "&amp;A36&amp;"-"&amp;Y$2,"")&amp;IF(N(Z36)&gt;0,", "&amp;A36&amp;"-"&amp;Z$2,"")&amp;IF(N(AA36)&gt;0,", "&amp;A36&amp;"-"&amp;AA$2,"")&amp;IF(N(AB36)&gt;0,", "&amp;A36&amp;"-"&amp;AB$2,"")&amp;IF(N(AC36)&gt;0,", "&amp;A36&amp;"-"&amp;AC$2,"")&amp;IF(N(AD36)&gt;0,", "&amp;A36&amp;"-"&amp;AD$2,"")&amp;IF(N(AE36)&gt;0,", "&amp;A36&amp;"-"&amp;AE$2,"")&amp;IF(N(AF36)&gt;0,", "&amp;A36&amp;"-"&amp;AF$2,"")&amp;IF(N(AG36)&gt;0,", "&amp;A36&amp;"-"&amp;AG$2,"")&amp;IF(N(AH36)&gt;0,", "&amp;A36&amp;"-"&amp;AH$2,"")&amp;IF(N(AI36)&gt;0,", "&amp;A36&amp;"-"&amp;AI$2,"")&amp;IF(N(AJ36)&gt;0,", "&amp;A36&amp;"-"&amp;AJ$2,""),3,999))</f>
        <v/>
      </c>
      <c r="AN36" s="81"/>
      <c r="AO36" s="88"/>
      <c r="AP36" s="89" t="str">
        <f aca="false">IF(AO36="","",ROUND(AO36/(1+Справочники!$B$13),2))</f>
        <v/>
      </c>
      <c r="AQ36" s="90" t="str">
        <f aca="false" t="array" ref="AQ36:AQ36">IF(AP36="","",AP36*INDEX(Справочники!$B$4:$B$7,MATCH("RUB",Справочники!$A$4:$A$7,0)))</f>
        <v/>
      </c>
      <c r="AR36" s="90" t="str">
        <f aca="false">IF(AQ36="","",ROUND(AQ36*(1+Справочники!$B$12),0))</f>
        <v/>
      </c>
      <c r="AS36" s="90" t="str">
        <f aca="false">IF(AR36="","",ROUND(AR36*(1-Справочники!$B$11),0))</f>
        <v/>
      </c>
      <c r="AT36" s="88"/>
      <c r="AU36" s="90" t="str">
        <f aca="false">IF(AT36="","",ROUND(AT36/(1+Справочники!$B$12),0))</f>
        <v/>
      </c>
      <c r="AV36" s="90" t="str">
        <f aca="false">IF(AT36="","",ROUND(AT36*(1-Справочники!$B$15),0))</f>
        <v/>
      </c>
      <c r="AW36" s="90" t="str">
        <f aca="false">IF(AT36="","",ROUND(AT36*(1-Справочники!$B$16),0))</f>
        <v/>
      </c>
      <c r="AX36" s="90" t="str">
        <f aca="false">IF(AT36="","",ROUND(AT36*(1-Справочники!$B$17),0))</f>
        <v/>
      </c>
      <c r="AY36" s="90" t="str">
        <f aca="false">IF(AT36="","",ROUND(AT36*(1-Справочники!$B$18),0))</f>
        <v/>
      </c>
      <c r="AZ36" s="90" t="str">
        <f aca="false">IF(AT36="","",ROUND(AT36*(1-Справочники!$B$19),0))</f>
        <v/>
      </c>
      <c r="BA36" s="81"/>
      <c r="BB36" s="81"/>
      <c r="BC36" s="81"/>
      <c r="BD36" s="81"/>
      <c r="BE36" s="91"/>
      <c r="BF36" s="81" t="s">
        <v>103</v>
      </c>
      <c r="BG36" s="89" t="n">
        <f aca="false" t="array" ref="BG36:BG36">IF(BF36="","",IFERROR(INDEX(Справочники!$B$4:$B$7,MATCH(BF36,Справочники!$A$4:$A$7,0)),""))</f>
        <v>68.5</v>
      </c>
      <c r="BH36" s="90" t="str">
        <f aca="false">IF(N(BN36)&gt;0,ROUND(SUMIF(ЗАКАЗЫ!$F$3:$F$500,$A36,ЗАКАЗЫ!$Y$3:$Y$500)/BN36,0),IF(OR(BE36="",BG36=""),"",ROUND(BE36*BG36*(1+Справочники!$B$10),0)))</f>
        <v/>
      </c>
      <c r="BI36" s="92" t="str">
        <f aca="false">IF(OR(AU36="",BH36="",AU36=0),"",(AU36-BH36)/AU36)</f>
        <v/>
      </c>
      <c r="BJ36" s="81"/>
      <c r="BK36" s="83"/>
      <c r="BL36" s="43" t="str">
        <f aca="false">IFERROR(INDEX(ЗАКАЗЫ!$N$3:$N$500,MATCH($A36,ЗАКАЗЫ!$F$3:$F$500,0)),"")</f>
        <v/>
      </c>
      <c r="BM36" s="8" t="str">
        <f aca="false">IF(BL36="","",IFERROR(VLOOKUP(BL36,'ТН ВЭД'!$A$4:$C$40,3,0),""))</f>
        <v/>
      </c>
      <c r="BN36" s="7" t="str">
        <f aca="false">IF(COUNTIF(ЗАКАЗЫ!$F$3:$F$500,$A36)=0,"",SUMIF(ЗАКАЗЫ!$F$3:$F$500,$A36,ЗАКАЗЫ!$J$3:$J$500))</f>
        <v/>
      </c>
      <c r="BO36" s="7" t="str">
        <f aca="false">IF(BN36="","",SUMIF(ЗАКАЗЫ!$F$3:$F$500,$A36,ЗАКАЗЫ!$AL$3:$AL$500))</f>
        <v/>
      </c>
      <c r="BP36" s="7" t="str">
        <f aca="false">IF(BN36="","",BN36-BO36)</f>
        <v/>
      </c>
      <c r="BQ36" s="55" t="str">
        <f aca="false">IF(BN36="","",IF(BO36&gt;=BN36,"На складе",IF(BO36&gt;0,"Частично","Ждём")))</f>
        <v/>
      </c>
      <c r="BR36" s="43"/>
      <c r="BS36" s="47" t="str">
        <f aca="false">IF(BN36="","",IF(_xlfn.MAXIFS(ЗАКАЗЫ!$AK$3:$AK$500,ЗАКАЗЫ!$F$3:$F$500,$A36)=0,"",_xlfn.MAXIFS(ЗАКАЗЫ!$AK$3:$AK$500,ЗАКАЗЫ!$F$3:$F$500,$A36)))</f>
        <v/>
      </c>
    </row>
    <row r="37" customFormat="false" ht="15.75" hidden="false" customHeight="true" outlineLevel="0" collapsed="false">
      <c r="A37" s="80" t="s">
        <v>2577</v>
      </c>
      <c r="B37" s="81"/>
      <c r="C37" s="81"/>
      <c r="D37" s="81"/>
      <c r="E37" s="83"/>
      <c r="F37" s="81"/>
      <c r="G37" s="83"/>
      <c r="H37" s="83"/>
      <c r="I37" s="84" t="str">
        <f aca="false">IF(E37="","",A37&amp;"_1.jpg")</f>
        <v/>
      </c>
      <c r="J37" s="84" t="str">
        <f aca="false">IF(E37="","",A37&amp;"_2.jpg; "&amp;A37&amp;"_3.jpg")</f>
        <v/>
      </c>
      <c r="K37" s="84" t="str">
        <f aca="false">IF(E37="","",A37&amp;"_schema.jpg")</f>
        <v/>
      </c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 t="s">
        <v>96</v>
      </c>
      <c r="W37" s="81"/>
      <c r="X37" s="81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6" t="str">
        <f aca="false">IF(SUM(Y37:AJ37)=0,"",SUM(Y37:AJ37))</f>
        <v/>
      </c>
      <c r="AL37" s="84" t="str">
        <f aca="false">MID(IF(N(Y37)&gt;0,", "&amp;Y$2,"")&amp;IF(N(Z37)&gt;0,", "&amp;Z$2,"")&amp;IF(N(AA37)&gt;0,", "&amp;AA$2,"")&amp;IF(N(AB37)&gt;0,", "&amp;AB$2,"")&amp;IF(N(AC37)&gt;0,", "&amp;AC$2,"")&amp;IF(N(AD37)&gt;0,", "&amp;AD$2,"")&amp;IF(N(AE37)&gt;0,", "&amp;AE$2,"")&amp;IF(N(AF37)&gt;0,", "&amp;AF$2,"")&amp;IF(N(AG37)&gt;0,", "&amp;AG$2,"")&amp;IF(N(AH37)&gt;0,", "&amp;AH$2,"")&amp;IF(N(AI37)&gt;0,", "&amp;AI$2,"")&amp;IF(N(AJ37)&gt;0,", "&amp;AJ$2,""),3,999)</f>
        <v/>
      </c>
      <c r="AM37" s="87" t="str">
        <f aca="false">IF(E37="","",MID(IF(N(Y37)&gt;0,", "&amp;A37&amp;"-"&amp;Y$2,"")&amp;IF(N(Z37)&gt;0,", "&amp;A37&amp;"-"&amp;Z$2,"")&amp;IF(N(AA37)&gt;0,", "&amp;A37&amp;"-"&amp;AA$2,"")&amp;IF(N(AB37)&gt;0,", "&amp;A37&amp;"-"&amp;AB$2,"")&amp;IF(N(AC37)&gt;0,", "&amp;A37&amp;"-"&amp;AC$2,"")&amp;IF(N(AD37)&gt;0,", "&amp;A37&amp;"-"&amp;AD$2,"")&amp;IF(N(AE37)&gt;0,", "&amp;A37&amp;"-"&amp;AE$2,"")&amp;IF(N(AF37)&gt;0,", "&amp;A37&amp;"-"&amp;AF$2,"")&amp;IF(N(AG37)&gt;0,", "&amp;A37&amp;"-"&amp;AG$2,"")&amp;IF(N(AH37)&gt;0,", "&amp;A37&amp;"-"&amp;AH$2,"")&amp;IF(N(AI37)&gt;0,", "&amp;A37&amp;"-"&amp;AI$2,"")&amp;IF(N(AJ37)&gt;0,", "&amp;A37&amp;"-"&amp;AJ$2,""),3,999))</f>
        <v/>
      </c>
      <c r="AN37" s="81"/>
      <c r="AO37" s="88"/>
      <c r="AP37" s="89" t="str">
        <f aca="false">IF(AO37="","",ROUND(AO37/(1+Справочники!$B$13),2))</f>
        <v/>
      </c>
      <c r="AQ37" s="90" t="str">
        <f aca="false" t="array" ref="AQ37:AQ37">IF(AP37="","",AP37*INDEX(Справочники!$B$4:$B$7,MATCH("RUB",Справочники!$A$4:$A$7,0)))</f>
        <v/>
      </c>
      <c r="AR37" s="90" t="str">
        <f aca="false">IF(AQ37="","",ROUND(AQ37*(1+Справочники!$B$12),0))</f>
        <v/>
      </c>
      <c r="AS37" s="90" t="str">
        <f aca="false">IF(AR37="","",ROUND(AR37*(1-Справочники!$B$11),0))</f>
        <v/>
      </c>
      <c r="AT37" s="88"/>
      <c r="AU37" s="90" t="str">
        <f aca="false">IF(AT37="","",ROUND(AT37/(1+Справочники!$B$12),0))</f>
        <v/>
      </c>
      <c r="AV37" s="90" t="str">
        <f aca="false">IF(AT37="","",ROUND(AT37*(1-Справочники!$B$15),0))</f>
        <v/>
      </c>
      <c r="AW37" s="90" t="str">
        <f aca="false">IF(AT37="","",ROUND(AT37*(1-Справочники!$B$16),0))</f>
        <v/>
      </c>
      <c r="AX37" s="90" t="str">
        <f aca="false">IF(AT37="","",ROUND(AT37*(1-Справочники!$B$17),0))</f>
        <v/>
      </c>
      <c r="AY37" s="90" t="str">
        <f aca="false">IF(AT37="","",ROUND(AT37*(1-Справочники!$B$18),0))</f>
        <v/>
      </c>
      <c r="AZ37" s="90" t="str">
        <f aca="false">IF(AT37="","",ROUND(AT37*(1-Справочники!$B$19),0))</f>
        <v/>
      </c>
      <c r="BA37" s="81"/>
      <c r="BB37" s="81"/>
      <c r="BC37" s="81"/>
      <c r="BD37" s="81"/>
      <c r="BE37" s="91"/>
      <c r="BF37" s="81" t="s">
        <v>103</v>
      </c>
      <c r="BG37" s="89" t="n">
        <f aca="false" t="array" ref="BG37:BG37">IF(BF37="","",IFERROR(INDEX(Справочники!$B$4:$B$7,MATCH(BF37,Справочники!$A$4:$A$7,0)),""))</f>
        <v>68.5</v>
      </c>
      <c r="BH37" s="90" t="str">
        <f aca="false">IF(N(BN37)&gt;0,ROUND(SUMIF(ЗАКАЗЫ!$F$3:$F$500,$A37,ЗАКАЗЫ!$Y$3:$Y$500)/BN37,0),IF(OR(BE37="",BG37=""),"",ROUND(BE37*BG37*(1+Справочники!$B$10),0)))</f>
        <v/>
      </c>
      <c r="BI37" s="92" t="str">
        <f aca="false">IF(OR(AU37="",BH37="",AU37=0),"",(AU37-BH37)/AU37)</f>
        <v/>
      </c>
      <c r="BJ37" s="81"/>
      <c r="BK37" s="83"/>
      <c r="BL37" s="43" t="str">
        <f aca="false">IFERROR(INDEX(ЗАКАЗЫ!$N$3:$N$500,MATCH($A37,ЗАКАЗЫ!$F$3:$F$500,0)),"")</f>
        <v/>
      </c>
      <c r="BM37" s="8" t="str">
        <f aca="false">IF(BL37="","",IFERROR(VLOOKUP(BL37,'ТН ВЭД'!$A$4:$C$40,3,0),""))</f>
        <v/>
      </c>
      <c r="BN37" s="7" t="str">
        <f aca="false">IF(COUNTIF(ЗАКАЗЫ!$F$3:$F$500,$A37)=0,"",SUMIF(ЗАКАЗЫ!$F$3:$F$500,$A37,ЗАКАЗЫ!$J$3:$J$500))</f>
        <v/>
      </c>
      <c r="BO37" s="7" t="str">
        <f aca="false">IF(BN37="","",SUMIF(ЗАКАЗЫ!$F$3:$F$500,$A37,ЗАКАЗЫ!$AL$3:$AL$500))</f>
        <v/>
      </c>
      <c r="BP37" s="7" t="str">
        <f aca="false">IF(BN37="","",BN37-BO37)</f>
        <v/>
      </c>
      <c r="BQ37" s="55" t="str">
        <f aca="false">IF(BN37="","",IF(BO37&gt;=BN37,"На складе",IF(BO37&gt;0,"Частично","Ждём")))</f>
        <v/>
      </c>
      <c r="BR37" s="43"/>
      <c r="BS37" s="47" t="str">
        <f aca="false">IF(BN37="","",IF(_xlfn.MAXIFS(ЗАКАЗЫ!$AK$3:$AK$500,ЗАКАЗЫ!$F$3:$F$500,$A37)=0,"",_xlfn.MAXIFS(ЗАКАЗЫ!$AK$3:$AK$500,ЗАКАЗЫ!$F$3:$F$500,$A37)))</f>
        <v/>
      </c>
    </row>
    <row r="38" customFormat="false" ht="15.75" hidden="false" customHeight="true" outlineLevel="0" collapsed="false">
      <c r="A38" s="80" t="s">
        <v>2578</v>
      </c>
      <c r="B38" s="81"/>
      <c r="C38" s="81"/>
      <c r="D38" s="81"/>
      <c r="E38" s="83"/>
      <c r="F38" s="81"/>
      <c r="G38" s="83"/>
      <c r="H38" s="83"/>
      <c r="I38" s="84" t="str">
        <f aca="false">IF(E38="","",A38&amp;"_1.jpg")</f>
        <v/>
      </c>
      <c r="J38" s="84" t="str">
        <f aca="false">IF(E38="","",A38&amp;"_2.jpg; "&amp;A38&amp;"_3.jpg")</f>
        <v/>
      </c>
      <c r="K38" s="84" t="str">
        <f aca="false">IF(E38="","",A38&amp;"_schema.jpg")</f>
        <v/>
      </c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 t="s">
        <v>96</v>
      </c>
      <c r="W38" s="81"/>
      <c r="X38" s="81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6" t="str">
        <f aca="false">IF(SUM(Y38:AJ38)=0,"",SUM(Y38:AJ38))</f>
        <v/>
      </c>
      <c r="AL38" s="84" t="str">
        <f aca="false">MID(IF(N(Y38)&gt;0,", "&amp;Y$2,"")&amp;IF(N(Z38)&gt;0,", "&amp;Z$2,"")&amp;IF(N(AA38)&gt;0,", "&amp;AA$2,"")&amp;IF(N(AB38)&gt;0,", "&amp;AB$2,"")&amp;IF(N(AC38)&gt;0,", "&amp;AC$2,"")&amp;IF(N(AD38)&gt;0,", "&amp;AD$2,"")&amp;IF(N(AE38)&gt;0,", "&amp;AE$2,"")&amp;IF(N(AF38)&gt;0,", "&amp;AF$2,"")&amp;IF(N(AG38)&gt;0,", "&amp;AG$2,"")&amp;IF(N(AH38)&gt;0,", "&amp;AH$2,"")&amp;IF(N(AI38)&gt;0,", "&amp;AI$2,"")&amp;IF(N(AJ38)&gt;0,", "&amp;AJ$2,""),3,999)</f>
        <v/>
      </c>
      <c r="AM38" s="87" t="str">
        <f aca="false">IF(E38="","",MID(IF(N(Y38)&gt;0,", "&amp;A38&amp;"-"&amp;Y$2,"")&amp;IF(N(Z38)&gt;0,", "&amp;A38&amp;"-"&amp;Z$2,"")&amp;IF(N(AA38)&gt;0,", "&amp;A38&amp;"-"&amp;AA$2,"")&amp;IF(N(AB38)&gt;0,", "&amp;A38&amp;"-"&amp;AB$2,"")&amp;IF(N(AC38)&gt;0,", "&amp;A38&amp;"-"&amp;AC$2,"")&amp;IF(N(AD38)&gt;0,", "&amp;A38&amp;"-"&amp;AD$2,"")&amp;IF(N(AE38)&gt;0,", "&amp;A38&amp;"-"&amp;AE$2,"")&amp;IF(N(AF38)&gt;0,", "&amp;A38&amp;"-"&amp;AF$2,"")&amp;IF(N(AG38)&gt;0,", "&amp;A38&amp;"-"&amp;AG$2,"")&amp;IF(N(AH38)&gt;0,", "&amp;A38&amp;"-"&amp;AH$2,"")&amp;IF(N(AI38)&gt;0,", "&amp;A38&amp;"-"&amp;AI$2,"")&amp;IF(N(AJ38)&gt;0,", "&amp;A38&amp;"-"&amp;AJ$2,""),3,999))</f>
        <v/>
      </c>
      <c r="AN38" s="81"/>
      <c r="AO38" s="88"/>
      <c r="AP38" s="89" t="str">
        <f aca="false">IF(AO38="","",ROUND(AO38/(1+Справочники!$B$13),2))</f>
        <v/>
      </c>
      <c r="AQ38" s="90" t="str">
        <f aca="false" t="array" ref="AQ38:AQ38">IF(AP38="","",AP38*INDEX(Справочники!$B$4:$B$7,MATCH("RUB",Справочники!$A$4:$A$7,0)))</f>
        <v/>
      </c>
      <c r="AR38" s="90" t="str">
        <f aca="false">IF(AQ38="","",ROUND(AQ38*(1+Справочники!$B$12),0))</f>
        <v/>
      </c>
      <c r="AS38" s="90" t="str">
        <f aca="false">IF(AR38="","",ROUND(AR38*(1-Справочники!$B$11),0))</f>
        <v/>
      </c>
      <c r="AT38" s="88"/>
      <c r="AU38" s="90" t="str">
        <f aca="false">IF(AT38="","",ROUND(AT38/(1+Справочники!$B$12),0))</f>
        <v/>
      </c>
      <c r="AV38" s="90" t="str">
        <f aca="false">IF(AT38="","",ROUND(AT38*(1-Справочники!$B$15),0))</f>
        <v/>
      </c>
      <c r="AW38" s="90" t="str">
        <f aca="false">IF(AT38="","",ROUND(AT38*(1-Справочники!$B$16),0))</f>
        <v/>
      </c>
      <c r="AX38" s="90" t="str">
        <f aca="false">IF(AT38="","",ROUND(AT38*(1-Справочники!$B$17),0))</f>
        <v/>
      </c>
      <c r="AY38" s="90" t="str">
        <f aca="false">IF(AT38="","",ROUND(AT38*(1-Справочники!$B$18),0))</f>
        <v/>
      </c>
      <c r="AZ38" s="90" t="str">
        <f aca="false">IF(AT38="","",ROUND(AT38*(1-Справочники!$B$19),0))</f>
        <v/>
      </c>
      <c r="BA38" s="81"/>
      <c r="BB38" s="81"/>
      <c r="BC38" s="81"/>
      <c r="BD38" s="81"/>
      <c r="BE38" s="91"/>
      <c r="BF38" s="81" t="s">
        <v>103</v>
      </c>
      <c r="BG38" s="89" t="n">
        <f aca="false" t="array" ref="BG38:BG38">IF(BF38="","",IFERROR(INDEX(Справочники!$B$4:$B$7,MATCH(BF38,Справочники!$A$4:$A$7,0)),""))</f>
        <v>68.5</v>
      </c>
      <c r="BH38" s="90" t="str">
        <f aca="false">IF(N(BN38)&gt;0,ROUND(SUMIF(ЗАКАЗЫ!$F$3:$F$500,$A38,ЗАКАЗЫ!$Y$3:$Y$500)/BN38,0),IF(OR(BE38="",BG38=""),"",ROUND(BE38*BG38*(1+Справочники!$B$10),0)))</f>
        <v/>
      </c>
      <c r="BI38" s="92" t="str">
        <f aca="false">IF(OR(AU38="",BH38="",AU38=0),"",(AU38-BH38)/AU38)</f>
        <v/>
      </c>
      <c r="BJ38" s="81"/>
      <c r="BK38" s="83"/>
      <c r="BL38" s="43" t="str">
        <f aca="false">IFERROR(INDEX(ЗАКАЗЫ!$N$3:$N$500,MATCH($A38,ЗАКАЗЫ!$F$3:$F$500,0)),"")</f>
        <v/>
      </c>
      <c r="BM38" s="8" t="str">
        <f aca="false">IF(BL38="","",IFERROR(VLOOKUP(BL38,'ТН ВЭД'!$A$4:$C$40,3,0),""))</f>
        <v/>
      </c>
      <c r="BN38" s="7" t="str">
        <f aca="false">IF(COUNTIF(ЗАКАЗЫ!$F$3:$F$500,$A38)=0,"",SUMIF(ЗАКАЗЫ!$F$3:$F$500,$A38,ЗАКАЗЫ!$J$3:$J$500))</f>
        <v/>
      </c>
      <c r="BO38" s="7" t="str">
        <f aca="false">IF(BN38="","",SUMIF(ЗАКАЗЫ!$F$3:$F$500,$A38,ЗАКАЗЫ!$AL$3:$AL$500))</f>
        <v/>
      </c>
      <c r="BP38" s="7" t="str">
        <f aca="false">IF(BN38="","",BN38-BO38)</f>
        <v/>
      </c>
      <c r="BQ38" s="55" t="str">
        <f aca="false">IF(BN38="","",IF(BO38&gt;=BN38,"На складе",IF(BO38&gt;0,"Частично","Ждём")))</f>
        <v/>
      </c>
      <c r="BR38" s="43"/>
      <c r="BS38" s="47" t="str">
        <f aca="false">IF(BN38="","",IF(_xlfn.MAXIFS(ЗАКАЗЫ!$AK$3:$AK$500,ЗАКАЗЫ!$F$3:$F$500,$A38)=0,"",_xlfn.MAXIFS(ЗАКАЗЫ!$AK$3:$AK$500,ЗАКАЗЫ!$F$3:$F$500,$A38)))</f>
        <v/>
      </c>
    </row>
    <row r="39" customFormat="false" ht="15.75" hidden="false" customHeight="true" outlineLevel="0" collapsed="false">
      <c r="A39" s="80" t="s">
        <v>2579</v>
      </c>
      <c r="B39" s="81"/>
      <c r="C39" s="81"/>
      <c r="D39" s="81"/>
      <c r="E39" s="83"/>
      <c r="F39" s="81"/>
      <c r="G39" s="83"/>
      <c r="H39" s="83"/>
      <c r="I39" s="84" t="str">
        <f aca="false">IF(E39="","",A39&amp;"_1.jpg")</f>
        <v/>
      </c>
      <c r="J39" s="84" t="str">
        <f aca="false">IF(E39="","",A39&amp;"_2.jpg; "&amp;A39&amp;"_3.jpg")</f>
        <v/>
      </c>
      <c r="K39" s="84" t="str">
        <f aca="false">IF(E39="","",A39&amp;"_schema.jpg")</f>
        <v/>
      </c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 t="s">
        <v>96</v>
      </c>
      <c r="W39" s="81"/>
      <c r="X39" s="81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6" t="str">
        <f aca="false">IF(SUM(Y39:AJ39)=0,"",SUM(Y39:AJ39))</f>
        <v/>
      </c>
      <c r="AL39" s="84" t="str">
        <f aca="false">MID(IF(N(Y39)&gt;0,", "&amp;Y$2,"")&amp;IF(N(Z39)&gt;0,", "&amp;Z$2,"")&amp;IF(N(AA39)&gt;0,", "&amp;AA$2,"")&amp;IF(N(AB39)&gt;0,", "&amp;AB$2,"")&amp;IF(N(AC39)&gt;0,", "&amp;AC$2,"")&amp;IF(N(AD39)&gt;0,", "&amp;AD$2,"")&amp;IF(N(AE39)&gt;0,", "&amp;AE$2,"")&amp;IF(N(AF39)&gt;0,", "&amp;AF$2,"")&amp;IF(N(AG39)&gt;0,", "&amp;AG$2,"")&amp;IF(N(AH39)&gt;0,", "&amp;AH$2,"")&amp;IF(N(AI39)&gt;0,", "&amp;AI$2,"")&amp;IF(N(AJ39)&gt;0,", "&amp;AJ$2,""),3,999)</f>
        <v/>
      </c>
      <c r="AM39" s="87" t="str">
        <f aca="false">IF(E39="","",MID(IF(N(Y39)&gt;0,", "&amp;A39&amp;"-"&amp;Y$2,"")&amp;IF(N(Z39)&gt;0,", "&amp;A39&amp;"-"&amp;Z$2,"")&amp;IF(N(AA39)&gt;0,", "&amp;A39&amp;"-"&amp;AA$2,"")&amp;IF(N(AB39)&gt;0,", "&amp;A39&amp;"-"&amp;AB$2,"")&amp;IF(N(AC39)&gt;0,", "&amp;A39&amp;"-"&amp;AC$2,"")&amp;IF(N(AD39)&gt;0,", "&amp;A39&amp;"-"&amp;AD$2,"")&amp;IF(N(AE39)&gt;0,", "&amp;A39&amp;"-"&amp;AE$2,"")&amp;IF(N(AF39)&gt;0,", "&amp;A39&amp;"-"&amp;AF$2,"")&amp;IF(N(AG39)&gt;0,", "&amp;A39&amp;"-"&amp;AG$2,"")&amp;IF(N(AH39)&gt;0,", "&amp;A39&amp;"-"&amp;AH$2,"")&amp;IF(N(AI39)&gt;0,", "&amp;A39&amp;"-"&amp;AI$2,"")&amp;IF(N(AJ39)&gt;0,", "&amp;A39&amp;"-"&amp;AJ$2,""),3,999))</f>
        <v/>
      </c>
      <c r="AN39" s="81"/>
      <c r="AO39" s="88"/>
      <c r="AP39" s="89" t="str">
        <f aca="false">IF(AO39="","",ROUND(AO39/(1+Справочники!$B$13),2))</f>
        <v/>
      </c>
      <c r="AQ39" s="90" t="str">
        <f aca="false" t="array" ref="AQ39:AQ39">IF(AP39="","",AP39*INDEX(Справочники!$B$4:$B$7,MATCH("RUB",Справочники!$A$4:$A$7,0)))</f>
        <v/>
      </c>
      <c r="AR39" s="90" t="str">
        <f aca="false">IF(AQ39="","",ROUND(AQ39*(1+Справочники!$B$12),0))</f>
        <v/>
      </c>
      <c r="AS39" s="90" t="str">
        <f aca="false">IF(AR39="","",ROUND(AR39*(1-Справочники!$B$11),0))</f>
        <v/>
      </c>
      <c r="AT39" s="88"/>
      <c r="AU39" s="90" t="str">
        <f aca="false">IF(AT39="","",ROUND(AT39/(1+Справочники!$B$12),0))</f>
        <v/>
      </c>
      <c r="AV39" s="90" t="str">
        <f aca="false">IF(AT39="","",ROUND(AT39*(1-Справочники!$B$15),0))</f>
        <v/>
      </c>
      <c r="AW39" s="90" t="str">
        <f aca="false">IF(AT39="","",ROUND(AT39*(1-Справочники!$B$16),0))</f>
        <v/>
      </c>
      <c r="AX39" s="90" t="str">
        <f aca="false">IF(AT39="","",ROUND(AT39*(1-Справочники!$B$17),0))</f>
        <v/>
      </c>
      <c r="AY39" s="90" t="str">
        <f aca="false">IF(AT39="","",ROUND(AT39*(1-Справочники!$B$18),0))</f>
        <v/>
      </c>
      <c r="AZ39" s="90" t="str">
        <f aca="false">IF(AT39="","",ROUND(AT39*(1-Справочники!$B$19),0))</f>
        <v/>
      </c>
      <c r="BA39" s="81"/>
      <c r="BB39" s="81"/>
      <c r="BC39" s="81"/>
      <c r="BD39" s="81"/>
      <c r="BE39" s="91"/>
      <c r="BF39" s="81" t="s">
        <v>103</v>
      </c>
      <c r="BG39" s="89" t="n">
        <f aca="false" t="array" ref="BG39:BG39">IF(BF39="","",IFERROR(INDEX(Справочники!$B$4:$B$7,MATCH(BF39,Справочники!$A$4:$A$7,0)),""))</f>
        <v>68.5</v>
      </c>
      <c r="BH39" s="90" t="str">
        <f aca="false">IF(N(BN39)&gt;0,ROUND(SUMIF(ЗАКАЗЫ!$F$3:$F$500,$A39,ЗАКАЗЫ!$Y$3:$Y$500)/BN39,0),IF(OR(BE39="",BG39=""),"",ROUND(BE39*BG39*(1+Справочники!$B$10),0)))</f>
        <v/>
      </c>
      <c r="BI39" s="92" t="str">
        <f aca="false">IF(OR(AU39="",BH39="",AU39=0),"",(AU39-BH39)/AU39)</f>
        <v/>
      </c>
      <c r="BJ39" s="81"/>
      <c r="BK39" s="83"/>
      <c r="BL39" s="43" t="str">
        <f aca="false">IFERROR(INDEX(ЗАКАЗЫ!$N$3:$N$500,MATCH($A39,ЗАКАЗЫ!$F$3:$F$500,0)),"")</f>
        <v/>
      </c>
      <c r="BM39" s="8" t="str">
        <f aca="false">IF(BL39="","",IFERROR(VLOOKUP(BL39,'ТН ВЭД'!$A$4:$C$40,3,0),""))</f>
        <v/>
      </c>
      <c r="BN39" s="7" t="str">
        <f aca="false">IF(COUNTIF(ЗАКАЗЫ!$F$3:$F$500,$A39)=0,"",SUMIF(ЗАКАЗЫ!$F$3:$F$500,$A39,ЗАКАЗЫ!$J$3:$J$500))</f>
        <v/>
      </c>
      <c r="BO39" s="7" t="str">
        <f aca="false">IF(BN39="","",SUMIF(ЗАКАЗЫ!$F$3:$F$500,$A39,ЗАКАЗЫ!$AL$3:$AL$500))</f>
        <v/>
      </c>
      <c r="BP39" s="7" t="str">
        <f aca="false">IF(BN39="","",BN39-BO39)</f>
        <v/>
      </c>
      <c r="BQ39" s="55" t="str">
        <f aca="false">IF(BN39="","",IF(BO39&gt;=BN39,"На складе",IF(BO39&gt;0,"Частично","Ждём")))</f>
        <v/>
      </c>
      <c r="BR39" s="43"/>
      <c r="BS39" s="47" t="str">
        <f aca="false">IF(BN39="","",IF(_xlfn.MAXIFS(ЗАКАЗЫ!$AK$3:$AK$500,ЗАКАЗЫ!$F$3:$F$500,$A39)=0,"",_xlfn.MAXIFS(ЗАКАЗЫ!$AK$3:$AK$500,ЗАКАЗЫ!$F$3:$F$500,$A39)))</f>
        <v/>
      </c>
    </row>
    <row r="40" customFormat="false" ht="15.75" hidden="false" customHeight="true" outlineLevel="0" collapsed="false">
      <c r="A40" s="80" t="s">
        <v>2580</v>
      </c>
      <c r="B40" s="81"/>
      <c r="C40" s="81"/>
      <c r="D40" s="81"/>
      <c r="E40" s="83"/>
      <c r="F40" s="81"/>
      <c r="G40" s="83"/>
      <c r="H40" s="83"/>
      <c r="I40" s="84" t="str">
        <f aca="false">IF(E40="","",A40&amp;"_1.jpg")</f>
        <v/>
      </c>
      <c r="J40" s="84" t="str">
        <f aca="false">IF(E40="","",A40&amp;"_2.jpg; "&amp;A40&amp;"_3.jpg")</f>
        <v/>
      </c>
      <c r="K40" s="84" t="str">
        <f aca="false">IF(E40="","",A40&amp;"_schema.jpg")</f>
        <v/>
      </c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 t="s">
        <v>96</v>
      </c>
      <c r="W40" s="81"/>
      <c r="X40" s="81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6" t="str">
        <f aca="false">IF(SUM(Y40:AJ40)=0,"",SUM(Y40:AJ40))</f>
        <v/>
      </c>
      <c r="AL40" s="84" t="str">
        <f aca="false">MID(IF(N(Y40)&gt;0,", "&amp;Y$2,"")&amp;IF(N(Z40)&gt;0,", "&amp;Z$2,"")&amp;IF(N(AA40)&gt;0,", "&amp;AA$2,"")&amp;IF(N(AB40)&gt;0,", "&amp;AB$2,"")&amp;IF(N(AC40)&gt;0,", "&amp;AC$2,"")&amp;IF(N(AD40)&gt;0,", "&amp;AD$2,"")&amp;IF(N(AE40)&gt;0,", "&amp;AE$2,"")&amp;IF(N(AF40)&gt;0,", "&amp;AF$2,"")&amp;IF(N(AG40)&gt;0,", "&amp;AG$2,"")&amp;IF(N(AH40)&gt;0,", "&amp;AH$2,"")&amp;IF(N(AI40)&gt;0,", "&amp;AI$2,"")&amp;IF(N(AJ40)&gt;0,", "&amp;AJ$2,""),3,999)</f>
        <v/>
      </c>
      <c r="AM40" s="87" t="str">
        <f aca="false">IF(E40="","",MID(IF(N(Y40)&gt;0,", "&amp;A40&amp;"-"&amp;Y$2,"")&amp;IF(N(Z40)&gt;0,", "&amp;A40&amp;"-"&amp;Z$2,"")&amp;IF(N(AA40)&gt;0,", "&amp;A40&amp;"-"&amp;AA$2,"")&amp;IF(N(AB40)&gt;0,", "&amp;A40&amp;"-"&amp;AB$2,"")&amp;IF(N(AC40)&gt;0,", "&amp;A40&amp;"-"&amp;AC$2,"")&amp;IF(N(AD40)&gt;0,", "&amp;A40&amp;"-"&amp;AD$2,"")&amp;IF(N(AE40)&gt;0,", "&amp;A40&amp;"-"&amp;AE$2,"")&amp;IF(N(AF40)&gt;0,", "&amp;A40&amp;"-"&amp;AF$2,"")&amp;IF(N(AG40)&gt;0,", "&amp;A40&amp;"-"&amp;AG$2,"")&amp;IF(N(AH40)&gt;0,", "&amp;A40&amp;"-"&amp;AH$2,"")&amp;IF(N(AI40)&gt;0,", "&amp;A40&amp;"-"&amp;AI$2,"")&amp;IF(N(AJ40)&gt;0,", "&amp;A40&amp;"-"&amp;AJ$2,""),3,999))</f>
        <v/>
      </c>
      <c r="AN40" s="81"/>
      <c r="AO40" s="88"/>
      <c r="AP40" s="89" t="str">
        <f aca="false">IF(AO40="","",ROUND(AO40/(1+Справочники!$B$13),2))</f>
        <v/>
      </c>
      <c r="AQ40" s="90" t="str">
        <f aca="false" t="array" ref="AQ40:AQ40">IF(AP40="","",AP40*INDEX(Справочники!$B$4:$B$7,MATCH("RUB",Справочники!$A$4:$A$7,0)))</f>
        <v/>
      </c>
      <c r="AR40" s="90" t="str">
        <f aca="false">IF(AQ40="","",ROUND(AQ40*(1+Справочники!$B$12),0))</f>
        <v/>
      </c>
      <c r="AS40" s="90" t="str">
        <f aca="false">IF(AR40="","",ROUND(AR40*(1-Справочники!$B$11),0))</f>
        <v/>
      </c>
      <c r="AT40" s="88"/>
      <c r="AU40" s="90" t="str">
        <f aca="false">IF(AT40="","",ROUND(AT40/(1+Справочники!$B$12),0))</f>
        <v/>
      </c>
      <c r="AV40" s="90" t="str">
        <f aca="false">IF(AT40="","",ROUND(AT40*(1-Справочники!$B$15),0))</f>
        <v/>
      </c>
      <c r="AW40" s="90" t="str">
        <f aca="false">IF(AT40="","",ROUND(AT40*(1-Справочники!$B$16),0))</f>
        <v/>
      </c>
      <c r="AX40" s="90" t="str">
        <f aca="false">IF(AT40="","",ROUND(AT40*(1-Справочники!$B$17),0))</f>
        <v/>
      </c>
      <c r="AY40" s="90" t="str">
        <f aca="false">IF(AT40="","",ROUND(AT40*(1-Справочники!$B$18),0))</f>
        <v/>
      </c>
      <c r="AZ40" s="90" t="str">
        <f aca="false">IF(AT40="","",ROUND(AT40*(1-Справочники!$B$19),0))</f>
        <v/>
      </c>
      <c r="BA40" s="81"/>
      <c r="BB40" s="81"/>
      <c r="BC40" s="81"/>
      <c r="BD40" s="81"/>
      <c r="BE40" s="91"/>
      <c r="BF40" s="81" t="s">
        <v>103</v>
      </c>
      <c r="BG40" s="89" t="n">
        <f aca="false" t="array" ref="BG40:BG40">IF(BF40="","",IFERROR(INDEX(Справочники!$B$4:$B$7,MATCH(BF40,Справочники!$A$4:$A$7,0)),""))</f>
        <v>68.5</v>
      </c>
      <c r="BH40" s="90" t="str">
        <f aca="false">IF(N(BN40)&gt;0,ROUND(SUMIF(ЗАКАЗЫ!$F$3:$F$500,$A40,ЗАКАЗЫ!$Y$3:$Y$500)/BN40,0),IF(OR(BE40="",BG40=""),"",ROUND(BE40*BG40*(1+Справочники!$B$10),0)))</f>
        <v/>
      </c>
      <c r="BI40" s="92" t="str">
        <f aca="false">IF(OR(AU40="",BH40="",AU40=0),"",(AU40-BH40)/AU40)</f>
        <v/>
      </c>
      <c r="BJ40" s="81"/>
      <c r="BK40" s="83"/>
      <c r="BL40" s="43" t="str">
        <f aca="false">IFERROR(INDEX(ЗАКАЗЫ!$N$3:$N$500,MATCH($A40,ЗАКАЗЫ!$F$3:$F$500,0)),"")</f>
        <v/>
      </c>
      <c r="BM40" s="8" t="str">
        <f aca="false">IF(BL40="","",IFERROR(VLOOKUP(BL40,'ТН ВЭД'!$A$4:$C$40,3,0),""))</f>
        <v/>
      </c>
      <c r="BN40" s="7" t="str">
        <f aca="false">IF(COUNTIF(ЗАКАЗЫ!$F$3:$F$500,$A40)=0,"",SUMIF(ЗАКАЗЫ!$F$3:$F$500,$A40,ЗАКАЗЫ!$J$3:$J$500))</f>
        <v/>
      </c>
      <c r="BO40" s="7" t="str">
        <f aca="false">IF(BN40="","",SUMIF(ЗАКАЗЫ!$F$3:$F$500,$A40,ЗАКАЗЫ!$AL$3:$AL$500))</f>
        <v/>
      </c>
      <c r="BP40" s="7" t="str">
        <f aca="false">IF(BN40="","",BN40-BO40)</f>
        <v/>
      </c>
      <c r="BQ40" s="55" t="str">
        <f aca="false">IF(BN40="","",IF(BO40&gt;=BN40,"На складе",IF(BO40&gt;0,"Частично","Ждём")))</f>
        <v/>
      </c>
      <c r="BR40" s="43"/>
      <c r="BS40" s="47" t="str">
        <f aca="false">IF(BN40="","",IF(_xlfn.MAXIFS(ЗАКАЗЫ!$AK$3:$AK$500,ЗАКАЗЫ!$F$3:$F$500,$A40)=0,"",_xlfn.MAXIFS(ЗАКАЗЫ!$AK$3:$AK$500,ЗАКАЗЫ!$F$3:$F$500,$A40)))</f>
        <v/>
      </c>
    </row>
    <row r="41" customFormat="false" ht="15.75" hidden="false" customHeight="true" outlineLevel="0" collapsed="false">
      <c r="A41" s="80" t="s">
        <v>2581</v>
      </c>
      <c r="B41" s="81"/>
      <c r="C41" s="81"/>
      <c r="D41" s="81"/>
      <c r="E41" s="83"/>
      <c r="F41" s="81"/>
      <c r="G41" s="83"/>
      <c r="H41" s="83"/>
      <c r="I41" s="84" t="str">
        <f aca="false">IF(E41="","",A41&amp;"_1.jpg")</f>
        <v/>
      </c>
      <c r="J41" s="84" t="str">
        <f aca="false">IF(E41="","",A41&amp;"_2.jpg; "&amp;A41&amp;"_3.jpg")</f>
        <v/>
      </c>
      <c r="K41" s="84" t="str">
        <f aca="false">IF(E41="","",A41&amp;"_schema.jpg")</f>
        <v/>
      </c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 t="s">
        <v>96</v>
      </c>
      <c r="W41" s="81"/>
      <c r="X41" s="81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6" t="str">
        <f aca="false">IF(SUM(Y41:AJ41)=0,"",SUM(Y41:AJ41))</f>
        <v/>
      </c>
      <c r="AL41" s="84" t="str">
        <f aca="false">MID(IF(N(Y41)&gt;0,", "&amp;Y$2,"")&amp;IF(N(Z41)&gt;0,", "&amp;Z$2,"")&amp;IF(N(AA41)&gt;0,", "&amp;AA$2,"")&amp;IF(N(AB41)&gt;0,", "&amp;AB$2,"")&amp;IF(N(AC41)&gt;0,", "&amp;AC$2,"")&amp;IF(N(AD41)&gt;0,", "&amp;AD$2,"")&amp;IF(N(AE41)&gt;0,", "&amp;AE$2,"")&amp;IF(N(AF41)&gt;0,", "&amp;AF$2,"")&amp;IF(N(AG41)&gt;0,", "&amp;AG$2,"")&amp;IF(N(AH41)&gt;0,", "&amp;AH$2,"")&amp;IF(N(AI41)&gt;0,", "&amp;AI$2,"")&amp;IF(N(AJ41)&gt;0,", "&amp;AJ$2,""),3,999)</f>
        <v/>
      </c>
      <c r="AM41" s="87" t="str">
        <f aca="false">IF(E41="","",MID(IF(N(Y41)&gt;0,", "&amp;A41&amp;"-"&amp;Y$2,"")&amp;IF(N(Z41)&gt;0,", "&amp;A41&amp;"-"&amp;Z$2,"")&amp;IF(N(AA41)&gt;0,", "&amp;A41&amp;"-"&amp;AA$2,"")&amp;IF(N(AB41)&gt;0,", "&amp;A41&amp;"-"&amp;AB$2,"")&amp;IF(N(AC41)&gt;0,", "&amp;A41&amp;"-"&amp;AC$2,"")&amp;IF(N(AD41)&gt;0,", "&amp;A41&amp;"-"&amp;AD$2,"")&amp;IF(N(AE41)&gt;0,", "&amp;A41&amp;"-"&amp;AE$2,"")&amp;IF(N(AF41)&gt;0,", "&amp;A41&amp;"-"&amp;AF$2,"")&amp;IF(N(AG41)&gt;0,", "&amp;A41&amp;"-"&amp;AG$2,"")&amp;IF(N(AH41)&gt;0,", "&amp;A41&amp;"-"&amp;AH$2,"")&amp;IF(N(AI41)&gt;0,", "&amp;A41&amp;"-"&amp;AI$2,"")&amp;IF(N(AJ41)&gt;0,", "&amp;A41&amp;"-"&amp;AJ$2,""),3,999))</f>
        <v/>
      </c>
      <c r="AN41" s="81"/>
      <c r="AO41" s="88"/>
      <c r="AP41" s="89" t="str">
        <f aca="false">IF(AO41="","",ROUND(AO41/(1+Справочники!$B$13),2))</f>
        <v/>
      </c>
      <c r="AQ41" s="90" t="str">
        <f aca="false" t="array" ref="AQ41:AQ41">IF(AP41="","",AP41*INDEX(Справочники!$B$4:$B$7,MATCH("RUB",Справочники!$A$4:$A$7,0)))</f>
        <v/>
      </c>
      <c r="AR41" s="90" t="str">
        <f aca="false">IF(AQ41="","",ROUND(AQ41*(1+Справочники!$B$12),0))</f>
        <v/>
      </c>
      <c r="AS41" s="90" t="str">
        <f aca="false">IF(AR41="","",ROUND(AR41*(1-Справочники!$B$11),0))</f>
        <v/>
      </c>
      <c r="AT41" s="88"/>
      <c r="AU41" s="90" t="str">
        <f aca="false">IF(AT41="","",ROUND(AT41/(1+Справочники!$B$12),0))</f>
        <v/>
      </c>
      <c r="AV41" s="90" t="str">
        <f aca="false">IF(AT41="","",ROUND(AT41*(1-Справочники!$B$15),0))</f>
        <v/>
      </c>
      <c r="AW41" s="90" t="str">
        <f aca="false">IF(AT41="","",ROUND(AT41*(1-Справочники!$B$16),0))</f>
        <v/>
      </c>
      <c r="AX41" s="90" t="str">
        <f aca="false">IF(AT41="","",ROUND(AT41*(1-Справочники!$B$17),0))</f>
        <v/>
      </c>
      <c r="AY41" s="90" t="str">
        <f aca="false">IF(AT41="","",ROUND(AT41*(1-Справочники!$B$18),0))</f>
        <v/>
      </c>
      <c r="AZ41" s="90" t="str">
        <f aca="false">IF(AT41="","",ROUND(AT41*(1-Справочники!$B$19),0))</f>
        <v/>
      </c>
      <c r="BA41" s="81"/>
      <c r="BB41" s="81"/>
      <c r="BC41" s="81"/>
      <c r="BD41" s="81"/>
      <c r="BE41" s="91"/>
      <c r="BF41" s="81" t="s">
        <v>103</v>
      </c>
      <c r="BG41" s="89" t="n">
        <f aca="false" t="array" ref="BG41:BG41">IF(BF41="","",IFERROR(INDEX(Справочники!$B$4:$B$7,MATCH(BF41,Справочники!$A$4:$A$7,0)),""))</f>
        <v>68.5</v>
      </c>
      <c r="BH41" s="90" t="str">
        <f aca="false">IF(N(BN41)&gt;0,ROUND(SUMIF(ЗАКАЗЫ!$F$3:$F$500,$A41,ЗАКАЗЫ!$Y$3:$Y$500)/BN41,0),IF(OR(BE41="",BG41=""),"",ROUND(BE41*BG41*(1+Справочники!$B$10),0)))</f>
        <v/>
      </c>
      <c r="BI41" s="92" t="str">
        <f aca="false">IF(OR(AU41="",BH41="",AU41=0),"",(AU41-BH41)/AU41)</f>
        <v/>
      </c>
      <c r="BJ41" s="81"/>
      <c r="BK41" s="83"/>
      <c r="BL41" s="43" t="str">
        <f aca="false">IFERROR(INDEX(ЗАКАЗЫ!$N$3:$N$500,MATCH($A41,ЗАКАЗЫ!$F$3:$F$500,0)),"")</f>
        <v/>
      </c>
      <c r="BM41" s="8" t="str">
        <f aca="false">IF(BL41="","",IFERROR(VLOOKUP(BL41,'ТН ВЭД'!$A$4:$C$40,3,0),""))</f>
        <v/>
      </c>
      <c r="BN41" s="7" t="str">
        <f aca="false">IF(COUNTIF(ЗАКАЗЫ!$F$3:$F$500,$A41)=0,"",SUMIF(ЗАКАЗЫ!$F$3:$F$500,$A41,ЗАКАЗЫ!$J$3:$J$500))</f>
        <v/>
      </c>
      <c r="BO41" s="7" t="str">
        <f aca="false">IF(BN41="","",SUMIF(ЗАКАЗЫ!$F$3:$F$500,$A41,ЗАКАЗЫ!$AL$3:$AL$500))</f>
        <v/>
      </c>
      <c r="BP41" s="7" t="str">
        <f aca="false">IF(BN41="","",BN41-BO41)</f>
        <v/>
      </c>
      <c r="BQ41" s="55" t="str">
        <f aca="false">IF(BN41="","",IF(BO41&gt;=BN41,"На складе",IF(BO41&gt;0,"Частично","Ждём")))</f>
        <v/>
      </c>
      <c r="BR41" s="43"/>
      <c r="BS41" s="47" t="str">
        <f aca="false">IF(BN41="","",IF(_xlfn.MAXIFS(ЗАКАЗЫ!$AK$3:$AK$500,ЗАКАЗЫ!$F$3:$F$500,$A41)=0,"",_xlfn.MAXIFS(ЗАКАЗЫ!$AK$3:$AK$500,ЗАКАЗЫ!$F$3:$F$500,$A41)))</f>
        <v/>
      </c>
    </row>
    <row r="42" customFormat="false" ht="15.75" hidden="false" customHeight="true" outlineLevel="0" collapsed="false">
      <c r="A42" s="80" t="s">
        <v>2582</v>
      </c>
      <c r="B42" s="81"/>
      <c r="C42" s="81"/>
      <c r="D42" s="81"/>
      <c r="E42" s="83"/>
      <c r="F42" s="81"/>
      <c r="G42" s="83"/>
      <c r="H42" s="83"/>
      <c r="I42" s="84" t="str">
        <f aca="false">IF(E42="","",A42&amp;"_1.jpg")</f>
        <v/>
      </c>
      <c r="J42" s="84" t="str">
        <f aca="false">IF(E42="","",A42&amp;"_2.jpg; "&amp;A42&amp;"_3.jpg")</f>
        <v/>
      </c>
      <c r="K42" s="84" t="str">
        <f aca="false">IF(E42="","",A42&amp;"_schema.jpg")</f>
        <v/>
      </c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 t="s">
        <v>96</v>
      </c>
      <c r="W42" s="81"/>
      <c r="X42" s="81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6" t="str">
        <f aca="false">IF(SUM(Y42:AJ42)=0,"",SUM(Y42:AJ42))</f>
        <v/>
      </c>
      <c r="AL42" s="84" t="str">
        <f aca="false">MID(IF(N(Y42)&gt;0,", "&amp;Y$2,"")&amp;IF(N(Z42)&gt;0,", "&amp;Z$2,"")&amp;IF(N(AA42)&gt;0,", "&amp;AA$2,"")&amp;IF(N(AB42)&gt;0,", "&amp;AB$2,"")&amp;IF(N(AC42)&gt;0,", "&amp;AC$2,"")&amp;IF(N(AD42)&gt;0,", "&amp;AD$2,"")&amp;IF(N(AE42)&gt;0,", "&amp;AE$2,"")&amp;IF(N(AF42)&gt;0,", "&amp;AF$2,"")&amp;IF(N(AG42)&gt;0,", "&amp;AG$2,"")&amp;IF(N(AH42)&gt;0,", "&amp;AH$2,"")&amp;IF(N(AI42)&gt;0,", "&amp;AI$2,"")&amp;IF(N(AJ42)&gt;0,", "&amp;AJ$2,""),3,999)</f>
        <v/>
      </c>
      <c r="AM42" s="87" t="str">
        <f aca="false">IF(E42="","",MID(IF(N(Y42)&gt;0,", "&amp;A42&amp;"-"&amp;Y$2,"")&amp;IF(N(Z42)&gt;0,", "&amp;A42&amp;"-"&amp;Z$2,"")&amp;IF(N(AA42)&gt;0,", "&amp;A42&amp;"-"&amp;AA$2,"")&amp;IF(N(AB42)&gt;0,", "&amp;A42&amp;"-"&amp;AB$2,"")&amp;IF(N(AC42)&gt;0,", "&amp;A42&amp;"-"&amp;AC$2,"")&amp;IF(N(AD42)&gt;0,", "&amp;A42&amp;"-"&amp;AD$2,"")&amp;IF(N(AE42)&gt;0,", "&amp;A42&amp;"-"&amp;AE$2,"")&amp;IF(N(AF42)&gt;0,", "&amp;A42&amp;"-"&amp;AF$2,"")&amp;IF(N(AG42)&gt;0,", "&amp;A42&amp;"-"&amp;AG$2,"")&amp;IF(N(AH42)&gt;0,", "&amp;A42&amp;"-"&amp;AH$2,"")&amp;IF(N(AI42)&gt;0,", "&amp;A42&amp;"-"&amp;AI$2,"")&amp;IF(N(AJ42)&gt;0,", "&amp;A42&amp;"-"&amp;AJ$2,""),3,999))</f>
        <v/>
      </c>
      <c r="AN42" s="81"/>
      <c r="AO42" s="88"/>
      <c r="AP42" s="89" t="str">
        <f aca="false">IF(AO42="","",ROUND(AO42/(1+Справочники!$B$13),2))</f>
        <v/>
      </c>
      <c r="AQ42" s="90" t="str">
        <f aca="false" t="array" ref="AQ42:AQ42">IF(AP42="","",AP42*INDEX(Справочники!$B$4:$B$7,MATCH("RUB",Справочники!$A$4:$A$7,0)))</f>
        <v/>
      </c>
      <c r="AR42" s="90" t="str">
        <f aca="false">IF(AQ42="","",ROUND(AQ42*(1+Справочники!$B$12),0))</f>
        <v/>
      </c>
      <c r="AS42" s="90" t="str">
        <f aca="false">IF(AR42="","",ROUND(AR42*(1-Справочники!$B$11),0))</f>
        <v/>
      </c>
      <c r="AT42" s="88"/>
      <c r="AU42" s="90" t="str">
        <f aca="false">IF(AT42="","",ROUND(AT42/(1+Справочники!$B$12),0))</f>
        <v/>
      </c>
      <c r="AV42" s="90" t="str">
        <f aca="false">IF(AT42="","",ROUND(AT42*(1-Справочники!$B$15),0))</f>
        <v/>
      </c>
      <c r="AW42" s="90" t="str">
        <f aca="false">IF(AT42="","",ROUND(AT42*(1-Справочники!$B$16),0))</f>
        <v/>
      </c>
      <c r="AX42" s="90" t="str">
        <f aca="false">IF(AT42="","",ROUND(AT42*(1-Справочники!$B$17),0))</f>
        <v/>
      </c>
      <c r="AY42" s="90" t="str">
        <f aca="false">IF(AT42="","",ROUND(AT42*(1-Справочники!$B$18),0))</f>
        <v/>
      </c>
      <c r="AZ42" s="90" t="str">
        <f aca="false">IF(AT42="","",ROUND(AT42*(1-Справочники!$B$19),0))</f>
        <v/>
      </c>
      <c r="BA42" s="81"/>
      <c r="BB42" s="81"/>
      <c r="BC42" s="81"/>
      <c r="BD42" s="81"/>
      <c r="BE42" s="91"/>
      <c r="BF42" s="81" t="s">
        <v>103</v>
      </c>
      <c r="BG42" s="89" t="n">
        <f aca="false" t="array" ref="BG42:BG42">IF(BF42="","",IFERROR(INDEX(Справочники!$B$4:$B$7,MATCH(BF42,Справочники!$A$4:$A$7,0)),""))</f>
        <v>68.5</v>
      </c>
      <c r="BH42" s="90" t="str">
        <f aca="false">IF(N(BN42)&gt;0,ROUND(SUMIF(ЗАКАЗЫ!$F$3:$F$500,$A42,ЗАКАЗЫ!$Y$3:$Y$500)/BN42,0),IF(OR(BE42="",BG42=""),"",ROUND(BE42*BG42*(1+Справочники!$B$10),0)))</f>
        <v/>
      </c>
      <c r="BI42" s="92" t="str">
        <f aca="false">IF(OR(AU42="",BH42="",AU42=0),"",(AU42-BH42)/AU42)</f>
        <v/>
      </c>
      <c r="BJ42" s="81"/>
      <c r="BK42" s="83"/>
      <c r="BL42" s="43" t="str">
        <f aca="false">IFERROR(INDEX(ЗАКАЗЫ!$N$3:$N$500,MATCH($A42,ЗАКАЗЫ!$F$3:$F$500,0)),"")</f>
        <v/>
      </c>
      <c r="BM42" s="8" t="str">
        <f aca="false">IF(BL42="","",IFERROR(VLOOKUP(BL42,'ТН ВЭД'!$A$4:$C$40,3,0),""))</f>
        <v/>
      </c>
      <c r="BN42" s="7" t="str">
        <f aca="false">IF(COUNTIF(ЗАКАЗЫ!$F$3:$F$500,$A42)=0,"",SUMIF(ЗАКАЗЫ!$F$3:$F$500,$A42,ЗАКАЗЫ!$J$3:$J$500))</f>
        <v/>
      </c>
      <c r="BO42" s="7" t="str">
        <f aca="false">IF(BN42="","",SUMIF(ЗАКАЗЫ!$F$3:$F$500,$A42,ЗАКАЗЫ!$AL$3:$AL$500))</f>
        <v/>
      </c>
      <c r="BP42" s="7" t="str">
        <f aca="false">IF(BN42="","",BN42-BO42)</f>
        <v/>
      </c>
      <c r="BQ42" s="55" t="str">
        <f aca="false">IF(BN42="","",IF(BO42&gt;=BN42,"На складе",IF(BO42&gt;0,"Частично","Ждём")))</f>
        <v/>
      </c>
      <c r="BR42" s="43"/>
      <c r="BS42" s="47" t="str">
        <f aca="false">IF(BN42="","",IF(_xlfn.MAXIFS(ЗАКАЗЫ!$AK$3:$AK$500,ЗАКАЗЫ!$F$3:$F$500,$A42)=0,"",_xlfn.MAXIFS(ЗАКАЗЫ!$AK$3:$AK$500,ЗАКАЗЫ!$F$3:$F$500,$A42)))</f>
        <v/>
      </c>
    </row>
    <row r="43" customFormat="false" ht="15.75" hidden="false" customHeight="true" outlineLevel="0" collapsed="false">
      <c r="A43" s="80" t="s">
        <v>2583</v>
      </c>
      <c r="B43" s="81"/>
      <c r="C43" s="81"/>
      <c r="D43" s="81"/>
      <c r="E43" s="83"/>
      <c r="F43" s="81"/>
      <c r="G43" s="83"/>
      <c r="H43" s="83"/>
      <c r="I43" s="84" t="str">
        <f aca="false">IF(E43="","",A43&amp;"_1.jpg")</f>
        <v/>
      </c>
      <c r="J43" s="84" t="str">
        <f aca="false">IF(E43="","",A43&amp;"_2.jpg; "&amp;A43&amp;"_3.jpg")</f>
        <v/>
      </c>
      <c r="K43" s="84" t="str">
        <f aca="false">IF(E43="","",A43&amp;"_schema.jpg")</f>
        <v/>
      </c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 t="s">
        <v>96</v>
      </c>
      <c r="W43" s="81"/>
      <c r="X43" s="81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6" t="str">
        <f aca="false">IF(SUM(Y43:AJ43)=0,"",SUM(Y43:AJ43))</f>
        <v/>
      </c>
      <c r="AL43" s="84" t="str">
        <f aca="false">MID(IF(N(Y43)&gt;0,", "&amp;Y$2,"")&amp;IF(N(Z43)&gt;0,", "&amp;Z$2,"")&amp;IF(N(AA43)&gt;0,", "&amp;AA$2,"")&amp;IF(N(AB43)&gt;0,", "&amp;AB$2,"")&amp;IF(N(AC43)&gt;0,", "&amp;AC$2,"")&amp;IF(N(AD43)&gt;0,", "&amp;AD$2,"")&amp;IF(N(AE43)&gt;0,", "&amp;AE$2,"")&amp;IF(N(AF43)&gt;0,", "&amp;AF$2,"")&amp;IF(N(AG43)&gt;0,", "&amp;AG$2,"")&amp;IF(N(AH43)&gt;0,", "&amp;AH$2,"")&amp;IF(N(AI43)&gt;0,", "&amp;AI$2,"")&amp;IF(N(AJ43)&gt;0,", "&amp;AJ$2,""),3,999)</f>
        <v/>
      </c>
      <c r="AM43" s="87" t="str">
        <f aca="false">IF(E43="","",MID(IF(N(Y43)&gt;0,", "&amp;A43&amp;"-"&amp;Y$2,"")&amp;IF(N(Z43)&gt;0,", "&amp;A43&amp;"-"&amp;Z$2,"")&amp;IF(N(AA43)&gt;0,", "&amp;A43&amp;"-"&amp;AA$2,"")&amp;IF(N(AB43)&gt;0,", "&amp;A43&amp;"-"&amp;AB$2,"")&amp;IF(N(AC43)&gt;0,", "&amp;A43&amp;"-"&amp;AC$2,"")&amp;IF(N(AD43)&gt;0,", "&amp;A43&amp;"-"&amp;AD$2,"")&amp;IF(N(AE43)&gt;0,", "&amp;A43&amp;"-"&amp;AE$2,"")&amp;IF(N(AF43)&gt;0,", "&amp;A43&amp;"-"&amp;AF$2,"")&amp;IF(N(AG43)&gt;0,", "&amp;A43&amp;"-"&amp;AG$2,"")&amp;IF(N(AH43)&gt;0,", "&amp;A43&amp;"-"&amp;AH$2,"")&amp;IF(N(AI43)&gt;0,", "&amp;A43&amp;"-"&amp;AI$2,"")&amp;IF(N(AJ43)&gt;0,", "&amp;A43&amp;"-"&amp;AJ$2,""),3,999))</f>
        <v/>
      </c>
      <c r="AN43" s="81"/>
      <c r="AO43" s="88"/>
      <c r="AP43" s="89" t="str">
        <f aca="false">IF(AO43="","",ROUND(AO43/(1+Справочники!$B$13),2))</f>
        <v/>
      </c>
      <c r="AQ43" s="90" t="str">
        <f aca="false" t="array" ref="AQ43:AQ43">IF(AP43="","",AP43*INDEX(Справочники!$B$4:$B$7,MATCH("RUB",Справочники!$A$4:$A$7,0)))</f>
        <v/>
      </c>
      <c r="AR43" s="90" t="str">
        <f aca="false">IF(AQ43="","",ROUND(AQ43*(1+Справочники!$B$12),0))</f>
        <v/>
      </c>
      <c r="AS43" s="90" t="str">
        <f aca="false">IF(AR43="","",ROUND(AR43*(1-Справочники!$B$11),0))</f>
        <v/>
      </c>
      <c r="AT43" s="88"/>
      <c r="AU43" s="90" t="str">
        <f aca="false">IF(AT43="","",ROUND(AT43/(1+Справочники!$B$12),0))</f>
        <v/>
      </c>
      <c r="AV43" s="90" t="str">
        <f aca="false">IF(AT43="","",ROUND(AT43*(1-Справочники!$B$15),0))</f>
        <v/>
      </c>
      <c r="AW43" s="90" t="str">
        <f aca="false">IF(AT43="","",ROUND(AT43*(1-Справочники!$B$16),0))</f>
        <v/>
      </c>
      <c r="AX43" s="90" t="str">
        <f aca="false">IF(AT43="","",ROUND(AT43*(1-Справочники!$B$17),0))</f>
        <v/>
      </c>
      <c r="AY43" s="90" t="str">
        <f aca="false">IF(AT43="","",ROUND(AT43*(1-Справочники!$B$18),0))</f>
        <v/>
      </c>
      <c r="AZ43" s="90" t="str">
        <f aca="false">IF(AT43="","",ROUND(AT43*(1-Справочники!$B$19),0))</f>
        <v/>
      </c>
      <c r="BA43" s="81"/>
      <c r="BB43" s="81"/>
      <c r="BC43" s="81"/>
      <c r="BD43" s="81"/>
      <c r="BE43" s="91"/>
      <c r="BF43" s="81" t="s">
        <v>103</v>
      </c>
      <c r="BG43" s="89" t="n">
        <f aca="false" t="array" ref="BG43:BG43">IF(BF43="","",IFERROR(INDEX(Справочники!$B$4:$B$7,MATCH(BF43,Справочники!$A$4:$A$7,0)),""))</f>
        <v>68.5</v>
      </c>
      <c r="BH43" s="90" t="str">
        <f aca="false">IF(N(BN43)&gt;0,ROUND(SUMIF(ЗАКАЗЫ!$F$3:$F$500,$A43,ЗАКАЗЫ!$Y$3:$Y$500)/BN43,0),IF(OR(BE43="",BG43=""),"",ROUND(BE43*BG43*(1+Справочники!$B$10),0)))</f>
        <v/>
      </c>
      <c r="BI43" s="92" t="str">
        <f aca="false">IF(OR(AU43="",BH43="",AU43=0),"",(AU43-BH43)/AU43)</f>
        <v/>
      </c>
      <c r="BJ43" s="81"/>
      <c r="BK43" s="83"/>
      <c r="BL43" s="43" t="str">
        <f aca="false">IFERROR(INDEX(ЗАКАЗЫ!$N$3:$N$500,MATCH($A43,ЗАКАЗЫ!$F$3:$F$500,0)),"")</f>
        <v/>
      </c>
      <c r="BM43" s="8" t="str">
        <f aca="false">IF(BL43="","",IFERROR(VLOOKUP(BL43,'ТН ВЭД'!$A$4:$C$40,3,0),""))</f>
        <v/>
      </c>
      <c r="BN43" s="7" t="str">
        <f aca="false">IF(COUNTIF(ЗАКАЗЫ!$F$3:$F$500,$A43)=0,"",SUMIF(ЗАКАЗЫ!$F$3:$F$500,$A43,ЗАКАЗЫ!$J$3:$J$500))</f>
        <v/>
      </c>
      <c r="BO43" s="7" t="str">
        <f aca="false">IF(BN43="","",SUMIF(ЗАКАЗЫ!$F$3:$F$500,$A43,ЗАКАЗЫ!$AL$3:$AL$500))</f>
        <v/>
      </c>
      <c r="BP43" s="7" t="str">
        <f aca="false">IF(BN43="","",BN43-BO43)</f>
        <v/>
      </c>
      <c r="BQ43" s="55" t="str">
        <f aca="false">IF(BN43="","",IF(BO43&gt;=BN43,"На складе",IF(BO43&gt;0,"Частично","Ждём")))</f>
        <v/>
      </c>
      <c r="BR43" s="43"/>
      <c r="BS43" s="47" t="str">
        <f aca="false">IF(BN43="","",IF(_xlfn.MAXIFS(ЗАКАЗЫ!$AK$3:$AK$500,ЗАКАЗЫ!$F$3:$F$500,$A43)=0,"",_xlfn.MAXIFS(ЗАКАЗЫ!$AK$3:$AK$500,ЗАКАЗЫ!$F$3:$F$500,$A43)))</f>
        <v/>
      </c>
    </row>
    <row r="44" customFormat="false" ht="15.75" hidden="false" customHeight="true" outlineLevel="0" collapsed="false">
      <c r="A44" s="80" t="s">
        <v>2584</v>
      </c>
      <c r="B44" s="81"/>
      <c r="C44" s="81"/>
      <c r="D44" s="81"/>
      <c r="E44" s="83"/>
      <c r="F44" s="81"/>
      <c r="G44" s="83"/>
      <c r="H44" s="83"/>
      <c r="I44" s="84" t="str">
        <f aca="false">IF(E44="","",A44&amp;"_1.jpg")</f>
        <v/>
      </c>
      <c r="J44" s="84" t="str">
        <f aca="false">IF(E44="","",A44&amp;"_2.jpg; "&amp;A44&amp;"_3.jpg")</f>
        <v/>
      </c>
      <c r="K44" s="84" t="str">
        <f aca="false">IF(E44="","",A44&amp;"_schema.jpg")</f>
        <v/>
      </c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 t="s">
        <v>96</v>
      </c>
      <c r="W44" s="81"/>
      <c r="X44" s="81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6" t="str">
        <f aca="false">IF(SUM(Y44:AJ44)=0,"",SUM(Y44:AJ44))</f>
        <v/>
      </c>
      <c r="AL44" s="84" t="str">
        <f aca="false">MID(IF(N(Y44)&gt;0,", "&amp;Y$2,"")&amp;IF(N(Z44)&gt;0,", "&amp;Z$2,"")&amp;IF(N(AA44)&gt;0,", "&amp;AA$2,"")&amp;IF(N(AB44)&gt;0,", "&amp;AB$2,"")&amp;IF(N(AC44)&gt;0,", "&amp;AC$2,"")&amp;IF(N(AD44)&gt;0,", "&amp;AD$2,"")&amp;IF(N(AE44)&gt;0,", "&amp;AE$2,"")&amp;IF(N(AF44)&gt;0,", "&amp;AF$2,"")&amp;IF(N(AG44)&gt;0,", "&amp;AG$2,"")&amp;IF(N(AH44)&gt;0,", "&amp;AH$2,"")&amp;IF(N(AI44)&gt;0,", "&amp;AI$2,"")&amp;IF(N(AJ44)&gt;0,", "&amp;AJ$2,""),3,999)</f>
        <v/>
      </c>
      <c r="AM44" s="87" t="str">
        <f aca="false">IF(E44="","",MID(IF(N(Y44)&gt;0,", "&amp;A44&amp;"-"&amp;Y$2,"")&amp;IF(N(Z44)&gt;0,", "&amp;A44&amp;"-"&amp;Z$2,"")&amp;IF(N(AA44)&gt;0,", "&amp;A44&amp;"-"&amp;AA$2,"")&amp;IF(N(AB44)&gt;0,", "&amp;A44&amp;"-"&amp;AB$2,"")&amp;IF(N(AC44)&gt;0,", "&amp;A44&amp;"-"&amp;AC$2,"")&amp;IF(N(AD44)&gt;0,", "&amp;A44&amp;"-"&amp;AD$2,"")&amp;IF(N(AE44)&gt;0,", "&amp;A44&amp;"-"&amp;AE$2,"")&amp;IF(N(AF44)&gt;0,", "&amp;A44&amp;"-"&amp;AF$2,"")&amp;IF(N(AG44)&gt;0,", "&amp;A44&amp;"-"&amp;AG$2,"")&amp;IF(N(AH44)&gt;0,", "&amp;A44&amp;"-"&amp;AH$2,"")&amp;IF(N(AI44)&gt;0,", "&amp;A44&amp;"-"&amp;AI$2,"")&amp;IF(N(AJ44)&gt;0,", "&amp;A44&amp;"-"&amp;AJ$2,""),3,999))</f>
        <v/>
      </c>
      <c r="AN44" s="81"/>
      <c r="AO44" s="88"/>
      <c r="AP44" s="89" t="str">
        <f aca="false">IF(AO44="","",ROUND(AO44/(1+Справочники!$B$13),2))</f>
        <v/>
      </c>
      <c r="AQ44" s="90" t="str">
        <f aca="false" t="array" ref="AQ44:AQ44">IF(AP44="","",AP44*INDEX(Справочники!$B$4:$B$7,MATCH("RUB",Справочники!$A$4:$A$7,0)))</f>
        <v/>
      </c>
      <c r="AR44" s="90" t="str">
        <f aca="false">IF(AQ44="","",ROUND(AQ44*(1+Справочники!$B$12),0))</f>
        <v/>
      </c>
      <c r="AS44" s="90" t="str">
        <f aca="false">IF(AR44="","",ROUND(AR44*(1-Справочники!$B$11),0))</f>
        <v/>
      </c>
      <c r="AT44" s="88"/>
      <c r="AU44" s="90" t="str">
        <f aca="false">IF(AT44="","",ROUND(AT44/(1+Справочники!$B$12),0))</f>
        <v/>
      </c>
      <c r="AV44" s="90" t="str">
        <f aca="false">IF(AT44="","",ROUND(AT44*(1-Справочники!$B$15),0))</f>
        <v/>
      </c>
      <c r="AW44" s="90" t="str">
        <f aca="false">IF(AT44="","",ROUND(AT44*(1-Справочники!$B$16),0))</f>
        <v/>
      </c>
      <c r="AX44" s="90" t="str">
        <f aca="false">IF(AT44="","",ROUND(AT44*(1-Справочники!$B$17),0))</f>
        <v/>
      </c>
      <c r="AY44" s="90" t="str">
        <f aca="false">IF(AT44="","",ROUND(AT44*(1-Справочники!$B$18),0))</f>
        <v/>
      </c>
      <c r="AZ44" s="90" t="str">
        <f aca="false">IF(AT44="","",ROUND(AT44*(1-Справочники!$B$19),0))</f>
        <v/>
      </c>
      <c r="BA44" s="81"/>
      <c r="BB44" s="81"/>
      <c r="BC44" s="81"/>
      <c r="BD44" s="81"/>
      <c r="BE44" s="91"/>
      <c r="BF44" s="81" t="s">
        <v>103</v>
      </c>
      <c r="BG44" s="89" t="n">
        <f aca="false" t="array" ref="BG44:BG44">IF(BF44="","",IFERROR(INDEX(Справочники!$B$4:$B$7,MATCH(BF44,Справочники!$A$4:$A$7,0)),""))</f>
        <v>68.5</v>
      </c>
      <c r="BH44" s="90" t="str">
        <f aca="false">IF(N(BN44)&gt;0,ROUND(SUMIF(ЗАКАЗЫ!$F$3:$F$500,$A44,ЗАКАЗЫ!$Y$3:$Y$500)/BN44,0),IF(OR(BE44="",BG44=""),"",ROUND(BE44*BG44*(1+Справочники!$B$10),0)))</f>
        <v/>
      </c>
      <c r="BI44" s="92" t="str">
        <f aca="false">IF(OR(AU44="",BH44="",AU44=0),"",(AU44-BH44)/AU44)</f>
        <v/>
      </c>
      <c r="BJ44" s="81"/>
      <c r="BK44" s="83"/>
      <c r="BL44" s="43" t="str">
        <f aca="false">IFERROR(INDEX(ЗАКАЗЫ!$N$3:$N$500,MATCH($A44,ЗАКАЗЫ!$F$3:$F$500,0)),"")</f>
        <v/>
      </c>
      <c r="BM44" s="8" t="str">
        <f aca="false">IF(BL44="","",IFERROR(VLOOKUP(BL44,'ТН ВЭД'!$A$4:$C$40,3,0),""))</f>
        <v/>
      </c>
      <c r="BN44" s="7" t="str">
        <f aca="false">IF(COUNTIF(ЗАКАЗЫ!$F$3:$F$500,$A44)=0,"",SUMIF(ЗАКАЗЫ!$F$3:$F$500,$A44,ЗАКАЗЫ!$J$3:$J$500))</f>
        <v/>
      </c>
      <c r="BO44" s="7" t="str">
        <f aca="false">IF(BN44="","",SUMIF(ЗАКАЗЫ!$F$3:$F$500,$A44,ЗАКАЗЫ!$AL$3:$AL$500))</f>
        <v/>
      </c>
      <c r="BP44" s="7" t="str">
        <f aca="false">IF(BN44="","",BN44-BO44)</f>
        <v/>
      </c>
      <c r="BQ44" s="55" t="str">
        <f aca="false">IF(BN44="","",IF(BO44&gt;=BN44,"На складе",IF(BO44&gt;0,"Частично","Ждём")))</f>
        <v/>
      </c>
      <c r="BR44" s="43"/>
      <c r="BS44" s="47" t="str">
        <f aca="false">IF(BN44="","",IF(_xlfn.MAXIFS(ЗАКАЗЫ!$AK$3:$AK$500,ЗАКАЗЫ!$F$3:$F$500,$A44)=0,"",_xlfn.MAXIFS(ЗАКАЗЫ!$AK$3:$AK$500,ЗАКАЗЫ!$F$3:$F$500,$A44)))</f>
        <v/>
      </c>
    </row>
    <row r="45" customFormat="false" ht="15.75" hidden="false" customHeight="true" outlineLevel="0" collapsed="false">
      <c r="A45" s="80" t="s">
        <v>2585</v>
      </c>
      <c r="B45" s="81"/>
      <c r="C45" s="81"/>
      <c r="D45" s="81"/>
      <c r="E45" s="83"/>
      <c r="F45" s="81"/>
      <c r="G45" s="83"/>
      <c r="H45" s="83"/>
      <c r="I45" s="84" t="str">
        <f aca="false">IF(E45="","",A45&amp;"_1.jpg")</f>
        <v/>
      </c>
      <c r="J45" s="84" t="str">
        <f aca="false">IF(E45="","",A45&amp;"_2.jpg; "&amp;A45&amp;"_3.jpg")</f>
        <v/>
      </c>
      <c r="K45" s="84" t="str">
        <f aca="false">IF(E45="","",A45&amp;"_schema.jpg")</f>
        <v/>
      </c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 t="s">
        <v>96</v>
      </c>
      <c r="W45" s="81"/>
      <c r="X45" s="81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6" t="str">
        <f aca="false">IF(SUM(Y45:AJ45)=0,"",SUM(Y45:AJ45))</f>
        <v/>
      </c>
      <c r="AL45" s="84" t="str">
        <f aca="false">MID(IF(N(Y45)&gt;0,", "&amp;Y$2,"")&amp;IF(N(Z45)&gt;0,", "&amp;Z$2,"")&amp;IF(N(AA45)&gt;0,", "&amp;AA$2,"")&amp;IF(N(AB45)&gt;0,", "&amp;AB$2,"")&amp;IF(N(AC45)&gt;0,", "&amp;AC$2,"")&amp;IF(N(AD45)&gt;0,", "&amp;AD$2,"")&amp;IF(N(AE45)&gt;0,", "&amp;AE$2,"")&amp;IF(N(AF45)&gt;0,", "&amp;AF$2,"")&amp;IF(N(AG45)&gt;0,", "&amp;AG$2,"")&amp;IF(N(AH45)&gt;0,", "&amp;AH$2,"")&amp;IF(N(AI45)&gt;0,", "&amp;AI$2,"")&amp;IF(N(AJ45)&gt;0,", "&amp;AJ$2,""),3,999)</f>
        <v/>
      </c>
      <c r="AM45" s="87" t="str">
        <f aca="false">IF(E45="","",MID(IF(N(Y45)&gt;0,", "&amp;A45&amp;"-"&amp;Y$2,"")&amp;IF(N(Z45)&gt;0,", "&amp;A45&amp;"-"&amp;Z$2,"")&amp;IF(N(AA45)&gt;0,", "&amp;A45&amp;"-"&amp;AA$2,"")&amp;IF(N(AB45)&gt;0,", "&amp;A45&amp;"-"&amp;AB$2,"")&amp;IF(N(AC45)&gt;0,", "&amp;A45&amp;"-"&amp;AC$2,"")&amp;IF(N(AD45)&gt;0,", "&amp;A45&amp;"-"&amp;AD$2,"")&amp;IF(N(AE45)&gt;0,", "&amp;A45&amp;"-"&amp;AE$2,"")&amp;IF(N(AF45)&gt;0,", "&amp;A45&amp;"-"&amp;AF$2,"")&amp;IF(N(AG45)&gt;0,", "&amp;A45&amp;"-"&amp;AG$2,"")&amp;IF(N(AH45)&gt;0,", "&amp;A45&amp;"-"&amp;AH$2,"")&amp;IF(N(AI45)&gt;0,", "&amp;A45&amp;"-"&amp;AI$2,"")&amp;IF(N(AJ45)&gt;0,", "&amp;A45&amp;"-"&amp;AJ$2,""),3,999))</f>
        <v/>
      </c>
      <c r="AN45" s="81"/>
      <c r="AO45" s="88"/>
      <c r="AP45" s="89" t="str">
        <f aca="false">IF(AO45="","",ROUND(AO45/(1+Справочники!$B$13),2))</f>
        <v/>
      </c>
      <c r="AQ45" s="90" t="str">
        <f aca="false" t="array" ref="AQ45:AQ45">IF(AP45="","",AP45*INDEX(Справочники!$B$4:$B$7,MATCH("RUB",Справочники!$A$4:$A$7,0)))</f>
        <v/>
      </c>
      <c r="AR45" s="90" t="str">
        <f aca="false">IF(AQ45="","",ROUND(AQ45*(1+Справочники!$B$12),0))</f>
        <v/>
      </c>
      <c r="AS45" s="90" t="str">
        <f aca="false">IF(AR45="","",ROUND(AR45*(1-Справочники!$B$11),0))</f>
        <v/>
      </c>
      <c r="AT45" s="88"/>
      <c r="AU45" s="90" t="str">
        <f aca="false">IF(AT45="","",ROUND(AT45/(1+Справочники!$B$12),0))</f>
        <v/>
      </c>
      <c r="AV45" s="90" t="str">
        <f aca="false">IF(AT45="","",ROUND(AT45*(1-Справочники!$B$15),0))</f>
        <v/>
      </c>
      <c r="AW45" s="90" t="str">
        <f aca="false">IF(AT45="","",ROUND(AT45*(1-Справочники!$B$16),0))</f>
        <v/>
      </c>
      <c r="AX45" s="90" t="str">
        <f aca="false">IF(AT45="","",ROUND(AT45*(1-Справочники!$B$17),0))</f>
        <v/>
      </c>
      <c r="AY45" s="90" t="str">
        <f aca="false">IF(AT45="","",ROUND(AT45*(1-Справочники!$B$18),0))</f>
        <v/>
      </c>
      <c r="AZ45" s="90" t="str">
        <f aca="false">IF(AT45="","",ROUND(AT45*(1-Справочники!$B$19),0))</f>
        <v/>
      </c>
      <c r="BA45" s="81"/>
      <c r="BB45" s="81"/>
      <c r="BC45" s="81"/>
      <c r="BD45" s="81"/>
      <c r="BE45" s="91"/>
      <c r="BF45" s="81" t="s">
        <v>103</v>
      </c>
      <c r="BG45" s="89" t="n">
        <f aca="false" t="array" ref="BG45:BG45">IF(BF45="","",IFERROR(INDEX(Справочники!$B$4:$B$7,MATCH(BF45,Справочники!$A$4:$A$7,0)),""))</f>
        <v>68.5</v>
      </c>
      <c r="BH45" s="90" t="str">
        <f aca="false">IF(N(BN45)&gt;0,ROUND(SUMIF(ЗАКАЗЫ!$F$3:$F$500,$A45,ЗАКАЗЫ!$Y$3:$Y$500)/BN45,0),IF(OR(BE45="",BG45=""),"",ROUND(BE45*BG45*(1+Справочники!$B$10),0)))</f>
        <v/>
      </c>
      <c r="BI45" s="92" t="str">
        <f aca="false">IF(OR(AU45="",BH45="",AU45=0),"",(AU45-BH45)/AU45)</f>
        <v/>
      </c>
      <c r="BJ45" s="81"/>
      <c r="BK45" s="83"/>
      <c r="BL45" s="43" t="str">
        <f aca="false">IFERROR(INDEX(ЗАКАЗЫ!$N$3:$N$500,MATCH($A45,ЗАКАЗЫ!$F$3:$F$500,0)),"")</f>
        <v/>
      </c>
      <c r="BM45" s="8" t="str">
        <f aca="false">IF(BL45="","",IFERROR(VLOOKUP(BL45,'ТН ВЭД'!$A$4:$C$40,3,0),""))</f>
        <v/>
      </c>
      <c r="BN45" s="7" t="str">
        <f aca="false">IF(COUNTIF(ЗАКАЗЫ!$F$3:$F$500,$A45)=0,"",SUMIF(ЗАКАЗЫ!$F$3:$F$500,$A45,ЗАКАЗЫ!$J$3:$J$500))</f>
        <v/>
      </c>
      <c r="BO45" s="7" t="str">
        <f aca="false">IF(BN45="","",SUMIF(ЗАКАЗЫ!$F$3:$F$500,$A45,ЗАКАЗЫ!$AL$3:$AL$500))</f>
        <v/>
      </c>
      <c r="BP45" s="7" t="str">
        <f aca="false">IF(BN45="","",BN45-BO45)</f>
        <v/>
      </c>
      <c r="BQ45" s="55" t="str">
        <f aca="false">IF(BN45="","",IF(BO45&gt;=BN45,"На складе",IF(BO45&gt;0,"Частично","Ждём")))</f>
        <v/>
      </c>
      <c r="BR45" s="43"/>
      <c r="BS45" s="47" t="str">
        <f aca="false">IF(BN45="","",IF(_xlfn.MAXIFS(ЗАКАЗЫ!$AK$3:$AK$500,ЗАКАЗЫ!$F$3:$F$500,$A45)=0,"",_xlfn.MAXIFS(ЗАКАЗЫ!$AK$3:$AK$500,ЗАКАЗЫ!$F$3:$F$500,$A45)))</f>
        <v/>
      </c>
    </row>
    <row r="46" customFormat="false" ht="15.75" hidden="false" customHeight="true" outlineLevel="0" collapsed="false">
      <c r="A46" s="80" t="s">
        <v>2586</v>
      </c>
      <c r="B46" s="81"/>
      <c r="C46" s="81"/>
      <c r="D46" s="81"/>
      <c r="E46" s="83"/>
      <c r="F46" s="81"/>
      <c r="G46" s="83"/>
      <c r="H46" s="83"/>
      <c r="I46" s="84" t="str">
        <f aca="false">IF(E46="","",A46&amp;"_1.jpg")</f>
        <v/>
      </c>
      <c r="J46" s="84" t="str">
        <f aca="false">IF(E46="","",A46&amp;"_2.jpg; "&amp;A46&amp;"_3.jpg")</f>
        <v/>
      </c>
      <c r="K46" s="84" t="str">
        <f aca="false">IF(E46="","",A46&amp;"_schema.jpg")</f>
        <v/>
      </c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 t="s">
        <v>96</v>
      </c>
      <c r="W46" s="81"/>
      <c r="X46" s="81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6" t="str">
        <f aca="false">IF(SUM(Y46:AJ46)=0,"",SUM(Y46:AJ46))</f>
        <v/>
      </c>
      <c r="AL46" s="84" t="str">
        <f aca="false">MID(IF(N(Y46)&gt;0,", "&amp;Y$2,"")&amp;IF(N(Z46)&gt;0,", "&amp;Z$2,"")&amp;IF(N(AA46)&gt;0,", "&amp;AA$2,"")&amp;IF(N(AB46)&gt;0,", "&amp;AB$2,"")&amp;IF(N(AC46)&gt;0,", "&amp;AC$2,"")&amp;IF(N(AD46)&gt;0,", "&amp;AD$2,"")&amp;IF(N(AE46)&gt;0,", "&amp;AE$2,"")&amp;IF(N(AF46)&gt;0,", "&amp;AF$2,"")&amp;IF(N(AG46)&gt;0,", "&amp;AG$2,"")&amp;IF(N(AH46)&gt;0,", "&amp;AH$2,"")&amp;IF(N(AI46)&gt;0,", "&amp;AI$2,"")&amp;IF(N(AJ46)&gt;0,", "&amp;AJ$2,""),3,999)</f>
        <v/>
      </c>
      <c r="AM46" s="87" t="str">
        <f aca="false">IF(E46="","",MID(IF(N(Y46)&gt;0,", "&amp;A46&amp;"-"&amp;Y$2,"")&amp;IF(N(Z46)&gt;0,", "&amp;A46&amp;"-"&amp;Z$2,"")&amp;IF(N(AA46)&gt;0,", "&amp;A46&amp;"-"&amp;AA$2,"")&amp;IF(N(AB46)&gt;0,", "&amp;A46&amp;"-"&amp;AB$2,"")&amp;IF(N(AC46)&gt;0,", "&amp;A46&amp;"-"&amp;AC$2,"")&amp;IF(N(AD46)&gt;0,", "&amp;A46&amp;"-"&amp;AD$2,"")&amp;IF(N(AE46)&gt;0,", "&amp;A46&amp;"-"&amp;AE$2,"")&amp;IF(N(AF46)&gt;0,", "&amp;A46&amp;"-"&amp;AF$2,"")&amp;IF(N(AG46)&gt;0,", "&amp;A46&amp;"-"&amp;AG$2,"")&amp;IF(N(AH46)&gt;0,", "&amp;A46&amp;"-"&amp;AH$2,"")&amp;IF(N(AI46)&gt;0,", "&amp;A46&amp;"-"&amp;AI$2,"")&amp;IF(N(AJ46)&gt;0,", "&amp;A46&amp;"-"&amp;AJ$2,""),3,999))</f>
        <v/>
      </c>
      <c r="AN46" s="81"/>
      <c r="AO46" s="88"/>
      <c r="AP46" s="89" t="str">
        <f aca="false">IF(AO46="","",ROUND(AO46/(1+Справочники!$B$13),2))</f>
        <v/>
      </c>
      <c r="AQ46" s="90" t="str">
        <f aca="false" t="array" ref="AQ46:AQ46">IF(AP46="","",AP46*INDEX(Справочники!$B$4:$B$7,MATCH("RUB",Справочники!$A$4:$A$7,0)))</f>
        <v/>
      </c>
      <c r="AR46" s="90" t="str">
        <f aca="false">IF(AQ46="","",ROUND(AQ46*(1+Справочники!$B$12),0))</f>
        <v/>
      </c>
      <c r="AS46" s="90" t="str">
        <f aca="false">IF(AR46="","",ROUND(AR46*(1-Справочники!$B$11),0))</f>
        <v/>
      </c>
      <c r="AT46" s="88"/>
      <c r="AU46" s="90" t="str">
        <f aca="false">IF(AT46="","",ROUND(AT46/(1+Справочники!$B$12),0))</f>
        <v/>
      </c>
      <c r="AV46" s="90" t="str">
        <f aca="false">IF(AT46="","",ROUND(AT46*(1-Справочники!$B$15),0))</f>
        <v/>
      </c>
      <c r="AW46" s="90" t="str">
        <f aca="false">IF(AT46="","",ROUND(AT46*(1-Справочники!$B$16),0))</f>
        <v/>
      </c>
      <c r="AX46" s="90" t="str">
        <f aca="false">IF(AT46="","",ROUND(AT46*(1-Справочники!$B$17),0))</f>
        <v/>
      </c>
      <c r="AY46" s="90" t="str">
        <f aca="false">IF(AT46="","",ROUND(AT46*(1-Справочники!$B$18),0))</f>
        <v/>
      </c>
      <c r="AZ46" s="90" t="str">
        <f aca="false">IF(AT46="","",ROUND(AT46*(1-Справочники!$B$19),0))</f>
        <v/>
      </c>
      <c r="BA46" s="81"/>
      <c r="BB46" s="81"/>
      <c r="BC46" s="81"/>
      <c r="BD46" s="81"/>
      <c r="BE46" s="91"/>
      <c r="BF46" s="81" t="s">
        <v>103</v>
      </c>
      <c r="BG46" s="89" t="n">
        <f aca="false" t="array" ref="BG46:BG46">IF(BF46="","",IFERROR(INDEX(Справочники!$B$4:$B$7,MATCH(BF46,Справочники!$A$4:$A$7,0)),""))</f>
        <v>68.5</v>
      </c>
      <c r="BH46" s="90" t="str">
        <f aca="false">IF(N(BN46)&gt;0,ROUND(SUMIF(ЗАКАЗЫ!$F$3:$F$500,$A46,ЗАКАЗЫ!$Y$3:$Y$500)/BN46,0),IF(OR(BE46="",BG46=""),"",ROUND(BE46*BG46*(1+Справочники!$B$10),0)))</f>
        <v/>
      </c>
      <c r="BI46" s="92" t="str">
        <f aca="false">IF(OR(AU46="",BH46="",AU46=0),"",(AU46-BH46)/AU46)</f>
        <v/>
      </c>
      <c r="BJ46" s="81"/>
      <c r="BK46" s="83"/>
      <c r="BL46" s="43" t="str">
        <f aca="false">IFERROR(INDEX(ЗАКАЗЫ!$N$3:$N$500,MATCH($A46,ЗАКАЗЫ!$F$3:$F$500,0)),"")</f>
        <v/>
      </c>
      <c r="BM46" s="8" t="str">
        <f aca="false">IF(BL46="","",IFERROR(VLOOKUP(BL46,'ТН ВЭД'!$A$4:$C$40,3,0),""))</f>
        <v/>
      </c>
      <c r="BN46" s="7" t="str">
        <f aca="false">IF(COUNTIF(ЗАКАЗЫ!$F$3:$F$500,$A46)=0,"",SUMIF(ЗАКАЗЫ!$F$3:$F$500,$A46,ЗАКАЗЫ!$J$3:$J$500))</f>
        <v/>
      </c>
      <c r="BO46" s="7" t="str">
        <f aca="false">IF(BN46="","",SUMIF(ЗАКАЗЫ!$F$3:$F$500,$A46,ЗАКАЗЫ!$AL$3:$AL$500))</f>
        <v/>
      </c>
      <c r="BP46" s="7" t="str">
        <f aca="false">IF(BN46="","",BN46-BO46)</f>
        <v/>
      </c>
      <c r="BQ46" s="55" t="str">
        <f aca="false">IF(BN46="","",IF(BO46&gt;=BN46,"На складе",IF(BO46&gt;0,"Частично","Ждём")))</f>
        <v/>
      </c>
      <c r="BR46" s="43"/>
      <c r="BS46" s="47" t="str">
        <f aca="false">IF(BN46="","",IF(_xlfn.MAXIFS(ЗАКАЗЫ!$AK$3:$AK$500,ЗАКАЗЫ!$F$3:$F$500,$A46)=0,"",_xlfn.MAXIFS(ЗАКАЗЫ!$AK$3:$AK$500,ЗАКАЗЫ!$F$3:$F$500,$A46)))</f>
        <v/>
      </c>
    </row>
    <row r="47" customFormat="false" ht="15.75" hidden="false" customHeight="true" outlineLevel="0" collapsed="false">
      <c r="A47" s="80" t="s">
        <v>2587</v>
      </c>
      <c r="B47" s="81"/>
      <c r="C47" s="81"/>
      <c r="D47" s="81"/>
      <c r="E47" s="83"/>
      <c r="F47" s="81"/>
      <c r="G47" s="83"/>
      <c r="H47" s="83"/>
      <c r="I47" s="84" t="str">
        <f aca="false">IF(E47="","",A47&amp;"_1.jpg")</f>
        <v/>
      </c>
      <c r="J47" s="84" t="str">
        <f aca="false">IF(E47="","",A47&amp;"_2.jpg; "&amp;A47&amp;"_3.jpg")</f>
        <v/>
      </c>
      <c r="K47" s="84" t="str">
        <f aca="false">IF(E47="","",A47&amp;"_schema.jpg")</f>
        <v/>
      </c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 t="s">
        <v>96</v>
      </c>
      <c r="W47" s="81"/>
      <c r="X47" s="81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6" t="str">
        <f aca="false">IF(SUM(Y47:AJ47)=0,"",SUM(Y47:AJ47))</f>
        <v/>
      </c>
      <c r="AL47" s="84" t="str">
        <f aca="false">MID(IF(N(Y47)&gt;0,", "&amp;Y$2,"")&amp;IF(N(Z47)&gt;0,", "&amp;Z$2,"")&amp;IF(N(AA47)&gt;0,", "&amp;AA$2,"")&amp;IF(N(AB47)&gt;0,", "&amp;AB$2,"")&amp;IF(N(AC47)&gt;0,", "&amp;AC$2,"")&amp;IF(N(AD47)&gt;0,", "&amp;AD$2,"")&amp;IF(N(AE47)&gt;0,", "&amp;AE$2,"")&amp;IF(N(AF47)&gt;0,", "&amp;AF$2,"")&amp;IF(N(AG47)&gt;0,", "&amp;AG$2,"")&amp;IF(N(AH47)&gt;0,", "&amp;AH$2,"")&amp;IF(N(AI47)&gt;0,", "&amp;AI$2,"")&amp;IF(N(AJ47)&gt;0,", "&amp;AJ$2,""),3,999)</f>
        <v/>
      </c>
      <c r="AM47" s="87" t="str">
        <f aca="false">IF(E47="","",MID(IF(N(Y47)&gt;0,", "&amp;A47&amp;"-"&amp;Y$2,"")&amp;IF(N(Z47)&gt;0,", "&amp;A47&amp;"-"&amp;Z$2,"")&amp;IF(N(AA47)&gt;0,", "&amp;A47&amp;"-"&amp;AA$2,"")&amp;IF(N(AB47)&gt;0,", "&amp;A47&amp;"-"&amp;AB$2,"")&amp;IF(N(AC47)&gt;0,", "&amp;A47&amp;"-"&amp;AC$2,"")&amp;IF(N(AD47)&gt;0,", "&amp;A47&amp;"-"&amp;AD$2,"")&amp;IF(N(AE47)&gt;0,", "&amp;A47&amp;"-"&amp;AE$2,"")&amp;IF(N(AF47)&gt;0,", "&amp;A47&amp;"-"&amp;AF$2,"")&amp;IF(N(AG47)&gt;0,", "&amp;A47&amp;"-"&amp;AG$2,"")&amp;IF(N(AH47)&gt;0,", "&amp;A47&amp;"-"&amp;AH$2,"")&amp;IF(N(AI47)&gt;0,", "&amp;A47&amp;"-"&amp;AI$2,"")&amp;IF(N(AJ47)&gt;0,", "&amp;A47&amp;"-"&amp;AJ$2,""),3,999))</f>
        <v/>
      </c>
      <c r="AN47" s="81"/>
      <c r="AO47" s="88"/>
      <c r="AP47" s="89" t="str">
        <f aca="false">IF(AO47="","",ROUND(AO47/(1+Справочники!$B$13),2))</f>
        <v/>
      </c>
      <c r="AQ47" s="90" t="str">
        <f aca="false" t="array" ref="AQ47:AQ47">IF(AP47="","",AP47*INDEX(Справочники!$B$4:$B$7,MATCH("RUB",Справочники!$A$4:$A$7,0)))</f>
        <v/>
      </c>
      <c r="AR47" s="90" t="str">
        <f aca="false">IF(AQ47="","",ROUND(AQ47*(1+Справочники!$B$12),0))</f>
        <v/>
      </c>
      <c r="AS47" s="90" t="str">
        <f aca="false">IF(AR47="","",ROUND(AR47*(1-Справочники!$B$11),0))</f>
        <v/>
      </c>
      <c r="AT47" s="88"/>
      <c r="AU47" s="90" t="str">
        <f aca="false">IF(AT47="","",ROUND(AT47/(1+Справочники!$B$12),0))</f>
        <v/>
      </c>
      <c r="AV47" s="90" t="str">
        <f aca="false">IF(AT47="","",ROUND(AT47*(1-Справочники!$B$15),0))</f>
        <v/>
      </c>
      <c r="AW47" s="90" t="str">
        <f aca="false">IF(AT47="","",ROUND(AT47*(1-Справочники!$B$16),0))</f>
        <v/>
      </c>
      <c r="AX47" s="90" t="str">
        <f aca="false">IF(AT47="","",ROUND(AT47*(1-Справочники!$B$17),0))</f>
        <v/>
      </c>
      <c r="AY47" s="90" t="str">
        <f aca="false">IF(AT47="","",ROUND(AT47*(1-Справочники!$B$18),0))</f>
        <v/>
      </c>
      <c r="AZ47" s="90" t="str">
        <f aca="false">IF(AT47="","",ROUND(AT47*(1-Справочники!$B$19),0))</f>
        <v/>
      </c>
      <c r="BA47" s="81"/>
      <c r="BB47" s="81"/>
      <c r="BC47" s="81"/>
      <c r="BD47" s="81"/>
      <c r="BE47" s="91"/>
      <c r="BF47" s="81" t="s">
        <v>103</v>
      </c>
      <c r="BG47" s="89" t="n">
        <f aca="false" t="array" ref="BG47:BG47">IF(BF47="","",IFERROR(INDEX(Справочники!$B$4:$B$7,MATCH(BF47,Справочники!$A$4:$A$7,0)),""))</f>
        <v>68.5</v>
      </c>
      <c r="BH47" s="90" t="str">
        <f aca="false">IF(N(BN47)&gt;0,ROUND(SUMIF(ЗАКАЗЫ!$F$3:$F$500,$A47,ЗАКАЗЫ!$Y$3:$Y$500)/BN47,0),IF(OR(BE47="",BG47=""),"",ROUND(BE47*BG47*(1+Справочники!$B$10),0)))</f>
        <v/>
      </c>
      <c r="BI47" s="92" t="str">
        <f aca="false">IF(OR(AU47="",BH47="",AU47=0),"",(AU47-BH47)/AU47)</f>
        <v/>
      </c>
      <c r="BJ47" s="81"/>
      <c r="BK47" s="83"/>
      <c r="BL47" s="43" t="str">
        <f aca="false">IFERROR(INDEX(ЗАКАЗЫ!$N$3:$N$500,MATCH($A47,ЗАКАЗЫ!$F$3:$F$500,0)),"")</f>
        <v/>
      </c>
      <c r="BM47" s="8" t="str">
        <f aca="false">IF(BL47="","",IFERROR(VLOOKUP(BL47,'ТН ВЭД'!$A$4:$C$40,3,0),""))</f>
        <v/>
      </c>
      <c r="BN47" s="7" t="str">
        <f aca="false">IF(COUNTIF(ЗАКАЗЫ!$F$3:$F$500,$A47)=0,"",SUMIF(ЗАКАЗЫ!$F$3:$F$500,$A47,ЗАКАЗЫ!$J$3:$J$500))</f>
        <v/>
      </c>
      <c r="BO47" s="7" t="str">
        <f aca="false">IF(BN47="","",SUMIF(ЗАКАЗЫ!$F$3:$F$500,$A47,ЗАКАЗЫ!$AL$3:$AL$500))</f>
        <v/>
      </c>
      <c r="BP47" s="7" t="str">
        <f aca="false">IF(BN47="","",BN47-BO47)</f>
        <v/>
      </c>
      <c r="BQ47" s="55" t="str">
        <f aca="false">IF(BN47="","",IF(BO47&gt;=BN47,"На складе",IF(BO47&gt;0,"Частично","Ждём")))</f>
        <v/>
      </c>
      <c r="BR47" s="43"/>
      <c r="BS47" s="47" t="str">
        <f aca="false">IF(BN47="","",IF(_xlfn.MAXIFS(ЗАКАЗЫ!$AK$3:$AK$500,ЗАКАЗЫ!$F$3:$F$500,$A47)=0,"",_xlfn.MAXIFS(ЗАКАЗЫ!$AK$3:$AK$500,ЗАКАЗЫ!$F$3:$F$500,$A47)))</f>
        <v/>
      </c>
    </row>
    <row r="48" customFormat="false" ht="15.75" hidden="false" customHeight="true" outlineLevel="0" collapsed="false">
      <c r="A48" s="80" t="s">
        <v>2588</v>
      </c>
      <c r="B48" s="81"/>
      <c r="C48" s="81"/>
      <c r="D48" s="81"/>
      <c r="E48" s="83"/>
      <c r="F48" s="81"/>
      <c r="G48" s="83"/>
      <c r="H48" s="83"/>
      <c r="I48" s="84" t="str">
        <f aca="false">IF(E48="","",A48&amp;"_1.jpg")</f>
        <v/>
      </c>
      <c r="J48" s="84" t="str">
        <f aca="false">IF(E48="","",A48&amp;"_2.jpg; "&amp;A48&amp;"_3.jpg")</f>
        <v/>
      </c>
      <c r="K48" s="84" t="str">
        <f aca="false">IF(E48="","",A48&amp;"_schema.jpg")</f>
        <v/>
      </c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 t="s">
        <v>96</v>
      </c>
      <c r="W48" s="81"/>
      <c r="X48" s="81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6" t="str">
        <f aca="false">IF(SUM(Y48:AJ48)=0,"",SUM(Y48:AJ48))</f>
        <v/>
      </c>
      <c r="AL48" s="84" t="str">
        <f aca="false">MID(IF(N(Y48)&gt;0,", "&amp;Y$2,"")&amp;IF(N(Z48)&gt;0,", "&amp;Z$2,"")&amp;IF(N(AA48)&gt;0,", "&amp;AA$2,"")&amp;IF(N(AB48)&gt;0,", "&amp;AB$2,"")&amp;IF(N(AC48)&gt;0,", "&amp;AC$2,"")&amp;IF(N(AD48)&gt;0,", "&amp;AD$2,"")&amp;IF(N(AE48)&gt;0,", "&amp;AE$2,"")&amp;IF(N(AF48)&gt;0,", "&amp;AF$2,"")&amp;IF(N(AG48)&gt;0,", "&amp;AG$2,"")&amp;IF(N(AH48)&gt;0,", "&amp;AH$2,"")&amp;IF(N(AI48)&gt;0,", "&amp;AI$2,"")&amp;IF(N(AJ48)&gt;0,", "&amp;AJ$2,""),3,999)</f>
        <v/>
      </c>
      <c r="AM48" s="87" t="str">
        <f aca="false">IF(E48="","",MID(IF(N(Y48)&gt;0,", "&amp;A48&amp;"-"&amp;Y$2,"")&amp;IF(N(Z48)&gt;0,", "&amp;A48&amp;"-"&amp;Z$2,"")&amp;IF(N(AA48)&gt;0,", "&amp;A48&amp;"-"&amp;AA$2,"")&amp;IF(N(AB48)&gt;0,", "&amp;A48&amp;"-"&amp;AB$2,"")&amp;IF(N(AC48)&gt;0,", "&amp;A48&amp;"-"&amp;AC$2,"")&amp;IF(N(AD48)&gt;0,", "&amp;A48&amp;"-"&amp;AD$2,"")&amp;IF(N(AE48)&gt;0,", "&amp;A48&amp;"-"&amp;AE$2,"")&amp;IF(N(AF48)&gt;0,", "&amp;A48&amp;"-"&amp;AF$2,"")&amp;IF(N(AG48)&gt;0,", "&amp;A48&amp;"-"&amp;AG$2,"")&amp;IF(N(AH48)&gt;0,", "&amp;A48&amp;"-"&amp;AH$2,"")&amp;IF(N(AI48)&gt;0,", "&amp;A48&amp;"-"&amp;AI$2,"")&amp;IF(N(AJ48)&gt;0,", "&amp;A48&amp;"-"&amp;AJ$2,""),3,999))</f>
        <v/>
      </c>
      <c r="AN48" s="81"/>
      <c r="AO48" s="88"/>
      <c r="AP48" s="89" t="str">
        <f aca="false">IF(AO48="","",ROUND(AO48/(1+Справочники!$B$13),2))</f>
        <v/>
      </c>
      <c r="AQ48" s="90" t="str">
        <f aca="false" t="array" ref="AQ48:AQ48">IF(AP48="","",AP48*INDEX(Справочники!$B$4:$B$7,MATCH("RUB",Справочники!$A$4:$A$7,0)))</f>
        <v/>
      </c>
      <c r="AR48" s="90" t="str">
        <f aca="false">IF(AQ48="","",ROUND(AQ48*(1+Справочники!$B$12),0))</f>
        <v/>
      </c>
      <c r="AS48" s="90" t="str">
        <f aca="false">IF(AR48="","",ROUND(AR48*(1-Справочники!$B$11),0))</f>
        <v/>
      </c>
      <c r="AT48" s="88"/>
      <c r="AU48" s="90" t="str">
        <f aca="false">IF(AT48="","",ROUND(AT48/(1+Справочники!$B$12),0))</f>
        <v/>
      </c>
      <c r="AV48" s="90" t="str">
        <f aca="false">IF(AT48="","",ROUND(AT48*(1-Справочники!$B$15),0))</f>
        <v/>
      </c>
      <c r="AW48" s="90" t="str">
        <f aca="false">IF(AT48="","",ROUND(AT48*(1-Справочники!$B$16),0))</f>
        <v/>
      </c>
      <c r="AX48" s="90" t="str">
        <f aca="false">IF(AT48="","",ROUND(AT48*(1-Справочники!$B$17),0))</f>
        <v/>
      </c>
      <c r="AY48" s="90" t="str">
        <f aca="false">IF(AT48="","",ROUND(AT48*(1-Справочники!$B$18),0))</f>
        <v/>
      </c>
      <c r="AZ48" s="90" t="str">
        <f aca="false">IF(AT48="","",ROUND(AT48*(1-Справочники!$B$19),0))</f>
        <v/>
      </c>
      <c r="BA48" s="81"/>
      <c r="BB48" s="81"/>
      <c r="BC48" s="81"/>
      <c r="BD48" s="81"/>
      <c r="BE48" s="91"/>
      <c r="BF48" s="81" t="s">
        <v>103</v>
      </c>
      <c r="BG48" s="89" t="n">
        <f aca="false" t="array" ref="BG48:BG48">IF(BF48="","",IFERROR(INDEX(Справочники!$B$4:$B$7,MATCH(BF48,Справочники!$A$4:$A$7,0)),""))</f>
        <v>68.5</v>
      </c>
      <c r="BH48" s="90" t="str">
        <f aca="false">IF(N(BN48)&gt;0,ROUND(SUMIF(ЗАКАЗЫ!$F$3:$F$500,$A48,ЗАКАЗЫ!$Y$3:$Y$500)/BN48,0),IF(OR(BE48="",BG48=""),"",ROUND(BE48*BG48*(1+Справочники!$B$10),0)))</f>
        <v/>
      </c>
      <c r="BI48" s="92" t="str">
        <f aca="false">IF(OR(AU48="",BH48="",AU48=0),"",(AU48-BH48)/AU48)</f>
        <v/>
      </c>
      <c r="BJ48" s="81"/>
      <c r="BK48" s="83"/>
      <c r="BL48" s="43" t="str">
        <f aca="false">IFERROR(INDEX(ЗАКАЗЫ!$N$3:$N$500,MATCH($A48,ЗАКАЗЫ!$F$3:$F$500,0)),"")</f>
        <v/>
      </c>
      <c r="BM48" s="8" t="str">
        <f aca="false">IF(BL48="","",IFERROR(VLOOKUP(BL48,'ТН ВЭД'!$A$4:$C$40,3,0),""))</f>
        <v/>
      </c>
      <c r="BN48" s="7" t="str">
        <f aca="false">IF(COUNTIF(ЗАКАЗЫ!$F$3:$F$500,$A48)=0,"",SUMIF(ЗАКАЗЫ!$F$3:$F$500,$A48,ЗАКАЗЫ!$J$3:$J$500))</f>
        <v/>
      </c>
      <c r="BO48" s="7" t="str">
        <f aca="false">IF(BN48="","",SUMIF(ЗАКАЗЫ!$F$3:$F$500,$A48,ЗАКАЗЫ!$AL$3:$AL$500))</f>
        <v/>
      </c>
      <c r="BP48" s="7" t="str">
        <f aca="false">IF(BN48="","",BN48-BO48)</f>
        <v/>
      </c>
      <c r="BQ48" s="55" t="str">
        <f aca="false">IF(BN48="","",IF(BO48&gt;=BN48,"На складе",IF(BO48&gt;0,"Частично","Ждём")))</f>
        <v/>
      </c>
      <c r="BR48" s="43"/>
      <c r="BS48" s="47" t="str">
        <f aca="false">IF(BN48="","",IF(_xlfn.MAXIFS(ЗАКАЗЫ!$AK$3:$AK$500,ЗАКАЗЫ!$F$3:$F$500,$A48)=0,"",_xlfn.MAXIFS(ЗАКАЗЫ!$AK$3:$AK$500,ЗАКАЗЫ!$F$3:$F$500,$A48)))</f>
        <v/>
      </c>
    </row>
    <row r="49" customFormat="false" ht="15.75" hidden="false" customHeight="true" outlineLevel="0" collapsed="false">
      <c r="A49" s="80" t="s">
        <v>2589</v>
      </c>
      <c r="B49" s="81"/>
      <c r="C49" s="81"/>
      <c r="D49" s="81"/>
      <c r="E49" s="83"/>
      <c r="F49" s="81"/>
      <c r="G49" s="83"/>
      <c r="H49" s="83"/>
      <c r="I49" s="84" t="str">
        <f aca="false">IF(E49="","",A49&amp;"_1.jpg")</f>
        <v/>
      </c>
      <c r="J49" s="84" t="str">
        <f aca="false">IF(E49="","",A49&amp;"_2.jpg; "&amp;A49&amp;"_3.jpg")</f>
        <v/>
      </c>
      <c r="K49" s="84" t="str">
        <f aca="false">IF(E49="","",A49&amp;"_schema.jpg")</f>
        <v/>
      </c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 t="s">
        <v>96</v>
      </c>
      <c r="W49" s="81"/>
      <c r="X49" s="81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6" t="str">
        <f aca="false">IF(SUM(Y49:AJ49)=0,"",SUM(Y49:AJ49))</f>
        <v/>
      </c>
      <c r="AL49" s="84" t="str">
        <f aca="false">MID(IF(N(Y49)&gt;0,", "&amp;Y$2,"")&amp;IF(N(Z49)&gt;0,", "&amp;Z$2,"")&amp;IF(N(AA49)&gt;0,", "&amp;AA$2,"")&amp;IF(N(AB49)&gt;0,", "&amp;AB$2,"")&amp;IF(N(AC49)&gt;0,", "&amp;AC$2,"")&amp;IF(N(AD49)&gt;0,", "&amp;AD$2,"")&amp;IF(N(AE49)&gt;0,", "&amp;AE$2,"")&amp;IF(N(AF49)&gt;0,", "&amp;AF$2,"")&amp;IF(N(AG49)&gt;0,", "&amp;AG$2,"")&amp;IF(N(AH49)&gt;0,", "&amp;AH$2,"")&amp;IF(N(AI49)&gt;0,", "&amp;AI$2,"")&amp;IF(N(AJ49)&gt;0,", "&amp;AJ$2,""),3,999)</f>
        <v/>
      </c>
      <c r="AM49" s="87" t="str">
        <f aca="false">IF(E49="","",MID(IF(N(Y49)&gt;0,", "&amp;A49&amp;"-"&amp;Y$2,"")&amp;IF(N(Z49)&gt;0,", "&amp;A49&amp;"-"&amp;Z$2,"")&amp;IF(N(AA49)&gt;0,", "&amp;A49&amp;"-"&amp;AA$2,"")&amp;IF(N(AB49)&gt;0,", "&amp;A49&amp;"-"&amp;AB$2,"")&amp;IF(N(AC49)&gt;0,", "&amp;A49&amp;"-"&amp;AC$2,"")&amp;IF(N(AD49)&gt;0,", "&amp;A49&amp;"-"&amp;AD$2,"")&amp;IF(N(AE49)&gt;0,", "&amp;A49&amp;"-"&amp;AE$2,"")&amp;IF(N(AF49)&gt;0,", "&amp;A49&amp;"-"&amp;AF$2,"")&amp;IF(N(AG49)&gt;0,", "&amp;A49&amp;"-"&amp;AG$2,"")&amp;IF(N(AH49)&gt;0,", "&amp;A49&amp;"-"&amp;AH$2,"")&amp;IF(N(AI49)&gt;0,", "&amp;A49&amp;"-"&amp;AI$2,"")&amp;IF(N(AJ49)&gt;0,", "&amp;A49&amp;"-"&amp;AJ$2,""),3,999))</f>
        <v/>
      </c>
      <c r="AN49" s="81"/>
      <c r="AO49" s="88"/>
      <c r="AP49" s="89" t="str">
        <f aca="false">IF(AO49="","",ROUND(AO49/(1+Справочники!$B$13),2))</f>
        <v/>
      </c>
      <c r="AQ49" s="90" t="str">
        <f aca="false" t="array" ref="AQ49:AQ49">IF(AP49="","",AP49*INDEX(Справочники!$B$4:$B$7,MATCH("RUB",Справочники!$A$4:$A$7,0)))</f>
        <v/>
      </c>
      <c r="AR49" s="90" t="str">
        <f aca="false">IF(AQ49="","",ROUND(AQ49*(1+Справочники!$B$12),0))</f>
        <v/>
      </c>
      <c r="AS49" s="90" t="str">
        <f aca="false">IF(AR49="","",ROUND(AR49*(1-Справочники!$B$11),0))</f>
        <v/>
      </c>
      <c r="AT49" s="88"/>
      <c r="AU49" s="90" t="str">
        <f aca="false">IF(AT49="","",ROUND(AT49/(1+Справочники!$B$12),0))</f>
        <v/>
      </c>
      <c r="AV49" s="90" t="str">
        <f aca="false">IF(AT49="","",ROUND(AT49*(1-Справочники!$B$15),0))</f>
        <v/>
      </c>
      <c r="AW49" s="90" t="str">
        <f aca="false">IF(AT49="","",ROUND(AT49*(1-Справочники!$B$16),0))</f>
        <v/>
      </c>
      <c r="AX49" s="90" t="str">
        <f aca="false">IF(AT49="","",ROUND(AT49*(1-Справочники!$B$17),0))</f>
        <v/>
      </c>
      <c r="AY49" s="90" t="str">
        <f aca="false">IF(AT49="","",ROUND(AT49*(1-Справочники!$B$18),0))</f>
        <v/>
      </c>
      <c r="AZ49" s="90" t="str">
        <f aca="false">IF(AT49="","",ROUND(AT49*(1-Справочники!$B$19),0))</f>
        <v/>
      </c>
      <c r="BA49" s="81"/>
      <c r="BB49" s="81"/>
      <c r="BC49" s="81"/>
      <c r="BD49" s="81"/>
      <c r="BE49" s="91"/>
      <c r="BF49" s="81" t="s">
        <v>103</v>
      </c>
      <c r="BG49" s="89" t="n">
        <f aca="false" t="array" ref="BG49:BG49">IF(BF49="","",IFERROR(INDEX(Справочники!$B$4:$B$7,MATCH(BF49,Справочники!$A$4:$A$7,0)),""))</f>
        <v>68.5</v>
      </c>
      <c r="BH49" s="90" t="str">
        <f aca="false">IF(N(BN49)&gt;0,ROUND(SUMIF(ЗАКАЗЫ!$F$3:$F$500,$A49,ЗАКАЗЫ!$Y$3:$Y$500)/BN49,0),IF(OR(BE49="",BG49=""),"",ROUND(BE49*BG49*(1+Справочники!$B$10),0)))</f>
        <v/>
      </c>
      <c r="BI49" s="92" t="str">
        <f aca="false">IF(OR(AU49="",BH49="",AU49=0),"",(AU49-BH49)/AU49)</f>
        <v/>
      </c>
      <c r="BJ49" s="81"/>
      <c r="BK49" s="83"/>
      <c r="BL49" s="43" t="str">
        <f aca="false">IFERROR(INDEX(ЗАКАЗЫ!$N$3:$N$500,MATCH($A49,ЗАКАЗЫ!$F$3:$F$500,0)),"")</f>
        <v/>
      </c>
      <c r="BM49" s="8" t="str">
        <f aca="false">IF(BL49="","",IFERROR(VLOOKUP(BL49,'ТН ВЭД'!$A$4:$C$40,3,0),""))</f>
        <v/>
      </c>
      <c r="BN49" s="7" t="str">
        <f aca="false">IF(COUNTIF(ЗАКАЗЫ!$F$3:$F$500,$A49)=0,"",SUMIF(ЗАКАЗЫ!$F$3:$F$500,$A49,ЗАКАЗЫ!$J$3:$J$500))</f>
        <v/>
      </c>
      <c r="BO49" s="7" t="str">
        <f aca="false">IF(BN49="","",SUMIF(ЗАКАЗЫ!$F$3:$F$500,$A49,ЗАКАЗЫ!$AL$3:$AL$500))</f>
        <v/>
      </c>
      <c r="BP49" s="7" t="str">
        <f aca="false">IF(BN49="","",BN49-BO49)</f>
        <v/>
      </c>
      <c r="BQ49" s="55" t="str">
        <f aca="false">IF(BN49="","",IF(BO49&gt;=BN49,"На складе",IF(BO49&gt;0,"Частично","Ждём")))</f>
        <v/>
      </c>
      <c r="BR49" s="43"/>
      <c r="BS49" s="47" t="str">
        <f aca="false">IF(BN49="","",IF(_xlfn.MAXIFS(ЗАКАЗЫ!$AK$3:$AK$500,ЗАКАЗЫ!$F$3:$F$500,$A49)=0,"",_xlfn.MAXIFS(ЗАКАЗЫ!$AK$3:$AK$500,ЗАКАЗЫ!$F$3:$F$500,$A49)))</f>
        <v/>
      </c>
    </row>
    <row r="50" customFormat="false" ht="15.75" hidden="false" customHeight="true" outlineLevel="0" collapsed="false">
      <c r="A50" s="80" t="s">
        <v>2590</v>
      </c>
      <c r="B50" s="81"/>
      <c r="C50" s="81"/>
      <c r="D50" s="81"/>
      <c r="E50" s="83"/>
      <c r="F50" s="81"/>
      <c r="G50" s="83"/>
      <c r="H50" s="83"/>
      <c r="I50" s="84" t="str">
        <f aca="false">IF(E50="","",A50&amp;"_1.jpg")</f>
        <v/>
      </c>
      <c r="J50" s="84" t="str">
        <f aca="false">IF(E50="","",A50&amp;"_2.jpg; "&amp;A50&amp;"_3.jpg")</f>
        <v/>
      </c>
      <c r="K50" s="84" t="str">
        <f aca="false">IF(E50="","",A50&amp;"_schema.jpg")</f>
        <v/>
      </c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 t="s">
        <v>96</v>
      </c>
      <c r="W50" s="81"/>
      <c r="X50" s="81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6" t="str">
        <f aca="false">IF(SUM(Y50:AJ50)=0,"",SUM(Y50:AJ50))</f>
        <v/>
      </c>
      <c r="AL50" s="84" t="str">
        <f aca="false">MID(IF(N(Y50)&gt;0,", "&amp;Y$2,"")&amp;IF(N(Z50)&gt;0,", "&amp;Z$2,"")&amp;IF(N(AA50)&gt;0,", "&amp;AA$2,"")&amp;IF(N(AB50)&gt;0,", "&amp;AB$2,"")&amp;IF(N(AC50)&gt;0,", "&amp;AC$2,"")&amp;IF(N(AD50)&gt;0,", "&amp;AD$2,"")&amp;IF(N(AE50)&gt;0,", "&amp;AE$2,"")&amp;IF(N(AF50)&gt;0,", "&amp;AF$2,"")&amp;IF(N(AG50)&gt;0,", "&amp;AG$2,"")&amp;IF(N(AH50)&gt;0,", "&amp;AH$2,"")&amp;IF(N(AI50)&gt;0,", "&amp;AI$2,"")&amp;IF(N(AJ50)&gt;0,", "&amp;AJ$2,""),3,999)</f>
        <v/>
      </c>
      <c r="AM50" s="87" t="str">
        <f aca="false">IF(E50="","",MID(IF(N(Y50)&gt;0,", "&amp;A50&amp;"-"&amp;Y$2,"")&amp;IF(N(Z50)&gt;0,", "&amp;A50&amp;"-"&amp;Z$2,"")&amp;IF(N(AA50)&gt;0,", "&amp;A50&amp;"-"&amp;AA$2,"")&amp;IF(N(AB50)&gt;0,", "&amp;A50&amp;"-"&amp;AB$2,"")&amp;IF(N(AC50)&gt;0,", "&amp;A50&amp;"-"&amp;AC$2,"")&amp;IF(N(AD50)&gt;0,", "&amp;A50&amp;"-"&amp;AD$2,"")&amp;IF(N(AE50)&gt;0,", "&amp;A50&amp;"-"&amp;AE$2,"")&amp;IF(N(AF50)&gt;0,", "&amp;A50&amp;"-"&amp;AF$2,"")&amp;IF(N(AG50)&gt;0,", "&amp;A50&amp;"-"&amp;AG$2,"")&amp;IF(N(AH50)&gt;0,", "&amp;A50&amp;"-"&amp;AH$2,"")&amp;IF(N(AI50)&gt;0,", "&amp;A50&amp;"-"&amp;AI$2,"")&amp;IF(N(AJ50)&gt;0,", "&amp;A50&amp;"-"&amp;AJ$2,""),3,999))</f>
        <v/>
      </c>
      <c r="AN50" s="81"/>
      <c r="AO50" s="88"/>
      <c r="AP50" s="89" t="str">
        <f aca="false">IF(AO50="","",ROUND(AO50/(1+Справочники!$B$13),2))</f>
        <v/>
      </c>
      <c r="AQ50" s="90" t="str">
        <f aca="false" t="array" ref="AQ50:AQ50">IF(AP50="","",AP50*INDEX(Справочники!$B$4:$B$7,MATCH("RUB",Справочники!$A$4:$A$7,0)))</f>
        <v/>
      </c>
      <c r="AR50" s="90" t="str">
        <f aca="false">IF(AQ50="","",ROUND(AQ50*(1+Справочники!$B$12),0))</f>
        <v/>
      </c>
      <c r="AS50" s="90" t="str">
        <f aca="false">IF(AR50="","",ROUND(AR50*(1-Справочники!$B$11),0))</f>
        <v/>
      </c>
      <c r="AT50" s="88"/>
      <c r="AU50" s="90" t="str">
        <f aca="false">IF(AT50="","",ROUND(AT50/(1+Справочники!$B$12),0))</f>
        <v/>
      </c>
      <c r="AV50" s="90" t="str">
        <f aca="false">IF(AT50="","",ROUND(AT50*(1-Справочники!$B$15),0))</f>
        <v/>
      </c>
      <c r="AW50" s="90" t="str">
        <f aca="false">IF(AT50="","",ROUND(AT50*(1-Справочники!$B$16),0))</f>
        <v/>
      </c>
      <c r="AX50" s="90" t="str">
        <f aca="false">IF(AT50="","",ROUND(AT50*(1-Справочники!$B$17),0))</f>
        <v/>
      </c>
      <c r="AY50" s="90" t="str">
        <f aca="false">IF(AT50="","",ROUND(AT50*(1-Справочники!$B$18),0))</f>
        <v/>
      </c>
      <c r="AZ50" s="90" t="str">
        <f aca="false">IF(AT50="","",ROUND(AT50*(1-Справочники!$B$19),0))</f>
        <v/>
      </c>
      <c r="BA50" s="81"/>
      <c r="BB50" s="81"/>
      <c r="BC50" s="81"/>
      <c r="BD50" s="81"/>
      <c r="BE50" s="91"/>
      <c r="BF50" s="81" t="s">
        <v>103</v>
      </c>
      <c r="BG50" s="89" t="n">
        <f aca="false" t="array" ref="BG50:BG50">IF(BF50="","",IFERROR(INDEX(Справочники!$B$4:$B$7,MATCH(BF50,Справочники!$A$4:$A$7,0)),""))</f>
        <v>68.5</v>
      </c>
      <c r="BH50" s="90" t="str">
        <f aca="false">IF(N(BN50)&gt;0,ROUND(SUMIF(ЗАКАЗЫ!$F$3:$F$500,$A50,ЗАКАЗЫ!$Y$3:$Y$500)/BN50,0),IF(OR(BE50="",BG50=""),"",ROUND(BE50*BG50*(1+Справочники!$B$10),0)))</f>
        <v/>
      </c>
      <c r="BI50" s="92" t="str">
        <f aca="false">IF(OR(AU50="",BH50="",AU50=0),"",(AU50-BH50)/AU50)</f>
        <v/>
      </c>
      <c r="BJ50" s="81"/>
      <c r="BK50" s="83"/>
      <c r="BL50" s="43" t="str">
        <f aca="false">IFERROR(INDEX(ЗАКАЗЫ!$N$3:$N$500,MATCH($A50,ЗАКАЗЫ!$F$3:$F$500,0)),"")</f>
        <v/>
      </c>
      <c r="BM50" s="8" t="str">
        <f aca="false">IF(BL50="","",IFERROR(VLOOKUP(BL50,'ТН ВЭД'!$A$4:$C$40,3,0),""))</f>
        <v/>
      </c>
      <c r="BN50" s="7" t="str">
        <f aca="false">IF(COUNTIF(ЗАКАЗЫ!$F$3:$F$500,$A50)=0,"",SUMIF(ЗАКАЗЫ!$F$3:$F$500,$A50,ЗАКАЗЫ!$J$3:$J$500))</f>
        <v/>
      </c>
      <c r="BO50" s="7" t="str">
        <f aca="false">IF(BN50="","",SUMIF(ЗАКАЗЫ!$F$3:$F$500,$A50,ЗАКАЗЫ!$AL$3:$AL$500))</f>
        <v/>
      </c>
      <c r="BP50" s="7" t="str">
        <f aca="false">IF(BN50="","",BN50-BO50)</f>
        <v/>
      </c>
      <c r="BQ50" s="55" t="str">
        <f aca="false">IF(BN50="","",IF(BO50&gt;=BN50,"На складе",IF(BO50&gt;0,"Частично","Ждём")))</f>
        <v/>
      </c>
      <c r="BR50" s="43"/>
      <c r="BS50" s="47" t="str">
        <f aca="false">IF(BN50="","",IF(_xlfn.MAXIFS(ЗАКАЗЫ!$AK$3:$AK$500,ЗАКАЗЫ!$F$3:$F$500,$A50)=0,"",_xlfn.MAXIFS(ЗАКАЗЫ!$AK$3:$AK$500,ЗАКАЗЫ!$F$3:$F$500,$A50)))</f>
        <v/>
      </c>
    </row>
    <row r="51" customFormat="false" ht="15.75" hidden="false" customHeight="true" outlineLevel="0" collapsed="false">
      <c r="A51" s="80" t="s">
        <v>2591</v>
      </c>
      <c r="B51" s="81"/>
      <c r="C51" s="81"/>
      <c r="D51" s="81"/>
      <c r="E51" s="83"/>
      <c r="F51" s="81"/>
      <c r="G51" s="83"/>
      <c r="H51" s="83"/>
      <c r="I51" s="84" t="str">
        <f aca="false">IF(E51="","",A51&amp;"_1.jpg")</f>
        <v/>
      </c>
      <c r="J51" s="84" t="str">
        <f aca="false">IF(E51="","",A51&amp;"_2.jpg; "&amp;A51&amp;"_3.jpg")</f>
        <v/>
      </c>
      <c r="K51" s="84" t="str">
        <f aca="false">IF(E51="","",A51&amp;"_schema.jpg")</f>
        <v/>
      </c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 t="s">
        <v>96</v>
      </c>
      <c r="W51" s="81"/>
      <c r="X51" s="81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6" t="str">
        <f aca="false">IF(SUM(Y51:AJ51)=0,"",SUM(Y51:AJ51))</f>
        <v/>
      </c>
      <c r="AL51" s="84" t="str">
        <f aca="false">MID(IF(N(Y51)&gt;0,", "&amp;Y$2,"")&amp;IF(N(Z51)&gt;0,", "&amp;Z$2,"")&amp;IF(N(AA51)&gt;0,", "&amp;AA$2,"")&amp;IF(N(AB51)&gt;0,", "&amp;AB$2,"")&amp;IF(N(AC51)&gt;0,", "&amp;AC$2,"")&amp;IF(N(AD51)&gt;0,", "&amp;AD$2,"")&amp;IF(N(AE51)&gt;0,", "&amp;AE$2,"")&amp;IF(N(AF51)&gt;0,", "&amp;AF$2,"")&amp;IF(N(AG51)&gt;0,", "&amp;AG$2,"")&amp;IF(N(AH51)&gt;0,", "&amp;AH$2,"")&amp;IF(N(AI51)&gt;0,", "&amp;AI$2,"")&amp;IF(N(AJ51)&gt;0,", "&amp;AJ$2,""),3,999)</f>
        <v/>
      </c>
      <c r="AM51" s="87" t="str">
        <f aca="false">IF(E51="","",MID(IF(N(Y51)&gt;0,", "&amp;A51&amp;"-"&amp;Y$2,"")&amp;IF(N(Z51)&gt;0,", "&amp;A51&amp;"-"&amp;Z$2,"")&amp;IF(N(AA51)&gt;0,", "&amp;A51&amp;"-"&amp;AA$2,"")&amp;IF(N(AB51)&gt;0,", "&amp;A51&amp;"-"&amp;AB$2,"")&amp;IF(N(AC51)&gt;0,", "&amp;A51&amp;"-"&amp;AC$2,"")&amp;IF(N(AD51)&gt;0,", "&amp;A51&amp;"-"&amp;AD$2,"")&amp;IF(N(AE51)&gt;0,", "&amp;A51&amp;"-"&amp;AE$2,"")&amp;IF(N(AF51)&gt;0,", "&amp;A51&amp;"-"&amp;AF$2,"")&amp;IF(N(AG51)&gt;0,", "&amp;A51&amp;"-"&amp;AG$2,"")&amp;IF(N(AH51)&gt;0,", "&amp;A51&amp;"-"&amp;AH$2,"")&amp;IF(N(AI51)&gt;0,", "&amp;A51&amp;"-"&amp;AI$2,"")&amp;IF(N(AJ51)&gt;0,", "&amp;A51&amp;"-"&amp;AJ$2,""),3,999))</f>
        <v/>
      </c>
      <c r="AN51" s="81"/>
      <c r="AO51" s="88"/>
      <c r="AP51" s="89" t="str">
        <f aca="false">IF(AO51="","",ROUND(AO51/(1+Справочники!$B$13),2))</f>
        <v/>
      </c>
      <c r="AQ51" s="90" t="str">
        <f aca="false" t="array" ref="AQ51:AQ51">IF(AP51="","",AP51*INDEX(Справочники!$B$4:$B$7,MATCH("RUB",Справочники!$A$4:$A$7,0)))</f>
        <v/>
      </c>
      <c r="AR51" s="90" t="str">
        <f aca="false">IF(AQ51="","",ROUND(AQ51*(1+Справочники!$B$12),0))</f>
        <v/>
      </c>
      <c r="AS51" s="90" t="str">
        <f aca="false">IF(AR51="","",ROUND(AR51*(1-Справочники!$B$11),0))</f>
        <v/>
      </c>
      <c r="AT51" s="88"/>
      <c r="AU51" s="90" t="str">
        <f aca="false">IF(AT51="","",ROUND(AT51/(1+Справочники!$B$12),0))</f>
        <v/>
      </c>
      <c r="AV51" s="90" t="str">
        <f aca="false">IF(AT51="","",ROUND(AT51*(1-Справочники!$B$15),0))</f>
        <v/>
      </c>
      <c r="AW51" s="90" t="str">
        <f aca="false">IF(AT51="","",ROUND(AT51*(1-Справочники!$B$16),0))</f>
        <v/>
      </c>
      <c r="AX51" s="90" t="str">
        <f aca="false">IF(AT51="","",ROUND(AT51*(1-Справочники!$B$17),0))</f>
        <v/>
      </c>
      <c r="AY51" s="90" t="str">
        <f aca="false">IF(AT51="","",ROUND(AT51*(1-Справочники!$B$18),0))</f>
        <v/>
      </c>
      <c r="AZ51" s="90" t="str">
        <f aca="false">IF(AT51="","",ROUND(AT51*(1-Справочники!$B$19),0))</f>
        <v/>
      </c>
      <c r="BA51" s="81"/>
      <c r="BB51" s="81"/>
      <c r="BC51" s="81"/>
      <c r="BD51" s="81"/>
      <c r="BE51" s="91"/>
      <c r="BF51" s="81" t="s">
        <v>103</v>
      </c>
      <c r="BG51" s="89" t="n">
        <f aca="false" t="array" ref="BG51:BG51">IF(BF51="","",IFERROR(INDEX(Справочники!$B$4:$B$7,MATCH(BF51,Справочники!$A$4:$A$7,0)),""))</f>
        <v>68.5</v>
      </c>
      <c r="BH51" s="90" t="str">
        <f aca="false">IF(N(BN51)&gt;0,ROUND(SUMIF(ЗАКАЗЫ!$F$3:$F$500,$A51,ЗАКАЗЫ!$Y$3:$Y$500)/BN51,0),IF(OR(BE51="",BG51=""),"",ROUND(BE51*BG51*(1+Справочники!$B$10),0)))</f>
        <v/>
      </c>
      <c r="BI51" s="92" t="str">
        <f aca="false">IF(OR(AU51="",BH51="",AU51=0),"",(AU51-BH51)/AU51)</f>
        <v/>
      </c>
      <c r="BJ51" s="81"/>
      <c r="BK51" s="83"/>
      <c r="BL51" s="43" t="str">
        <f aca="false">IFERROR(INDEX(ЗАКАЗЫ!$N$3:$N$500,MATCH($A51,ЗАКАЗЫ!$F$3:$F$500,0)),"")</f>
        <v/>
      </c>
      <c r="BM51" s="8" t="str">
        <f aca="false">IF(BL51="","",IFERROR(VLOOKUP(BL51,'ТН ВЭД'!$A$4:$C$40,3,0),""))</f>
        <v/>
      </c>
      <c r="BN51" s="7" t="str">
        <f aca="false">IF(COUNTIF(ЗАКАЗЫ!$F$3:$F$500,$A51)=0,"",SUMIF(ЗАКАЗЫ!$F$3:$F$500,$A51,ЗАКАЗЫ!$J$3:$J$500))</f>
        <v/>
      </c>
      <c r="BO51" s="7" t="str">
        <f aca="false">IF(BN51="","",SUMIF(ЗАКАЗЫ!$F$3:$F$500,$A51,ЗАКАЗЫ!$AL$3:$AL$500))</f>
        <v/>
      </c>
      <c r="BP51" s="7" t="str">
        <f aca="false">IF(BN51="","",BN51-BO51)</f>
        <v/>
      </c>
      <c r="BQ51" s="55" t="str">
        <f aca="false">IF(BN51="","",IF(BO51&gt;=BN51,"На складе",IF(BO51&gt;0,"Частично","Ждём")))</f>
        <v/>
      </c>
      <c r="BR51" s="43"/>
      <c r="BS51" s="47" t="str">
        <f aca="false">IF(BN51="","",IF(_xlfn.MAXIFS(ЗАКАЗЫ!$AK$3:$AK$500,ЗАКАЗЫ!$F$3:$F$500,$A51)=0,"",_xlfn.MAXIFS(ЗАКАЗЫ!$AK$3:$AK$500,ЗАКАЗЫ!$F$3:$F$500,$A51)))</f>
        <v/>
      </c>
    </row>
    <row r="52" customFormat="false" ht="15.75" hidden="false" customHeight="true" outlineLevel="0" collapsed="false">
      <c r="A52" s="80" t="s">
        <v>2592</v>
      </c>
      <c r="B52" s="81"/>
      <c r="C52" s="81"/>
      <c r="D52" s="81"/>
      <c r="E52" s="83"/>
      <c r="F52" s="81"/>
      <c r="G52" s="83"/>
      <c r="H52" s="83"/>
      <c r="I52" s="84" t="str">
        <f aca="false">IF(E52="","",A52&amp;"_1.jpg")</f>
        <v/>
      </c>
      <c r="J52" s="84" t="str">
        <f aca="false">IF(E52="","",A52&amp;"_2.jpg; "&amp;A52&amp;"_3.jpg")</f>
        <v/>
      </c>
      <c r="K52" s="84" t="str">
        <f aca="false">IF(E52="","",A52&amp;"_schema.jpg")</f>
        <v/>
      </c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 t="s">
        <v>96</v>
      </c>
      <c r="W52" s="81"/>
      <c r="X52" s="81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6" t="str">
        <f aca="false">IF(SUM(Y52:AJ52)=0,"",SUM(Y52:AJ52))</f>
        <v/>
      </c>
      <c r="AL52" s="84" t="str">
        <f aca="false">MID(IF(N(Y52)&gt;0,", "&amp;Y$2,"")&amp;IF(N(Z52)&gt;0,", "&amp;Z$2,"")&amp;IF(N(AA52)&gt;0,", "&amp;AA$2,"")&amp;IF(N(AB52)&gt;0,", "&amp;AB$2,"")&amp;IF(N(AC52)&gt;0,", "&amp;AC$2,"")&amp;IF(N(AD52)&gt;0,", "&amp;AD$2,"")&amp;IF(N(AE52)&gt;0,", "&amp;AE$2,"")&amp;IF(N(AF52)&gt;0,", "&amp;AF$2,"")&amp;IF(N(AG52)&gt;0,", "&amp;AG$2,"")&amp;IF(N(AH52)&gt;0,", "&amp;AH$2,"")&amp;IF(N(AI52)&gt;0,", "&amp;AI$2,"")&amp;IF(N(AJ52)&gt;0,", "&amp;AJ$2,""),3,999)</f>
        <v/>
      </c>
      <c r="AM52" s="87" t="str">
        <f aca="false">IF(E52="","",MID(IF(N(Y52)&gt;0,", "&amp;A52&amp;"-"&amp;Y$2,"")&amp;IF(N(Z52)&gt;0,", "&amp;A52&amp;"-"&amp;Z$2,"")&amp;IF(N(AA52)&gt;0,", "&amp;A52&amp;"-"&amp;AA$2,"")&amp;IF(N(AB52)&gt;0,", "&amp;A52&amp;"-"&amp;AB$2,"")&amp;IF(N(AC52)&gt;0,", "&amp;A52&amp;"-"&amp;AC$2,"")&amp;IF(N(AD52)&gt;0,", "&amp;A52&amp;"-"&amp;AD$2,"")&amp;IF(N(AE52)&gt;0,", "&amp;A52&amp;"-"&amp;AE$2,"")&amp;IF(N(AF52)&gt;0,", "&amp;A52&amp;"-"&amp;AF$2,"")&amp;IF(N(AG52)&gt;0,", "&amp;A52&amp;"-"&amp;AG$2,"")&amp;IF(N(AH52)&gt;0,", "&amp;A52&amp;"-"&amp;AH$2,"")&amp;IF(N(AI52)&gt;0,", "&amp;A52&amp;"-"&amp;AI$2,"")&amp;IF(N(AJ52)&gt;0,", "&amp;A52&amp;"-"&amp;AJ$2,""),3,999))</f>
        <v/>
      </c>
      <c r="AN52" s="81"/>
      <c r="AO52" s="88"/>
      <c r="AP52" s="89" t="str">
        <f aca="false">IF(AO52="","",ROUND(AO52/(1+Справочники!$B$13),2))</f>
        <v/>
      </c>
      <c r="AQ52" s="90" t="str">
        <f aca="false" t="array" ref="AQ52:AQ52">IF(AP52="","",AP52*INDEX(Справочники!$B$4:$B$7,MATCH("RUB",Справочники!$A$4:$A$7,0)))</f>
        <v/>
      </c>
      <c r="AR52" s="90" t="str">
        <f aca="false">IF(AQ52="","",ROUND(AQ52*(1+Справочники!$B$12),0))</f>
        <v/>
      </c>
      <c r="AS52" s="90" t="str">
        <f aca="false">IF(AR52="","",ROUND(AR52*(1-Справочники!$B$11),0))</f>
        <v/>
      </c>
      <c r="AT52" s="88"/>
      <c r="AU52" s="90" t="str">
        <f aca="false">IF(AT52="","",ROUND(AT52/(1+Справочники!$B$12),0))</f>
        <v/>
      </c>
      <c r="AV52" s="90" t="str">
        <f aca="false">IF(AT52="","",ROUND(AT52*(1-Справочники!$B$15),0))</f>
        <v/>
      </c>
      <c r="AW52" s="90" t="str">
        <f aca="false">IF(AT52="","",ROUND(AT52*(1-Справочники!$B$16),0))</f>
        <v/>
      </c>
      <c r="AX52" s="90" t="str">
        <f aca="false">IF(AT52="","",ROUND(AT52*(1-Справочники!$B$17),0))</f>
        <v/>
      </c>
      <c r="AY52" s="90" t="str">
        <f aca="false">IF(AT52="","",ROUND(AT52*(1-Справочники!$B$18),0))</f>
        <v/>
      </c>
      <c r="AZ52" s="90" t="str">
        <f aca="false">IF(AT52="","",ROUND(AT52*(1-Справочники!$B$19),0))</f>
        <v/>
      </c>
      <c r="BA52" s="81"/>
      <c r="BB52" s="81"/>
      <c r="BC52" s="81"/>
      <c r="BD52" s="81"/>
      <c r="BE52" s="91"/>
      <c r="BF52" s="81" t="s">
        <v>103</v>
      </c>
      <c r="BG52" s="89" t="n">
        <f aca="false" t="array" ref="BG52:BG52">IF(BF52="","",IFERROR(INDEX(Справочники!$B$4:$B$7,MATCH(BF52,Справочники!$A$4:$A$7,0)),""))</f>
        <v>68.5</v>
      </c>
      <c r="BH52" s="90" t="str">
        <f aca="false">IF(N(BN52)&gt;0,ROUND(SUMIF(ЗАКАЗЫ!$F$3:$F$500,$A52,ЗАКАЗЫ!$Y$3:$Y$500)/BN52,0),IF(OR(BE52="",BG52=""),"",ROUND(BE52*BG52*(1+Справочники!$B$10),0)))</f>
        <v/>
      </c>
      <c r="BI52" s="92" t="str">
        <f aca="false">IF(OR(AU52="",BH52="",AU52=0),"",(AU52-BH52)/AU52)</f>
        <v/>
      </c>
      <c r="BJ52" s="81"/>
      <c r="BK52" s="83"/>
      <c r="BL52" s="43" t="str">
        <f aca="false">IFERROR(INDEX(ЗАКАЗЫ!$N$3:$N$500,MATCH($A52,ЗАКАЗЫ!$F$3:$F$500,0)),"")</f>
        <v/>
      </c>
      <c r="BM52" s="8" t="str">
        <f aca="false">IF(BL52="","",IFERROR(VLOOKUP(BL52,'ТН ВЭД'!$A$4:$C$40,3,0),""))</f>
        <v/>
      </c>
      <c r="BN52" s="7" t="str">
        <f aca="false">IF(COUNTIF(ЗАКАЗЫ!$F$3:$F$500,$A52)=0,"",SUMIF(ЗАКАЗЫ!$F$3:$F$500,$A52,ЗАКАЗЫ!$J$3:$J$500))</f>
        <v/>
      </c>
      <c r="BO52" s="7" t="str">
        <f aca="false">IF(BN52="","",SUMIF(ЗАКАЗЫ!$F$3:$F$500,$A52,ЗАКАЗЫ!$AL$3:$AL$500))</f>
        <v/>
      </c>
      <c r="BP52" s="7" t="str">
        <f aca="false">IF(BN52="","",BN52-BO52)</f>
        <v/>
      </c>
      <c r="BQ52" s="55" t="str">
        <f aca="false">IF(BN52="","",IF(BO52&gt;=BN52,"На складе",IF(BO52&gt;0,"Частично","Ждём")))</f>
        <v/>
      </c>
      <c r="BR52" s="43"/>
      <c r="BS52" s="47" t="str">
        <f aca="false">IF(BN52="","",IF(_xlfn.MAXIFS(ЗАКАЗЫ!$AK$3:$AK$500,ЗАКАЗЫ!$F$3:$F$500,$A52)=0,"",_xlfn.MAXIFS(ЗАКАЗЫ!$AK$3:$AK$500,ЗАКАЗЫ!$F$3:$F$500,$A52)))</f>
        <v/>
      </c>
    </row>
    <row r="53" customFormat="false" ht="15.75" hidden="false" customHeight="true" outlineLevel="0" collapsed="false">
      <c r="A53" s="80" t="s">
        <v>2593</v>
      </c>
      <c r="B53" s="81"/>
      <c r="C53" s="81"/>
      <c r="D53" s="81"/>
      <c r="E53" s="83"/>
      <c r="F53" s="81"/>
      <c r="G53" s="83"/>
      <c r="H53" s="83"/>
      <c r="I53" s="84" t="str">
        <f aca="false">IF(E53="","",A53&amp;"_1.jpg")</f>
        <v/>
      </c>
      <c r="J53" s="84" t="str">
        <f aca="false">IF(E53="","",A53&amp;"_2.jpg; "&amp;A53&amp;"_3.jpg")</f>
        <v/>
      </c>
      <c r="K53" s="84" t="str">
        <f aca="false">IF(E53="","",A53&amp;"_schema.jpg")</f>
        <v/>
      </c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 t="s">
        <v>96</v>
      </c>
      <c r="W53" s="81"/>
      <c r="X53" s="81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6" t="str">
        <f aca="false">IF(SUM(Y53:AJ53)=0,"",SUM(Y53:AJ53))</f>
        <v/>
      </c>
      <c r="AL53" s="84" t="str">
        <f aca="false">MID(IF(N(Y53)&gt;0,", "&amp;Y$2,"")&amp;IF(N(Z53)&gt;0,", "&amp;Z$2,"")&amp;IF(N(AA53)&gt;0,", "&amp;AA$2,"")&amp;IF(N(AB53)&gt;0,", "&amp;AB$2,"")&amp;IF(N(AC53)&gt;0,", "&amp;AC$2,"")&amp;IF(N(AD53)&gt;0,", "&amp;AD$2,"")&amp;IF(N(AE53)&gt;0,", "&amp;AE$2,"")&amp;IF(N(AF53)&gt;0,", "&amp;AF$2,"")&amp;IF(N(AG53)&gt;0,", "&amp;AG$2,"")&amp;IF(N(AH53)&gt;0,", "&amp;AH$2,"")&amp;IF(N(AI53)&gt;0,", "&amp;AI$2,"")&amp;IF(N(AJ53)&gt;0,", "&amp;AJ$2,""),3,999)</f>
        <v/>
      </c>
      <c r="AM53" s="87" t="str">
        <f aca="false">IF(E53="","",MID(IF(N(Y53)&gt;0,", "&amp;A53&amp;"-"&amp;Y$2,"")&amp;IF(N(Z53)&gt;0,", "&amp;A53&amp;"-"&amp;Z$2,"")&amp;IF(N(AA53)&gt;0,", "&amp;A53&amp;"-"&amp;AA$2,"")&amp;IF(N(AB53)&gt;0,", "&amp;A53&amp;"-"&amp;AB$2,"")&amp;IF(N(AC53)&gt;0,", "&amp;A53&amp;"-"&amp;AC$2,"")&amp;IF(N(AD53)&gt;0,", "&amp;A53&amp;"-"&amp;AD$2,"")&amp;IF(N(AE53)&gt;0,", "&amp;A53&amp;"-"&amp;AE$2,"")&amp;IF(N(AF53)&gt;0,", "&amp;A53&amp;"-"&amp;AF$2,"")&amp;IF(N(AG53)&gt;0,", "&amp;A53&amp;"-"&amp;AG$2,"")&amp;IF(N(AH53)&gt;0,", "&amp;A53&amp;"-"&amp;AH$2,"")&amp;IF(N(AI53)&gt;0,", "&amp;A53&amp;"-"&amp;AI$2,"")&amp;IF(N(AJ53)&gt;0,", "&amp;A53&amp;"-"&amp;AJ$2,""),3,999))</f>
        <v/>
      </c>
      <c r="AN53" s="81"/>
      <c r="AO53" s="88"/>
      <c r="AP53" s="89" t="str">
        <f aca="false">IF(AO53="","",ROUND(AO53/(1+Справочники!$B$13),2))</f>
        <v/>
      </c>
      <c r="AQ53" s="90" t="str">
        <f aca="false" t="array" ref="AQ53:AQ53">IF(AP53="","",AP53*INDEX(Справочники!$B$4:$B$7,MATCH("RUB",Справочники!$A$4:$A$7,0)))</f>
        <v/>
      </c>
      <c r="AR53" s="90" t="str">
        <f aca="false">IF(AQ53="","",ROUND(AQ53*(1+Справочники!$B$12),0))</f>
        <v/>
      </c>
      <c r="AS53" s="90" t="str">
        <f aca="false">IF(AR53="","",ROUND(AR53*(1-Справочники!$B$11),0))</f>
        <v/>
      </c>
      <c r="AT53" s="88"/>
      <c r="AU53" s="90" t="str">
        <f aca="false">IF(AT53="","",ROUND(AT53/(1+Справочники!$B$12),0))</f>
        <v/>
      </c>
      <c r="AV53" s="90" t="str">
        <f aca="false">IF(AT53="","",ROUND(AT53*(1-Справочники!$B$15),0))</f>
        <v/>
      </c>
      <c r="AW53" s="90" t="str">
        <f aca="false">IF(AT53="","",ROUND(AT53*(1-Справочники!$B$16),0))</f>
        <v/>
      </c>
      <c r="AX53" s="90" t="str">
        <f aca="false">IF(AT53="","",ROUND(AT53*(1-Справочники!$B$17),0))</f>
        <v/>
      </c>
      <c r="AY53" s="90" t="str">
        <f aca="false">IF(AT53="","",ROUND(AT53*(1-Справочники!$B$18),0))</f>
        <v/>
      </c>
      <c r="AZ53" s="90" t="str">
        <f aca="false">IF(AT53="","",ROUND(AT53*(1-Справочники!$B$19),0))</f>
        <v/>
      </c>
      <c r="BA53" s="81"/>
      <c r="BB53" s="81"/>
      <c r="BC53" s="81"/>
      <c r="BD53" s="81"/>
      <c r="BE53" s="91"/>
      <c r="BF53" s="81" t="s">
        <v>103</v>
      </c>
      <c r="BG53" s="89" t="n">
        <f aca="false" t="array" ref="BG53:BG53">IF(BF53="","",IFERROR(INDEX(Справочники!$B$4:$B$7,MATCH(BF53,Справочники!$A$4:$A$7,0)),""))</f>
        <v>68.5</v>
      </c>
      <c r="BH53" s="90" t="str">
        <f aca="false">IF(N(BN53)&gt;0,ROUND(SUMIF(ЗАКАЗЫ!$F$3:$F$500,$A53,ЗАКАЗЫ!$Y$3:$Y$500)/BN53,0),IF(OR(BE53="",BG53=""),"",ROUND(BE53*BG53*(1+Справочники!$B$10),0)))</f>
        <v/>
      </c>
      <c r="BI53" s="92" t="str">
        <f aca="false">IF(OR(AU53="",BH53="",AU53=0),"",(AU53-BH53)/AU53)</f>
        <v/>
      </c>
      <c r="BJ53" s="81"/>
      <c r="BK53" s="83"/>
      <c r="BL53" s="43" t="str">
        <f aca="false">IFERROR(INDEX(ЗАКАЗЫ!$N$3:$N$500,MATCH($A53,ЗАКАЗЫ!$F$3:$F$500,0)),"")</f>
        <v/>
      </c>
      <c r="BM53" s="8" t="str">
        <f aca="false">IF(BL53="","",IFERROR(VLOOKUP(BL53,'ТН ВЭД'!$A$4:$C$40,3,0),""))</f>
        <v/>
      </c>
      <c r="BN53" s="7" t="str">
        <f aca="false">IF(COUNTIF(ЗАКАЗЫ!$F$3:$F$500,$A53)=0,"",SUMIF(ЗАКАЗЫ!$F$3:$F$500,$A53,ЗАКАЗЫ!$J$3:$J$500))</f>
        <v/>
      </c>
      <c r="BO53" s="7" t="str">
        <f aca="false">IF(BN53="","",SUMIF(ЗАКАЗЫ!$F$3:$F$500,$A53,ЗАКАЗЫ!$AL$3:$AL$500))</f>
        <v/>
      </c>
      <c r="BP53" s="7" t="str">
        <f aca="false">IF(BN53="","",BN53-BO53)</f>
        <v/>
      </c>
      <c r="BQ53" s="55" t="str">
        <f aca="false">IF(BN53="","",IF(BO53&gt;=BN53,"На складе",IF(BO53&gt;0,"Частично","Ждём")))</f>
        <v/>
      </c>
      <c r="BR53" s="43"/>
      <c r="BS53" s="47" t="str">
        <f aca="false">IF(BN53="","",IF(_xlfn.MAXIFS(ЗАКАЗЫ!$AK$3:$AK$500,ЗАКАЗЫ!$F$3:$F$500,$A53)=0,"",_xlfn.MAXIFS(ЗАКАЗЫ!$AK$3:$AK$500,ЗАКАЗЫ!$F$3:$F$500,$A53)))</f>
        <v/>
      </c>
    </row>
    <row r="54" customFormat="false" ht="15.75" hidden="false" customHeight="true" outlineLevel="0" collapsed="false">
      <c r="A54" s="80" t="s">
        <v>2594</v>
      </c>
      <c r="B54" s="81"/>
      <c r="C54" s="81"/>
      <c r="D54" s="81"/>
      <c r="E54" s="83"/>
      <c r="F54" s="81"/>
      <c r="G54" s="83"/>
      <c r="H54" s="83"/>
      <c r="I54" s="84" t="str">
        <f aca="false">IF(E54="","",A54&amp;"_1.jpg")</f>
        <v/>
      </c>
      <c r="J54" s="84" t="str">
        <f aca="false">IF(E54="","",A54&amp;"_2.jpg; "&amp;A54&amp;"_3.jpg")</f>
        <v/>
      </c>
      <c r="K54" s="84" t="str">
        <f aca="false">IF(E54="","",A54&amp;"_schema.jpg")</f>
        <v/>
      </c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 t="s">
        <v>96</v>
      </c>
      <c r="W54" s="81"/>
      <c r="X54" s="81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6" t="str">
        <f aca="false">IF(SUM(Y54:AJ54)=0,"",SUM(Y54:AJ54))</f>
        <v/>
      </c>
      <c r="AL54" s="84" t="str">
        <f aca="false">MID(IF(N(Y54)&gt;0,", "&amp;Y$2,"")&amp;IF(N(Z54)&gt;0,", "&amp;Z$2,"")&amp;IF(N(AA54)&gt;0,", "&amp;AA$2,"")&amp;IF(N(AB54)&gt;0,", "&amp;AB$2,"")&amp;IF(N(AC54)&gt;0,", "&amp;AC$2,"")&amp;IF(N(AD54)&gt;0,", "&amp;AD$2,"")&amp;IF(N(AE54)&gt;0,", "&amp;AE$2,"")&amp;IF(N(AF54)&gt;0,", "&amp;AF$2,"")&amp;IF(N(AG54)&gt;0,", "&amp;AG$2,"")&amp;IF(N(AH54)&gt;0,", "&amp;AH$2,"")&amp;IF(N(AI54)&gt;0,", "&amp;AI$2,"")&amp;IF(N(AJ54)&gt;0,", "&amp;AJ$2,""),3,999)</f>
        <v/>
      </c>
      <c r="AM54" s="87" t="str">
        <f aca="false">IF(E54="","",MID(IF(N(Y54)&gt;0,", "&amp;A54&amp;"-"&amp;Y$2,"")&amp;IF(N(Z54)&gt;0,", "&amp;A54&amp;"-"&amp;Z$2,"")&amp;IF(N(AA54)&gt;0,", "&amp;A54&amp;"-"&amp;AA$2,"")&amp;IF(N(AB54)&gt;0,", "&amp;A54&amp;"-"&amp;AB$2,"")&amp;IF(N(AC54)&gt;0,", "&amp;A54&amp;"-"&amp;AC$2,"")&amp;IF(N(AD54)&gt;0,", "&amp;A54&amp;"-"&amp;AD$2,"")&amp;IF(N(AE54)&gt;0,", "&amp;A54&amp;"-"&amp;AE$2,"")&amp;IF(N(AF54)&gt;0,", "&amp;A54&amp;"-"&amp;AF$2,"")&amp;IF(N(AG54)&gt;0,", "&amp;A54&amp;"-"&amp;AG$2,"")&amp;IF(N(AH54)&gt;0,", "&amp;A54&amp;"-"&amp;AH$2,"")&amp;IF(N(AI54)&gt;0,", "&amp;A54&amp;"-"&amp;AI$2,"")&amp;IF(N(AJ54)&gt;0,", "&amp;A54&amp;"-"&amp;AJ$2,""),3,999))</f>
        <v/>
      </c>
      <c r="AN54" s="81"/>
      <c r="AO54" s="88"/>
      <c r="AP54" s="89" t="str">
        <f aca="false">IF(AO54="","",ROUND(AO54/(1+Справочники!$B$13),2))</f>
        <v/>
      </c>
      <c r="AQ54" s="90" t="str">
        <f aca="false" t="array" ref="AQ54:AQ54">IF(AP54="","",AP54*INDEX(Справочники!$B$4:$B$7,MATCH("RUB",Справочники!$A$4:$A$7,0)))</f>
        <v/>
      </c>
      <c r="AR54" s="90" t="str">
        <f aca="false">IF(AQ54="","",ROUND(AQ54*(1+Справочники!$B$12),0))</f>
        <v/>
      </c>
      <c r="AS54" s="90" t="str">
        <f aca="false">IF(AR54="","",ROUND(AR54*(1-Справочники!$B$11),0))</f>
        <v/>
      </c>
      <c r="AT54" s="88"/>
      <c r="AU54" s="90" t="str">
        <f aca="false">IF(AT54="","",ROUND(AT54/(1+Справочники!$B$12),0))</f>
        <v/>
      </c>
      <c r="AV54" s="90" t="str">
        <f aca="false">IF(AT54="","",ROUND(AT54*(1-Справочники!$B$15),0))</f>
        <v/>
      </c>
      <c r="AW54" s="90" t="str">
        <f aca="false">IF(AT54="","",ROUND(AT54*(1-Справочники!$B$16),0))</f>
        <v/>
      </c>
      <c r="AX54" s="90" t="str">
        <f aca="false">IF(AT54="","",ROUND(AT54*(1-Справочники!$B$17),0))</f>
        <v/>
      </c>
      <c r="AY54" s="90" t="str">
        <f aca="false">IF(AT54="","",ROUND(AT54*(1-Справочники!$B$18),0))</f>
        <v/>
      </c>
      <c r="AZ54" s="90" t="str">
        <f aca="false">IF(AT54="","",ROUND(AT54*(1-Справочники!$B$19),0))</f>
        <v/>
      </c>
      <c r="BA54" s="81"/>
      <c r="BB54" s="81"/>
      <c r="BC54" s="81"/>
      <c r="BD54" s="81"/>
      <c r="BE54" s="91"/>
      <c r="BF54" s="81" t="s">
        <v>103</v>
      </c>
      <c r="BG54" s="89" t="n">
        <f aca="false" t="array" ref="BG54:BG54">IF(BF54="","",IFERROR(INDEX(Справочники!$B$4:$B$7,MATCH(BF54,Справочники!$A$4:$A$7,0)),""))</f>
        <v>68.5</v>
      </c>
      <c r="BH54" s="90" t="str">
        <f aca="false">IF(N(BN54)&gt;0,ROUND(SUMIF(ЗАКАЗЫ!$F$3:$F$500,$A54,ЗАКАЗЫ!$Y$3:$Y$500)/BN54,0),IF(OR(BE54="",BG54=""),"",ROUND(BE54*BG54*(1+Справочники!$B$10),0)))</f>
        <v/>
      </c>
      <c r="BI54" s="92" t="str">
        <f aca="false">IF(OR(AU54="",BH54="",AU54=0),"",(AU54-BH54)/AU54)</f>
        <v/>
      </c>
      <c r="BJ54" s="81"/>
      <c r="BK54" s="83"/>
      <c r="BL54" s="43" t="str">
        <f aca="false">IFERROR(INDEX(ЗАКАЗЫ!$N$3:$N$500,MATCH($A54,ЗАКАЗЫ!$F$3:$F$500,0)),"")</f>
        <v/>
      </c>
      <c r="BM54" s="8" t="str">
        <f aca="false">IF(BL54="","",IFERROR(VLOOKUP(BL54,'ТН ВЭД'!$A$4:$C$40,3,0),""))</f>
        <v/>
      </c>
      <c r="BN54" s="7" t="str">
        <f aca="false">IF(COUNTIF(ЗАКАЗЫ!$F$3:$F$500,$A54)=0,"",SUMIF(ЗАКАЗЫ!$F$3:$F$500,$A54,ЗАКАЗЫ!$J$3:$J$500))</f>
        <v/>
      </c>
      <c r="BO54" s="7" t="str">
        <f aca="false">IF(BN54="","",SUMIF(ЗАКАЗЫ!$F$3:$F$500,$A54,ЗАКАЗЫ!$AL$3:$AL$500))</f>
        <v/>
      </c>
      <c r="BP54" s="7" t="str">
        <f aca="false">IF(BN54="","",BN54-BO54)</f>
        <v/>
      </c>
      <c r="BQ54" s="55" t="str">
        <f aca="false">IF(BN54="","",IF(BO54&gt;=BN54,"На складе",IF(BO54&gt;0,"Частично","Ждём")))</f>
        <v/>
      </c>
      <c r="BR54" s="43"/>
      <c r="BS54" s="47" t="str">
        <f aca="false">IF(BN54="","",IF(_xlfn.MAXIFS(ЗАКАЗЫ!$AK$3:$AK$500,ЗАКАЗЫ!$F$3:$F$500,$A54)=0,"",_xlfn.MAXIFS(ЗАКАЗЫ!$AK$3:$AK$500,ЗАКАЗЫ!$F$3:$F$500,$A54)))</f>
        <v/>
      </c>
    </row>
    <row r="55" customFormat="false" ht="15.75" hidden="false" customHeight="true" outlineLevel="0" collapsed="false">
      <c r="A55" s="80" t="s">
        <v>2595</v>
      </c>
      <c r="B55" s="81"/>
      <c r="C55" s="81"/>
      <c r="D55" s="81"/>
      <c r="E55" s="83"/>
      <c r="F55" s="81"/>
      <c r="G55" s="83"/>
      <c r="H55" s="83"/>
      <c r="I55" s="84" t="str">
        <f aca="false">IF(E55="","",A55&amp;"_1.jpg")</f>
        <v/>
      </c>
      <c r="J55" s="84" t="str">
        <f aca="false">IF(E55="","",A55&amp;"_2.jpg; "&amp;A55&amp;"_3.jpg")</f>
        <v/>
      </c>
      <c r="K55" s="84" t="str">
        <f aca="false">IF(E55="","",A55&amp;"_schema.jpg")</f>
        <v/>
      </c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 t="s">
        <v>96</v>
      </c>
      <c r="W55" s="81"/>
      <c r="X55" s="81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6" t="str">
        <f aca="false">IF(SUM(Y55:AJ55)=0,"",SUM(Y55:AJ55))</f>
        <v/>
      </c>
      <c r="AL55" s="84" t="str">
        <f aca="false">MID(IF(N(Y55)&gt;0,", "&amp;Y$2,"")&amp;IF(N(Z55)&gt;0,", "&amp;Z$2,"")&amp;IF(N(AA55)&gt;0,", "&amp;AA$2,"")&amp;IF(N(AB55)&gt;0,", "&amp;AB$2,"")&amp;IF(N(AC55)&gt;0,", "&amp;AC$2,"")&amp;IF(N(AD55)&gt;0,", "&amp;AD$2,"")&amp;IF(N(AE55)&gt;0,", "&amp;AE$2,"")&amp;IF(N(AF55)&gt;0,", "&amp;AF$2,"")&amp;IF(N(AG55)&gt;0,", "&amp;AG$2,"")&amp;IF(N(AH55)&gt;0,", "&amp;AH$2,"")&amp;IF(N(AI55)&gt;0,", "&amp;AI$2,"")&amp;IF(N(AJ55)&gt;0,", "&amp;AJ$2,""),3,999)</f>
        <v/>
      </c>
      <c r="AM55" s="87" t="str">
        <f aca="false">IF(E55="","",MID(IF(N(Y55)&gt;0,", "&amp;A55&amp;"-"&amp;Y$2,"")&amp;IF(N(Z55)&gt;0,", "&amp;A55&amp;"-"&amp;Z$2,"")&amp;IF(N(AA55)&gt;0,", "&amp;A55&amp;"-"&amp;AA$2,"")&amp;IF(N(AB55)&gt;0,", "&amp;A55&amp;"-"&amp;AB$2,"")&amp;IF(N(AC55)&gt;0,", "&amp;A55&amp;"-"&amp;AC$2,"")&amp;IF(N(AD55)&gt;0,", "&amp;A55&amp;"-"&amp;AD$2,"")&amp;IF(N(AE55)&gt;0,", "&amp;A55&amp;"-"&amp;AE$2,"")&amp;IF(N(AF55)&gt;0,", "&amp;A55&amp;"-"&amp;AF$2,"")&amp;IF(N(AG55)&gt;0,", "&amp;A55&amp;"-"&amp;AG$2,"")&amp;IF(N(AH55)&gt;0,", "&amp;A55&amp;"-"&amp;AH$2,"")&amp;IF(N(AI55)&gt;0,", "&amp;A55&amp;"-"&amp;AI$2,"")&amp;IF(N(AJ55)&gt;0,", "&amp;A55&amp;"-"&amp;AJ$2,""),3,999))</f>
        <v/>
      </c>
      <c r="AN55" s="81"/>
      <c r="AO55" s="88"/>
      <c r="AP55" s="89" t="str">
        <f aca="false">IF(AO55="","",ROUND(AO55/(1+Справочники!$B$13),2))</f>
        <v/>
      </c>
      <c r="AQ55" s="90" t="str">
        <f aca="false" t="array" ref="AQ55:AQ55">IF(AP55="","",AP55*INDEX(Справочники!$B$4:$B$7,MATCH("RUB",Справочники!$A$4:$A$7,0)))</f>
        <v/>
      </c>
      <c r="AR55" s="90" t="str">
        <f aca="false">IF(AQ55="","",ROUND(AQ55*(1+Справочники!$B$12),0))</f>
        <v/>
      </c>
      <c r="AS55" s="90" t="str">
        <f aca="false">IF(AR55="","",ROUND(AR55*(1-Справочники!$B$11),0))</f>
        <v/>
      </c>
      <c r="AT55" s="88"/>
      <c r="AU55" s="90" t="str">
        <f aca="false">IF(AT55="","",ROUND(AT55/(1+Справочники!$B$12),0))</f>
        <v/>
      </c>
      <c r="AV55" s="90" t="str">
        <f aca="false">IF(AT55="","",ROUND(AT55*(1-Справочники!$B$15),0))</f>
        <v/>
      </c>
      <c r="AW55" s="90" t="str">
        <f aca="false">IF(AT55="","",ROUND(AT55*(1-Справочники!$B$16),0))</f>
        <v/>
      </c>
      <c r="AX55" s="90" t="str">
        <f aca="false">IF(AT55="","",ROUND(AT55*(1-Справочники!$B$17),0))</f>
        <v/>
      </c>
      <c r="AY55" s="90" t="str">
        <f aca="false">IF(AT55="","",ROUND(AT55*(1-Справочники!$B$18),0))</f>
        <v/>
      </c>
      <c r="AZ55" s="90" t="str">
        <f aca="false">IF(AT55="","",ROUND(AT55*(1-Справочники!$B$19),0))</f>
        <v/>
      </c>
      <c r="BA55" s="81"/>
      <c r="BB55" s="81"/>
      <c r="BC55" s="81"/>
      <c r="BD55" s="81"/>
      <c r="BE55" s="91"/>
      <c r="BF55" s="81" t="s">
        <v>103</v>
      </c>
      <c r="BG55" s="89" t="n">
        <f aca="false" t="array" ref="BG55:BG55">IF(BF55="","",IFERROR(INDEX(Справочники!$B$4:$B$7,MATCH(BF55,Справочники!$A$4:$A$7,0)),""))</f>
        <v>68.5</v>
      </c>
      <c r="BH55" s="90" t="str">
        <f aca="false">IF(N(BN55)&gt;0,ROUND(SUMIF(ЗАКАЗЫ!$F$3:$F$500,$A55,ЗАКАЗЫ!$Y$3:$Y$500)/BN55,0),IF(OR(BE55="",BG55=""),"",ROUND(BE55*BG55*(1+Справочники!$B$10),0)))</f>
        <v/>
      </c>
      <c r="BI55" s="92" t="str">
        <f aca="false">IF(OR(AU55="",BH55="",AU55=0),"",(AU55-BH55)/AU55)</f>
        <v/>
      </c>
      <c r="BJ55" s="81"/>
      <c r="BK55" s="83"/>
      <c r="BL55" s="43" t="str">
        <f aca="false">IFERROR(INDEX(ЗАКАЗЫ!$N$3:$N$500,MATCH($A55,ЗАКАЗЫ!$F$3:$F$500,0)),"")</f>
        <v/>
      </c>
      <c r="BM55" s="8" t="str">
        <f aca="false">IF(BL55="","",IFERROR(VLOOKUP(BL55,'ТН ВЭД'!$A$4:$C$40,3,0),""))</f>
        <v/>
      </c>
      <c r="BN55" s="7" t="str">
        <f aca="false">IF(COUNTIF(ЗАКАЗЫ!$F$3:$F$500,$A55)=0,"",SUMIF(ЗАКАЗЫ!$F$3:$F$500,$A55,ЗАКАЗЫ!$J$3:$J$500))</f>
        <v/>
      </c>
      <c r="BO55" s="7" t="str">
        <f aca="false">IF(BN55="","",SUMIF(ЗАКАЗЫ!$F$3:$F$500,$A55,ЗАКАЗЫ!$AL$3:$AL$500))</f>
        <v/>
      </c>
      <c r="BP55" s="7" t="str">
        <f aca="false">IF(BN55="","",BN55-BO55)</f>
        <v/>
      </c>
      <c r="BQ55" s="55" t="str">
        <f aca="false">IF(BN55="","",IF(BO55&gt;=BN55,"На складе",IF(BO55&gt;0,"Частично","Ждём")))</f>
        <v/>
      </c>
      <c r="BR55" s="43"/>
      <c r="BS55" s="47" t="str">
        <f aca="false">IF(BN55="","",IF(_xlfn.MAXIFS(ЗАКАЗЫ!$AK$3:$AK$500,ЗАКАЗЫ!$F$3:$F$500,$A55)=0,"",_xlfn.MAXIFS(ЗАКАЗЫ!$AK$3:$AK$500,ЗАКАЗЫ!$F$3:$F$500,$A55)))</f>
        <v/>
      </c>
    </row>
    <row r="56" customFormat="false" ht="15.75" hidden="false" customHeight="true" outlineLevel="0" collapsed="false">
      <c r="A56" s="80" t="s">
        <v>2596</v>
      </c>
      <c r="B56" s="81"/>
      <c r="C56" s="81"/>
      <c r="D56" s="81"/>
      <c r="E56" s="83"/>
      <c r="F56" s="81"/>
      <c r="G56" s="83"/>
      <c r="H56" s="83"/>
      <c r="I56" s="84" t="str">
        <f aca="false">IF(E56="","",A56&amp;"_1.jpg")</f>
        <v/>
      </c>
      <c r="J56" s="84" t="str">
        <f aca="false">IF(E56="","",A56&amp;"_2.jpg; "&amp;A56&amp;"_3.jpg")</f>
        <v/>
      </c>
      <c r="K56" s="84" t="str">
        <f aca="false">IF(E56="","",A56&amp;"_schema.jpg")</f>
        <v/>
      </c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 t="s">
        <v>96</v>
      </c>
      <c r="W56" s="81"/>
      <c r="X56" s="81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6" t="str">
        <f aca="false">IF(SUM(Y56:AJ56)=0,"",SUM(Y56:AJ56))</f>
        <v/>
      </c>
      <c r="AL56" s="84" t="str">
        <f aca="false">MID(IF(N(Y56)&gt;0,", "&amp;Y$2,"")&amp;IF(N(Z56)&gt;0,", "&amp;Z$2,"")&amp;IF(N(AA56)&gt;0,", "&amp;AA$2,"")&amp;IF(N(AB56)&gt;0,", "&amp;AB$2,"")&amp;IF(N(AC56)&gt;0,", "&amp;AC$2,"")&amp;IF(N(AD56)&gt;0,", "&amp;AD$2,"")&amp;IF(N(AE56)&gt;0,", "&amp;AE$2,"")&amp;IF(N(AF56)&gt;0,", "&amp;AF$2,"")&amp;IF(N(AG56)&gt;0,", "&amp;AG$2,"")&amp;IF(N(AH56)&gt;0,", "&amp;AH$2,"")&amp;IF(N(AI56)&gt;0,", "&amp;AI$2,"")&amp;IF(N(AJ56)&gt;0,", "&amp;AJ$2,""),3,999)</f>
        <v/>
      </c>
      <c r="AM56" s="87" t="str">
        <f aca="false">IF(E56="","",MID(IF(N(Y56)&gt;0,", "&amp;A56&amp;"-"&amp;Y$2,"")&amp;IF(N(Z56)&gt;0,", "&amp;A56&amp;"-"&amp;Z$2,"")&amp;IF(N(AA56)&gt;0,", "&amp;A56&amp;"-"&amp;AA$2,"")&amp;IF(N(AB56)&gt;0,", "&amp;A56&amp;"-"&amp;AB$2,"")&amp;IF(N(AC56)&gt;0,", "&amp;A56&amp;"-"&amp;AC$2,"")&amp;IF(N(AD56)&gt;0,", "&amp;A56&amp;"-"&amp;AD$2,"")&amp;IF(N(AE56)&gt;0,", "&amp;A56&amp;"-"&amp;AE$2,"")&amp;IF(N(AF56)&gt;0,", "&amp;A56&amp;"-"&amp;AF$2,"")&amp;IF(N(AG56)&gt;0,", "&amp;A56&amp;"-"&amp;AG$2,"")&amp;IF(N(AH56)&gt;0,", "&amp;A56&amp;"-"&amp;AH$2,"")&amp;IF(N(AI56)&gt;0,", "&amp;A56&amp;"-"&amp;AI$2,"")&amp;IF(N(AJ56)&gt;0,", "&amp;A56&amp;"-"&amp;AJ$2,""),3,999))</f>
        <v/>
      </c>
      <c r="AN56" s="81"/>
      <c r="AO56" s="88"/>
      <c r="AP56" s="89" t="str">
        <f aca="false">IF(AO56="","",ROUND(AO56/(1+Справочники!$B$13),2))</f>
        <v/>
      </c>
      <c r="AQ56" s="90" t="str">
        <f aca="false" t="array" ref="AQ56:AQ56">IF(AP56="","",AP56*INDEX(Справочники!$B$4:$B$7,MATCH("RUB",Справочники!$A$4:$A$7,0)))</f>
        <v/>
      </c>
      <c r="AR56" s="90" t="str">
        <f aca="false">IF(AQ56="","",ROUND(AQ56*(1+Справочники!$B$12),0))</f>
        <v/>
      </c>
      <c r="AS56" s="90" t="str">
        <f aca="false">IF(AR56="","",ROUND(AR56*(1-Справочники!$B$11),0))</f>
        <v/>
      </c>
      <c r="AT56" s="88"/>
      <c r="AU56" s="90" t="str">
        <f aca="false">IF(AT56="","",ROUND(AT56/(1+Справочники!$B$12),0))</f>
        <v/>
      </c>
      <c r="AV56" s="90" t="str">
        <f aca="false">IF(AT56="","",ROUND(AT56*(1-Справочники!$B$15),0))</f>
        <v/>
      </c>
      <c r="AW56" s="90" t="str">
        <f aca="false">IF(AT56="","",ROUND(AT56*(1-Справочники!$B$16),0))</f>
        <v/>
      </c>
      <c r="AX56" s="90" t="str">
        <f aca="false">IF(AT56="","",ROUND(AT56*(1-Справочники!$B$17),0))</f>
        <v/>
      </c>
      <c r="AY56" s="90" t="str">
        <f aca="false">IF(AT56="","",ROUND(AT56*(1-Справочники!$B$18),0))</f>
        <v/>
      </c>
      <c r="AZ56" s="90" t="str">
        <f aca="false">IF(AT56="","",ROUND(AT56*(1-Справочники!$B$19),0))</f>
        <v/>
      </c>
      <c r="BA56" s="81"/>
      <c r="BB56" s="81"/>
      <c r="BC56" s="81"/>
      <c r="BD56" s="81"/>
      <c r="BE56" s="91"/>
      <c r="BF56" s="81" t="s">
        <v>103</v>
      </c>
      <c r="BG56" s="89" t="n">
        <f aca="false" t="array" ref="BG56:BG56">IF(BF56="","",IFERROR(INDEX(Справочники!$B$4:$B$7,MATCH(BF56,Справочники!$A$4:$A$7,0)),""))</f>
        <v>68.5</v>
      </c>
      <c r="BH56" s="90" t="str">
        <f aca="false">IF(N(BN56)&gt;0,ROUND(SUMIF(ЗАКАЗЫ!$F$3:$F$500,$A56,ЗАКАЗЫ!$Y$3:$Y$500)/BN56,0),IF(OR(BE56="",BG56=""),"",ROUND(BE56*BG56*(1+Справочники!$B$10),0)))</f>
        <v/>
      </c>
      <c r="BI56" s="92" t="str">
        <f aca="false">IF(OR(AU56="",BH56="",AU56=0),"",(AU56-BH56)/AU56)</f>
        <v/>
      </c>
      <c r="BJ56" s="81"/>
      <c r="BK56" s="83"/>
      <c r="BL56" s="43" t="str">
        <f aca="false">IFERROR(INDEX(ЗАКАЗЫ!$N$3:$N$500,MATCH($A56,ЗАКАЗЫ!$F$3:$F$500,0)),"")</f>
        <v/>
      </c>
      <c r="BM56" s="8" t="str">
        <f aca="false">IF(BL56="","",IFERROR(VLOOKUP(BL56,'ТН ВЭД'!$A$4:$C$40,3,0),""))</f>
        <v/>
      </c>
      <c r="BN56" s="7" t="str">
        <f aca="false">IF(COUNTIF(ЗАКАЗЫ!$F$3:$F$500,$A56)=0,"",SUMIF(ЗАКАЗЫ!$F$3:$F$500,$A56,ЗАКАЗЫ!$J$3:$J$500))</f>
        <v/>
      </c>
      <c r="BO56" s="7" t="str">
        <f aca="false">IF(BN56="","",SUMIF(ЗАКАЗЫ!$F$3:$F$500,$A56,ЗАКАЗЫ!$AL$3:$AL$500))</f>
        <v/>
      </c>
      <c r="BP56" s="7" t="str">
        <f aca="false">IF(BN56="","",BN56-BO56)</f>
        <v/>
      </c>
      <c r="BQ56" s="55" t="str">
        <f aca="false">IF(BN56="","",IF(BO56&gt;=BN56,"На складе",IF(BO56&gt;0,"Частично","Ждём")))</f>
        <v/>
      </c>
      <c r="BR56" s="43"/>
      <c r="BS56" s="47" t="str">
        <f aca="false">IF(BN56="","",IF(_xlfn.MAXIFS(ЗАКАЗЫ!$AK$3:$AK$500,ЗАКАЗЫ!$F$3:$F$500,$A56)=0,"",_xlfn.MAXIFS(ЗАКАЗЫ!$AK$3:$AK$500,ЗАКАЗЫ!$F$3:$F$500,$A56)))</f>
        <v/>
      </c>
    </row>
    <row r="57" customFormat="false" ht="15.75" hidden="false" customHeight="true" outlineLevel="0" collapsed="false">
      <c r="A57" s="80" t="s">
        <v>2597</v>
      </c>
      <c r="B57" s="81"/>
      <c r="C57" s="81"/>
      <c r="D57" s="81"/>
      <c r="E57" s="83"/>
      <c r="F57" s="81"/>
      <c r="G57" s="83"/>
      <c r="H57" s="83"/>
      <c r="I57" s="84" t="str">
        <f aca="false">IF(E57="","",A57&amp;"_1.jpg")</f>
        <v/>
      </c>
      <c r="J57" s="84" t="str">
        <f aca="false">IF(E57="","",A57&amp;"_2.jpg; "&amp;A57&amp;"_3.jpg")</f>
        <v/>
      </c>
      <c r="K57" s="84" t="str">
        <f aca="false">IF(E57="","",A57&amp;"_schema.jpg")</f>
        <v/>
      </c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 t="s">
        <v>96</v>
      </c>
      <c r="W57" s="81"/>
      <c r="X57" s="81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6" t="str">
        <f aca="false">IF(SUM(Y57:AJ57)=0,"",SUM(Y57:AJ57))</f>
        <v/>
      </c>
      <c r="AL57" s="84" t="str">
        <f aca="false">MID(IF(N(Y57)&gt;0,", "&amp;Y$2,"")&amp;IF(N(Z57)&gt;0,", "&amp;Z$2,"")&amp;IF(N(AA57)&gt;0,", "&amp;AA$2,"")&amp;IF(N(AB57)&gt;0,", "&amp;AB$2,"")&amp;IF(N(AC57)&gt;0,", "&amp;AC$2,"")&amp;IF(N(AD57)&gt;0,", "&amp;AD$2,"")&amp;IF(N(AE57)&gt;0,", "&amp;AE$2,"")&amp;IF(N(AF57)&gt;0,", "&amp;AF$2,"")&amp;IF(N(AG57)&gt;0,", "&amp;AG$2,"")&amp;IF(N(AH57)&gt;0,", "&amp;AH$2,"")&amp;IF(N(AI57)&gt;0,", "&amp;AI$2,"")&amp;IF(N(AJ57)&gt;0,", "&amp;AJ$2,""),3,999)</f>
        <v/>
      </c>
      <c r="AM57" s="87" t="str">
        <f aca="false">IF(E57="","",MID(IF(N(Y57)&gt;0,", "&amp;A57&amp;"-"&amp;Y$2,"")&amp;IF(N(Z57)&gt;0,", "&amp;A57&amp;"-"&amp;Z$2,"")&amp;IF(N(AA57)&gt;0,", "&amp;A57&amp;"-"&amp;AA$2,"")&amp;IF(N(AB57)&gt;0,", "&amp;A57&amp;"-"&amp;AB$2,"")&amp;IF(N(AC57)&gt;0,", "&amp;A57&amp;"-"&amp;AC$2,"")&amp;IF(N(AD57)&gt;0,", "&amp;A57&amp;"-"&amp;AD$2,"")&amp;IF(N(AE57)&gt;0,", "&amp;A57&amp;"-"&amp;AE$2,"")&amp;IF(N(AF57)&gt;0,", "&amp;A57&amp;"-"&amp;AF$2,"")&amp;IF(N(AG57)&gt;0,", "&amp;A57&amp;"-"&amp;AG$2,"")&amp;IF(N(AH57)&gt;0,", "&amp;A57&amp;"-"&amp;AH$2,"")&amp;IF(N(AI57)&gt;0,", "&amp;A57&amp;"-"&amp;AI$2,"")&amp;IF(N(AJ57)&gt;0,", "&amp;A57&amp;"-"&amp;AJ$2,""),3,999))</f>
        <v/>
      </c>
      <c r="AN57" s="81"/>
      <c r="AO57" s="88"/>
      <c r="AP57" s="89" t="str">
        <f aca="false">IF(AO57="","",ROUND(AO57/(1+Справочники!$B$13),2))</f>
        <v/>
      </c>
      <c r="AQ57" s="90" t="str">
        <f aca="false" t="array" ref="AQ57:AQ57">IF(AP57="","",AP57*INDEX(Справочники!$B$4:$B$7,MATCH("RUB",Справочники!$A$4:$A$7,0)))</f>
        <v/>
      </c>
      <c r="AR57" s="90" t="str">
        <f aca="false">IF(AQ57="","",ROUND(AQ57*(1+Справочники!$B$12),0))</f>
        <v/>
      </c>
      <c r="AS57" s="90" t="str">
        <f aca="false">IF(AR57="","",ROUND(AR57*(1-Справочники!$B$11),0))</f>
        <v/>
      </c>
      <c r="AT57" s="88"/>
      <c r="AU57" s="90" t="str">
        <f aca="false">IF(AT57="","",ROUND(AT57/(1+Справочники!$B$12),0))</f>
        <v/>
      </c>
      <c r="AV57" s="90" t="str">
        <f aca="false">IF(AT57="","",ROUND(AT57*(1-Справочники!$B$15),0))</f>
        <v/>
      </c>
      <c r="AW57" s="90" t="str">
        <f aca="false">IF(AT57="","",ROUND(AT57*(1-Справочники!$B$16),0))</f>
        <v/>
      </c>
      <c r="AX57" s="90" t="str">
        <f aca="false">IF(AT57="","",ROUND(AT57*(1-Справочники!$B$17),0))</f>
        <v/>
      </c>
      <c r="AY57" s="90" t="str">
        <f aca="false">IF(AT57="","",ROUND(AT57*(1-Справочники!$B$18),0))</f>
        <v/>
      </c>
      <c r="AZ57" s="90" t="str">
        <f aca="false">IF(AT57="","",ROUND(AT57*(1-Справочники!$B$19),0))</f>
        <v/>
      </c>
      <c r="BA57" s="81"/>
      <c r="BB57" s="81"/>
      <c r="BC57" s="81"/>
      <c r="BD57" s="81"/>
      <c r="BE57" s="91"/>
      <c r="BF57" s="81" t="s">
        <v>103</v>
      </c>
      <c r="BG57" s="89" t="n">
        <f aca="false" t="array" ref="BG57:BG57">IF(BF57="","",IFERROR(INDEX(Справочники!$B$4:$B$7,MATCH(BF57,Справочники!$A$4:$A$7,0)),""))</f>
        <v>68.5</v>
      </c>
      <c r="BH57" s="90" t="str">
        <f aca="false">IF(N(BN57)&gt;0,ROUND(SUMIF(ЗАКАЗЫ!$F$3:$F$500,$A57,ЗАКАЗЫ!$Y$3:$Y$500)/BN57,0),IF(OR(BE57="",BG57=""),"",ROUND(BE57*BG57*(1+Справочники!$B$10),0)))</f>
        <v/>
      </c>
      <c r="BI57" s="92" t="str">
        <f aca="false">IF(OR(AU57="",BH57="",AU57=0),"",(AU57-BH57)/AU57)</f>
        <v/>
      </c>
      <c r="BJ57" s="81"/>
      <c r="BK57" s="83"/>
      <c r="BL57" s="43" t="str">
        <f aca="false">IFERROR(INDEX(ЗАКАЗЫ!$N$3:$N$500,MATCH($A57,ЗАКАЗЫ!$F$3:$F$500,0)),"")</f>
        <v/>
      </c>
      <c r="BM57" s="8" t="str">
        <f aca="false">IF(BL57="","",IFERROR(VLOOKUP(BL57,'ТН ВЭД'!$A$4:$C$40,3,0),""))</f>
        <v/>
      </c>
      <c r="BN57" s="7" t="str">
        <f aca="false">IF(COUNTIF(ЗАКАЗЫ!$F$3:$F$500,$A57)=0,"",SUMIF(ЗАКАЗЫ!$F$3:$F$500,$A57,ЗАКАЗЫ!$J$3:$J$500))</f>
        <v/>
      </c>
      <c r="BO57" s="7" t="str">
        <f aca="false">IF(BN57="","",SUMIF(ЗАКАЗЫ!$F$3:$F$500,$A57,ЗАКАЗЫ!$AL$3:$AL$500))</f>
        <v/>
      </c>
      <c r="BP57" s="7" t="str">
        <f aca="false">IF(BN57="","",BN57-BO57)</f>
        <v/>
      </c>
      <c r="BQ57" s="55" t="str">
        <f aca="false">IF(BN57="","",IF(BO57&gt;=BN57,"На складе",IF(BO57&gt;0,"Частично","Ждём")))</f>
        <v/>
      </c>
      <c r="BR57" s="43"/>
      <c r="BS57" s="47" t="str">
        <f aca="false">IF(BN57="","",IF(_xlfn.MAXIFS(ЗАКАЗЫ!$AK$3:$AK$500,ЗАКАЗЫ!$F$3:$F$500,$A57)=0,"",_xlfn.MAXIFS(ЗАКАЗЫ!$AK$3:$AK$500,ЗАКАЗЫ!$F$3:$F$500,$A57)))</f>
        <v/>
      </c>
    </row>
    <row r="58" customFormat="false" ht="15.75" hidden="false" customHeight="true" outlineLevel="0" collapsed="false">
      <c r="A58" s="80" t="s">
        <v>2598</v>
      </c>
      <c r="B58" s="81"/>
      <c r="C58" s="81"/>
      <c r="D58" s="81"/>
      <c r="E58" s="83"/>
      <c r="F58" s="81"/>
      <c r="G58" s="83"/>
      <c r="H58" s="83"/>
      <c r="I58" s="84" t="str">
        <f aca="false">IF(E58="","",A58&amp;"_1.jpg")</f>
        <v/>
      </c>
      <c r="J58" s="84" t="str">
        <f aca="false">IF(E58="","",A58&amp;"_2.jpg; "&amp;A58&amp;"_3.jpg")</f>
        <v/>
      </c>
      <c r="K58" s="84" t="str">
        <f aca="false">IF(E58="","",A58&amp;"_schema.jpg")</f>
        <v/>
      </c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 t="s">
        <v>96</v>
      </c>
      <c r="W58" s="81"/>
      <c r="X58" s="81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6" t="str">
        <f aca="false">IF(SUM(Y58:AJ58)=0,"",SUM(Y58:AJ58))</f>
        <v/>
      </c>
      <c r="AL58" s="84" t="str">
        <f aca="false">MID(IF(N(Y58)&gt;0,", "&amp;Y$2,"")&amp;IF(N(Z58)&gt;0,", "&amp;Z$2,"")&amp;IF(N(AA58)&gt;0,", "&amp;AA$2,"")&amp;IF(N(AB58)&gt;0,", "&amp;AB$2,"")&amp;IF(N(AC58)&gt;0,", "&amp;AC$2,"")&amp;IF(N(AD58)&gt;0,", "&amp;AD$2,"")&amp;IF(N(AE58)&gt;0,", "&amp;AE$2,"")&amp;IF(N(AF58)&gt;0,", "&amp;AF$2,"")&amp;IF(N(AG58)&gt;0,", "&amp;AG$2,"")&amp;IF(N(AH58)&gt;0,", "&amp;AH$2,"")&amp;IF(N(AI58)&gt;0,", "&amp;AI$2,"")&amp;IF(N(AJ58)&gt;0,", "&amp;AJ$2,""),3,999)</f>
        <v/>
      </c>
      <c r="AM58" s="87" t="str">
        <f aca="false">IF(E58="","",MID(IF(N(Y58)&gt;0,", "&amp;A58&amp;"-"&amp;Y$2,"")&amp;IF(N(Z58)&gt;0,", "&amp;A58&amp;"-"&amp;Z$2,"")&amp;IF(N(AA58)&gt;0,", "&amp;A58&amp;"-"&amp;AA$2,"")&amp;IF(N(AB58)&gt;0,", "&amp;A58&amp;"-"&amp;AB$2,"")&amp;IF(N(AC58)&gt;0,", "&amp;A58&amp;"-"&amp;AC$2,"")&amp;IF(N(AD58)&gt;0,", "&amp;A58&amp;"-"&amp;AD$2,"")&amp;IF(N(AE58)&gt;0,", "&amp;A58&amp;"-"&amp;AE$2,"")&amp;IF(N(AF58)&gt;0,", "&amp;A58&amp;"-"&amp;AF$2,"")&amp;IF(N(AG58)&gt;0,", "&amp;A58&amp;"-"&amp;AG$2,"")&amp;IF(N(AH58)&gt;0,", "&amp;A58&amp;"-"&amp;AH$2,"")&amp;IF(N(AI58)&gt;0,", "&amp;A58&amp;"-"&amp;AI$2,"")&amp;IF(N(AJ58)&gt;0,", "&amp;A58&amp;"-"&amp;AJ$2,""),3,999))</f>
        <v/>
      </c>
      <c r="AN58" s="81"/>
      <c r="AO58" s="88"/>
      <c r="AP58" s="89" t="str">
        <f aca="false">IF(AO58="","",ROUND(AO58/(1+Справочники!$B$13),2))</f>
        <v/>
      </c>
      <c r="AQ58" s="90" t="str">
        <f aca="false" t="array" ref="AQ58:AQ58">IF(AP58="","",AP58*INDEX(Справочники!$B$4:$B$7,MATCH("RUB",Справочники!$A$4:$A$7,0)))</f>
        <v/>
      </c>
      <c r="AR58" s="90" t="str">
        <f aca="false">IF(AQ58="","",ROUND(AQ58*(1+Справочники!$B$12),0))</f>
        <v/>
      </c>
      <c r="AS58" s="90" t="str">
        <f aca="false">IF(AR58="","",ROUND(AR58*(1-Справочники!$B$11),0))</f>
        <v/>
      </c>
      <c r="AT58" s="88"/>
      <c r="AU58" s="90" t="str">
        <f aca="false">IF(AT58="","",ROUND(AT58/(1+Справочники!$B$12),0))</f>
        <v/>
      </c>
      <c r="AV58" s="90" t="str">
        <f aca="false">IF(AT58="","",ROUND(AT58*(1-Справочники!$B$15),0))</f>
        <v/>
      </c>
      <c r="AW58" s="90" t="str">
        <f aca="false">IF(AT58="","",ROUND(AT58*(1-Справочники!$B$16),0))</f>
        <v/>
      </c>
      <c r="AX58" s="90" t="str">
        <f aca="false">IF(AT58="","",ROUND(AT58*(1-Справочники!$B$17),0))</f>
        <v/>
      </c>
      <c r="AY58" s="90" t="str">
        <f aca="false">IF(AT58="","",ROUND(AT58*(1-Справочники!$B$18),0))</f>
        <v/>
      </c>
      <c r="AZ58" s="90" t="str">
        <f aca="false">IF(AT58="","",ROUND(AT58*(1-Справочники!$B$19),0))</f>
        <v/>
      </c>
      <c r="BA58" s="81"/>
      <c r="BB58" s="81"/>
      <c r="BC58" s="81"/>
      <c r="BD58" s="81"/>
      <c r="BE58" s="91"/>
      <c r="BF58" s="81" t="s">
        <v>103</v>
      </c>
      <c r="BG58" s="89" t="n">
        <f aca="false" t="array" ref="BG58:BG58">IF(BF58="","",IFERROR(INDEX(Справочники!$B$4:$B$7,MATCH(BF58,Справочники!$A$4:$A$7,0)),""))</f>
        <v>68.5</v>
      </c>
      <c r="BH58" s="90" t="str">
        <f aca="false">IF(N(BN58)&gt;0,ROUND(SUMIF(ЗАКАЗЫ!$F$3:$F$500,$A58,ЗАКАЗЫ!$Y$3:$Y$500)/BN58,0),IF(OR(BE58="",BG58=""),"",ROUND(BE58*BG58*(1+Справочники!$B$10),0)))</f>
        <v/>
      </c>
      <c r="BI58" s="92" t="str">
        <f aca="false">IF(OR(AU58="",BH58="",AU58=0),"",(AU58-BH58)/AU58)</f>
        <v/>
      </c>
      <c r="BJ58" s="81"/>
      <c r="BK58" s="83"/>
      <c r="BL58" s="43" t="str">
        <f aca="false">IFERROR(INDEX(ЗАКАЗЫ!$N$3:$N$500,MATCH($A58,ЗАКАЗЫ!$F$3:$F$500,0)),"")</f>
        <v/>
      </c>
      <c r="BM58" s="8" t="str">
        <f aca="false">IF(BL58="","",IFERROR(VLOOKUP(BL58,'ТН ВЭД'!$A$4:$C$40,3,0),""))</f>
        <v/>
      </c>
      <c r="BN58" s="7" t="str">
        <f aca="false">IF(COUNTIF(ЗАКАЗЫ!$F$3:$F$500,$A58)=0,"",SUMIF(ЗАКАЗЫ!$F$3:$F$500,$A58,ЗАКАЗЫ!$J$3:$J$500))</f>
        <v/>
      </c>
      <c r="BO58" s="7" t="str">
        <f aca="false">IF(BN58="","",SUMIF(ЗАКАЗЫ!$F$3:$F$500,$A58,ЗАКАЗЫ!$AL$3:$AL$500))</f>
        <v/>
      </c>
      <c r="BP58" s="7" t="str">
        <f aca="false">IF(BN58="","",BN58-BO58)</f>
        <v/>
      </c>
      <c r="BQ58" s="55" t="str">
        <f aca="false">IF(BN58="","",IF(BO58&gt;=BN58,"На складе",IF(BO58&gt;0,"Частично","Ждём")))</f>
        <v/>
      </c>
      <c r="BR58" s="43"/>
      <c r="BS58" s="47" t="str">
        <f aca="false">IF(BN58="","",IF(_xlfn.MAXIFS(ЗАКАЗЫ!$AK$3:$AK$500,ЗАКАЗЫ!$F$3:$F$500,$A58)=0,"",_xlfn.MAXIFS(ЗАКАЗЫ!$AK$3:$AK$500,ЗАКАЗЫ!$F$3:$F$500,$A58)))</f>
        <v/>
      </c>
    </row>
    <row r="59" customFormat="false" ht="15.75" hidden="false" customHeight="true" outlineLevel="0" collapsed="false">
      <c r="A59" s="80" t="s">
        <v>2599</v>
      </c>
      <c r="B59" s="81"/>
      <c r="C59" s="81"/>
      <c r="D59" s="81"/>
      <c r="E59" s="83"/>
      <c r="F59" s="81"/>
      <c r="G59" s="83"/>
      <c r="H59" s="83"/>
      <c r="I59" s="84" t="str">
        <f aca="false">IF(E59="","",A59&amp;"_1.jpg")</f>
        <v/>
      </c>
      <c r="J59" s="84" t="str">
        <f aca="false">IF(E59="","",A59&amp;"_2.jpg; "&amp;A59&amp;"_3.jpg")</f>
        <v/>
      </c>
      <c r="K59" s="84" t="str">
        <f aca="false">IF(E59="","",A59&amp;"_schema.jpg")</f>
        <v/>
      </c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 t="s">
        <v>96</v>
      </c>
      <c r="W59" s="81"/>
      <c r="X59" s="81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6" t="str">
        <f aca="false">IF(SUM(Y59:AJ59)=0,"",SUM(Y59:AJ59))</f>
        <v/>
      </c>
      <c r="AL59" s="84" t="str">
        <f aca="false">MID(IF(N(Y59)&gt;0,", "&amp;Y$2,"")&amp;IF(N(Z59)&gt;0,", "&amp;Z$2,"")&amp;IF(N(AA59)&gt;0,", "&amp;AA$2,"")&amp;IF(N(AB59)&gt;0,", "&amp;AB$2,"")&amp;IF(N(AC59)&gt;0,", "&amp;AC$2,"")&amp;IF(N(AD59)&gt;0,", "&amp;AD$2,"")&amp;IF(N(AE59)&gt;0,", "&amp;AE$2,"")&amp;IF(N(AF59)&gt;0,", "&amp;AF$2,"")&amp;IF(N(AG59)&gt;0,", "&amp;AG$2,"")&amp;IF(N(AH59)&gt;0,", "&amp;AH$2,"")&amp;IF(N(AI59)&gt;0,", "&amp;AI$2,"")&amp;IF(N(AJ59)&gt;0,", "&amp;AJ$2,""),3,999)</f>
        <v/>
      </c>
      <c r="AM59" s="87" t="str">
        <f aca="false">IF(E59="","",MID(IF(N(Y59)&gt;0,", "&amp;A59&amp;"-"&amp;Y$2,"")&amp;IF(N(Z59)&gt;0,", "&amp;A59&amp;"-"&amp;Z$2,"")&amp;IF(N(AA59)&gt;0,", "&amp;A59&amp;"-"&amp;AA$2,"")&amp;IF(N(AB59)&gt;0,", "&amp;A59&amp;"-"&amp;AB$2,"")&amp;IF(N(AC59)&gt;0,", "&amp;A59&amp;"-"&amp;AC$2,"")&amp;IF(N(AD59)&gt;0,", "&amp;A59&amp;"-"&amp;AD$2,"")&amp;IF(N(AE59)&gt;0,", "&amp;A59&amp;"-"&amp;AE$2,"")&amp;IF(N(AF59)&gt;0,", "&amp;A59&amp;"-"&amp;AF$2,"")&amp;IF(N(AG59)&gt;0,", "&amp;A59&amp;"-"&amp;AG$2,"")&amp;IF(N(AH59)&gt;0,", "&amp;A59&amp;"-"&amp;AH$2,"")&amp;IF(N(AI59)&gt;0,", "&amp;A59&amp;"-"&amp;AI$2,"")&amp;IF(N(AJ59)&gt;0,", "&amp;A59&amp;"-"&amp;AJ$2,""),3,999))</f>
        <v/>
      </c>
      <c r="AN59" s="81"/>
      <c r="AO59" s="88"/>
      <c r="AP59" s="89" t="str">
        <f aca="false">IF(AO59="","",ROUND(AO59/(1+Справочники!$B$13),2))</f>
        <v/>
      </c>
      <c r="AQ59" s="90" t="str">
        <f aca="false" t="array" ref="AQ59:AQ59">IF(AP59="","",AP59*INDEX(Справочники!$B$4:$B$7,MATCH("RUB",Справочники!$A$4:$A$7,0)))</f>
        <v/>
      </c>
      <c r="AR59" s="90" t="str">
        <f aca="false">IF(AQ59="","",ROUND(AQ59*(1+Справочники!$B$12),0))</f>
        <v/>
      </c>
      <c r="AS59" s="90" t="str">
        <f aca="false">IF(AR59="","",ROUND(AR59*(1-Справочники!$B$11),0))</f>
        <v/>
      </c>
      <c r="AT59" s="88"/>
      <c r="AU59" s="90" t="str">
        <f aca="false">IF(AT59="","",ROUND(AT59/(1+Справочники!$B$12),0))</f>
        <v/>
      </c>
      <c r="AV59" s="90" t="str">
        <f aca="false">IF(AT59="","",ROUND(AT59*(1-Справочники!$B$15),0))</f>
        <v/>
      </c>
      <c r="AW59" s="90" t="str">
        <f aca="false">IF(AT59="","",ROUND(AT59*(1-Справочники!$B$16),0))</f>
        <v/>
      </c>
      <c r="AX59" s="90" t="str">
        <f aca="false">IF(AT59="","",ROUND(AT59*(1-Справочники!$B$17),0))</f>
        <v/>
      </c>
      <c r="AY59" s="90" t="str">
        <f aca="false">IF(AT59="","",ROUND(AT59*(1-Справочники!$B$18),0))</f>
        <v/>
      </c>
      <c r="AZ59" s="90" t="str">
        <f aca="false">IF(AT59="","",ROUND(AT59*(1-Справочники!$B$19),0))</f>
        <v/>
      </c>
      <c r="BA59" s="81"/>
      <c r="BB59" s="81"/>
      <c r="BC59" s="81"/>
      <c r="BD59" s="81"/>
      <c r="BE59" s="91"/>
      <c r="BF59" s="81" t="s">
        <v>103</v>
      </c>
      <c r="BG59" s="89" t="n">
        <f aca="false" t="array" ref="BG59:BG59">IF(BF59="","",IFERROR(INDEX(Справочники!$B$4:$B$7,MATCH(BF59,Справочники!$A$4:$A$7,0)),""))</f>
        <v>68.5</v>
      </c>
      <c r="BH59" s="90" t="str">
        <f aca="false">IF(N(BN59)&gt;0,ROUND(SUMIF(ЗАКАЗЫ!$F$3:$F$500,$A59,ЗАКАЗЫ!$Y$3:$Y$500)/BN59,0),IF(OR(BE59="",BG59=""),"",ROUND(BE59*BG59*(1+Справочники!$B$10),0)))</f>
        <v/>
      </c>
      <c r="BI59" s="92" t="str">
        <f aca="false">IF(OR(AU59="",BH59="",AU59=0),"",(AU59-BH59)/AU59)</f>
        <v/>
      </c>
      <c r="BJ59" s="81"/>
      <c r="BK59" s="83"/>
      <c r="BL59" s="43" t="str">
        <f aca="false">IFERROR(INDEX(ЗАКАЗЫ!$N$3:$N$500,MATCH($A59,ЗАКАЗЫ!$F$3:$F$500,0)),"")</f>
        <v/>
      </c>
      <c r="BM59" s="8" t="str">
        <f aca="false">IF(BL59="","",IFERROR(VLOOKUP(BL59,'ТН ВЭД'!$A$4:$C$40,3,0),""))</f>
        <v/>
      </c>
      <c r="BN59" s="7" t="str">
        <f aca="false">IF(COUNTIF(ЗАКАЗЫ!$F$3:$F$500,$A59)=0,"",SUMIF(ЗАКАЗЫ!$F$3:$F$500,$A59,ЗАКАЗЫ!$J$3:$J$500))</f>
        <v/>
      </c>
      <c r="BO59" s="7" t="str">
        <f aca="false">IF(BN59="","",SUMIF(ЗАКАЗЫ!$F$3:$F$500,$A59,ЗАКАЗЫ!$AL$3:$AL$500))</f>
        <v/>
      </c>
      <c r="BP59" s="7" t="str">
        <f aca="false">IF(BN59="","",BN59-BO59)</f>
        <v/>
      </c>
      <c r="BQ59" s="55" t="str">
        <f aca="false">IF(BN59="","",IF(BO59&gt;=BN59,"На складе",IF(BO59&gt;0,"Частично","Ждём")))</f>
        <v/>
      </c>
      <c r="BR59" s="43"/>
      <c r="BS59" s="47" t="str">
        <f aca="false">IF(BN59="","",IF(_xlfn.MAXIFS(ЗАКАЗЫ!$AK$3:$AK$500,ЗАКАЗЫ!$F$3:$F$500,$A59)=0,"",_xlfn.MAXIFS(ЗАКАЗЫ!$AK$3:$AK$500,ЗАКАЗЫ!$F$3:$F$500,$A59)))</f>
        <v/>
      </c>
    </row>
    <row r="60" customFormat="false" ht="15.75" hidden="false" customHeight="true" outlineLevel="0" collapsed="false">
      <c r="A60" s="80" t="s">
        <v>2600</v>
      </c>
      <c r="B60" s="81"/>
      <c r="C60" s="81"/>
      <c r="D60" s="81"/>
      <c r="E60" s="83"/>
      <c r="F60" s="81"/>
      <c r="G60" s="83"/>
      <c r="H60" s="83"/>
      <c r="I60" s="84" t="str">
        <f aca="false">IF(E60="","",A60&amp;"_1.jpg")</f>
        <v/>
      </c>
      <c r="J60" s="84" t="str">
        <f aca="false">IF(E60="","",A60&amp;"_2.jpg; "&amp;A60&amp;"_3.jpg")</f>
        <v/>
      </c>
      <c r="K60" s="84" t="str">
        <f aca="false">IF(E60="","",A60&amp;"_schema.jpg")</f>
        <v/>
      </c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 t="s">
        <v>96</v>
      </c>
      <c r="W60" s="81"/>
      <c r="X60" s="81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6" t="str">
        <f aca="false">IF(SUM(Y60:AJ60)=0,"",SUM(Y60:AJ60))</f>
        <v/>
      </c>
      <c r="AL60" s="84" t="str">
        <f aca="false">MID(IF(N(Y60)&gt;0,", "&amp;Y$2,"")&amp;IF(N(Z60)&gt;0,", "&amp;Z$2,"")&amp;IF(N(AA60)&gt;0,", "&amp;AA$2,"")&amp;IF(N(AB60)&gt;0,", "&amp;AB$2,"")&amp;IF(N(AC60)&gt;0,", "&amp;AC$2,"")&amp;IF(N(AD60)&gt;0,", "&amp;AD$2,"")&amp;IF(N(AE60)&gt;0,", "&amp;AE$2,"")&amp;IF(N(AF60)&gt;0,", "&amp;AF$2,"")&amp;IF(N(AG60)&gt;0,", "&amp;AG$2,"")&amp;IF(N(AH60)&gt;0,", "&amp;AH$2,"")&amp;IF(N(AI60)&gt;0,", "&amp;AI$2,"")&amp;IF(N(AJ60)&gt;0,", "&amp;AJ$2,""),3,999)</f>
        <v/>
      </c>
      <c r="AM60" s="87" t="str">
        <f aca="false">IF(E60="","",MID(IF(N(Y60)&gt;0,", "&amp;A60&amp;"-"&amp;Y$2,"")&amp;IF(N(Z60)&gt;0,", "&amp;A60&amp;"-"&amp;Z$2,"")&amp;IF(N(AA60)&gt;0,", "&amp;A60&amp;"-"&amp;AA$2,"")&amp;IF(N(AB60)&gt;0,", "&amp;A60&amp;"-"&amp;AB$2,"")&amp;IF(N(AC60)&gt;0,", "&amp;A60&amp;"-"&amp;AC$2,"")&amp;IF(N(AD60)&gt;0,", "&amp;A60&amp;"-"&amp;AD$2,"")&amp;IF(N(AE60)&gt;0,", "&amp;A60&amp;"-"&amp;AE$2,"")&amp;IF(N(AF60)&gt;0,", "&amp;A60&amp;"-"&amp;AF$2,"")&amp;IF(N(AG60)&gt;0,", "&amp;A60&amp;"-"&amp;AG$2,"")&amp;IF(N(AH60)&gt;0,", "&amp;A60&amp;"-"&amp;AH$2,"")&amp;IF(N(AI60)&gt;0,", "&amp;A60&amp;"-"&amp;AI$2,"")&amp;IF(N(AJ60)&gt;0,", "&amp;A60&amp;"-"&amp;AJ$2,""),3,999))</f>
        <v/>
      </c>
      <c r="AN60" s="81"/>
      <c r="AO60" s="88"/>
      <c r="AP60" s="89" t="str">
        <f aca="false">IF(AO60="","",ROUND(AO60/(1+Справочники!$B$13),2))</f>
        <v/>
      </c>
      <c r="AQ60" s="90" t="str">
        <f aca="false" t="array" ref="AQ60:AQ60">IF(AP60="","",AP60*INDEX(Справочники!$B$4:$B$7,MATCH("RUB",Справочники!$A$4:$A$7,0)))</f>
        <v/>
      </c>
      <c r="AR60" s="90" t="str">
        <f aca="false">IF(AQ60="","",ROUND(AQ60*(1+Справочники!$B$12),0))</f>
        <v/>
      </c>
      <c r="AS60" s="90" t="str">
        <f aca="false">IF(AR60="","",ROUND(AR60*(1-Справочники!$B$11),0))</f>
        <v/>
      </c>
      <c r="AT60" s="88"/>
      <c r="AU60" s="90" t="str">
        <f aca="false">IF(AT60="","",ROUND(AT60/(1+Справочники!$B$12),0))</f>
        <v/>
      </c>
      <c r="AV60" s="90" t="str">
        <f aca="false">IF(AT60="","",ROUND(AT60*(1-Справочники!$B$15),0))</f>
        <v/>
      </c>
      <c r="AW60" s="90" t="str">
        <f aca="false">IF(AT60="","",ROUND(AT60*(1-Справочники!$B$16),0))</f>
        <v/>
      </c>
      <c r="AX60" s="90" t="str">
        <f aca="false">IF(AT60="","",ROUND(AT60*(1-Справочники!$B$17),0))</f>
        <v/>
      </c>
      <c r="AY60" s="90" t="str">
        <f aca="false">IF(AT60="","",ROUND(AT60*(1-Справочники!$B$18),0))</f>
        <v/>
      </c>
      <c r="AZ60" s="90" t="str">
        <f aca="false">IF(AT60="","",ROUND(AT60*(1-Справочники!$B$19),0))</f>
        <v/>
      </c>
      <c r="BA60" s="81"/>
      <c r="BB60" s="81"/>
      <c r="BC60" s="81"/>
      <c r="BD60" s="81"/>
      <c r="BE60" s="91"/>
      <c r="BF60" s="81" t="s">
        <v>103</v>
      </c>
      <c r="BG60" s="89" t="n">
        <f aca="false" t="array" ref="BG60:BG60">IF(BF60="","",IFERROR(INDEX(Справочники!$B$4:$B$7,MATCH(BF60,Справочники!$A$4:$A$7,0)),""))</f>
        <v>68.5</v>
      </c>
      <c r="BH60" s="90" t="str">
        <f aca="false">IF(N(BN60)&gt;0,ROUND(SUMIF(ЗАКАЗЫ!$F$3:$F$500,$A60,ЗАКАЗЫ!$Y$3:$Y$500)/BN60,0),IF(OR(BE60="",BG60=""),"",ROUND(BE60*BG60*(1+Справочники!$B$10),0)))</f>
        <v/>
      </c>
      <c r="BI60" s="92" t="str">
        <f aca="false">IF(OR(AU60="",BH60="",AU60=0),"",(AU60-BH60)/AU60)</f>
        <v/>
      </c>
      <c r="BJ60" s="81"/>
      <c r="BK60" s="83"/>
      <c r="BL60" s="43" t="str">
        <f aca="false">IFERROR(INDEX(ЗАКАЗЫ!$N$3:$N$500,MATCH($A60,ЗАКАЗЫ!$F$3:$F$500,0)),"")</f>
        <v/>
      </c>
      <c r="BM60" s="8" t="str">
        <f aca="false">IF(BL60="","",IFERROR(VLOOKUP(BL60,'ТН ВЭД'!$A$4:$C$40,3,0),""))</f>
        <v/>
      </c>
      <c r="BN60" s="7" t="str">
        <f aca="false">IF(COUNTIF(ЗАКАЗЫ!$F$3:$F$500,$A60)=0,"",SUMIF(ЗАКАЗЫ!$F$3:$F$500,$A60,ЗАКАЗЫ!$J$3:$J$500))</f>
        <v/>
      </c>
      <c r="BO60" s="7" t="str">
        <f aca="false">IF(BN60="","",SUMIF(ЗАКАЗЫ!$F$3:$F$500,$A60,ЗАКАЗЫ!$AL$3:$AL$500))</f>
        <v/>
      </c>
      <c r="BP60" s="7" t="str">
        <f aca="false">IF(BN60="","",BN60-BO60)</f>
        <v/>
      </c>
      <c r="BQ60" s="55" t="str">
        <f aca="false">IF(BN60="","",IF(BO60&gt;=BN60,"На складе",IF(BO60&gt;0,"Частично","Ждём")))</f>
        <v/>
      </c>
      <c r="BR60" s="43"/>
      <c r="BS60" s="47" t="str">
        <f aca="false">IF(BN60="","",IF(_xlfn.MAXIFS(ЗАКАЗЫ!$AK$3:$AK$500,ЗАКАЗЫ!$F$3:$F$500,$A60)=0,"",_xlfn.MAXIFS(ЗАКАЗЫ!$AK$3:$AK$500,ЗАКАЗЫ!$F$3:$F$500,$A60)))</f>
        <v/>
      </c>
    </row>
    <row r="61" customFormat="false" ht="15.75" hidden="false" customHeight="true" outlineLevel="0" collapsed="false">
      <c r="A61" s="80" t="s">
        <v>2601</v>
      </c>
      <c r="B61" s="81"/>
      <c r="C61" s="81"/>
      <c r="D61" s="81"/>
      <c r="E61" s="83"/>
      <c r="F61" s="81"/>
      <c r="G61" s="83"/>
      <c r="H61" s="83"/>
      <c r="I61" s="84" t="str">
        <f aca="false">IF(E61="","",A61&amp;"_1.jpg")</f>
        <v/>
      </c>
      <c r="J61" s="84" t="str">
        <f aca="false">IF(E61="","",A61&amp;"_2.jpg; "&amp;A61&amp;"_3.jpg")</f>
        <v/>
      </c>
      <c r="K61" s="84" t="str">
        <f aca="false">IF(E61="","",A61&amp;"_schema.jpg")</f>
        <v/>
      </c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 t="s">
        <v>96</v>
      </c>
      <c r="W61" s="81"/>
      <c r="X61" s="81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6" t="str">
        <f aca="false">IF(SUM(Y61:AJ61)=0,"",SUM(Y61:AJ61))</f>
        <v/>
      </c>
      <c r="AL61" s="84" t="str">
        <f aca="false">MID(IF(N(Y61)&gt;0,", "&amp;Y$2,"")&amp;IF(N(Z61)&gt;0,", "&amp;Z$2,"")&amp;IF(N(AA61)&gt;0,", "&amp;AA$2,"")&amp;IF(N(AB61)&gt;0,", "&amp;AB$2,"")&amp;IF(N(AC61)&gt;0,", "&amp;AC$2,"")&amp;IF(N(AD61)&gt;0,", "&amp;AD$2,"")&amp;IF(N(AE61)&gt;0,", "&amp;AE$2,"")&amp;IF(N(AF61)&gt;0,", "&amp;AF$2,"")&amp;IF(N(AG61)&gt;0,", "&amp;AG$2,"")&amp;IF(N(AH61)&gt;0,", "&amp;AH$2,"")&amp;IF(N(AI61)&gt;0,", "&amp;AI$2,"")&amp;IF(N(AJ61)&gt;0,", "&amp;AJ$2,""),3,999)</f>
        <v/>
      </c>
      <c r="AM61" s="87" t="str">
        <f aca="false">IF(E61="","",MID(IF(N(Y61)&gt;0,", "&amp;A61&amp;"-"&amp;Y$2,"")&amp;IF(N(Z61)&gt;0,", "&amp;A61&amp;"-"&amp;Z$2,"")&amp;IF(N(AA61)&gt;0,", "&amp;A61&amp;"-"&amp;AA$2,"")&amp;IF(N(AB61)&gt;0,", "&amp;A61&amp;"-"&amp;AB$2,"")&amp;IF(N(AC61)&gt;0,", "&amp;A61&amp;"-"&amp;AC$2,"")&amp;IF(N(AD61)&gt;0,", "&amp;A61&amp;"-"&amp;AD$2,"")&amp;IF(N(AE61)&gt;0,", "&amp;A61&amp;"-"&amp;AE$2,"")&amp;IF(N(AF61)&gt;0,", "&amp;A61&amp;"-"&amp;AF$2,"")&amp;IF(N(AG61)&gt;0,", "&amp;A61&amp;"-"&amp;AG$2,"")&amp;IF(N(AH61)&gt;0,", "&amp;A61&amp;"-"&amp;AH$2,"")&amp;IF(N(AI61)&gt;0,", "&amp;A61&amp;"-"&amp;AI$2,"")&amp;IF(N(AJ61)&gt;0,", "&amp;A61&amp;"-"&amp;AJ$2,""),3,999))</f>
        <v/>
      </c>
      <c r="AN61" s="81"/>
      <c r="AO61" s="88"/>
      <c r="AP61" s="89" t="str">
        <f aca="false">IF(AO61="","",ROUND(AO61/(1+Справочники!$B$13),2))</f>
        <v/>
      </c>
      <c r="AQ61" s="90" t="str">
        <f aca="false" t="array" ref="AQ61:AQ61">IF(AP61="","",AP61*INDEX(Справочники!$B$4:$B$7,MATCH("RUB",Справочники!$A$4:$A$7,0)))</f>
        <v/>
      </c>
      <c r="AR61" s="90" t="str">
        <f aca="false">IF(AQ61="","",ROUND(AQ61*(1+Справочники!$B$12),0))</f>
        <v/>
      </c>
      <c r="AS61" s="90" t="str">
        <f aca="false">IF(AR61="","",ROUND(AR61*(1-Справочники!$B$11),0))</f>
        <v/>
      </c>
      <c r="AT61" s="88"/>
      <c r="AU61" s="90" t="str">
        <f aca="false">IF(AT61="","",ROUND(AT61/(1+Справочники!$B$12),0))</f>
        <v/>
      </c>
      <c r="AV61" s="90" t="str">
        <f aca="false">IF(AT61="","",ROUND(AT61*(1-Справочники!$B$15),0))</f>
        <v/>
      </c>
      <c r="AW61" s="90" t="str">
        <f aca="false">IF(AT61="","",ROUND(AT61*(1-Справочники!$B$16),0))</f>
        <v/>
      </c>
      <c r="AX61" s="90" t="str">
        <f aca="false">IF(AT61="","",ROUND(AT61*(1-Справочники!$B$17),0))</f>
        <v/>
      </c>
      <c r="AY61" s="90" t="str">
        <f aca="false">IF(AT61="","",ROUND(AT61*(1-Справочники!$B$18),0))</f>
        <v/>
      </c>
      <c r="AZ61" s="90" t="str">
        <f aca="false">IF(AT61="","",ROUND(AT61*(1-Справочники!$B$19),0))</f>
        <v/>
      </c>
      <c r="BA61" s="81"/>
      <c r="BB61" s="81"/>
      <c r="BC61" s="81"/>
      <c r="BD61" s="81"/>
      <c r="BE61" s="91"/>
      <c r="BF61" s="81" t="s">
        <v>103</v>
      </c>
      <c r="BG61" s="89" t="n">
        <f aca="false" t="array" ref="BG61:BG61">IF(BF61="","",IFERROR(INDEX(Справочники!$B$4:$B$7,MATCH(BF61,Справочники!$A$4:$A$7,0)),""))</f>
        <v>68.5</v>
      </c>
      <c r="BH61" s="90" t="str">
        <f aca="false">IF(N(BN61)&gt;0,ROUND(SUMIF(ЗАКАЗЫ!$F$3:$F$500,$A61,ЗАКАЗЫ!$Y$3:$Y$500)/BN61,0),IF(OR(BE61="",BG61=""),"",ROUND(BE61*BG61*(1+Справочники!$B$10),0)))</f>
        <v/>
      </c>
      <c r="BI61" s="92" t="str">
        <f aca="false">IF(OR(AU61="",BH61="",AU61=0),"",(AU61-BH61)/AU61)</f>
        <v/>
      </c>
      <c r="BJ61" s="81"/>
      <c r="BK61" s="83"/>
      <c r="BL61" s="43" t="str">
        <f aca="false">IFERROR(INDEX(ЗАКАЗЫ!$N$3:$N$500,MATCH($A61,ЗАКАЗЫ!$F$3:$F$500,0)),"")</f>
        <v/>
      </c>
      <c r="BM61" s="8" t="str">
        <f aca="false">IF(BL61="","",IFERROR(VLOOKUP(BL61,'ТН ВЭД'!$A$4:$C$40,3,0),""))</f>
        <v/>
      </c>
      <c r="BN61" s="7" t="str">
        <f aca="false">IF(COUNTIF(ЗАКАЗЫ!$F$3:$F$500,$A61)=0,"",SUMIF(ЗАКАЗЫ!$F$3:$F$500,$A61,ЗАКАЗЫ!$J$3:$J$500))</f>
        <v/>
      </c>
      <c r="BO61" s="7" t="str">
        <f aca="false">IF(BN61="","",SUMIF(ЗАКАЗЫ!$F$3:$F$500,$A61,ЗАКАЗЫ!$AL$3:$AL$500))</f>
        <v/>
      </c>
      <c r="BP61" s="7" t="str">
        <f aca="false">IF(BN61="","",BN61-BO61)</f>
        <v/>
      </c>
      <c r="BQ61" s="55" t="str">
        <f aca="false">IF(BN61="","",IF(BO61&gt;=BN61,"На складе",IF(BO61&gt;0,"Частично","Ждём")))</f>
        <v/>
      </c>
      <c r="BR61" s="43"/>
      <c r="BS61" s="47" t="str">
        <f aca="false">IF(BN61="","",IF(_xlfn.MAXIFS(ЗАКАЗЫ!$AK$3:$AK$500,ЗАКАЗЫ!$F$3:$F$500,$A61)=0,"",_xlfn.MAXIFS(ЗАКАЗЫ!$AK$3:$AK$500,ЗАКАЗЫ!$F$3:$F$500,$A61)))</f>
        <v/>
      </c>
    </row>
    <row r="62" customFormat="false" ht="15.75" hidden="false" customHeight="true" outlineLevel="0" collapsed="false">
      <c r="A62" s="80" t="s">
        <v>2602</v>
      </c>
      <c r="B62" s="81"/>
      <c r="C62" s="81"/>
      <c r="D62" s="81"/>
      <c r="E62" s="83"/>
      <c r="F62" s="81"/>
      <c r="G62" s="83"/>
      <c r="H62" s="83"/>
      <c r="I62" s="84" t="str">
        <f aca="false">IF(E62="","",A62&amp;"_1.jpg")</f>
        <v/>
      </c>
      <c r="J62" s="84" t="str">
        <f aca="false">IF(E62="","",A62&amp;"_2.jpg; "&amp;A62&amp;"_3.jpg")</f>
        <v/>
      </c>
      <c r="K62" s="84" t="str">
        <f aca="false">IF(E62="","",A62&amp;"_schema.jpg")</f>
        <v/>
      </c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 t="s">
        <v>96</v>
      </c>
      <c r="W62" s="81"/>
      <c r="X62" s="81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6" t="str">
        <f aca="false">IF(SUM(Y62:AJ62)=0,"",SUM(Y62:AJ62))</f>
        <v/>
      </c>
      <c r="AL62" s="84" t="str">
        <f aca="false">MID(IF(N(Y62)&gt;0,", "&amp;Y$2,"")&amp;IF(N(Z62)&gt;0,", "&amp;Z$2,"")&amp;IF(N(AA62)&gt;0,", "&amp;AA$2,"")&amp;IF(N(AB62)&gt;0,", "&amp;AB$2,"")&amp;IF(N(AC62)&gt;0,", "&amp;AC$2,"")&amp;IF(N(AD62)&gt;0,", "&amp;AD$2,"")&amp;IF(N(AE62)&gt;0,", "&amp;AE$2,"")&amp;IF(N(AF62)&gt;0,", "&amp;AF$2,"")&amp;IF(N(AG62)&gt;0,", "&amp;AG$2,"")&amp;IF(N(AH62)&gt;0,", "&amp;AH$2,"")&amp;IF(N(AI62)&gt;0,", "&amp;AI$2,"")&amp;IF(N(AJ62)&gt;0,", "&amp;AJ$2,""),3,999)</f>
        <v/>
      </c>
      <c r="AM62" s="87" t="str">
        <f aca="false">IF(E62="","",MID(IF(N(Y62)&gt;0,", "&amp;A62&amp;"-"&amp;Y$2,"")&amp;IF(N(Z62)&gt;0,", "&amp;A62&amp;"-"&amp;Z$2,"")&amp;IF(N(AA62)&gt;0,", "&amp;A62&amp;"-"&amp;AA$2,"")&amp;IF(N(AB62)&gt;0,", "&amp;A62&amp;"-"&amp;AB$2,"")&amp;IF(N(AC62)&gt;0,", "&amp;A62&amp;"-"&amp;AC$2,"")&amp;IF(N(AD62)&gt;0,", "&amp;A62&amp;"-"&amp;AD$2,"")&amp;IF(N(AE62)&gt;0,", "&amp;A62&amp;"-"&amp;AE$2,"")&amp;IF(N(AF62)&gt;0,", "&amp;A62&amp;"-"&amp;AF$2,"")&amp;IF(N(AG62)&gt;0,", "&amp;A62&amp;"-"&amp;AG$2,"")&amp;IF(N(AH62)&gt;0,", "&amp;A62&amp;"-"&amp;AH$2,"")&amp;IF(N(AI62)&gt;0,", "&amp;A62&amp;"-"&amp;AI$2,"")&amp;IF(N(AJ62)&gt;0,", "&amp;A62&amp;"-"&amp;AJ$2,""),3,999))</f>
        <v/>
      </c>
      <c r="AN62" s="81"/>
      <c r="AO62" s="88"/>
      <c r="AP62" s="89" t="str">
        <f aca="false">IF(AO62="","",ROUND(AO62/(1+Справочники!$B$13),2))</f>
        <v/>
      </c>
      <c r="AQ62" s="90" t="str">
        <f aca="false" t="array" ref="AQ62:AQ62">IF(AP62="","",AP62*INDEX(Справочники!$B$4:$B$7,MATCH("RUB",Справочники!$A$4:$A$7,0)))</f>
        <v/>
      </c>
      <c r="AR62" s="90" t="str">
        <f aca="false">IF(AQ62="","",ROUND(AQ62*(1+Справочники!$B$12),0))</f>
        <v/>
      </c>
      <c r="AS62" s="90" t="str">
        <f aca="false">IF(AR62="","",ROUND(AR62*(1-Справочники!$B$11),0))</f>
        <v/>
      </c>
      <c r="AT62" s="88"/>
      <c r="AU62" s="90" t="str">
        <f aca="false">IF(AT62="","",ROUND(AT62/(1+Справочники!$B$12),0))</f>
        <v/>
      </c>
      <c r="AV62" s="90" t="str">
        <f aca="false">IF(AT62="","",ROUND(AT62*(1-Справочники!$B$15),0))</f>
        <v/>
      </c>
      <c r="AW62" s="90" t="str">
        <f aca="false">IF(AT62="","",ROUND(AT62*(1-Справочники!$B$16),0))</f>
        <v/>
      </c>
      <c r="AX62" s="90" t="str">
        <f aca="false">IF(AT62="","",ROUND(AT62*(1-Справочники!$B$17),0))</f>
        <v/>
      </c>
      <c r="AY62" s="90" t="str">
        <f aca="false">IF(AT62="","",ROUND(AT62*(1-Справочники!$B$18),0))</f>
        <v/>
      </c>
      <c r="AZ62" s="90" t="str">
        <f aca="false">IF(AT62="","",ROUND(AT62*(1-Справочники!$B$19),0))</f>
        <v/>
      </c>
      <c r="BA62" s="81"/>
      <c r="BB62" s="81"/>
      <c r="BC62" s="81"/>
      <c r="BD62" s="81"/>
      <c r="BE62" s="91"/>
      <c r="BF62" s="81" t="s">
        <v>103</v>
      </c>
      <c r="BG62" s="89" t="n">
        <f aca="false" t="array" ref="BG62:BG62">IF(BF62="","",IFERROR(INDEX(Справочники!$B$4:$B$7,MATCH(BF62,Справочники!$A$4:$A$7,0)),""))</f>
        <v>68.5</v>
      </c>
      <c r="BH62" s="90" t="str">
        <f aca="false">IF(N(BN62)&gt;0,ROUND(SUMIF(ЗАКАЗЫ!$F$3:$F$500,$A62,ЗАКАЗЫ!$Y$3:$Y$500)/BN62,0),IF(OR(BE62="",BG62=""),"",ROUND(BE62*BG62*(1+Справочники!$B$10),0)))</f>
        <v/>
      </c>
      <c r="BI62" s="92" t="str">
        <f aca="false">IF(OR(AU62="",BH62="",AU62=0),"",(AU62-BH62)/AU62)</f>
        <v/>
      </c>
      <c r="BJ62" s="81"/>
      <c r="BK62" s="83"/>
      <c r="BL62" s="43" t="str">
        <f aca="false">IFERROR(INDEX(ЗАКАЗЫ!$N$3:$N$500,MATCH($A62,ЗАКАЗЫ!$F$3:$F$500,0)),"")</f>
        <v/>
      </c>
      <c r="BM62" s="8" t="str">
        <f aca="false">IF(BL62="","",IFERROR(VLOOKUP(BL62,'ТН ВЭД'!$A$4:$C$40,3,0),""))</f>
        <v/>
      </c>
      <c r="BN62" s="7" t="str">
        <f aca="false">IF(COUNTIF(ЗАКАЗЫ!$F$3:$F$500,$A62)=0,"",SUMIF(ЗАКАЗЫ!$F$3:$F$500,$A62,ЗАКАЗЫ!$J$3:$J$500))</f>
        <v/>
      </c>
      <c r="BO62" s="7" t="str">
        <f aca="false">IF(BN62="","",SUMIF(ЗАКАЗЫ!$F$3:$F$500,$A62,ЗАКАЗЫ!$AL$3:$AL$500))</f>
        <v/>
      </c>
      <c r="BP62" s="7" t="str">
        <f aca="false">IF(BN62="","",BN62-BO62)</f>
        <v/>
      </c>
      <c r="BQ62" s="55" t="str">
        <f aca="false">IF(BN62="","",IF(BO62&gt;=BN62,"На складе",IF(BO62&gt;0,"Частично","Ждём")))</f>
        <v/>
      </c>
      <c r="BR62" s="43"/>
      <c r="BS62" s="47" t="str">
        <f aca="false">IF(BN62="","",IF(_xlfn.MAXIFS(ЗАКАЗЫ!$AK$3:$AK$500,ЗАКАЗЫ!$F$3:$F$500,$A62)=0,"",_xlfn.MAXIFS(ЗАКАЗЫ!$AK$3:$AK$500,ЗАКАЗЫ!$F$3:$F$500,$A62)))</f>
        <v/>
      </c>
    </row>
    <row r="63" customFormat="false" ht="15.75" hidden="false" customHeight="true" outlineLevel="0" collapsed="false">
      <c r="A63" s="80" t="s">
        <v>2603</v>
      </c>
      <c r="B63" s="81"/>
      <c r="C63" s="81"/>
      <c r="D63" s="81"/>
      <c r="E63" s="83"/>
      <c r="F63" s="81"/>
      <c r="G63" s="83"/>
      <c r="H63" s="83"/>
      <c r="I63" s="84" t="str">
        <f aca="false">IF(E63="","",A63&amp;"_1.jpg")</f>
        <v/>
      </c>
      <c r="J63" s="84" t="str">
        <f aca="false">IF(E63="","",A63&amp;"_2.jpg; "&amp;A63&amp;"_3.jpg")</f>
        <v/>
      </c>
      <c r="K63" s="84" t="str">
        <f aca="false">IF(E63="","",A63&amp;"_schema.jpg")</f>
        <v/>
      </c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 t="s">
        <v>96</v>
      </c>
      <c r="W63" s="81"/>
      <c r="X63" s="81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6" t="str">
        <f aca="false">IF(SUM(Y63:AJ63)=0,"",SUM(Y63:AJ63))</f>
        <v/>
      </c>
      <c r="AL63" s="84" t="str">
        <f aca="false">MID(IF(N(Y63)&gt;0,", "&amp;Y$2,"")&amp;IF(N(Z63)&gt;0,", "&amp;Z$2,"")&amp;IF(N(AA63)&gt;0,", "&amp;AA$2,"")&amp;IF(N(AB63)&gt;0,", "&amp;AB$2,"")&amp;IF(N(AC63)&gt;0,", "&amp;AC$2,"")&amp;IF(N(AD63)&gt;0,", "&amp;AD$2,"")&amp;IF(N(AE63)&gt;0,", "&amp;AE$2,"")&amp;IF(N(AF63)&gt;0,", "&amp;AF$2,"")&amp;IF(N(AG63)&gt;0,", "&amp;AG$2,"")&amp;IF(N(AH63)&gt;0,", "&amp;AH$2,"")&amp;IF(N(AI63)&gt;0,", "&amp;AI$2,"")&amp;IF(N(AJ63)&gt;0,", "&amp;AJ$2,""),3,999)</f>
        <v/>
      </c>
      <c r="AM63" s="87" t="str">
        <f aca="false">IF(E63="","",MID(IF(N(Y63)&gt;0,", "&amp;A63&amp;"-"&amp;Y$2,"")&amp;IF(N(Z63)&gt;0,", "&amp;A63&amp;"-"&amp;Z$2,"")&amp;IF(N(AA63)&gt;0,", "&amp;A63&amp;"-"&amp;AA$2,"")&amp;IF(N(AB63)&gt;0,", "&amp;A63&amp;"-"&amp;AB$2,"")&amp;IF(N(AC63)&gt;0,", "&amp;A63&amp;"-"&amp;AC$2,"")&amp;IF(N(AD63)&gt;0,", "&amp;A63&amp;"-"&amp;AD$2,"")&amp;IF(N(AE63)&gt;0,", "&amp;A63&amp;"-"&amp;AE$2,"")&amp;IF(N(AF63)&gt;0,", "&amp;A63&amp;"-"&amp;AF$2,"")&amp;IF(N(AG63)&gt;0,", "&amp;A63&amp;"-"&amp;AG$2,"")&amp;IF(N(AH63)&gt;0,", "&amp;A63&amp;"-"&amp;AH$2,"")&amp;IF(N(AI63)&gt;0,", "&amp;A63&amp;"-"&amp;AI$2,"")&amp;IF(N(AJ63)&gt;0,", "&amp;A63&amp;"-"&amp;AJ$2,""),3,999))</f>
        <v/>
      </c>
      <c r="AN63" s="81"/>
      <c r="AO63" s="88"/>
      <c r="AP63" s="89" t="str">
        <f aca="false">IF(AO63="","",ROUND(AO63/(1+Справочники!$B$13),2))</f>
        <v/>
      </c>
      <c r="AQ63" s="90" t="str">
        <f aca="false" t="array" ref="AQ63:AQ63">IF(AP63="","",AP63*INDEX(Справочники!$B$4:$B$7,MATCH("RUB",Справочники!$A$4:$A$7,0)))</f>
        <v/>
      </c>
      <c r="AR63" s="90" t="str">
        <f aca="false">IF(AQ63="","",ROUND(AQ63*(1+Справочники!$B$12),0))</f>
        <v/>
      </c>
      <c r="AS63" s="90" t="str">
        <f aca="false">IF(AR63="","",ROUND(AR63*(1-Справочники!$B$11),0))</f>
        <v/>
      </c>
      <c r="AT63" s="88"/>
      <c r="AU63" s="90" t="str">
        <f aca="false">IF(AT63="","",ROUND(AT63/(1+Справочники!$B$12),0))</f>
        <v/>
      </c>
      <c r="AV63" s="90" t="str">
        <f aca="false">IF(AT63="","",ROUND(AT63*(1-Справочники!$B$15),0))</f>
        <v/>
      </c>
      <c r="AW63" s="90" t="str">
        <f aca="false">IF(AT63="","",ROUND(AT63*(1-Справочники!$B$16),0))</f>
        <v/>
      </c>
      <c r="AX63" s="90" t="str">
        <f aca="false">IF(AT63="","",ROUND(AT63*(1-Справочники!$B$17),0))</f>
        <v/>
      </c>
      <c r="AY63" s="90" t="str">
        <f aca="false">IF(AT63="","",ROUND(AT63*(1-Справочники!$B$18),0))</f>
        <v/>
      </c>
      <c r="AZ63" s="90" t="str">
        <f aca="false">IF(AT63="","",ROUND(AT63*(1-Справочники!$B$19),0))</f>
        <v/>
      </c>
      <c r="BA63" s="81"/>
      <c r="BB63" s="81"/>
      <c r="BC63" s="81"/>
      <c r="BD63" s="81"/>
      <c r="BE63" s="91"/>
      <c r="BF63" s="81" t="s">
        <v>103</v>
      </c>
      <c r="BG63" s="89" t="n">
        <f aca="false" t="array" ref="BG63:BG63">IF(BF63="","",IFERROR(INDEX(Справочники!$B$4:$B$7,MATCH(BF63,Справочники!$A$4:$A$7,0)),""))</f>
        <v>68.5</v>
      </c>
      <c r="BH63" s="90" t="str">
        <f aca="false">IF(N(BN63)&gt;0,ROUND(SUMIF(ЗАКАЗЫ!$F$3:$F$500,$A63,ЗАКАЗЫ!$Y$3:$Y$500)/BN63,0),IF(OR(BE63="",BG63=""),"",ROUND(BE63*BG63*(1+Справочники!$B$10),0)))</f>
        <v/>
      </c>
      <c r="BI63" s="92" t="str">
        <f aca="false">IF(OR(AU63="",BH63="",AU63=0),"",(AU63-BH63)/AU63)</f>
        <v/>
      </c>
      <c r="BJ63" s="81"/>
      <c r="BK63" s="83"/>
      <c r="BL63" s="43" t="str">
        <f aca="false">IFERROR(INDEX(ЗАКАЗЫ!$N$3:$N$500,MATCH($A63,ЗАКАЗЫ!$F$3:$F$500,0)),"")</f>
        <v/>
      </c>
      <c r="BM63" s="8" t="str">
        <f aca="false">IF(BL63="","",IFERROR(VLOOKUP(BL63,'ТН ВЭД'!$A$4:$C$40,3,0),""))</f>
        <v/>
      </c>
      <c r="BN63" s="7" t="str">
        <f aca="false">IF(COUNTIF(ЗАКАЗЫ!$F$3:$F$500,$A63)=0,"",SUMIF(ЗАКАЗЫ!$F$3:$F$500,$A63,ЗАКАЗЫ!$J$3:$J$500))</f>
        <v/>
      </c>
      <c r="BO63" s="7" t="str">
        <f aca="false">IF(BN63="","",SUMIF(ЗАКАЗЫ!$F$3:$F$500,$A63,ЗАКАЗЫ!$AL$3:$AL$500))</f>
        <v/>
      </c>
      <c r="BP63" s="7" t="str">
        <f aca="false">IF(BN63="","",BN63-BO63)</f>
        <v/>
      </c>
      <c r="BQ63" s="55" t="str">
        <f aca="false">IF(BN63="","",IF(BO63&gt;=BN63,"На складе",IF(BO63&gt;0,"Частично","Ждём")))</f>
        <v/>
      </c>
      <c r="BR63" s="43"/>
      <c r="BS63" s="47" t="str">
        <f aca="false">IF(BN63="","",IF(_xlfn.MAXIFS(ЗАКАЗЫ!$AK$3:$AK$500,ЗАКАЗЫ!$F$3:$F$500,$A63)=0,"",_xlfn.MAXIFS(ЗАКАЗЫ!$AK$3:$AK$500,ЗАКАЗЫ!$F$3:$F$500,$A63)))</f>
        <v/>
      </c>
    </row>
    <row r="64" customFormat="false" ht="15.75" hidden="false" customHeight="true" outlineLevel="0" collapsed="false">
      <c r="A64" s="80" t="s">
        <v>2604</v>
      </c>
      <c r="B64" s="81"/>
      <c r="C64" s="81"/>
      <c r="D64" s="81"/>
      <c r="E64" s="83"/>
      <c r="F64" s="81"/>
      <c r="G64" s="83"/>
      <c r="H64" s="83"/>
      <c r="I64" s="84" t="str">
        <f aca="false">IF(E64="","",A64&amp;"_1.jpg")</f>
        <v/>
      </c>
      <c r="J64" s="84" t="str">
        <f aca="false">IF(E64="","",A64&amp;"_2.jpg; "&amp;A64&amp;"_3.jpg")</f>
        <v/>
      </c>
      <c r="K64" s="84" t="str">
        <f aca="false">IF(E64="","",A64&amp;"_schema.jpg")</f>
        <v/>
      </c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 t="s">
        <v>96</v>
      </c>
      <c r="W64" s="81"/>
      <c r="X64" s="81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6" t="str">
        <f aca="false">IF(SUM(Y64:AJ64)=0,"",SUM(Y64:AJ64))</f>
        <v/>
      </c>
      <c r="AL64" s="84" t="str">
        <f aca="false">MID(IF(N(Y64)&gt;0,", "&amp;Y$2,"")&amp;IF(N(Z64)&gt;0,", "&amp;Z$2,"")&amp;IF(N(AA64)&gt;0,", "&amp;AA$2,"")&amp;IF(N(AB64)&gt;0,", "&amp;AB$2,"")&amp;IF(N(AC64)&gt;0,", "&amp;AC$2,"")&amp;IF(N(AD64)&gt;0,", "&amp;AD$2,"")&amp;IF(N(AE64)&gt;0,", "&amp;AE$2,"")&amp;IF(N(AF64)&gt;0,", "&amp;AF$2,"")&amp;IF(N(AG64)&gt;0,", "&amp;AG$2,"")&amp;IF(N(AH64)&gt;0,", "&amp;AH$2,"")&amp;IF(N(AI64)&gt;0,", "&amp;AI$2,"")&amp;IF(N(AJ64)&gt;0,", "&amp;AJ$2,""),3,999)</f>
        <v/>
      </c>
      <c r="AM64" s="87" t="str">
        <f aca="false">IF(E64="","",MID(IF(N(Y64)&gt;0,", "&amp;A64&amp;"-"&amp;Y$2,"")&amp;IF(N(Z64)&gt;0,", "&amp;A64&amp;"-"&amp;Z$2,"")&amp;IF(N(AA64)&gt;0,", "&amp;A64&amp;"-"&amp;AA$2,"")&amp;IF(N(AB64)&gt;0,", "&amp;A64&amp;"-"&amp;AB$2,"")&amp;IF(N(AC64)&gt;0,", "&amp;A64&amp;"-"&amp;AC$2,"")&amp;IF(N(AD64)&gt;0,", "&amp;A64&amp;"-"&amp;AD$2,"")&amp;IF(N(AE64)&gt;0,", "&amp;A64&amp;"-"&amp;AE$2,"")&amp;IF(N(AF64)&gt;0,", "&amp;A64&amp;"-"&amp;AF$2,"")&amp;IF(N(AG64)&gt;0,", "&amp;A64&amp;"-"&amp;AG$2,"")&amp;IF(N(AH64)&gt;0,", "&amp;A64&amp;"-"&amp;AH$2,"")&amp;IF(N(AI64)&gt;0,", "&amp;A64&amp;"-"&amp;AI$2,"")&amp;IF(N(AJ64)&gt;0,", "&amp;A64&amp;"-"&amp;AJ$2,""),3,999))</f>
        <v/>
      </c>
      <c r="AN64" s="81"/>
      <c r="AO64" s="88"/>
      <c r="AP64" s="89" t="str">
        <f aca="false">IF(AO64="","",ROUND(AO64/(1+Справочники!$B$13),2))</f>
        <v/>
      </c>
      <c r="AQ64" s="90" t="str">
        <f aca="false" t="array" ref="AQ64:AQ64">IF(AP64="","",AP64*INDEX(Справочники!$B$4:$B$7,MATCH("RUB",Справочники!$A$4:$A$7,0)))</f>
        <v/>
      </c>
      <c r="AR64" s="90" t="str">
        <f aca="false">IF(AQ64="","",ROUND(AQ64*(1+Справочники!$B$12),0))</f>
        <v/>
      </c>
      <c r="AS64" s="90" t="str">
        <f aca="false">IF(AR64="","",ROUND(AR64*(1-Справочники!$B$11),0))</f>
        <v/>
      </c>
      <c r="AT64" s="88"/>
      <c r="AU64" s="90" t="str">
        <f aca="false">IF(AT64="","",ROUND(AT64/(1+Справочники!$B$12),0))</f>
        <v/>
      </c>
      <c r="AV64" s="90" t="str">
        <f aca="false">IF(AT64="","",ROUND(AT64*(1-Справочники!$B$15),0))</f>
        <v/>
      </c>
      <c r="AW64" s="90" t="str">
        <f aca="false">IF(AT64="","",ROUND(AT64*(1-Справочники!$B$16),0))</f>
        <v/>
      </c>
      <c r="AX64" s="90" t="str">
        <f aca="false">IF(AT64="","",ROUND(AT64*(1-Справочники!$B$17),0))</f>
        <v/>
      </c>
      <c r="AY64" s="90" t="str">
        <f aca="false">IF(AT64="","",ROUND(AT64*(1-Справочники!$B$18),0))</f>
        <v/>
      </c>
      <c r="AZ64" s="90" t="str">
        <f aca="false">IF(AT64="","",ROUND(AT64*(1-Справочники!$B$19),0))</f>
        <v/>
      </c>
      <c r="BA64" s="81"/>
      <c r="BB64" s="81"/>
      <c r="BC64" s="81"/>
      <c r="BD64" s="81"/>
      <c r="BE64" s="91"/>
      <c r="BF64" s="81" t="s">
        <v>103</v>
      </c>
      <c r="BG64" s="89" t="n">
        <f aca="false" t="array" ref="BG64:BG64">IF(BF64="","",IFERROR(INDEX(Справочники!$B$4:$B$7,MATCH(BF64,Справочники!$A$4:$A$7,0)),""))</f>
        <v>68.5</v>
      </c>
      <c r="BH64" s="90" t="str">
        <f aca="false">IF(N(BN64)&gt;0,ROUND(SUMIF(ЗАКАЗЫ!$F$3:$F$500,$A64,ЗАКАЗЫ!$Y$3:$Y$500)/BN64,0),IF(OR(BE64="",BG64=""),"",ROUND(BE64*BG64*(1+Справочники!$B$10),0)))</f>
        <v/>
      </c>
      <c r="BI64" s="92" t="str">
        <f aca="false">IF(OR(AU64="",BH64="",AU64=0),"",(AU64-BH64)/AU64)</f>
        <v/>
      </c>
      <c r="BJ64" s="81"/>
      <c r="BK64" s="83"/>
      <c r="BL64" s="43" t="str">
        <f aca="false">IFERROR(INDEX(ЗАКАЗЫ!$N$3:$N$500,MATCH($A64,ЗАКАЗЫ!$F$3:$F$500,0)),"")</f>
        <v/>
      </c>
      <c r="BM64" s="8" t="str">
        <f aca="false">IF(BL64="","",IFERROR(VLOOKUP(BL64,'ТН ВЭД'!$A$4:$C$40,3,0),""))</f>
        <v/>
      </c>
      <c r="BN64" s="7" t="str">
        <f aca="false">IF(COUNTIF(ЗАКАЗЫ!$F$3:$F$500,$A64)=0,"",SUMIF(ЗАКАЗЫ!$F$3:$F$500,$A64,ЗАКАЗЫ!$J$3:$J$500))</f>
        <v/>
      </c>
      <c r="BO64" s="7" t="str">
        <f aca="false">IF(BN64="","",SUMIF(ЗАКАЗЫ!$F$3:$F$500,$A64,ЗАКАЗЫ!$AL$3:$AL$500))</f>
        <v/>
      </c>
      <c r="BP64" s="7" t="str">
        <f aca="false">IF(BN64="","",BN64-BO64)</f>
        <v/>
      </c>
      <c r="BQ64" s="55" t="str">
        <f aca="false">IF(BN64="","",IF(BO64&gt;=BN64,"На складе",IF(BO64&gt;0,"Частично","Ждём")))</f>
        <v/>
      </c>
      <c r="BR64" s="43"/>
      <c r="BS64" s="47" t="str">
        <f aca="false">IF(BN64="","",IF(_xlfn.MAXIFS(ЗАКАЗЫ!$AK$3:$AK$500,ЗАКАЗЫ!$F$3:$F$500,$A64)=0,"",_xlfn.MAXIFS(ЗАКАЗЫ!$AK$3:$AK$500,ЗАКАЗЫ!$F$3:$F$500,$A64)))</f>
        <v/>
      </c>
    </row>
    <row r="65" customFormat="false" ht="15.75" hidden="false" customHeight="true" outlineLevel="0" collapsed="false">
      <c r="A65" s="80" t="s">
        <v>2605</v>
      </c>
      <c r="B65" s="81"/>
      <c r="C65" s="81"/>
      <c r="D65" s="81"/>
      <c r="E65" s="83"/>
      <c r="F65" s="81"/>
      <c r="G65" s="83"/>
      <c r="H65" s="83"/>
      <c r="I65" s="84" t="str">
        <f aca="false">IF(E65="","",A65&amp;"_1.jpg")</f>
        <v/>
      </c>
      <c r="J65" s="84" t="str">
        <f aca="false">IF(E65="","",A65&amp;"_2.jpg; "&amp;A65&amp;"_3.jpg")</f>
        <v/>
      </c>
      <c r="K65" s="84" t="str">
        <f aca="false">IF(E65="","",A65&amp;"_schema.jpg")</f>
        <v/>
      </c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 t="s">
        <v>96</v>
      </c>
      <c r="W65" s="81"/>
      <c r="X65" s="81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6" t="str">
        <f aca="false">IF(SUM(Y65:AJ65)=0,"",SUM(Y65:AJ65))</f>
        <v/>
      </c>
      <c r="AL65" s="84" t="str">
        <f aca="false">MID(IF(N(Y65)&gt;0,", "&amp;Y$2,"")&amp;IF(N(Z65)&gt;0,", "&amp;Z$2,"")&amp;IF(N(AA65)&gt;0,", "&amp;AA$2,"")&amp;IF(N(AB65)&gt;0,", "&amp;AB$2,"")&amp;IF(N(AC65)&gt;0,", "&amp;AC$2,"")&amp;IF(N(AD65)&gt;0,", "&amp;AD$2,"")&amp;IF(N(AE65)&gt;0,", "&amp;AE$2,"")&amp;IF(N(AF65)&gt;0,", "&amp;AF$2,"")&amp;IF(N(AG65)&gt;0,", "&amp;AG$2,"")&amp;IF(N(AH65)&gt;0,", "&amp;AH$2,"")&amp;IF(N(AI65)&gt;0,", "&amp;AI$2,"")&amp;IF(N(AJ65)&gt;0,", "&amp;AJ$2,""),3,999)</f>
        <v/>
      </c>
      <c r="AM65" s="87" t="str">
        <f aca="false">IF(E65="","",MID(IF(N(Y65)&gt;0,", "&amp;A65&amp;"-"&amp;Y$2,"")&amp;IF(N(Z65)&gt;0,", "&amp;A65&amp;"-"&amp;Z$2,"")&amp;IF(N(AA65)&gt;0,", "&amp;A65&amp;"-"&amp;AA$2,"")&amp;IF(N(AB65)&gt;0,", "&amp;A65&amp;"-"&amp;AB$2,"")&amp;IF(N(AC65)&gt;0,", "&amp;A65&amp;"-"&amp;AC$2,"")&amp;IF(N(AD65)&gt;0,", "&amp;A65&amp;"-"&amp;AD$2,"")&amp;IF(N(AE65)&gt;0,", "&amp;A65&amp;"-"&amp;AE$2,"")&amp;IF(N(AF65)&gt;0,", "&amp;A65&amp;"-"&amp;AF$2,"")&amp;IF(N(AG65)&gt;0,", "&amp;A65&amp;"-"&amp;AG$2,"")&amp;IF(N(AH65)&gt;0,", "&amp;A65&amp;"-"&amp;AH$2,"")&amp;IF(N(AI65)&gt;0,", "&amp;A65&amp;"-"&amp;AI$2,"")&amp;IF(N(AJ65)&gt;0,", "&amp;A65&amp;"-"&amp;AJ$2,""),3,999))</f>
        <v/>
      </c>
      <c r="AN65" s="81"/>
      <c r="AO65" s="88"/>
      <c r="AP65" s="89" t="str">
        <f aca="false">IF(AO65="","",ROUND(AO65/(1+Справочники!$B$13),2))</f>
        <v/>
      </c>
      <c r="AQ65" s="90" t="str">
        <f aca="false" t="array" ref="AQ65:AQ65">IF(AP65="","",AP65*INDEX(Справочники!$B$4:$B$7,MATCH("RUB",Справочники!$A$4:$A$7,0)))</f>
        <v/>
      </c>
      <c r="AR65" s="90" t="str">
        <f aca="false">IF(AQ65="","",ROUND(AQ65*(1+Справочники!$B$12),0))</f>
        <v/>
      </c>
      <c r="AS65" s="90" t="str">
        <f aca="false">IF(AR65="","",ROUND(AR65*(1-Справочники!$B$11),0))</f>
        <v/>
      </c>
      <c r="AT65" s="88"/>
      <c r="AU65" s="90" t="str">
        <f aca="false">IF(AT65="","",ROUND(AT65/(1+Справочники!$B$12),0))</f>
        <v/>
      </c>
      <c r="AV65" s="90" t="str">
        <f aca="false">IF(AT65="","",ROUND(AT65*(1-Справочники!$B$15),0))</f>
        <v/>
      </c>
      <c r="AW65" s="90" t="str">
        <f aca="false">IF(AT65="","",ROUND(AT65*(1-Справочники!$B$16),0))</f>
        <v/>
      </c>
      <c r="AX65" s="90" t="str">
        <f aca="false">IF(AT65="","",ROUND(AT65*(1-Справочники!$B$17),0))</f>
        <v/>
      </c>
      <c r="AY65" s="90" t="str">
        <f aca="false">IF(AT65="","",ROUND(AT65*(1-Справочники!$B$18),0))</f>
        <v/>
      </c>
      <c r="AZ65" s="90" t="str">
        <f aca="false">IF(AT65="","",ROUND(AT65*(1-Справочники!$B$19),0))</f>
        <v/>
      </c>
      <c r="BA65" s="81"/>
      <c r="BB65" s="81"/>
      <c r="BC65" s="81"/>
      <c r="BD65" s="81"/>
      <c r="BE65" s="91"/>
      <c r="BF65" s="81" t="s">
        <v>103</v>
      </c>
      <c r="BG65" s="89" t="n">
        <f aca="false" t="array" ref="BG65:BG65">IF(BF65="","",IFERROR(INDEX(Справочники!$B$4:$B$7,MATCH(BF65,Справочники!$A$4:$A$7,0)),""))</f>
        <v>68.5</v>
      </c>
      <c r="BH65" s="90" t="str">
        <f aca="false">IF(N(BN65)&gt;0,ROUND(SUMIF(ЗАКАЗЫ!$F$3:$F$500,$A65,ЗАКАЗЫ!$Y$3:$Y$500)/BN65,0),IF(OR(BE65="",BG65=""),"",ROUND(BE65*BG65*(1+Справочники!$B$10),0)))</f>
        <v/>
      </c>
      <c r="BI65" s="92" t="str">
        <f aca="false">IF(OR(AU65="",BH65="",AU65=0),"",(AU65-BH65)/AU65)</f>
        <v/>
      </c>
      <c r="BJ65" s="81"/>
      <c r="BK65" s="83"/>
      <c r="BL65" s="43" t="str">
        <f aca="false">IFERROR(INDEX(ЗАКАЗЫ!$N$3:$N$500,MATCH($A65,ЗАКАЗЫ!$F$3:$F$500,0)),"")</f>
        <v/>
      </c>
      <c r="BM65" s="8" t="str">
        <f aca="false">IF(BL65="","",IFERROR(VLOOKUP(BL65,'ТН ВЭД'!$A$4:$C$40,3,0),""))</f>
        <v/>
      </c>
      <c r="BN65" s="7" t="str">
        <f aca="false">IF(COUNTIF(ЗАКАЗЫ!$F$3:$F$500,$A65)=0,"",SUMIF(ЗАКАЗЫ!$F$3:$F$500,$A65,ЗАКАЗЫ!$J$3:$J$500))</f>
        <v/>
      </c>
      <c r="BO65" s="7" t="str">
        <f aca="false">IF(BN65="","",SUMIF(ЗАКАЗЫ!$F$3:$F$500,$A65,ЗАКАЗЫ!$AL$3:$AL$500))</f>
        <v/>
      </c>
      <c r="BP65" s="7" t="str">
        <f aca="false">IF(BN65="","",BN65-BO65)</f>
        <v/>
      </c>
      <c r="BQ65" s="55" t="str">
        <f aca="false">IF(BN65="","",IF(BO65&gt;=BN65,"На складе",IF(BO65&gt;0,"Частично","Ждём")))</f>
        <v/>
      </c>
      <c r="BR65" s="43"/>
      <c r="BS65" s="47" t="str">
        <f aca="false">IF(BN65="","",IF(_xlfn.MAXIFS(ЗАКАЗЫ!$AK$3:$AK$500,ЗАКАЗЫ!$F$3:$F$500,$A65)=0,"",_xlfn.MAXIFS(ЗАКАЗЫ!$AK$3:$AK$500,ЗАКАЗЫ!$F$3:$F$500,$A65)))</f>
        <v/>
      </c>
    </row>
    <row r="66" customFormat="false" ht="15.75" hidden="false" customHeight="true" outlineLevel="0" collapsed="false">
      <c r="A66" s="80" t="s">
        <v>2606</v>
      </c>
      <c r="B66" s="81"/>
      <c r="C66" s="81"/>
      <c r="D66" s="81"/>
      <c r="E66" s="83"/>
      <c r="F66" s="81"/>
      <c r="G66" s="83"/>
      <c r="H66" s="83"/>
      <c r="I66" s="84" t="str">
        <f aca="false">IF(E66="","",A66&amp;"_1.jpg")</f>
        <v/>
      </c>
      <c r="J66" s="84" t="str">
        <f aca="false">IF(E66="","",A66&amp;"_2.jpg; "&amp;A66&amp;"_3.jpg")</f>
        <v/>
      </c>
      <c r="K66" s="84" t="str">
        <f aca="false">IF(E66="","",A66&amp;"_schema.jpg")</f>
        <v/>
      </c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 t="s">
        <v>96</v>
      </c>
      <c r="W66" s="81"/>
      <c r="X66" s="81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6" t="str">
        <f aca="false">IF(SUM(Y66:AJ66)=0,"",SUM(Y66:AJ66))</f>
        <v/>
      </c>
      <c r="AL66" s="84" t="str">
        <f aca="false">MID(IF(N(Y66)&gt;0,", "&amp;Y$2,"")&amp;IF(N(Z66)&gt;0,", "&amp;Z$2,"")&amp;IF(N(AA66)&gt;0,", "&amp;AA$2,"")&amp;IF(N(AB66)&gt;0,", "&amp;AB$2,"")&amp;IF(N(AC66)&gt;0,", "&amp;AC$2,"")&amp;IF(N(AD66)&gt;0,", "&amp;AD$2,"")&amp;IF(N(AE66)&gt;0,", "&amp;AE$2,"")&amp;IF(N(AF66)&gt;0,", "&amp;AF$2,"")&amp;IF(N(AG66)&gt;0,", "&amp;AG$2,"")&amp;IF(N(AH66)&gt;0,", "&amp;AH$2,"")&amp;IF(N(AI66)&gt;0,", "&amp;AI$2,"")&amp;IF(N(AJ66)&gt;0,", "&amp;AJ$2,""),3,999)</f>
        <v/>
      </c>
      <c r="AM66" s="87" t="str">
        <f aca="false">IF(E66="","",MID(IF(N(Y66)&gt;0,", "&amp;A66&amp;"-"&amp;Y$2,"")&amp;IF(N(Z66)&gt;0,", "&amp;A66&amp;"-"&amp;Z$2,"")&amp;IF(N(AA66)&gt;0,", "&amp;A66&amp;"-"&amp;AA$2,"")&amp;IF(N(AB66)&gt;0,", "&amp;A66&amp;"-"&amp;AB$2,"")&amp;IF(N(AC66)&gt;0,", "&amp;A66&amp;"-"&amp;AC$2,"")&amp;IF(N(AD66)&gt;0,", "&amp;A66&amp;"-"&amp;AD$2,"")&amp;IF(N(AE66)&gt;0,", "&amp;A66&amp;"-"&amp;AE$2,"")&amp;IF(N(AF66)&gt;0,", "&amp;A66&amp;"-"&amp;AF$2,"")&amp;IF(N(AG66)&gt;0,", "&amp;A66&amp;"-"&amp;AG$2,"")&amp;IF(N(AH66)&gt;0,", "&amp;A66&amp;"-"&amp;AH$2,"")&amp;IF(N(AI66)&gt;0,", "&amp;A66&amp;"-"&amp;AI$2,"")&amp;IF(N(AJ66)&gt;0,", "&amp;A66&amp;"-"&amp;AJ$2,""),3,999))</f>
        <v/>
      </c>
      <c r="AN66" s="81"/>
      <c r="AO66" s="88"/>
      <c r="AP66" s="89" t="str">
        <f aca="false">IF(AO66="","",ROUND(AO66/(1+Справочники!$B$13),2))</f>
        <v/>
      </c>
      <c r="AQ66" s="90" t="str">
        <f aca="false" t="array" ref="AQ66:AQ66">IF(AP66="","",AP66*INDEX(Справочники!$B$4:$B$7,MATCH("RUB",Справочники!$A$4:$A$7,0)))</f>
        <v/>
      </c>
      <c r="AR66" s="90" t="str">
        <f aca="false">IF(AQ66="","",ROUND(AQ66*(1+Справочники!$B$12),0))</f>
        <v/>
      </c>
      <c r="AS66" s="90" t="str">
        <f aca="false">IF(AR66="","",ROUND(AR66*(1-Справочники!$B$11),0))</f>
        <v/>
      </c>
      <c r="AT66" s="88"/>
      <c r="AU66" s="90" t="str">
        <f aca="false">IF(AT66="","",ROUND(AT66/(1+Справочники!$B$12),0))</f>
        <v/>
      </c>
      <c r="AV66" s="90" t="str">
        <f aca="false">IF(AT66="","",ROUND(AT66*(1-Справочники!$B$15),0))</f>
        <v/>
      </c>
      <c r="AW66" s="90" t="str">
        <f aca="false">IF(AT66="","",ROUND(AT66*(1-Справочники!$B$16),0))</f>
        <v/>
      </c>
      <c r="AX66" s="90" t="str">
        <f aca="false">IF(AT66="","",ROUND(AT66*(1-Справочники!$B$17),0))</f>
        <v/>
      </c>
      <c r="AY66" s="90" t="str">
        <f aca="false">IF(AT66="","",ROUND(AT66*(1-Справочники!$B$18),0))</f>
        <v/>
      </c>
      <c r="AZ66" s="90" t="str">
        <f aca="false">IF(AT66="","",ROUND(AT66*(1-Справочники!$B$19),0))</f>
        <v/>
      </c>
      <c r="BA66" s="81"/>
      <c r="BB66" s="81"/>
      <c r="BC66" s="81"/>
      <c r="BD66" s="81"/>
      <c r="BE66" s="91"/>
      <c r="BF66" s="81" t="s">
        <v>103</v>
      </c>
      <c r="BG66" s="89" t="n">
        <f aca="false" t="array" ref="BG66:BG66">IF(BF66="","",IFERROR(INDEX(Справочники!$B$4:$B$7,MATCH(BF66,Справочники!$A$4:$A$7,0)),""))</f>
        <v>68.5</v>
      </c>
      <c r="BH66" s="90" t="str">
        <f aca="false">IF(N(BN66)&gt;0,ROUND(SUMIF(ЗАКАЗЫ!$F$3:$F$500,$A66,ЗАКАЗЫ!$Y$3:$Y$500)/BN66,0),IF(OR(BE66="",BG66=""),"",ROUND(BE66*BG66*(1+Справочники!$B$10),0)))</f>
        <v/>
      </c>
      <c r="BI66" s="92" t="str">
        <f aca="false">IF(OR(AU66="",BH66="",AU66=0),"",(AU66-BH66)/AU66)</f>
        <v/>
      </c>
      <c r="BJ66" s="81"/>
      <c r="BK66" s="83"/>
      <c r="BL66" s="43" t="str">
        <f aca="false">IFERROR(INDEX(ЗАКАЗЫ!$N$3:$N$500,MATCH($A66,ЗАКАЗЫ!$F$3:$F$500,0)),"")</f>
        <v/>
      </c>
      <c r="BM66" s="8" t="str">
        <f aca="false">IF(BL66="","",IFERROR(VLOOKUP(BL66,'ТН ВЭД'!$A$4:$C$40,3,0),""))</f>
        <v/>
      </c>
      <c r="BN66" s="7" t="str">
        <f aca="false">IF(COUNTIF(ЗАКАЗЫ!$F$3:$F$500,$A66)=0,"",SUMIF(ЗАКАЗЫ!$F$3:$F$500,$A66,ЗАКАЗЫ!$J$3:$J$500))</f>
        <v/>
      </c>
      <c r="BO66" s="7" t="str">
        <f aca="false">IF(BN66="","",SUMIF(ЗАКАЗЫ!$F$3:$F$500,$A66,ЗАКАЗЫ!$AL$3:$AL$500))</f>
        <v/>
      </c>
      <c r="BP66" s="7" t="str">
        <f aca="false">IF(BN66="","",BN66-BO66)</f>
        <v/>
      </c>
      <c r="BQ66" s="55" t="str">
        <f aca="false">IF(BN66="","",IF(BO66&gt;=BN66,"На складе",IF(BO66&gt;0,"Частично","Ждём")))</f>
        <v/>
      </c>
      <c r="BR66" s="43"/>
      <c r="BS66" s="47" t="str">
        <f aca="false">IF(BN66="","",IF(_xlfn.MAXIFS(ЗАКАЗЫ!$AK$3:$AK$500,ЗАКАЗЫ!$F$3:$F$500,$A66)=0,"",_xlfn.MAXIFS(ЗАКАЗЫ!$AK$3:$AK$500,ЗАКАЗЫ!$F$3:$F$500,$A66)))</f>
        <v/>
      </c>
    </row>
    <row r="67" customFormat="false" ht="15.75" hidden="false" customHeight="true" outlineLevel="0" collapsed="false">
      <c r="A67" s="80" t="s">
        <v>2607</v>
      </c>
      <c r="B67" s="81"/>
      <c r="C67" s="81"/>
      <c r="D67" s="81"/>
      <c r="E67" s="83"/>
      <c r="F67" s="81"/>
      <c r="G67" s="83"/>
      <c r="H67" s="83"/>
      <c r="I67" s="84" t="str">
        <f aca="false">IF(E67="","",A67&amp;"_1.jpg")</f>
        <v/>
      </c>
      <c r="J67" s="84" t="str">
        <f aca="false">IF(E67="","",A67&amp;"_2.jpg; "&amp;A67&amp;"_3.jpg")</f>
        <v/>
      </c>
      <c r="K67" s="84" t="str">
        <f aca="false">IF(E67="","",A67&amp;"_schema.jpg")</f>
        <v/>
      </c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 t="s">
        <v>96</v>
      </c>
      <c r="W67" s="81"/>
      <c r="X67" s="81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6" t="str">
        <f aca="false">IF(SUM(Y67:AJ67)=0,"",SUM(Y67:AJ67))</f>
        <v/>
      </c>
      <c r="AL67" s="84" t="str">
        <f aca="false">MID(IF(N(Y67)&gt;0,", "&amp;Y$2,"")&amp;IF(N(Z67)&gt;0,", "&amp;Z$2,"")&amp;IF(N(AA67)&gt;0,", "&amp;AA$2,"")&amp;IF(N(AB67)&gt;0,", "&amp;AB$2,"")&amp;IF(N(AC67)&gt;0,", "&amp;AC$2,"")&amp;IF(N(AD67)&gt;0,", "&amp;AD$2,"")&amp;IF(N(AE67)&gt;0,", "&amp;AE$2,"")&amp;IF(N(AF67)&gt;0,", "&amp;AF$2,"")&amp;IF(N(AG67)&gt;0,", "&amp;AG$2,"")&amp;IF(N(AH67)&gt;0,", "&amp;AH$2,"")&amp;IF(N(AI67)&gt;0,", "&amp;AI$2,"")&amp;IF(N(AJ67)&gt;0,", "&amp;AJ$2,""),3,999)</f>
        <v/>
      </c>
      <c r="AM67" s="87" t="str">
        <f aca="false">IF(E67="","",MID(IF(N(Y67)&gt;0,", "&amp;A67&amp;"-"&amp;Y$2,"")&amp;IF(N(Z67)&gt;0,", "&amp;A67&amp;"-"&amp;Z$2,"")&amp;IF(N(AA67)&gt;0,", "&amp;A67&amp;"-"&amp;AA$2,"")&amp;IF(N(AB67)&gt;0,", "&amp;A67&amp;"-"&amp;AB$2,"")&amp;IF(N(AC67)&gt;0,", "&amp;A67&amp;"-"&amp;AC$2,"")&amp;IF(N(AD67)&gt;0,", "&amp;A67&amp;"-"&amp;AD$2,"")&amp;IF(N(AE67)&gt;0,", "&amp;A67&amp;"-"&amp;AE$2,"")&amp;IF(N(AF67)&gt;0,", "&amp;A67&amp;"-"&amp;AF$2,"")&amp;IF(N(AG67)&gt;0,", "&amp;A67&amp;"-"&amp;AG$2,"")&amp;IF(N(AH67)&gt;0,", "&amp;A67&amp;"-"&amp;AH$2,"")&amp;IF(N(AI67)&gt;0,", "&amp;A67&amp;"-"&amp;AI$2,"")&amp;IF(N(AJ67)&gt;0,", "&amp;A67&amp;"-"&amp;AJ$2,""),3,999))</f>
        <v/>
      </c>
      <c r="AN67" s="81"/>
      <c r="AO67" s="88"/>
      <c r="AP67" s="89" t="str">
        <f aca="false">IF(AO67="","",ROUND(AO67/(1+Справочники!$B$13),2))</f>
        <v/>
      </c>
      <c r="AQ67" s="90" t="str">
        <f aca="false" t="array" ref="AQ67:AQ67">IF(AP67="","",AP67*INDEX(Справочники!$B$4:$B$7,MATCH("RUB",Справочники!$A$4:$A$7,0)))</f>
        <v/>
      </c>
      <c r="AR67" s="90" t="str">
        <f aca="false">IF(AQ67="","",ROUND(AQ67*(1+Справочники!$B$12),0))</f>
        <v/>
      </c>
      <c r="AS67" s="90" t="str">
        <f aca="false">IF(AR67="","",ROUND(AR67*(1-Справочники!$B$11),0))</f>
        <v/>
      </c>
      <c r="AT67" s="88"/>
      <c r="AU67" s="90" t="str">
        <f aca="false">IF(AT67="","",ROUND(AT67/(1+Справочники!$B$12),0))</f>
        <v/>
      </c>
      <c r="AV67" s="90" t="str">
        <f aca="false">IF(AT67="","",ROUND(AT67*(1-Справочники!$B$15),0))</f>
        <v/>
      </c>
      <c r="AW67" s="90" t="str">
        <f aca="false">IF(AT67="","",ROUND(AT67*(1-Справочники!$B$16),0))</f>
        <v/>
      </c>
      <c r="AX67" s="90" t="str">
        <f aca="false">IF(AT67="","",ROUND(AT67*(1-Справочники!$B$17),0))</f>
        <v/>
      </c>
      <c r="AY67" s="90" t="str">
        <f aca="false">IF(AT67="","",ROUND(AT67*(1-Справочники!$B$18),0))</f>
        <v/>
      </c>
      <c r="AZ67" s="90" t="str">
        <f aca="false">IF(AT67="","",ROUND(AT67*(1-Справочники!$B$19),0))</f>
        <v/>
      </c>
      <c r="BA67" s="81"/>
      <c r="BB67" s="81"/>
      <c r="BC67" s="81"/>
      <c r="BD67" s="81"/>
      <c r="BE67" s="91"/>
      <c r="BF67" s="81" t="s">
        <v>103</v>
      </c>
      <c r="BG67" s="89" t="n">
        <f aca="false" t="array" ref="BG67:BG67">IF(BF67="","",IFERROR(INDEX(Справочники!$B$4:$B$7,MATCH(BF67,Справочники!$A$4:$A$7,0)),""))</f>
        <v>68.5</v>
      </c>
      <c r="BH67" s="90" t="str">
        <f aca="false">IF(N(BN67)&gt;0,ROUND(SUMIF(ЗАКАЗЫ!$F$3:$F$500,$A67,ЗАКАЗЫ!$Y$3:$Y$500)/BN67,0),IF(OR(BE67="",BG67=""),"",ROUND(BE67*BG67*(1+Справочники!$B$10),0)))</f>
        <v/>
      </c>
      <c r="BI67" s="92" t="str">
        <f aca="false">IF(OR(AU67="",BH67="",AU67=0),"",(AU67-BH67)/AU67)</f>
        <v/>
      </c>
      <c r="BJ67" s="81"/>
      <c r="BK67" s="83"/>
      <c r="BL67" s="43" t="str">
        <f aca="false">IFERROR(INDEX(ЗАКАЗЫ!$N$3:$N$500,MATCH($A67,ЗАКАЗЫ!$F$3:$F$500,0)),"")</f>
        <v/>
      </c>
      <c r="BM67" s="8" t="str">
        <f aca="false">IF(BL67="","",IFERROR(VLOOKUP(BL67,'ТН ВЭД'!$A$4:$C$40,3,0),""))</f>
        <v/>
      </c>
      <c r="BN67" s="7" t="str">
        <f aca="false">IF(COUNTIF(ЗАКАЗЫ!$F$3:$F$500,$A67)=0,"",SUMIF(ЗАКАЗЫ!$F$3:$F$500,$A67,ЗАКАЗЫ!$J$3:$J$500))</f>
        <v/>
      </c>
      <c r="BO67" s="7" t="str">
        <f aca="false">IF(BN67="","",SUMIF(ЗАКАЗЫ!$F$3:$F$500,$A67,ЗАКАЗЫ!$AL$3:$AL$500))</f>
        <v/>
      </c>
      <c r="BP67" s="7" t="str">
        <f aca="false">IF(BN67="","",BN67-BO67)</f>
        <v/>
      </c>
      <c r="BQ67" s="55" t="str">
        <f aca="false">IF(BN67="","",IF(BO67&gt;=BN67,"На складе",IF(BO67&gt;0,"Частично","Ждём")))</f>
        <v/>
      </c>
      <c r="BR67" s="43"/>
      <c r="BS67" s="47" t="str">
        <f aca="false">IF(BN67="","",IF(_xlfn.MAXIFS(ЗАКАЗЫ!$AK$3:$AK$500,ЗАКАЗЫ!$F$3:$F$500,$A67)=0,"",_xlfn.MAXIFS(ЗАКАЗЫ!$AK$3:$AK$500,ЗАКАЗЫ!$F$3:$F$500,$A67)))</f>
        <v/>
      </c>
    </row>
    <row r="68" customFormat="false" ht="15.75" hidden="false" customHeight="true" outlineLevel="0" collapsed="false">
      <c r="A68" s="80" t="s">
        <v>2608</v>
      </c>
      <c r="B68" s="81"/>
      <c r="C68" s="81"/>
      <c r="D68" s="81"/>
      <c r="E68" s="83"/>
      <c r="F68" s="81"/>
      <c r="G68" s="83"/>
      <c r="H68" s="83"/>
      <c r="I68" s="84" t="str">
        <f aca="false">IF(E68="","",A68&amp;"_1.jpg")</f>
        <v/>
      </c>
      <c r="J68" s="84" t="str">
        <f aca="false">IF(E68="","",A68&amp;"_2.jpg; "&amp;A68&amp;"_3.jpg")</f>
        <v/>
      </c>
      <c r="K68" s="84" t="str">
        <f aca="false">IF(E68="","",A68&amp;"_schema.jpg")</f>
        <v/>
      </c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 t="s">
        <v>96</v>
      </c>
      <c r="W68" s="81"/>
      <c r="X68" s="81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6" t="str">
        <f aca="false">IF(SUM(Y68:AJ68)=0,"",SUM(Y68:AJ68))</f>
        <v/>
      </c>
      <c r="AL68" s="84" t="str">
        <f aca="false">MID(IF(N(Y68)&gt;0,", "&amp;Y$2,"")&amp;IF(N(Z68)&gt;0,", "&amp;Z$2,"")&amp;IF(N(AA68)&gt;0,", "&amp;AA$2,"")&amp;IF(N(AB68)&gt;0,", "&amp;AB$2,"")&amp;IF(N(AC68)&gt;0,", "&amp;AC$2,"")&amp;IF(N(AD68)&gt;0,", "&amp;AD$2,"")&amp;IF(N(AE68)&gt;0,", "&amp;AE$2,"")&amp;IF(N(AF68)&gt;0,", "&amp;AF$2,"")&amp;IF(N(AG68)&gt;0,", "&amp;AG$2,"")&amp;IF(N(AH68)&gt;0,", "&amp;AH$2,"")&amp;IF(N(AI68)&gt;0,", "&amp;AI$2,"")&amp;IF(N(AJ68)&gt;0,", "&amp;AJ$2,""),3,999)</f>
        <v/>
      </c>
      <c r="AM68" s="87" t="str">
        <f aca="false">IF(E68="","",MID(IF(N(Y68)&gt;0,", "&amp;A68&amp;"-"&amp;Y$2,"")&amp;IF(N(Z68)&gt;0,", "&amp;A68&amp;"-"&amp;Z$2,"")&amp;IF(N(AA68)&gt;0,", "&amp;A68&amp;"-"&amp;AA$2,"")&amp;IF(N(AB68)&gt;0,", "&amp;A68&amp;"-"&amp;AB$2,"")&amp;IF(N(AC68)&gt;0,", "&amp;A68&amp;"-"&amp;AC$2,"")&amp;IF(N(AD68)&gt;0,", "&amp;A68&amp;"-"&amp;AD$2,"")&amp;IF(N(AE68)&gt;0,", "&amp;A68&amp;"-"&amp;AE$2,"")&amp;IF(N(AF68)&gt;0,", "&amp;A68&amp;"-"&amp;AF$2,"")&amp;IF(N(AG68)&gt;0,", "&amp;A68&amp;"-"&amp;AG$2,"")&amp;IF(N(AH68)&gt;0,", "&amp;A68&amp;"-"&amp;AH$2,"")&amp;IF(N(AI68)&gt;0,", "&amp;A68&amp;"-"&amp;AI$2,"")&amp;IF(N(AJ68)&gt;0,", "&amp;A68&amp;"-"&amp;AJ$2,""),3,999))</f>
        <v/>
      </c>
      <c r="AN68" s="81"/>
      <c r="AO68" s="88"/>
      <c r="AP68" s="89" t="str">
        <f aca="false">IF(AO68="","",ROUND(AO68/(1+Справочники!$B$13),2))</f>
        <v/>
      </c>
      <c r="AQ68" s="90" t="str">
        <f aca="false" t="array" ref="AQ68:AQ68">IF(AP68="","",AP68*INDEX(Справочники!$B$4:$B$7,MATCH("RUB",Справочники!$A$4:$A$7,0)))</f>
        <v/>
      </c>
      <c r="AR68" s="90" t="str">
        <f aca="false">IF(AQ68="","",ROUND(AQ68*(1+Справочники!$B$12),0))</f>
        <v/>
      </c>
      <c r="AS68" s="90" t="str">
        <f aca="false">IF(AR68="","",ROUND(AR68*(1-Справочники!$B$11),0))</f>
        <v/>
      </c>
      <c r="AT68" s="88"/>
      <c r="AU68" s="90" t="str">
        <f aca="false">IF(AT68="","",ROUND(AT68/(1+Справочники!$B$12),0))</f>
        <v/>
      </c>
      <c r="AV68" s="90" t="str">
        <f aca="false">IF(AT68="","",ROUND(AT68*(1-Справочники!$B$15),0))</f>
        <v/>
      </c>
      <c r="AW68" s="90" t="str">
        <f aca="false">IF(AT68="","",ROUND(AT68*(1-Справочники!$B$16),0))</f>
        <v/>
      </c>
      <c r="AX68" s="90" t="str">
        <f aca="false">IF(AT68="","",ROUND(AT68*(1-Справочники!$B$17),0))</f>
        <v/>
      </c>
      <c r="AY68" s="90" t="str">
        <f aca="false">IF(AT68="","",ROUND(AT68*(1-Справочники!$B$18),0))</f>
        <v/>
      </c>
      <c r="AZ68" s="90" t="str">
        <f aca="false">IF(AT68="","",ROUND(AT68*(1-Справочники!$B$19),0))</f>
        <v/>
      </c>
      <c r="BA68" s="81"/>
      <c r="BB68" s="81"/>
      <c r="BC68" s="81"/>
      <c r="BD68" s="81"/>
      <c r="BE68" s="91"/>
      <c r="BF68" s="81" t="s">
        <v>103</v>
      </c>
      <c r="BG68" s="89" t="n">
        <f aca="false" t="array" ref="BG68:BG68">IF(BF68="","",IFERROR(INDEX(Справочники!$B$4:$B$7,MATCH(BF68,Справочники!$A$4:$A$7,0)),""))</f>
        <v>68.5</v>
      </c>
      <c r="BH68" s="90" t="str">
        <f aca="false">IF(N(BN68)&gt;0,ROUND(SUMIF(ЗАКАЗЫ!$F$3:$F$500,$A68,ЗАКАЗЫ!$Y$3:$Y$500)/BN68,0),IF(OR(BE68="",BG68=""),"",ROUND(BE68*BG68*(1+Справочники!$B$10),0)))</f>
        <v/>
      </c>
      <c r="BI68" s="92" t="str">
        <f aca="false">IF(OR(AU68="",BH68="",AU68=0),"",(AU68-BH68)/AU68)</f>
        <v/>
      </c>
      <c r="BJ68" s="81"/>
      <c r="BK68" s="83"/>
      <c r="BL68" s="43" t="str">
        <f aca="false">IFERROR(INDEX(ЗАКАЗЫ!$N$3:$N$500,MATCH($A68,ЗАКАЗЫ!$F$3:$F$500,0)),"")</f>
        <v/>
      </c>
      <c r="BM68" s="8" t="str">
        <f aca="false">IF(BL68="","",IFERROR(VLOOKUP(BL68,'ТН ВЭД'!$A$4:$C$40,3,0),""))</f>
        <v/>
      </c>
      <c r="BN68" s="7" t="str">
        <f aca="false">IF(COUNTIF(ЗАКАЗЫ!$F$3:$F$500,$A68)=0,"",SUMIF(ЗАКАЗЫ!$F$3:$F$500,$A68,ЗАКАЗЫ!$J$3:$J$500))</f>
        <v/>
      </c>
      <c r="BO68" s="7" t="str">
        <f aca="false">IF(BN68="","",SUMIF(ЗАКАЗЫ!$F$3:$F$500,$A68,ЗАКАЗЫ!$AL$3:$AL$500))</f>
        <v/>
      </c>
      <c r="BP68" s="7" t="str">
        <f aca="false">IF(BN68="","",BN68-BO68)</f>
        <v/>
      </c>
      <c r="BQ68" s="55" t="str">
        <f aca="false">IF(BN68="","",IF(BO68&gt;=BN68,"На складе",IF(BO68&gt;0,"Частично","Ждём")))</f>
        <v/>
      </c>
      <c r="BR68" s="43"/>
      <c r="BS68" s="47" t="str">
        <f aca="false">IF(BN68="","",IF(_xlfn.MAXIFS(ЗАКАЗЫ!$AK$3:$AK$500,ЗАКАЗЫ!$F$3:$F$500,$A68)=0,"",_xlfn.MAXIFS(ЗАКАЗЫ!$AK$3:$AK$500,ЗАКАЗЫ!$F$3:$F$500,$A68)))</f>
        <v/>
      </c>
    </row>
    <row r="69" customFormat="false" ht="15.75" hidden="false" customHeight="true" outlineLevel="0" collapsed="false">
      <c r="A69" s="80" t="s">
        <v>2609</v>
      </c>
      <c r="B69" s="81"/>
      <c r="C69" s="81"/>
      <c r="D69" s="81"/>
      <c r="E69" s="83"/>
      <c r="F69" s="81"/>
      <c r="G69" s="83"/>
      <c r="H69" s="83"/>
      <c r="I69" s="84" t="str">
        <f aca="false">IF(E69="","",A69&amp;"_1.jpg")</f>
        <v/>
      </c>
      <c r="J69" s="84" t="str">
        <f aca="false">IF(E69="","",A69&amp;"_2.jpg; "&amp;A69&amp;"_3.jpg")</f>
        <v/>
      </c>
      <c r="K69" s="84" t="str">
        <f aca="false">IF(E69="","",A69&amp;"_schema.jpg")</f>
        <v/>
      </c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 t="s">
        <v>96</v>
      </c>
      <c r="W69" s="81"/>
      <c r="X69" s="81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6" t="str">
        <f aca="false">IF(SUM(Y69:AJ69)=0,"",SUM(Y69:AJ69))</f>
        <v/>
      </c>
      <c r="AL69" s="84" t="str">
        <f aca="false">MID(IF(N(Y69)&gt;0,", "&amp;Y$2,"")&amp;IF(N(Z69)&gt;0,", "&amp;Z$2,"")&amp;IF(N(AA69)&gt;0,", "&amp;AA$2,"")&amp;IF(N(AB69)&gt;0,", "&amp;AB$2,"")&amp;IF(N(AC69)&gt;0,", "&amp;AC$2,"")&amp;IF(N(AD69)&gt;0,", "&amp;AD$2,"")&amp;IF(N(AE69)&gt;0,", "&amp;AE$2,"")&amp;IF(N(AF69)&gt;0,", "&amp;AF$2,"")&amp;IF(N(AG69)&gt;0,", "&amp;AG$2,"")&amp;IF(N(AH69)&gt;0,", "&amp;AH$2,"")&amp;IF(N(AI69)&gt;0,", "&amp;AI$2,"")&amp;IF(N(AJ69)&gt;0,", "&amp;AJ$2,""),3,999)</f>
        <v/>
      </c>
      <c r="AM69" s="87" t="str">
        <f aca="false">IF(E69="","",MID(IF(N(Y69)&gt;0,", "&amp;A69&amp;"-"&amp;Y$2,"")&amp;IF(N(Z69)&gt;0,", "&amp;A69&amp;"-"&amp;Z$2,"")&amp;IF(N(AA69)&gt;0,", "&amp;A69&amp;"-"&amp;AA$2,"")&amp;IF(N(AB69)&gt;0,", "&amp;A69&amp;"-"&amp;AB$2,"")&amp;IF(N(AC69)&gt;0,", "&amp;A69&amp;"-"&amp;AC$2,"")&amp;IF(N(AD69)&gt;0,", "&amp;A69&amp;"-"&amp;AD$2,"")&amp;IF(N(AE69)&gt;0,", "&amp;A69&amp;"-"&amp;AE$2,"")&amp;IF(N(AF69)&gt;0,", "&amp;A69&amp;"-"&amp;AF$2,"")&amp;IF(N(AG69)&gt;0,", "&amp;A69&amp;"-"&amp;AG$2,"")&amp;IF(N(AH69)&gt;0,", "&amp;A69&amp;"-"&amp;AH$2,"")&amp;IF(N(AI69)&gt;0,", "&amp;A69&amp;"-"&amp;AI$2,"")&amp;IF(N(AJ69)&gt;0,", "&amp;A69&amp;"-"&amp;AJ$2,""),3,999))</f>
        <v/>
      </c>
      <c r="AN69" s="81"/>
      <c r="AO69" s="88"/>
      <c r="AP69" s="89" t="str">
        <f aca="false">IF(AO69="","",ROUND(AO69/(1+Справочники!$B$13),2))</f>
        <v/>
      </c>
      <c r="AQ69" s="90" t="str">
        <f aca="false" t="array" ref="AQ69:AQ69">IF(AP69="","",AP69*INDEX(Справочники!$B$4:$B$7,MATCH("RUB",Справочники!$A$4:$A$7,0)))</f>
        <v/>
      </c>
      <c r="AR69" s="90" t="str">
        <f aca="false">IF(AQ69="","",ROUND(AQ69*(1+Справочники!$B$12),0))</f>
        <v/>
      </c>
      <c r="AS69" s="90" t="str">
        <f aca="false">IF(AR69="","",ROUND(AR69*(1-Справочники!$B$11),0))</f>
        <v/>
      </c>
      <c r="AT69" s="88"/>
      <c r="AU69" s="90" t="str">
        <f aca="false">IF(AT69="","",ROUND(AT69/(1+Справочники!$B$12),0))</f>
        <v/>
      </c>
      <c r="AV69" s="90" t="str">
        <f aca="false">IF(AT69="","",ROUND(AT69*(1-Справочники!$B$15),0))</f>
        <v/>
      </c>
      <c r="AW69" s="90" t="str">
        <f aca="false">IF(AT69="","",ROUND(AT69*(1-Справочники!$B$16),0))</f>
        <v/>
      </c>
      <c r="AX69" s="90" t="str">
        <f aca="false">IF(AT69="","",ROUND(AT69*(1-Справочники!$B$17),0))</f>
        <v/>
      </c>
      <c r="AY69" s="90" t="str">
        <f aca="false">IF(AT69="","",ROUND(AT69*(1-Справочники!$B$18),0))</f>
        <v/>
      </c>
      <c r="AZ69" s="90" t="str">
        <f aca="false">IF(AT69="","",ROUND(AT69*(1-Справочники!$B$19),0))</f>
        <v/>
      </c>
      <c r="BA69" s="81"/>
      <c r="BB69" s="81"/>
      <c r="BC69" s="81"/>
      <c r="BD69" s="81"/>
      <c r="BE69" s="91"/>
      <c r="BF69" s="81" t="s">
        <v>103</v>
      </c>
      <c r="BG69" s="89" t="n">
        <f aca="false" t="array" ref="BG69:BG69">IF(BF69="","",IFERROR(INDEX(Справочники!$B$4:$B$7,MATCH(BF69,Справочники!$A$4:$A$7,0)),""))</f>
        <v>68.5</v>
      </c>
      <c r="BH69" s="90" t="str">
        <f aca="false">IF(N(BN69)&gt;0,ROUND(SUMIF(ЗАКАЗЫ!$F$3:$F$500,$A69,ЗАКАЗЫ!$Y$3:$Y$500)/BN69,0),IF(OR(BE69="",BG69=""),"",ROUND(BE69*BG69*(1+Справочники!$B$10),0)))</f>
        <v/>
      </c>
      <c r="BI69" s="92" t="str">
        <f aca="false">IF(OR(AU69="",BH69="",AU69=0),"",(AU69-BH69)/AU69)</f>
        <v/>
      </c>
      <c r="BJ69" s="81"/>
      <c r="BK69" s="83"/>
      <c r="BL69" s="43" t="str">
        <f aca="false">IFERROR(INDEX(ЗАКАЗЫ!$N$3:$N$500,MATCH($A69,ЗАКАЗЫ!$F$3:$F$500,0)),"")</f>
        <v/>
      </c>
      <c r="BM69" s="8" t="str">
        <f aca="false">IF(BL69="","",IFERROR(VLOOKUP(BL69,'ТН ВЭД'!$A$4:$C$40,3,0),""))</f>
        <v/>
      </c>
      <c r="BN69" s="7" t="str">
        <f aca="false">IF(COUNTIF(ЗАКАЗЫ!$F$3:$F$500,$A69)=0,"",SUMIF(ЗАКАЗЫ!$F$3:$F$500,$A69,ЗАКАЗЫ!$J$3:$J$500))</f>
        <v/>
      </c>
      <c r="BO69" s="7" t="str">
        <f aca="false">IF(BN69="","",SUMIF(ЗАКАЗЫ!$F$3:$F$500,$A69,ЗАКАЗЫ!$AL$3:$AL$500))</f>
        <v/>
      </c>
      <c r="BP69" s="7" t="str">
        <f aca="false">IF(BN69="","",BN69-BO69)</f>
        <v/>
      </c>
      <c r="BQ69" s="55" t="str">
        <f aca="false">IF(BN69="","",IF(BO69&gt;=BN69,"На складе",IF(BO69&gt;0,"Частично","Ждём")))</f>
        <v/>
      </c>
      <c r="BR69" s="43"/>
      <c r="BS69" s="47" t="str">
        <f aca="false">IF(BN69="","",IF(_xlfn.MAXIFS(ЗАКАЗЫ!$AK$3:$AK$500,ЗАКАЗЫ!$F$3:$F$500,$A69)=0,"",_xlfn.MAXIFS(ЗАКАЗЫ!$AK$3:$AK$500,ЗАКАЗЫ!$F$3:$F$500,$A69)))</f>
        <v/>
      </c>
    </row>
    <row r="70" customFormat="false" ht="15.75" hidden="false" customHeight="true" outlineLevel="0" collapsed="false">
      <c r="A70" s="80" t="s">
        <v>2610</v>
      </c>
      <c r="B70" s="81"/>
      <c r="C70" s="81"/>
      <c r="D70" s="81"/>
      <c r="E70" s="83"/>
      <c r="F70" s="81"/>
      <c r="G70" s="83"/>
      <c r="H70" s="83"/>
      <c r="I70" s="84" t="str">
        <f aca="false">IF(E70="","",A70&amp;"_1.jpg")</f>
        <v/>
      </c>
      <c r="J70" s="84" t="str">
        <f aca="false">IF(E70="","",A70&amp;"_2.jpg; "&amp;A70&amp;"_3.jpg")</f>
        <v/>
      </c>
      <c r="K70" s="84" t="str">
        <f aca="false">IF(E70="","",A70&amp;"_schema.jpg")</f>
        <v/>
      </c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 t="s">
        <v>96</v>
      </c>
      <c r="W70" s="81"/>
      <c r="X70" s="81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6" t="str">
        <f aca="false">IF(SUM(Y70:AJ70)=0,"",SUM(Y70:AJ70))</f>
        <v/>
      </c>
      <c r="AL70" s="84" t="str">
        <f aca="false">MID(IF(N(Y70)&gt;0,", "&amp;Y$2,"")&amp;IF(N(Z70)&gt;0,", "&amp;Z$2,"")&amp;IF(N(AA70)&gt;0,", "&amp;AA$2,"")&amp;IF(N(AB70)&gt;0,", "&amp;AB$2,"")&amp;IF(N(AC70)&gt;0,", "&amp;AC$2,"")&amp;IF(N(AD70)&gt;0,", "&amp;AD$2,"")&amp;IF(N(AE70)&gt;0,", "&amp;AE$2,"")&amp;IF(N(AF70)&gt;0,", "&amp;AF$2,"")&amp;IF(N(AG70)&gt;0,", "&amp;AG$2,"")&amp;IF(N(AH70)&gt;0,", "&amp;AH$2,"")&amp;IF(N(AI70)&gt;0,", "&amp;AI$2,"")&amp;IF(N(AJ70)&gt;0,", "&amp;AJ$2,""),3,999)</f>
        <v/>
      </c>
      <c r="AM70" s="87" t="str">
        <f aca="false">IF(E70="","",MID(IF(N(Y70)&gt;0,", "&amp;A70&amp;"-"&amp;Y$2,"")&amp;IF(N(Z70)&gt;0,", "&amp;A70&amp;"-"&amp;Z$2,"")&amp;IF(N(AA70)&gt;0,", "&amp;A70&amp;"-"&amp;AA$2,"")&amp;IF(N(AB70)&gt;0,", "&amp;A70&amp;"-"&amp;AB$2,"")&amp;IF(N(AC70)&gt;0,", "&amp;A70&amp;"-"&amp;AC$2,"")&amp;IF(N(AD70)&gt;0,", "&amp;A70&amp;"-"&amp;AD$2,"")&amp;IF(N(AE70)&gt;0,", "&amp;A70&amp;"-"&amp;AE$2,"")&amp;IF(N(AF70)&gt;0,", "&amp;A70&amp;"-"&amp;AF$2,"")&amp;IF(N(AG70)&gt;0,", "&amp;A70&amp;"-"&amp;AG$2,"")&amp;IF(N(AH70)&gt;0,", "&amp;A70&amp;"-"&amp;AH$2,"")&amp;IF(N(AI70)&gt;0,", "&amp;A70&amp;"-"&amp;AI$2,"")&amp;IF(N(AJ70)&gt;0,", "&amp;A70&amp;"-"&amp;AJ$2,""),3,999))</f>
        <v/>
      </c>
      <c r="AN70" s="81"/>
      <c r="AO70" s="88"/>
      <c r="AP70" s="89" t="str">
        <f aca="false">IF(AO70="","",ROUND(AO70/(1+Справочники!$B$13),2))</f>
        <v/>
      </c>
      <c r="AQ70" s="90" t="str">
        <f aca="false" t="array" ref="AQ70:AQ70">IF(AP70="","",AP70*INDEX(Справочники!$B$4:$B$7,MATCH("RUB",Справочники!$A$4:$A$7,0)))</f>
        <v/>
      </c>
      <c r="AR70" s="90" t="str">
        <f aca="false">IF(AQ70="","",ROUND(AQ70*(1+Справочники!$B$12),0))</f>
        <v/>
      </c>
      <c r="AS70" s="90" t="str">
        <f aca="false">IF(AR70="","",ROUND(AR70*(1-Справочники!$B$11),0))</f>
        <v/>
      </c>
      <c r="AT70" s="88"/>
      <c r="AU70" s="90" t="str">
        <f aca="false">IF(AT70="","",ROUND(AT70/(1+Справочники!$B$12),0))</f>
        <v/>
      </c>
      <c r="AV70" s="90" t="str">
        <f aca="false">IF(AT70="","",ROUND(AT70*(1-Справочники!$B$15),0))</f>
        <v/>
      </c>
      <c r="AW70" s="90" t="str">
        <f aca="false">IF(AT70="","",ROUND(AT70*(1-Справочники!$B$16),0))</f>
        <v/>
      </c>
      <c r="AX70" s="90" t="str">
        <f aca="false">IF(AT70="","",ROUND(AT70*(1-Справочники!$B$17),0))</f>
        <v/>
      </c>
      <c r="AY70" s="90" t="str">
        <f aca="false">IF(AT70="","",ROUND(AT70*(1-Справочники!$B$18),0))</f>
        <v/>
      </c>
      <c r="AZ70" s="90" t="str">
        <f aca="false">IF(AT70="","",ROUND(AT70*(1-Справочники!$B$19),0))</f>
        <v/>
      </c>
      <c r="BA70" s="81"/>
      <c r="BB70" s="81"/>
      <c r="BC70" s="81"/>
      <c r="BD70" s="81"/>
      <c r="BE70" s="91"/>
      <c r="BF70" s="81" t="s">
        <v>103</v>
      </c>
      <c r="BG70" s="89" t="n">
        <f aca="false" t="array" ref="BG70:BG70">IF(BF70="","",IFERROR(INDEX(Справочники!$B$4:$B$7,MATCH(BF70,Справочники!$A$4:$A$7,0)),""))</f>
        <v>68.5</v>
      </c>
      <c r="BH70" s="90" t="str">
        <f aca="false">IF(N(BN70)&gt;0,ROUND(SUMIF(ЗАКАЗЫ!$F$3:$F$500,$A70,ЗАКАЗЫ!$Y$3:$Y$500)/BN70,0),IF(OR(BE70="",BG70=""),"",ROUND(BE70*BG70*(1+Справочники!$B$10),0)))</f>
        <v/>
      </c>
      <c r="BI70" s="92" t="str">
        <f aca="false">IF(OR(AU70="",BH70="",AU70=0),"",(AU70-BH70)/AU70)</f>
        <v/>
      </c>
      <c r="BJ70" s="81"/>
      <c r="BK70" s="83"/>
      <c r="BL70" s="43" t="str">
        <f aca="false">IFERROR(INDEX(ЗАКАЗЫ!$N$3:$N$500,MATCH($A70,ЗАКАЗЫ!$F$3:$F$500,0)),"")</f>
        <v/>
      </c>
      <c r="BM70" s="8" t="str">
        <f aca="false">IF(BL70="","",IFERROR(VLOOKUP(BL70,'ТН ВЭД'!$A$4:$C$40,3,0),""))</f>
        <v/>
      </c>
      <c r="BN70" s="7" t="str">
        <f aca="false">IF(COUNTIF(ЗАКАЗЫ!$F$3:$F$500,$A70)=0,"",SUMIF(ЗАКАЗЫ!$F$3:$F$500,$A70,ЗАКАЗЫ!$J$3:$J$500))</f>
        <v/>
      </c>
      <c r="BO70" s="7" t="str">
        <f aca="false">IF(BN70="","",SUMIF(ЗАКАЗЫ!$F$3:$F$500,$A70,ЗАКАЗЫ!$AL$3:$AL$500))</f>
        <v/>
      </c>
      <c r="BP70" s="7" t="str">
        <f aca="false">IF(BN70="","",BN70-BO70)</f>
        <v/>
      </c>
      <c r="BQ70" s="55" t="str">
        <f aca="false">IF(BN70="","",IF(BO70&gt;=BN70,"На складе",IF(BO70&gt;0,"Частично","Ждём")))</f>
        <v/>
      </c>
      <c r="BR70" s="43"/>
      <c r="BS70" s="47" t="str">
        <f aca="false">IF(BN70="","",IF(_xlfn.MAXIFS(ЗАКАЗЫ!$AK$3:$AK$500,ЗАКАЗЫ!$F$3:$F$500,$A70)=0,"",_xlfn.MAXIFS(ЗАКАЗЫ!$AK$3:$AK$500,ЗАКАЗЫ!$F$3:$F$500,$A70)))</f>
        <v/>
      </c>
    </row>
    <row r="71" customFormat="false" ht="15.75" hidden="false" customHeight="true" outlineLevel="0" collapsed="false">
      <c r="A71" s="80" t="s">
        <v>2611</v>
      </c>
      <c r="B71" s="81"/>
      <c r="C71" s="81"/>
      <c r="D71" s="81"/>
      <c r="E71" s="83"/>
      <c r="F71" s="81"/>
      <c r="G71" s="83"/>
      <c r="H71" s="83"/>
      <c r="I71" s="84" t="str">
        <f aca="false">IF(E71="","",A71&amp;"_1.jpg")</f>
        <v/>
      </c>
      <c r="J71" s="84" t="str">
        <f aca="false">IF(E71="","",A71&amp;"_2.jpg; "&amp;A71&amp;"_3.jpg")</f>
        <v/>
      </c>
      <c r="K71" s="84" t="str">
        <f aca="false">IF(E71="","",A71&amp;"_schema.jpg")</f>
        <v/>
      </c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 t="s">
        <v>96</v>
      </c>
      <c r="W71" s="81"/>
      <c r="X71" s="81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6" t="str">
        <f aca="false">IF(SUM(Y71:AJ71)=0,"",SUM(Y71:AJ71))</f>
        <v/>
      </c>
      <c r="AL71" s="84" t="str">
        <f aca="false">MID(IF(N(Y71)&gt;0,", "&amp;Y$2,"")&amp;IF(N(Z71)&gt;0,", "&amp;Z$2,"")&amp;IF(N(AA71)&gt;0,", "&amp;AA$2,"")&amp;IF(N(AB71)&gt;0,", "&amp;AB$2,"")&amp;IF(N(AC71)&gt;0,", "&amp;AC$2,"")&amp;IF(N(AD71)&gt;0,", "&amp;AD$2,"")&amp;IF(N(AE71)&gt;0,", "&amp;AE$2,"")&amp;IF(N(AF71)&gt;0,", "&amp;AF$2,"")&amp;IF(N(AG71)&gt;0,", "&amp;AG$2,"")&amp;IF(N(AH71)&gt;0,", "&amp;AH$2,"")&amp;IF(N(AI71)&gt;0,", "&amp;AI$2,"")&amp;IF(N(AJ71)&gt;0,", "&amp;AJ$2,""),3,999)</f>
        <v/>
      </c>
      <c r="AM71" s="87" t="str">
        <f aca="false">IF(E71="","",MID(IF(N(Y71)&gt;0,", "&amp;A71&amp;"-"&amp;Y$2,"")&amp;IF(N(Z71)&gt;0,", "&amp;A71&amp;"-"&amp;Z$2,"")&amp;IF(N(AA71)&gt;0,", "&amp;A71&amp;"-"&amp;AA$2,"")&amp;IF(N(AB71)&gt;0,", "&amp;A71&amp;"-"&amp;AB$2,"")&amp;IF(N(AC71)&gt;0,", "&amp;A71&amp;"-"&amp;AC$2,"")&amp;IF(N(AD71)&gt;0,", "&amp;A71&amp;"-"&amp;AD$2,"")&amp;IF(N(AE71)&gt;0,", "&amp;A71&amp;"-"&amp;AE$2,"")&amp;IF(N(AF71)&gt;0,", "&amp;A71&amp;"-"&amp;AF$2,"")&amp;IF(N(AG71)&gt;0,", "&amp;A71&amp;"-"&amp;AG$2,"")&amp;IF(N(AH71)&gt;0,", "&amp;A71&amp;"-"&amp;AH$2,"")&amp;IF(N(AI71)&gt;0,", "&amp;A71&amp;"-"&amp;AI$2,"")&amp;IF(N(AJ71)&gt;0,", "&amp;A71&amp;"-"&amp;AJ$2,""),3,999))</f>
        <v/>
      </c>
      <c r="AN71" s="81"/>
      <c r="AO71" s="88"/>
      <c r="AP71" s="89" t="str">
        <f aca="false">IF(AO71="","",ROUND(AO71/(1+Справочники!$B$13),2))</f>
        <v/>
      </c>
      <c r="AQ71" s="90" t="str">
        <f aca="false" t="array" ref="AQ71:AQ71">IF(AP71="","",AP71*INDEX(Справочники!$B$4:$B$7,MATCH("RUB",Справочники!$A$4:$A$7,0)))</f>
        <v/>
      </c>
      <c r="AR71" s="90" t="str">
        <f aca="false">IF(AQ71="","",ROUND(AQ71*(1+Справочники!$B$12),0))</f>
        <v/>
      </c>
      <c r="AS71" s="90" t="str">
        <f aca="false">IF(AR71="","",ROUND(AR71*(1-Справочники!$B$11),0))</f>
        <v/>
      </c>
      <c r="AT71" s="88"/>
      <c r="AU71" s="90" t="str">
        <f aca="false">IF(AT71="","",ROUND(AT71/(1+Справочники!$B$12),0))</f>
        <v/>
      </c>
      <c r="AV71" s="90" t="str">
        <f aca="false">IF(AT71="","",ROUND(AT71*(1-Справочники!$B$15),0))</f>
        <v/>
      </c>
      <c r="AW71" s="90" t="str">
        <f aca="false">IF(AT71="","",ROUND(AT71*(1-Справочники!$B$16),0))</f>
        <v/>
      </c>
      <c r="AX71" s="90" t="str">
        <f aca="false">IF(AT71="","",ROUND(AT71*(1-Справочники!$B$17),0))</f>
        <v/>
      </c>
      <c r="AY71" s="90" t="str">
        <f aca="false">IF(AT71="","",ROUND(AT71*(1-Справочники!$B$18),0))</f>
        <v/>
      </c>
      <c r="AZ71" s="90" t="str">
        <f aca="false">IF(AT71="","",ROUND(AT71*(1-Справочники!$B$19),0))</f>
        <v/>
      </c>
      <c r="BA71" s="81"/>
      <c r="BB71" s="81"/>
      <c r="BC71" s="81"/>
      <c r="BD71" s="81"/>
      <c r="BE71" s="91"/>
      <c r="BF71" s="81" t="s">
        <v>103</v>
      </c>
      <c r="BG71" s="89" t="n">
        <f aca="false" t="array" ref="BG71:BG71">IF(BF71="","",IFERROR(INDEX(Справочники!$B$4:$B$7,MATCH(BF71,Справочники!$A$4:$A$7,0)),""))</f>
        <v>68.5</v>
      </c>
      <c r="BH71" s="90" t="str">
        <f aca="false">IF(N(BN71)&gt;0,ROUND(SUMIF(ЗАКАЗЫ!$F$3:$F$500,$A71,ЗАКАЗЫ!$Y$3:$Y$500)/BN71,0),IF(OR(BE71="",BG71=""),"",ROUND(BE71*BG71*(1+Справочники!$B$10),0)))</f>
        <v/>
      </c>
      <c r="BI71" s="92" t="str">
        <f aca="false">IF(OR(AU71="",BH71="",AU71=0),"",(AU71-BH71)/AU71)</f>
        <v/>
      </c>
      <c r="BJ71" s="81"/>
      <c r="BK71" s="83"/>
      <c r="BL71" s="43" t="str">
        <f aca="false">IFERROR(INDEX(ЗАКАЗЫ!$N$3:$N$500,MATCH($A71,ЗАКАЗЫ!$F$3:$F$500,0)),"")</f>
        <v/>
      </c>
      <c r="BM71" s="8" t="str">
        <f aca="false">IF(BL71="","",IFERROR(VLOOKUP(BL71,'ТН ВЭД'!$A$4:$C$40,3,0),""))</f>
        <v/>
      </c>
      <c r="BN71" s="7" t="str">
        <f aca="false">IF(COUNTIF(ЗАКАЗЫ!$F$3:$F$500,$A71)=0,"",SUMIF(ЗАКАЗЫ!$F$3:$F$500,$A71,ЗАКАЗЫ!$J$3:$J$500))</f>
        <v/>
      </c>
      <c r="BO71" s="7" t="str">
        <f aca="false">IF(BN71="","",SUMIF(ЗАКАЗЫ!$F$3:$F$500,$A71,ЗАКАЗЫ!$AL$3:$AL$500))</f>
        <v/>
      </c>
      <c r="BP71" s="7" t="str">
        <f aca="false">IF(BN71="","",BN71-BO71)</f>
        <v/>
      </c>
      <c r="BQ71" s="55" t="str">
        <f aca="false">IF(BN71="","",IF(BO71&gt;=BN71,"На складе",IF(BO71&gt;0,"Частично","Ждём")))</f>
        <v/>
      </c>
      <c r="BR71" s="43"/>
      <c r="BS71" s="47" t="str">
        <f aca="false">IF(BN71="","",IF(_xlfn.MAXIFS(ЗАКАЗЫ!$AK$3:$AK$500,ЗАКАЗЫ!$F$3:$F$500,$A71)=0,"",_xlfn.MAXIFS(ЗАКАЗЫ!$AK$3:$AK$500,ЗАКАЗЫ!$F$3:$F$500,$A71)))</f>
        <v/>
      </c>
    </row>
    <row r="72" customFormat="false" ht="15.75" hidden="false" customHeight="true" outlineLevel="0" collapsed="false">
      <c r="A72" s="80" t="s">
        <v>2612</v>
      </c>
      <c r="B72" s="81"/>
      <c r="C72" s="81"/>
      <c r="D72" s="81"/>
      <c r="E72" s="83"/>
      <c r="F72" s="81"/>
      <c r="G72" s="83"/>
      <c r="H72" s="83"/>
      <c r="I72" s="84" t="str">
        <f aca="false">IF(E72="","",A72&amp;"_1.jpg")</f>
        <v/>
      </c>
      <c r="J72" s="84" t="str">
        <f aca="false">IF(E72="","",A72&amp;"_2.jpg; "&amp;A72&amp;"_3.jpg")</f>
        <v/>
      </c>
      <c r="K72" s="84" t="str">
        <f aca="false">IF(E72="","",A72&amp;"_schema.jpg")</f>
        <v/>
      </c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 t="s">
        <v>96</v>
      </c>
      <c r="W72" s="81"/>
      <c r="X72" s="81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6" t="str">
        <f aca="false">IF(SUM(Y72:AJ72)=0,"",SUM(Y72:AJ72))</f>
        <v/>
      </c>
      <c r="AL72" s="84" t="str">
        <f aca="false">MID(IF(N(Y72)&gt;0,", "&amp;Y$2,"")&amp;IF(N(Z72)&gt;0,", "&amp;Z$2,"")&amp;IF(N(AA72)&gt;0,", "&amp;AA$2,"")&amp;IF(N(AB72)&gt;0,", "&amp;AB$2,"")&amp;IF(N(AC72)&gt;0,", "&amp;AC$2,"")&amp;IF(N(AD72)&gt;0,", "&amp;AD$2,"")&amp;IF(N(AE72)&gt;0,", "&amp;AE$2,"")&amp;IF(N(AF72)&gt;0,", "&amp;AF$2,"")&amp;IF(N(AG72)&gt;0,", "&amp;AG$2,"")&amp;IF(N(AH72)&gt;0,", "&amp;AH$2,"")&amp;IF(N(AI72)&gt;0,", "&amp;AI$2,"")&amp;IF(N(AJ72)&gt;0,", "&amp;AJ$2,""),3,999)</f>
        <v/>
      </c>
      <c r="AM72" s="87" t="str">
        <f aca="false">IF(E72="","",MID(IF(N(Y72)&gt;0,", "&amp;A72&amp;"-"&amp;Y$2,"")&amp;IF(N(Z72)&gt;0,", "&amp;A72&amp;"-"&amp;Z$2,"")&amp;IF(N(AA72)&gt;0,", "&amp;A72&amp;"-"&amp;AA$2,"")&amp;IF(N(AB72)&gt;0,", "&amp;A72&amp;"-"&amp;AB$2,"")&amp;IF(N(AC72)&gt;0,", "&amp;A72&amp;"-"&amp;AC$2,"")&amp;IF(N(AD72)&gt;0,", "&amp;A72&amp;"-"&amp;AD$2,"")&amp;IF(N(AE72)&gt;0,", "&amp;A72&amp;"-"&amp;AE$2,"")&amp;IF(N(AF72)&gt;0,", "&amp;A72&amp;"-"&amp;AF$2,"")&amp;IF(N(AG72)&gt;0,", "&amp;A72&amp;"-"&amp;AG$2,"")&amp;IF(N(AH72)&gt;0,", "&amp;A72&amp;"-"&amp;AH$2,"")&amp;IF(N(AI72)&gt;0,", "&amp;A72&amp;"-"&amp;AI$2,"")&amp;IF(N(AJ72)&gt;0,", "&amp;A72&amp;"-"&amp;AJ$2,""),3,999))</f>
        <v/>
      </c>
      <c r="AN72" s="81"/>
      <c r="AO72" s="88"/>
      <c r="AP72" s="89" t="str">
        <f aca="false">IF(AO72="","",ROUND(AO72/(1+Справочники!$B$13),2))</f>
        <v/>
      </c>
      <c r="AQ72" s="90" t="str">
        <f aca="false" t="array" ref="AQ72:AQ72">IF(AP72="","",AP72*INDEX(Справочники!$B$4:$B$7,MATCH("RUB",Справочники!$A$4:$A$7,0)))</f>
        <v/>
      </c>
      <c r="AR72" s="90" t="str">
        <f aca="false">IF(AQ72="","",ROUND(AQ72*(1+Справочники!$B$12),0))</f>
        <v/>
      </c>
      <c r="AS72" s="90" t="str">
        <f aca="false">IF(AR72="","",ROUND(AR72*(1-Справочники!$B$11),0))</f>
        <v/>
      </c>
      <c r="AT72" s="88"/>
      <c r="AU72" s="90" t="str">
        <f aca="false">IF(AT72="","",ROUND(AT72/(1+Справочники!$B$12),0))</f>
        <v/>
      </c>
      <c r="AV72" s="90" t="str">
        <f aca="false">IF(AT72="","",ROUND(AT72*(1-Справочники!$B$15),0))</f>
        <v/>
      </c>
      <c r="AW72" s="90" t="str">
        <f aca="false">IF(AT72="","",ROUND(AT72*(1-Справочники!$B$16),0))</f>
        <v/>
      </c>
      <c r="AX72" s="90" t="str">
        <f aca="false">IF(AT72="","",ROUND(AT72*(1-Справочники!$B$17),0))</f>
        <v/>
      </c>
      <c r="AY72" s="90" t="str">
        <f aca="false">IF(AT72="","",ROUND(AT72*(1-Справочники!$B$18),0))</f>
        <v/>
      </c>
      <c r="AZ72" s="90" t="str">
        <f aca="false">IF(AT72="","",ROUND(AT72*(1-Справочники!$B$19),0))</f>
        <v/>
      </c>
      <c r="BA72" s="81"/>
      <c r="BB72" s="81"/>
      <c r="BC72" s="81"/>
      <c r="BD72" s="81"/>
      <c r="BE72" s="91"/>
      <c r="BF72" s="81" t="s">
        <v>103</v>
      </c>
      <c r="BG72" s="89" t="n">
        <f aca="false" t="array" ref="BG72:BG72">IF(BF72="","",IFERROR(INDEX(Справочники!$B$4:$B$7,MATCH(BF72,Справочники!$A$4:$A$7,0)),""))</f>
        <v>68.5</v>
      </c>
      <c r="BH72" s="90" t="str">
        <f aca="false">IF(N(BN72)&gt;0,ROUND(SUMIF(ЗАКАЗЫ!$F$3:$F$500,$A72,ЗАКАЗЫ!$Y$3:$Y$500)/BN72,0),IF(OR(BE72="",BG72=""),"",ROUND(BE72*BG72*(1+Справочники!$B$10),0)))</f>
        <v/>
      </c>
      <c r="BI72" s="92" t="str">
        <f aca="false">IF(OR(AU72="",BH72="",AU72=0),"",(AU72-BH72)/AU72)</f>
        <v/>
      </c>
      <c r="BJ72" s="81"/>
      <c r="BK72" s="83"/>
      <c r="BL72" s="43" t="str">
        <f aca="false">IFERROR(INDEX(ЗАКАЗЫ!$N$3:$N$500,MATCH($A72,ЗАКАЗЫ!$F$3:$F$500,0)),"")</f>
        <v/>
      </c>
      <c r="BM72" s="8" t="str">
        <f aca="false">IF(BL72="","",IFERROR(VLOOKUP(BL72,'ТН ВЭД'!$A$4:$C$40,3,0),""))</f>
        <v/>
      </c>
      <c r="BN72" s="7" t="str">
        <f aca="false">IF(COUNTIF(ЗАКАЗЫ!$F$3:$F$500,$A72)=0,"",SUMIF(ЗАКАЗЫ!$F$3:$F$500,$A72,ЗАКАЗЫ!$J$3:$J$500))</f>
        <v/>
      </c>
      <c r="BO72" s="7" t="str">
        <f aca="false">IF(BN72="","",SUMIF(ЗАКАЗЫ!$F$3:$F$500,$A72,ЗАКАЗЫ!$AL$3:$AL$500))</f>
        <v/>
      </c>
      <c r="BP72" s="7" t="str">
        <f aca="false">IF(BN72="","",BN72-BO72)</f>
        <v/>
      </c>
      <c r="BQ72" s="55" t="str">
        <f aca="false">IF(BN72="","",IF(BO72&gt;=BN72,"На складе",IF(BO72&gt;0,"Частично","Ждём")))</f>
        <v/>
      </c>
      <c r="BR72" s="43"/>
      <c r="BS72" s="47" t="str">
        <f aca="false">IF(BN72="","",IF(_xlfn.MAXIFS(ЗАКАЗЫ!$AK$3:$AK$500,ЗАКАЗЫ!$F$3:$F$500,$A72)=0,"",_xlfn.MAXIFS(ЗАКАЗЫ!$AK$3:$AK$500,ЗАКАЗЫ!$F$3:$F$500,$A72)))</f>
        <v/>
      </c>
    </row>
    <row r="73" customFormat="false" ht="15.75" hidden="false" customHeight="true" outlineLevel="0" collapsed="false">
      <c r="A73" s="80" t="s">
        <v>2613</v>
      </c>
      <c r="B73" s="81"/>
      <c r="C73" s="81"/>
      <c r="D73" s="81"/>
      <c r="E73" s="83"/>
      <c r="F73" s="81"/>
      <c r="G73" s="83"/>
      <c r="H73" s="83"/>
      <c r="I73" s="84" t="str">
        <f aca="false">IF(E73="","",A73&amp;"_1.jpg")</f>
        <v/>
      </c>
      <c r="J73" s="84" t="str">
        <f aca="false">IF(E73="","",A73&amp;"_2.jpg; "&amp;A73&amp;"_3.jpg")</f>
        <v/>
      </c>
      <c r="K73" s="84" t="str">
        <f aca="false">IF(E73="","",A73&amp;"_schema.jpg")</f>
        <v/>
      </c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 t="s">
        <v>96</v>
      </c>
      <c r="W73" s="81"/>
      <c r="X73" s="81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6" t="str">
        <f aca="false">IF(SUM(Y73:AJ73)=0,"",SUM(Y73:AJ73))</f>
        <v/>
      </c>
      <c r="AL73" s="84" t="str">
        <f aca="false">MID(IF(N(Y73)&gt;0,", "&amp;Y$2,"")&amp;IF(N(Z73)&gt;0,", "&amp;Z$2,"")&amp;IF(N(AA73)&gt;0,", "&amp;AA$2,"")&amp;IF(N(AB73)&gt;0,", "&amp;AB$2,"")&amp;IF(N(AC73)&gt;0,", "&amp;AC$2,"")&amp;IF(N(AD73)&gt;0,", "&amp;AD$2,"")&amp;IF(N(AE73)&gt;0,", "&amp;AE$2,"")&amp;IF(N(AF73)&gt;0,", "&amp;AF$2,"")&amp;IF(N(AG73)&gt;0,", "&amp;AG$2,"")&amp;IF(N(AH73)&gt;0,", "&amp;AH$2,"")&amp;IF(N(AI73)&gt;0,", "&amp;AI$2,"")&amp;IF(N(AJ73)&gt;0,", "&amp;AJ$2,""),3,999)</f>
        <v/>
      </c>
      <c r="AM73" s="87" t="str">
        <f aca="false">IF(E73="","",MID(IF(N(Y73)&gt;0,", "&amp;A73&amp;"-"&amp;Y$2,"")&amp;IF(N(Z73)&gt;0,", "&amp;A73&amp;"-"&amp;Z$2,"")&amp;IF(N(AA73)&gt;0,", "&amp;A73&amp;"-"&amp;AA$2,"")&amp;IF(N(AB73)&gt;0,", "&amp;A73&amp;"-"&amp;AB$2,"")&amp;IF(N(AC73)&gt;0,", "&amp;A73&amp;"-"&amp;AC$2,"")&amp;IF(N(AD73)&gt;0,", "&amp;A73&amp;"-"&amp;AD$2,"")&amp;IF(N(AE73)&gt;0,", "&amp;A73&amp;"-"&amp;AE$2,"")&amp;IF(N(AF73)&gt;0,", "&amp;A73&amp;"-"&amp;AF$2,"")&amp;IF(N(AG73)&gt;0,", "&amp;A73&amp;"-"&amp;AG$2,"")&amp;IF(N(AH73)&gt;0,", "&amp;A73&amp;"-"&amp;AH$2,"")&amp;IF(N(AI73)&gt;0,", "&amp;A73&amp;"-"&amp;AI$2,"")&amp;IF(N(AJ73)&gt;0,", "&amp;A73&amp;"-"&amp;AJ$2,""),3,999))</f>
        <v/>
      </c>
      <c r="AN73" s="81"/>
      <c r="AO73" s="88"/>
      <c r="AP73" s="89" t="str">
        <f aca="false">IF(AO73="","",ROUND(AO73/(1+Справочники!$B$13),2))</f>
        <v/>
      </c>
      <c r="AQ73" s="90" t="str">
        <f aca="false" t="array" ref="AQ73:AQ73">IF(AP73="","",AP73*INDEX(Справочники!$B$4:$B$7,MATCH("RUB",Справочники!$A$4:$A$7,0)))</f>
        <v/>
      </c>
      <c r="AR73" s="90" t="str">
        <f aca="false">IF(AQ73="","",ROUND(AQ73*(1+Справочники!$B$12),0))</f>
        <v/>
      </c>
      <c r="AS73" s="90" t="str">
        <f aca="false">IF(AR73="","",ROUND(AR73*(1-Справочники!$B$11),0))</f>
        <v/>
      </c>
      <c r="AT73" s="88"/>
      <c r="AU73" s="90" t="str">
        <f aca="false">IF(AT73="","",ROUND(AT73/(1+Справочники!$B$12),0))</f>
        <v/>
      </c>
      <c r="AV73" s="90" t="str">
        <f aca="false">IF(AT73="","",ROUND(AT73*(1-Справочники!$B$15),0))</f>
        <v/>
      </c>
      <c r="AW73" s="90" t="str">
        <f aca="false">IF(AT73="","",ROUND(AT73*(1-Справочники!$B$16),0))</f>
        <v/>
      </c>
      <c r="AX73" s="90" t="str">
        <f aca="false">IF(AT73="","",ROUND(AT73*(1-Справочники!$B$17),0))</f>
        <v/>
      </c>
      <c r="AY73" s="90" t="str">
        <f aca="false">IF(AT73="","",ROUND(AT73*(1-Справочники!$B$18),0))</f>
        <v/>
      </c>
      <c r="AZ73" s="90" t="str">
        <f aca="false">IF(AT73="","",ROUND(AT73*(1-Справочники!$B$19),0))</f>
        <v/>
      </c>
      <c r="BA73" s="81"/>
      <c r="BB73" s="81"/>
      <c r="BC73" s="81"/>
      <c r="BD73" s="81"/>
      <c r="BE73" s="91"/>
      <c r="BF73" s="81" t="s">
        <v>103</v>
      </c>
      <c r="BG73" s="89" t="n">
        <f aca="false" t="array" ref="BG73:BG73">IF(BF73="","",IFERROR(INDEX(Справочники!$B$4:$B$7,MATCH(BF73,Справочники!$A$4:$A$7,0)),""))</f>
        <v>68.5</v>
      </c>
      <c r="BH73" s="90" t="str">
        <f aca="false">IF(N(BN73)&gt;0,ROUND(SUMIF(ЗАКАЗЫ!$F$3:$F$500,$A73,ЗАКАЗЫ!$Y$3:$Y$500)/BN73,0),IF(OR(BE73="",BG73=""),"",ROUND(BE73*BG73*(1+Справочники!$B$10),0)))</f>
        <v/>
      </c>
      <c r="BI73" s="92" t="str">
        <f aca="false">IF(OR(AU73="",BH73="",AU73=0),"",(AU73-BH73)/AU73)</f>
        <v/>
      </c>
      <c r="BJ73" s="81"/>
      <c r="BK73" s="83"/>
      <c r="BL73" s="43" t="str">
        <f aca="false">IFERROR(INDEX(ЗАКАЗЫ!$N$3:$N$500,MATCH($A73,ЗАКАЗЫ!$F$3:$F$500,0)),"")</f>
        <v/>
      </c>
      <c r="BM73" s="8" t="str">
        <f aca="false">IF(BL73="","",IFERROR(VLOOKUP(BL73,'ТН ВЭД'!$A$4:$C$40,3,0),""))</f>
        <v/>
      </c>
      <c r="BN73" s="7" t="str">
        <f aca="false">IF(COUNTIF(ЗАКАЗЫ!$F$3:$F$500,$A73)=0,"",SUMIF(ЗАКАЗЫ!$F$3:$F$500,$A73,ЗАКАЗЫ!$J$3:$J$500))</f>
        <v/>
      </c>
      <c r="BO73" s="7" t="str">
        <f aca="false">IF(BN73="","",SUMIF(ЗАКАЗЫ!$F$3:$F$500,$A73,ЗАКАЗЫ!$AL$3:$AL$500))</f>
        <v/>
      </c>
      <c r="BP73" s="7" t="str">
        <f aca="false">IF(BN73="","",BN73-BO73)</f>
        <v/>
      </c>
      <c r="BQ73" s="55" t="str">
        <f aca="false">IF(BN73="","",IF(BO73&gt;=BN73,"На складе",IF(BO73&gt;0,"Частично","Ждём")))</f>
        <v/>
      </c>
      <c r="BR73" s="43"/>
      <c r="BS73" s="47" t="str">
        <f aca="false">IF(BN73="","",IF(_xlfn.MAXIFS(ЗАКАЗЫ!$AK$3:$AK$500,ЗАКАЗЫ!$F$3:$F$500,$A73)=0,"",_xlfn.MAXIFS(ЗАКАЗЫ!$AK$3:$AK$500,ЗАКАЗЫ!$F$3:$F$500,$A73)))</f>
        <v/>
      </c>
    </row>
    <row r="74" customFormat="false" ht="15.75" hidden="false" customHeight="true" outlineLevel="0" collapsed="false">
      <c r="A74" s="80" t="s">
        <v>2614</v>
      </c>
      <c r="B74" s="81"/>
      <c r="C74" s="81"/>
      <c r="D74" s="81"/>
      <c r="E74" s="83"/>
      <c r="F74" s="81"/>
      <c r="G74" s="83"/>
      <c r="H74" s="83"/>
      <c r="I74" s="84" t="str">
        <f aca="false">IF(E74="","",A74&amp;"_1.jpg")</f>
        <v/>
      </c>
      <c r="J74" s="84" t="str">
        <f aca="false">IF(E74="","",A74&amp;"_2.jpg; "&amp;A74&amp;"_3.jpg")</f>
        <v/>
      </c>
      <c r="K74" s="84" t="str">
        <f aca="false">IF(E74="","",A74&amp;"_schema.jpg")</f>
        <v/>
      </c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 t="s">
        <v>96</v>
      </c>
      <c r="W74" s="81"/>
      <c r="X74" s="81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6" t="str">
        <f aca="false">IF(SUM(Y74:AJ74)=0,"",SUM(Y74:AJ74))</f>
        <v/>
      </c>
      <c r="AL74" s="84" t="str">
        <f aca="false">MID(IF(N(Y74)&gt;0,", "&amp;Y$2,"")&amp;IF(N(Z74)&gt;0,", "&amp;Z$2,"")&amp;IF(N(AA74)&gt;0,", "&amp;AA$2,"")&amp;IF(N(AB74)&gt;0,", "&amp;AB$2,"")&amp;IF(N(AC74)&gt;0,", "&amp;AC$2,"")&amp;IF(N(AD74)&gt;0,", "&amp;AD$2,"")&amp;IF(N(AE74)&gt;0,", "&amp;AE$2,"")&amp;IF(N(AF74)&gt;0,", "&amp;AF$2,"")&amp;IF(N(AG74)&gt;0,", "&amp;AG$2,"")&amp;IF(N(AH74)&gt;0,", "&amp;AH$2,"")&amp;IF(N(AI74)&gt;0,", "&amp;AI$2,"")&amp;IF(N(AJ74)&gt;0,", "&amp;AJ$2,""),3,999)</f>
        <v/>
      </c>
      <c r="AM74" s="87" t="str">
        <f aca="false">IF(E74="","",MID(IF(N(Y74)&gt;0,", "&amp;A74&amp;"-"&amp;Y$2,"")&amp;IF(N(Z74)&gt;0,", "&amp;A74&amp;"-"&amp;Z$2,"")&amp;IF(N(AA74)&gt;0,", "&amp;A74&amp;"-"&amp;AA$2,"")&amp;IF(N(AB74)&gt;0,", "&amp;A74&amp;"-"&amp;AB$2,"")&amp;IF(N(AC74)&gt;0,", "&amp;A74&amp;"-"&amp;AC$2,"")&amp;IF(N(AD74)&gt;0,", "&amp;A74&amp;"-"&amp;AD$2,"")&amp;IF(N(AE74)&gt;0,", "&amp;A74&amp;"-"&amp;AE$2,"")&amp;IF(N(AF74)&gt;0,", "&amp;A74&amp;"-"&amp;AF$2,"")&amp;IF(N(AG74)&gt;0,", "&amp;A74&amp;"-"&amp;AG$2,"")&amp;IF(N(AH74)&gt;0,", "&amp;A74&amp;"-"&amp;AH$2,"")&amp;IF(N(AI74)&gt;0,", "&amp;A74&amp;"-"&amp;AI$2,"")&amp;IF(N(AJ74)&gt;0,", "&amp;A74&amp;"-"&amp;AJ$2,""),3,999))</f>
        <v/>
      </c>
      <c r="AN74" s="81"/>
      <c r="AO74" s="88"/>
      <c r="AP74" s="89" t="str">
        <f aca="false">IF(AO74="","",ROUND(AO74/(1+Справочники!$B$13),2))</f>
        <v/>
      </c>
      <c r="AQ74" s="90" t="str">
        <f aca="false" t="array" ref="AQ74:AQ74">IF(AP74="","",AP74*INDEX(Справочники!$B$4:$B$7,MATCH("RUB",Справочники!$A$4:$A$7,0)))</f>
        <v/>
      </c>
      <c r="AR74" s="90" t="str">
        <f aca="false">IF(AQ74="","",ROUND(AQ74*(1+Справочники!$B$12),0))</f>
        <v/>
      </c>
      <c r="AS74" s="90" t="str">
        <f aca="false">IF(AR74="","",ROUND(AR74*(1-Справочники!$B$11),0))</f>
        <v/>
      </c>
      <c r="AT74" s="88"/>
      <c r="AU74" s="90" t="str">
        <f aca="false">IF(AT74="","",ROUND(AT74/(1+Справочники!$B$12),0))</f>
        <v/>
      </c>
      <c r="AV74" s="90" t="str">
        <f aca="false">IF(AT74="","",ROUND(AT74*(1-Справочники!$B$15),0))</f>
        <v/>
      </c>
      <c r="AW74" s="90" t="str">
        <f aca="false">IF(AT74="","",ROUND(AT74*(1-Справочники!$B$16),0))</f>
        <v/>
      </c>
      <c r="AX74" s="90" t="str">
        <f aca="false">IF(AT74="","",ROUND(AT74*(1-Справочники!$B$17),0))</f>
        <v/>
      </c>
      <c r="AY74" s="90" t="str">
        <f aca="false">IF(AT74="","",ROUND(AT74*(1-Справочники!$B$18),0))</f>
        <v/>
      </c>
      <c r="AZ74" s="90" t="str">
        <f aca="false">IF(AT74="","",ROUND(AT74*(1-Справочники!$B$19),0))</f>
        <v/>
      </c>
      <c r="BA74" s="81"/>
      <c r="BB74" s="81"/>
      <c r="BC74" s="81"/>
      <c r="BD74" s="81"/>
      <c r="BE74" s="91"/>
      <c r="BF74" s="81" t="s">
        <v>103</v>
      </c>
      <c r="BG74" s="89" t="n">
        <f aca="false" t="array" ref="BG74:BG74">IF(BF74="","",IFERROR(INDEX(Справочники!$B$4:$B$7,MATCH(BF74,Справочники!$A$4:$A$7,0)),""))</f>
        <v>68.5</v>
      </c>
      <c r="BH74" s="90" t="str">
        <f aca="false">IF(N(BN74)&gt;0,ROUND(SUMIF(ЗАКАЗЫ!$F$3:$F$500,$A74,ЗАКАЗЫ!$Y$3:$Y$500)/BN74,0),IF(OR(BE74="",BG74=""),"",ROUND(BE74*BG74*(1+Справочники!$B$10),0)))</f>
        <v/>
      </c>
      <c r="BI74" s="92" t="str">
        <f aca="false">IF(OR(AU74="",BH74="",AU74=0),"",(AU74-BH74)/AU74)</f>
        <v/>
      </c>
      <c r="BJ74" s="81"/>
      <c r="BK74" s="83"/>
      <c r="BL74" s="43" t="str">
        <f aca="false">IFERROR(INDEX(ЗАКАЗЫ!$N$3:$N$500,MATCH($A74,ЗАКАЗЫ!$F$3:$F$500,0)),"")</f>
        <v/>
      </c>
      <c r="BM74" s="8" t="str">
        <f aca="false">IF(BL74="","",IFERROR(VLOOKUP(BL74,'ТН ВЭД'!$A$4:$C$40,3,0),""))</f>
        <v/>
      </c>
      <c r="BN74" s="7" t="str">
        <f aca="false">IF(COUNTIF(ЗАКАЗЫ!$F$3:$F$500,$A74)=0,"",SUMIF(ЗАКАЗЫ!$F$3:$F$500,$A74,ЗАКАЗЫ!$J$3:$J$500))</f>
        <v/>
      </c>
      <c r="BO74" s="7" t="str">
        <f aca="false">IF(BN74="","",SUMIF(ЗАКАЗЫ!$F$3:$F$500,$A74,ЗАКАЗЫ!$AL$3:$AL$500))</f>
        <v/>
      </c>
      <c r="BP74" s="7" t="str">
        <f aca="false">IF(BN74="","",BN74-BO74)</f>
        <v/>
      </c>
      <c r="BQ74" s="55" t="str">
        <f aca="false">IF(BN74="","",IF(BO74&gt;=BN74,"На складе",IF(BO74&gt;0,"Частично","Ждём")))</f>
        <v/>
      </c>
      <c r="BR74" s="43"/>
      <c r="BS74" s="47" t="str">
        <f aca="false">IF(BN74="","",IF(_xlfn.MAXIFS(ЗАКАЗЫ!$AK$3:$AK$500,ЗАКАЗЫ!$F$3:$F$500,$A74)=0,"",_xlfn.MAXIFS(ЗАКАЗЫ!$AK$3:$AK$500,ЗАКАЗЫ!$F$3:$F$500,$A74)))</f>
        <v/>
      </c>
    </row>
    <row r="75" customFormat="false" ht="15.75" hidden="false" customHeight="true" outlineLevel="0" collapsed="false">
      <c r="A75" s="80" t="s">
        <v>2615</v>
      </c>
      <c r="B75" s="81"/>
      <c r="C75" s="81"/>
      <c r="D75" s="81"/>
      <c r="E75" s="83"/>
      <c r="F75" s="81"/>
      <c r="G75" s="83"/>
      <c r="H75" s="83"/>
      <c r="I75" s="84" t="str">
        <f aca="false">IF(E75="","",A75&amp;"_1.jpg")</f>
        <v/>
      </c>
      <c r="J75" s="84" t="str">
        <f aca="false">IF(E75="","",A75&amp;"_2.jpg; "&amp;A75&amp;"_3.jpg")</f>
        <v/>
      </c>
      <c r="K75" s="84" t="str">
        <f aca="false">IF(E75="","",A75&amp;"_schema.jpg")</f>
        <v/>
      </c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 t="s">
        <v>96</v>
      </c>
      <c r="W75" s="81"/>
      <c r="X75" s="81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6" t="str">
        <f aca="false">IF(SUM(Y75:AJ75)=0,"",SUM(Y75:AJ75))</f>
        <v/>
      </c>
      <c r="AL75" s="84" t="str">
        <f aca="false">MID(IF(N(Y75)&gt;0,", "&amp;Y$2,"")&amp;IF(N(Z75)&gt;0,", "&amp;Z$2,"")&amp;IF(N(AA75)&gt;0,", "&amp;AA$2,"")&amp;IF(N(AB75)&gt;0,", "&amp;AB$2,"")&amp;IF(N(AC75)&gt;0,", "&amp;AC$2,"")&amp;IF(N(AD75)&gt;0,", "&amp;AD$2,"")&amp;IF(N(AE75)&gt;0,", "&amp;AE$2,"")&amp;IF(N(AF75)&gt;0,", "&amp;AF$2,"")&amp;IF(N(AG75)&gt;0,", "&amp;AG$2,"")&amp;IF(N(AH75)&gt;0,", "&amp;AH$2,"")&amp;IF(N(AI75)&gt;0,", "&amp;AI$2,"")&amp;IF(N(AJ75)&gt;0,", "&amp;AJ$2,""),3,999)</f>
        <v/>
      </c>
      <c r="AM75" s="87" t="str">
        <f aca="false">IF(E75="","",MID(IF(N(Y75)&gt;0,", "&amp;A75&amp;"-"&amp;Y$2,"")&amp;IF(N(Z75)&gt;0,", "&amp;A75&amp;"-"&amp;Z$2,"")&amp;IF(N(AA75)&gt;0,", "&amp;A75&amp;"-"&amp;AA$2,"")&amp;IF(N(AB75)&gt;0,", "&amp;A75&amp;"-"&amp;AB$2,"")&amp;IF(N(AC75)&gt;0,", "&amp;A75&amp;"-"&amp;AC$2,"")&amp;IF(N(AD75)&gt;0,", "&amp;A75&amp;"-"&amp;AD$2,"")&amp;IF(N(AE75)&gt;0,", "&amp;A75&amp;"-"&amp;AE$2,"")&amp;IF(N(AF75)&gt;0,", "&amp;A75&amp;"-"&amp;AF$2,"")&amp;IF(N(AG75)&gt;0,", "&amp;A75&amp;"-"&amp;AG$2,"")&amp;IF(N(AH75)&gt;0,", "&amp;A75&amp;"-"&amp;AH$2,"")&amp;IF(N(AI75)&gt;0,", "&amp;A75&amp;"-"&amp;AI$2,"")&amp;IF(N(AJ75)&gt;0,", "&amp;A75&amp;"-"&amp;AJ$2,""),3,999))</f>
        <v/>
      </c>
      <c r="AN75" s="81"/>
      <c r="AO75" s="88"/>
      <c r="AP75" s="89" t="str">
        <f aca="false">IF(AO75="","",ROUND(AO75/(1+Справочники!$B$13),2))</f>
        <v/>
      </c>
      <c r="AQ75" s="90" t="str">
        <f aca="false" t="array" ref="AQ75:AQ75">IF(AP75="","",AP75*INDEX(Справочники!$B$4:$B$7,MATCH("RUB",Справочники!$A$4:$A$7,0)))</f>
        <v/>
      </c>
      <c r="AR75" s="90" t="str">
        <f aca="false">IF(AQ75="","",ROUND(AQ75*(1+Справочники!$B$12),0))</f>
        <v/>
      </c>
      <c r="AS75" s="90" t="str">
        <f aca="false">IF(AR75="","",ROUND(AR75*(1-Справочники!$B$11),0))</f>
        <v/>
      </c>
      <c r="AT75" s="88"/>
      <c r="AU75" s="90" t="str">
        <f aca="false">IF(AT75="","",ROUND(AT75/(1+Справочники!$B$12),0))</f>
        <v/>
      </c>
      <c r="AV75" s="90" t="str">
        <f aca="false">IF(AT75="","",ROUND(AT75*(1-Справочники!$B$15),0))</f>
        <v/>
      </c>
      <c r="AW75" s="90" t="str">
        <f aca="false">IF(AT75="","",ROUND(AT75*(1-Справочники!$B$16),0))</f>
        <v/>
      </c>
      <c r="AX75" s="90" t="str">
        <f aca="false">IF(AT75="","",ROUND(AT75*(1-Справочники!$B$17),0))</f>
        <v/>
      </c>
      <c r="AY75" s="90" t="str">
        <f aca="false">IF(AT75="","",ROUND(AT75*(1-Справочники!$B$18),0))</f>
        <v/>
      </c>
      <c r="AZ75" s="90" t="str">
        <f aca="false">IF(AT75="","",ROUND(AT75*(1-Справочники!$B$19),0))</f>
        <v/>
      </c>
      <c r="BA75" s="81"/>
      <c r="BB75" s="81"/>
      <c r="BC75" s="81"/>
      <c r="BD75" s="81"/>
      <c r="BE75" s="91"/>
      <c r="BF75" s="81" t="s">
        <v>103</v>
      </c>
      <c r="BG75" s="89" t="n">
        <f aca="false" t="array" ref="BG75:BG75">IF(BF75="","",IFERROR(INDEX(Справочники!$B$4:$B$7,MATCH(BF75,Справочники!$A$4:$A$7,0)),""))</f>
        <v>68.5</v>
      </c>
      <c r="BH75" s="90" t="str">
        <f aca="false">IF(N(BN75)&gt;0,ROUND(SUMIF(ЗАКАЗЫ!$F$3:$F$500,$A75,ЗАКАЗЫ!$Y$3:$Y$500)/BN75,0),IF(OR(BE75="",BG75=""),"",ROUND(BE75*BG75*(1+Справочники!$B$10),0)))</f>
        <v/>
      </c>
      <c r="BI75" s="92" t="str">
        <f aca="false">IF(OR(AU75="",BH75="",AU75=0),"",(AU75-BH75)/AU75)</f>
        <v/>
      </c>
      <c r="BJ75" s="81"/>
      <c r="BK75" s="83"/>
      <c r="BL75" s="43" t="str">
        <f aca="false">IFERROR(INDEX(ЗАКАЗЫ!$N$3:$N$500,MATCH($A75,ЗАКАЗЫ!$F$3:$F$500,0)),"")</f>
        <v/>
      </c>
      <c r="BM75" s="8" t="str">
        <f aca="false">IF(BL75="","",IFERROR(VLOOKUP(BL75,'ТН ВЭД'!$A$4:$C$40,3,0),""))</f>
        <v/>
      </c>
      <c r="BN75" s="7" t="str">
        <f aca="false">IF(COUNTIF(ЗАКАЗЫ!$F$3:$F$500,$A75)=0,"",SUMIF(ЗАКАЗЫ!$F$3:$F$500,$A75,ЗАКАЗЫ!$J$3:$J$500))</f>
        <v/>
      </c>
      <c r="BO75" s="7" t="str">
        <f aca="false">IF(BN75="","",SUMIF(ЗАКАЗЫ!$F$3:$F$500,$A75,ЗАКАЗЫ!$AL$3:$AL$500))</f>
        <v/>
      </c>
      <c r="BP75" s="7" t="str">
        <f aca="false">IF(BN75="","",BN75-BO75)</f>
        <v/>
      </c>
      <c r="BQ75" s="55" t="str">
        <f aca="false">IF(BN75="","",IF(BO75&gt;=BN75,"На складе",IF(BO75&gt;0,"Частично","Ждём")))</f>
        <v/>
      </c>
      <c r="BR75" s="43"/>
      <c r="BS75" s="47" t="str">
        <f aca="false">IF(BN75="","",IF(_xlfn.MAXIFS(ЗАКАЗЫ!$AK$3:$AK$500,ЗАКАЗЫ!$F$3:$F$500,$A75)=0,"",_xlfn.MAXIFS(ЗАКАЗЫ!$AK$3:$AK$500,ЗАКАЗЫ!$F$3:$F$500,$A75)))</f>
        <v/>
      </c>
    </row>
    <row r="76" customFormat="false" ht="15.75" hidden="false" customHeight="true" outlineLevel="0" collapsed="false">
      <c r="A76" s="80" t="s">
        <v>2616</v>
      </c>
      <c r="B76" s="81"/>
      <c r="C76" s="81"/>
      <c r="D76" s="81"/>
      <c r="E76" s="83"/>
      <c r="F76" s="81"/>
      <c r="G76" s="83"/>
      <c r="H76" s="83"/>
      <c r="I76" s="84" t="str">
        <f aca="false">IF(E76="","",A76&amp;"_1.jpg")</f>
        <v/>
      </c>
      <c r="J76" s="84" t="str">
        <f aca="false">IF(E76="","",A76&amp;"_2.jpg; "&amp;A76&amp;"_3.jpg")</f>
        <v/>
      </c>
      <c r="K76" s="84" t="str">
        <f aca="false">IF(E76="","",A76&amp;"_schema.jpg")</f>
        <v/>
      </c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 t="s">
        <v>96</v>
      </c>
      <c r="W76" s="81"/>
      <c r="X76" s="81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6" t="str">
        <f aca="false">IF(SUM(Y76:AJ76)=0,"",SUM(Y76:AJ76))</f>
        <v/>
      </c>
      <c r="AL76" s="84" t="str">
        <f aca="false">MID(IF(N(Y76)&gt;0,", "&amp;Y$2,"")&amp;IF(N(Z76)&gt;0,", "&amp;Z$2,"")&amp;IF(N(AA76)&gt;0,", "&amp;AA$2,"")&amp;IF(N(AB76)&gt;0,", "&amp;AB$2,"")&amp;IF(N(AC76)&gt;0,", "&amp;AC$2,"")&amp;IF(N(AD76)&gt;0,", "&amp;AD$2,"")&amp;IF(N(AE76)&gt;0,", "&amp;AE$2,"")&amp;IF(N(AF76)&gt;0,", "&amp;AF$2,"")&amp;IF(N(AG76)&gt;0,", "&amp;AG$2,"")&amp;IF(N(AH76)&gt;0,", "&amp;AH$2,"")&amp;IF(N(AI76)&gt;0,", "&amp;AI$2,"")&amp;IF(N(AJ76)&gt;0,", "&amp;AJ$2,""),3,999)</f>
        <v/>
      </c>
      <c r="AM76" s="87" t="str">
        <f aca="false">IF(E76="","",MID(IF(N(Y76)&gt;0,", "&amp;A76&amp;"-"&amp;Y$2,"")&amp;IF(N(Z76)&gt;0,", "&amp;A76&amp;"-"&amp;Z$2,"")&amp;IF(N(AA76)&gt;0,", "&amp;A76&amp;"-"&amp;AA$2,"")&amp;IF(N(AB76)&gt;0,", "&amp;A76&amp;"-"&amp;AB$2,"")&amp;IF(N(AC76)&gt;0,", "&amp;A76&amp;"-"&amp;AC$2,"")&amp;IF(N(AD76)&gt;0,", "&amp;A76&amp;"-"&amp;AD$2,"")&amp;IF(N(AE76)&gt;0,", "&amp;A76&amp;"-"&amp;AE$2,"")&amp;IF(N(AF76)&gt;0,", "&amp;A76&amp;"-"&amp;AF$2,"")&amp;IF(N(AG76)&gt;0,", "&amp;A76&amp;"-"&amp;AG$2,"")&amp;IF(N(AH76)&gt;0,", "&amp;A76&amp;"-"&amp;AH$2,"")&amp;IF(N(AI76)&gt;0,", "&amp;A76&amp;"-"&amp;AI$2,"")&amp;IF(N(AJ76)&gt;0,", "&amp;A76&amp;"-"&amp;AJ$2,""),3,999))</f>
        <v/>
      </c>
      <c r="AN76" s="81"/>
      <c r="AO76" s="88"/>
      <c r="AP76" s="89" t="str">
        <f aca="false">IF(AO76="","",ROUND(AO76/(1+Справочники!$B$13),2))</f>
        <v/>
      </c>
      <c r="AQ76" s="90" t="str">
        <f aca="false" t="array" ref="AQ76:AQ76">IF(AP76="","",AP76*INDEX(Справочники!$B$4:$B$7,MATCH("RUB",Справочники!$A$4:$A$7,0)))</f>
        <v/>
      </c>
      <c r="AR76" s="90" t="str">
        <f aca="false">IF(AQ76="","",ROUND(AQ76*(1+Справочники!$B$12),0))</f>
        <v/>
      </c>
      <c r="AS76" s="90" t="str">
        <f aca="false">IF(AR76="","",ROUND(AR76*(1-Справочники!$B$11),0))</f>
        <v/>
      </c>
      <c r="AT76" s="88"/>
      <c r="AU76" s="90" t="str">
        <f aca="false">IF(AT76="","",ROUND(AT76/(1+Справочники!$B$12),0))</f>
        <v/>
      </c>
      <c r="AV76" s="90" t="str">
        <f aca="false">IF(AT76="","",ROUND(AT76*(1-Справочники!$B$15),0))</f>
        <v/>
      </c>
      <c r="AW76" s="90" t="str">
        <f aca="false">IF(AT76="","",ROUND(AT76*(1-Справочники!$B$16),0))</f>
        <v/>
      </c>
      <c r="AX76" s="90" t="str">
        <f aca="false">IF(AT76="","",ROUND(AT76*(1-Справочники!$B$17),0))</f>
        <v/>
      </c>
      <c r="AY76" s="90" t="str">
        <f aca="false">IF(AT76="","",ROUND(AT76*(1-Справочники!$B$18),0))</f>
        <v/>
      </c>
      <c r="AZ76" s="90" t="str">
        <f aca="false">IF(AT76="","",ROUND(AT76*(1-Справочники!$B$19),0))</f>
        <v/>
      </c>
      <c r="BA76" s="81"/>
      <c r="BB76" s="81"/>
      <c r="BC76" s="81"/>
      <c r="BD76" s="81"/>
      <c r="BE76" s="91"/>
      <c r="BF76" s="81" t="s">
        <v>103</v>
      </c>
      <c r="BG76" s="89" t="n">
        <f aca="false" t="array" ref="BG76:BG76">IF(BF76="","",IFERROR(INDEX(Справочники!$B$4:$B$7,MATCH(BF76,Справочники!$A$4:$A$7,0)),""))</f>
        <v>68.5</v>
      </c>
      <c r="BH76" s="90" t="str">
        <f aca="false">IF(N(BN76)&gt;0,ROUND(SUMIF(ЗАКАЗЫ!$F$3:$F$500,$A76,ЗАКАЗЫ!$Y$3:$Y$500)/BN76,0),IF(OR(BE76="",BG76=""),"",ROUND(BE76*BG76*(1+Справочники!$B$10),0)))</f>
        <v/>
      </c>
      <c r="BI76" s="92" t="str">
        <f aca="false">IF(OR(AU76="",BH76="",AU76=0),"",(AU76-BH76)/AU76)</f>
        <v/>
      </c>
      <c r="BJ76" s="81"/>
      <c r="BK76" s="83"/>
      <c r="BL76" s="43" t="str">
        <f aca="false">IFERROR(INDEX(ЗАКАЗЫ!$N$3:$N$500,MATCH($A76,ЗАКАЗЫ!$F$3:$F$500,0)),"")</f>
        <v/>
      </c>
      <c r="BM76" s="8" t="str">
        <f aca="false">IF(BL76="","",IFERROR(VLOOKUP(BL76,'ТН ВЭД'!$A$4:$C$40,3,0),""))</f>
        <v/>
      </c>
      <c r="BN76" s="7" t="str">
        <f aca="false">IF(COUNTIF(ЗАКАЗЫ!$F$3:$F$500,$A76)=0,"",SUMIF(ЗАКАЗЫ!$F$3:$F$500,$A76,ЗАКАЗЫ!$J$3:$J$500))</f>
        <v/>
      </c>
      <c r="BO76" s="7" t="str">
        <f aca="false">IF(BN76="","",SUMIF(ЗАКАЗЫ!$F$3:$F$500,$A76,ЗАКАЗЫ!$AL$3:$AL$500))</f>
        <v/>
      </c>
      <c r="BP76" s="7" t="str">
        <f aca="false">IF(BN76="","",BN76-BO76)</f>
        <v/>
      </c>
      <c r="BQ76" s="55" t="str">
        <f aca="false">IF(BN76="","",IF(BO76&gt;=BN76,"На складе",IF(BO76&gt;0,"Частично","Ждём")))</f>
        <v/>
      </c>
      <c r="BR76" s="43"/>
      <c r="BS76" s="47" t="str">
        <f aca="false">IF(BN76="","",IF(_xlfn.MAXIFS(ЗАКАЗЫ!$AK$3:$AK$500,ЗАКАЗЫ!$F$3:$F$500,$A76)=0,"",_xlfn.MAXIFS(ЗАКАЗЫ!$AK$3:$AK$500,ЗАКАЗЫ!$F$3:$F$500,$A76)))</f>
        <v/>
      </c>
    </row>
    <row r="77" customFormat="false" ht="15.75" hidden="false" customHeight="true" outlineLevel="0" collapsed="false">
      <c r="A77" s="80" t="s">
        <v>2617</v>
      </c>
      <c r="B77" s="81"/>
      <c r="C77" s="81"/>
      <c r="D77" s="81"/>
      <c r="E77" s="83"/>
      <c r="F77" s="81"/>
      <c r="G77" s="83"/>
      <c r="H77" s="83"/>
      <c r="I77" s="84" t="str">
        <f aca="false">IF(E77="","",A77&amp;"_1.jpg")</f>
        <v/>
      </c>
      <c r="J77" s="84" t="str">
        <f aca="false">IF(E77="","",A77&amp;"_2.jpg; "&amp;A77&amp;"_3.jpg")</f>
        <v/>
      </c>
      <c r="K77" s="84" t="str">
        <f aca="false">IF(E77="","",A77&amp;"_schema.jpg")</f>
        <v/>
      </c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 t="s">
        <v>96</v>
      </c>
      <c r="W77" s="81"/>
      <c r="X77" s="81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6" t="str">
        <f aca="false">IF(SUM(Y77:AJ77)=0,"",SUM(Y77:AJ77))</f>
        <v/>
      </c>
      <c r="AL77" s="84" t="str">
        <f aca="false">MID(IF(N(Y77)&gt;0,", "&amp;Y$2,"")&amp;IF(N(Z77)&gt;0,", "&amp;Z$2,"")&amp;IF(N(AA77)&gt;0,", "&amp;AA$2,"")&amp;IF(N(AB77)&gt;0,", "&amp;AB$2,"")&amp;IF(N(AC77)&gt;0,", "&amp;AC$2,"")&amp;IF(N(AD77)&gt;0,", "&amp;AD$2,"")&amp;IF(N(AE77)&gt;0,", "&amp;AE$2,"")&amp;IF(N(AF77)&gt;0,", "&amp;AF$2,"")&amp;IF(N(AG77)&gt;0,", "&amp;AG$2,"")&amp;IF(N(AH77)&gt;0,", "&amp;AH$2,"")&amp;IF(N(AI77)&gt;0,", "&amp;AI$2,"")&amp;IF(N(AJ77)&gt;0,", "&amp;AJ$2,""),3,999)</f>
        <v/>
      </c>
      <c r="AM77" s="87" t="str">
        <f aca="false">IF(E77="","",MID(IF(N(Y77)&gt;0,", "&amp;A77&amp;"-"&amp;Y$2,"")&amp;IF(N(Z77)&gt;0,", "&amp;A77&amp;"-"&amp;Z$2,"")&amp;IF(N(AA77)&gt;0,", "&amp;A77&amp;"-"&amp;AA$2,"")&amp;IF(N(AB77)&gt;0,", "&amp;A77&amp;"-"&amp;AB$2,"")&amp;IF(N(AC77)&gt;0,", "&amp;A77&amp;"-"&amp;AC$2,"")&amp;IF(N(AD77)&gt;0,", "&amp;A77&amp;"-"&amp;AD$2,"")&amp;IF(N(AE77)&gt;0,", "&amp;A77&amp;"-"&amp;AE$2,"")&amp;IF(N(AF77)&gt;0,", "&amp;A77&amp;"-"&amp;AF$2,"")&amp;IF(N(AG77)&gt;0,", "&amp;A77&amp;"-"&amp;AG$2,"")&amp;IF(N(AH77)&gt;0,", "&amp;A77&amp;"-"&amp;AH$2,"")&amp;IF(N(AI77)&gt;0,", "&amp;A77&amp;"-"&amp;AI$2,"")&amp;IF(N(AJ77)&gt;0,", "&amp;A77&amp;"-"&amp;AJ$2,""),3,999))</f>
        <v/>
      </c>
      <c r="AN77" s="81"/>
      <c r="AO77" s="88"/>
      <c r="AP77" s="89" t="str">
        <f aca="false">IF(AO77="","",ROUND(AO77/(1+Справочники!$B$13),2))</f>
        <v/>
      </c>
      <c r="AQ77" s="90" t="str">
        <f aca="false" t="array" ref="AQ77:AQ77">IF(AP77="","",AP77*INDEX(Справочники!$B$4:$B$7,MATCH("RUB",Справочники!$A$4:$A$7,0)))</f>
        <v/>
      </c>
      <c r="AR77" s="90" t="str">
        <f aca="false">IF(AQ77="","",ROUND(AQ77*(1+Справочники!$B$12),0))</f>
        <v/>
      </c>
      <c r="AS77" s="90" t="str">
        <f aca="false">IF(AR77="","",ROUND(AR77*(1-Справочники!$B$11),0))</f>
        <v/>
      </c>
      <c r="AT77" s="88"/>
      <c r="AU77" s="90" t="str">
        <f aca="false">IF(AT77="","",ROUND(AT77/(1+Справочники!$B$12),0))</f>
        <v/>
      </c>
      <c r="AV77" s="90" t="str">
        <f aca="false">IF(AT77="","",ROUND(AT77*(1-Справочники!$B$15),0))</f>
        <v/>
      </c>
      <c r="AW77" s="90" t="str">
        <f aca="false">IF(AT77="","",ROUND(AT77*(1-Справочники!$B$16),0))</f>
        <v/>
      </c>
      <c r="AX77" s="90" t="str">
        <f aca="false">IF(AT77="","",ROUND(AT77*(1-Справочники!$B$17),0))</f>
        <v/>
      </c>
      <c r="AY77" s="90" t="str">
        <f aca="false">IF(AT77="","",ROUND(AT77*(1-Справочники!$B$18),0))</f>
        <v/>
      </c>
      <c r="AZ77" s="90" t="str">
        <f aca="false">IF(AT77="","",ROUND(AT77*(1-Справочники!$B$19),0))</f>
        <v/>
      </c>
      <c r="BA77" s="81"/>
      <c r="BB77" s="81"/>
      <c r="BC77" s="81"/>
      <c r="BD77" s="81"/>
      <c r="BE77" s="91"/>
      <c r="BF77" s="81" t="s">
        <v>103</v>
      </c>
      <c r="BG77" s="89" t="n">
        <f aca="false" t="array" ref="BG77:BG77">IF(BF77="","",IFERROR(INDEX(Справочники!$B$4:$B$7,MATCH(BF77,Справочники!$A$4:$A$7,0)),""))</f>
        <v>68.5</v>
      </c>
      <c r="BH77" s="90" t="str">
        <f aca="false">IF(N(BN77)&gt;0,ROUND(SUMIF(ЗАКАЗЫ!$F$3:$F$500,$A77,ЗАКАЗЫ!$Y$3:$Y$500)/BN77,0),IF(OR(BE77="",BG77=""),"",ROUND(BE77*BG77*(1+Справочники!$B$10),0)))</f>
        <v/>
      </c>
      <c r="BI77" s="92" t="str">
        <f aca="false">IF(OR(AU77="",BH77="",AU77=0),"",(AU77-BH77)/AU77)</f>
        <v/>
      </c>
      <c r="BJ77" s="81"/>
      <c r="BK77" s="83"/>
      <c r="BL77" s="43" t="str">
        <f aca="false">IFERROR(INDEX(ЗАКАЗЫ!$N$3:$N$500,MATCH($A77,ЗАКАЗЫ!$F$3:$F$500,0)),"")</f>
        <v/>
      </c>
      <c r="BM77" s="8" t="str">
        <f aca="false">IF(BL77="","",IFERROR(VLOOKUP(BL77,'ТН ВЭД'!$A$4:$C$40,3,0),""))</f>
        <v/>
      </c>
      <c r="BN77" s="7" t="str">
        <f aca="false">IF(COUNTIF(ЗАКАЗЫ!$F$3:$F$500,$A77)=0,"",SUMIF(ЗАКАЗЫ!$F$3:$F$500,$A77,ЗАКАЗЫ!$J$3:$J$500))</f>
        <v/>
      </c>
      <c r="BO77" s="7" t="str">
        <f aca="false">IF(BN77="","",SUMIF(ЗАКАЗЫ!$F$3:$F$500,$A77,ЗАКАЗЫ!$AL$3:$AL$500))</f>
        <v/>
      </c>
      <c r="BP77" s="7" t="str">
        <f aca="false">IF(BN77="","",BN77-BO77)</f>
        <v/>
      </c>
      <c r="BQ77" s="55" t="str">
        <f aca="false">IF(BN77="","",IF(BO77&gt;=BN77,"На складе",IF(BO77&gt;0,"Частично","Ждём")))</f>
        <v/>
      </c>
      <c r="BR77" s="43"/>
      <c r="BS77" s="47" t="str">
        <f aca="false">IF(BN77="","",IF(_xlfn.MAXIFS(ЗАКАЗЫ!$AK$3:$AK$500,ЗАКАЗЫ!$F$3:$F$500,$A77)=0,"",_xlfn.MAXIFS(ЗАКАЗЫ!$AK$3:$AK$500,ЗАКАЗЫ!$F$3:$F$500,$A77)))</f>
        <v/>
      </c>
    </row>
    <row r="78" customFormat="false" ht="15.75" hidden="false" customHeight="true" outlineLevel="0" collapsed="false">
      <c r="A78" s="80" t="s">
        <v>2618</v>
      </c>
      <c r="B78" s="81"/>
      <c r="C78" s="81"/>
      <c r="D78" s="81"/>
      <c r="E78" s="83"/>
      <c r="F78" s="81"/>
      <c r="G78" s="83"/>
      <c r="H78" s="83"/>
      <c r="I78" s="84" t="str">
        <f aca="false">IF(E78="","",A78&amp;"_1.jpg")</f>
        <v/>
      </c>
      <c r="J78" s="84" t="str">
        <f aca="false">IF(E78="","",A78&amp;"_2.jpg; "&amp;A78&amp;"_3.jpg")</f>
        <v/>
      </c>
      <c r="K78" s="84" t="str">
        <f aca="false">IF(E78="","",A78&amp;"_schema.jpg")</f>
        <v/>
      </c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 t="s">
        <v>96</v>
      </c>
      <c r="W78" s="81"/>
      <c r="X78" s="81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6" t="str">
        <f aca="false">IF(SUM(Y78:AJ78)=0,"",SUM(Y78:AJ78))</f>
        <v/>
      </c>
      <c r="AL78" s="84" t="str">
        <f aca="false">MID(IF(N(Y78)&gt;0,", "&amp;Y$2,"")&amp;IF(N(Z78)&gt;0,", "&amp;Z$2,"")&amp;IF(N(AA78)&gt;0,", "&amp;AA$2,"")&amp;IF(N(AB78)&gt;0,", "&amp;AB$2,"")&amp;IF(N(AC78)&gt;0,", "&amp;AC$2,"")&amp;IF(N(AD78)&gt;0,", "&amp;AD$2,"")&amp;IF(N(AE78)&gt;0,", "&amp;AE$2,"")&amp;IF(N(AF78)&gt;0,", "&amp;AF$2,"")&amp;IF(N(AG78)&gt;0,", "&amp;AG$2,"")&amp;IF(N(AH78)&gt;0,", "&amp;AH$2,"")&amp;IF(N(AI78)&gt;0,", "&amp;AI$2,"")&amp;IF(N(AJ78)&gt;0,", "&amp;AJ$2,""),3,999)</f>
        <v/>
      </c>
      <c r="AM78" s="87" t="str">
        <f aca="false">IF(E78="","",MID(IF(N(Y78)&gt;0,", "&amp;A78&amp;"-"&amp;Y$2,"")&amp;IF(N(Z78)&gt;0,", "&amp;A78&amp;"-"&amp;Z$2,"")&amp;IF(N(AA78)&gt;0,", "&amp;A78&amp;"-"&amp;AA$2,"")&amp;IF(N(AB78)&gt;0,", "&amp;A78&amp;"-"&amp;AB$2,"")&amp;IF(N(AC78)&gt;0,", "&amp;A78&amp;"-"&amp;AC$2,"")&amp;IF(N(AD78)&gt;0,", "&amp;A78&amp;"-"&amp;AD$2,"")&amp;IF(N(AE78)&gt;0,", "&amp;A78&amp;"-"&amp;AE$2,"")&amp;IF(N(AF78)&gt;0,", "&amp;A78&amp;"-"&amp;AF$2,"")&amp;IF(N(AG78)&gt;0,", "&amp;A78&amp;"-"&amp;AG$2,"")&amp;IF(N(AH78)&gt;0,", "&amp;A78&amp;"-"&amp;AH$2,"")&amp;IF(N(AI78)&gt;0,", "&amp;A78&amp;"-"&amp;AI$2,"")&amp;IF(N(AJ78)&gt;0,", "&amp;A78&amp;"-"&amp;AJ$2,""),3,999))</f>
        <v/>
      </c>
      <c r="AN78" s="81"/>
      <c r="AO78" s="88"/>
      <c r="AP78" s="89" t="str">
        <f aca="false">IF(AO78="","",ROUND(AO78/(1+Справочники!$B$13),2))</f>
        <v/>
      </c>
      <c r="AQ78" s="90" t="str">
        <f aca="false" t="array" ref="AQ78:AQ78">IF(AP78="","",AP78*INDEX(Справочники!$B$4:$B$7,MATCH("RUB",Справочники!$A$4:$A$7,0)))</f>
        <v/>
      </c>
      <c r="AR78" s="90" t="str">
        <f aca="false">IF(AQ78="","",ROUND(AQ78*(1+Справочники!$B$12),0))</f>
        <v/>
      </c>
      <c r="AS78" s="90" t="str">
        <f aca="false">IF(AR78="","",ROUND(AR78*(1-Справочники!$B$11),0))</f>
        <v/>
      </c>
      <c r="AT78" s="88"/>
      <c r="AU78" s="90" t="str">
        <f aca="false">IF(AT78="","",ROUND(AT78/(1+Справочники!$B$12),0))</f>
        <v/>
      </c>
      <c r="AV78" s="90" t="str">
        <f aca="false">IF(AT78="","",ROUND(AT78*(1-Справочники!$B$15),0))</f>
        <v/>
      </c>
      <c r="AW78" s="90" t="str">
        <f aca="false">IF(AT78="","",ROUND(AT78*(1-Справочники!$B$16),0))</f>
        <v/>
      </c>
      <c r="AX78" s="90" t="str">
        <f aca="false">IF(AT78="","",ROUND(AT78*(1-Справочники!$B$17),0))</f>
        <v/>
      </c>
      <c r="AY78" s="90" t="str">
        <f aca="false">IF(AT78="","",ROUND(AT78*(1-Справочники!$B$18),0))</f>
        <v/>
      </c>
      <c r="AZ78" s="90" t="str">
        <f aca="false">IF(AT78="","",ROUND(AT78*(1-Справочники!$B$19),0))</f>
        <v/>
      </c>
      <c r="BA78" s="81"/>
      <c r="BB78" s="81"/>
      <c r="BC78" s="81"/>
      <c r="BD78" s="81"/>
      <c r="BE78" s="91"/>
      <c r="BF78" s="81" t="s">
        <v>103</v>
      </c>
      <c r="BG78" s="89" t="n">
        <f aca="false" t="array" ref="BG78:BG78">IF(BF78="","",IFERROR(INDEX(Справочники!$B$4:$B$7,MATCH(BF78,Справочники!$A$4:$A$7,0)),""))</f>
        <v>68.5</v>
      </c>
      <c r="BH78" s="90" t="str">
        <f aca="false">IF(N(BN78)&gt;0,ROUND(SUMIF(ЗАКАЗЫ!$F$3:$F$500,$A78,ЗАКАЗЫ!$Y$3:$Y$500)/BN78,0),IF(OR(BE78="",BG78=""),"",ROUND(BE78*BG78*(1+Справочники!$B$10),0)))</f>
        <v/>
      </c>
      <c r="BI78" s="92" t="str">
        <f aca="false">IF(OR(AU78="",BH78="",AU78=0),"",(AU78-BH78)/AU78)</f>
        <v/>
      </c>
      <c r="BJ78" s="81"/>
      <c r="BK78" s="83"/>
      <c r="BL78" s="43" t="str">
        <f aca="false">IFERROR(INDEX(ЗАКАЗЫ!$N$3:$N$500,MATCH($A78,ЗАКАЗЫ!$F$3:$F$500,0)),"")</f>
        <v/>
      </c>
      <c r="BM78" s="8" t="str">
        <f aca="false">IF(BL78="","",IFERROR(VLOOKUP(BL78,'ТН ВЭД'!$A$4:$C$40,3,0),""))</f>
        <v/>
      </c>
      <c r="BN78" s="7" t="str">
        <f aca="false">IF(COUNTIF(ЗАКАЗЫ!$F$3:$F$500,$A78)=0,"",SUMIF(ЗАКАЗЫ!$F$3:$F$500,$A78,ЗАКАЗЫ!$J$3:$J$500))</f>
        <v/>
      </c>
      <c r="BO78" s="7" t="str">
        <f aca="false">IF(BN78="","",SUMIF(ЗАКАЗЫ!$F$3:$F$500,$A78,ЗАКАЗЫ!$AL$3:$AL$500))</f>
        <v/>
      </c>
      <c r="BP78" s="7" t="str">
        <f aca="false">IF(BN78="","",BN78-BO78)</f>
        <v/>
      </c>
      <c r="BQ78" s="55" t="str">
        <f aca="false">IF(BN78="","",IF(BO78&gt;=BN78,"На складе",IF(BO78&gt;0,"Частично","Ждём")))</f>
        <v/>
      </c>
      <c r="BR78" s="43"/>
      <c r="BS78" s="47" t="str">
        <f aca="false">IF(BN78="","",IF(_xlfn.MAXIFS(ЗАКАЗЫ!$AK$3:$AK$500,ЗАКАЗЫ!$F$3:$F$500,$A78)=0,"",_xlfn.MAXIFS(ЗАКАЗЫ!$AK$3:$AK$500,ЗАКАЗЫ!$F$3:$F$500,$A78)))</f>
        <v/>
      </c>
    </row>
    <row r="79" customFormat="false" ht="15.75" hidden="false" customHeight="true" outlineLevel="0" collapsed="false">
      <c r="A79" s="80" t="s">
        <v>2619</v>
      </c>
      <c r="B79" s="81"/>
      <c r="C79" s="81"/>
      <c r="D79" s="81"/>
      <c r="E79" s="83"/>
      <c r="F79" s="81"/>
      <c r="G79" s="83"/>
      <c r="H79" s="83"/>
      <c r="I79" s="84" t="str">
        <f aca="false">IF(E79="","",A79&amp;"_1.jpg")</f>
        <v/>
      </c>
      <c r="J79" s="84" t="str">
        <f aca="false">IF(E79="","",A79&amp;"_2.jpg; "&amp;A79&amp;"_3.jpg")</f>
        <v/>
      </c>
      <c r="K79" s="84" t="str">
        <f aca="false">IF(E79="","",A79&amp;"_schema.jpg")</f>
        <v/>
      </c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 t="s">
        <v>96</v>
      </c>
      <c r="W79" s="81"/>
      <c r="X79" s="81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6" t="str">
        <f aca="false">IF(SUM(Y79:AJ79)=0,"",SUM(Y79:AJ79))</f>
        <v/>
      </c>
      <c r="AL79" s="84" t="str">
        <f aca="false">MID(IF(N(Y79)&gt;0,", "&amp;Y$2,"")&amp;IF(N(Z79)&gt;0,", "&amp;Z$2,"")&amp;IF(N(AA79)&gt;0,", "&amp;AA$2,"")&amp;IF(N(AB79)&gt;0,", "&amp;AB$2,"")&amp;IF(N(AC79)&gt;0,", "&amp;AC$2,"")&amp;IF(N(AD79)&gt;0,", "&amp;AD$2,"")&amp;IF(N(AE79)&gt;0,", "&amp;AE$2,"")&amp;IF(N(AF79)&gt;0,", "&amp;AF$2,"")&amp;IF(N(AG79)&gt;0,", "&amp;AG$2,"")&amp;IF(N(AH79)&gt;0,", "&amp;AH$2,"")&amp;IF(N(AI79)&gt;0,", "&amp;AI$2,"")&amp;IF(N(AJ79)&gt;0,", "&amp;AJ$2,""),3,999)</f>
        <v/>
      </c>
      <c r="AM79" s="87" t="str">
        <f aca="false">IF(E79="","",MID(IF(N(Y79)&gt;0,", "&amp;A79&amp;"-"&amp;Y$2,"")&amp;IF(N(Z79)&gt;0,", "&amp;A79&amp;"-"&amp;Z$2,"")&amp;IF(N(AA79)&gt;0,", "&amp;A79&amp;"-"&amp;AA$2,"")&amp;IF(N(AB79)&gt;0,", "&amp;A79&amp;"-"&amp;AB$2,"")&amp;IF(N(AC79)&gt;0,", "&amp;A79&amp;"-"&amp;AC$2,"")&amp;IF(N(AD79)&gt;0,", "&amp;A79&amp;"-"&amp;AD$2,"")&amp;IF(N(AE79)&gt;0,", "&amp;A79&amp;"-"&amp;AE$2,"")&amp;IF(N(AF79)&gt;0,", "&amp;A79&amp;"-"&amp;AF$2,"")&amp;IF(N(AG79)&gt;0,", "&amp;A79&amp;"-"&amp;AG$2,"")&amp;IF(N(AH79)&gt;0,", "&amp;A79&amp;"-"&amp;AH$2,"")&amp;IF(N(AI79)&gt;0,", "&amp;A79&amp;"-"&amp;AI$2,"")&amp;IF(N(AJ79)&gt;0,", "&amp;A79&amp;"-"&amp;AJ$2,""),3,999))</f>
        <v/>
      </c>
      <c r="AN79" s="81"/>
      <c r="AO79" s="88"/>
      <c r="AP79" s="89" t="str">
        <f aca="false">IF(AO79="","",ROUND(AO79/(1+Справочники!$B$13),2))</f>
        <v/>
      </c>
      <c r="AQ79" s="90" t="str">
        <f aca="false" t="array" ref="AQ79:AQ79">IF(AP79="","",AP79*INDEX(Справочники!$B$4:$B$7,MATCH("RUB",Справочники!$A$4:$A$7,0)))</f>
        <v/>
      </c>
      <c r="AR79" s="90" t="str">
        <f aca="false">IF(AQ79="","",ROUND(AQ79*(1+Справочники!$B$12),0))</f>
        <v/>
      </c>
      <c r="AS79" s="90" t="str">
        <f aca="false">IF(AR79="","",ROUND(AR79*(1-Справочники!$B$11),0))</f>
        <v/>
      </c>
      <c r="AT79" s="88"/>
      <c r="AU79" s="90" t="str">
        <f aca="false">IF(AT79="","",ROUND(AT79/(1+Справочники!$B$12),0))</f>
        <v/>
      </c>
      <c r="AV79" s="90" t="str">
        <f aca="false">IF(AT79="","",ROUND(AT79*(1-Справочники!$B$15),0))</f>
        <v/>
      </c>
      <c r="AW79" s="90" t="str">
        <f aca="false">IF(AT79="","",ROUND(AT79*(1-Справочники!$B$16),0))</f>
        <v/>
      </c>
      <c r="AX79" s="90" t="str">
        <f aca="false">IF(AT79="","",ROUND(AT79*(1-Справочники!$B$17),0))</f>
        <v/>
      </c>
      <c r="AY79" s="90" t="str">
        <f aca="false">IF(AT79="","",ROUND(AT79*(1-Справочники!$B$18),0))</f>
        <v/>
      </c>
      <c r="AZ79" s="90" t="str">
        <f aca="false">IF(AT79="","",ROUND(AT79*(1-Справочники!$B$19),0))</f>
        <v/>
      </c>
      <c r="BA79" s="81"/>
      <c r="BB79" s="81"/>
      <c r="BC79" s="81"/>
      <c r="BD79" s="81"/>
      <c r="BE79" s="91"/>
      <c r="BF79" s="81" t="s">
        <v>103</v>
      </c>
      <c r="BG79" s="89" t="n">
        <f aca="false" t="array" ref="BG79:BG79">IF(BF79="","",IFERROR(INDEX(Справочники!$B$4:$B$7,MATCH(BF79,Справочники!$A$4:$A$7,0)),""))</f>
        <v>68.5</v>
      </c>
      <c r="BH79" s="90" t="str">
        <f aca="false">IF(N(BN79)&gt;0,ROUND(SUMIF(ЗАКАЗЫ!$F$3:$F$500,$A79,ЗАКАЗЫ!$Y$3:$Y$500)/BN79,0),IF(OR(BE79="",BG79=""),"",ROUND(BE79*BG79*(1+Справочники!$B$10),0)))</f>
        <v/>
      </c>
      <c r="BI79" s="92" t="str">
        <f aca="false">IF(OR(AU79="",BH79="",AU79=0),"",(AU79-BH79)/AU79)</f>
        <v/>
      </c>
      <c r="BJ79" s="81"/>
      <c r="BK79" s="83"/>
      <c r="BL79" s="43" t="str">
        <f aca="false">IFERROR(INDEX(ЗАКАЗЫ!$N$3:$N$500,MATCH($A79,ЗАКАЗЫ!$F$3:$F$500,0)),"")</f>
        <v/>
      </c>
      <c r="BM79" s="8" t="str">
        <f aca="false">IF(BL79="","",IFERROR(VLOOKUP(BL79,'ТН ВЭД'!$A$4:$C$40,3,0),""))</f>
        <v/>
      </c>
      <c r="BN79" s="7" t="str">
        <f aca="false">IF(COUNTIF(ЗАКАЗЫ!$F$3:$F$500,$A79)=0,"",SUMIF(ЗАКАЗЫ!$F$3:$F$500,$A79,ЗАКАЗЫ!$J$3:$J$500))</f>
        <v/>
      </c>
      <c r="BO79" s="7" t="str">
        <f aca="false">IF(BN79="","",SUMIF(ЗАКАЗЫ!$F$3:$F$500,$A79,ЗАКАЗЫ!$AL$3:$AL$500))</f>
        <v/>
      </c>
      <c r="BP79" s="7" t="str">
        <f aca="false">IF(BN79="","",BN79-BO79)</f>
        <v/>
      </c>
      <c r="BQ79" s="55" t="str">
        <f aca="false">IF(BN79="","",IF(BO79&gt;=BN79,"На складе",IF(BO79&gt;0,"Частично","Ждём")))</f>
        <v/>
      </c>
      <c r="BR79" s="43"/>
      <c r="BS79" s="47" t="str">
        <f aca="false">IF(BN79="","",IF(_xlfn.MAXIFS(ЗАКАЗЫ!$AK$3:$AK$500,ЗАКАЗЫ!$F$3:$F$500,$A79)=0,"",_xlfn.MAXIFS(ЗАКАЗЫ!$AK$3:$AK$500,ЗАКАЗЫ!$F$3:$F$500,$A79)))</f>
        <v/>
      </c>
    </row>
    <row r="80" customFormat="false" ht="15.75" hidden="false" customHeight="true" outlineLevel="0" collapsed="false">
      <c r="A80" s="80" t="s">
        <v>2620</v>
      </c>
      <c r="B80" s="81"/>
      <c r="C80" s="81"/>
      <c r="D80" s="81"/>
      <c r="E80" s="83"/>
      <c r="F80" s="81"/>
      <c r="G80" s="83"/>
      <c r="H80" s="83"/>
      <c r="I80" s="84" t="str">
        <f aca="false">IF(E80="","",A80&amp;"_1.jpg")</f>
        <v/>
      </c>
      <c r="J80" s="84" t="str">
        <f aca="false">IF(E80="","",A80&amp;"_2.jpg; "&amp;A80&amp;"_3.jpg")</f>
        <v/>
      </c>
      <c r="K80" s="84" t="str">
        <f aca="false">IF(E80="","",A80&amp;"_schema.jpg")</f>
        <v/>
      </c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 t="s">
        <v>96</v>
      </c>
      <c r="W80" s="81"/>
      <c r="X80" s="81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6" t="str">
        <f aca="false">IF(SUM(Y80:AJ80)=0,"",SUM(Y80:AJ80))</f>
        <v/>
      </c>
      <c r="AL80" s="84" t="str">
        <f aca="false">MID(IF(N(Y80)&gt;0,", "&amp;Y$2,"")&amp;IF(N(Z80)&gt;0,", "&amp;Z$2,"")&amp;IF(N(AA80)&gt;0,", "&amp;AA$2,"")&amp;IF(N(AB80)&gt;0,", "&amp;AB$2,"")&amp;IF(N(AC80)&gt;0,", "&amp;AC$2,"")&amp;IF(N(AD80)&gt;0,", "&amp;AD$2,"")&amp;IF(N(AE80)&gt;0,", "&amp;AE$2,"")&amp;IF(N(AF80)&gt;0,", "&amp;AF$2,"")&amp;IF(N(AG80)&gt;0,", "&amp;AG$2,"")&amp;IF(N(AH80)&gt;0,", "&amp;AH$2,"")&amp;IF(N(AI80)&gt;0,", "&amp;AI$2,"")&amp;IF(N(AJ80)&gt;0,", "&amp;AJ$2,""),3,999)</f>
        <v/>
      </c>
      <c r="AM80" s="87" t="str">
        <f aca="false">IF(E80="","",MID(IF(N(Y80)&gt;0,", "&amp;A80&amp;"-"&amp;Y$2,"")&amp;IF(N(Z80)&gt;0,", "&amp;A80&amp;"-"&amp;Z$2,"")&amp;IF(N(AA80)&gt;0,", "&amp;A80&amp;"-"&amp;AA$2,"")&amp;IF(N(AB80)&gt;0,", "&amp;A80&amp;"-"&amp;AB$2,"")&amp;IF(N(AC80)&gt;0,", "&amp;A80&amp;"-"&amp;AC$2,"")&amp;IF(N(AD80)&gt;0,", "&amp;A80&amp;"-"&amp;AD$2,"")&amp;IF(N(AE80)&gt;0,", "&amp;A80&amp;"-"&amp;AE$2,"")&amp;IF(N(AF80)&gt;0,", "&amp;A80&amp;"-"&amp;AF$2,"")&amp;IF(N(AG80)&gt;0,", "&amp;A80&amp;"-"&amp;AG$2,"")&amp;IF(N(AH80)&gt;0,", "&amp;A80&amp;"-"&amp;AH$2,"")&amp;IF(N(AI80)&gt;0,", "&amp;A80&amp;"-"&amp;AI$2,"")&amp;IF(N(AJ80)&gt;0,", "&amp;A80&amp;"-"&amp;AJ$2,""),3,999))</f>
        <v/>
      </c>
      <c r="AN80" s="81"/>
      <c r="AO80" s="88"/>
      <c r="AP80" s="89" t="str">
        <f aca="false">IF(AO80="","",ROUND(AO80/(1+Справочники!$B$13),2))</f>
        <v/>
      </c>
      <c r="AQ80" s="90" t="str">
        <f aca="false" t="array" ref="AQ80:AQ80">IF(AP80="","",AP80*INDEX(Справочники!$B$4:$B$7,MATCH("RUB",Справочники!$A$4:$A$7,0)))</f>
        <v/>
      </c>
      <c r="AR80" s="90" t="str">
        <f aca="false">IF(AQ80="","",ROUND(AQ80*(1+Справочники!$B$12),0))</f>
        <v/>
      </c>
      <c r="AS80" s="90" t="str">
        <f aca="false">IF(AR80="","",ROUND(AR80*(1-Справочники!$B$11),0))</f>
        <v/>
      </c>
      <c r="AT80" s="88"/>
      <c r="AU80" s="90" t="str">
        <f aca="false">IF(AT80="","",ROUND(AT80/(1+Справочники!$B$12),0))</f>
        <v/>
      </c>
      <c r="AV80" s="90" t="str">
        <f aca="false">IF(AT80="","",ROUND(AT80*(1-Справочники!$B$15),0))</f>
        <v/>
      </c>
      <c r="AW80" s="90" t="str">
        <f aca="false">IF(AT80="","",ROUND(AT80*(1-Справочники!$B$16),0))</f>
        <v/>
      </c>
      <c r="AX80" s="90" t="str">
        <f aca="false">IF(AT80="","",ROUND(AT80*(1-Справочники!$B$17),0))</f>
        <v/>
      </c>
      <c r="AY80" s="90" t="str">
        <f aca="false">IF(AT80="","",ROUND(AT80*(1-Справочники!$B$18),0))</f>
        <v/>
      </c>
      <c r="AZ80" s="90" t="str">
        <f aca="false">IF(AT80="","",ROUND(AT80*(1-Справочники!$B$19),0))</f>
        <v/>
      </c>
      <c r="BA80" s="81"/>
      <c r="BB80" s="81"/>
      <c r="BC80" s="81"/>
      <c r="BD80" s="81"/>
      <c r="BE80" s="91"/>
      <c r="BF80" s="81" t="s">
        <v>103</v>
      </c>
      <c r="BG80" s="89" t="n">
        <f aca="false" t="array" ref="BG80:BG80">IF(BF80="","",IFERROR(INDEX(Справочники!$B$4:$B$7,MATCH(BF80,Справочники!$A$4:$A$7,0)),""))</f>
        <v>68.5</v>
      </c>
      <c r="BH80" s="90" t="str">
        <f aca="false">IF(N(BN80)&gt;0,ROUND(SUMIF(ЗАКАЗЫ!$F$3:$F$500,$A80,ЗАКАЗЫ!$Y$3:$Y$500)/BN80,0),IF(OR(BE80="",BG80=""),"",ROUND(BE80*BG80*(1+Справочники!$B$10),0)))</f>
        <v/>
      </c>
      <c r="BI80" s="92" t="str">
        <f aca="false">IF(OR(AU80="",BH80="",AU80=0),"",(AU80-BH80)/AU80)</f>
        <v/>
      </c>
      <c r="BJ80" s="81"/>
      <c r="BK80" s="83"/>
      <c r="BL80" s="43" t="str">
        <f aca="false">IFERROR(INDEX(ЗАКАЗЫ!$N$3:$N$500,MATCH($A80,ЗАКАЗЫ!$F$3:$F$500,0)),"")</f>
        <v/>
      </c>
      <c r="BM80" s="8" t="str">
        <f aca="false">IF(BL80="","",IFERROR(VLOOKUP(BL80,'ТН ВЭД'!$A$4:$C$40,3,0),""))</f>
        <v/>
      </c>
      <c r="BN80" s="7" t="str">
        <f aca="false">IF(COUNTIF(ЗАКАЗЫ!$F$3:$F$500,$A80)=0,"",SUMIF(ЗАКАЗЫ!$F$3:$F$500,$A80,ЗАКАЗЫ!$J$3:$J$500))</f>
        <v/>
      </c>
      <c r="BO80" s="7" t="str">
        <f aca="false">IF(BN80="","",SUMIF(ЗАКАЗЫ!$F$3:$F$500,$A80,ЗАКАЗЫ!$AL$3:$AL$500))</f>
        <v/>
      </c>
      <c r="BP80" s="7" t="str">
        <f aca="false">IF(BN80="","",BN80-BO80)</f>
        <v/>
      </c>
      <c r="BQ80" s="55" t="str">
        <f aca="false">IF(BN80="","",IF(BO80&gt;=BN80,"На складе",IF(BO80&gt;0,"Частично","Ждём")))</f>
        <v/>
      </c>
      <c r="BR80" s="43"/>
      <c r="BS80" s="47" t="str">
        <f aca="false">IF(BN80="","",IF(_xlfn.MAXIFS(ЗАКАЗЫ!$AK$3:$AK$500,ЗАКАЗЫ!$F$3:$F$500,$A80)=0,"",_xlfn.MAXIFS(ЗАКАЗЫ!$AK$3:$AK$500,ЗАКАЗЫ!$F$3:$F$500,$A80)))</f>
        <v/>
      </c>
    </row>
    <row r="81" customFormat="false" ht="15.75" hidden="false" customHeight="true" outlineLevel="0" collapsed="false">
      <c r="A81" s="80" t="s">
        <v>2621</v>
      </c>
      <c r="B81" s="81"/>
      <c r="C81" s="81"/>
      <c r="D81" s="81"/>
      <c r="E81" s="83"/>
      <c r="F81" s="81"/>
      <c r="G81" s="83"/>
      <c r="H81" s="83"/>
      <c r="I81" s="84" t="str">
        <f aca="false">IF(E81="","",A81&amp;"_1.jpg")</f>
        <v/>
      </c>
      <c r="J81" s="84" t="str">
        <f aca="false">IF(E81="","",A81&amp;"_2.jpg; "&amp;A81&amp;"_3.jpg")</f>
        <v/>
      </c>
      <c r="K81" s="84" t="str">
        <f aca="false">IF(E81="","",A81&amp;"_schema.jpg")</f>
        <v/>
      </c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 t="s">
        <v>96</v>
      </c>
      <c r="W81" s="81"/>
      <c r="X81" s="81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6" t="str">
        <f aca="false">IF(SUM(Y81:AJ81)=0,"",SUM(Y81:AJ81))</f>
        <v/>
      </c>
      <c r="AL81" s="84" t="str">
        <f aca="false">MID(IF(N(Y81)&gt;0,", "&amp;Y$2,"")&amp;IF(N(Z81)&gt;0,", "&amp;Z$2,"")&amp;IF(N(AA81)&gt;0,", "&amp;AA$2,"")&amp;IF(N(AB81)&gt;0,", "&amp;AB$2,"")&amp;IF(N(AC81)&gt;0,", "&amp;AC$2,"")&amp;IF(N(AD81)&gt;0,", "&amp;AD$2,"")&amp;IF(N(AE81)&gt;0,", "&amp;AE$2,"")&amp;IF(N(AF81)&gt;0,", "&amp;AF$2,"")&amp;IF(N(AG81)&gt;0,", "&amp;AG$2,"")&amp;IF(N(AH81)&gt;0,", "&amp;AH$2,"")&amp;IF(N(AI81)&gt;0,", "&amp;AI$2,"")&amp;IF(N(AJ81)&gt;0,", "&amp;AJ$2,""),3,999)</f>
        <v/>
      </c>
      <c r="AM81" s="87" t="str">
        <f aca="false">IF(E81="","",MID(IF(N(Y81)&gt;0,", "&amp;A81&amp;"-"&amp;Y$2,"")&amp;IF(N(Z81)&gt;0,", "&amp;A81&amp;"-"&amp;Z$2,"")&amp;IF(N(AA81)&gt;0,", "&amp;A81&amp;"-"&amp;AA$2,"")&amp;IF(N(AB81)&gt;0,", "&amp;A81&amp;"-"&amp;AB$2,"")&amp;IF(N(AC81)&gt;0,", "&amp;A81&amp;"-"&amp;AC$2,"")&amp;IF(N(AD81)&gt;0,", "&amp;A81&amp;"-"&amp;AD$2,"")&amp;IF(N(AE81)&gt;0,", "&amp;A81&amp;"-"&amp;AE$2,"")&amp;IF(N(AF81)&gt;0,", "&amp;A81&amp;"-"&amp;AF$2,"")&amp;IF(N(AG81)&gt;0,", "&amp;A81&amp;"-"&amp;AG$2,"")&amp;IF(N(AH81)&gt;0,", "&amp;A81&amp;"-"&amp;AH$2,"")&amp;IF(N(AI81)&gt;0,", "&amp;A81&amp;"-"&amp;AI$2,"")&amp;IF(N(AJ81)&gt;0,", "&amp;A81&amp;"-"&amp;AJ$2,""),3,999))</f>
        <v/>
      </c>
      <c r="AN81" s="81"/>
      <c r="AO81" s="88"/>
      <c r="AP81" s="89" t="str">
        <f aca="false">IF(AO81="","",ROUND(AO81/(1+Справочники!$B$13),2))</f>
        <v/>
      </c>
      <c r="AQ81" s="90" t="str">
        <f aca="false" t="array" ref="AQ81:AQ81">IF(AP81="","",AP81*INDEX(Справочники!$B$4:$B$7,MATCH("RUB",Справочники!$A$4:$A$7,0)))</f>
        <v/>
      </c>
      <c r="AR81" s="90" t="str">
        <f aca="false">IF(AQ81="","",ROUND(AQ81*(1+Справочники!$B$12),0))</f>
        <v/>
      </c>
      <c r="AS81" s="90" t="str">
        <f aca="false">IF(AR81="","",ROUND(AR81*(1-Справочники!$B$11),0))</f>
        <v/>
      </c>
      <c r="AT81" s="88"/>
      <c r="AU81" s="90" t="str">
        <f aca="false">IF(AT81="","",ROUND(AT81/(1+Справочники!$B$12),0))</f>
        <v/>
      </c>
      <c r="AV81" s="90" t="str">
        <f aca="false">IF(AT81="","",ROUND(AT81*(1-Справочники!$B$15),0))</f>
        <v/>
      </c>
      <c r="AW81" s="90" t="str">
        <f aca="false">IF(AT81="","",ROUND(AT81*(1-Справочники!$B$16),0))</f>
        <v/>
      </c>
      <c r="AX81" s="90" t="str">
        <f aca="false">IF(AT81="","",ROUND(AT81*(1-Справочники!$B$17),0))</f>
        <v/>
      </c>
      <c r="AY81" s="90" t="str">
        <f aca="false">IF(AT81="","",ROUND(AT81*(1-Справочники!$B$18),0))</f>
        <v/>
      </c>
      <c r="AZ81" s="90" t="str">
        <f aca="false">IF(AT81="","",ROUND(AT81*(1-Справочники!$B$19),0))</f>
        <v/>
      </c>
      <c r="BA81" s="81"/>
      <c r="BB81" s="81"/>
      <c r="BC81" s="81"/>
      <c r="BD81" s="81"/>
      <c r="BE81" s="91"/>
      <c r="BF81" s="81" t="s">
        <v>103</v>
      </c>
      <c r="BG81" s="89" t="n">
        <f aca="false" t="array" ref="BG81:BG81">IF(BF81="","",IFERROR(INDEX(Справочники!$B$4:$B$7,MATCH(BF81,Справочники!$A$4:$A$7,0)),""))</f>
        <v>68.5</v>
      </c>
      <c r="BH81" s="90" t="str">
        <f aca="false">IF(N(BN81)&gt;0,ROUND(SUMIF(ЗАКАЗЫ!$F$3:$F$500,$A81,ЗАКАЗЫ!$Y$3:$Y$500)/BN81,0),IF(OR(BE81="",BG81=""),"",ROUND(BE81*BG81*(1+Справочники!$B$10),0)))</f>
        <v/>
      </c>
      <c r="BI81" s="92" t="str">
        <f aca="false">IF(OR(AU81="",BH81="",AU81=0),"",(AU81-BH81)/AU81)</f>
        <v/>
      </c>
      <c r="BJ81" s="81"/>
      <c r="BK81" s="83"/>
      <c r="BL81" s="43" t="str">
        <f aca="false">IFERROR(INDEX(ЗАКАЗЫ!$N$3:$N$500,MATCH($A81,ЗАКАЗЫ!$F$3:$F$500,0)),"")</f>
        <v/>
      </c>
      <c r="BM81" s="8" t="str">
        <f aca="false">IF(BL81="","",IFERROR(VLOOKUP(BL81,'ТН ВЭД'!$A$4:$C$40,3,0),""))</f>
        <v/>
      </c>
      <c r="BN81" s="7" t="str">
        <f aca="false">IF(COUNTIF(ЗАКАЗЫ!$F$3:$F$500,$A81)=0,"",SUMIF(ЗАКАЗЫ!$F$3:$F$500,$A81,ЗАКАЗЫ!$J$3:$J$500))</f>
        <v/>
      </c>
      <c r="BO81" s="7" t="str">
        <f aca="false">IF(BN81="","",SUMIF(ЗАКАЗЫ!$F$3:$F$500,$A81,ЗАКАЗЫ!$AL$3:$AL$500))</f>
        <v/>
      </c>
      <c r="BP81" s="7" t="str">
        <f aca="false">IF(BN81="","",BN81-BO81)</f>
        <v/>
      </c>
      <c r="BQ81" s="55" t="str">
        <f aca="false">IF(BN81="","",IF(BO81&gt;=BN81,"На складе",IF(BO81&gt;0,"Частично","Ждём")))</f>
        <v/>
      </c>
      <c r="BR81" s="43"/>
      <c r="BS81" s="47" t="str">
        <f aca="false">IF(BN81="","",IF(_xlfn.MAXIFS(ЗАКАЗЫ!$AK$3:$AK$500,ЗАКАЗЫ!$F$3:$F$500,$A81)=0,"",_xlfn.MAXIFS(ЗАКАЗЫ!$AK$3:$AK$500,ЗАКАЗЫ!$F$3:$F$500,$A81)))</f>
        <v/>
      </c>
    </row>
    <row r="82" customFormat="false" ht="15.75" hidden="false" customHeight="true" outlineLevel="0" collapsed="false">
      <c r="A82" s="80" t="s">
        <v>2622</v>
      </c>
      <c r="B82" s="81"/>
      <c r="C82" s="81"/>
      <c r="D82" s="81"/>
      <c r="E82" s="83"/>
      <c r="F82" s="81"/>
      <c r="G82" s="83"/>
      <c r="H82" s="83"/>
      <c r="I82" s="84" t="str">
        <f aca="false">IF(E82="","",A82&amp;"_1.jpg")</f>
        <v/>
      </c>
      <c r="J82" s="84" t="str">
        <f aca="false">IF(E82="","",A82&amp;"_2.jpg; "&amp;A82&amp;"_3.jpg")</f>
        <v/>
      </c>
      <c r="K82" s="84" t="str">
        <f aca="false">IF(E82="","",A82&amp;"_schema.jpg")</f>
        <v/>
      </c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 t="s">
        <v>96</v>
      </c>
      <c r="W82" s="81"/>
      <c r="X82" s="81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6" t="str">
        <f aca="false">IF(SUM(Y82:AJ82)=0,"",SUM(Y82:AJ82))</f>
        <v/>
      </c>
      <c r="AL82" s="84" t="str">
        <f aca="false">MID(IF(N(Y82)&gt;0,", "&amp;Y$2,"")&amp;IF(N(Z82)&gt;0,", "&amp;Z$2,"")&amp;IF(N(AA82)&gt;0,", "&amp;AA$2,"")&amp;IF(N(AB82)&gt;0,", "&amp;AB$2,"")&amp;IF(N(AC82)&gt;0,", "&amp;AC$2,"")&amp;IF(N(AD82)&gt;0,", "&amp;AD$2,"")&amp;IF(N(AE82)&gt;0,", "&amp;AE$2,"")&amp;IF(N(AF82)&gt;0,", "&amp;AF$2,"")&amp;IF(N(AG82)&gt;0,", "&amp;AG$2,"")&amp;IF(N(AH82)&gt;0,", "&amp;AH$2,"")&amp;IF(N(AI82)&gt;0,", "&amp;AI$2,"")&amp;IF(N(AJ82)&gt;0,", "&amp;AJ$2,""),3,999)</f>
        <v/>
      </c>
      <c r="AM82" s="87" t="str">
        <f aca="false">IF(E82="","",MID(IF(N(Y82)&gt;0,", "&amp;A82&amp;"-"&amp;Y$2,"")&amp;IF(N(Z82)&gt;0,", "&amp;A82&amp;"-"&amp;Z$2,"")&amp;IF(N(AA82)&gt;0,", "&amp;A82&amp;"-"&amp;AA$2,"")&amp;IF(N(AB82)&gt;0,", "&amp;A82&amp;"-"&amp;AB$2,"")&amp;IF(N(AC82)&gt;0,", "&amp;A82&amp;"-"&amp;AC$2,"")&amp;IF(N(AD82)&gt;0,", "&amp;A82&amp;"-"&amp;AD$2,"")&amp;IF(N(AE82)&gt;0,", "&amp;A82&amp;"-"&amp;AE$2,"")&amp;IF(N(AF82)&gt;0,", "&amp;A82&amp;"-"&amp;AF$2,"")&amp;IF(N(AG82)&gt;0,", "&amp;A82&amp;"-"&amp;AG$2,"")&amp;IF(N(AH82)&gt;0,", "&amp;A82&amp;"-"&amp;AH$2,"")&amp;IF(N(AI82)&gt;0,", "&amp;A82&amp;"-"&amp;AI$2,"")&amp;IF(N(AJ82)&gt;0,", "&amp;A82&amp;"-"&amp;AJ$2,""),3,999))</f>
        <v/>
      </c>
      <c r="AN82" s="81"/>
      <c r="AO82" s="88"/>
      <c r="AP82" s="89" t="str">
        <f aca="false">IF(AO82="","",ROUND(AO82/(1+Справочники!$B$13),2))</f>
        <v/>
      </c>
      <c r="AQ82" s="90" t="str">
        <f aca="false" t="array" ref="AQ82:AQ82">IF(AP82="","",AP82*INDEX(Справочники!$B$4:$B$7,MATCH("RUB",Справочники!$A$4:$A$7,0)))</f>
        <v/>
      </c>
      <c r="AR82" s="90" t="str">
        <f aca="false">IF(AQ82="","",ROUND(AQ82*(1+Справочники!$B$12),0))</f>
        <v/>
      </c>
      <c r="AS82" s="90" t="str">
        <f aca="false">IF(AR82="","",ROUND(AR82*(1-Справочники!$B$11),0))</f>
        <v/>
      </c>
      <c r="AT82" s="88"/>
      <c r="AU82" s="90" t="str">
        <f aca="false">IF(AT82="","",ROUND(AT82/(1+Справочники!$B$12),0))</f>
        <v/>
      </c>
      <c r="AV82" s="90" t="str">
        <f aca="false">IF(AT82="","",ROUND(AT82*(1-Справочники!$B$15),0))</f>
        <v/>
      </c>
      <c r="AW82" s="90" t="str">
        <f aca="false">IF(AT82="","",ROUND(AT82*(1-Справочники!$B$16),0))</f>
        <v/>
      </c>
      <c r="AX82" s="90" t="str">
        <f aca="false">IF(AT82="","",ROUND(AT82*(1-Справочники!$B$17),0))</f>
        <v/>
      </c>
      <c r="AY82" s="90" t="str">
        <f aca="false">IF(AT82="","",ROUND(AT82*(1-Справочники!$B$18),0))</f>
        <v/>
      </c>
      <c r="AZ82" s="90" t="str">
        <f aca="false">IF(AT82="","",ROUND(AT82*(1-Справочники!$B$19),0))</f>
        <v/>
      </c>
      <c r="BA82" s="81"/>
      <c r="BB82" s="81"/>
      <c r="BC82" s="81"/>
      <c r="BD82" s="81"/>
      <c r="BE82" s="91"/>
      <c r="BF82" s="81" t="s">
        <v>103</v>
      </c>
      <c r="BG82" s="89" t="n">
        <f aca="false" t="array" ref="BG82:BG82">IF(BF82="","",IFERROR(INDEX(Справочники!$B$4:$B$7,MATCH(BF82,Справочники!$A$4:$A$7,0)),""))</f>
        <v>68.5</v>
      </c>
      <c r="BH82" s="90" t="str">
        <f aca="false">IF(N(BN82)&gt;0,ROUND(SUMIF(ЗАКАЗЫ!$F$3:$F$500,$A82,ЗАКАЗЫ!$Y$3:$Y$500)/BN82,0),IF(OR(BE82="",BG82=""),"",ROUND(BE82*BG82*(1+Справочники!$B$10),0)))</f>
        <v/>
      </c>
      <c r="BI82" s="92" t="str">
        <f aca="false">IF(OR(AU82="",BH82="",AU82=0),"",(AU82-BH82)/AU82)</f>
        <v/>
      </c>
      <c r="BJ82" s="81"/>
      <c r="BK82" s="83"/>
      <c r="BL82" s="43" t="str">
        <f aca="false">IFERROR(INDEX(ЗАКАЗЫ!$N$3:$N$500,MATCH($A82,ЗАКАЗЫ!$F$3:$F$500,0)),"")</f>
        <v/>
      </c>
      <c r="BM82" s="8" t="str">
        <f aca="false">IF(BL82="","",IFERROR(VLOOKUP(BL82,'ТН ВЭД'!$A$4:$C$40,3,0),""))</f>
        <v/>
      </c>
      <c r="BN82" s="7" t="str">
        <f aca="false">IF(COUNTIF(ЗАКАЗЫ!$F$3:$F$500,$A82)=0,"",SUMIF(ЗАКАЗЫ!$F$3:$F$500,$A82,ЗАКАЗЫ!$J$3:$J$500))</f>
        <v/>
      </c>
      <c r="BO82" s="7" t="str">
        <f aca="false">IF(BN82="","",SUMIF(ЗАКАЗЫ!$F$3:$F$500,$A82,ЗАКАЗЫ!$AL$3:$AL$500))</f>
        <v/>
      </c>
      <c r="BP82" s="7" t="str">
        <f aca="false">IF(BN82="","",BN82-BO82)</f>
        <v/>
      </c>
      <c r="BQ82" s="55" t="str">
        <f aca="false">IF(BN82="","",IF(BO82&gt;=BN82,"На складе",IF(BO82&gt;0,"Частично","Ждём")))</f>
        <v/>
      </c>
      <c r="BR82" s="43"/>
      <c r="BS82" s="47" t="str">
        <f aca="false">IF(BN82="","",IF(_xlfn.MAXIFS(ЗАКАЗЫ!$AK$3:$AK$500,ЗАКАЗЫ!$F$3:$F$500,$A82)=0,"",_xlfn.MAXIFS(ЗАКАЗЫ!$AK$3:$AK$500,ЗАКАЗЫ!$F$3:$F$500,$A82)))</f>
        <v/>
      </c>
    </row>
    <row r="83" customFormat="false" ht="15.75" hidden="false" customHeight="true" outlineLevel="0" collapsed="false">
      <c r="A83" s="80" t="s">
        <v>2623</v>
      </c>
      <c r="B83" s="81"/>
      <c r="C83" s="81"/>
      <c r="D83" s="81"/>
      <c r="E83" s="83"/>
      <c r="F83" s="81"/>
      <c r="G83" s="83"/>
      <c r="H83" s="83"/>
      <c r="I83" s="84" t="str">
        <f aca="false">IF(E83="","",A83&amp;"_1.jpg")</f>
        <v/>
      </c>
      <c r="J83" s="84" t="str">
        <f aca="false">IF(E83="","",A83&amp;"_2.jpg; "&amp;A83&amp;"_3.jpg")</f>
        <v/>
      </c>
      <c r="K83" s="84" t="str">
        <f aca="false">IF(E83="","",A83&amp;"_schema.jpg")</f>
        <v/>
      </c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 t="s">
        <v>96</v>
      </c>
      <c r="W83" s="81"/>
      <c r="X83" s="81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6" t="str">
        <f aca="false">IF(SUM(Y83:AJ83)=0,"",SUM(Y83:AJ83))</f>
        <v/>
      </c>
      <c r="AL83" s="84" t="str">
        <f aca="false">MID(IF(N(Y83)&gt;0,", "&amp;Y$2,"")&amp;IF(N(Z83)&gt;0,", "&amp;Z$2,"")&amp;IF(N(AA83)&gt;0,", "&amp;AA$2,"")&amp;IF(N(AB83)&gt;0,", "&amp;AB$2,"")&amp;IF(N(AC83)&gt;0,", "&amp;AC$2,"")&amp;IF(N(AD83)&gt;0,", "&amp;AD$2,"")&amp;IF(N(AE83)&gt;0,", "&amp;AE$2,"")&amp;IF(N(AF83)&gt;0,", "&amp;AF$2,"")&amp;IF(N(AG83)&gt;0,", "&amp;AG$2,"")&amp;IF(N(AH83)&gt;0,", "&amp;AH$2,"")&amp;IF(N(AI83)&gt;0,", "&amp;AI$2,"")&amp;IF(N(AJ83)&gt;0,", "&amp;AJ$2,""),3,999)</f>
        <v/>
      </c>
      <c r="AM83" s="87" t="str">
        <f aca="false">IF(E83="","",MID(IF(N(Y83)&gt;0,", "&amp;A83&amp;"-"&amp;Y$2,"")&amp;IF(N(Z83)&gt;0,", "&amp;A83&amp;"-"&amp;Z$2,"")&amp;IF(N(AA83)&gt;0,", "&amp;A83&amp;"-"&amp;AA$2,"")&amp;IF(N(AB83)&gt;0,", "&amp;A83&amp;"-"&amp;AB$2,"")&amp;IF(N(AC83)&gt;0,", "&amp;A83&amp;"-"&amp;AC$2,"")&amp;IF(N(AD83)&gt;0,", "&amp;A83&amp;"-"&amp;AD$2,"")&amp;IF(N(AE83)&gt;0,", "&amp;A83&amp;"-"&amp;AE$2,"")&amp;IF(N(AF83)&gt;0,", "&amp;A83&amp;"-"&amp;AF$2,"")&amp;IF(N(AG83)&gt;0,", "&amp;A83&amp;"-"&amp;AG$2,"")&amp;IF(N(AH83)&gt;0,", "&amp;A83&amp;"-"&amp;AH$2,"")&amp;IF(N(AI83)&gt;0,", "&amp;A83&amp;"-"&amp;AI$2,"")&amp;IF(N(AJ83)&gt;0,", "&amp;A83&amp;"-"&amp;AJ$2,""),3,999))</f>
        <v/>
      </c>
      <c r="AN83" s="81"/>
      <c r="AO83" s="88"/>
      <c r="AP83" s="89" t="str">
        <f aca="false">IF(AO83="","",ROUND(AO83/(1+Справочники!$B$13),2))</f>
        <v/>
      </c>
      <c r="AQ83" s="90" t="str">
        <f aca="false" t="array" ref="AQ83:AQ83">IF(AP83="","",AP83*INDEX(Справочники!$B$4:$B$7,MATCH("RUB",Справочники!$A$4:$A$7,0)))</f>
        <v/>
      </c>
      <c r="AR83" s="90" t="str">
        <f aca="false">IF(AQ83="","",ROUND(AQ83*(1+Справочники!$B$12),0))</f>
        <v/>
      </c>
      <c r="AS83" s="90" t="str">
        <f aca="false">IF(AR83="","",ROUND(AR83*(1-Справочники!$B$11),0))</f>
        <v/>
      </c>
      <c r="AT83" s="88"/>
      <c r="AU83" s="90" t="str">
        <f aca="false">IF(AT83="","",ROUND(AT83/(1+Справочники!$B$12),0))</f>
        <v/>
      </c>
      <c r="AV83" s="90" t="str">
        <f aca="false">IF(AT83="","",ROUND(AT83*(1-Справочники!$B$15),0))</f>
        <v/>
      </c>
      <c r="AW83" s="90" t="str">
        <f aca="false">IF(AT83="","",ROUND(AT83*(1-Справочники!$B$16),0))</f>
        <v/>
      </c>
      <c r="AX83" s="90" t="str">
        <f aca="false">IF(AT83="","",ROUND(AT83*(1-Справочники!$B$17),0))</f>
        <v/>
      </c>
      <c r="AY83" s="90" t="str">
        <f aca="false">IF(AT83="","",ROUND(AT83*(1-Справочники!$B$18),0))</f>
        <v/>
      </c>
      <c r="AZ83" s="90" t="str">
        <f aca="false">IF(AT83="","",ROUND(AT83*(1-Справочники!$B$19),0))</f>
        <v/>
      </c>
      <c r="BA83" s="81"/>
      <c r="BB83" s="81"/>
      <c r="BC83" s="81"/>
      <c r="BD83" s="81"/>
      <c r="BE83" s="91"/>
      <c r="BF83" s="81" t="s">
        <v>103</v>
      </c>
      <c r="BG83" s="89" t="n">
        <f aca="false" t="array" ref="BG83:BG83">IF(BF83="","",IFERROR(INDEX(Справочники!$B$4:$B$7,MATCH(BF83,Справочники!$A$4:$A$7,0)),""))</f>
        <v>68.5</v>
      </c>
      <c r="BH83" s="90" t="str">
        <f aca="false">IF(N(BN83)&gt;0,ROUND(SUMIF(ЗАКАЗЫ!$F$3:$F$500,$A83,ЗАКАЗЫ!$Y$3:$Y$500)/BN83,0),IF(OR(BE83="",BG83=""),"",ROUND(BE83*BG83*(1+Справочники!$B$10),0)))</f>
        <v/>
      </c>
      <c r="BI83" s="92" t="str">
        <f aca="false">IF(OR(AU83="",BH83="",AU83=0),"",(AU83-BH83)/AU83)</f>
        <v/>
      </c>
      <c r="BJ83" s="81"/>
      <c r="BK83" s="83"/>
      <c r="BL83" s="43" t="str">
        <f aca="false">IFERROR(INDEX(ЗАКАЗЫ!$N$3:$N$500,MATCH($A83,ЗАКАЗЫ!$F$3:$F$500,0)),"")</f>
        <v/>
      </c>
      <c r="BM83" s="8" t="str">
        <f aca="false">IF(BL83="","",IFERROR(VLOOKUP(BL83,'ТН ВЭД'!$A$4:$C$40,3,0),""))</f>
        <v/>
      </c>
      <c r="BN83" s="7" t="str">
        <f aca="false">IF(COUNTIF(ЗАКАЗЫ!$F$3:$F$500,$A83)=0,"",SUMIF(ЗАКАЗЫ!$F$3:$F$500,$A83,ЗАКАЗЫ!$J$3:$J$500))</f>
        <v/>
      </c>
      <c r="BO83" s="7" t="str">
        <f aca="false">IF(BN83="","",SUMIF(ЗАКАЗЫ!$F$3:$F$500,$A83,ЗАКАЗЫ!$AL$3:$AL$500))</f>
        <v/>
      </c>
      <c r="BP83" s="7" t="str">
        <f aca="false">IF(BN83="","",BN83-BO83)</f>
        <v/>
      </c>
      <c r="BQ83" s="55" t="str">
        <f aca="false">IF(BN83="","",IF(BO83&gt;=BN83,"На складе",IF(BO83&gt;0,"Частично","Ждём")))</f>
        <v/>
      </c>
      <c r="BR83" s="43"/>
      <c r="BS83" s="47" t="str">
        <f aca="false">IF(BN83="","",IF(_xlfn.MAXIFS(ЗАКАЗЫ!$AK$3:$AK$500,ЗАКАЗЫ!$F$3:$F$500,$A83)=0,"",_xlfn.MAXIFS(ЗАКАЗЫ!$AK$3:$AK$500,ЗАКАЗЫ!$F$3:$F$500,$A83)))</f>
        <v/>
      </c>
    </row>
    <row r="84" customFormat="false" ht="15.75" hidden="false" customHeight="true" outlineLevel="0" collapsed="false">
      <c r="A84" s="80" t="s">
        <v>2624</v>
      </c>
      <c r="B84" s="81"/>
      <c r="C84" s="81"/>
      <c r="D84" s="81"/>
      <c r="E84" s="83"/>
      <c r="F84" s="81"/>
      <c r="G84" s="83"/>
      <c r="H84" s="83"/>
      <c r="I84" s="84" t="str">
        <f aca="false">IF(E84="","",A84&amp;"_1.jpg")</f>
        <v/>
      </c>
      <c r="J84" s="84" t="str">
        <f aca="false">IF(E84="","",A84&amp;"_2.jpg; "&amp;A84&amp;"_3.jpg")</f>
        <v/>
      </c>
      <c r="K84" s="84" t="str">
        <f aca="false">IF(E84="","",A84&amp;"_schema.jpg")</f>
        <v/>
      </c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 t="s">
        <v>96</v>
      </c>
      <c r="W84" s="81"/>
      <c r="X84" s="81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6" t="str">
        <f aca="false">IF(SUM(Y84:AJ84)=0,"",SUM(Y84:AJ84))</f>
        <v/>
      </c>
      <c r="AL84" s="84" t="str">
        <f aca="false">MID(IF(N(Y84)&gt;0,", "&amp;Y$2,"")&amp;IF(N(Z84)&gt;0,", "&amp;Z$2,"")&amp;IF(N(AA84)&gt;0,", "&amp;AA$2,"")&amp;IF(N(AB84)&gt;0,", "&amp;AB$2,"")&amp;IF(N(AC84)&gt;0,", "&amp;AC$2,"")&amp;IF(N(AD84)&gt;0,", "&amp;AD$2,"")&amp;IF(N(AE84)&gt;0,", "&amp;AE$2,"")&amp;IF(N(AF84)&gt;0,", "&amp;AF$2,"")&amp;IF(N(AG84)&gt;0,", "&amp;AG$2,"")&amp;IF(N(AH84)&gt;0,", "&amp;AH$2,"")&amp;IF(N(AI84)&gt;0,", "&amp;AI$2,"")&amp;IF(N(AJ84)&gt;0,", "&amp;AJ$2,""),3,999)</f>
        <v/>
      </c>
      <c r="AM84" s="87" t="str">
        <f aca="false">IF(E84="","",MID(IF(N(Y84)&gt;0,", "&amp;A84&amp;"-"&amp;Y$2,"")&amp;IF(N(Z84)&gt;0,", "&amp;A84&amp;"-"&amp;Z$2,"")&amp;IF(N(AA84)&gt;0,", "&amp;A84&amp;"-"&amp;AA$2,"")&amp;IF(N(AB84)&gt;0,", "&amp;A84&amp;"-"&amp;AB$2,"")&amp;IF(N(AC84)&gt;0,", "&amp;A84&amp;"-"&amp;AC$2,"")&amp;IF(N(AD84)&gt;0,", "&amp;A84&amp;"-"&amp;AD$2,"")&amp;IF(N(AE84)&gt;0,", "&amp;A84&amp;"-"&amp;AE$2,"")&amp;IF(N(AF84)&gt;0,", "&amp;A84&amp;"-"&amp;AF$2,"")&amp;IF(N(AG84)&gt;0,", "&amp;A84&amp;"-"&amp;AG$2,"")&amp;IF(N(AH84)&gt;0,", "&amp;A84&amp;"-"&amp;AH$2,"")&amp;IF(N(AI84)&gt;0,", "&amp;A84&amp;"-"&amp;AI$2,"")&amp;IF(N(AJ84)&gt;0,", "&amp;A84&amp;"-"&amp;AJ$2,""),3,999))</f>
        <v/>
      </c>
      <c r="AN84" s="81"/>
      <c r="AO84" s="88"/>
      <c r="AP84" s="89" t="str">
        <f aca="false">IF(AO84="","",ROUND(AO84/(1+Справочники!$B$13),2))</f>
        <v/>
      </c>
      <c r="AQ84" s="90" t="str">
        <f aca="false" t="array" ref="AQ84:AQ84">IF(AP84="","",AP84*INDEX(Справочники!$B$4:$B$7,MATCH("RUB",Справочники!$A$4:$A$7,0)))</f>
        <v/>
      </c>
      <c r="AR84" s="90" t="str">
        <f aca="false">IF(AQ84="","",ROUND(AQ84*(1+Справочники!$B$12),0))</f>
        <v/>
      </c>
      <c r="AS84" s="90" t="str">
        <f aca="false">IF(AR84="","",ROUND(AR84*(1-Справочники!$B$11),0))</f>
        <v/>
      </c>
      <c r="AT84" s="88"/>
      <c r="AU84" s="90" t="str">
        <f aca="false">IF(AT84="","",ROUND(AT84/(1+Справочники!$B$12),0))</f>
        <v/>
      </c>
      <c r="AV84" s="90" t="str">
        <f aca="false">IF(AT84="","",ROUND(AT84*(1-Справочники!$B$15),0))</f>
        <v/>
      </c>
      <c r="AW84" s="90" t="str">
        <f aca="false">IF(AT84="","",ROUND(AT84*(1-Справочники!$B$16),0))</f>
        <v/>
      </c>
      <c r="AX84" s="90" t="str">
        <f aca="false">IF(AT84="","",ROUND(AT84*(1-Справочники!$B$17),0))</f>
        <v/>
      </c>
      <c r="AY84" s="90" t="str">
        <f aca="false">IF(AT84="","",ROUND(AT84*(1-Справочники!$B$18),0))</f>
        <v/>
      </c>
      <c r="AZ84" s="90" t="str">
        <f aca="false">IF(AT84="","",ROUND(AT84*(1-Справочники!$B$19),0))</f>
        <v/>
      </c>
      <c r="BA84" s="81"/>
      <c r="BB84" s="81"/>
      <c r="BC84" s="81"/>
      <c r="BD84" s="81"/>
      <c r="BE84" s="91"/>
      <c r="BF84" s="81" t="s">
        <v>103</v>
      </c>
      <c r="BG84" s="89" t="n">
        <f aca="false" t="array" ref="BG84:BG84">IF(BF84="","",IFERROR(INDEX(Справочники!$B$4:$B$7,MATCH(BF84,Справочники!$A$4:$A$7,0)),""))</f>
        <v>68.5</v>
      </c>
      <c r="BH84" s="90" t="str">
        <f aca="false">IF(N(BN84)&gt;0,ROUND(SUMIF(ЗАКАЗЫ!$F$3:$F$500,$A84,ЗАКАЗЫ!$Y$3:$Y$500)/BN84,0),IF(OR(BE84="",BG84=""),"",ROUND(BE84*BG84*(1+Справочники!$B$10),0)))</f>
        <v/>
      </c>
      <c r="BI84" s="92" t="str">
        <f aca="false">IF(OR(AU84="",BH84="",AU84=0),"",(AU84-BH84)/AU84)</f>
        <v/>
      </c>
      <c r="BJ84" s="81"/>
      <c r="BK84" s="83"/>
      <c r="BL84" s="43" t="str">
        <f aca="false">IFERROR(INDEX(ЗАКАЗЫ!$N$3:$N$500,MATCH($A84,ЗАКАЗЫ!$F$3:$F$500,0)),"")</f>
        <v/>
      </c>
      <c r="BM84" s="8" t="str">
        <f aca="false">IF(BL84="","",IFERROR(VLOOKUP(BL84,'ТН ВЭД'!$A$4:$C$40,3,0),""))</f>
        <v/>
      </c>
      <c r="BN84" s="7" t="str">
        <f aca="false">IF(COUNTIF(ЗАКАЗЫ!$F$3:$F$500,$A84)=0,"",SUMIF(ЗАКАЗЫ!$F$3:$F$500,$A84,ЗАКАЗЫ!$J$3:$J$500))</f>
        <v/>
      </c>
      <c r="BO84" s="7" t="str">
        <f aca="false">IF(BN84="","",SUMIF(ЗАКАЗЫ!$F$3:$F$500,$A84,ЗАКАЗЫ!$AL$3:$AL$500))</f>
        <v/>
      </c>
      <c r="BP84" s="7" t="str">
        <f aca="false">IF(BN84="","",BN84-BO84)</f>
        <v/>
      </c>
      <c r="BQ84" s="55" t="str">
        <f aca="false">IF(BN84="","",IF(BO84&gt;=BN84,"На складе",IF(BO84&gt;0,"Частично","Ждём")))</f>
        <v/>
      </c>
      <c r="BR84" s="43"/>
      <c r="BS84" s="47" t="str">
        <f aca="false">IF(BN84="","",IF(_xlfn.MAXIFS(ЗАКАЗЫ!$AK$3:$AK$500,ЗАКАЗЫ!$F$3:$F$500,$A84)=0,"",_xlfn.MAXIFS(ЗАКАЗЫ!$AK$3:$AK$500,ЗАКАЗЫ!$F$3:$F$500,$A84)))</f>
        <v/>
      </c>
    </row>
    <row r="85" customFormat="false" ht="15.75" hidden="false" customHeight="true" outlineLevel="0" collapsed="false">
      <c r="A85" s="80" t="s">
        <v>2625</v>
      </c>
      <c r="B85" s="81"/>
      <c r="C85" s="81"/>
      <c r="D85" s="81"/>
      <c r="E85" s="83"/>
      <c r="F85" s="81"/>
      <c r="G85" s="83"/>
      <c r="H85" s="83"/>
      <c r="I85" s="84" t="str">
        <f aca="false">IF(E85="","",A85&amp;"_1.jpg")</f>
        <v/>
      </c>
      <c r="J85" s="84" t="str">
        <f aca="false">IF(E85="","",A85&amp;"_2.jpg; "&amp;A85&amp;"_3.jpg")</f>
        <v/>
      </c>
      <c r="K85" s="84" t="str">
        <f aca="false">IF(E85="","",A85&amp;"_schema.jpg")</f>
        <v/>
      </c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 t="s">
        <v>96</v>
      </c>
      <c r="W85" s="81"/>
      <c r="X85" s="81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6" t="str">
        <f aca="false">IF(SUM(Y85:AJ85)=0,"",SUM(Y85:AJ85))</f>
        <v/>
      </c>
      <c r="AL85" s="84" t="str">
        <f aca="false">MID(IF(N(Y85)&gt;0,", "&amp;Y$2,"")&amp;IF(N(Z85)&gt;0,", "&amp;Z$2,"")&amp;IF(N(AA85)&gt;0,", "&amp;AA$2,"")&amp;IF(N(AB85)&gt;0,", "&amp;AB$2,"")&amp;IF(N(AC85)&gt;0,", "&amp;AC$2,"")&amp;IF(N(AD85)&gt;0,", "&amp;AD$2,"")&amp;IF(N(AE85)&gt;0,", "&amp;AE$2,"")&amp;IF(N(AF85)&gt;0,", "&amp;AF$2,"")&amp;IF(N(AG85)&gt;0,", "&amp;AG$2,"")&amp;IF(N(AH85)&gt;0,", "&amp;AH$2,"")&amp;IF(N(AI85)&gt;0,", "&amp;AI$2,"")&amp;IF(N(AJ85)&gt;0,", "&amp;AJ$2,""),3,999)</f>
        <v/>
      </c>
      <c r="AM85" s="87" t="str">
        <f aca="false">IF(E85="","",MID(IF(N(Y85)&gt;0,", "&amp;A85&amp;"-"&amp;Y$2,"")&amp;IF(N(Z85)&gt;0,", "&amp;A85&amp;"-"&amp;Z$2,"")&amp;IF(N(AA85)&gt;0,", "&amp;A85&amp;"-"&amp;AA$2,"")&amp;IF(N(AB85)&gt;0,", "&amp;A85&amp;"-"&amp;AB$2,"")&amp;IF(N(AC85)&gt;0,", "&amp;A85&amp;"-"&amp;AC$2,"")&amp;IF(N(AD85)&gt;0,", "&amp;A85&amp;"-"&amp;AD$2,"")&amp;IF(N(AE85)&gt;0,", "&amp;A85&amp;"-"&amp;AE$2,"")&amp;IF(N(AF85)&gt;0,", "&amp;A85&amp;"-"&amp;AF$2,"")&amp;IF(N(AG85)&gt;0,", "&amp;A85&amp;"-"&amp;AG$2,"")&amp;IF(N(AH85)&gt;0,", "&amp;A85&amp;"-"&amp;AH$2,"")&amp;IF(N(AI85)&gt;0,", "&amp;A85&amp;"-"&amp;AI$2,"")&amp;IF(N(AJ85)&gt;0,", "&amp;A85&amp;"-"&amp;AJ$2,""),3,999))</f>
        <v/>
      </c>
      <c r="AN85" s="81"/>
      <c r="AO85" s="88"/>
      <c r="AP85" s="89" t="str">
        <f aca="false">IF(AO85="","",ROUND(AO85/(1+Справочники!$B$13),2))</f>
        <v/>
      </c>
      <c r="AQ85" s="90" t="str">
        <f aca="false" t="array" ref="AQ85:AQ85">IF(AP85="","",AP85*INDEX(Справочники!$B$4:$B$7,MATCH("RUB",Справочники!$A$4:$A$7,0)))</f>
        <v/>
      </c>
      <c r="AR85" s="90" t="str">
        <f aca="false">IF(AQ85="","",ROUND(AQ85*(1+Справочники!$B$12),0))</f>
        <v/>
      </c>
      <c r="AS85" s="90" t="str">
        <f aca="false">IF(AR85="","",ROUND(AR85*(1-Справочники!$B$11),0))</f>
        <v/>
      </c>
      <c r="AT85" s="88"/>
      <c r="AU85" s="90" t="str">
        <f aca="false">IF(AT85="","",ROUND(AT85/(1+Справочники!$B$12),0))</f>
        <v/>
      </c>
      <c r="AV85" s="90" t="str">
        <f aca="false">IF(AT85="","",ROUND(AT85*(1-Справочники!$B$15),0))</f>
        <v/>
      </c>
      <c r="AW85" s="90" t="str">
        <f aca="false">IF(AT85="","",ROUND(AT85*(1-Справочники!$B$16),0))</f>
        <v/>
      </c>
      <c r="AX85" s="90" t="str">
        <f aca="false">IF(AT85="","",ROUND(AT85*(1-Справочники!$B$17),0))</f>
        <v/>
      </c>
      <c r="AY85" s="90" t="str">
        <f aca="false">IF(AT85="","",ROUND(AT85*(1-Справочники!$B$18),0))</f>
        <v/>
      </c>
      <c r="AZ85" s="90" t="str">
        <f aca="false">IF(AT85="","",ROUND(AT85*(1-Справочники!$B$19),0))</f>
        <v/>
      </c>
      <c r="BA85" s="81"/>
      <c r="BB85" s="81"/>
      <c r="BC85" s="81"/>
      <c r="BD85" s="81"/>
      <c r="BE85" s="91"/>
      <c r="BF85" s="81" t="s">
        <v>103</v>
      </c>
      <c r="BG85" s="89" t="n">
        <f aca="false" t="array" ref="BG85:BG85">IF(BF85="","",IFERROR(INDEX(Справочники!$B$4:$B$7,MATCH(BF85,Справочники!$A$4:$A$7,0)),""))</f>
        <v>68.5</v>
      </c>
      <c r="BH85" s="90" t="str">
        <f aca="false">IF(N(BN85)&gt;0,ROUND(SUMIF(ЗАКАЗЫ!$F$3:$F$500,$A85,ЗАКАЗЫ!$Y$3:$Y$500)/BN85,0),IF(OR(BE85="",BG85=""),"",ROUND(BE85*BG85*(1+Справочники!$B$10),0)))</f>
        <v/>
      </c>
      <c r="BI85" s="92" t="str">
        <f aca="false">IF(OR(AU85="",BH85="",AU85=0),"",(AU85-BH85)/AU85)</f>
        <v/>
      </c>
      <c r="BJ85" s="81"/>
      <c r="BK85" s="83"/>
      <c r="BL85" s="43" t="str">
        <f aca="false">IFERROR(INDEX(ЗАКАЗЫ!$N$3:$N$500,MATCH($A85,ЗАКАЗЫ!$F$3:$F$500,0)),"")</f>
        <v/>
      </c>
      <c r="BM85" s="8" t="str">
        <f aca="false">IF(BL85="","",IFERROR(VLOOKUP(BL85,'ТН ВЭД'!$A$4:$C$40,3,0),""))</f>
        <v/>
      </c>
      <c r="BN85" s="7" t="str">
        <f aca="false">IF(COUNTIF(ЗАКАЗЫ!$F$3:$F$500,$A85)=0,"",SUMIF(ЗАКАЗЫ!$F$3:$F$500,$A85,ЗАКАЗЫ!$J$3:$J$500))</f>
        <v/>
      </c>
      <c r="BO85" s="7" t="str">
        <f aca="false">IF(BN85="","",SUMIF(ЗАКАЗЫ!$F$3:$F$500,$A85,ЗАКАЗЫ!$AL$3:$AL$500))</f>
        <v/>
      </c>
      <c r="BP85" s="7" t="str">
        <f aca="false">IF(BN85="","",BN85-BO85)</f>
        <v/>
      </c>
      <c r="BQ85" s="55" t="str">
        <f aca="false">IF(BN85="","",IF(BO85&gt;=BN85,"На складе",IF(BO85&gt;0,"Частично","Ждём")))</f>
        <v/>
      </c>
      <c r="BR85" s="43"/>
      <c r="BS85" s="47" t="str">
        <f aca="false">IF(BN85="","",IF(_xlfn.MAXIFS(ЗАКАЗЫ!$AK$3:$AK$500,ЗАКАЗЫ!$F$3:$F$500,$A85)=0,"",_xlfn.MAXIFS(ЗАКАЗЫ!$AK$3:$AK$500,ЗАКАЗЫ!$F$3:$F$500,$A85)))</f>
        <v/>
      </c>
    </row>
    <row r="86" customFormat="false" ht="15.75" hidden="false" customHeight="true" outlineLevel="0" collapsed="false">
      <c r="A86" s="80" t="s">
        <v>2626</v>
      </c>
      <c r="B86" s="81"/>
      <c r="C86" s="81"/>
      <c r="D86" s="81"/>
      <c r="E86" s="83"/>
      <c r="F86" s="81"/>
      <c r="G86" s="83"/>
      <c r="H86" s="83"/>
      <c r="I86" s="84" t="str">
        <f aca="false">IF(E86="","",A86&amp;"_1.jpg")</f>
        <v/>
      </c>
      <c r="J86" s="84" t="str">
        <f aca="false">IF(E86="","",A86&amp;"_2.jpg; "&amp;A86&amp;"_3.jpg")</f>
        <v/>
      </c>
      <c r="K86" s="84" t="str">
        <f aca="false">IF(E86="","",A86&amp;"_schema.jpg")</f>
        <v/>
      </c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 t="s">
        <v>96</v>
      </c>
      <c r="W86" s="81"/>
      <c r="X86" s="81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6" t="str">
        <f aca="false">IF(SUM(Y86:AJ86)=0,"",SUM(Y86:AJ86))</f>
        <v/>
      </c>
      <c r="AL86" s="84" t="str">
        <f aca="false">MID(IF(N(Y86)&gt;0,", "&amp;Y$2,"")&amp;IF(N(Z86)&gt;0,", "&amp;Z$2,"")&amp;IF(N(AA86)&gt;0,", "&amp;AA$2,"")&amp;IF(N(AB86)&gt;0,", "&amp;AB$2,"")&amp;IF(N(AC86)&gt;0,", "&amp;AC$2,"")&amp;IF(N(AD86)&gt;0,", "&amp;AD$2,"")&amp;IF(N(AE86)&gt;0,", "&amp;AE$2,"")&amp;IF(N(AF86)&gt;0,", "&amp;AF$2,"")&amp;IF(N(AG86)&gt;0,", "&amp;AG$2,"")&amp;IF(N(AH86)&gt;0,", "&amp;AH$2,"")&amp;IF(N(AI86)&gt;0,", "&amp;AI$2,"")&amp;IF(N(AJ86)&gt;0,", "&amp;AJ$2,""),3,999)</f>
        <v/>
      </c>
      <c r="AM86" s="87" t="str">
        <f aca="false">IF(E86="","",MID(IF(N(Y86)&gt;0,", "&amp;A86&amp;"-"&amp;Y$2,"")&amp;IF(N(Z86)&gt;0,", "&amp;A86&amp;"-"&amp;Z$2,"")&amp;IF(N(AA86)&gt;0,", "&amp;A86&amp;"-"&amp;AA$2,"")&amp;IF(N(AB86)&gt;0,", "&amp;A86&amp;"-"&amp;AB$2,"")&amp;IF(N(AC86)&gt;0,", "&amp;A86&amp;"-"&amp;AC$2,"")&amp;IF(N(AD86)&gt;0,", "&amp;A86&amp;"-"&amp;AD$2,"")&amp;IF(N(AE86)&gt;0,", "&amp;A86&amp;"-"&amp;AE$2,"")&amp;IF(N(AF86)&gt;0,", "&amp;A86&amp;"-"&amp;AF$2,"")&amp;IF(N(AG86)&gt;0,", "&amp;A86&amp;"-"&amp;AG$2,"")&amp;IF(N(AH86)&gt;0,", "&amp;A86&amp;"-"&amp;AH$2,"")&amp;IF(N(AI86)&gt;0,", "&amp;A86&amp;"-"&amp;AI$2,"")&amp;IF(N(AJ86)&gt;0,", "&amp;A86&amp;"-"&amp;AJ$2,""),3,999))</f>
        <v/>
      </c>
      <c r="AN86" s="81"/>
      <c r="AO86" s="88"/>
      <c r="AP86" s="89" t="str">
        <f aca="false">IF(AO86="","",ROUND(AO86/(1+Справочники!$B$13),2))</f>
        <v/>
      </c>
      <c r="AQ86" s="90" t="str">
        <f aca="false" t="array" ref="AQ86:AQ86">IF(AP86="","",AP86*INDEX(Справочники!$B$4:$B$7,MATCH("RUB",Справочники!$A$4:$A$7,0)))</f>
        <v/>
      </c>
      <c r="AR86" s="90" t="str">
        <f aca="false">IF(AQ86="","",ROUND(AQ86*(1+Справочники!$B$12),0))</f>
        <v/>
      </c>
      <c r="AS86" s="90" t="str">
        <f aca="false">IF(AR86="","",ROUND(AR86*(1-Справочники!$B$11),0))</f>
        <v/>
      </c>
      <c r="AT86" s="88"/>
      <c r="AU86" s="90" t="str">
        <f aca="false">IF(AT86="","",ROUND(AT86/(1+Справочники!$B$12),0))</f>
        <v/>
      </c>
      <c r="AV86" s="90" t="str">
        <f aca="false">IF(AT86="","",ROUND(AT86*(1-Справочники!$B$15),0))</f>
        <v/>
      </c>
      <c r="AW86" s="90" t="str">
        <f aca="false">IF(AT86="","",ROUND(AT86*(1-Справочники!$B$16),0))</f>
        <v/>
      </c>
      <c r="AX86" s="90" t="str">
        <f aca="false">IF(AT86="","",ROUND(AT86*(1-Справочники!$B$17),0))</f>
        <v/>
      </c>
      <c r="AY86" s="90" t="str">
        <f aca="false">IF(AT86="","",ROUND(AT86*(1-Справочники!$B$18),0))</f>
        <v/>
      </c>
      <c r="AZ86" s="90" t="str">
        <f aca="false">IF(AT86="","",ROUND(AT86*(1-Справочники!$B$19),0))</f>
        <v/>
      </c>
      <c r="BA86" s="81"/>
      <c r="BB86" s="81"/>
      <c r="BC86" s="81"/>
      <c r="BD86" s="81"/>
      <c r="BE86" s="91"/>
      <c r="BF86" s="81" t="s">
        <v>103</v>
      </c>
      <c r="BG86" s="89" t="n">
        <f aca="false" t="array" ref="BG86:BG86">IF(BF86="","",IFERROR(INDEX(Справочники!$B$4:$B$7,MATCH(BF86,Справочники!$A$4:$A$7,0)),""))</f>
        <v>68.5</v>
      </c>
      <c r="BH86" s="90" t="str">
        <f aca="false">IF(N(BN86)&gt;0,ROUND(SUMIF(ЗАКАЗЫ!$F$3:$F$500,$A86,ЗАКАЗЫ!$Y$3:$Y$500)/BN86,0),IF(OR(BE86="",BG86=""),"",ROUND(BE86*BG86*(1+Справочники!$B$10),0)))</f>
        <v/>
      </c>
      <c r="BI86" s="92" t="str">
        <f aca="false">IF(OR(AU86="",BH86="",AU86=0),"",(AU86-BH86)/AU86)</f>
        <v/>
      </c>
      <c r="BJ86" s="81"/>
      <c r="BK86" s="83"/>
      <c r="BL86" s="43" t="str">
        <f aca="false">IFERROR(INDEX(ЗАКАЗЫ!$N$3:$N$500,MATCH($A86,ЗАКАЗЫ!$F$3:$F$500,0)),"")</f>
        <v/>
      </c>
      <c r="BM86" s="8" t="str">
        <f aca="false">IF(BL86="","",IFERROR(VLOOKUP(BL86,'ТН ВЭД'!$A$4:$C$40,3,0),""))</f>
        <v/>
      </c>
      <c r="BN86" s="7" t="str">
        <f aca="false">IF(COUNTIF(ЗАКАЗЫ!$F$3:$F$500,$A86)=0,"",SUMIF(ЗАКАЗЫ!$F$3:$F$500,$A86,ЗАКАЗЫ!$J$3:$J$500))</f>
        <v/>
      </c>
      <c r="BO86" s="7" t="str">
        <f aca="false">IF(BN86="","",SUMIF(ЗАКАЗЫ!$F$3:$F$500,$A86,ЗАКАЗЫ!$AL$3:$AL$500))</f>
        <v/>
      </c>
      <c r="BP86" s="7" t="str">
        <f aca="false">IF(BN86="","",BN86-BO86)</f>
        <v/>
      </c>
      <c r="BQ86" s="55" t="str">
        <f aca="false">IF(BN86="","",IF(BO86&gt;=BN86,"На складе",IF(BO86&gt;0,"Частично","Ждём")))</f>
        <v/>
      </c>
      <c r="BR86" s="43"/>
      <c r="BS86" s="47" t="str">
        <f aca="false">IF(BN86="","",IF(_xlfn.MAXIFS(ЗАКАЗЫ!$AK$3:$AK$500,ЗАКАЗЫ!$F$3:$F$500,$A86)=0,"",_xlfn.MAXIFS(ЗАКАЗЫ!$AK$3:$AK$500,ЗАКАЗЫ!$F$3:$F$500,$A86)))</f>
        <v/>
      </c>
    </row>
    <row r="87" customFormat="false" ht="15.75" hidden="false" customHeight="true" outlineLevel="0" collapsed="false">
      <c r="A87" s="80" t="s">
        <v>2627</v>
      </c>
      <c r="B87" s="81"/>
      <c r="C87" s="81"/>
      <c r="D87" s="81"/>
      <c r="E87" s="83"/>
      <c r="F87" s="81"/>
      <c r="G87" s="83"/>
      <c r="H87" s="83"/>
      <c r="I87" s="84" t="str">
        <f aca="false">IF(E87="","",A87&amp;"_1.jpg")</f>
        <v/>
      </c>
      <c r="J87" s="84" t="str">
        <f aca="false">IF(E87="","",A87&amp;"_2.jpg; "&amp;A87&amp;"_3.jpg")</f>
        <v/>
      </c>
      <c r="K87" s="84" t="str">
        <f aca="false">IF(E87="","",A87&amp;"_schema.jpg")</f>
        <v/>
      </c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 t="s">
        <v>96</v>
      </c>
      <c r="W87" s="81"/>
      <c r="X87" s="81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6" t="str">
        <f aca="false">IF(SUM(Y87:AJ87)=0,"",SUM(Y87:AJ87))</f>
        <v/>
      </c>
      <c r="AL87" s="84" t="str">
        <f aca="false">MID(IF(N(Y87)&gt;0,", "&amp;Y$2,"")&amp;IF(N(Z87)&gt;0,", "&amp;Z$2,"")&amp;IF(N(AA87)&gt;0,", "&amp;AA$2,"")&amp;IF(N(AB87)&gt;0,", "&amp;AB$2,"")&amp;IF(N(AC87)&gt;0,", "&amp;AC$2,"")&amp;IF(N(AD87)&gt;0,", "&amp;AD$2,"")&amp;IF(N(AE87)&gt;0,", "&amp;AE$2,"")&amp;IF(N(AF87)&gt;0,", "&amp;AF$2,"")&amp;IF(N(AG87)&gt;0,", "&amp;AG$2,"")&amp;IF(N(AH87)&gt;0,", "&amp;AH$2,"")&amp;IF(N(AI87)&gt;0,", "&amp;AI$2,"")&amp;IF(N(AJ87)&gt;0,", "&amp;AJ$2,""),3,999)</f>
        <v/>
      </c>
      <c r="AM87" s="87" t="str">
        <f aca="false">IF(E87="","",MID(IF(N(Y87)&gt;0,", "&amp;A87&amp;"-"&amp;Y$2,"")&amp;IF(N(Z87)&gt;0,", "&amp;A87&amp;"-"&amp;Z$2,"")&amp;IF(N(AA87)&gt;0,", "&amp;A87&amp;"-"&amp;AA$2,"")&amp;IF(N(AB87)&gt;0,", "&amp;A87&amp;"-"&amp;AB$2,"")&amp;IF(N(AC87)&gt;0,", "&amp;A87&amp;"-"&amp;AC$2,"")&amp;IF(N(AD87)&gt;0,", "&amp;A87&amp;"-"&amp;AD$2,"")&amp;IF(N(AE87)&gt;0,", "&amp;A87&amp;"-"&amp;AE$2,"")&amp;IF(N(AF87)&gt;0,", "&amp;A87&amp;"-"&amp;AF$2,"")&amp;IF(N(AG87)&gt;0,", "&amp;A87&amp;"-"&amp;AG$2,"")&amp;IF(N(AH87)&gt;0,", "&amp;A87&amp;"-"&amp;AH$2,"")&amp;IF(N(AI87)&gt;0,", "&amp;A87&amp;"-"&amp;AI$2,"")&amp;IF(N(AJ87)&gt;0,", "&amp;A87&amp;"-"&amp;AJ$2,""),3,999))</f>
        <v/>
      </c>
      <c r="AN87" s="81"/>
      <c r="AO87" s="88"/>
      <c r="AP87" s="89" t="str">
        <f aca="false">IF(AO87="","",ROUND(AO87/(1+Справочники!$B$13),2))</f>
        <v/>
      </c>
      <c r="AQ87" s="90" t="str">
        <f aca="false" t="array" ref="AQ87:AQ87">IF(AP87="","",AP87*INDEX(Справочники!$B$4:$B$7,MATCH("RUB",Справочники!$A$4:$A$7,0)))</f>
        <v/>
      </c>
      <c r="AR87" s="90" t="str">
        <f aca="false">IF(AQ87="","",ROUND(AQ87*(1+Справочники!$B$12),0))</f>
        <v/>
      </c>
      <c r="AS87" s="90" t="str">
        <f aca="false">IF(AR87="","",ROUND(AR87*(1-Справочники!$B$11),0))</f>
        <v/>
      </c>
      <c r="AT87" s="88"/>
      <c r="AU87" s="90" t="str">
        <f aca="false">IF(AT87="","",ROUND(AT87/(1+Справочники!$B$12),0))</f>
        <v/>
      </c>
      <c r="AV87" s="90" t="str">
        <f aca="false">IF(AT87="","",ROUND(AT87*(1-Справочники!$B$15),0))</f>
        <v/>
      </c>
      <c r="AW87" s="90" t="str">
        <f aca="false">IF(AT87="","",ROUND(AT87*(1-Справочники!$B$16),0))</f>
        <v/>
      </c>
      <c r="AX87" s="90" t="str">
        <f aca="false">IF(AT87="","",ROUND(AT87*(1-Справочники!$B$17),0))</f>
        <v/>
      </c>
      <c r="AY87" s="90" t="str">
        <f aca="false">IF(AT87="","",ROUND(AT87*(1-Справочники!$B$18),0))</f>
        <v/>
      </c>
      <c r="AZ87" s="90" t="str">
        <f aca="false">IF(AT87="","",ROUND(AT87*(1-Справочники!$B$19),0))</f>
        <v/>
      </c>
      <c r="BA87" s="81"/>
      <c r="BB87" s="81"/>
      <c r="BC87" s="81"/>
      <c r="BD87" s="81"/>
      <c r="BE87" s="91"/>
      <c r="BF87" s="81" t="s">
        <v>103</v>
      </c>
      <c r="BG87" s="89" t="n">
        <f aca="false" t="array" ref="BG87:BG87">IF(BF87="","",IFERROR(INDEX(Справочники!$B$4:$B$7,MATCH(BF87,Справочники!$A$4:$A$7,0)),""))</f>
        <v>68.5</v>
      </c>
      <c r="BH87" s="90" t="str">
        <f aca="false">IF(N(BN87)&gt;0,ROUND(SUMIF(ЗАКАЗЫ!$F$3:$F$500,$A87,ЗАКАЗЫ!$Y$3:$Y$500)/BN87,0),IF(OR(BE87="",BG87=""),"",ROUND(BE87*BG87*(1+Справочники!$B$10),0)))</f>
        <v/>
      </c>
      <c r="BI87" s="92" t="str">
        <f aca="false">IF(OR(AU87="",BH87="",AU87=0),"",(AU87-BH87)/AU87)</f>
        <v/>
      </c>
      <c r="BJ87" s="81"/>
      <c r="BK87" s="83"/>
      <c r="BL87" s="43" t="str">
        <f aca="false">IFERROR(INDEX(ЗАКАЗЫ!$N$3:$N$500,MATCH($A87,ЗАКАЗЫ!$F$3:$F$500,0)),"")</f>
        <v/>
      </c>
      <c r="BM87" s="8" t="str">
        <f aca="false">IF(BL87="","",IFERROR(VLOOKUP(BL87,'ТН ВЭД'!$A$4:$C$40,3,0),""))</f>
        <v/>
      </c>
      <c r="BN87" s="7" t="str">
        <f aca="false">IF(COUNTIF(ЗАКАЗЫ!$F$3:$F$500,$A87)=0,"",SUMIF(ЗАКАЗЫ!$F$3:$F$500,$A87,ЗАКАЗЫ!$J$3:$J$500))</f>
        <v/>
      </c>
      <c r="BO87" s="7" t="str">
        <f aca="false">IF(BN87="","",SUMIF(ЗАКАЗЫ!$F$3:$F$500,$A87,ЗАКАЗЫ!$AL$3:$AL$500))</f>
        <v/>
      </c>
      <c r="BP87" s="7" t="str">
        <f aca="false">IF(BN87="","",BN87-BO87)</f>
        <v/>
      </c>
      <c r="BQ87" s="55" t="str">
        <f aca="false">IF(BN87="","",IF(BO87&gt;=BN87,"На складе",IF(BO87&gt;0,"Частично","Ждём")))</f>
        <v/>
      </c>
      <c r="BR87" s="43"/>
      <c r="BS87" s="47" t="str">
        <f aca="false">IF(BN87="","",IF(_xlfn.MAXIFS(ЗАКАЗЫ!$AK$3:$AK$500,ЗАКАЗЫ!$F$3:$F$500,$A87)=0,"",_xlfn.MAXIFS(ЗАКАЗЫ!$AK$3:$AK$500,ЗАКАЗЫ!$F$3:$F$500,$A87)))</f>
        <v/>
      </c>
    </row>
    <row r="88" customFormat="false" ht="15.75" hidden="false" customHeight="true" outlineLevel="0" collapsed="false">
      <c r="A88" s="80" t="s">
        <v>2628</v>
      </c>
      <c r="B88" s="81"/>
      <c r="C88" s="81"/>
      <c r="D88" s="81"/>
      <c r="E88" s="83"/>
      <c r="F88" s="81"/>
      <c r="G88" s="83"/>
      <c r="H88" s="83"/>
      <c r="I88" s="84" t="str">
        <f aca="false">IF(E88="","",A88&amp;"_1.jpg")</f>
        <v/>
      </c>
      <c r="J88" s="84" t="str">
        <f aca="false">IF(E88="","",A88&amp;"_2.jpg; "&amp;A88&amp;"_3.jpg")</f>
        <v/>
      </c>
      <c r="K88" s="84" t="str">
        <f aca="false">IF(E88="","",A88&amp;"_schema.jpg")</f>
        <v/>
      </c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 t="s">
        <v>96</v>
      </c>
      <c r="W88" s="81"/>
      <c r="X88" s="81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6" t="str">
        <f aca="false">IF(SUM(Y88:AJ88)=0,"",SUM(Y88:AJ88))</f>
        <v/>
      </c>
      <c r="AL88" s="84" t="str">
        <f aca="false">MID(IF(N(Y88)&gt;0,", "&amp;Y$2,"")&amp;IF(N(Z88)&gt;0,", "&amp;Z$2,"")&amp;IF(N(AA88)&gt;0,", "&amp;AA$2,"")&amp;IF(N(AB88)&gt;0,", "&amp;AB$2,"")&amp;IF(N(AC88)&gt;0,", "&amp;AC$2,"")&amp;IF(N(AD88)&gt;0,", "&amp;AD$2,"")&amp;IF(N(AE88)&gt;0,", "&amp;AE$2,"")&amp;IF(N(AF88)&gt;0,", "&amp;AF$2,"")&amp;IF(N(AG88)&gt;0,", "&amp;AG$2,"")&amp;IF(N(AH88)&gt;0,", "&amp;AH$2,"")&amp;IF(N(AI88)&gt;0,", "&amp;AI$2,"")&amp;IF(N(AJ88)&gt;0,", "&amp;AJ$2,""),3,999)</f>
        <v/>
      </c>
      <c r="AM88" s="87" t="str">
        <f aca="false">IF(E88="","",MID(IF(N(Y88)&gt;0,", "&amp;A88&amp;"-"&amp;Y$2,"")&amp;IF(N(Z88)&gt;0,", "&amp;A88&amp;"-"&amp;Z$2,"")&amp;IF(N(AA88)&gt;0,", "&amp;A88&amp;"-"&amp;AA$2,"")&amp;IF(N(AB88)&gt;0,", "&amp;A88&amp;"-"&amp;AB$2,"")&amp;IF(N(AC88)&gt;0,", "&amp;A88&amp;"-"&amp;AC$2,"")&amp;IF(N(AD88)&gt;0,", "&amp;A88&amp;"-"&amp;AD$2,"")&amp;IF(N(AE88)&gt;0,", "&amp;A88&amp;"-"&amp;AE$2,"")&amp;IF(N(AF88)&gt;0,", "&amp;A88&amp;"-"&amp;AF$2,"")&amp;IF(N(AG88)&gt;0,", "&amp;A88&amp;"-"&amp;AG$2,"")&amp;IF(N(AH88)&gt;0,", "&amp;A88&amp;"-"&amp;AH$2,"")&amp;IF(N(AI88)&gt;0,", "&amp;A88&amp;"-"&amp;AI$2,"")&amp;IF(N(AJ88)&gt;0,", "&amp;A88&amp;"-"&amp;AJ$2,""),3,999))</f>
        <v/>
      </c>
      <c r="AN88" s="81"/>
      <c r="AO88" s="88"/>
      <c r="AP88" s="89" t="str">
        <f aca="false">IF(AO88="","",ROUND(AO88/(1+Справочники!$B$13),2))</f>
        <v/>
      </c>
      <c r="AQ88" s="90" t="str">
        <f aca="false" t="array" ref="AQ88:AQ88">IF(AP88="","",AP88*INDEX(Справочники!$B$4:$B$7,MATCH("RUB",Справочники!$A$4:$A$7,0)))</f>
        <v/>
      </c>
      <c r="AR88" s="90" t="str">
        <f aca="false">IF(AQ88="","",ROUND(AQ88*(1+Справочники!$B$12),0))</f>
        <v/>
      </c>
      <c r="AS88" s="90" t="str">
        <f aca="false">IF(AR88="","",ROUND(AR88*(1-Справочники!$B$11),0))</f>
        <v/>
      </c>
      <c r="AT88" s="88"/>
      <c r="AU88" s="90" t="str">
        <f aca="false">IF(AT88="","",ROUND(AT88/(1+Справочники!$B$12),0))</f>
        <v/>
      </c>
      <c r="AV88" s="90" t="str">
        <f aca="false">IF(AT88="","",ROUND(AT88*(1-Справочники!$B$15),0))</f>
        <v/>
      </c>
      <c r="AW88" s="90" t="str">
        <f aca="false">IF(AT88="","",ROUND(AT88*(1-Справочники!$B$16),0))</f>
        <v/>
      </c>
      <c r="AX88" s="90" t="str">
        <f aca="false">IF(AT88="","",ROUND(AT88*(1-Справочники!$B$17),0))</f>
        <v/>
      </c>
      <c r="AY88" s="90" t="str">
        <f aca="false">IF(AT88="","",ROUND(AT88*(1-Справочники!$B$18),0))</f>
        <v/>
      </c>
      <c r="AZ88" s="90" t="str">
        <f aca="false">IF(AT88="","",ROUND(AT88*(1-Справочники!$B$19),0))</f>
        <v/>
      </c>
      <c r="BA88" s="81"/>
      <c r="BB88" s="81"/>
      <c r="BC88" s="81"/>
      <c r="BD88" s="81"/>
      <c r="BE88" s="91"/>
      <c r="BF88" s="81" t="s">
        <v>103</v>
      </c>
      <c r="BG88" s="89" t="n">
        <f aca="false" t="array" ref="BG88:BG88">IF(BF88="","",IFERROR(INDEX(Справочники!$B$4:$B$7,MATCH(BF88,Справочники!$A$4:$A$7,0)),""))</f>
        <v>68.5</v>
      </c>
      <c r="BH88" s="90" t="str">
        <f aca="false">IF(N(BN88)&gt;0,ROUND(SUMIF(ЗАКАЗЫ!$F$3:$F$500,$A88,ЗАКАЗЫ!$Y$3:$Y$500)/BN88,0),IF(OR(BE88="",BG88=""),"",ROUND(BE88*BG88*(1+Справочники!$B$10),0)))</f>
        <v/>
      </c>
      <c r="BI88" s="92" t="str">
        <f aca="false">IF(OR(AU88="",BH88="",AU88=0),"",(AU88-BH88)/AU88)</f>
        <v/>
      </c>
      <c r="BJ88" s="81"/>
      <c r="BK88" s="83"/>
      <c r="BL88" s="43" t="str">
        <f aca="false">IFERROR(INDEX(ЗАКАЗЫ!$N$3:$N$500,MATCH($A88,ЗАКАЗЫ!$F$3:$F$500,0)),"")</f>
        <v/>
      </c>
      <c r="BM88" s="8" t="str">
        <f aca="false">IF(BL88="","",IFERROR(VLOOKUP(BL88,'ТН ВЭД'!$A$4:$C$40,3,0),""))</f>
        <v/>
      </c>
      <c r="BN88" s="7" t="str">
        <f aca="false">IF(COUNTIF(ЗАКАЗЫ!$F$3:$F$500,$A88)=0,"",SUMIF(ЗАКАЗЫ!$F$3:$F$500,$A88,ЗАКАЗЫ!$J$3:$J$500))</f>
        <v/>
      </c>
      <c r="BO88" s="7" t="str">
        <f aca="false">IF(BN88="","",SUMIF(ЗАКАЗЫ!$F$3:$F$500,$A88,ЗАКАЗЫ!$AL$3:$AL$500))</f>
        <v/>
      </c>
      <c r="BP88" s="7" t="str">
        <f aca="false">IF(BN88="","",BN88-BO88)</f>
        <v/>
      </c>
      <c r="BQ88" s="55" t="str">
        <f aca="false">IF(BN88="","",IF(BO88&gt;=BN88,"На складе",IF(BO88&gt;0,"Частично","Ждём")))</f>
        <v/>
      </c>
      <c r="BR88" s="43"/>
      <c r="BS88" s="47" t="str">
        <f aca="false">IF(BN88="","",IF(_xlfn.MAXIFS(ЗАКАЗЫ!$AK$3:$AK$500,ЗАКАЗЫ!$F$3:$F$500,$A88)=0,"",_xlfn.MAXIFS(ЗАКАЗЫ!$AK$3:$AK$500,ЗАКАЗЫ!$F$3:$F$500,$A88)))</f>
        <v/>
      </c>
    </row>
    <row r="89" customFormat="false" ht="15.75" hidden="false" customHeight="true" outlineLevel="0" collapsed="false">
      <c r="A89" s="80" t="s">
        <v>2629</v>
      </c>
      <c r="B89" s="81"/>
      <c r="C89" s="81"/>
      <c r="D89" s="81"/>
      <c r="E89" s="83"/>
      <c r="F89" s="81"/>
      <c r="G89" s="83"/>
      <c r="H89" s="83"/>
      <c r="I89" s="84" t="str">
        <f aca="false">IF(E89="","",A89&amp;"_1.jpg")</f>
        <v/>
      </c>
      <c r="J89" s="84" t="str">
        <f aca="false">IF(E89="","",A89&amp;"_2.jpg; "&amp;A89&amp;"_3.jpg")</f>
        <v/>
      </c>
      <c r="K89" s="84" t="str">
        <f aca="false">IF(E89="","",A89&amp;"_schema.jpg")</f>
        <v/>
      </c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 t="s">
        <v>96</v>
      </c>
      <c r="W89" s="81"/>
      <c r="X89" s="81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6" t="str">
        <f aca="false">IF(SUM(Y89:AJ89)=0,"",SUM(Y89:AJ89))</f>
        <v/>
      </c>
      <c r="AL89" s="84" t="str">
        <f aca="false">MID(IF(N(Y89)&gt;0,", "&amp;Y$2,"")&amp;IF(N(Z89)&gt;0,", "&amp;Z$2,"")&amp;IF(N(AA89)&gt;0,", "&amp;AA$2,"")&amp;IF(N(AB89)&gt;0,", "&amp;AB$2,"")&amp;IF(N(AC89)&gt;0,", "&amp;AC$2,"")&amp;IF(N(AD89)&gt;0,", "&amp;AD$2,"")&amp;IF(N(AE89)&gt;0,", "&amp;AE$2,"")&amp;IF(N(AF89)&gt;0,", "&amp;AF$2,"")&amp;IF(N(AG89)&gt;0,", "&amp;AG$2,"")&amp;IF(N(AH89)&gt;0,", "&amp;AH$2,"")&amp;IF(N(AI89)&gt;0,", "&amp;AI$2,"")&amp;IF(N(AJ89)&gt;0,", "&amp;AJ$2,""),3,999)</f>
        <v/>
      </c>
      <c r="AM89" s="87" t="str">
        <f aca="false">IF(E89="","",MID(IF(N(Y89)&gt;0,", "&amp;A89&amp;"-"&amp;Y$2,"")&amp;IF(N(Z89)&gt;0,", "&amp;A89&amp;"-"&amp;Z$2,"")&amp;IF(N(AA89)&gt;0,", "&amp;A89&amp;"-"&amp;AA$2,"")&amp;IF(N(AB89)&gt;0,", "&amp;A89&amp;"-"&amp;AB$2,"")&amp;IF(N(AC89)&gt;0,", "&amp;A89&amp;"-"&amp;AC$2,"")&amp;IF(N(AD89)&gt;0,", "&amp;A89&amp;"-"&amp;AD$2,"")&amp;IF(N(AE89)&gt;0,", "&amp;A89&amp;"-"&amp;AE$2,"")&amp;IF(N(AF89)&gt;0,", "&amp;A89&amp;"-"&amp;AF$2,"")&amp;IF(N(AG89)&gt;0,", "&amp;A89&amp;"-"&amp;AG$2,"")&amp;IF(N(AH89)&gt;0,", "&amp;A89&amp;"-"&amp;AH$2,"")&amp;IF(N(AI89)&gt;0,", "&amp;A89&amp;"-"&amp;AI$2,"")&amp;IF(N(AJ89)&gt;0,", "&amp;A89&amp;"-"&amp;AJ$2,""),3,999))</f>
        <v/>
      </c>
      <c r="AN89" s="81"/>
      <c r="AO89" s="88"/>
      <c r="AP89" s="89" t="str">
        <f aca="false">IF(AO89="","",ROUND(AO89/(1+Справочники!$B$13),2))</f>
        <v/>
      </c>
      <c r="AQ89" s="90" t="str">
        <f aca="false" t="array" ref="AQ89:AQ89">IF(AP89="","",AP89*INDEX(Справочники!$B$4:$B$7,MATCH("RUB",Справочники!$A$4:$A$7,0)))</f>
        <v/>
      </c>
      <c r="AR89" s="90" t="str">
        <f aca="false">IF(AQ89="","",ROUND(AQ89*(1+Справочники!$B$12),0))</f>
        <v/>
      </c>
      <c r="AS89" s="90" t="str">
        <f aca="false">IF(AR89="","",ROUND(AR89*(1-Справочники!$B$11),0))</f>
        <v/>
      </c>
      <c r="AT89" s="88"/>
      <c r="AU89" s="90" t="str">
        <f aca="false">IF(AT89="","",ROUND(AT89/(1+Справочники!$B$12),0))</f>
        <v/>
      </c>
      <c r="AV89" s="90" t="str">
        <f aca="false">IF(AT89="","",ROUND(AT89*(1-Справочники!$B$15),0))</f>
        <v/>
      </c>
      <c r="AW89" s="90" t="str">
        <f aca="false">IF(AT89="","",ROUND(AT89*(1-Справочники!$B$16),0))</f>
        <v/>
      </c>
      <c r="AX89" s="90" t="str">
        <f aca="false">IF(AT89="","",ROUND(AT89*(1-Справочники!$B$17),0))</f>
        <v/>
      </c>
      <c r="AY89" s="90" t="str">
        <f aca="false">IF(AT89="","",ROUND(AT89*(1-Справочники!$B$18),0))</f>
        <v/>
      </c>
      <c r="AZ89" s="90" t="str">
        <f aca="false">IF(AT89="","",ROUND(AT89*(1-Справочники!$B$19),0))</f>
        <v/>
      </c>
      <c r="BA89" s="81"/>
      <c r="BB89" s="81"/>
      <c r="BC89" s="81"/>
      <c r="BD89" s="81"/>
      <c r="BE89" s="91"/>
      <c r="BF89" s="81" t="s">
        <v>103</v>
      </c>
      <c r="BG89" s="89" t="n">
        <f aca="false" t="array" ref="BG89:BG89">IF(BF89="","",IFERROR(INDEX(Справочники!$B$4:$B$7,MATCH(BF89,Справочники!$A$4:$A$7,0)),""))</f>
        <v>68.5</v>
      </c>
      <c r="BH89" s="90" t="str">
        <f aca="false">IF(N(BN89)&gt;0,ROUND(SUMIF(ЗАКАЗЫ!$F$3:$F$500,$A89,ЗАКАЗЫ!$Y$3:$Y$500)/BN89,0),IF(OR(BE89="",BG89=""),"",ROUND(BE89*BG89*(1+Справочники!$B$10),0)))</f>
        <v/>
      </c>
      <c r="BI89" s="92" t="str">
        <f aca="false">IF(OR(AU89="",BH89="",AU89=0),"",(AU89-BH89)/AU89)</f>
        <v/>
      </c>
      <c r="BJ89" s="81"/>
      <c r="BK89" s="83"/>
      <c r="BL89" s="43" t="str">
        <f aca="false">IFERROR(INDEX(ЗАКАЗЫ!$N$3:$N$500,MATCH($A89,ЗАКАЗЫ!$F$3:$F$500,0)),"")</f>
        <v/>
      </c>
      <c r="BM89" s="8" t="str">
        <f aca="false">IF(BL89="","",IFERROR(VLOOKUP(BL89,'ТН ВЭД'!$A$4:$C$40,3,0),""))</f>
        <v/>
      </c>
      <c r="BN89" s="7" t="str">
        <f aca="false">IF(COUNTIF(ЗАКАЗЫ!$F$3:$F$500,$A89)=0,"",SUMIF(ЗАКАЗЫ!$F$3:$F$500,$A89,ЗАКАЗЫ!$J$3:$J$500))</f>
        <v/>
      </c>
      <c r="BO89" s="7" t="str">
        <f aca="false">IF(BN89="","",SUMIF(ЗАКАЗЫ!$F$3:$F$500,$A89,ЗАКАЗЫ!$AL$3:$AL$500))</f>
        <v/>
      </c>
      <c r="BP89" s="7" t="str">
        <f aca="false">IF(BN89="","",BN89-BO89)</f>
        <v/>
      </c>
      <c r="BQ89" s="55" t="str">
        <f aca="false">IF(BN89="","",IF(BO89&gt;=BN89,"На складе",IF(BO89&gt;0,"Частично","Ждём")))</f>
        <v/>
      </c>
      <c r="BR89" s="43"/>
      <c r="BS89" s="47" t="str">
        <f aca="false">IF(BN89="","",IF(_xlfn.MAXIFS(ЗАКАЗЫ!$AK$3:$AK$500,ЗАКАЗЫ!$F$3:$F$500,$A89)=0,"",_xlfn.MAXIFS(ЗАКАЗЫ!$AK$3:$AK$500,ЗАКАЗЫ!$F$3:$F$500,$A89)))</f>
        <v/>
      </c>
    </row>
    <row r="90" customFormat="false" ht="15.75" hidden="false" customHeight="true" outlineLevel="0" collapsed="false">
      <c r="A90" s="80" t="s">
        <v>2630</v>
      </c>
      <c r="B90" s="81"/>
      <c r="C90" s="81"/>
      <c r="D90" s="81"/>
      <c r="E90" s="83"/>
      <c r="F90" s="81"/>
      <c r="G90" s="83"/>
      <c r="H90" s="83"/>
      <c r="I90" s="84" t="str">
        <f aca="false">IF(E90="","",A90&amp;"_1.jpg")</f>
        <v/>
      </c>
      <c r="J90" s="84" t="str">
        <f aca="false">IF(E90="","",A90&amp;"_2.jpg; "&amp;A90&amp;"_3.jpg")</f>
        <v/>
      </c>
      <c r="K90" s="84" t="str">
        <f aca="false">IF(E90="","",A90&amp;"_schema.jpg")</f>
        <v/>
      </c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 t="s">
        <v>96</v>
      </c>
      <c r="W90" s="81"/>
      <c r="X90" s="81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6" t="str">
        <f aca="false">IF(SUM(Y90:AJ90)=0,"",SUM(Y90:AJ90))</f>
        <v/>
      </c>
      <c r="AL90" s="84" t="str">
        <f aca="false">MID(IF(N(Y90)&gt;0,", "&amp;Y$2,"")&amp;IF(N(Z90)&gt;0,", "&amp;Z$2,"")&amp;IF(N(AA90)&gt;0,", "&amp;AA$2,"")&amp;IF(N(AB90)&gt;0,", "&amp;AB$2,"")&amp;IF(N(AC90)&gt;0,", "&amp;AC$2,"")&amp;IF(N(AD90)&gt;0,", "&amp;AD$2,"")&amp;IF(N(AE90)&gt;0,", "&amp;AE$2,"")&amp;IF(N(AF90)&gt;0,", "&amp;AF$2,"")&amp;IF(N(AG90)&gt;0,", "&amp;AG$2,"")&amp;IF(N(AH90)&gt;0,", "&amp;AH$2,"")&amp;IF(N(AI90)&gt;0,", "&amp;AI$2,"")&amp;IF(N(AJ90)&gt;0,", "&amp;AJ$2,""),3,999)</f>
        <v/>
      </c>
      <c r="AM90" s="87" t="str">
        <f aca="false">IF(E90="","",MID(IF(N(Y90)&gt;0,", "&amp;A90&amp;"-"&amp;Y$2,"")&amp;IF(N(Z90)&gt;0,", "&amp;A90&amp;"-"&amp;Z$2,"")&amp;IF(N(AA90)&gt;0,", "&amp;A90&amp;"-"&amp;AA$2,"")&amp;IF(N(AB90)&gt;0,", "&amp;A90&amp;"-"&amp;AB$2,"")&amp;IF(N(AC90)&gt;0,", "&amp;A90&amp;"-"&amp;AC$2,"")&amp;IF(N(AD90)&gt;0,", "&amp;A90&amp;"-"&amp;AD$2,"")&amp;IF(N(AE90)&gt;0,", "&amp;A90&amp;"-"&amp;AE$2,"")&amp;IF(N(AF90)&gt;0,", "&amp;A90&amp;"-"&amp;AF$2,"")&amp;IF(N(AG90)&gt;0,", "&amp;A90&amp;"-"&amp;AG$2,"")&amp;IF(N(AH90)&gt;0,", "&amp;A90&amp;"-"&amp;AH$2,"")&amp;IF(N(AI90)&gt;0,", "&amp;A90&amp;"-"&amp;AI$2,"")&amp;IF(N(AJ90)&gt;0,", "&amp;A90&amp;"-"&amp;AJ$2,""),3,999))</f>
        <v/>
      </c>
      <c r="AN90" s="81"/>
      <c r="AO90" s="88"/>
      <c r="AP90" s="89" t="str">
        <f aca="false">IF(AO90="","",ROUND(AO90/(1+Справочники!$B$13),2))</f>
        <v/>
      </c>
      <c r="AQ90" s="90" t="str">
        <f aca="false" t="array" ref="AQ90:AQ90">IF(AP90="","",AP90*INDEX(Справочники!$B$4:$B$7,MATCH("RUB",Справочники!$A$4:$A$7,0)))</f>
        <v/>
      </c>
      <c r="AR90" s="90" t="str">
        <f aca="false">IF(AQ90="","",ROUND(AQ90*(1+Справочники!$B$12),0))</f>
        <v/>
      </c>
      <c r="AS90" s="90" t="str">
        <f aca="false">IF(AR90="","",ROUND(AR90*(1-Справочники!$B$11),0))</f>
        <v/>
      </c>
      <c r="AT90" s="88"/>
      <c r="AU90" s="90" t="str">
        <f aca="false">IF(AT90="","",ROUND(AT90/(1+Справочники!$B$12),0))</f>
        <v/>
      </c>
      <c r="AV90" s="90" t="str">
        <f aca="false">IF(AT90="","",ROUND(AT90*(1-Справочники!$B$15),0))</f>
        <v/>
      </c>
      <c r="AW90" s="90" t="str">
        <f aca="false">IF(AT90="","",ROUND(AT90*(1-Справочники!$B$16),0))</f>
        <v/>
      </c>
      <c r="AX90" s="90" t="str">
        <f aca="false">IF(AT90="","",ROUND(AT90*(1-Справочники!$B$17),0))</f>
        <v/>
      </c>
      <c r="AY90" s="90" t="str">
        <f aca="false">IF(AT90="","",ROUND(AT90*(1-Справочники!$B$18),0))</f>
        <v/>
      </c>
      <c r="AZ90" s="90" t="str">
        <f aca="false">IF(AT90="","",ROUND(AT90*(1-Справочники!$B$19),0))</f>
        <v/>
      </c>
      <c r="BA90" s="81"/>
      <c r="BB90" s="81"/>
      <c r="BC90" s="81"/>
      <c r="BD90" s="81"/>
      <c r="BE90" s="91"/>
      <c r="BF90" s="81" t="s">
        <v>103</v>
      </c>
      <c r="BG90" s="89" t="n">
        <f aca="false" t="array" ref="BG90:BG90">IF(BF90="","",IFERROR(INDEX(Справочники!$B$4:$B$7,MATCH(BF90,Справочники!$A$4:$A$7,0)),""))</f>
        <v>68.5</v>
      </c>
      <c r="BH90" s="90" t="str">
        <f aca="false">IF(N(BN90)&gt;0,ROUND(SUMIF(ЗАКАЗЫ!$F$3:$F$500,$A90,ЗАКАЗЫ!$Y$3:$Y$500)/BN90,0),IF(OR(BE90="",BG90=""),"",ROUND(BE90*BG90*(1+Справочники!$B$10),0)))</f>
        <v/>
      </c>
      <c r="BI90" s="92" t="str">
        <f aca="false">IF(OR(AU90="",BH90="",AU90=0),"",(AU90-BH90)/AU90)</f>
        <v/>
      </c>
      <c r="BJ90" s="81"/>
      <c r="BK90" s="83"/>
      <c r="BL90" s="43" t="str">
        <f aca="false">IFERROR(INDEX(ЗАКАЗЫ!$N$3:$N$500,MATCH($A90,ЗАКАЗЫ!$F$3:$F$500,0)),"")</f>
        <v/>
      </c>
      <c r="BM90" s="8" t="str">
        <f aca="false">IF(BL90="","",IFERROR(VLOOKUP(BL90,'ТН ВЭД'!$A$4:$C$40,3,0),""))</f>
        <v/>
      </c>
      <c r="BN90" s="7" t="str">
        <f aca="false">IF(COUNTIF(ЗАКАЗЫ!$F$3:$F$500,$A90)=0,"",SUMIF(ЗАКАЗЫ!$F$3:$F$500,$A90,ЗАКАЗЫ!$J$3:$J$500))</f>
        <v/>
      </c>
      <c r="BO90" s="7" t="str">
        <f aca="false">IF(BN90="","",SUMIF(ЗАКАЗЫ!$F$3:$F$500,$A90,ЗАКАЗЫ!$AL$3:$AL$500))</f>
        <v/>
      </c>
      <c r="BP90" s="7" t="str">
        <f aca="false">IF(BN90="","",BN90-BO90)</f>
        <v/>
      </c>
      <c r="BQ90" s="55" t="str">
        <f aca="false">IF(BN90="","",IF(BO90&gt;=BN90,"На складе",IF(BO90&gt;0,"Частично","Ждём")))</f>
        <v/>
      </c>
      <c r="BR90" s="43"/>
      <c r="BS90" s="47" t="str">
        <f aca="false">IF(BN90="","",IF(_xlfn.MAXIFS(ЗАКАЗЫ!$AK$3:$AK$500,ЗАКАЗЫ!$F$3:$F$500,$A90)=0,"",_xlfn.MAXIFS(ЗАКАЗЫ!$AK$3:$AK$500,ЗАКАЗЫ!$F$3:$F$500,$A90)))</f>
        <v/>
      </c>
    </row>
    <row r="91" customFormat="false" ht="15.75" hidden="false" customHeight="true" outlineLevel="0" collapsed="false">
      <c r="A91" s="80" t="s">
        <v>2631</v>
      </c>
      <c r="B91" s="81"/>
      <c r="C91" s="81"/>
      <c r="D91" s="81"/>
      <c r="E91" s="83"/>
      <c r="F91" s="81"/>
      <c r="G91" s="83"/>
      <c r="H91" s="83"/>
      <c r="I91" s="84" t="str">
        <f aca="false">IF(E91="","",A91&amp;"_1.jpg")</f>
        <v/>
      </c>
      <c r="J91" s="84" t="str">
        <f aca="false">IF(E91="","",A91&amp;"_2.jpg; "&amp;A91&amp;"_3.jpg")</f>
        <v/>
      </c>
      <c r="K91" s="84" t="str">
        <f aca="false">IF(E91="","",A91&amp;"_schema.jpg")</f>
        <v/>
      </c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 t="s">
        <v>96</v>
      </c>
      <c r="W91" s="81"/>
      <c r="X91" s="81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6" t="str">
        <f aca="false">IF(SUM(Y91:AJ91)=0,"",SUM(Y91:AJ91))</f>
        <v/>
      </c>
      <c r="AL91" s="84" t="str">
        <f aca="false">MID(IF(N(Y91)&gt;0,", "&amp;Y$2,"")&amp;IF(N(Z91)&gt;0,", "&amp;Z$2,"")&amp;IF(N(AA91)&gt;0,", "&amp;AA$2,"")&amp;IF(N(AB91)&gt;0,", "&amp;AB$2,"")&amp;IF(N(AC91)&gt;0,", "&amp;AC$2,"")&amp;IF(N(AD91)&gt;0,", "&amp;AD$2,"")&amp;IF(N(AE91)&gt;0,", "&amp;AE$2,"")&amp;IF(N(AF91)&gt;0,", "&amp;AF$2,"")&amp;IF(N(AG91)&gt;0,", "&amp;AG$2,"")&amp;IF(N(AH91)&gt;0,", "&amp;AH$2,"")&amp;IF(N(AI91)&gt;0,", "&amp;AI$2,"")&amp;IF(N(AJ91)&gt;0,", "&amp;AJ$2,""),3,999)</f>
        <v/>
      </c>
      <c r="AM91" s="87" t="str">
        <f aca="false">IF(E91="","",MID(IF(N(Y91)&gt;0,", "&amp;A91&amp;"-"&amp;Y$2,"")&amp;IF(N(Z91)&gt;0,", "&amp;A91&amp;"-"&amp;Z$2,"")&amp;IF(N(AA91)&gt;0,", "&amp;A91&amp;"-"&amp;AA$2,"")&amp;IF(N(AB91)&gt;0,", "&amp;A91&amp;"-"&amp;AB$2,"")&amp;IF(N(AC91)&gt;0,", "&amp;A91&amp;"-"&amp;AC$2,"")&amp;IF(N(AD91)&gt;0,", "&amp;A91&amp;"-"&amp;AD$2,"")&amp;IF(N(AE91)&gt;0,", "&amp;A91&amp;"-"&amp;AE$2,"")&amp;IF(N(AF91)&gt;0,", "&amp;A91&amp;"-"&amp;AF$2,"")&amp;IF(N(AG91)&gt;0,", "&amp;A91&amp;"-"&amp;AG$2,"")&amp;IF(N(AH91)&gt;0,", "&amp;A91&amp;"-"&amp;AH$2,"")&amp;IF(N(AI91)&gt;0,", "&amp;A91&amp;"-"&amp;AI$2,"")&amp;IF(N(AJ91)&gt;0,", "&amp;A91&amp;"-"&amp;AJ$2,""),3,999))</f>
        <v/>
      </c>
      <c r="AN91" s="81"/>
      <c r="AO91" s="88"/>
      <c r="AP91" s="89" t="str">
        <f aca="false">IF(AO91="","",ROUND(AO91/(1+Справочники!$B$13),2))</f>
        <v/>
      </c>
      <c r="AQ91" s="90" t="str">
        <f aca="false" t="array" ref="AQ91:AQ91">IF(AP91="","",AP91*INDEX(Справочники!$B$4:$B$7,MATCH("RUB",Справочники!$A$4:$A$7,0)))</f>
        <v/>
      </c>
      <c r="AR91" s="90" t="str">
        <f aca="false">IF(AQ91="","",ROUND(AQ91*(1+Справочники!$B$12),0))</f>
        <v/>
      </c>
      <c r="AS91" s="90" t="str">
        <f aca="false">IF(AR91="","",ROUND(AR91*(1-Справочники!$B$11),0))</f>
        <v/>
      </c>
      <c r="AT91" s="88"/>
      <c r="AU91" s="90" t="str">
        <f aca="false">IF(AT91="","",ROUND(AT91/(1+Справочники!$B$12),0))</f>
        <v/>
      </c>
      <c r="AV91" s="90" t="str">
        <f aca="false">IF(AT91="","",ROUND(AT91*(1-Справочники!$B$15),0))</f>
        <v/>
      </c>
      <c r="AW91" s="90" t="str">
        <f aca="false">IF(AT91="","",ROUND(AT91*(1-Справочники!$B$16),0))</f>
        <v/>
      </c>
      <c r="AX91" s="90" t="str">
        <f aca="false">IF(AT91="","",ROUND(AT91*(1-Справочники!$B$17),0))</f>
        <v/>
      </c>
      <c r="AY91" s="90" t="str">
        <f aca="false">IF(AT91="","",ROUND(AT91*(1-Справочники!$B$18),0))</f>
        <v/>
      </c>
      <c r="AZ91" s="90" t="str">
        <f aca="false">IF(AT91="","",ROUND(AT91*(1-Справочники!$B$19),0))</f>
        <v/>
      </c>
      <c r="BA91" s="81"/>
      <c r="BB91" s="81"/>
      <c r="BC91" s="81"/>
      <c r="BD91" s="81"/>
      <c r="BE91" s="91"/>
      <c r="BF91" s="81" t="s">
        <v>103</v>
      </c>
      <c r="BG91" s="89" t="n">
        <f aca="false" t="array" ref="BG91:BG91">IF(BF91="","",IFERROR(INDEX(Справочники!$B$4:$B$7,MATCH(BF91,Справочники!$A$4:$A$7,0)),""))</f>
        <v>68.5</v>
      </c>
      <c r="BH91" s="90" t="str">
        <f aca="false">IF(N(BN91)&gt;0,ROUND(SUMIF(ЗАКАЗЫ!$F$3:$F$500,$A91,ЗАКАЗЫ!$Y$3:$Y$500)/BN91,0),IF(OR(BE91="",BG91=""),"",ROUND(BE91*BG91*(1+Справочники!$B$10),0)))</f>
        <v/>
      </c>
      <c r="BI91" s="92" t="str">
        <f aca="false">IF(OR(AU91="",BH91="",AU91=0),"",(AU91-BH91)/AU91)</f>
        <v/>
      </c>
      <c r="BJ91" s="81"/>
      <c r="BK91" s="83"/>
      <c r="BL91" s="43" t="str">
        <f aca="false">IFERROR(INDEX(ЗАКАЗЫ!$N$3:$N$500,MATCH($A91,ЗАКАЗЫ!$F$3:$F$500,0)),"")</f>
        <v/>
      </c>
      <c r="BM91" s="8" t="str">
        <f aca="false">IF(BL91="","",IFERROR(VLOOKUP(BL91,'ТН ВЭД'!$A$4:$C$40,3,0),""))</f>
        <v/>
      </c>
      <c r="BN91" s="7" t="str">
        <f aca="false">IF(COUNTIF(ЗАКАЗЫ!$F$3:$F$500,$A91)=0,"",SUMIF(ЗАКАЗЫ!$F$3:$F$500,$A91,ЗАКАЗЫ!$J$3:$J$500))</f>
        <v/>
      </c>
      <c r="BO91" s="7" t="str">
        <f aca="false">IF(BN91="","",SUMIF(ЗАКАЗЫ!$F$3:$F$500,$A91,ЗАКАЗЫ!$AL$3:$AL$500))</f>
        <v/>
      </c>
      <c r="BP91" s="7" t="str">
        <f aca="false">IF(BN91="","",BN91-BO91)</f>
        <v/>
      </c>
      <c r="BQ91" s="55" t="str">
        <f aca="false">IF(BN91="","",IF(BO91&gt;=BN91,"На складе",IF(BO91&gt;0,"Частично","Ждём")))</f>
        <v/>
      </c>
      <c r="BR91" s="43"/>
      <c r="BS91" s="47" t="str">
        <f aca="false">IF(BN91="","",IF(_xlfn.MAXIFS(ЗАКАЗЫ!$AK$3:$AK$500,ЗАКАЗЫ!$F$3:$F$500,$A91)=0,"",_xlfn.MAXIFS(ЗАКАЗЫ!$AK$3:$AK$500,ЗАКАЗЫ!$F$3:$F$500,$A91)))</f>
        <v/>
      </c>
    </row>
    <row r="92" customFormat="false" ht="15.75" hidden="false" customHeight="true" outlineLevel="0" collapsed="false">
      <c r="A92" s="80" t="s">
        <v>2632</v>
      </c>
      <c r="B92" s="81"/>
      <c r="C92" s="81"/>
      <c r="D92" s="81"/>
      <c r="E92" s="83"/>
      <c r="F92" s="81"/>
      <c r="G92" s="83"/>
      <c r="H92" s="83"/>
      <c r="I92" s="84" t="str">
        <f aca="false">IF(E92="","",A92&amp;"_1.jpg")</f>
        <v/>
      </c>
      <c r="J92" s="84" t="str">
        <f aca="false">IF(E92="","",A92&amp;"_2.jpg; "&amp;A92&amp;"_3.jpg")</f>
        <v/>
      </c>
      <c r="K92" s="84" t="str">
        <f aca="false">IF(E92="","",A92&amp;"_schema.jpg")</f>
        <v/>
      </c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 t="s">
        <v>96</v>
      </c>
      <c r="W92" s="81"/>
      <c r="X92" s="81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6" t="str">
        <f aca="false">IF(SUM(Y92:AJ92)=0,"",SUM(Y92:AJ92))</f>
        <v/>
      </c>
      <c r="AL92" s="84" t="str">
        <f aca="false">MID(IF(N(Y92)&gt;0,", "&amp;Y$2,"")&amp;IF(N(Z92)&gt;0,", "&amp;Z$2,"")&amp;IF(N(AA92)&gt;0,", "&amp;AA$2,"")&amp;IF(N(AB92)&gt;0,", "&amp;AB$2,"")&amp;IF(N(AC92)&gt;0,", "&amp;AC$2,"")&amp;IF(N(AD92)&gt;0,", "&amp;AD$2,"")&amp;IF(N(AE92)&gt;0,", "&amp;AE$2,"")&amp;IF(N(AF92)&gt;0,", "&amp;AF$2,"")&amp;IF(N(AG92)&gt;0,", "&amp;AG$2,"")&amp;IF(N(AH92)&gt;0,", "&amp;AH$2,"")&amp;IF(N(AI92)&gt;0,", "&amp;AI$2,"")&amp;IF(N(AJ92)&gt;0,", "&amp;AJ$2,""),3,999)</f>
        <v/>
      </c>
      <c r="AM92" s="87" t="str">
        <f aca="false">IF(E92="","",MID(IF(N(Y92)&gt;0,", "&amp;A92&amp;"-"&amp;Y$2,"")&amp;IF(N(Z92)&gt;0,", "&amp;A92&amp;"-"&amp;Z$2,"")&amp;IF(N(AA92)&gt;0,", "&amp;A92&amp;"-"&amp;AA$2,"")&amp;IF(N(AB92)&gt;0,", "&amp;A92&amp;"-"&amp;AB$2,"")&amp;IF(N(AC92)&gt;0,", "&amp;A92&amp;"-"&amp;AC$2,"")&amp;IF(N(AD92)&gt;0,", "&amp;A92&amp;"-"&amp;AD$2,"")&amp;IF(N(AE92)&gt;0,", "&amp;A92&amp;"-"&amp;AE$2,"")&amp;IF(N(AF92)&gt;0,", "&amp;A92&amp;"-"&amp;AF$2,"")&amp;IF(N(AG92)&gt;0,", "&amp;A92&amp;"-"&amp;AG$2,"")&amp;IF(N(AH92)&gt;0,", "&amp;A92&amp;"-"&amp;AH$2,"")&amp;IF(N(AI92)&gt;0,", "&amp;A92&amp;"-"&amp;AI$2,"")&amp;IF(N(AJ92)&gt;0,", "&amp;A92&amp;"-"&amp;AJ$2,""),3,999))</f>
        <v/>
      </c>
      <c r="AN92" s="81"/>
      <c r="AO92" s="88"/>
      <c r="AP92" s="89" t="str">
        <f aca="false">IF(AO92="","",ROUND(AO92/(1+Справочники!$B$13),2))</f>
        <v/>
      </c>
      <c r="AQ92" s="90" t="str">
        <f aca="false" t="array" ref="AQ92:AQ92">IF(AP92="","",AP92*INDEX(Справочники!$B$4:$B$7,MATCH("RUB",Справочники!$A$4:$A$7,0)))</f>
        <v/>
      </c>
      <c r="AR92" s="90" t="str">
        <f aca="false">IF(AQ92="","",ROUND(AQ92*(1+Справочники!$B$12),0))</f>
        <v/>
      </c>
      <c r="AS92" s="90" t="str">
        <f aca="false">IF(AR92="","",ROUND(AR92*(1-Справочники!$B$11),0))</f>
        <v/>
      </c>
      <c r="AT92" s="88"/>
      <c r="AU92" s="90" t="str">
        <f aca="false">IF(AT92="","",ROUND(AT92/(1+Справочники!$B$12),0))</f>
        <v/>
      </c>
      <c r="AV92" s="90" t="str">
        <f aca="false">IF(AT92="","",ROUND(AT92*(1-Справочники!$B$15),0))</f>
        <v/>
      </c>
      <c r="AW92" s="90" t="str">
        <f aca="false">IF(AT92="","",ROUND(AT92*(1-Справочники!$B$16),0))</f>
        <v/>
      </c>
      <c r="AX92" s="90" t="str">
        <f aca="false">IF(AT92="","",ROUND(AT92*(1-Справочники!$B$17),0))</f>
        <v/>
      </c>
      <c r="AY92" s="90" t="str">
        <f aca="false">IF(AT92="","",ROUND(AT92*(1-Справочники!$B$18),0))</f>
        <v/>
      </c>
      <c r="AZ92" s="90" t="str">
        <f aca="false">IF(AT92="","",ROUND(AT92*(1-Справочники!$B$19),0))</f>
        <v/>
      </c>
      <c r="BA92" s="81"/>
      <c r="BB92" s="81"/>
      <c r="BC92" s="81"/>
      <c r="BD92" s="81"/>
      <c r="BE92" s="91"/>
      <c r="BF92" s="81" t="s">
        <v>103</v>
      </c>
      <c r="BG92" s="89" t="n">
        <f aca="false" t="array" ref="BG92:BG92">IF(BF92="","",IFERROR(INDEX(Справочники!$B$4:$B$7,MATCH(BF92,Справочники!$A$4:$A$7,0)),""))</f>
        <v>68.5</v>
      </c>
      <c r="BH92" s="90" t="str">
        <f aca="false">IF(N(BN92)&gt;0,ROUND(SUMIF(ЗАКАЗЫ!$F$3:$F$500,$A92,ЗАКАЗЫ!$Y$3:$Y$500)/BN92,0),IF(OR(BE92="",BG92=""),"",ROUND(BE92*BG92*(1+Справочники!$B$10),0)))</f>
        <v/>
      </c>
      <c r="BI92" s="92" t="str">
        <f aca="false">IF(OR(AU92="",BH92="",AU92=0),"",(AU92-BH92)/AU92)</f>
        <v/>
      </c>
      <c r="BJ92" s="81"/>
      <c r="BK92" s="83"/>
      <c r="BL92" s="43" t="str">
        <f aca="false">IFERROR(INDEX(ЗАКАЗЫ!$N$3:$N$500,MATCH($A92,ЗАКАЗЫ!$F$3:$F$500,0)),"")</f>
        <v/>
      </c>
      <c r="BM92" s="8" t="str">
        <f aca="false">IF(BL92="","",IFERROR(VLOOKUP(BL92,'ТН ВЭД'!$A$4:$C$40,3,0),""))</f>
        <v/>
      </c>
      <c r="BN92" s="7" t="str">
        <f aca="false">IF(COUNTIF(ЗАКАЗЫ!$F$3:$F$500,$A92)=0,"",SUMIF(ЗАКАЗЫ!$F$3:$F$500,$A92,ЗАКАЗЫ!$J$3:$J$500))</f>
        <v/>
      </c>
      <c r="BO92" s="7" t="str">
        <f aca="false">IF(BN92="","",SUMIF(ЗАКАЗЫ!$F$3:$F$500,$A92,ЗАКАЗЫ!$AL$3:$AL$500))</f>
        <v/>
      </c>
      <c r="BP92" s="7" t="str">
        <f aca="false">IF(BN92="","",BN92-BO92)</f>
        <v/>
      </c>
      <c r="BQ92" s="55" t="str">
        <f aca="false">IF(BN92="","",IF(BO92&gt;=BN92,"На складе",IF(BO92&gt;0,"Частично","Ждём")))</f>
        <v/>
      </c>
      <c r="BR92" s="43"/>
      <c r="BS92" s="47" t="str">
        <f aca="false">IF(BN92="","",IF(_xlfn.MAXIFS(ЗАКАЗЫ!$AK$3:$AK$500,ЗАКАЗЫ!$F$3:$F$500,$A92)=0,"",_xlfn.MAXIFS(ЗАКАЗЫ!$AK$3:$AK$500,ЗАКАЗЫ!$F$3:$F$500,$A92)))</f>
        <v/>
      </c>
    </row>
    <row r="93" customFormat="false" ht="15.75" hidden="false" customHeight="true" outlineLevel="0" collapsed="false">
      <c r="A93" s="80" t="s">
        <v>2633</v>
      </c>
      <c r="B93" s="81"/>
      <c r="C93" s="81"/>
      <c r="D93" s="81"/>
      <c r="E93" s="83"/>
      <c r="F93" s="81"/>
      <c r="G93" s="83"/>
      <c r="H93" s="83"/>
      <c r="I93" s="84" t="str">
        <f aca="false">IF(E93="","",A93&amp;"_1.jpg")</f>
        <v/>
      </c>
      <c r="J93" s="84" t="str">
        <f aca="false">IF(E93="","",A93&amp;"_2.jpg; "&amp;A93&amp;"_3.jpg")</f>
        <v/>
      </c>
      <c r="K93" s="84" t="str">
        <f aca="false">IF(E93="","",A93&amp;"_schema.jpg")</f>
        <v/>
      </c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 t="s">
        <v>96</v>
      </c>
      <c r="W93" s="81"/>
      <c r="X93" s="81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6" t="str">
        <f aca="false">IF(SUM(Y93:AJ93)=0,"",SUM(Y93:AJ93))</f>
        <v/>
      </c>
      <c r="AL93" s="84" t="str">
        <f aca="false">MID(IF(N(Y93)&gt;0,", "&amp;Y$2,"")&amp;IF(N(Z93)&gt;0,", "&amp;Z$2,"")&amp;IF(N(AA93)&gt;0,", "&amp;AA$2,"")&amp;IF(N(AB93)&gt;0,", "&amp;AB$2,"")&amp;IF(N(AC93)&gt;0,", "&amp;AC$2,"")&amp;IF(N(AD93)&gt;0,", "&amp;AD$2,"")&amp;IF(N(AE93)&gt;0,", "&amp;AE$2,"")&amp;IF(N(AF93)&gt;0,", "&amp;AF$2,"")&amp;IF(N(AG93)&gt;0,", "&amp;AG$2,"")&amp;IF(N(AH93)&gt;0,", "&amp;AH$2,"")&amp;IF(N(AI93)&gt;0,", "&amp;AI$2,"")&amp;IF(N(AJ93)&gt;0,", "&amp;AJ$2,""),3,999)</f>
        <v/>
      </c>
      <c r="AM93" s="87" t="str">
        <f aca="false">IF(E93="","",MID(IF(N(Y93)&gt;0,", "&amp;A93&amp;"-"&amp;Y$2,"")&amp;IF(N(Z93)&gt;0,", "&amp;A93&amp;"-"&amp;Z$2,"")&amp;IF(N(AA93)&gt;0,", "&amp;A93&amp;"-"&amp;AA$2,"")&amp;IF(N(AB93)&gt;0,", "&amp;A93&amp;"-"&amp;AB$2,"")&amp;IF(N(AC93)&gt;0,", "&amp;A93&amp;"-"&amp;AC$2,"")&amp;IF(N(AD93)&gt;0,", "&amp;A93&amp;"-"&amp;AD$2,"")&amp;IF(N(AE93)&gt;0,", "&amp;A93&amp;"-"&amp;AE$2,"")&amp;IF(N(AF93)&gt;0,", "&amp;A93&amp;"-"&amp;AF$2,"")&amp;IF(N(AG93)&gt;0,", "&amp;A93&amp;"-"&amp;AG$2,"")&amp;IF(N(AH93)&gt;0,", "&amp;A93&amp;"-"&amp;AH$2,"")&amp;IF(N(AI93)&gt;0,", "&amp;A93&amp;"-"&amp;AI$2,"")&amp;IF(N(AJ93)&gt;0,", "&amp;A93&amp;"-"&amp;AJ$2,""),3,999))</f>
        <v/>
      </c>
      <c r="AN93" s="81"/>
      <c r="AO93" s="88"/>
      <c r="AP93" s="89" t="str">
        <f aca="false">IF(AO93="","",ROUND(AO93/(1+Справочники!$B$13),2))</f>
        <v/>
      </c>
      <c r="AQ93" s="90" t="str">
        <f aca="false" t="array" ref="AQ93:AQ93">IF(AP93="","",AP93*INDEX(Справочники!$B$4:$B$7,MATCH("RUB",Справочники!$A$4:$A$7,0)))</f>
        <v/>
      </c>
      <c r="AR93" s="90" t="str">
        <f aca="false">IF(AQ93="","",ROUND(AQ93*(1+Справочники!$B$12),0))</f>
        <v/>
      </c>
      <c r="AS93" s="90" t="str">
        <f aca="false">IF(AR93="","",ROUND(AR93*(1-Справочники!$B$11),0))</f>
        <v/>
      </c>
      <c r="AT93" s="88"/>
      <c r="AU93" s="90" t="str">
        <f aca="false">IF(AT93="","",ROUND(AT93/(1+Справочники!$B$12),0))</f>
        <v/>
      </c>
      <c r="AV93" s="90" t="str">
        <f aca="false">IF(AT93="","",ROUND(AT93*(1-Справочники!$B$15),0))</f>
        <v/>
      </c>
      <c r="AW93" s="90" t="str">
        <f aca="false">IF(AT93="","",ROUND(AT93*(1-Справочники!$B$16),0))</f>
        <v/>
      </c>
      <c r="AX93" s="90" t="str">
        <f aca="false">IF(AT93="","",ROUND(AT93*(1-Справочники!$B$17),0))</f>
        <v/>
      </c>
      <c r="AY93" s="90" t="str">
        <f aca="false">IF(AT93="","",ROUND(AT93*(1-Справочники!$B$18),0))</f>
        <v/>
      </c>
      <c r="AZ93" s="90" t="str">
        <f aca="false">IF(AT93="","",ROUND(AT93*(1-Справочники!$B$19),0))</f>
        <v/>
      </c>
      <c r="BA93" s="81"/>
      <c r="BB93" s="81"/>
      <c r="BC93" s="81"/>
      <c r="BD93" s="81"/>
      <c r="BE93" s="91"/>
      <c r="BF93" s="81" t="s">
        <v>103</v>
      </c>
      <c r="BG93" s="89" t="n">
        <f aca="false" t="array" ref="BG93:BG93">IF(BF93="","",IFERROR(INDEX(Справочники!$B$4:$B$7,MATCH(BF93,Справочники!$A$4:$A$7,0)),""))</f>
        <v>68.5</v>
      </c>
      <c r="BH93" s="90" t="str">
        <f aca="false">IF(N(BN93)&gt;0,ROUND(SUMIF(ЗАКАЗЫ!$F$3:$F$500,$A93,ЗАКАЗЫ!$Y$3:$Y$500)/BN93,0),IF(OR(BE93="",BG93=""),"",ROUND(BE93*BG93*(1+Справочники!$B$10),0)))</f>
        <v/>
      </c>
      <c r="BI93" s="92" t="str">
        <f aca="false">IF(OR(AU93="",BH93="",AU93=0),"",(AU93-BH93)/AU93)</f>
        <v/>
      </c>
      <c r="BJ93" s="81"/>
      <c r="BK93" s="83"/>
      <c r="BL93" s="43" t="str">
        <f aca="false">IFERROR(INDEX(ЗАКАЗЫ!$N$3:$N$500,MATCH($A93,ЗАКАЗЫ!$F$3:$F$500,0)),"")</f>
        <v/>
      </c>
      <c r="BM93" s="8" t="str">
        <f aca="false">IF(BL93="","",IFERROR(VLOOKUP(BL93,'ТН ВЭД'!$A$4:$C$40,3,0),""))</f>
        <v/>
      </c>
      <c r="BN93" s="7" t="str">
        <f aca="false">IF(COUNTIF(ЗАКАЗЫ!$F$3:$F$500,$A93)=0,"",SUMIF(ЗАКАЗЫ!$F$3:$F$500,$A93,ЗАКАЗЫ!$J$3:$J$500))</f>
        <v/>
      </c>
      <c r="BO93" s="7" t="str">
        <f aca="false">IF(BN93="","",SUMIF(ЗАКАЗЫ!$F$3:$F$500,$A93,ЗАКАЗЫ!$AL$3:$AL$500))</f>
        <v/>
      </c>
      <c r="BP93" s="7" t="str">
        <f aca="false">IF(BN93="","",BN93-BO93)</f>
        <v/>
      </c>
      <c r="BQ93" s="55" t="str">
        <f aca="false">IF(BN93="","",IF(BO93&gt;=BN93,"На складе",IF(BO93&gt;0,"Частично","Ждём")))</f>
        <v/>
      </c>
      <c r="BR93" s="43"/>
      <c r="BS93" s="47" t="str">
        <f aca="false">IF(BN93="","",IF(_xlfn.MAXIFS(ЗАКАЗЫ!$AK$3:$AK$500,ЗАКАЗЫ!$F$3:$F$500,$A93)=0,"",_xlfn.MAXIFS(ЗАКАЗЫ!$AK$3:$AK$500,ЗАКАЗЫ!$F$3:$F$500,$A93)))</f>
        <v/>
      </c>
    </row>
    <row r="94" customFormat="false" ht="15.75" hidden="false" customHeight="true" outlineLevel="0" collapsed="false">
      <c r="A94" s="80" t="s">
        <v>2634</v>
      </c>
      <c r="B94" s="81"/>
      <c r="C94" s="81"/>
      <c r="D94" s="81"/>
      <c r="E94" s="83"/>
      <c r="F94" s="81"/>
      <c r="G94" s="83"/>
      <c r="H94" s="83"/>
      <c r="I94" s="84" t="str">
        <f aca="false">IF(E94="","",A94&amp;"_1.jpg")</f>
        <v/>
      </c>
      <c r="J94" s="84" t="str">
        <f aca="false">IF(E94="","",A94&amp;"_2.jpg; "&amp;A94&amp;"_3.jpg")</f>
        <v/>
      </c>
      <c r="K94" s="84" t="str">
        <f aca="false">IF(E94="","",A94&amp;"_schema.jpg")</f>
        <v/>
      </c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 t="s">
        <v>96</v>
      </c>
      <c r="W94" s="81"/>
      <c r="X94" s="81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6" t="str">
        <f aca="false">IF(SUM(Y94:AJ94)=0,"",SUM(Y94:AJ94))</f>
        <v/>
      </c>
      <c r="AL94" s="84" t="str">
        <f aca="false">MID(IF(N(Y94)&gt;0,", "&amp;Y$2,"")&amp;IF(N(Z94)&gt;0,", "&amp;Z$2,"")&amp;IF(N(AA94)&gt;0,", "&amp;AA$2,"")&amp;IF(N(AB94)&gt;0,", "&amp;AB$2,"")&amp;IF(N(AC94)&gt;0,", "&amp;AC$2,"")&amp;IF(N(AD94)&gt;0,", "&amp;AD$2,"")&amp;IF(N(AE94)&gt;0,", "&amp;AE$2,"")&amp;IF(N(AF94)&gt;0,", "&amp;AF$2,"")&amp;IF(N(AG94)&gt;0,", "&amp;AG$2,"")&amp;IF(N(AH94)&gt;0,", "&amp;AH$2,"")&amp;IF(N(AI94)&gt;0,", "&amp;AI$2,"")&amp;IF(N(AJ94)&gt;0,", "&amp;AJ$2,""),3,999)</f>
        <v/>
      </c>
      <c r="AM94" s="87" t="str">
        <f aca="false">IF(E94="","",MID(IF(N(Y94)&gt;0,", "&amp;A94&amp;"-"&amp;Y$2,"")&amp;IF(N(Z94)&gt;0,", "&amp;A94&amp;"-"&amp;Z$2,"")&amp;IF(N(AA94)&gt;0,", "&amp;A94&amp;"-"&amp;AA$2,"")&amp;IF(N(AB94)&gt;0,", "&amp;A94&amp;"-"&amp;AB$2,"")&amp;IF(N(AC94)&gt;0,", "&amp;A94&amp;"-"&amp;AC$2,"")&amp;IF(N(AD94)&gt;0,", "&amp;A94&amp;"-"&amp;AD$2,"")&amp;IF(N(AE94)&gt;0,", "&amp;A94&amp;"-"&amp;AE$2,"")&amp;IF(N(AF94)&gt;0,", "&amp;A94&amp;"-"&amp;AF$2,"")&amp;IF(N(AG94)&gt;0,", "&amp;A94&amp;"-"&amp;AG$2,"")&amp;IF(N(AH94)&gt;0,", "&amp;A94&amp;"-"&amp;AH$2,"")&amp;IF(N(AI94)&gt;0,", "&amp;A94&amp;"-"&amp;AI$2,"")&amp;IF(N(AJ94)&gt;0,", "&amp;A94&amp;"-"&amp;AJ$2,""),3,999))</f>
        <v/>
      </c>
      <c r="AN94" s="81"/>
      <c r="AO94" s="88"/>
      <c r="AP94" s="89" t="str">
        <f aca="false">IF(AO94="","",ROUND(AO94/(1+Справочники!$B$13),2))</f>
        <v/>
      </c>
      <c r="AQ94" s="90" t="str">
        <f aca="false" t="array" ref="AQ94:AQ94">IF(AP94="","",AP94*INDEX(Справочники!$B$4:$B$7,MATCH("RUB",Справочники!$A$4:$A$7,0)))</f>
        <v/>
      </c>
      <c r="AR94" s="90" t="str">
        <f aca="false">IF(AQ94="","",ROUND(AQ94*(1+Справочники!$B$12),0))</f>
        <v/>
      </c>
      <c r="AS94" s="90" t="str">
        <f aca="false">IF(AR94="","",ROUND(AR94*(1-Справочники!$B$11),0))</f>
        <v/>
      </c>
      <c r="AT94" s="88"/>
      <c r="AU94" s="90" t="str">
        <f aca="false">IF(AT94="","",ROUND(AT94/(1+Справочники!$B$12),0))</f>
        <v/>
      </c>
      <c r="AV94" s="90" t="str">
        <f aca="false">IF(AT94="","",ROUND(AT94*(1-Справочники!$B$15),0))</f>
        <v/>
      </c>
      <c r="AW94" s="90" t="str">
        <f aca="false">IF(AT94="","",ROUND(AT94*(1-Справочники!$B$16),0))</f>
        <v/>
      </c>
      <c r="AX94" s="90" t="str">
        <f aca="false">IF(AT94="","",ROUND(AT94*(1-Справочники!$B$17),0))</f>
        <v/>
      </c>
      <c r="AY94" s="90" t="str">
        <f aca="false">IF(AT94="","",ROUND(AT94*(1-Справочники!$B$18),0))</f>
        <v/>
      </c>
      <c r="AZ94" s="90" t="str">
        <f aca="false">IF(AT94="","",ROUND(AT94*(1-Справочники!$B$19),0))</f>
        <v/>
      </c>
      <c r="BA94" s="81"/>
      <c r="BB94" s="81"/>
      <c r="BC94" s="81"/>
      <c r="BD94" s="81"/>
      <c r="BE94" s="91"/>
      <c r="BF94" s="81" t="s">
        <v>103</v>
      </c>
      <c r="BG94" s="89" t="n">
        <f aca="false" t="array" ref="BG94:BG94">IF(BF94="","",IFERROR(INDEX(Справочники!$B$4:$B$7,MATCH(BF94,Справочники!$A$4:$A$7,0)),""))</f>
        <v>68.5</v>
      </c>
      <c r="BH94" s="90" t="str">
        <f aca="false">IF(N(BN94)&gt;0,ROUND(SUMIF(ЗАКАЗЫ!$F$3:$F$500,$A94,ЗАКАЗЫ!$Y$3:$Y$500)/BN94,0),IF(OR(BE94="",BG94=""),"",ROUND(BE94*BG94*(1+Справочники!$B$10),0)))</f>
        <v/>
      </c>
      <c r="BI94" s="92" t="str">
        <f aca="false">IF(OR(AU94="",BH94="",AU94=0),"",(AU94-BH94)/AU94)</f>
        <v/>
      </c>
      <c r="BJ94" s="81"/>
      <c r="BK94" s="83"/>
      <c r="BL94" s="43" t="str">
        <f aca="false">IFERROR(INDEX(ЗАКАЗЫ!$N$3:$N$500,MATCH($A94,ЗАКАЗЫ!$F$3:$F$500,0)),"")</f>
        <v/>
      </c>
      <c r="BM94" s="8" t="str">
        <f aca="false">IF(BL94="","",IFERROR(VLOOKUP(BL94,'ТН ВЭД'!$A$4:$C$40,3,0),""))</f>
        <v/>
      </c>
      <c r="BN94" s="7" t="str">
        <f aca="false">IF(COUNTIF(ЗАКАЗЫ!$F$3:$F$500,$A94)=0,"",SUMIF(ЗАКАЗЫ!$F$3:$F$500,$A94,ЗАКАЗЫ!$J$3:$J$500))</f>
        <v/>
      </c>
      <c r="BO94" s="7" t="str">
        <f aca="false">IF(BN94="","",SUMIF(ЗАКАЗЫ!$F$3:$F$500,$A94,ЗАКАЗЫ!$AL$3:$AL$500))</f>
        <v/>
      </c>
      <c r="BP94" s="7" t="str">
        <f aca="false">IF(BN94="","",BN94-BO94)</f>
        <v/>
      </c>
      <c r="BQ94" s="55" t="str">
        <f aca="false">IF(BN94="","",IF(BO94&gt;=BN94,"На складе",IF(BO94&gt;0,"Частично","Ждём")))</f>
        <v/>
      </c>
      <c r="BR94" s="43"/>
      <c r="BS94" s="47" t="str">
        <f aca="false">IF(BN94="","",IF(_xlfn.MAXIFS(ЗАКАЗЫ!$AK$3:$AK$500,ЗАКАЗЫ!$F$3:$F$500,$A94)=0,"",_xlfn.MAXIFS(ЗАКАЗЫ!$AK$3:$AK$500,ЗАКАЗЫ!$F$3:$F$500,$A94)))</f>
        <v/>
      </c>
    </row>
    <row r="95" customFormat="false" ht="15.75" hidden="false" customHeight="true" outlineLevel="0" collapsed="false">
      <c r="A95" s="80" t="s">
        <v>2635</v>
      </c>
      <c r="B95" s="81"/>
      <c r="C95" s="81"/>
      <c r="D95" s="81"/>
      <c r="E95" s="83"/>
      <c r="F95" s="81"/>
      <c r="G95" s="83"/>
      <c r="H95" s="83"/>
      <c r="I95" s="84" t="str">
        <f aca="false">IF(E95="","",A95&amp;"_1.jpg")</f>
        <v/>
      </c>
      <c r="J95" s="84" t="str">
        <f aca="false">IF(E95="","",A95&amp;"_2.jpg; "&amp;A95&amp;"_3.jpg")</f>
        <v/>
      </c>
      <c r="K95" s="84" t="str">
        <f aca="false">IF(E95="","",A95&amp;"_schema.jpg")</f>
        <v/>
      </c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 t="s">
        <v>96</v>
      </c>
      <c r="W95" s="81"/>
      <c r="X95" s="81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6" t="str">
        <f aca="false">IF(SUM(Y95:AJ95)=0,"",SUM(Y95:AJ95))</f>
        <v/>
      </c>
      <c r="AL95" s="84" t="str">
        <f aca="false">MID(IF(N(Y95)&gt;0,", "&amp;Y$2,"")&amp;IF(N(Z95)&gt;0,", "&amp;Z$2,"")&amp;IF(N(AA95)&gt;0,", "&amp;AA$2,"")&amp;IF(N(AB95)&gt;0,", "&amp;AB$2,"")&amp;IF(N(AC95)&gt;0,", "&amp;AC$2,"")&amp;IF(N(AD95)&gt;0,", "&amp;AD$2,"")&amp;IF(N(AE95)&gt;0,", "&amp;AE$2,"")&amp;IF(N(AF95)&gt;0,", "&amp;AF$2,"")&amp;IF(N(AG95)&gt;0,", "&amp;AG$2,"")&amp;IF(N(AH95)&gt;0,", "&amp;AH$2,"")&amp;IF(N(AI95)&gt;0,", "&amp;AI$2,"")&amp;IF(N(AJ95)&gt;0,", "&amp;AJ$2,""),3,999)</f>
        <v/>
      </c>
      <c r="AM95" s="87" t="str">
        <f aca="false">IF(E95="","",MID(IF(N(Y95)&gt;0,", "&amp;A95&amp;"-"&amp;Y$2,"")&amp;IF(N(Z95)&gt;0,", "&amp;A95&amp;"-"&amp;Z$2,"")&amp;IF(N(AA95)&gt;0,", "&amp;A95&amp;"-"&amp;AA$2,"")&amp;IF(N(AB95)&gt;0,", "&amp;A95&amp;"-"&amp;AB$2,"")&amp;IF(N(AC95)&gt;0,", "&amp;A95&amp;"-"&amp;AC$2,"")&amp;IF(N(AD95)&gt;0,", "&amp;A95&amp;"-"&amp;AD$2,"")&amp;IF(N(AE95)&gt;0,", "&amp;A95&amp;"-"&amp;AE$2,"")&amp;IF(N(AF95)&gt;0,", "&amp;A95&amp;"-"&amp;AF$2,"")&amp;IF(N(AG95)&gt;0,", "&amp;A95&amp;"-"&amp;AG$2,"")&amp;IF(N(AH95)&gt;0,", "&amp;A95&amp;"-"&amp;AH$2,"")&amp;IF(N(AI95)&gt;0,", "&amp;A95&amp;"-"&amp;AI$2,"")&amp;IF(N(AJ95)&gt;0,", "&amp;A95&amp;"-"&amp;AJ$2,""),3,999))</f>
        <v/>
      </c>
      <c r="AN95" s="81"/>
      <c r="AO95" s="88"/>
      <c r="AP95" s="89" t="str">
        <f aca="false">IF(AO95="","",ROUND(AO95/(1+Справочники!$B$13),2))</f>
        <v/>
      </c>
      <c r="AQ95" s="90" t="str">
        <f aca="false" t="array" ref="AQ95:AQ95">IF(AP95="","",AP95*INDEX(Справочники!$B$4:$B$7,MATCH("RUB",Справочники!$A$4:$A$7,0)))</f>
        <v/>
      </c>
      <c r="AR95" s="90" t="str">
        <f aca="false">IF(AQ95="","",ROUND(AQ95*(1+Справочники!$B$12),0))</f>
        <v/>
      </c>
      <c r="AS95" s="90" t="str">
        <f aca="false">IF(AR95="","",ROUND(AR95*(1-Справочники!$B$11),0))</f>
        <v/>
      </c>
      <c r="AT95" s="88"/>
      <c r="AU95" s="90" t="str">
        <f aca="false">IF(AT95="","",ROUND(AT95/(1+Справочники!$B$12),0))</f>
        <v/>
      </c>
      <c r="AV95" s="90" t="str">
        <f aca="false">IF(AT95="","",ROUND(AT95*(1-Справочники!$B$15),0))</f>
        <v/>
      </c>
      <c r="AW95" s="90" t="str">
        <f aca="false">IF(AT95="","",ROUND(AT95*(1-Справочники!$B$16),0))</f>
        <v/>
      </c>
      <c r="AX95" s="90" t="str">
        <f aca="false">IF(AT95="","",ROUND(AT95*(1-Справочники!$B$17),0))</f>
        <v/>
      </c>
      <c r="AY95" s="90" t="str">
        <f aca="false">IF(AT95="","",ROUND(AT95*(1-Справочники!$B$18),0))</f>
        <v/>
      </c>
      <c r="AZ95" s="90" t="str">
        <f aca="false">IF(AT95="","",ROUND(AT95*(1-Справочники!$B$19),0))</f>
        <v/>
      </c>
      <c r="BA95" s="81"/>
      <c r="BB95" s="81"/>
      <c r="BC95" s="81"/>
      <c r="BD95" s="81"/>
      <c r="BE95" s="91"/>
      <c r="BF95" s="81" t="s">
        <v>103</v>
      </c>
      <c r="BG95" s="89" t="n">
        <f aca="false" t="array" ref="BG95:BG95">IF(BF95="","",IFERROR(INDEX(Справочники!$B$4:$B$7,MATCH(BF95,Справочники!$A$4:$A$7,0)),""))</f>
        <v>68.5</v>
      </c>
      <c r="BH95" s="90" t="str">
        <f aca="false">IF(N(BN95)&gt;0,ROUND(SUMIF(ЗАКАЗЫ!$F$3:$F$500,$A95,ЗАКАЗЫ!$Y$3:$Y$500)/BN95,0),IF(OR(BE95="",BG95=""),"",ROUND(BE95*BG95*(1+Справочники!$B$10),0)))</f>
        <v/>
      </c>
      <c r="BI95" s="92" t="str">
        <f aca="false">IF(OR(AU95="",BH95="",AU95=0),"",(AU95-BH95)/AU95)</f>
        <v/>
      </c>
      <c r="BJ95" s="81"/>
      <c r="BK95" s="83"/>
      <c r="BL95" s="43" t="str">
        <f aca="false">IFERROR(INDEX(ЗАКАЗЫ!$N$3:$N$500,MATCH($A95,ЗАКАЗЫ!$F$3:$F$500,0)),"")</f>
        <v/>
      </c>
      <c r="BM95" s="8" t="str">
        <f aca="false">IF(BL95="","",IFERROR(VLOOKUP(BL95,'ТН ВЭД'!$A$4:$C$40,3,0),""))</f>
        <v/>
      </c>
      <c r="BN95" s="7" t="str">
        <f aca="false">IF(COUNTIF(ЗАКАЗЫ!$F$3:$F$500,$A95)=0,"",SUMIF(ЗАКАЗЫ!$F$3:$F$500,$A95,ЗАКАЗЫ!$J$3:$J$500))</f>
        <v/>
      </c>
      <c r="BO95" s="7" t="str">
        <f aca="false">IF(BN95="","",SUMIF(ЗАКАЗЫ!$F$3:$F$500,$A95,ЗАКАЗЫ!$AL$3:$AL$500))</f>
        <v/>
      </c>
      <c r="BP95" s="7" t="str">
        <f aca="false">IF(BN95="","",BN95-BO95)</f>
        <v/>
      </c>
      <c r="BQ95" s="55" t="str">
        <f aca="false">IF(BN95="","",IF(BO95&gt;=BN95,"На складе",IF(BO95&gt;0,"Частично","Ждём")))</f>
        <v/>
      </c>
      <c r="BR95" s="43"/>
      <c r="BS95" s="47" t="str">
        <f aca="false">IF(BN95="","",IF(_xlfn.MAXIFS(ЗАКАЗЫ!$AK$3:$AK$500,ЗАКАЗЫ!$F$3:$F$500,$A95)=0,"",_xlfn.MAXIFS(ЗАКАЗЫ!$AK$3:$AK$500,ЗАКАЗЫ!$F$3:$F$500,$A95)))</f>
        <v/>
      </c>
    </row>
    <row r="96" customFormat="false" ht="15.75" hidden="false" customHeight="true" outlineLevel="0" collapsed="false">
      <c r="A96" s="80" t="s">
        <v>2636</v>
      </c>
      <c r="B96" s="81"/>
      <c r="C96" s="81"/>
      <c r="D96" s="81"/>
      <c r="E96" s="83"/>
      <c r="F96" s="81"/>
      <c r="G96" s="83"/>
      <c r="H96" s="83"/>
      <c r="I96" s="84" t="str">
        <f aca="false">IF(E96="","",A96&amp;"_1.jpg")</f>
        <v/>
      </c>
      <c r="J96" s="84" t="str">
        <f aca="false">IF(E96="","",A96&amp;"_2.jpg; "&amp;A96&amp;"_3.jpg")</f>
        <v/>
      </c>
      <c r="K96" s="84" t="str">
        <f aca="false">IF(E96="","",A96&amp;"_schema.jpg")</f>
        <v/>
      </c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 t="s">
        <v>96</v>
      </c>
      <c r="W96" s="81"/>
      <c r="X96" s="81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6" t="str">
        <f aca="false">IF(SUM(Y96:AJ96)=0,"",SUM(Y96:AJ96))</f>
        <v/>
      </c>
      <c r="AL96" s="84" t="str">
        <f aca="false">MID(IF(N(Y96)&gt;0,", "&amp;Y$2,"")&amp;IF(N(Z96)&gt;0,", "&amp;Z$2,"")&amp;IF(N(AA96)&gt;0,", "&amp;AA$2,"")&amp;IF(N(AB96)&gt;0,", "&amp;AB$2,"")&amp;IF(N(AC96)&gt;0,", "&amp;AC$2,"")&amp;IF(N(AD96)&gt;0,", "&amp;AD$2,"")&amp;IF(N(AE96)&gt;0,", "&amp;AE$2,"")&amp;IF(N(AF96)&gt;0,", "&amp;AF$2,"")&amp;IF(N(AG96)&gt;0,", "&amp;AG$2,"")&amp;IF(N(AH96)&gt;0,", "&amp;AH$2,"")&amp;IF(N(AI96)&gt;0,", "&amp;AI$2,"")&amp;IF(N(AJ96)&gt;0,", "&amp;AJ$2,""),3,999)</f>
        <v/>
      </c>
      <c r="AM96" s="87" t="str">
        <f aca="false">IF(E96="","",MID(IF(N(Y96)&gt;0,", "&amp;A96&amp;"-"&amp;Y$2,"")&amp;IF(N(Z96)&gt;0,", "&amp;A96&amp;"-"&amp;Z$2,"")&amp;IF(N(AA96)&gt;0,", "&amp;A96&amp;"-"&amp;AA$2,"")&amp;IF(N(AB96)&gt;0,", "&amp;A96&amp;"-"&amp;AB$2,"")&amp;IF(N(AC96)&gt;0,", "&amp;A96&amp;"-"&amp;AC$2,"")&amp;IF(N(AD96)&gt;0,", "&amp;A96&amp;"-"&amp;AD$2,"")&amp;IF(N(AE96)&gt;0,", "&amp;A96&amp;"-"&amp;AE$2,"")&amp;IF(N(AF96)&gt;0,", "&amp;A96&amp;"-"&amp;AF$2,"")&amp;IF(N(AG96)&gt;0,", "&amp;A96&amp;"-"&amp;AG$2,"")&amp;IF(N(AH96)&gt;0,", "&amp;A96&amp;"-"&amp;AH$2,"")&amp;IF(N(AI96)&gt;0,", "&amp;A96&amp;"-"&amp;AI$2,"")&amp;IF(N(AJ96)&gt;0,", "&amp;A96&amp;"-"&amp;AJ$2,""),3,999))</f>
        <v/>
      </c>
      <c r="AN96" s="81"/>
      <c r="AO96" s="88"/>
      <c r="AP96" s="89" t="str">
        <f aca="false">IF(AO96="","",ROUND(AO96/(1+Справочники!$B$13),2))</f>
        <v/>
      </c>
      <c r="AQ96" s="90" t="str">
        <f aca="false" t="array" ref="AQ96:AQ96">IF(AP96="","",AP96*INDEX(Справочники!$B$4:$B$7,MATCH("RUB",Справочники!$A$4:$A$7,0)))</f>
        <v/>
      </c>
      <c r="AR96" s="90" t="str">
        <f aca="false">IF(AQ96="","",ROUND(AQ96*(1+Справочники!$B$12),0))</f>
        <v/>
      </c>
      <c r="AS96" s="90" t="str">
        <f aca="false">IF(AR96="","",ROUND(AR96*(1-Справочники!$B$11),0))</f>
        <v/>
      </c>
      <c r="AT96" s="88"/>
      <c r="AU96" s="90" t="str">
        <f aca="false">IF(AT96="","",ROUND(AT96/(1+Справочники!$B$12),0))</f>
        <v/>
      </c>
      <c r="AV96" s="90" t="str">
        <f aca="false">IF(AT96="","",ROUND(AT96*(1-Справочники!$B$15),0))</f>
        <v/>
      </c>
      <c r="AW96" s="90" t="str">
        <f aca="false">IF(AT96="","",ROUND(AT96*(1-Справочники!$B$16),0))</f>
        <v/>
      </c>
      <c r="AX96" s="90" t="str">
        <f aca="false">IF(AT96="","",ROUND(AT96*(1-Справочники!$B$17),0))</f>
        <v/>
      </c>
      <c r="AY96" s="90" t="str">
        <f aca="false">IF(AT96="","",ROUND(AT96*(1-Справочники!$B$18),0))</f>
        <v/>
      </c>
      <c r="AZ96" s="90" t="str">
        <f aca="false">IF(AT96="","",ROUND(AT96*(1-Справочники!$B$19),0))</f>
        <v/>
      </c>
      <c r="BA96" s="81"/>
      <c r="BB96" s="81"/>
      <c r="BC96" s="81"/>
      <c r="BD96" s="81"/>
      <c r="BE96" s="91"/>
      <c r="BF96" s="81" t="s">
        <v>103</v>
      </c>
      <c r="BG96" s="89" t="n">
        <f aca="false" t="array" ref="BG96:BG96">IF(BF96="","",IFERROR(INDEX(Справочники!$B$4:$B$7,MATCH(BF96,Справочники!$A$4:$A$7,0)),""))</f>
        <v>68.5</v>
      </c>
      <c r="BH96" s="90" t="str">
        <f aca="false">IF(N(BN96)&gt;0,ROUND(SUMIF(ЗАКАЗЫ!$F$3:$F$500,$A96,ЗАКАЗЫ!$Y$3:$Y$500)/BN96,0),IF(OR(BE96="",BG96=""),"",ROUND(BE96*BG96*(1+Справочники!$B$10),0)))</f>
        <v/>
      </c>
      <c r="BI96" s="92" t="str">
        <f aca="false">IF(OR(AU96="",BH96="",AU96=0),"",(AU96-BH96)/AU96)</f>
        <v/>
      </c>
      <c r="BJ96" s="81"/>
      <c r="BK96" s="83"/>
      <c r="BL96" s="43" t="str">
        <f aca="false">IFERROR(INDEX(ЗАКАЗЫ!$N$3:$N$500,MATCH($A96,ЗАКАЗЫ!$F$3:$F$500,0)),"")</f>
        <v/>
      </c>
      <c r="BM96" s="8" t="str">
        <f aca="false">IF(BL96="","",IFERROR(VLOOKUP(BL96,'ТН ВЭД'!$A$4:$C$40,3,0),""))</f>
        <v/>
      </c>
      <c r="BN96" s="7" t="str">
        <f aca="false">IF(COUNTIF(ЗАКАЗЫ!$F$3:$F$500,$A96)=0,"",SUMIF(ЗАКАЗЫ!$F$3:$F$500,$A96,ЗАКАЗЫ!$J$3:$J$500))</f>
        <v/>
      </c>
      <c r="BO96" s="7" t="str">
        <f aca="false">IF(BN96="","",SUMIF(ЗАКАЗЫ!$F$3:$F$500,$A96,ЗАКАЗЫ!$AL$3:$AL$500))</f>
        <v/>
      </c>
      <c r="BP96" s="7" t="str">
        <f aca="false">IF(BN96="","",BN96-BO96)</f>
        <v/>
      </c>
      <c r="BQ96" s="55" t="str">
        <f aca="false">IF(BN96="","",IF(BO96&gt;=BN96,"На складе",IF(BO96&gt;0,"Частично","Ждём")))</f>
        <v/>
      </c>
      <c r="BR96" s="43"/>
      <c r="BS96" s="47" t="str">
        <f aca="false">IF(BN96="","",IF(_xlfn.MAXIFS(ЗАКАЗЫ!$AK$3:$AK$500,ЗАКАЗЫ!$F$3:$F$500,$A96)=0,"",_xlfn.MAXIFS(ЗАКАЗЫ!$AK$3:$AK$500,ЗАКАЗЫ!$F$3:$F$500,$A96)))</f>
        <v/>
      </c>
    </row>
    <row r="97" customFormat="false" ht="15.75" hidden="false" customHeight="true" outlineLevel="0" collapsed="false">
      <c r="A97" s="80" t="s">
        <v>2637</v>
      </c>
      <c r="B97" s="81"/>
      <c r="C97" s="81"/>
      <c r="D97" s="81"/>
      <c r="E97" s="83"/>
      <c r="F97" s="81"/>
      <c r="G97" s="83"/>
      <c r="H97" s="83"/>
      <c r="I97" s="84" t="str">
        <f aca="false">IF(E97="","",A97&amp;"_1.jpg")</f>
        <v/>
      </c>
      <c r="J97" s="84" t="str">
        <f aca="false">IF(E97="","",A97&amp;"_2.jpg; "&amp;A97&amp;"_3.jpg")</f>
        <v/>
      </c>
      <c r="K97" s="84" t="str">
        <f aca="false">IF(E97="","",A97&amp;"_schema.jpg")</f>
        <v/>
      </c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 t="s">
        <v>96</v>
      </c>
      <c r="W97" s="81"/>
      <c r="X97" s="81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6" t="str">
        <f aca="false">IF(SUM(Y97:AJ97)=0,"",SUM(Y97:AJ97))</f>
        <v/>
      </c>
      <c r="AL97" s="84" t="str">
        <f aca="false">MID(IF(N(Y97)&gt;0,", "&amp;Y$2,"")&amp;IF(N(Z97)&gt;0,", "&amp;Z$2,"")&amp;IF(N(AA97)&gt;0,", "&amp;AA$2,"")&amp;IF(N(AB97)&gt;0,", "&amp;AB$2,"")&amp;IF(N(AC97)&gt;0,", "&amp;AC$2,"")&amp;IF(N(AD97)&gt;0,", "&amp;AD$2,"")&amp;IF(N(AE97)&gt;0,", "&amp;AE$2,"")&amp;IF(N(AF97)&gt;0,", "&amp;AF$2,"")&amp;IF(N(AG97)&gt;0,", "&amp;AG$2,"")&amp;IF(N(AH97)&gt;0,", "&amp;AH$2,"")&amp;IF(N(AI97)&gt;0,", "&amp;AI$2,"")&amp;IF(N(AJ97)&gt;0,", "&amp;AJ$2,""),3,999)</f>
        <v/>
      </c>
      <c r="AM97" s="87" t="str">
        <f aca="false">IF(E97="","",MID(IF(N(Y97)&gt;0,", "&amp;A97&amp;"-"&amp;Y$2,"")&amp;IF(N(Z97)&gt;0,", "&amp;A97&amp;"-"&amp;Z$2,"")&amp;IF(N(AA97)&gt;0,", "&amp;A97&amp;"-"&amp;AA$2,"")&amp;IF(N(AB97)&gt;0,", "&amp;A97&amp;"-"&amp;AB$2,"")&amp;IF(N(AC97)&gt;0,", "&amp;A97&amp;"-"&amp;AC$2,"")&amp;IF(N(AD97)&gt;0,", "&amp;A97&amp;"-"&amp;AD$2,"")&amp;IF(N(AE97)&gt;0,", "&amp;A97&amp;"-"&amp;AE$2,"")&amp;IF(N(AF97)&gt;0,", "&amp;A97&amp;"-"&amp;AF$2,"")&amp;IF(N(AG97)&gt;0,", "&amp;A97&amp;"-"&amp;AG$2,"")&amp;IF(N(AH97)&gt;0,", "&amp;A97&amp;"-"&amp;AH$2,"")&amp;IF(N(AI97)&gt;0,", "&amp;A97&amp;"-"&amp;AI$2,"")&amp;IF(N(AJ97)&gt;0,", "&amp;A97&amp;"-"&amp;AJ$2,""),3,999))</f>
        <v/>
      </c>
      <c r="AN97" s="81"/>
      <c r="AO97" s="88"/>
      <c r="AP97" s="89" t="str">
        <f aca="false">IF(AO97="","",ROUND(AO97/(1+Справочники!$B$13),2))</f>
        <v/>
      </c>
      <c r="AQ97" s="90" t="str">
        <f aca="false" t="array" ref="AQ97:AQ97">IF(AP97="","",AP97*INDEX(Справочники!$B$4:$B$7,MATCH("RUB",Справочники!$A$4:$A$7,0)))</f>
        <v/>
      </c>
      <c r="AR97" s="90" t="str">
        <f aca="false">IF(AQ97="","",ROUND(AQ97*(1+Справочники!$B$12),0))</f>
        <v/>
      </c>
      <c r="AS97" s="90" t="str">
        <f aca="false">IF(AR97="","",ROUND(AR97*(1-Справочники!$B$11),0))</f>
        <v/>
      </c>
      <c r="AT97" s="88"/>
      <c r="AU97" s="90" t="str">
        <f aca="false">IF(AT97="","",ROUND(AT97/(1+Справочники!$B$12),0))</f>
        <v/>
      </c>
      <c r="AV97" s="90" t="str">
        <f aca="false">IF(AT97="","",ROUND(AT97*(1-Справочники!$B$15),0))</f>
        <v/>
      </c>
      <c r="AW97" s="90" t="str">
        <f aca="false">IF(AT97="","",ROUND(AT97*(1-Справочники!$B$16),0))</f>
        <v/>
      </c>
      <c r="AX97" s="90" t="str">
        <f aca="false">IF(AT97="","",ROUND(AT97*(1-Справочники!$B$17),0))</f>
        <v/>
      </c>
      <c r="AY97" s="90" t="str">
        <f aca="false">IF(AT97="","",ROUND(AT97*(1-Справочники!$B$18),0))</f>
        <v/>
      </c>
      <c r="AZ97" s="90" t="str">
        <f aca="false">IF(AT97="","",ROUND(AT97*(1-Справочники!$B$19),0))</f>
        <v/>
      </c>
      <c r="BA97" s="81"/>
      <c r="BB97" s="81"/>
      <c r="BC97" s="81"/>
      <c r="BD97" s="81"/>
      <c r="BE97" s="91"/>
      <c r="BF97" s="81" t="s">
        <v>103</v>
      </c>
      <c r="BG97" s="89" t="n">
        <f aca="false" t="array" ref="BG97:BG97">IF(BF97="","",IFERROR(INDEX(Справочники!$B$4:$B$7,MATCH(BF97,Справочники!$A$4:$A$7,0)),""))</f>
        <v>68.5</v>
      </c>
      <c r="BH97" s="90" t="str">
        <f aca="false">IF(N(BN97)&gt;0,ROUND(SUMIF(ЗАКАЗЫ!$F$3:$F$500,$A97,ЗАКАЗЫ!$Y$3:$Y$500)/BN97,0),IF(OR(BE97="",BG97=""),"",ROUND(BE97*BG97*(1+Справочники!$B$10),0)))</f>
        <v/>
      </c>
      <c r="BI97" s="92" t="str">
        <f aca="false">IF(OR(AU97="",BH97="",AU97=0),"",(AU97-BH97)/AU97)</f>
        <v/>
      </c>
      <c r="BJ97" s="81"/>
      <c r="BK97" s="83"/>
      <c r="BL97" s="43" t="str">
        <f aca="false">IFERROR(INDEX(ЗАКАЗЫ!$N$3:$N$500,MATCH($A97,ЗАКАЗЫ!$F$3:$F$500,0)),"")</f>
        <v/>
      </c>
      <c r="BM97" s="8" t="str">
        <f aca="false">IF(BL97="","",IFERROR(VLOOKUP(BL97,'ТН ВЭД'!$A$4:$C$40,3,0),""))</f>
        <v/>
      </c>
      <c r="BN97" s="7" t="str">
        <f aca="false">IF(COUNTIF(ЗАКАЗЫ!$F$3:$F$500,$A97)=0,"",SUMIF(ЗАКАЗЫ!$F$3:$F$500,$A97,ЗАКАЗЫ!$J$3:$J$500))</f>
        <v/>
      </c>
      <c r="BO97" s="7" t="str">
        <f aca="false">IF(BN97="","",SUMIF(ЗАКАЗЫ!$F$3:$F$500,$A97,ЗАКАЗЫ!$AL$3:$AL$500))</f>
        <v/>
      </c>
      <c r="BP97" s="7" t="str">
        <f aca="false">IF(BN97="","",BN97-BO97)</f>
        <v/>
      </c>
      <c r="BQ97" s="55" t="str">
        <f aca="false">IF(BN97="","",IF(BO97&gt;=BN97,"На складе",IF(BO97&gt;0,"Частично","Ждём")))</f>
        <v/>
      </c>
      <c r="BR97" s="43"/>
      <c r="BS97" s="47" t="str">
        <f aca="false">IF(BN97="","",IF(_xlfn.MAXIFS(ЗАКАЗЫ!$AK$3:$AK$500,ЗАКАЗЫ!$F$3:$F$500,$A97)=0,"",_xlfn.MAXIFS(ЗАКАЗЫ!$AK$3:$AK$500,ЗАКАЗЫ!$F$3:$F$500,$A97)))</f>
        <v/>
      </c>
    </row>
    <row r="98" customFormat="false" ht="15.75" hidden="false" customHeight="true" outlineLevel="0" collapsed="false">
      <c r="A98" s="80" t="s">
        <v>2638</v>
      </c>
      <c r="B98" s="81"/>
      <c r="C98" s="81"/>
      <c r="D98" s="81"/>
      <c r="E98" s="83"/>
      <c r="F98" s="81"/>
      <c r="G98" s="83"/>
      <c r="H98" s="83"/>
      <c r="I98" s="84" t="str">
        <f aca="false">IF(E98="","",A98&amp;"_1.jpg")</f>
        <v/>
      </c>
      <c r="J98" s="84" t="str">
        <f aca="false">IF(E98="","",A98&amp;"_2.jpg; "&amp;A98&amp;"_3.jpg")</f>
        <v/>
      </c>
      <c r="K98" s="84" t="str">
        <f aca="false">IF(E98="","",A98&amp;"_schema.jpg")</f>
        <v/>
      </c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 t="s">
        <v>96</v>
      </c>
      <c r="W98" s="81"/>
      <c r="X98" s="81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6" t="str">
        <f aca="false">IF(SUM(Y98:AJ98)=0,"",SUM(Y98:AJ98))</f>
        <v/>
      </c>
      <c r="AL98" s="84" t="str">
        <f aca="false">MID(IF(N(Y98)&gt;0,", "&amp;Y$2,"")&amp;IF(N(Z98)&gt;0,", "&amp;Z$2,"")&amp;IF(N(AA98)&gt;0,", "&amp;AA$2,"")&amp;IF(N(AB98)&gt;0,", "&amp;AB$2,"")&amp;IF(N(AC98)&gt;0,", "&amp;AC$2,"")&amp;IF(N(AD98)&gt;0,", "&amp;AD$2,"")&amp;IF(N(AE98)&gt;0,", "&amp;AE$2,"")&amp;IF(N(AF98)&gt;0,", "&amp;AF$2,"")&amp;IF(N(AG98)&gt;0,", "&amp;AG$2,"")&amp;IF(N(AH98)&gt;0,", "&amp;AH$2,"")&amp;IF(N(AI98)&gt;0,", "&amp;AI$2,"")&amp;IF(N(AJ98)&gt;0,", "&amp;AJ$2,""),3,999)</f>
        <v/>
      </c>
      <c r="AM98" s="87" t="str">
        <f aca="false">IF(E98="","",MID(IF(N(Y98)&gt;0,", "&amp;A98&amp;"-"&amp;Y$2,"")&amp;IF(N(Z98)&gt;0,", "&amp;A98&amp;"-"&amp;Z$2,"")&amp;IF(N(AA98)&gt;0,", "&amp;A98&amp;"-"&amp;AA$2,"")&amp;IF(N(AB98)&gt;0,", "&amp;A98&amp;"-"&amp;AB$2,"")&amp;IF(N(AC98)&gt;0,", "&amp;A98&amp;"-"&amp;AC$2,"")&amp;IF(N(AD98)&gt;0,", "&amp;A98&amp;"-"&amp;AD$2,"")&amp;IF(N(AE98)&gt;0,", "&amp;A98&amp;"-"&amp;AE$2,"")&amp;IF(N(AF98)&gt;0,", "&amp;A98&amp;"-"&amp;AF$2,"")&amp;IF(N(AG98)&gt;0,", "&amp;A98&amp;"-"&amp;AG$2,"")&amp;IF(N(AH98)&gt;0,", "&amp;A98&amp;"-"&amp;AH$2,"")&amp;IF(N(AI98)&gt;0,", "&amp;A98&amp;"-"&amp;AI$2,"")&amp;IF(N(AJ98)&gt;0,", "&amp;A98&amp;"-"&amp;AJ$2,""),3,999))</f>
        <v/>
      </c>
      <c r="AN98" s="81"/>
      <c r="AO98" s="88"/>
      <c r="AP98" s="89" t="str">
        <f aca="false">IF(AO98="","",ROUND(AO98/(1+Справочники!$B$13),2))</f>
        <v/>
      </c>
      <c r="AQ98" s="90" t="str">
        <f aca="false" t="array" ref="AQ98:AQ98">IF(AP98="","",AP98*INDEX(Справочники!$B$4:$B$7,MATCH("RUB",Справочники!$A$4:$A$7,0)))</f>
        <v/>
      </c>
      <c r="AR98" s="90" t="str">
        <f aca="false">IF(AQ98="","",ROUND(AQ98*(1+Справочники!$B$12),0))</f>
        <v/>
      </c>
      <c r="AS98" s="90" t="str">
        <f aca="false">IF(AR98="","",ROUND(AR98*(1-Справочники!$B$11),0))</f>
        <v/>
      </c>
      <c r="AT98" s="88"/>
      <c r="AU98" s="90" t="str">
        <f aca="false">IF(AT98="","",ROUND(AT98/(1+Справочники!$B$12),0))</f>
        <v/>
      </c>
      <c r="AV98" s="90" t="str">
        <f aca="false">IF(AT98="","",ROUND(AT98*(1-Справочники!$B$15),0))</f>
        <v/>
      </c>
      <c r="AW98" s="90" t="str">
        <f aca="false">IF(AT98="","",ROUND(AT98*(1-Справочники!$B$16),0))</f>
        <v/>
      </c>
      <c r="AX98" s="90" t="str">
        <f aca="false">IF(AT98="","",ROUND(AT98*(1-Справочники!$B$17),0))</f>
        <v/>
      </c>
      <c r="AY98" s="90" t="str">
        <f aca="false">IF(AT98="","",ROUND(AT98*(1-Справочники!$B$18),0))</f>
        <v/>
      </c>
      <c r="AZ98" s="90" t="str">
        <f aca="false">IF(AT98="","",ROUND(AT98*(1-Справочники!$B$19),0))</f>
        <v/>
      </c>
      <c r="BA98" s="81"/>
      <c r="BB98" s="81"/>
      <c r="BC98" s="81"/>
      <c r="BD98" s="81"/>
      <c r="BE98" s="91"/>
      <c r="BF98" s="81" t="s">
        <v>103</v>
      </c>
      <c r="BG98" s="89" t="n">
        <f aca="false" t="array" ref="BG98:BG98">IF(BF98="","",IFERROR(INDEX(Справочники!$B$4:$B$7,MATCH(BF98,Справочники!$A$4:$A$7,0)),""))</f>
        <v>68.5</v>
      </c>
      <c r="BH98" s="90" t="str">
        <f aca="false">IF(N(BN98)&gt;0,ROUND(SUMIF(ЗАКАЗЫ!$F$3:$F$500,$A98,ЗАКАЗЫ!$Y$3:$Y$500)/BN98,0),IF(OR(BE98="",BG98=""),"",ROUND(BE98*BG98*(1+Справочники!$B$10),0)))</f>
        <v/>
      </c>
      <c r="BI98" s="92" t="str">
        <f aca="false">IF(OR(AU98="",BH98="",AU98=0),"",(AU98-BH98)/AU98)</f>
        <v/>
      </c>
      <c r="BJ98" s="81"/>
      <c r="BK98" s="83"/>
      <c r="BL98" s="43" t="str">
        <f aca="false">IFERROR(INDEX(ЗАКАЗЫ!$N$3:$N$500,MATCH($A98,ЗАКАЗЫ!$F$3:$F$500,0)),"")</f>
        <v/>
      </c>
      <c r="BM98" s="8" t="str">
        <f aca="false">IF(BL98="","",IFERROR(VLOOKUP(BL98,'ТН ВЭД'!$A$4:$C$40,3,0),""))</f>
        <v/>
      </c>
      <c r="BN98" s="7" t="str">
        <f aca="false">IF(COUNTIF(ЗАКАЗЫ!$F$3:$F$500,$A98)=0,"",SUMIF(ЗАКАЗЫ!$F$3:$F$500,$A98,ЗАКАЗЫ!$J$3:$J$500))</f>
        <v/>
      </c>
      <c r="BO98" s="7" t="str">
        <f aca="false">IF(BN98="","",SUMIF(ЗАКАЗЫ!$F$3:$F$500,$A98,ЗАКАЗЫ!$AL$3:$AL$500))</f>
        <v/>
      </c>
      <c r="BP98" s="7" t="str">
        <f aca="false">IF(BN98="","",BN98-BO98)</f>
        <v/>
      </c>
      <c r="BQ98" s="55" t="str">
        <f aca="false">IF(BN98="","",IF(BO98&gt;=BN98,"На складе",IF(BO98&gt;0,"Частично","Ждём")))</f>
        <v/>
      </c>
      <c r="BR98" s="43"/>
      <c r="BS98" s="47" t="str">
        <f aca="false">IF(BN98="","",IF(_xlfn.MAXIFS(ЗАКАЗЫ!$AK$3:$AK$500,ЗАКАЗЫ!$F$3:$F$500,$A98)=0,"",_xlfn.MAXIFS(ЗАКАЗЫ!$AK$3:$AK$500,ЗАКАЗЫ!$F$3:$F$500,$A98)))</f>
        <v/>
      </c>
    </row>
    <row r="99" customFormat="false" ht="15.75" hidden="false" customHeight="true" outlineLevel="0" collapsed="false">
      <c r="A99" s="80" t="s">
        <v>2639</v>
      </c>
      <c r="B99" s="81"/>
      <c r="C99" s="81"/>
      <c r="D99" s="81"/>
      <c r="E99" s="83"/>
      <c r="F99" s="81"/>
      <c r="G99" s="83"/>
      <c r="H99" s="83"/>
      <c r="I99" s="84" t="str">
        <f aca="false">IF(E99="","",A99&amp;"_1.jpg")</f>
        <v/>
      </c>
      <c r="J99" s="84" t="str">
        <f aca="false">IF(E99="","",A99&amp;"_2.jpg; "&amp;A99&amp;"_3.jpg")</f>
        <v/>
      </c>
      <c r="K99" s="84" t="str">
        <f aca="false">IF(E99="","",A99&amp;"_schema.jpg")</f>
        <v/>
      </c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 t="s">
        <v>96</v>
      </c>
      <c r="W99" s="81"/>
      <c r="X99" s="81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6" t="str">
        <f aca="false">IF(SUM(Y99:AJ99)=0,"",SUM(Y99:AJ99))</f>
        <v/>
      </c>
      <c r="AL99" s="84" t="str">
        <f aca="false">MID(IF(N(Y99)&gt;0,", "&amp;Y$2,"")&amp;IF(N(Z99)&gt;0,", "&amp;Z$2,"")&amp;IF(N(AA99)&gt;0,", "&amp;AA$2,"")&amp;IF(N(AB99)&gt;0,", "&amp;AB$2,"")&amp;IF(N(AC99)&gt;0,", "&amp;AC$2,"")&amp;IF(N(AD99)&gt;0,", "&amp;AD$2,"")&amp;IF(N(AE99)&gt;0,", "&amp;AE$2,"")&amp;IF(N(AF99)&gt;0,", "&amp;AF$2,"")&amp;IF(N(AG99)&gt;0,", "&amp;AG$2,"")&amp;IF(N(AH99)&gt;0,", "&amp;AH$2,"")&amp;IF(N(AI99)&gt;0,", "&amp;AI$2,"")&amp;IF(N(AJ99)&gt;0,", "&amp;AJ$2,""),3,999)</f>
        <v/>
      </c>
      <c r="AM99" s="87" t="str">
        <f aca="false">IF(E99="","",MID(IF(N(Y99)&gt;0,", "&amp;A99&amp;"-"&amp;Y$2,"")&amp;IF(N(Z99)&gt;0,", "&amp;A99&amp;"-"&amp;Z$2,"")&amp;IF(N(AA99)&gt;0,", "&amp;A99&amp;"-"&amp;AA$2,"")&amp;IF(N(AB99)&gt;0,", "&amp;A99&amp;"-"&amp;AB$2,"")&amp;IF(N(AC99)&gt;0,", "&amp;A99&amp;"-"&amp;AC$2,"")&amp;IF(N(AD99)&gt;0,", "&amp;A99&amp;"-"&amp;AD$2,"")&amp;IF(N(AE99)&gt;0,", "&amp;A99&amp;"-"&amp;AE$2,"")&amp;IF(N(AF99)&gt;0,", "&amp;A99&amp;"-"&amp;AF$2,"")&amp;IF(N(AG99)&gt;0,", "&amp;A99&amp;"-"&amp;AG$2,"")&amp;IF(N(AH99)&gt;0,", "&amp;A99&amp;"-"&amp;AH$2,"")&amp;IF(N(AI99)&gt;0,", "&amp;A99&amp;"-"&amp;AI$2,"")&amp;IF(N(AJ99)&gt;0,", "&amp;A99&amp;"-"&amp;AJ$2,""),3,999))</f>
        <v/>
      </c>
      <c r="AN99" s="81"/>
      <c r="AO99" s="88"/>
      <c r="AP99" s="89" t="str">
        <f aca="false">IF(AO99="","",ROUND(AO99/(1+Справочники!$B$13),2))</f>
        <v/>
      </c>
      <c r="AQ99" s="90" t="str">
        <f aca="false" t="array" ref="AQ99:AQ99">IF(AP99="","",AP99*INDEX(Справочники!$B$4:$B$7,MATCH("RUB",Справочники!$A$4:$A$7,0)))</f>
        <v/>
      </c>
      <c r="AR99" s="90" t="str">
        <f aca="false">IF(AQ99="","",ROUND(AQ99*(1+Справочники!$B$12),0))</f>
        <v/>
      </c>
      <c r="AS99" s="90" t="str">
        <f aca="false">IF(AR99="","",ROUND(AR99*(1-Справочники!$B$11),0))</f>
        <v/>
      </c>
      <c r="AT99" s="88"/>
      <c r="AU99" s="90" t="str">
        <f aca="false">IF(AT99="","",ROUND(AT99/(1+Справочники!$B$12),0))</f>
        <v/>
      </c>
      <c r="AV99" s="90" t="str">
        <f aca="false">IF(AT99="","",ROUND(AT99*(1-Справочники!$B$15),0))</f>
        <v/>
      </c>
      <c r="AW99" s="90" t="str">
        <f aca="false">IF(AT99="","",ROUND(AT99*(1-Справочники!$B$16),0))</f>
        <v/>
      </c>
      <c r="AX99" s="90" t="str">
        <f aca="false">IF(AT99="","",ROUND(AT99*(1-Справочники!$B$17),0))</f>
        <v/>
      </c>
      <c r="AY99" s="90" t="str">
        <f aca="false">IF(AT99="","",ROUND(AT99*(1-Справочники!$B$18),0))</f>
        <v/>
      </c>
      <c r="AZ99" s="90" t="str">
        <f aca="false">IF(AT99="","",ROUND(AT99*(1-Справочники!$B$19),0))</f>
        <v/>
      </c>
      <c r="BA99" s="81"/>
      <c r="BB99" s="81"/>
      <c r="BC99" s="81"/>
      <c r="BD99" s="81"/>
      <c r="BE99" s="91"/>
      <c r="BF99" s="81" t="s">
        <v>103</v>
      </c>
      <c r="BG99" s="89" t="n">
        <f aca="false" t="array" ref="BG99:BG99">IF(BF99="","",IFERROR(INDEX(Справочники!$B$4:$B$7,MATCH(BF99,Справочники!$A$4:$A$7,0)),""))</f>
        <v>68.5</v>
      </c>
      <c r="BH99" s="90" t="str">
        <f aca="false">IF(N(BN99)&gt;0,ROUND(SUMIF(ЗАКАЗЫ!$F$3:$F$500,$A99,ЗАКАЗЫ!$Y$3:$Y$500)/BN99,0),IF(OR(BE99="",BG99=""),"",ROUND(BE99*BG99*(1+Справочники!$B$10),0)))</f>
        <v/>
      </c>
      <c r="BI99" s="92" t="str">
        <f aca="false">IF(OR(AU99="",BH99="",AU99=0),"",(AU99-BH99)/AU99)</f>
        <v/>
      </c>
      <c r="BJ99" s="81"/>
      <c r="BK99" s="83"/>
      <c r="BL99" s="43" t="str">
        <f aca="false">IFERROR(INDEX(ЗАКАЗЫ!$N$3:$N$500,MATCH($A99,ЗАКАЗЫ!$F$3:$F$500,0)),"")</f>
        <v/>
      </c>
      <c r="BM99" s="8" t="str">
        <f aca="false">IF(BL99="","",IFERROR(VLOOKUP(BL99,'ТН ВЭД'!$A$4:$C$40,3,0),""))</f>
        <v/>
      </c>
      <c r="BN99" s="7" t="str">
        <f aca="false">IF(COUNTIF(ЗАКАЗЫ!$F$3:$F$500,$A99)=0,"",SUMIF(ЗАКАЗЫ!$F$3:$F$500,$A99,ЗАКАЗЫ!$J$3:$J$500))</f>
        <v/>
      </c>
      <c r="BO99" s="7" t="str">
        <f aca="false">IF(BN99="","",SUMIF(ЗАКАЗЫ!$F$3:$F$500,$A99,ЗАКАЗЫ!$AL$3:$AL$500))</f>
        <v/>
      </c>
      <c r="BP99" s="7" t="str">
        <f aca="false">IF(BN99="","",BN99-BO99)</f>
        <v/>
      </c>
      <c r="BQ99" s="55" t="str">
        <f aca="false">IF(BN99="","",IF(BO99&gt;=BN99,"На складе",IF(BO99&gt;0,"Частично","Ждём")))</f>
        <v/>
      </c>
      <c r="BR99" s="43"/>
      <c r="BS99" s="47" t="str">
        <f aca="false">IF(BN99="","",IF(_xlfn.MAXIFS(ЗАКАЗЫ!$AK$3:$AK$500,ЗАКАЗЫ!$F$3:$F$500,$A99)=0,"",_xlfn.MAXIFS(ЗАКАЗЫ!$AK$3:$AK$500,ЗАКАЗЫ!$F$3:$F$500,$A99)))</f>
        <v/>
      </c>
    </row>
    <row r="100" customFormat="false" ht="15.75" hidden="false" customHeight="true" outlineLevel="0" collapsed="false">
      <c r="A100" s="80" t="s">
        <v>2640</v>
      </c>
      <c r="B100" s="81"/>
      <c r="C100" s="81"/>
      <c r="D100" s="81"/>
      <c r="E100" s="83"/>
      <c r="F100" s="81"/>
      <c r="G100" s="83"/>
      <c r="H100" s="83"/>
      <c r="I100" s="84" t="str">
        <f aca="false">IF(E100="","",A100&amp;"_1.jpg")</f>
        <v/>
      </c>
      <c r="J100" s="84" t="str">
        <f aca="false">IF(E100="","",A100&amp;"_2.jpg; "&amp;A100&amp;"_3.jpg")</f>
        <v/>
      </c>
      <c r="K100" s="84" t="str">
        <f aca="false">IF(E100="","",A100&amp;"_schema.jpg")</f>
        <v/>
      </c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 t="s">
        <v>96</v>
      </c>
      <c r="W100" s="81"/>
      <c r="X100" s="81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6" t="str">
        <f aca="false">IF(SUM(Y100:AJ100)=0,"",SUM(Y100:AJ100))</f>
        <v/>
      </c>
      <c r="AL100" s="84" t="str">
        <f aca="false">MID(IF(N(Y100)&gt;0,", "&amp;Y$2,"")&amp;IF(N(Z100)&gt;0,", "&amp;Z$2,"")&amp;IF(N(AA100)&gt;0,", "&amp;AA$2,"")&amp;IF(N(AB100)&gt;0,", "&amp;AB$2,"")&amp;IF(N(AC100)&gt;0,", "&amp;AC$2,"")&amp;IF(N(AD100)&gt;0,", "&amp;AD$2,"")&amp;IF(N(AE100)&gt;0,", "&amp;AE$2,"")&amp;IF(N(AF100)&gt;0,", "&amp;AF$2,"")&amp;IF(N(AG100)&gt;0,", "&amp;AG$2,"")&amp;IF(N(AH100)&gt;0,", "&amp;AH$2,"")&amp;IF(N(AI100)&gt;0,", "&amp;AI$2,"")&amp;IF(N(AJ100)&gt;0,", "&amp;AJ$2,""),3,999)</f>
        <v/>
      </c>
      <c r="AM100" s="87" t="str">
        <f aca="false">IF(E100="","",MID(IF(N(Y100)&gt;0,", "&amp;A100&amp;"-"&amp;Y$2,"")&amp;IF(N(Z100)&gt;0,", "&amp;A100&amp;"-"&amp;Z$2,"")&amp;IF(N(AA100)&gt;0,", "&amp;A100&amp;"-"&amp;AA$2,"")&amp;IF(N(AB100)&gt;0,", "&amp;A100&amp;"-"&amp;AB$2,"")&amp;IF(N(AC100)&gt;0,", "&amp;A100&amp;"-"&amp;AC$2,"")&amp;IF(N(AD100)&gt;0,", "&amp;A100&amp;"-"&amp;AD$2,"")&amp;IF(N(AE100)&gt;0,", "&amp;A100&amp;"-"&amp;AE$2,"")&amp;IF(N(AF100)&gt;0,", "&amp;A100&amp;"-"&amp;AF$2,"")&amp;IF(N(AG100)&gt;0,", "&amp;A100&amp;"-"&amp;AG$2,"")&amp;IF(N(AH100)&gt;0,", "&amp;A100&amp;"-"&amp;AH$2,"")&amp;IF(N(AI100)&gt;0,", "&amp;A100&amp;"-"&amp;AI$2,"")&amp;IF(N(AJ100)&gt;0,", "&amp;A100&amp;"-"&amp;AJ$2,""),3,999))</f>
        <v/>
      </c>
      <c r="AN100" s="81"/>
      <c r="AO100" s="88"/>
      <c r="AP100" s="89" t="str">
        <f aca="false">IF(AO100="","",ROUND(AO100/(1+Справочники!$B$13),2))</f>
        <v/>
      </c>
      <c r="AQ100" s="90" t="str">
        <f aca="false" t="array" ref="AQ100:AQ100">IF(AP100="","",AP100*INDEX(Справочники!$B$4:$B$7,MATCH("RUB",Справочники!$A$4:$A$7,0)))</f>
        <v/>
      </c>
      <c r="AR100" s="90" t="str">
        <f aca="false">IF(AQ100="","",ROUND(AQ100*(1+Справочники!$B$12),0))</f>
        <v/>
      </c>
      <c r="AS100" s="90" t="str">
        <f aca="false">IF(AR100="","",ROUND(AR100*(1-Справочники!$B$11),0))</f>
        <v/>
      </c>
      <c r="AT100" s="88"/>
      <c r="AU100" s="90" t="str">
        <f aca="false">IF(AT100="","",ROUND(AT100/(1+Справочники!$B$12),0))</f>
        <v/>
      </c>
      <c r="AV100" s="90" t="str">
        <f aca="false">IF(AT100="","",ROUND(AT100*(1-Справочники!$B$15),0))</f>
        <v/>
      </c>
      <c r="AW100" s="90" t="str">
        <f aca="false">IF(AT100="","",ROUND(AT100*(1-Справочники!$B$16),0))</f>
        <v/>
      </c>
      <c r="AX100" s="90" t="str">
        <f aca="false">IF(AT100="","",ROUND(AT100*(1-Справочники!$B$17),0))</f>
        <v/>
      </c>
      <c r="AY100" s="90" t="str">
        <f aca="false">IF(AT100="","",ROUND(AT100*(1-Справочники!$B$18),0))</f>
        <v/>
      </c>
      <c r="AZ100" s="90" t="str">
        <f aca="false">IF(AT100="","",ROUND(AT100*(1-Справочники!$B$19),0))</f>
        <v/>
      </c>
      <c r="BA100" s="81"/>
      <c r="BB100" s="81"/>
      <c r="BC100" s="81"/>
      <c r="BD100" s="81"/>
      <c r="BE100" s="91"/>
      <c r="BF100" s="81" t="s">
        <v>103</v>
      </c>
      <c r="BG100" s="89" t="n">
        <f aca="false" t="array" ref="BG100:BG100">IF(BF100="","",IFERROR(INDEX(Справочники!$B$4:$B$7,MATCH(BF100,Справочники!$A$4:$A$7,0)),""))</f>
        <v>68.5</v>
      </c>
      <c r="BH100" s="90" t="str">
        <f aca="false">IF(N(BN100)&gt;0,ROUND(SUMIF(ЗАКАЗЫ!$F$3:$F$500,$A100,ЗАКАЗЫ!$Y$3:$Y$500)/BN100,0),IF(OR(BE100="",BG100=""),"",ROUND(BE100*BG100*(1+Справочники!$B$10),0)))</f>
        <v/>
      </c>
      <c r="BI100" s="92" t="str">
        <f aca="false">IF(OR(AU100="",BH100="",AU100=0),"",(AU100-BH100)/AU100)</f>
        <v/>
      </c>
      <c r="BJ100" s="81"/>
      <c r="BK100" s="83"/>
      <c r="BL100" s="43" t="str">
        <f aca="false">IFERROR(INDEX(ЗАКАЗЫ!$N$3:$N$500,MATCH($A100,ЗАКАЗЫ!$F$3:$F$500,0)),"")</f>
        <v/>
      </c>
      <c r="BM100" s="8" t="str">
        <f aca="false">IF(BL100="","",IFERROR(VLOOKUP(BL100,'ТН ВЭД'!$A$4:$C$40,3,0),""))</f>
        <v/>
      </c>
      <c r="BN100" s="7" t="str">
        <f aca="false">IF(COUNTIF(ЗАКАЗЫ!$F$3:$F$500,$A100)=0,"",SUMIF(ЗАКАЗЫ!$F$3:$F$500,$A100,ЗАКАЗЫ!$J$3:$J$500))</f>
        <v/>
      </c>
      <c r="BO100" s="7" t="str">
        <f aca="false">IF(BN100="","",SUMIF(ЗАКАЗЫ!$F$3:$F$500,$A100,ЗАКАЗЫ!$AL$3:$AL$500))</f>
        <v/>
      </c>
      <c r="BP100" s="7" t="str">
        <f aca="false">IF(BN100="","",BN100-BO100)</f>
        <v/>
      </c>
      <c r="BQ100" s="55" t="str">
        <f aca="false">IF(BN100="","",IF(BO100&gt;=BN100,"На складе",IF(BO100&gt;0,"Частично","Ждём")))</f>
        <v/>
      </c>
      <c r="BR100" s="43"/>
      <c r="BS100" s="47" t="str">
        <f aca="false">IF(BN100="","",IF(_xlfn.MAXIFS(ЗАКАЗЫ!$AK$3:$AK$500,ЗАКАЗЫ!$F$3:$F$500,$A100)=0,"",_xlfn.MAXIFS(ЗАКАЗЫ!$AK$3:$AK$500,ЗАКАЗЫ!$F$3:$F$500,$A100)))</f>
        <v/>
      </c>
    </row>
    <row r="101" customFormat="false" ht="15.75" hidden="false" customHeight="true" outlineLevel="0" collapsed="false">
      <c r="A101" s="80" t="s">
        <v>2641</v>
      </c>
      <c r="B101" s="81"/>
      <c r="C101" s="81"/>
      <c r="D101" s="81"/>
      <c r="E101" s="83"/>
      <c r="F101" s="81"/>
      <c r="G101" s="83"/>
      <c r="H101" s="83"/>
      <c r="I101" s="84" t="str">
        <f aca="false">IF(E101="","",A101&amp;"_1.jpg")</f>
        <v/>
      </c>
      <c r="J101" s="84" t="str">
        <f aca="false">IF(E101="","",A101&amp;"_2.jpg; "&amp;A101&amp;"_3.jpg")</f>
        <v/>
      </c>
      <c r="K101" s="84" t="str">
        <f aca="false">IF(E101="","",A101&amp;"_schema.jpg")</f>
        <v/>
      </c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 t="s">
        <v>96</v>
      </c>
      <c r="W101" s="81"/>
      <c r="X101" s="81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6" t="str">
        <f aca="false">IF(SUM(Y101:AJ101)=0,"",SUM(Y101:AJ101))</f>
        <v/>
      </c>
      <c r="AL101" s="84" t="str">
        <f aca="false">MID(IF(N(Y101)&gt;0,", "&amp;Y$2,"")&amp;IF(N(Z101)&gt;0,", "&amp;Z$2,"")&amp;IF(N(AA101)&gt;0,", "&amp;AA$2,"")&amp;IF(N(AB101)&gt;0,", "&amp;AB$2,"")&amp;IF(N(AC101)&gt;0,", "&amp;AC$2,"")&amp;IF(N(AD101)&gt;0,", "&amp;AD$2,"")&amp;IF(N(AE101)&gt;0,", "&amp;AE$2,"")&amp;IF(N(AF101)&gt;0,", "&amp;AF$2,"")&amp;IF(N(AG101)&gt;0,", "&amp;AG$2,"")&amp;IF(N(AH101)&gt;0,", "&amp;AH$2,"")&amp;IF(N(AI101)&gt;0,", "&amp;AI$2,"")&amp;IF(N(AJ101)&gt;0,", "&amp;AJ$2,""),3,999)</f>
        <v/>
      </c>
      <c r="AM101" s="87" t="str">
        <f aca="false">IF(E101="","",MID(IF(N(Y101)&gt;0,", "&amp;A101&amp;"-"&amp;Y$2,"")&amp;IF(N(Z101)&gt;0,", "&amp;A101&amp;"-"&amp;Z$2,"")&amp;IF(N(AA101)&gt;0,", "&amp;A101&amp;"-"&amp;AA$2,"")&amp;IF(N(AB101)&gt;0,", "&amp;A101&amp;"-"&amp;AB$2,"")&amp;IF(N(AC101)&gt;0,", "&amp;A101&amp;"-"&amp;AC$2,"")&amp;IF(N(AD101)&gt;0,", "&amp;A101&amp;"-"&amp;AD$2,"")&amp;IF(N(AE101)&gt;0,", "&amp;A101&amp;"-"&amp;AE$2,"")&amp;IF(N(AF101)&gt;0,", "&amp;A101&amp;"-"&amp;AF$2,"")&amp;IF(N(AG101)&gt;0,", "&amp;A101&amp;"-"&amp;AG$2,"")&amp;IF(N(AH101)&gt;0,", "&amp;A101&amp;"-"&amp;AH$2,"")&amp;IF(N(AI101)&gt;0,", "&amp;A101&amp;"-"&amp;AI$2,"")&amp;IF(N(AJ101)&gt;0,", "&amp;A101&amp;"-"&amp;AJ$2,""),3,999))</f>
        <v/>
      </c>
      <c r="AN101" s="81"/>
      <c r="AO101" s="88"/>
      <c r="AP101" s="89" t="str">
        <f aca="false">IF(AO101="","",ROUND(AO101/(1+Справочники!$B$13),2))</f>
        <v/>
      </c>
      <c r="AQ101" s="90" t="str">
        <f aca="false" t="array" ref="AQ101:AQ101">IF(AP101="","",AP101*INDEX(Справочники!$B$4:$B$7,MATCH("RUB",Справочники!$A$4:$A$7,0)))</f>
        <v/>
      </c>
      <c r="AR101" s="90" t="str">
        <f aca="false">IF(AQ101="","",ROUND(AQ101*(1+Справочники!$B$12),0))</f>
        <v/>
      </c>
      <c r="AS101" s="90" t="str">
        <f aca="false">IF(AR101="","",ROUND(AR101*(1-Справочники!$B$11),0))</f>
        <v/>
      </c>
      <c r="AT101" s="88"/>
      <c r="AU101" s="90" t="str">
        <f aca="false">IF(AT101="","",ROUND(AT101/(1+Справочники!$B$12),0))</f>
        <v/>
      </c>
      <c r="AV101" s="90" t="str">
        <f aca="false">IF(AT101="","",ROUND(AT101*(1-Справочники!$B$15),0))</f>
        <v/>
      </c>
      <c r="AW101" s="90" t="str">
        <f aca="false">IF(AT101="","",ROUND(AT101*(1-Справочники!$B$16),0))</f>
        <v/>
      </c>
      <c r="AX101" s="90" t="str">
        <f aca="false">IF(AT101="","",ROUND(AT101*(1-Справочники!$B$17),0))</f>
        <v/>
      </c>
      <c r="AY101" s="90" t="str">
        <f aca="false">IF(AT101="","",ROUND(AT101*(1-Справочники!$B$18),0))</f>
        <v/>
      </c>
      <c r="AZ101" s="90" t="str">
        <f aca="false">IF(AT101="","",ROUND(AT101*(1-Справочники!$B$19),0))</f>
        <v/>
      </c>
      <c r="BA101" s="81"/>
      <c r="BB101" s="81"/>
      <c r="BC101" s="81"/>
      <c r="BD101" s="81"/>
      <c r="BE101" s="91"/>
      <c r="BF101" s="81" t="s">
        <v>103</v>
      </c>
      <c r="BG101" s="89" t="n">
        <f aca="false" t="array" ref="BG101:BG101">IF(BF101="","",IFERROR(INDEX(Справочники!$B$4:$B$7,MATCH(BF101,Справочники!$A$4:$A$7,0)),""))</f>
        <v>68.5</v>
      </c>
      <c r="BH101" s="90" t="str">
        <f aca="false">IF(N(BN101)&gt;0,ROUND(SUMIF(ЗАКАЗЫ!$F$3:$F$500,$A101,ЗАКАЗЫ!$Y$3:$Y$500)/BN101,0),IF(OR(BE101="",BG101=""),"",ROUND(BE101*BG101*(1+Справочники!$B$10),0)))</f>
        <v/>
      </c>
      <c r="BI101" s="92" t="str">
        <f aca="false">IF(OR(AU101="",BH101="",AU101=0),"",(AU101-BH101)/AU101)</f>
        <v/>
      </c>
      <c r="BJ101" s="81"/>
      <c r="BK101" s="83"/>
      <c r="BL101" s="43" t="str">
        <f aca="false">IFERROR(INDEX(ЗАКАЗЫ!$N$3:$N$500,MATCH($A101,ЗАКАЗЫ!$F$3:$F$500,0)),"")</f>
        <v/>
      </c>
      <c r="BM101" s="8" t="str">
        <f aca="false">IF(BL101="","",IFERROR(VLOOKUP(BL101,'ТН ВЭД'!$A$4:$C$40,3,0),""))</f>
        <v/>
      </c>
      <c r="BN101" s="7" t="str">
        <f aca="false">IF(COUNTIF(ЗАКАЗЫ!$F$3:$F$500,$A101)=0,"",SUMIF(ЗАКАЗЫ!$F$3:$F$500,$A101,ЗАКАЗЫ!$J$3:$J$500))</f>
        <v/>
      </c>
      <c r="BO101" s="7" t="str">
        <f aca="false">IF(BN101="","",SUMIF(ЗАКАЗЫ!$F$3:$F$500,$A101,ЗАКАЗЫ!$AL$3:$AL$500))</f>
        <v/>
      </c>
      <c r="BP101" s="7" t="str">
        <f aca="false">IF(BN101="","",BN101-BO101)</f>
        <v/>
      </c>
      <c r="BQ101" s="55" t="str">
        <f aca="false">IF(BN101="","",IF(BO101&gt;=BN101,"На складе",IF(BO101&gt;0,"Частично","Ждём")))</f>
        <v/>
      </c>
      <c r="BR101" s="43"/>
      <c r="BS101" s="47" t="str">
        <f aca="false">IF(BN101="","",IF(_xlfn.MAXIFS(ЗАКАЗЫ!$AK$3:$AK$500,ЗАКАЗЫ!$F$3:$F$500,$A101)=0,"",_xlfn.MAXIFS(ЗАКАЗЫ!$AK$3:$AK$500,ЗАКАЗЫ!$F$3:$F$500,$A101)))</f>
        <v/>
      </c>
    </row>
    <row r="102" customFormat="false" ht="15.75" hidden="false" customHeight="true" outlineLevel="0" collapsed="false">
      <c r="A102" s="80" t="s">
        <v>2642</v>
      </c>
      <c r="B102" s="81"/>
      <c r="C102" s="81"/>
      <c r="D102" s="81"/>
      <c r="E102" s="83"/>
      <c r="F102" s="81"/>
      <c r="G102" s="83"/>
      <c r="H102" s="83"/>
      <c r="I102" s="84" t="str">
        <f aca="false">IF(E102="","",A102&amp;"_1.jpg")</f>
        <v/>
      </c>
      <c r="J102" s="84" t="str">
        <f aca="false">IF(E102="","",A102&amp;"_2.jpg; "&amp;A102&amp;"_3.jpg")</f>
        <v/>
      </c>
      <c r="K102" s="84" t="str">
        <f aca="false">IF(E102="","",A102&amp;"_schema.jpg")</f>
        <v/>
      </c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 t="s">
        <v>96</v>
      </c>
      <c r="W102" s="81"/>
      <c r="X102" s="81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6" t="str">
        <f aca="false">IF(SUM(Y102:AJ102)=0,"",SUM(Y102:AJ102))</f>
        <v/>
      </c>
      <c r="AL102" s="84" t="str">
        <f aca="false">MID(IF(N(Y102)&gt;0,", "&amp;Y$2,"")&amp;IF(N(Z102)&gt;0,", "&amp;Z$2,"")&amp;IF(N(AA102)&gt;0,", "&amp;AA$2,"")&amp;IF(N(AB102)&gt;0,", "&amp;AB$2,"")&amp;IF(N(AC102)&gt;0,", "&amp;AC$2,"")&amp;IF(N(AD102)&gt;0,", "&amp;AD$2,"")&amp;IF(N(AE102)&gt;0,", "&amp;AE$2,"")&amp;IF(N(AF102)&gt;0,", "&amp;AF$2,"")&amp;IF(N(AG102)&gt;0,", "&amp;AG$2,"")&amp;IF(N(AH102)&gt;0,", "&amp;AH$2,"")&amp;IF(N(AI102)&gt;0,", "&amp;AI$2,"")&amp;IF(N(AJ102)&gt;0,", "&amp;AJ$2,""),3,999)</f>
        <v/>
      </c>
      <c r="AM102" s="87" t="str">
        <f aca="false">IF(E102="","",MID(IF(N(Y102)&gt;0,", "&amp;A102&amp;"-"&amp;Y$2,"")&amp;IF(N(Z102)&gt;0,", "&amp;A102&amp;"-"&amp;Z$2,"")&amp;IF(N(AA102)&gt;0,", "&amp;A102&amp;"-"&amp;AA$2,"")&amp;IF(N(AB102)&gt;0,", "&amp;A102&amp;"-"&amp;AB$2,"")&amp;IF(N(AC102)&gt;0,", "&amp;A102&amp;"-"&amp;AC$2,"")&amp;IF(N(AD102)&gt;0,", "&amp;A102&amp;"-"&amp;AD$2,"")&amp;IF(N(AE102)&gt;0,", "&amp;A102&amp;"-"&amp;AE$2,"")&amp;IF(N(AF102)&gt;0,", "&amp;A102&amp;"-"&amp;AF$2,"")&amp;IF(N(AG102)&gt;0,", "&amp;A102&amp;"-"&amp;AG$2,"")&amp;IF(N(AH102)&gt;0,", "&amp;A102&amp;"-"&amp;AH$2,"")&amp;IF(N(AI102)&gt;0,", "&amp;A102&amp;"-"&amp;AI$2,"")&amp;IF(N(AJ102)&gt;0,", "&amp;A102&amp;"-"&amp;AJ$2,""),3,999))</f>
        <v/>
      </c>
      <c r="AN102" s="81"/>
      <c r="AO102" s="88"/>
      <c r="AP102" s="89" t="str">
        <f aca="false">IF(AO102="","",ROUND(AO102/(1+Справочники!$B$13),2))</f>
        <v/>
      </c>
      <c r="AQ102" s="90" t="str">
        <f aca="false" t="array" ref="AQ102:AQ102">IF(AP102="","",AP102*INDEX(Справочники!$B$4:$B$7,MATCH("RUB",Справочники!$A$4:$A$7,0)))</f>
        <v/>
      </c>
      <c r="AR102" s="90" t="str">
        <f aca="false">IF(AQ102="","",ROUND(AQ102*(1+Справочники!$B$12),0))</f>
        <v/>
      </c>
      <c r="AS102" s="90" t="str">
        <f aca="false">IF(AR102="","",ROUND(AR102*(1-Справочники!$B$11),0))</f>
        <v/>
      </c>
      <c r="AT102" s="88"/>
      <c r="AU102" s="90" t="str">
        <f aca="false">IF(AT102="","",ROUND(AT102/(1+Справочники!$B$12),0))</f>
        <v/>
      </c>
      <c r="AV102" s="90" t="str">
        <f aca="false">IF(AT102="","",ROUND(AT102*(1-Справочники!$B$15),0))</f>
        <v/>
      </c>
      <c r="AW102" s="90" t="str">
        <f aca="false">IF(AT102="","",ROUND(AT102*(1-Справочники!$B$16),0))</f>
        <v/>
      </c>
      <c r="AX102" s="90" t="str">
        <f aca="false">IF(AT102="","",ROUND(AT102*(1-Справочники!$B$17),0))</f>
        <v/>
      </c>
      <c r="AY102" s="90" t="str">
        <f aca="false">IF(AT102="","",ROUND(AT102*(1-Справочники!$B$18),0))</f>
        <v/>
      </c>
      <c r="AZ102" s="90" t="str">
        <f aca="false">IF(AT102="","",ROUND(AT102*(1-Справочники!$B$19),0))</f>
        <v/>
      </c>
      <c r="BA102" s="81"/>
      <c r="BB102" s="81"/>
      <c r="BC102" s="81"/>
      <c r="BD102" s="81"/>
      <c r="BE102" s="91"/>
      <c r="BF102" s="81" t="s">
        <v>103</v>
      </c>
      <c r="BG102" s="89" t="n">
        <f aca="false" t="array" ref="BG102:BG102">IF(BF102="","",IFERROR(INDEX(Справочники!$B$4:$B$7,MATCH(BF102,Справочники!$A$4:$A$7,0)),""))</f>
        <v>68.5</v>
      </c>
      <c r="BH102" s="90" t="str">
        <f aca="false">IF(N(BN102)&gt;0,ROUND(SUMIF(ЗАКАЗЫ!$F$3:$F$500,$A102,ЗАКАЗЫ!$Y$3:$Y$500)/BN102,0),IF(OR(BE102="",BG102=""),"",ROUND(BE102*BG102*(1+Справочники!$B$10),0)))</f>
        <v/>
      </c>
      <c r="BI102" s="92" t="str">
        <f aca="false">IF(OR(AU102="",BH102="",AU102=0),"",(AU102-BH102)/AU102)</f>
        <v/>
      </c>
      <c r="BJ102" s="81"/>
      <c r="BK102" s="83"/>
      <c r="BL102" s="43" t="str">
        <f aca="false">IFERROR(INDEX(ЗАКАЗЫ!$N$3:$N$500,MATCH($A102,ЗАКАЗЫ!$F$3:$F$500,0)),"")</f>
        <v/>
      </c>
      <c r="BM102" s="8" t="str">
        <f aca="false">IF(BL102="","",IFERROR(VLOOKUP(BL102,'ТН ВЭД'!$A$4:$C$40,3,0),""))</f>
        <v/>
      </c>
      <c r="BN102" s="7" t="str">
        <f aca="false">IF(COUNTIF(ЗАКАЗЫ!$F$3:$F$500,$A102)=0,"",SUMIF(ЗАКАЗЫ!$F$3:$F$500,$A102,ЗАКАЗЫ!$J$3:$J$500))</f>
        <v/>
      </c>
      <c r="BO102" s="7" t="str">
        <f aca="false">IF(BN102="","",SUMIF(ЗАКАЗЫ!$F$3:$F$500,$A102,ЗАКАЗЫ!$AL$3:$AL$500))</f>
        <v/>
      </c>
      <c r="BP102" s="7" t="str">
        <f aca="false">IF(BN102="","",BN102-BO102)</f>
        <v/>
      </c>
      <c r="BQ102" s="55" t="str">
        <f aca="false">IF(BN102="","",IF(BO102&gt;=BN102,"На складе",IF(BO102&gt;0,"Частично","Ждём")))</f>
        <v/>
      </c>
      <c r="BR102" s="43"/>
      <c r="BS102" s="47" t="str">
        <f aca="false">IF(BN102="","",IF(_xlfn.MAXIFS(ЗАКАЗЫ!$AK$3:$AK$500,ЗАКАЗЫ!$F$3:$F$500,$A102)=0,"",_xlfn.MAXIFS(ЗАКАЗЫ!$AK$3:$AK$500,ЗАКАЗЫ!$F$3:$F$500,$A102)))</f>
        <v/>
      </c>
    </row>
    <row r="103" customFormat="false" ht="15.75" hidden="false" customHeight="true" outlineLevel="0" collapsed="false">
      <c r="A103" s="80" t="s">
        <v>2643</v>
      </c>
      <c r="B103" s="81"/>
      <c r="C103" s="81"/>
      <c r="D103" s="81"/>
      <c r="E103" s="83"/>
      <c r="F103" s="81"/>
      <c r="G103" s="83"/>
      <c r="H103" s="83"/>
      <c r="I103" s="84" t="str">
        <f aca="false">IF(E103="","",A103&amp;"_1.jpg")</f>
        <v/>
      </c>
      <c r="J103" s="84" t="str">
        <f aca="false">IF(E103="","",A103&amp;"_2.jpg; "&amp;A103&amp;"_3.jpg")</f>
        <v/>
      </c>
      <c r="K103" s="84" t="str">
        <f aca="false">IF(E103="","",A103&amp;"_schema.jpg")</f>
        <v/>
      </c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 t="s">
        <v>96</v>
      </c>
      <c r="W103" s="81"/>
      <c r="X103" s="81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6" t="str">
        <f aca="false">IF(SUM(Y103:AJ103)=0,"",SUM(Y103:AJ103))</f>
        <v/>
      </c>
      <c r="AL103" s="84" t="str">
        <f aca="false">MID(IF(N(Y103)&gt;0,", "&amp;Y$2,"")&amp;IF(N(Z103)&gt;0,", "&amp;Z$2,"")&amp;IF(N(AA103)&gt;0,", "&amp;AA$2,"")&amp;IF(N(AB103)&gt;0,", "&amp;AB$2,"")&amp;IF(N(AC103)&gt;0,", "&amp;AC$2,"")&amp;IF(N(AD103)&gt;0,", "&amp;AD$2,"")&amp;IF(N(AE103)&gt;0,", "&amp;AE$2,"")&amp;IF(N(AF103)&gt;0,", "&amp;AF$2,"")&amp;IF(N(AG103)&gt;0,", "&amp;AG$2,"")&amp;IF(N(AH103)&gt;0,", "&amp;AH$2,"")&amp;IF(N(AI103)&gt;0,", "&amp;AI$2,"")&amp;IF(N(AJ103)&gt;0,", "&amp;AJ$2,""),3,999)</f>
        <v/>
      </c>
      <c r="AM103" s="87" t="str">
        <f aca="false">IF(E103="","",MID(IF(N(Y103)&gt;0,", "&amp;A103&amp;"-"&amp;Y$2,"")&amp;IF(N(Z103)&gt;0,", "&amp;A103&amp;"-"&amp;Z$2,"")&amp;IF(N(AA103)&gt;0,", "&amp;A103&amp;"-"&amp;AA$2,"")&amp;IF(N(AB103)&gt;0,", "&amp;A103&amp;"-"&amp;AB$2,"")&amp;IF(N(AC103)&gt;0,", "&amp;A103&amp;"-"&amp;AC$2,"")&amp;IF(N(AD103)&gt;0,", "&amp;A103&amp;"-"&amp;AD$2,"")&amp;IF(N(AE103)&gt;0,", "&amp;A103&amp;"-"&amp;AE$2,"")&amp;IF(N(AF103)&gt;0,", "&amp;A103&amp;"-"&amp;AF$2,"")&amp;IF(N(AG103)&gt;0,", "&amp;A103&amp;"-"&amp;AG$2,"")&amp;IF(N(AH103)&gt;0,", "&amp;A103&amp;"-"&amp;AH$2,"")&amp;IF(N(AI103)&gt;0,", "&amp;A103&amp;"-"&amp;AI$2,"")&amp;IF(N(AJ103)&gt;0,", "&amp;A103&amp;"-"&amp;AJ$2,""),3,999))</f>
        <v/>
      </c>
      <c r="AN103" s="81"/>
      <c r="AO103" s="88"/>
      <c r="AP103" s="89" t="str">
        <f aca="false">IF(AO103="","",ROUND(AO103/(1+Справочники!$B$13),2))</f>
        <v/>
      </c>
      <c r="AQ103" s="90" t="str">
        <f aca="false" t="array" ref="AQ103:AQ103">IF(AP103="","",AP103*INDEX(Справочники!$B$4:$B$7,MATCH("RUB",Справочники!$A$4:$A$7,0)))</f>
        <v/>
      </c>
      <c r="AR103" s="90" t="str">
        <f aca="false">IF(AQ103="","",ROUND(AQ103*(1+Справочники!$B$12),0))</f>
        <v/>
      </c>
      <c r="AS103" s="90" t="str">
        <f aca="false">IF(AR103="","",ROUND(AR103*(1-Справочники!$B$11),0))</f>
        <v/>
      </c>
      <c r="AT103" s="88"/>
      <c r="AU103" s="90" t="str">
        <f aca="false">IF(AT103="","",ROUND(AT103/(1+Справочники!$B$12),0))</f>
        <v/>
      </c>
      <c r="AV103" s="90" t="str">
        <f aca="false">IF(AT103="","",ROUND(AT103*(1-Справочники!$B$15),0))</f>
        <v/>
      </c>
      <c r="AW103" s="90" t="str">
        <f aca="false">IF(AT103="","",ROUND(AT103*(1-Справочники!$B$16),0))</f>
        <v/>
      </c>
      <c r="AX103" s="90" t="str">
        <f aca="false">IF(AT103="","",ROUND(AT103*(1-Справочники!$B$17),0))</f>
        <v/>
      </c>
      <c r="AY103" s="90" t="str">
        <f aca="false">IF(AT103="","",ROUND(AT103*(1-Справочники!$B$18),0))</f>
        <v/>
      </c>
      <c r="AZ103" s="90" t="str">
        <f aca="false">IF(AT103="","",ROUND(AT103*(1-Справочники!$B$19),0))</f>
        <v/>
      </c>
      <c r="BA103" s="81"/>
      <c r="BB103" s="81"/>
      <c r="BC103" s="81"/>
      <c r="BD103" s="81"/>
      <c r="BE103" s="91"/>
      <c r="BF103" s="81" t="s">
        <v>103</v>
      </c>
      <c r="BG103" s="89" t="n">
        <f aca="false" t="array" ref="BG103:BG103">IF(BF103="","",IFERROR(INDEX(Справочники!$B$4:$B$7,MATCH(BF103,Справочники!$A$4:$A$7,0)),""))</f>
        <v>68.5</v>
      </c>
      <c r="BH103" s="90" t="str">
        <f aca="false">IF(N(BN103)&gt;0,ROUND(SUMIF(ЗАКАЗЫ!$F$3:$F$500,$A103,ЗАКАЗЫ!$Y$3:$Y$500)/BN103,0),IF(OR(BE103="",BG103=""),"",ROUND(BE103*BG103*(1+Справочники!$B$10),0)))</f>
        <v/>
      </c>
      <c r="BI103" s="92" t="str">
        <f aca="false">IF(OR(AU103="",BH103="",AU103=0),"",(AU103-BH103)/AU103)</f>
        <v/>
      </c>
      <c r="BJ103" s="81"/>
      <c r="BK103" s="83"/>
      <c r="BL103" s="43" t="str">
        <f aca="false">IFERROR(INDEX(ЗАКАЗЫ!$N$3:$N$500,MATCH($A103,ЗАКАЗЫ!$F$3:$F$500,0)),"")</f>
        <v/>
      </c>
      <c r="BM103" s="8" t="str">
        <f aca="false">IF(BL103="","",IFERROR(VLOOKUP(BL103,'ТН ВЭД'!$A$4:$C$40,3,0),""))</f>
        <v/>
      </c>
      <c r="BN103" s="7" t="str">
        <f aca="false">IF(COUNTIF(ЗАКАЗЫ!$F$3:$F$500,$A103)=0,"",SUMIF(ЗАКАЗЫ!$F$3:$F$500,$A103,ЗАКАЗЫ!$J$3:$J$500))</f>
        <v/>
      </c>
      <c r="BO103" s="7" t="str">
        <f aca="false">IF(BN103="","",SUMIF(ЗАКАЗЫ!$F$3:$F$500,$A103,ЗАКАЗЫ!$AL$3:$AL$500))</f>
        <v/>
      </c>
      <c r="BP103" s="7" t="str">
        <f aca="false">IF(BN103="","",BN103-BO103)</f>
        <v/>
      </c>
      <c r="BQ103" s="55" t="str">
        <f aca="false">IF(BN103="","",IF(BO103&gt;=BN103,"На складе",IF(BO103&gt;0,"Частично","Ждём")))</f>
        <v/>
      </c>
      <c r="BR103" s="43"/>
      <c r="BS103" s="47" t="str">
        <f aca="false">IF(BN103="","",IF(_xlfn.MAXIFS(ЗАКАЗЫ!$AK$3:$AK$500,ЗАКАЗЫ!$F$3:$F$500,$A103)=0,"",_xlfn.MAXIFS(ЗАКАЗЫ!$AK$3:$AK$500,ЗАКАЗЫ!$F$3:$F$500,$A103)))</f>
        <v/>
      </c>
    </row>
    <row r="104" customFormat="false" ht="15.75" hidden="false" customHeight="true" outlineLevel="0" collapsed="false">
      <c r="A104" s="80" t="s">
        <v>2644</v>
      </c>
      <c r="B104" s="81"/>
      <c r="C104" s="81"/>
      <c r="D104" s="81"/>
      <c r="E104" s="83"/>
      <c r="F104" s="81"/>
      <c r="G104" s="83"/>
      <c r="H104" s="83"/>
      <c r="I104" s="84" t="str">
        <f aca="false">IF(E104="","",A104&amp;"_1.jpg")</f>
        <v/>
      </c>
      <c r="J104" s="84" t="str">
        <f aca="false">IF(E104="","",A104&amp;"_2.jpg; "&amp;A104&amp;"_3.jpg")</f>
        <v/>
      </c>
      <c r="K104" s="84" t="str">
        <f aca="false">IF(E104="","",A104&amp;"_schema.jpg")</f>
        <v/>
      </c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 t="s">
        <v>96</v>
      </c>
      <c r="W104" s="81"/>
      <c r="X104" s="81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6" t="str">
        <f aca="false">IF(SUM(Y104:AJ104)=0,"",SUM(Y104:AJ104))</f>
        <v/>
      </c>
      <c r="AL104" s="84" t="str">
        <f aca="false">MID(IF(N(Y104)&gt;0,", "&amp;Y$2,"")&amp;IF(N(Z104)&gt;0,", "&amp;Z$2,"")&amp;IF(N(AA104)&gt;0,", "&amp;AA$2,"")&amp;IF(N(AB104)&gt;0,", "&amp;AB$2,"")&amp;IF(N(AC104)&gt;0,", "&amp;AC$2,"")&amp;IF(N(AD104)&gt;0,", "&amp;AD$2,"")&amp;IF(N(AE104)&gt;0,", "&amp;AE$2,"")&amp;IF(N(AF104)&gt;0,", "&amp;AF$2,"")&amp;IF(N(AG104)&gt;0,", "&amp;AG$2,"")&amp;IF(N(AH104)&gt;0,", "&amp;AH$2,"")&amp;IF(N(AI104)&gt;0,", "&amp;AI$2,"")&amp;IF(N(AJ104)&gt;0,", "&amp;AJ$2,""),3,999)</f>
        <v/>
      </c>
      <c r="AM104" s="87" t="str">
        <f aca="false">IF(E104="","",MID(IF(N(Y104)&gt;0,", "&amp;A104&amp;"-"&amp;Y$2,"")&amp;IF(N(Z104)&gt;0,", "&amp;A104&amp;"-"&amp;Z$2,"")&amp;IF(N(AA104)&gt;0,", "&amp;A104&amp;"-"&amp;AA$2,"")&amp;IF(N(AB104)&gt;0,", "&amp;A104&amp;"-"&amp;AB$2,"")&amp;IF(N(AC104)&gt;0,", "&amp;A104&amp;"-"&amp;AC$2,"")&amp;IF(N(AD104)&gt;0,", "&amp;A104&amp;"-"&amp;AD$2,"")&amp;IF(N(AE104)&gt;0,", "&amp;A104&amp;"-"&amp;AE$2,"")&amp;IF(N(AF104)&gt;0,", "&amp;A104&amp;"-"&amp;AF$2,"")&amp;IF(N(AG104)&gt;0,", "&amp;A104&amp;"-"&amp;AG$2,"")&amp;IF(N(AH104)&gt;0,", "&amp;A104&amp;"-"&amp;AH$2,"")&amp;IF(N(AI104)&gt;0,", "&amp;A104&amp;"-"&amp;AI$2,"")&amp;IF(N(AJ104)&gt;0,", "&amp;A104&amp;"-"&amp;AJ$2,""),3,999))</f>
        <v/>
      </c>
      <c r="AN104" s="81"/>
      <c r="AO104" s="88"/>
      <c r="AP104" s="89" t="str">
        <f aca="false">IF(AO104="","",ROUND(AO104/(1+Справочники!$B$13),2))</f>
        <v/>
      </c>
      <c r="AQ104" s="90" t="str">
        <f aca="false" t="array" ref="AQ104:AQ104">IF(AP104="","",AP104*INDEX(Справочники!$B$4:$B$7,MATCH("RUB",Справочники!$A$4:$A$7,0)))</f>
        <v/>
      </c>
      <c r="AR104" s="90" t="str">
        <f aca="false">IF(AQ104="","",ROUND(AQ104*(1+Справочники!$B$12),0))</f>
        <v/>
      </c>
      <c r="AS104" s="90" t="str">
        <f aca="false">IF(AR104="","",ROUND(AR104*(1-Справочники!$B$11),0))</f>
        <v/>
      </c>
      <c r="AT104" s="88"/>
      <c r="AU104" s="90" t="str">
        <f aca="false">IF(AT104="","",ROUND(AT104/(1+Справочники!$B$12),0))</f>
        <v/>
      </c>
      <c r="AV104" s="90" t="str">
        <f aca="false">IF(AT104="","",ROUND(AT104*(1-Справочники!$B$15),0))</f>
        <v/>
      </c>
      <c r="AW104" s="90" t="str">
        <f aca="false">IF(AT104="","",ROUND(AT104*(1-Справочники!$B$16),0))</f>
        <v/>
      </c>
      <c r="AX104" s="90" t="str">
        <f aca="false">IF(AT104="","",ROUND(AT104*(1-Справочники!$B$17),0))</f>
        <v/>
      </c>
      <c r="AY104" s="90" t="str">
        <f aca="false">IF(AT104="","",ROUND(AT104*(1-Справочники!$B$18),0))</f>
        <v/>
      </c>
      <c r="AZ104" s="90" t="str">
        <f aca="false">IF(AT104="","",ROUND(AT104*(1-Справочники!$B$19),0))</f>
        <v/>
      </c>
      <c r="BA104" s="81"/>
      <c r="BB104" s="81"/>
      <c r="BC104" s="81"/>
      <c r="BD104" s="81"/>
      <c r="BE104" s="91"/>
      <c r="BF104" s="81" t="s">
        <v>103</v>
      </c>
      <c r="BG104" s="89" t="n">
        <f aca="false" t="array" ref="BG104:BG104">IF(BF104="","",IFERROR(INDEX(Справочники!$B$4:$B$7,MATCH(BF104,Справочники!$A$4:$A$7,0)),""))</f>
        <v>68.5</v>
      </c>
      <c r="BH104" s="90" t="str">
        <f aca="false">IF(N(BN104)&gt;0,ROUND(SUMIF(ЗАКАЗЫ!$F$3:$F$500,$A104,ЗАКАЗЫ!$Y$3:$Y$500)/BN104,0),IF(OR(BE104="",BG104=""),"",ROUND(BE104*BG104*(1+Справочники!$B$10),0)))</f>
        <v/>
      </c>
      <c r="BI104" s="92" t="str">
        <f aca="false">IF(OR(AU104="",BH104="",AU104=0),"",(AU104-BH104)/AU104)</f>
        <v/>
      </c>
      <c r="BJ104" s="81"/>
      <c r="BK104" s="83"/>
      <c r="BL104" s="43" t="str">
        <f aca="false">IFERROR(INDEX(ЗАКАЗЫ!$N$3:$N$500,MATCH($A104,ЗАКАЗЫ!$F$3:$F$500,0)),"")</f>
        <v/>
      </c>
      <c r="BM104" s="8" t="str">
        <f aca="false">IF(BL104="","",IFERROR(VLOOKUP(BL104,'ТН ВЭД'!$A$4:$C$40,3,0),""))</f>
        <v/>
      </c>
      <c r="BN104" s="7" t="str">
        <f aca="false">IF(COUNTIF(ЗАКАЗЫ!$F$3:$F$500,$A104)=0,"",SUMIF(ЗАКАЗЫ!$F$3:$F$500,$A104,ЗАКАЗЫ!$J$3:$J$500))</f>
        <v/>
      </c>
      <c r="BO104" s="7" t="str">
        <f aca="false">IF(BN104="","",SUMIF(ЗАКАЗЫ!$F$3:$F$500,$A104,ЗАКАЗЫ!$AL$3:$AL$500))</f>
        <v/>
      </c>
      <c r="BP104" s="7" t="str">
        <f aca="false">IF(BN104="","",BN104-BO104)</f>
        <v/>
      </c>
      <c r="BQ104" s="55" t="str">
        <f aca="false">IF(BN104="","",IF(BO104&gt;=BN104,"На складе",IF(BO104&gt;0,"Частично","Ждём")))</f>
        <v/>
      </c>
      <c r="BR104" s="43"/>
      <c r="BS104" s="47" t="str">
        <f aca="false">IF(BN104="","",IF(_xlfn.MAXIFS(ЗАКАЗЫ!$AK$3:$AK$500,ЗАКАЗЫ!$F$3:$F$500,$A104)=0,"",_xlfn.MAXIFS(ЗАКАЗЫ!$AK$3:$AK$500,ЗАКАЗЫ!$F$3:$F$500,$A104)))</f>
        <v/>
      </c>
    </row>
    <row r="105" customFormat="false" ht="15.75" hidden="false" customHeight="true" outlineLevel="0" collapsed="false">
      <c r="A105" s="80" t="s">
        <v>2645</v>
      </c>
      <c r="B105" s="81"/>
      <c r="C105" s="81"/>
      <c r="D105" s="81"/>
      <c r="E105" s="83"/>
      <c r="F105" s="81"/>
      <c r="G105" s="83"/>
      <c r="H105" s="83"/>
      <c r="I105" s="84" t="str">
        <f aca="false">IF(E105="","",A105&amp;"_1.jpg")</f>
        <v/>
      </c>
      <c r="J105" s="84" t="str">
        <f aca="false">IF(E105="","",A105&amp;"_2.jpg; "&amp;A105&amp;"_3.jpg")</f>
        <v/>
      </c>
      <c r="K105" s="84" t="str">
        <f aca="false">IF(E105="","",A105&amp;"_schema.jpg")</f>
        <v/>
      </c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 t="s">
        <v>96</v>
      </c>
      <c r="W105" s="81"/>
      <c r="X105" s="81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6" t="str">
        <f aca="false">IF(SUM(Y105:AJ105)=0,"",SUM(Y105:AJ105))</f>
        <v/>
      </c>
      <c r="AL105" s="84" t="str">
        <f aca="false">MID(IF(N(Y105)&gt;0,", "&amp;Y$2,"")&amp;IF(N(Z105)&gt;0,", "&amp;Z$2,"")&amp;IF(N(AA105)&gt;0,", "&amp;AA$2,"")&amp;IF(N(AB105)&gt;0,", "&amp;AB$2,"")&amp;IF(N(AC105)&gt;0,", "&amp;AC$2,"")&amp;IF(N(AD105)&gt;0,", "&amp;AD$2,"")&amp;IF(N(AE105)&gt;0,", "&amp;AE$2,"")&amp;IF(N(AF105)&gt;0,", "&amp;AF$2,"")&amp;IF(N(AG105)&gt;0,", "&amp;AG$2,"")&amp;IF(N(AH105)&gt;0,", "&amp;AH$2,"")&amp;IF(N(AI105)&gt;0,", "&amp;AI$2,"")&amp;IF(N(AJ105)&gt;0,", "&amp;AJ$2,""),3,999)</f>
        <v/>
      </c>
      <c r="AM105" s="87" t="str">
        <f aca="false">IF(E105="","",MID(IF(N(Y105)&gt;0,", "&amp;A105&amp;"-"&amp;Y$2,"")&amp;IF(N(Z105)&gt;0,", "&amp;A105&amp;"-"&amp;Z$2,"")&amp;IF(N(AA105)&gt;0,", "&amp;A105&amp;"-"&amp;AA$2,"")&amp;IF(N(AB105)&gt;0,", "&amp;A105&amp;"-"&amp;AB$2,"")&amp;IF(N(AC105)&gt;0,", "&amp;A105&amp;"-"&amp;AC$2,"")&amp;IF(N(AD105)&gt;0,", "&amp;A105&amp;"-"&amp;AD$2,"")&amp;IF(N(AE105)&gt;0,", "&amp;A105&amp;"-"&amp;AE$2,"")&amp;IF(N(AF105)&gt;0,", "&amp;A105&amp;"-"&amp;AF$2,"")&amp;IF(N(AG105)&gt;0,", "&amp;A105&amp;"-"&amp;AG$2,"")&amp;IF(N(AH105)&gt;0,", "&amp;A105&amp;"-"&amp;AH$2,"")&amp;IF(N(AI105)&gt;0,", "&amp;A105&amp;"-"&amp;AI$2,"")&amp;IF(N(AJ105)&gt;0,", "&amp;A105&amp;"-"&amp;AJ$2,""),3,999))</f>
        <v/>
      </c>
      <c r="AN105" s="81"/>
      <c r="AO105" s="88"/>
      <c r="AP105" s="89" t="str">
        <f aca="false">IF(AO105="","",ROUND(AO105/(1+Справочники!$B$13),2))</f>
        <v/>
      </c>
      <c r="AQ105" s="90" t="str">
        <f aca="false" t="array" ref="AQ105:AQ105">IF(AP105="","",AP105*INDEX(Справочники!$B$4:$B$7,MATCH("RUB",Справочники!$A$4:$A$7,0)))</f>
        <v/>
      </c>
      <c r="AR105" s="90" t="str">
        <f aca="false">IF(AQ105="","",ROUND(AQ105*(1+Справочники!$B$12),0))</f>
        <v/>
      </c>
      <c r="AS105" s="90" t="str">
        <f aca="false">IF(AR105="","",ROUND(AR105*(1-Справочники!$B$11),0))</f>
        <v/>
      </c>
      <c r="AT105" s="88"/>
      <c r="AU105" s="90" t="str">
        <f aca="false">IF(AT105="","",ROUND(AT105/(1+Справочники!$B$12),0))</f>
        <v/>
      </c>
      <c r="AV105" s="90" t="str">
        <f aca="false">IF(AT105="","",ROUND(AT105*(1-Справочники!$B$15),0))</f>
        <v/>
      </c>
      <c r="AW105" s="90" t="str">
        <f aca="false">IF(AT105="","",ROUND(AT105*(1-Справочники!$B$16),0))</f>
        <v/>
      </c>
      <c r="AX105" s="90" t="str">
        <f aca="false">IF(AT105="","",ROUND(AT105*(1-Справочники!$B$17),0))</f>
        <v/>
      </c>
      <c r="AY105" s="90" t="str">
        <f aca="false">IF(AT105="","",ROUND(AT105*(1-Справочники!$B$18),0))</f>
        <v/>
      </c>
      <c r="AZ105" s="90" t="str">
        <f aca="false">IF(AT105="","",ROUND(AT105*(1-Справочники!$B$19),0))</f>
        <v/>
      </c>
      <c r="BA105" s="81"/>
      <c r="BB105" s="81"/>
      <c r="BC105" s="81"/>
      <c r="BD105" s="81"/>
      <c r="BE105" s="91"/>
      <c r="BF105" s="81" t="s">
        <v>103</v>
      </c>
      <c r="BG105" s="89" t="n">
        <f aca="false" t="array" ref="BG105:BG105">IF(BF105="","",IFERROR(INDEX(Справочники!$B$4:$B$7,MATCH(BF105,Справочники!$A$4:$A$7,0)),""))</f>
        <v>68.5</v>
      </c>
      <c r="BH105" s="90" t="str">
        <f aca="false">IF(N(BN105)&gt;0,ROUND(SUMIF(ЗАКАЗЫ!$F$3:$F$500,$A105,ЗАКАЗЫ!$Y$3:$Y$500)/BN105,0),IF(OR(BE105="",BG105=""),"",ROUND(BE105*BG105*(1+Справочники!$B$10),0)))</f>
        <v/>
      </c>
      <c r="BI105" s="92" t="str">
        <f aca="false">IF(OR(AU105="",BH105="",AU105=0),"",(AU105-BH105)/AU105)</f>
        <v/>
      </c>
      <c r="BJ105" s="81"/>
      <c r="BK105" s="83"/>
      <c r="BL105" s="43" t="str">
        <f aca="false">IFERROR(INDEX(ЗАКАЗЫ!$N$3:$N$500,MATCH($A105,ЗАКАЗЫ!$F$3:$F$500,0)),"")</f>
        <v/>
      </c>
      <c r="BM105" s="8" t="str">
        <f aca="false">IF(BL105="","",IFERROR(VLOOKUP(BL105,'ТН ВЭД'!$A$4:$C$40,3,0),""))</f>
        <v/>
      </c>
      <c r="BN105" s="7" t="str">
        <f aca="false">IF(COUNTIF(ЗАКАЗЫ!$F$3:$F$500,$A105)=0,"",SUMIF(ЗАКАЗЫ!$F$3:$F$500,$A105,ЗАКАЗЫ!$J$3:$J$500))</f>
        <v/>
      </c>
      <c r="BO105" s="7" t="str">
        <f aca="false">IF(BN105="","",SUMIF(ЗАКАЗЫ!$F$3:$F$500,$A105,ЗАКАЗЫ!$AL$3:$AL$500))</f>
        <v/>
      </c>
      <c r="BP105" s="7" t="str">
        <f aca="false">IF(BN105="","",BN105-BO105)</f>
        <v/>
      </c>
      <c r="BQ105" s="55" t="str">
        <f aca="false">IF(BN105="","",IF(BO105&gt;=BN105,"На складе",IF(BO105&gt;0,"Частично","Ждём")))</f>
        <v/>
      </c>
      <c r="BR105" s="43"/>
      <c r="BS105" s="47" t="str">
        <f aca="false">IF(BN105="","",IF(_xlfn.MAXIFS(ЗАКАЗЫ!$AK$3:$AK$500,ЗАКАЗЫ!$F$3:$F$500,$A105)=0,"",_xlfn.MAXIFS(ЗАКАЗЫ!$AK$3:$AK$500,ЗАКАЗЫ!$F$3:$F$500,$A105)))</f>
        <v/>
      </c>
    </row>
    <row r="106" customFormat="false" ht="15.75" hidden="false" customHeight="true" outlineLevel="0" collapsed="false">
      <c r="A106" s="80" t="s">
        <v>2646</v>
      </c>
      <c r="B106" s="81"/>
      <c r="C106" s="81"/>
      <c r="D106" s="81"/>
      <c r="E106" s="83"/>
      <c r="F106" s="81"/>
      <c r="G106" s="83"/>
      <c r="H106" s="83"/>
      <c r="I106" s="84" t="str">
        <f aca="false">IF(E106="","",A106&amp;"_1.jpg")</f>
        <v/>
      </c>
      <c r="J106" s="84" t="str">
        <f aca="false">IF(E106="","",A106&amp;"_2.jpg; "&amp;A106&amp;"_3.jpg")</f>
        <v/>
      </c>
      <c r="K106" s="84" t="str">
        <f aca="false">IF(E106="","",A106&amp;"_schema.jpg")</f>
        <v/>
      </c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 t="s">
        <v>96</v>
      </c>
      <c r="W106" s="81"/>
      <c r="X106" s="81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6" t="str">
        <f aca="false">IF(SUM(Y106:AJ106)=0,"",SUM(Y106:AJ106))</f>
        <v/>
      </c>
      <c r="AL106" s="84" t="str">
        <f aca="false">MID(IF(N(Y106)&gt;0,", "&amp;Y$2,"")&amp;IF(N(Z106)&gt;0,", "&amp;Z$2,"")&amp;IF(N(AA106)&gt;0,", "&amp;AA$2,"")&amp;IF(N(AB106)&gt;0,", "&amp;AB$2,"")&amp;IF(N(AC106)&gt;0,", "&amp;AC$2,"")&amp;IF(N(AD106)&gt;0,", "&amp;AD$2,"")&amp;IF(N(AE106)&gt;0,", "&amp;AE$2,"")&amp;IF(N(AF106)&gt;0,", "&amp;AF$2,"")&amp;IF(N(AG106)&gt;0,", "&amp;AG$2,"")&amp;IF(N(AH106)&gt;0,", "&amp;AH$2,"")&amp;IF(N(AI106)&gt;0,", "&amp;AI$2,"")&amp;IF(N(AJ106)&gt;0,", "&amp;AJ$2,""),3,999)</f>
        <v/>
      </c>
      <c r="AM106" s="87" t="str">
        <f aca="false">IF(E106="","",MID(IF(N(Y106)&gt;0,", "&amp;A106&amp;"-"&amp;Y$2,"")&amp;IF(N(Z106)&gt;0,", "&amp;A106&amp;"-"&amp;Z$2,"")&amp;IF(N(AA106)&gt;0,", "&amp;A106&amp;"-"&amp;AA$2,"")&amp;IF(N(AB106)&gt;0,", "&amp;A106&amp;"-"&amp;AB$2,"")&amp;IF(N(AC106)&gt;0,", "&amp;A106&amp;"-"&amp;AC$2,"")&amp;IF(N(AD106)&gt;0,", "&amp;A106&amp;"-"&amp;AD$2,"")&amp;IF(N(AE106)&gt;0,", "&amp;A106&amp;"-"&amp;AE$2,"")&amp;IF(N(AF106)&gt;0,", "&amp;A106&amp;"-"&amp;AF$2,"")&amp;IF(N(AG106)&gt;0,", "&amp;A106&amp;"-"&amp;AG$2,"")&amp;IF(N(AH106)&gt;0,", "&amp;A106&amp;"-"&amp;AH$2,"")&amp;IF(N(AI106)&gt;0,", "&amp;A106&amp;"-"&amp;AI$2,"")&amp;IF(N(AJ106)&gt;0,", "&amp;A106&amp;"-"&amp;AJ$2,""),3,999))</f>
        <v/>
      </c>
      <c r="AN106" s="81"/>
      <c r="AO106" s="88"/>
      <c r="AP106" s="89" t="str">
        <f aca="false">IF(AO106="","",ROUND(AO106/(1+Справочники!$B$13),2))</f>
        <v/>
      </c>
      <c r="AQ106" s="90" t="str">
        <f aca="false" t="array" ref="AQ106:AQ106">IF(AP106="","",AP106*INDEX(Справочники!$B$4:$B$7,MATCH("RUB",Справочники!$A$4:$A$7,0)))</f>
        <v/>
      </c>
      <c r="AR106" s="90" t="str">
        <f aca="false">IF(AQ106="","",ROUND(AQ106*(1+Справочники!$B$12),0))</f>
        <v/>
      </c>
      <c r="AS106" s="90" t="str">
        <f aca="false">IF(AR106="","",ROUND(AR106*(1-Справочники!$B$11),0))</f>
        <v/>
      </c>
      <c r="AT106" s="88"/>
      <c r="AU106" s="90" t="str">
        <f aca="false">IF(AT106="","",ROUND(AT106/(1+Справочники!$B$12),0))</f>
        <v/>
      </c>
      <c r="AV106" s="90" t="str">
        <f aca="false">IF(AT106="","",ROUND(AT106*(1-Справочники!$B$15),0))</f>
        <v/>
      </c>
      <c r="AW106" s="90" t="str">
        <f aca="false">IF(AT106="","",ROUND(AT106*(1-Справочники!$B$16),0))</f>
        <v/>
      </c>
      <c r="AX106" s="90" t="str">
        <f aca="false">IF(AT106="","",ROUND(AT106*(1-Справочники!$B$17),0))</f>
        <v/>
      </c>
      <c r="AY106" s="90" t="str">
        <f aca="false">IF(AT106="","",ROUND(AT106*(1-Справочники!$B$18),0))</f>
        <v/>
      </c>
      <c r="AZ106" s="90" t="str">
        <f aca="false">IF(AT106="","",ROUND(AT106*(1-Справочники!$B$19),0))</f>
        <v/>
      </c>
      <c r="BA106" s="81"/>
      <c r="BB106" s="81"/>
      <c r="BC106" s="81"/>
      <c r="BD106" s="81"/>
      <c r="BE106" s="91"/>
      <c r="BF106" s="81" t="s">
        <v>103</v>
      </c>
      <c r="BG106" s="89" t="n">
        <f aca="false" t="array" ref="BG106:BG106">IF(BF106="","",IFERROR(INDEX(Справочники!$B$4:$B$7,MATCH(BF106,Справочники!$A$4:$A$7,0)),""))</f>
        <v>68.5</v>
      </c>
      <c r="BH106" s="90" t="str">
        <f aca="false">IF(N(BN106)&gt;0,ROUND(SUMIF(ЗАКАЗЫ!$F$3:$F$500,$A106,ЗАКАЗЫ!$Y$3:$Y$500)/BN106,0),IF(OR(BE106="",BG106=""),"",ROUND(BE106*BG106*(1+Справочники!$B$10),0)))</f>
        <v/>
      </c>
      <c r="BI106" s="92" t="str">
        <f aca="false">IF(OR(AU106="",BH106="",AU106=0),"",(AU106-BH106)/AU106)</f>
        <v/>
      </c>
      <c r="BJ106" s="81"/>
      <c r="BK106" s="83"/>
      <c r="BL106" s="43" t="str">
        <f aca="false">IFERROR(INDEX(ЗАКАЗЫ!$N$3:$N$500,MATCH($A106,ЗАКАЗЫ!$F$3:$F$500,0)),"")</f>
        <v/>
      </c>
      <c r="BM106" s="8" t="str">
        <f aca="false">IF(BL106="","",IFERROR(VLOOKUP(BL106,'ТН ВЭД'!$A$4:$C$40,3,0),""))</f>
        <v/>
      </c>
      <c r="BN106" s="7" t="str">
        <f aca="false">IF(COUNTIF(ЗАКАЗЫ!$F$3:$F$500,$A106)=0,"",SUMIF(ЗАКАЗЫ!$F$3:$F$500,$A106,ЗАКАЗЫ!$J$3:$J$500))</f>
        <v/>
      </c>
      <c r="BO106" s="7" t="str">
        <f aca="false">IF(BN106="","",SUMIF(ЗАКАЗЫ!$F$3:$F$500,$A106,ЗАКАЗЫ!$AL$3:$AL$500))</f>
        <v/>
      </c>
      <c r="BP106" s="7" t="str">
        <f aca="false">IF(BN106="","",BN106-BO106)</f>
        <v/>
      </c>
      <c r="BQ106" s="55" t="str">
        <f aca="false">IF(BN106="","",IF(BO106&gt;=BN106,"На складе",IF(BO106&gt;0,"Частично","Ждём")))</f>
        <v/>
      </c>
      <c r="BR106" s="43"/>
      <c r="BS106" s="47" t="str">
        <f aca="false">IF(BN106="","",IF(_xlfn.MAXIFS(ЗАКАЗЫ!$AK$3:$AK$500,ЗАКАЗЫ!$F$3:$F$500,$A106)=0,"",_xlfn.MAXIFS(ЗАКАЗЫ!$AK$3:$AK$500,ЗАКАЗЫ!$F$3:$F$500,$A106)))</f>
        <v/>
      </c>
    </row>
    <row r="107" customFormat="false" ht="15.75" hidden="false" customHeight="true" outlineLevel="0" collapsed="false">
      <c r="A107" s="80" t="s">
        <v>2647</v>
      </c>
      <c r="B107" s="81"/>
      <c r="C107" s="81"/>
      <c r="D107" s="81"/>
      <c r="E107" s="83"/>
      <c r="F107" s="81"/>
      <c r="G107" s="83"/>
      <c r="H107" s="83"/>
      <c r="I107" s="84" t="str">
        <f aca="false">IF(E107="","",A107&amp;"_1.jpg")</f>
        <v/>
      </c>
      <c r="J107" s="84" t="str">
        <f aca="false">IF(E107="","",A107&amp;"_2.jpg; "&amp;A107&amp;"_3.jpg")</f>
        <v/>
      </c>
      <c r="K107" s="84" t="str">
        <f aca="false">IF(E107="","",A107&amp;"_schema.jpg")</f>
        <v/>
      </c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 t="s">
        <v>96</v>
      </c>
      <c r="W107" s="81"/>
      <c r="X107" s="81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6" t="str">
        <f aca="false">IF(SUM(Y107:AJ107)=0,"",SUM(Y107:AJ107))</f>
        <v/>
      </c>
      <c r="AL107" s="84" t="str">
        <f aca="false">MID(IF(N(Y107)&gt;0,", "&amp;Y$2,"")&amp;IF(N(Z107)&gt;0,", "&amp;Z$2,"")&amp;IF(N(AA107)&gt;0,", "&amp;AA$2,"")&amp;IF(N(AB107)&gt;0,", "&amp;AB$2,"")&amp;IF(N(AC107)&gt;0,", "&amp;AC$2,"")&amp;IF(N(AD107)&gt;0,", "&amp;AD$2,"")&amp;IF(N(AE107)&gt;0,", "&amp;AE$2,"")&amp;IF(N(AF107)&gt;0,", "&amp;AF$2,"")&amp;IF(N(AG107)&gt;0,", "&amp;AG$2,"")&amp;IF(N(AH107)&gt;0,", "&amp;AH$2,"")&amp;IF(N(AI107)&gt;0,", "&amp;AI$2,"")&amp;IF(N(AJ107)&gt;0,", "&amp;AJ$2,""),3,999)</f>
        <v/>
      </c>
      <c r="AM107" s="87" t="str">
        <f aca="false">IF(E107="","",MID(IF(N(Y107)&gt;0,", "&amp;A107&amp;"-"&amp;Y$2,"")&amp;IF(N(Z107)&gt;0,", "&amp;A107&amp;"-"&amp;Z$2,"")&amp;IF(N(AA107)&gt;0,", "&amp;A107&amp;"-"&amp;AA$2,"")&amp;IF(N(AB107)&gt;0,", "&amp;A107&amp;"-"&amp;AB$2,"")&amp;IF(N(AC107)&gt;0,", "&amp;A107&amp;"-"&amp;AC$2,"")&amp;IF(N(AD107)&gt;0,", "&amp;A107&amp;"-"&amp;AD$2,"")&amp;IF(N(AE107)&gt;0,", "&amp;A107&amp;"-"&amp;AE$2,"")&amp;IF(N(AF107)&gt;0,", "&amp;A107&amp;"-"&amp;AF$2,"")&amp;IF(N(AG107)&gt;0,", "&amp;A107&amp;"-"&amp;AG$2,"")&amp;IF(N(AH107)&gt;0,", "&amp;A107&amp;"-"&amp;AH$2,"")&amp;IF(N(AI107)&gt;0,", "&amp;A107&amp;"-"&amp;AI$2,"")&amp;IF(N(AJ107)&gt;0,", "&amp;A107&amp;"-"&amp;AJ$2,""),3,999))</f>
        <v/>
      </c>
      <c r="AN107" s="81"/>
      <c r="AO107" s="88"/>
      <c r="AP107" s="89" t="str">
        <f aca="false">IF(AO107="","",ROUND(AO107/(1+Справочники!$B$13),2))</f>
        <v/>
      </c>
      <c r="AQ107" s="90" t="str">
        <f aca="false" t="array" ref="AQ107:AQ107">IF(AP107="","",AP107*INDEX(Справочники!$B$4:$B$7,MATCH("RUB",Справочники!$A$4:$A$7,0)))</f>
        <v/>
      </c>
      <c r="AR107" s="90" t="str">
        <f aca="false">IF(AQ107="","",ROUND(AQ107*(1+Справочники!$B$12),0))</f>
        <v/>
      </c>
      <c r="AS107" s="90" t="str">
        <f aca="false">IF(AR107="","",ROUND(AR107*(1-Справочники!$B$11),0))</f>
        <v/>
      </c>
      <c r="AT107" s="88"/>
      <c r="AU107" s="90" t="str">
        <f aca="false">IF(AT107="","",ROUND(AT107/(1+Справочники!$B$12),0))</f>
        <v/>
      </c>
      <c r="AV107" s="90" t="str">
        <f aca="false">IF(AT107="","",ROUND(AT107*(1-Справочники!$B$15),0))</f>
        <v/>
      </c>
      <c r="AW107" s="90" t="str">
        <f aca="false">IF(AT107="","",ROUND(AT107*(1-Справочники!$B$16),0))</f>
        <v/>
      </c>
      <c r="AX107" s="90" t="str">
        <f aca="false">IF(AT107="","",ROUND(AT107*(1-Справочники!$B$17),0))</f>
        <v/>
      </c>
      <c r="AY107" s="90" t="str">
        <f aca="false">IF(AT107="","",ROUND(AT107*(1-Справочники!$B$18),0))</f>
        <v/>
      </c>
      <c r="AZ107" s="90" t="str">
        <f aca="false">IF(AT107="","",ROUND(AT107*(1-Справочники!$B$19),0))</f>
        <v/>
      </c>
      <c r="BA107" s="81"/>
      <c r="BB107" s="81"/>
      <c r="BC107" s="81"/>
      <c r="BD107" s="81"/>
      <c r="BE107" s="91"/>
      <c r="BF107" s="81" t="s">
        <v>103</v>
      </c>
      <c r="BG107" s="89" t="n">
        <f aca="false" t="array" ref="BG107:BG107">IF(BF107="","",IFERROR(INDEX(Справочники!$B$4:$B$7,MATCH(BF107,Справочники!$A$4:$A$7,0)),""))</f>
        <v>68.5</v>
      </c>
      <c r="BH107" s="90" t="str">
        <f aca="false">IF(N(BN107)&gt;0,ROUND(SUMIF(ЗАКАЗЫ!$F$3:$F$500,$A107,ЗАКАЗЫ!$Y$3:$Y$500)/BN107,0),IF(OR(BE107="",BG107=""),"",ROUND(BE107*BG107*(1+Справочники!$B$10),0)))</f>
        <v/>
      </c>
      <c r="BI107" s="92" t="str">
        <f aca="false">IF(OR(AU107="",BH107="",AU107=0),"",(AU107-BH107)/AU107)</f>
        <v/>
      </c>
      <c r="BJ107" s="81"/>
      <c r="BK107" s="83"/>
      <c r="BL107" s="43" t="str">
        <f aca="false">IFERROR(INDEX(ЗАКАЗЫ!$N$3:$N$500,MATCH($A107,ЗАКАЗЫ!$F$3:$F$500,0)),"")</f>
        <v/>
      </c>
      <c r="BM107" s="8" t="str">
        <f aca="false">IF(BL107="","",IFERROR(VLOOKUP(BL107,'ТН ВЭД'!$A$4:$C$40,3,0),""))</f>
        <v/>
      </c>
      <c r="BN107" s="7" t="str">
        <f aca="false">IF(COUNTIF(ЗАКАЗЫ!$F$3:$F$500,$A107)=0,"",SUMIF(ЗАКАЗЫ!$F$3:$F$500,$A107,ЗАКАЗЫ!$J$3:$J$500))</f>
        <v/>
      </c>
      <c r="BO107" s="7" t="str">
        <f aca="false">IF(BN107="","",SUMIF(ЗАКАЗЫ!$F$3:$F$500,$A107,ЗАКАЗЫ!$AL$3:$AL$500))</f>
        <v/>
      </c>
      <c r="BP107" s="7" t="str">
        <f aca="false">IF(BN107="","",BN107-BO107)</f>
        <v/>
      </c>
      <c r="BQ107" s="55" t="str">
        <f aca="false">IF(BN107="","",IF(BO107&gt;=BN107,"На складе",IF(BO107&gt;0,"Частично","Ждём")))</f>
        <v/>
      </c>
      <c r="BR107" s="43"/>
      <c r="BS107" s="47" t="str">
        <f aca="false">IF(BN107="","",IF(_xlfn.MAXIFS(ЗАКАЗЫ!$AK$3:$AK$500,ЗАКАЗЫ!$F$3:$F$500,$A107)=0,"",_xlfn.MAXIFS(ЗАКАЗЫ!$AK$3:$AK$500,ЗАКАЗЫ!$F$3:$F$500,$A107)))</f>
        <v/>
      </c>
    </row>
    <row r="108" customFormat="false" ht="15.75" hidden="false" customHeight="true" outlineLevel="0" collapsed="false">
      <c r="A108" s="80" t="s">
        <v>2648</v>
      </c>
      <c r="B108" s="81"/>
      <c r="C108" s="81"/>
      <c r="D108" s="81"/>
      <c r="E108" s="83"/>
      <c r="F108" s="81"/>
      <c r="G108" s="83"/>
      <c r="H108" s="83"/>
      <c r="I108" s="84" t="str">
        <f aca="false">IF(E108="","",A108&amp;"_1.jpg")</f>
        <v/>
      </c>
      <c r="J108" s="84" t="str">
        <f aca="false">IF(E108="","",A108&amp;"_2.jpg; "&amp;A108&amp;"_3.jpg")</f>
        <v/>
      </c>
      <c r="K108" s="84" t="str">
        <f aca="false">IF(E108="","",A108&amp;"_schema.jpg")</f>
        <v/>
      </c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 t="s">
        <v>96</v>
      </c>
      <c r="W108" s="81"/>
      <c r="X108" s="81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6" t="str">
        <f aca="false">IF(SUM(Y108:AJ108)=0,"",SUM(Y108:AJ108))</f>
        <v/>
      </c>
      <c r="AL108" s="84" t="str">
        <f aca="false">MID(IF(N(Y108)&gt;0,", "&amp;Y$2,"")&amp;IF(N(Z108)&gt;0,", "&amp;Z$2,"")&amp;IF(N(AA108)&gt;0,", "&amp;AA$2,"")&amp;IF(N(AB108)&gt;0,", "&amp;AB$2,"")&amp;IF(N(AC108)&gt;0,", "&amp;AC$2,"")&amp;IF(N(AD108)&gt;0,", "&amp;AD$2,"")&amp;IF(N(AE108)&gt;0,", "&amp;AE$2,"")&amp;IF(N(AF108)&gt;0,", "&amp;AF$2,"")&amp;IF(N(AG108)&gt;0,", "&amp;AG$2,"")&amp;IF(N(AH108)&gt;0,", "&amp;AH$2,"")&amp;IF(N(AI108)&gt;0,", "&amp;AI$2,"")&amp;IF(N(AJ108)&gt;0,", "&amp;AJ$2,""),3,999)</f>
        <v/>
      </c>
      <c r="AM108" s="87" t="str">
        <f aca="false">IF(E108="","",MID(IF(N(Y108)&gt;0,", "&amp;A108&amp;"-"&amp;Y$2,"")&amp;IF(N(Z108)&gt;0,", "&amp;A108&amp;"-"&amp;Z$2,"")&amp;IF(N(AA108)&gt;0,", "&amp;A108&amp;"-"&amp;AA$2,"")&amp;IF(N(AB108)&gt;0,", "&amp;A108&amp;"-"&amp;AB$2,"")&amp;IF(N(AC108)&gt;0,", "&amp;A108&amp;"-"&amp;AC$2,"")&amp;IF(N(AD108)&gt;0,", "&amp;A108&amp;"-"&amp;AD$2,"")&amp;IF(N(AE108)&gt;0,", "&amp;A108&amp;"-"&amp;AE$2,"")&amp;IF(N(AF108)&gt;0,", "&amp;A108&amp;"-"&amp;AF$2,"")&amp;IF(N(AG108)&gt;0,", "&amp;A108&amp;"-"&amp;AG$2,"")&amp;IF(N(AH108)&gt;0,", "&amp;A108&amp;"-"&amp;AH$2,"")&amp;IF(N(AI108)&gt;0,", "&amp;A108&amp;"-"&amp;AI$2,"")&amp;IF(N(AJ108)&gt;0,", "&amp;A108&amp;"-"&amp;AJ$2,""),3,999))</f>
        <v/>
      </c>
      <c r="AN108" s="81"/>
      <c r="AO108" s="88"/>
      <c r="AP108" s="89" t="str">
        <f aca="false">IF(AO108="","",ROUND(AO108/(1+Справочники!$B$13),2))</f>
        <v/>
      </c>
      <c r="AQ108" s="90" t="str">
        <f aca="false" t="array" ref="AQ108:AQ108">IF(AP108="","",AP108*INDEX(Справочники!$B$4:$B$7,MATCH("RUB",Справочники!$A$4:$A$7,0)))</f>
        <v/>
      </c>
      <c r="AR108" s="90" t="str">
        <f aca="false">IF(AQ108="","",ROUND(AQ108*(1+Справочники!$B$12),0))</f>
        <v/>
      </c>
      <c r="AS108" s="90" t="str">
        <f aca="false">IF(AR108="","",ROUND(AR108*(1-Справочники!$B$11),0))</f>
        <v/>
      </c>
      <c r="AT108" s="88"/>
      <c r="AU108" s="90" t="str">
        <f aca="false">IF(AT108="","",ROUND(AT108/(1+Справочники!$B$12),0))</f>
        <v/>
      </c>
      <c r="AV108" s="90" t="str">
        <f aca="false">IF(AT108="","",ROUND(AT108*(1-Справочники!$B$15),0))</f>
        <v/>
      </c>
      <c r="AW108" s="90" t="str">
        <f aca="false">IF(AT108="","",ROUND(AT108*(1-Справочники!$B$16),0))</f>
        <v/>
      </c>
      <c r="AX108" s="90" t="str">
        <f aca="false">IF(AT108="","",ROUND(AT108*(1-Справочники!$B$17),0))</f>
        <v/>
      </c>
      <c r="AY108" s="90" t="str">
        <f aca="false">IF(AT108="","",ROUND(AT108*(1-Справочники!$B$18),0))</f>
        <v/>
      </c>
      <c r="AZ108" s="90" t="str">
        <f aca="false">IF(AT108="","",ROUND(AT108*(1-Справочники!$B$19),0))</f>
        <v/>
      </c>
      <c r="BA108" s="81"/>
      <c r="BB108" s="81"/>
      <c r="BC108" s="81"/>
      <c r="BD108" s="81"/>
      <c r="BE108" s="91"/>
      <c r="BF108" s="81" t="s">
        <v>103</v>
      </c>
      <c r="BG108" s="89" t="n">
        <f aca="false" t="array" ref="BG108:BG108">IF(BF108="","",IFERROR(INDEX(Справочники!$B$4:$B$7,MATCH(BF108,Справочники!$A$4:$A$7,0)),""))</f>
        <v>68.5</v>
      </c>
      <c r="BH108" s="90" t="str">
        <f aca="false">IF(N(BN108)&gt;0,ROUND(SUMIF(ЗАКАЗЫ!$F$3:$F$500,$A108,ЗАКАЗЫ!$Y$3:$Y$500)/BN108,0),IF(OR(BE108="",BG108=""),"",ROUND(BE108*BG108*(1+Справочники!$B$10),0)))</f>
        <v/>
      </c>
      <c r="BI108" s="92" t="str">
        <f aca="false">IF(OR(AU108="",BH108="",AU108=0),"",(AU108-BH108)/AU108)</f>
        <v/>
      </c>
      <c r="BJ108" s="81"/>
      <c r="BK108" s="83"/>
      <c r="BL108" s="43" t="str">
        <f aca="false">IFERROR(INDEX(ЗАКАЗЫ!$N$3:$N$500,MATCH($A108,ЗАКАЗЫ!$F$3:$F$500,0)),"")</f>
        <v/>
      </c>
      <c r="BM108" s="8" t="str">
        <f aca="false">IF(BL108="","",IFERROR(VLOOKUP(BL108,'ТН ВЭД'!$A$4:$C$40,3,0),""))</f>
        <v/>
      </c>
      <c r="BN108" s="7" t="str">
        <f aca="false">IF(COUNTIF(ЗАКАЗЫ!$F$3:$F$500,$A108)=0,"",SUMIF(ЗАКАЗЫ!$F$3:$F$500,$A108,ЗАКАЗЫ!$J$3:$J$500))</f>
        <v/>
      </c>
      <c r="BO108" s="7" t="str">
        <f aca="false">IF(BN108="","",SUMIF(ЗАКАЗЫ!$F$3:$F$500,$A108,ЗАКАЗЫ!$AL$3:$AL$500))</f>
        <v/>
      </c>
      <c r="BP108" s="7" t="str">
        <f aca="false">IF(BN108="","",BN108-BO108)</f>
        <v/>
      </c>
      <c r="BQ108" s="55" t="str">
        <f aca="false">IF(BN108="","",IF(BO108&gt;=BN108,"На складе",IF(BO108&gt;0,"Частично","Ждём")))</f>
        <v/>
      </c>
      <c r="BR108" s="43"/>
      <c r="BS108" s="47" t="str">
        <f aca="false">IF(BN108="","",IF(_xlfn.MAXIFS(ЗАКАЗЫ!$AK$3:$AK$500,ЗАКАЗЫ!$F$3:$F$500,$A108)=0,"",_xlfn.MAXIFS(ЗАКАЗЫ!$AK$3:$AK$500,ЗАКАЗЫ!$F$3:$F$500,$A108)))</f>
        <v/>
      </c>
    </row>
    <row r="109" customFormat="false" ht="15.75" hidden="false" customHeight="true" outlineLevel="0" collapsed="false">
      <c r="A109" s="80" t="s">
        <v>2649</v>
      </c>
      <c r="B109" s="81"/>
      <c r="C109" s="81"/>
      <c r="D109" s="81"/>
      <c r="E109" s="83"/>
      <c r="F109" s="81"/>
      <c r="G109" s="83"/>
      <c r="H109" s="83"/>
      <c r="I109" s="84" t="str">
        <f aca="false">IF(E109="","",A109&amp;"_1.jpg")</f>
        <v/>
      </c>
      <c r="J109" s="84" t="str">
        <f aca="false">IF(E109="","",A109&amp;"_2.jpg; "&amp;A109&amp;"_3.jpg")</f>
        <v/>
      </c>
      <c r="K109" s="84" t="str">
        <f aca="false">IF(E109="","",A109&amp;"_schema.jpg")</f>
        <v/>
      </c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 t="s">
        <v>96</v>
      </c>
      <c r="W109" s="81"/>
      <c r="X109" s="81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6" t="str">
        <f aca="false">IF(SUM(Y109:AJ109)=0,"",SUM(Y109:AJ109))</f>
        <v/>
      </c>
      <c r="AL109" s="84" t="str">
        <f aca="false">MID(IF(N(Y109)&gt;0,", "&amp;Y$2,"")&amp;IF(N(Z109)&gt;0,", "&amp;Z$2,"")&amp;IF(N(AA109)&gt;0,", "&amp;AA$2,"")&amp;IF(N(AB109)&gt;0,", "&amp;AB$2,"")&amp;IF(N(AC109)&gt;0,", "&amp;AC$2,"")&amp;IF(N(AD109)&gt;0,", "&amp;AD$2,"")&amp;IF(N(AE109)&gt;0,", "&amp;AE$2,"")&amp;IF(N(AF109)&gt;0,", "&amp;AF$2,"")&amp;IF(N(AG109)&gt;0,", "&amp;AG$2,"")&amp;IF(N(AH109)&gt;0,", "&amp;AH$2,"")&amp;IF(N(AI109)&gt;0,", "&amp;AI$2,"")&amp;IF(N(AJ109)&gt;0,", "&amp;AJ$2,""),3,999)</f>
        <v/>
      </c>
      <c r="AM109" s="87" t="str">
        <f aca="false">IF(E109="","",MID(IF(N(Y109)&gt;0,", "&amp;A109&amp;"-"&amp;Y$2,"")&amp;IF(N(Z109)&gt;0,", "&amp;A109&amp;"-"&amp;Z$2,"")&amp;IF(N(AA109)&gt;0,", "&amp;A109&amp;"-"&amp;AA$2,"")&amp;IF(N(AB109)&gt;0,", "&amp;A109&amp;"-"&amp;AB$2,"")&amp;IF(N(AC109)&gt;0,", "&amp;A109&amp;"-"&amp;AC$2,"")&amp;IF(N(AD109)&gt;0,", "&amp;A109&amp;"-"&amp;AD$2,"")&amp;IF(N(AE109)&gt;0,", "&amp;A109&amp;"-"&amp;AE$2,"")&amp;IF(N(AF109)&gt;0,", "&amp;A109&amp;"-"&amp;AF$2,"")&amp;IF(N(AG109)&gt;0,", "&amp;A109&amp;"-"&amp;AG$2,"")&amp;IF(N(AH109)&gt;0,", "&amp;A109&amp;"-"&amp;AH$2,"")&amp;IF(N(AI109)&gt;0,", "&amp;A109&amp;"-"&amp;AI$2,"")&amp;IF(N(AJ109)&gt;0,", "&amp;A109&amp;"-"&amp;AJ$2,""),3,999))</f>
        <v/>
      </c>
      <c r="AN109" s="81"/>
      <c r="AO109" s="88"/>
      <c r="AP109" s="89" t="str">
        <f aca="false">IF(AO109="","",ROUND(AO109/(1+Справочники!$B$13),2))</f>
        <v/>
      </c>
      <c r="AQ109" s="90" t="str">
        <f aca="false" t="array" ref="AQ109:AQ109">IF(AP109="","",AP109*INDEX(Справочники!$B$4:$B$7,MATCH("RUB",Справочники!$A$4:$A$7,0)))</f>
        <v/>
      </c>
      <c r="AR109" s="90" t="str">
        <f aca="false">IF(AQ109="","",ROUND(AQ109*(1+Справочники!$B$12),0))</f>
        <v/>
      </c>
      <c r="AS109" s="90" t="str">
        <f aca="false">IF(AR109="","",ROUND(AR109*(1-Справочники!$B$11),0))</f>
        <v/>
      </c>
      <c r="AT109" s="88"/>
      <c r="AU109" s="90" t="str">
        <f aca="false">IF(AT109="","",ROUND(AT109/(1+Справочники!$B$12),0))</f>
        <v/>
      </c>
      <c r="AV109" s="90" t="str">
        <f aca="false">IF(AT109="","",ROUND(AT109*(1-Справочники!$B$15),0))</f>
        <v/>
      </c>
      <c r="AW109" s="90" t="str">
        <f aca="false">IF(AT109="","",ROUND(AT109*(1-Справочники!$B$16),0))</f>
        <v/>
      </c>
      <c r="AX109" s="90" t="str">
        <f aca="false">IF(AT109="","",ROUND(AT109*(1-Справочники!$B$17),0))</f>
        <v/>
      </c>
      <c r="AY109" s="90" t="str">
        <f aca="false">IF(AT109="","",ROUND(AT109*(1-Справочники!$B$18),0))</f>
        <v/>
      </c>
      <c r="AZ109" s="90" t="str">
        <f aca="false">IF(AT109="","",ROUND(AT109*(1-Справочники!$B$19),0))</f>
        <v/>
      </c>
      <c r="BA109" s="81"/>
      <c r="BB109" s="81"/>
      <c r="BC109" s="81"/>
      <c r="BD109" s="81"/>
      <c r="BE109" s="91"/>
      <c r="BF109" s="81" t="s">
        <v>103</v>
      </c>
      <c r="BG109" s="89" t="n">
        <f aca="false" t="array" ref="BG109:BG109">IF(BF109="","",IFERROR(INDEX(Справочники!$B$4:$B$7,MATCH(BF109,Справочники!$A$4:$A$7,0)),""))</f>
        <v>68.5</v>
      </c>
      <c r="BH109" s="90" t="str">
        <f aca="false">IF(N(BN109)&gt;0,ROUND(SUMIF(ЗАКАЗЫ!$F$3:$F$500,$A109,ЗАКАЗЫ!$Y$3:$Y$500)/BN109,0),IF(OR(BE109="",BG109=""),"",ROUND(BE109*BG109*(1+Справочники!$B$10),0)))</f>
        <v/>
      </c>
      <c r="BI109" s="92" t="str">
        <f aca="false">IF(OR(AU109="",BH109="",AU109=0),"",(AU109-BH109)/AU109)</f>
        <v/>
      </c>
      <c r="BJ109" s="81"/>
      <c r="BK109" s="83"/>
      <c r="BL109" s="43" t="str">
        <f aca="false">IFERROR(INDEX(ЗАКАЗЫ!$N$3:$N$500,MATCH($A109,ЗАКАЗЫ!$F$3:$F$500,0)),"")</f>
        <v/>
      </c>
      <c r="BM109" s="8" t="str">
        <f aca="false">IF(BL109="","",IFERROR(VLOOKUP(BL109,'ТН ВЭД'!$A$4:$C$40,3,0),""))</f>
        <v/>
      </c>
      <c r="BN109" s="7" t="str">
        <f aca="false">IF(COUNTIF(ЗАКАЗЫ!$F$3:$F$500,$A109)=0,"",SUMIF(ЗАКАЗЫ!$F$3:$F$500,$A109,ЗАКАЗЫ!$J$3:$J$500))</f>
        <v/>
      </c>
      <c r="BO109" s="7" t="str">
        <f aca="false">IF(BN109="","",SUMIF(ЗАКАЗЫ!$F$3:$F$500,$A109,ЗАКАЗЫ!$AL$3:$AL$500))</f>
        <v/>
      </c>
      <c r="BP109" s="7" t="str">
        <f aca="false">IF(BN109="","",BN109-BO109)</f>
        <v/>
      </c>
      <c r="BQ109" s="55" t="str">
        <f aca="false">IF(BN109="","",IF(BO109&gt;=BN109,"На складе",IF(BO109&gt;0,"Частично","Ждём")))</f>
        <v/>
      </c>
      <c r="BR109" s="43"/>
      <c r="BS109" s="47" t="str">
        <f aca="false">IF(BN109="","",IF(_xlfn.MAXIFS(ЗАКАЗЫ!$AK$3:$AK$500,ЗАКАЗЫ!$F$3:$F$500,$A109)=0,"",_xlfn.MAXIFS(ЗАКАЗЫ!$AK$3:$AK$500,ЗАКАЗЫ!$F$3:$F$500,$A109)))</f>
        <v/>
      </c>
    </row>
    <row r="110" customFormat="false" ht="15.75" hidden="false" customHeight="true" outlineLevel="0" collapsed="false">
      <c r="A110" s="80" t="s">
        <v>2650</v>
      </c>
      <c r="B110" s="81"/>
      <c r="C110" s="81"/>
      <c r="D110" s="81"/>
      <c r="E110" s="83"/>
      <c r="F110" s="81"/>
      <c r="G110" s="83"/>
      <c r="H110" s="83"/>
      <c r="I110" s="84" t="str">
        <f aca="false">IF(E110="","",A110&amp;"_1.jpg")</f>
        <v/>
      </c>
      <c r="J110" s="84" t="str">
        <f aca="false">IF(E110="","",A110&amp;"_2.jpg; "&amp;A110&amp;"_3.jpg")</f>
        <v/>
      </c>
      <c r="K110" s="84" t="str">
        <f aca="false">IF(E110="","",A110&amp;"_schema.jpg")</f>
        <v/>
      </c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 t="s">
        <v>96</v>
      </c>
      <c r="W110" s="81"/>
      <c r="X110" s="81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6" t="str">
        <f aca="false">IF(SUM(Y110:AJ110)=0,"",SUM(Y110:AJ110))</f>
        <v/>
      </c>
      <c r="AL110" s="84" t="str">
        <f aca="false">MID(IF(N(Y110)&gt;0,", "&amp;Y$2,"")&amp;IF(N(Z110)&gt;0,", "&amp;Z$2,"")&amp;IF(N(AA110)&gt;0,", "&amp;AA$2,"")&amp;IF(N(AB110)&gt;0,", "&amp;AB$2,"")&amp;IF(N(AC110)&gt;0,", "&amp;AC$2,"")&amp;IF(N(AD110)&gt;0,", "&amp;AD$2,"")&amp;IF(N(AE110)&gt;0,", "&amp;AE$2,"")&amp;IF(N(AF110)&gt;0,", "&amp;AF$2,"")&amp;IF(N(AG110)&gt;0,", "&amp;AG$2,"")&amp;IF(N(AH110)&gt;0,", "&amp;AH$2,"")&amp;IF(N(AI110)&gt;0,", "&amp;AI$2,"")&amp;IF(N(AJ110)&gt;0,", "&amp;AJ$2,""),3,999)</f>
        <v/>
      </c>
      <c r="AM110" s="87" t="str">
        <f aca="false">IF(E110="","",MID(IF(N(Y110)&gt;0,", "&amp;A110&amp;"-"&amp;Y$2,"")&amp;IF(N(Z110)&gt;0,", "&amp;A110&amp;"-"&amp;Z$2,"")&amp;IF(N(AA110)&gt;0,", "&amp;A110&amp;"-"&amp;AA$2,"")&amp;IF(N(AB110)&gt;0,", "&amp;A110&amp;"-"&amp;AB$2,"")&amp;IF(N(AC110)&gt;0,", "&amp;A110&amp;"-"&amp;AC$2,"")&amp;IF(N(AD110)&gt;0,", "&amp;A110&amp;"-"&amp;AD$2,"")&amp;IF(N(AE110)&gt;0,", "&amp;A110&amp;"-"&amp;AE$2,"")&amp;IF(N(AF110)&gt;0,", "&amp;A110&amp;"-"&amp;AF$2,"")&amp;IF(N(AG110)&gt;0,", "&amp;A110&amp;"-"&amp;AG$2,"")&amp;IF(N(AH110)&gt;0,", "&amp;A110&amp;"-"&amp;AH$2,"")&amp;IF(N(AI110)&gt;0,", "&amp;A110&amp;"-"&amp;AI$2,"")&amp;IF(N(AJ110)&gt;0,", "&amp;A110&amp;"-"&amp;AJ$2,""),3,999))</f>
        <v/>
      </c>
      <c r="AN110" s="81"/>
      <c r="AO110" s="88"/>
      <c r="AP110" s="89" t="str">
        <f aca="false">IF(AO110="","",ROUND(AO110/(1+Справочники!$B$13),2))</f>
        <v/>
      </c>
      <c r="AQ110" s="90" t="str">
        <f aca="false" t="array" ref="AQ110:AQ110">IF(AP110="","",AP110*INDEX(Справочники!$B$4:$B$7,MATCH("RUB",Справочники!$A$4:$A$7,0)))</f>
        <v/>
      </c>
      <c r="AR110" s="90" t="str">
        <f aca="false">IF(AQ110="","",ROUND(AQ110*(1+Справочники!$B$12),0))</f>
        <v/>
      </c>
      <c r="AS110" s="90" t="str">
        <f aca="false">IF(AR110="","",ROUND(AR110*(1-Справочники!$B$11),0))</f>
        <v/>
      </c>
      <c r="AT110" s="88"/>
      <c r="AU110" s="90" t="str">
        <f aca="false">IF(AT110="","",ROUND(AT110/(1+Справочники!$B$12),0))</f>
        <v/>
      </c>
      <c r="AV110" s="90" t="str">
        <f aca="false">IF(AT110="","",ROUND(AT110*(1-Справочники!$B$15),0))</f>
        <v/>
      </c>
      <c r="AW110" s="90" t="str">
        <f aca="false">IF(AT110="","",ROUND(AT110*(1-Справочники!$B$16),0))</f>
        <v/>
      </c>
      <c r="AX110" s="90" t="str">
        <f aca="false">IF(AT110="","",ROUND(AT110*(1-Справочники!$B$17),0))</f>
        <v/>
      </c>
      <c r="AY110" s="90" t="str">
        <f aca="false">IF(AT110="","",ROUND(AT110*(1-Справочники!$B$18),0))</f>
        <v/>
      </c>
      <c r="AZ110" s="90" t="str">
        <f aca="false">IF(AT110="","",ROUND(AT110*(1-Справочники!$B$19),0))</f>
        <v/>
      </c>
      <c r="BA110" s="81"/>
      <c r="BB110" s="81"/>
      <c r="BC110" s="81"/>
      <c r="BD110" s="81"/>
      <c r="BE110" s="91"/>
      <c r="BF110" s="81" t="s">
        <v>103</v>
      </c>
      <c r="BG110" s="89" t="n">
        <f aca="false" t="array" ref="BG110:BG110">IF(BF110="","",IFERROR(INDEX(Справочники!$B$4:$B$7,MATCH(BF110,Справочники!$A$4:$A$7,0)),""))</f>
        <v>68.5</v>
      </c>
      <c r="BH110" s="90" t="str">
        <f aca="false">IF(N(BN110)&gt;0,ROUND(SUMIF(ЗАКАЗЫ!$F$3:$F$500,$A110,ЗАКАЗЫ!$Y$3:$Y$500)/BN110,0),IF(OR(BE110="",BG110=""),"",ROUND(BE110*BG110*(1+Справочники!$B$10),0)))</f>
        <v/>
      </c>
      <c r="BI110" s="92" t="str">
        <f aca="false">IF(OR(AU110="",BH110="",AU110=0),"",(AU110-BH110)/AU110)</f>
        <v/>
      </c>
      <c r="BJ110" s="81"/>
      <c r="BK110" s="83"/>
      <c r="BL110" s="43" t="str">
        <f aca="false">IFERROR(INDEX(ЗАКАЗЫ!$N$3:$N$500,MATCH($A110,ЗАКАЗЫ!$F$3:$F$500,0)),"")</f>
        <v/>
      </c>
      <c r="BM110" s="8" t="str">
        <f aca="false">IF(BL110="","",IFERROR(VLOOKUP(BL110,'ТН ВЭД'!$A$4:$C$40,3,0),""))</f>
        <v/>
      </c>
      <c r="BN110" s="7" t="str">
        <f aca="false">IF(COUNTIF(ЗАКАЗЫ!$F$3:$F$500,$A110)=0,"",SUMIF(ЗАКАЗЫ!$F$3:$F$500,$A110,ЗАКАЗЫ!$J$3:$J$500))</f>
        <v/>
      </c>
      <c r="BO110" s="7" t="str">
        <f aca="false">IF(BN110="","",SUMIF(ЗАКАЗЫ!$F$3:$F$500,$A110,ЗАКАЗЫ!$AL$3:$AL$500))</f>
        <v/>
      </c>
      <c r="BP110" s="7" t="str">
        <f aca="false">IF(BN110="","",BN110-BO110)</f>
        <v/>
      </c>
      <c r="BQ110" s="55" t="str">
        <f aca="false">IF(BN110="","",IF(BO110&gt;=BN110,"На складе",IF(BO110&gt;0,"Частично","Ждём")))</f>
        <v/>
      </c>
      <c r="BR110" s="43"/>
      <c r="BS110" s="47" t="str">
        <f aca="false">IF(BN110="","",IF(_xlfn.MAXIFS(ЗАКАЗЫ!$AK$3:$AK$500,ЗАКАЗЫ!$F$3:$F$500,$A110)=0,"",_xlfn.MAXIFS(ЗАКАЗЫ!$AK$3:$AK$500,ЗАКАЗЫ!$F$3:$F$500,$A110)))</f>
        <v/>
      </c>
    </row>
    <row r="111" customFormat="false" ht="15.75" hidden="false" customHeight="true" outlineLevel="0" collapsed="false">
      <c r="A111" s="80" t="s">
        <v>2651</v>
      </c>
      <c r="B111" s="81"/>
      <c r="C111" s="81"/>
      <c r="D111" s="81"/>
      <c r="E111" s="83"/>
      <c r="F111" s="81"/>
      <c r="G111" s="83"/>
      <c r="H111" s="83"/>
      <c r="I111" s="84" t="str">
        <f aca="false">IF(E111="","",A111&amp;"_1.jpg")</f>
        <v/>
      </c>
      <c r="J111" s="84" t="str">
        <f aca="false">IF(E111="","",A111&amp;"_2.jpg; "&amp;A111&amp;"_3.jpg")</f>
        <v/>
      </c>
      <c r="K111" s="84" t="str">
        <f aca="false">IF(E111="","",A111&amp;"_schema.jpg")</f>
        <v/>
      </c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 t="s">
        <v>96</v>
      </c>
      <c r="W111" s="81"/>
      <c r="X111" s="81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6" t="str">
        <f aca="false">IF(SUM(Y111:AJ111)=0,"",SUM(Y111:AJ111))</f>
        <v/>
      </c>
      <c r="AL111" s="84" t="str">
        <f aca="false">MID(IF(N(Y111)&gt;0,", "&amp;Y$2,"")&amp;IF(N(Z111)&gt;0,", "&amp;Z$2,"")&amp;IF(N(AA111)&gt;0,", "&amp;AA$2,"")&amp;IF(N(AB111)&gt;0,", "&amp;AB$2,"")&amp;IF(N(AC111)&gt;0,", "&amp;AC$2,"")&amp;IF(N(AD111)&gt;0,", "&amp;AD$2,"")&amp;IF(N(AE111)&gt;0,", "&amp;AE$2,"")&amp;IF(N(AF111)&gt;0,", "&amp;AF$2,"")&amp;IF(N(AG111)&gt;0,", "&amp;AG$2,"")&amp;IF(N(AH111)&gt;0,", "&amp;AH$2,"")&amp;IF(N(AI111)&gt;0,", "&amp;AI$2,"")&amp;IF(N(AJ111)&gt;0,", "&amp;AJ$2,""),3,999)</f>
        <v/>
      </c>
      <c r="AM111" s="87" t="str">
        <f aca="false">IF(E111="","",MID(IF(N(Y111)&gt;0,", "&amp;A111&amp;"-"&amp;Y$2,"")&amp;IF(N(Z111)&gt;0,", "&amp;A111&amp;"-"&amp;Z$2,"")&amp;IF(N(AA111)&gt;0,", "&amp;A111&amp;"-"&amp;AA$2,"")&amp;IF(N(AB111)&gt;0,", "&amp;A111&amp;"-"&amp;AB$2,"")&amp;IF(N(AC111)&gt;0,", "&amp;A111&amp;"-"&amp;AC$2,"")&amp;IF(N(AD111)&gt;0,", "&amp;A111&amp;"-"&amp;AD$2,"")&amp;IF(N(AE111)&gt;0,", "&amp;A111&amp;"-"&amp;AE$2,"")&amp;IF(N(AF111)&gt;0,", "&amp;A111&amp;"-"&amp;AF$2,"")&amp;IF(N(AG111)&gt;0,", "&amp;A111&amp;"-"&amp;AG$2,"")&amp;IF(N(AH111)&gt;0,", "&amp;A111&amp;"-"&amp;AH$2,"")&amp;IF(N(AI111)&gt;0,", "&amp;A111&amp;"-"&amp;AI$2,"")&amp;IF(N(AJ111)&gt;0,", "&amp;A111&amp;"-"&amp;AJ$2,""),3,999))</f>
        <v/>
      </c>
      <c r="AN111" s="81"/>
      <c r="AO111" s="88"/>
      <c r="AP111" s="89" t="str">
        <f aca="false">IF(AO111="","",ROUND(AO111/(1+Справочники!$B$13),2))</f>
        <v/>
      </c>
      <c r="AQ111" s="90" t="str">
        <f aca="false" t="array" ref="AQ111:AQ111">IF(AP111="","",AP111*INDEX(Справочники!$B$4:$B$7,MATCH("RUB",Справочники!$A$4:$A$7,0)))</f>
        <v/>
      </c>
      <c r="AR111" s="90" t="str">
        <f aca="false">IF(AQ111="","",ROUND(AQ111*(1+Справочники!$B$12),0))</f>
        <v/>
      </c>
      <c r="AS111" s="90" t="str">
        <f aca="false">IF(AR111="","",ROUND(AR111*(1-Справочники!$B$11),0))</f>
        <v/>
      </c>
      <c r="AT111" s="88"/>
      <c r="AU111" s="90" t="str">
        <f aca="false">IF(AT111="","",ROUND(AT111/(1+Справочники!$B$12),0))</f>
        <v/>
      </c>
      <c r="AV111" s="90" t="str">
        <f aca="false">IF(AT111="","",ROUND(AT111*(1-Справочники!$B$15),0))</f>
        <v/>
      </c>
      <c r="AW111" s="90" t="str">
        <f aca="false">IF(AT111="","",ROUND(AT111*(1-Справочники!$B$16),0))</f>
        <v/>
      </c>
      <c r="AX111" s="90" t="str">
        <f aca="false">IF(AT111="","",ROUND(AT111*(1-Справочники!$B$17),0))</f>
        <v/>
      </c>
      <c r="AY111" s="90" t="str">
        <f aca="false">IF(AT111="","",ROUND(AT111*(1-Справочники!$B$18),0))</f>
        <v/>
      </c>
      <c r="AZ111" s="90" t="str">
        <f aca="false">IF(AT111="","",ROUND(AT111*(1-Справочники!$B$19),0))</f>
        <v/>
      </c>
      <c r="BA111" s="81"/>
      <c r="BB111" s="81"/>
      <c r="BC111" s="81"/>
      <c r="BD111" s="81"/>
      <c r="BE111" s="91"/>
      <c r="BF111" s="81" t="s">
        <v>103</v>
      </c>
      <c r="BG111" s="89" t="n">
        <f aca="false" t="array" ref="BG111:BG111">IF(BF111="","",IFERROR(INDEX(Справочники!$B$4:$B$7,MATCH(BF111,Справочники!$A$4:$A$7,0)),""))</f>
        <v>68.5</v>
      </c>
      <c r="BH111" s="90" t="str">
        <f aca="false">IF(N(BN111)&gt;0,ROUND(SUMIF(ЗАКАЗЫ!$F$3:$F$500,$A111,ЗАКАЗЫ!$Y$3:$Y$500)/BN111,0),IF(OR(BE111="",BG111=""),"",ROUND(BE111*BG111*(1+Справочники!$B$10),0)))</f>
        <v/>
      </c>
      <c r="BI111" s="92" t="str">
        <f aca="false">IF(OR(AU111="",BH111="",AU111=0),"",(AU111-BH111)/AU111)</f>
        <v/>
      </c>
      <c r="BJ111" s="81"/>
      <c r="BK111" s="83"/>
      <c r="BL111" s="43" t="str">
        <f aca="false">IFERROR(INDEX(ЗАКАЗЫ!$N$3:$N$500,MATCH($A111,ЗАКАЗЫ!$F$3:$F$500,0)),"")</f>
        <v/>
      </c>
      <c r="BM111" s="8" t="str">
        <f aca="false">IF(BL111="","",IFERROR(VLOOKUP(BL111,'ТН ВЭД'!$A$4:$C$40,3,0),""))</f>
        <v/>
      </c>
      <c r="BN111" s="7" t="str">
        <f aca="false">IF(COUNTIF(ЗАКАЗЫ!$F$3:$F$500,$A111)=0,"",SUMIF(ЗАКАЗЫ!$F$3:$F$500,$A111,ЗАКАЗЫ!$J$3:$J$500))</f>
        <v/>
      </c>
      <c r="BO111" s="7" t="str">
        <f aca="false">IF(BN111="","",SUMIF(ЗАКАЗЫ!$F$3:$F$500,$A111,ЗАКАЗЫ!$AL$3:$AL$500))</f>
        <v/>
      </c>
      <c r="BP111" s="7" t="str">
        <f aca="false">IF(BN111="","",BN111-BO111)</f>
        <v/>
      </c>
      <c r="BQ111" s="55" t="str">
        <f aca="false">IF(BN111="","",IF(BO111&gt;=BN111,"На складе",IF(BO111&gt;0,"Частично","Ждём")))</f>
        <v/>
      </c>
      <c r="BR111" s="43"/>
      <c r="BS111" s="47" t="str">
        <f aca="false">IF(BN111="","",IF(_xlfn.MAXIFS(ЗАКАЗЫ!$AK$3:$AK$500,ЗАКАЗЫ!$F$3:$F$500,$A111)=0,"",_xlfn.MAXIFS(ЗАКАЗЫ!$AK$3:$AK$500,ЗАКАЗЫ!$F$3:$F$500,$A111)))</f>
        <v/>
      </c>
    </row>
    <row r="112" customFormat="false" ht="15.75" hidden="false" customHeight="true" outlineLevel="0" collapsed="false">
      <c r="A112" s="80" t="s">
        <v>2652</v>
      </c>
      <c r="B112" s="81"/>
      <c r="C112" s="81"/>
      <c r="D112" s="81"/>
      <c r="E112" s="83"/>
      <c r="F112" s="81"/>
      <c r="G112" s="83"/>
      <c r="H112" s="83"/>
      <c r="I112" s="84" t="str">
        <f aca="false">IF(E112="","",A112&amp;"_1.jpg")</f>
        <v/>
      </c>
      <c r="J112" s="84" t="str">
        <f aca="false">IF(E112="","",A112&amp;"_2.jpg; "&amp;A112&amp;"_3.jpg")</f>
        <v/>
      </c>
      <c r="K112" s="84" t="str">
        <f aca="false">IF(E112="","",A112&amp;"_schema.jpg")</f>
        <v/>
      </c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 t="s">
        <v>96</v>
      </c>
      <c r="W112" s="81"/>
      <c r="X112" s="81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6" t="str">
        <f aca="false">IF(SUM(Y112:AJ112)=0,"",SUM(Y112:AJ112))</f>
        <v/>
      </c>
      <c r="AL112" s="84" t="str">
        <f aca="false">MID(IF(N(Y112)&gt;0,", "&amp;Y$2,"")&amp;IF(N(Z112)&gt;0,", "&amp;Z$2,"")&amp;IF(N(AA112)&gt;0,", "&amp;AA$2,"")&amp;IF(N(AB112)&gt;0,", "&amp;AB$2,"")&amp;IF(N(AC112)&gt;0,", "&amp;AC$2,"")&amp;IF(N(AD112)&gt;0,", "&amp;AD$2,"")&amp;IF(N(AE112)&gt;0,", "&amp;AE$2,"")&amp;IF(N(AF112)&gt;0,", "&amp;AF$2,"")&amp;IF(N(AG112)&gt;0,", "&amp;AG$2,"")&amp;IF(N(AH112)&gt;0,", "&amp;AH$2,"")&amp;IF(N(AI112)&gt;0,", "&amp;AI$2,"")&amp;IF(N(AJ112)&gt;0,", "&amp;AJ$2,""),3,999)</f>
        <v/>
      </c>
      <c r="AM112" s="87" t="str">
        <f aca="false">IF(E112="","",MID(IF(N(Y112)&gt;0,", "&amp;A112&amp;"-"&amp;Y$2,"")&amp;IF(N(Z112)&gt;0,", "&amp;A112&amp;"-"&amp;Z$2,"")&amp;IF(N(AA112)&gt;0,", "&amp;A112&amp;"-"&amp;AA$2,"")&amp;IF(N(AB112)&gt;0,", "&amp;A112&amp;"-"&amp;AB$2,"")&amp;IF(N(AC112)&gt;0,", "&amp;A112&amp;"-"&amp;AC$2,"")&amp;IF(N(AD112)&gt;0,", "&amp;A112&amp;"-"&amp;AD$2,"")&amp;IF(N(AE112)&gt;0,", "&amp;A112&amp;"-"&amp;AE$2,"")&amp;IF(N(AF112)&gt;0,", "&amp;A112&amp;"-"&amp;AF$2,"")&amp;IF(N(AG112)&gt;0,", "&amp;A112&amp;"-"&amp;AG$2,"")&amp;IF(N(AH112)&gt;0,", "&amp;A112&amp;"-"&amp;AH$2,"")&amp;IF(N(AI112)&gt;0,", "&amp;A112&amp;"-"&amp;AI$2,"")&amp;IF(N(AJ112)&gt;0,", "&amp;A112&amp;"-"&amp;AJ$2,""),3,999))</f>
        <v/>
      </c>
      <c r="AN112" s="81"/>
      <c r="AO112" s="88"/>
      <c r="AP112" s="89" t="str">
        <f aca="false">IF(AO112="","",ROUND(AO112/(1+Справочники!$B$13),2))</f>
        <v/>
      </c>
      <c r="AQ112" s="90" t="str">
        <f aca="false" t="array" ref="AQ112:AQ112">IF(AP112="","",AP112*INDEX(Справочники!$B$4:$B$7,MATCH("RUB",Справочники!$A$4:$A$7,0)))</f>
        <v/>
      </c>
      <c r="AR112" s="90" t="str">
        <f aca="false">IF(AQ112="","",ROUND(AQ112*(1+Справочники!$B$12),0))</f>
        <v/>
      </c>
      <c r="AS112" s="90" t="str">
        <f aca="false">IF(AR112="","",ROUND(AR112*(1-Справочники!$B$11),0))</f>
        <v/>
      </c>
      <c r="AT112" s="88"/>
      <c r="AU112" s="90" t="str">
        <f aca="false">IF(AT112="","",ROUND(AT112/(1+Справочники!$B$12),0))</f>
        <v/>
      </c>
      <c r="AV112" s="90" t="str">
        <f aca="false">IF(AT112="","",ROUND(AT112*(1-Справочники!$B$15),0))</f>
        <v/>
      </c>
      <c r="AW112" s="90" t="str">
        <f aca="false">IF(AT112="","",ROUND(AT112*(1-Справочники!$B$16),0))</f>
        <v/>
      </c>
      <c r="AX112" s="90" t="str">
        <f aca="false">IF(AT112="","",ROUND(AT112*(1-Справочники!$B$17),0))</f>
        <v/>
      </c>
      <c r="AY112" s="90" t="str">
        <f aca="false">IF(AT112="","",ROUND(AT112*(1-Справочники!$B$18),0))</f>
        <v/>
      </c>
      <c r="AZ112" s="90" t="str">
        <f aca="false">IF(AT112="","",ROUND(AT112*(1-Справочники!$B$19),0))</f>
        <v/>
      </c>
      <c r="BA112" s="81"/>
      <c r="BB112" s="81"/>
      <c r="BC112" s="81"/>
      <c r="BD112" s="81"/>
      <c r="BE112" s="91"/>
      <c r="BF112" s="81" t="s">
        <v>103</v>
      </c>
      <c r="BG112" s="89" t="n">
        <f aca="false" t="array" ref="BG112:BG112">IF(BF112="","",IFERROR(INDEX(Справочники!$B$4:$B$7,MATCH(BF112,Справочники!$A$4:$A$7,0)),""))</f>
        <v>68.5</v>
      </c>
      <c r="BH112" s="90" t="str">
        <f aca="false">IF(N(BN112)&gt;0,ROUND(SUMIF(ЗАКАЗЫ!$F$3:$F$500,$A112,ЗАКАЗЫ!$Y$3:$Y$500)/BN112,0),IF(OR(BE112="",BG112=""),"",ROUND(BE112*BG112*(1+Справочники!$B$10),0)))</f>
        <v/>
      </c>
      <c r="BI112" s="92" t="str">
        <f aca="false">IF(OR(AU112="",BH112="",AU112=0),"",(AU112-BH112)/AU112)</f>
        <v/>
      </c>
      <c r="BJ112" s="81"/>
      <c r="BK112" s="83"/>
      <c r="BL112" s="43" t="str">
        <f aca="false">IFERROR(INDEX(ЗАКАЗЫ!$N$3:$N$500,MATCH($A112,ЗАКАЗЫ!$F$3:$F$500,0)),"")</f>
        <v/>
      </c>
      <c r="BM112" s="8" t="str">
        <f aca="false">IF(BL112="","",IFERROR(VLOOKUP(BL112,'ТН ВЭД'!$A$4:$C$40,3,0),""))</f>
        <v/>
      </c>
      <c r="BN112" s="7" t="str">
        <f aca="false">IF(COUNTIF(ЗАКАЗЫ!$F$3:$F$500,$A112)=0,"",SUMIF(ЗАКАЗЫ!$F$3:$F$500,$A112,ЗАКАЗЫ!$J$3:$J$500))</f>
        <v/>
      </c>
      <c r="BO112" s="7" t="str">
        <f aca="false">IF(BN112="","",SUMIF(ЗАКАЗЫ!$F$3:$F$500,$A112,ЗАКАЗЫ!$AL$3:$AL$500))</f>
        <v/>
      </c>
      <c r="BP112" s="7" t="str">
        <f aca="false">IF(BN112="","",BN112-BO112)</f>
        <v/>
      </c>
      <c r="BQ112" s="55" t="str">
        <f aca="false">IF(BN112="","",IF(BO112&gt;=BN112,"На складе",IF(BO112&gt;0,"Частично","Ждём")))</f>
        <v/>
      </c>
      <c r="BR112" s="43"/>
      <c r="BS112" s="47" t="str">
        <f aca="false">IF(BN112="","",IF(_xlfn.MAXIFS(ЗАКАЗЫ!$AK$3:$AK$500,ЗАКАЗЫ!$F$3:$F$500,$A112)=0,"",_xlfn.MAXIFS(ЗАКАЗЫ!$AK$3:$AK$500,ЗАКАЗЫ!$F$3:$F$500,$A112)))</f>
        <v/>
      </c>
    </row>
    <row r="113" customFormat="false" ht="15.75" hidden="false" customHeight="true" outlineLevel="0" collapsed="false">
      <c r="A113" s="80" t="s">
        <v>2653</v>
      </c>
      <c r="B113" s="81"/>
      <c r="C113" s="81"/>
      <c r="D113" s="81"/>
      <c r="E113" s="83"/>
      <c r="F113" s="81"/>
      <c r="G113" s="83"/>
      <c r="H113" s="83"/>
      <c r="I113" s="84" t="str">
        <f aca="false">IF(E113="","",A113&amp;"_1.jpg")</f>
        <v/>
      </c>
      <c r="J113" s="84" t="str">
        <f aca="false">IF(E113="","",A113&amp;"_2.jpg; "&amp;A113&amp;"_3.jpg")</f>
        <v/>
      </c>
      <c r="K113" s="84" t="str">
        <f aca="false">IF(E113="","",A113&amp;"_schema.jpg")</f>
        <v/>
      </c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 t="s">
        <v>96</v>
      </c>
      <c r="W113" s="81"/>
      <c r="X113" s="81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6" t="str">
        <f aca="false">IF(SUM(Y113:AJ113)=0,"",SUM(Y113:AJ113))</f>
        <v/>
      </c>
      <c r="AL113" s="84" t="str">
        <f aca="false">MID(IF(N(Y113)&gt;0,", "&amp;Y$2,"")&amp;IF(N(Z113)&gt;0,", "&amp;Z$2,"")&amp;IF(N(AA113)&gt;0,", "&amp;AA$2,"")&amp;IF(N(AB113)&gt;0,", "&amp;AB$2,"")&amp;IF(N(AC113)&gt;0,", "&amp;AC$2,"")&amp;IF(N(AD113)&gt;0,", "&amp;AD$2,"")&amp;IF(N(AE113)&gt;0,", "&amp;AE$2,"")&amp;IF(N(AF113)&gt;0,", "&amp;AF$2,"")&amp;IF(N(AG113)&gt;0,", "&amp;AG$2,"")&amp;IF(N(AH113)&gt;0,", "&amp;AH$2,"")&amp;IF(N(AI113)&gt;0,", "&amp;AI$2,"")&amp;IF(N(AJ113)&gt;0,", "&amp;AJ$2,""),3,999)</f>
        <v/>
      </c>
      <c r="AM113" s="87" t="str">
        <f aca="false">IF(E113="","",MID(IF(N(Y113)&gt;0,", "&amp;A113&amp;"-"&amp;Y$2,"")&amp;IF(N(Z113)&gt;0,", "&amp;A113&amp;"-"&amp;Z$2,"")&amp;IF(N(AA113)&gt;0,", "&amp;A113&amp;"-"&amp;AA$2,"")&amp;IF(N(AB113)&gt;0,", "&amp;A113&amp;"-"&amp;AB$2,"")&amp;IF(N(AC113)&gt;0,", "&amp;A113&amp;"-"&amp;AC$2,"")&amp;IF(N(AD113)&gt;0,", "&amp;A113&amp;"-"&amp;AD$2,"")&amp;IF(N(AE113)&gt;0,", "&amp;A113&amp;"-"&amp;AE$2,"")&amp;IF(N(AF113)&gt;0,", "&amp;A113&amp;"-"&amp;AF$2,"")&amp;IF(N(AG113)&gt;0,", "&amp;A113&amp;"-"&amp;AG$2,"")&amp;IF(N(AH113)&gt;0,", "&amp;A113&amp;"-"&amp;AH$2,"")&amp;IF(N(AI113)&gt;0,", "&amp;A113&amp;"-"&amp;AI$2,"")&amp;IF(N(AJ113)&gt;0,", "&amp;A113&amp;"-"&amp;AJ$2,""),3,999))</f>
        <v/>
      </c>
      <c r="AN113" s="81"/>
      <c r="AO113" s="88"/>
      <c r="AP113" s="89" t="str">
        <f aca="false">IF(AO113="","",ROUND(AO113/(1+Справочники!$B$13),2))</f>
        <v/>
      </c>
      <c r="AQ113" s="90" t="str">
        <f aca="false" t="array" ref="AQ113:AQ113">IF(AP113="","",AP113*INDEX(Справочники!$B$4:$B$7,MATCH("RUB",Справочники!$A$4:$A$7,0)))</f>
        <v/>
      </c>
      <c r="AR113" s="90" t="str">
        <f aca="false">IF(AQ113="","",ROUND(AQ113*(1+Справочники!$B$12),0))</f>
        <v/>
      </c>
      <c r="AS113" s="90" t="str">
        <f aca="false">IF(AR113="","",ROUND(AR113*(1-Справочники!$B$11),0))</f>
        <v/>
      </c>
      <c r="AT113" s="88"/>
      <c r="AU113" s="90" t="str">
        <f aca="false">IF(AT113="","",ROUND(AT113/(1+Справочники!$B$12),0))</f>
        <v/>
      </c>
      <c r="AV113" s="90" t="str">
        <f aca="false">IF(AT113="","",ROUND(AT113*(1-Справочники!$B$15),0))</f>
        <v/>
      </c>
      <c r="AW113" s="90" t="str">
        <f aca="false">IF(AT113="","",ROUND(AT113*(1-Справочники!$B$16),0))</f>
        <v/>
      </c>
      <c r="AX113" s="90" t="str">
        <f aca="false">IF(AT113="","",ROUND(AT113*(1-Справочники!$B$17),0))</f>
        <v/>
      </c>
      <c r="AY113" s="90" t="str">
        <f aca="false">IF(AT113="","",ROUND(AT113*(1-Справочники!$B$18),0))</f>
        <v/>
      </c>
      <c r="AZ113" s="90" t="str">
        <f aca="false">IF(AT113="","",ROUND(AT113*(1-Справочники!$B$19),0))</f>
        <v/>
      </c>
      <c r="BA113" s="81"/>
      <c r="BB113" s="81"/>
      <c r="BC113" s="81"/>
      <c r="BD113" s="81"/>
      <c r="BE113" s="91"/>
      <c r="BF113" s="81" t="s">
        <v>103</v>
      </c>
      <c r="BG113" s="89" t="n">
        <f aca="false" t="array" ref="BG113:BG113">IF(BF113="","",IFERROR(INDEX(Справочники!$B$4:$B$7,MATCH(BF113,Справочники!$A$4:$A$7,0)),""))</f>
        <v>68.5</v>
      </c>
      <c r="BH113" s="90" t="str">
        <f aca="false">IF(N(BN113)&gt;0,ROUND(SUMIF(ЗАКАЗЫ!$F$3:$F$500,$A113,ЗАКАЗЫ!$Y$3:$Y$500)/BN113,0),IF(OR(BE113="",BG113=""),"",ROUND(BE113*BG113*(1+Справочники!$B$10),0)))</f>
        <v/>
      </c>
      <c r="BI113" s="92" t="str">
        <f aca="false">IF(OR(AU113="",BH113="",AU113=0),"",(AU113-BH113)/AU113)</f>
        <v/>
      </c>
      <c r="BJ113" s="81"/>
      <c r="BK113" s="83"/>
      <c r="BL113" s="43" t="str">
        <f aca="false">IFERROR(INDEX(ЗАКАЗЫ!$N$3:$N$500,MATCH($A113,ЗАКАЗЫ!$F$3:$F$500,0)),"")</f>
        <v/>
      </c>
      <c r="BM113" s="8" t="str">
        <f aca="false">IF(BL113="","",IFERROR(VLOOKUP(BL113,'ТН ВЭД'!$A$4:$C$40,3,0),""))</f>
        <v/>
      </c>
      <c r="BN113" s="7" t="str">
        <f aca="false">IF(COUNTIF(ЗАКАЗЫ!$F$3:$F$500,$A113)=0,"",SUMIF(ЗАКАЗЫ!$F$3:$F$500,$A113,ЗАКАЗЫ!$J$3:$J$500))</f>
        <v/>
      </c>
      <c r="BO113" s="7" t="str">
        <f aca="false">IF(BN113="","",SUMIF(ЗАКАЗЫ!$F$3:$F$500,$A113,ЗАКАЗЫ!$AL$3:$AL$500))</f>
        <v/>
      </c>
      <c r="BP113" s="7" t="str">
        <f aca="false">IF(BN113="","",BN113-BO113)</f>
        <v/>
      </c>
      <c r="BQ113" s="55" t="str">
        <f aca="false">IF(BN113="","",IF(BO113&gt;=BN113,"На складе",IF(BO113&gt;0,"Частично","Ждём")))</f>
        <v/>
      </c>
      <c r="BR113" s="43"/>
      <c r="BS113" s="47" t="str">
        <f aca="false">IF(BN113="","",IF(_xlfn.MAXIFS(ЗАКАЗЫ!$AK$3:$AK$500,ЗАКАЗЫ!$F$3:$F$500,$A113)=0,"",_xlfn.MAXIFS(ЗАКАЗЫ!$AK$3:$AK$500,ЗАКАЗЫ!$F$3:$F$500,$A113)))</f>
        <v/>
      </c>
    </row>
    <row r="114" customFormat="false" ht="15.75" hidden="false" customHeight="true" outlineLevel="0" collapsed="false">
      <c r="A114" s="80" t="s">
        <v>2654</v>
      </c>
      <c r="B114" s="81"/>
      <c r="C114" s="81"/>
      <c r="D114" s="81"/>
      <c r="E114" s="83"/>
      <c r="F114" s="81"/>
      <c r="G114" s="83"/>
      <c r="H114" s="83"/>
      <c r="I114" s="84" t="str">
        <f aca="false">IF(E114="","",A114&amp;"_1.jpg")</f>
        <v/>
      </c>
      <c r="J114" s="84" t="str">
        <f aca="false">IF(E114="","",A114&amp;"_2.jpg; "&amp;A114&amp;"_3.jpg")</f>
        <v/>
      </c>
      <c r="K114" s="84" t="str">
        <f aca="false">IF(E114="","",A114&amp;"_schema.jpg")</f>
        <v/>
      </c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 t="s">
        <v>96</v>
      </c>
      <c r="W114" s="81"/>
      <c r="X114" s="81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6" t="str">
        <f aca="false">IF(SUM(Y114:AJ114)=0,"",SUM(Y114:AJ114))</f>
        <v/>
      </c>
      <c r="AL114" s="84" t="str">
        <f aca="false">MID(IF(N(Y114)&gt;0,", "&amp;Y$2,"")&amp;IF(N(Z114)&gt;0,", "&amp;Z$2,"")&amp;IF(N(AA114)&gt;0,", "&amp;AA$2,"")&amp;IF(N(AB114)&gt;0,", "&amp;AB$2,"")&amp;IF(N(AC114)&gt;0,", "&amp;AC$2,"")&amp;IF(N(AD114)&gt;0,", "&amp;AD$2,"")&amp;IF(N(AE114)&gt;0,", "&amp;AE$2,"")&amp;IF(N(AF114)&gt;0,", "&amp;AF$2,"")&amp;IF(N(AG114)&gt;0,", "&amp;AG$2,"")&amp;IF(N(AH114)&gt;0,", "&amp;AH$2,"")&amp;IF(N(AI114)&gt;0,", "&amp;AI$2,"")&amp;IF(N(AJ114)&gt;0,", "&amp;AJ$2,""),3,999)</f>
        <v/>
      </c>
      <c r="AM114" s="87" t="str">
        <f aca="false">IF(E114="","",MID(IF(N(Y114)&gt;0,", "&amp;A114&amp;"-"&amp;Y$2,"")&amp;IF(N(Z114)&gt;0,", "&amp;A114&amp;"-"&amp;Z$2,"")&amp;IF(N(AA114)&gt;0,", "&amp;A114&amp;"-"&amp;AA$2,"")&amp;IF(N(AB114)&gt;0,", "&amp;A114&amp;"-"&amp;AB$2,"")&amp;IF(N(AC114)&gt;0,", "&amp;A114&amp;"-"&amp;AC$2,"")&amp;IF(N(AD114)&gt;0,", "&amp;A114&amp;"-"&amp;AD$2,"")&amp;IF(N(AE114)&gt;0,", "&amp;A114&amp;"-"&amp;AE$2,"")&amp;IF(N(AF114)&gt;0,", "&amp;A114&amp;"-"&amp;AF$2,"")&amp;IF(N(AG114)&gt;0,", "&amp;A114&amp;"-"&amp;AG$2,"")&amp;IF(N(AH114)&gt;0,", "&amp;A114&amp;"-"&amp;AH$2,"")&amp;IF(N(AI114)&gt;0,", "&amp;A114&amp;"-"&amp;AI$2,"")&amp;IF(N(AJ114)&gt;0,", "&amp;A114&amp;"-"&amp;AJ$2,""),3,999))</f>
        <v/>
      </c>
      <c r="AN114" s="81"/>
      <c r="AO114" s="88"/>
      <c r="AP114" s="89" t="str">
        <f aca="false">IF(AO114="","",ROUND(AO114/(1+Справочники!$B$13),2))</f>
        <v/>
      </c>
      <c r="AQ114" s="90" t="str">
        <f aca="false" t="array" ref="AQ114:AQ114">IF(AP114="","",AP114*INDEX(Справочники!$B$4:$B$7,MATCH("RUB",Справочники!$A$4:$A$7,0)))</f>
        <v/>
      </c>
      <c r="AR114" s="90" t="str">
        <f aca="false">IF(AQ114="","",ROUND(AQ114*(1+Справочники!$B$12),0))</f>
        <v/>
      </c>
      <c r="AS114" s="90" t="str">
        <f aca="false">IF(AR114="","",ROUND(AR114*(1-Справочники!$B$11),0))</f>
        <v/>
      </c>
      <c r="AT114" s="88"/>
      <c r="AU114" s="90" t="str">
        <f aca="false">IF(AT114="","",ROUND(AT114/(1+Справочники!$B$12),0))</f>
        <v/>
      </c>
      <c r="AV114" s="90" t="str">
        <f aca="false">IF(AT114="","",ROUND(AT114*(1-Справочники!$B$15),0))</f>
        <v/>
      </c>
      <c r="AW114" s="90" t="str">
        <f aca="false">IF(AT114="","",ROUND(AT114*(1-Справочники!$B$16),0))</f>
        <v/>
      </c>
      <c r="AX114" s="90" t="str">
        <f aca="false">IF(AT114="","",ROUND(AT114*(1-Справочники!$B$17),0))</f>
        <v/>
      </c>
      <c r="AY114" s="90" t="str">
        <f aca="false">IF(AT114="","",ROUND(AT114*(1-Справочники!$B$18),0))</f>
        <v/>
      </c>
      <c r="AZ114" s="90" t="str">
        <f aca="false">IF(AT114="","",ROUND(AT114*(1-Справочники!$B$19),0))</f>
        <v/>
      </c>
      <c r="BA114" s="81"/>
      <c r="BB114" s="81"/>
      <c r="BC114" s="81"/>
      <c r="BD114" s="81"/>
      <c r="BE114" s="91"/>
      <c r="BF114" s="81" t="s">
        <v>103</v>
      </c>
      <c r="BG114" s="89" t="n">
        <f aca="false" t="array" ref="BG114:BG114">IF(BF114="","",IFERROR(INDEX(Справочники!$B$4:$B$7,MATCH(BF114,Справочники!$A$4:$A$7,0)),""))</f>
        <v>68.5</v>
      </c>
      <c r="BH114" s="90" t="str">
        <f aca="false">IF(N(BN114)&gt;0,ROUND(SUMIF(ЗАКАЗЫ!$F$3:$F$500,$A114,ЗАКАЗЫ!$Y$3:$Y$500)/BN114,0),IF(OR(BE114="",BG114=""),"",ROUND(BE114*BG114*(1+Справочники!$B$10),0)))</f>
        <v/>
      </c>
      <c r="BI114" s="92" t="str">
        <f aca="false">IF(OR(AU114="",BH114="",AU114=0),"",(AU114-BH114)/AU114)</f>
        <v/>
      </c>
      <c r="BJ114" s="81"/>
      <c r="BK114" s="83"/>
      <c r="BL114" s="43" t="str">
        <f aca="false">IFERROR(INDEX(ЗАКАЗЫ!$N$3:$N$500,MATCH($A114,ЗАКАЗЫ!$F$3:$F$500,0)),"")</f>
        <v/>
      </c>
      <c r="BM114" s="8" t="str">
        <f aca="false">IF(BL114="","",IFERROR(VLOOKUP(BL114,'ТН ВЭД'!$A$4:$C$40,3,0),""))</f>
        <v/>
      </c>
      <c r="BN114" s="7" t="str">
        <f aca="false">IF(COUNTIF(ЗАКАЗЫ!$F$3:$F$500,$A114)=0,"",SUMIF(ЗАКАЗЫ!$F$3:$F$500,$A114,ЗАКАЗЫ!$J$3:$J$500))</f>
        <v/>
      </c>
      <c r="BO114" s="7" t="str">
        <f aca="false">IF(BN114="","",SUMIF(ЗАКАЗЫ!$F$3:$F$500,$A114,ЗАКАЗЫ!$AL$3:$AL$500))</f>
        <v/>
      </c>
      <c r="BP114" s="7" t="str">
        <f aca="false">IF(BN114="","",BN114-BO114)</f>
        <v/>
      </c>
      <c r="BQ114" s="55" t="str">
        <f aca="false">IF(BN114="","",IF(BO114&gt;=BN114,"На складе",IF(BO114&gt;0,"Частично","Ждём")))</f>
        <v/>
      </c>
      <c r="BR114" s="43"/>
      <c r="BS114" s="47" t="str">
        <f aca="false">IF(BN114="","",IF(_xlfn.MAXIFS(ЗАКАЗЫ!$AK$3:$AK$500,ЗАКАЗЫ!$F$3:$F$500,$A114)=0,"",_xlfn.MAXIFS(ЗАКАЗЫ!$AK$3:$AK$500,ЗАКАЗЫ!$F$3:$F$500,$A114)))</f>
        <v/>
      </c>
    </row>
    <row r="115" customFormat="false" ht="15.75" hidden="false" customHeight="true" outlineLevel="0" collapsed="false">
      <c r="A115" s="80" t="s">
        <v>2655</v>
      </c>
      <c r="B115" s="81"/>
      <c r="C115" s="81"/>
      <c r="D115" s="81"/>
      <c r="E115" s="83"/>
      <c r="F115" s="81"/>
      <c r="G115" s="83"/>
      <c r="H115" s="83"/>
      <c r="I115" s="84" t="str">
        <f aca="false">IF(E115="","",A115&amp;"_1.jpg")</f>
        <v/>
      </c>
      <c r="J115" s="84" t="str">
        <f aca="false">IF(E115="","",A115&amp;"_2.jpg; "&amp;A115&amp;"_3.jpg")</f>
        <v/>
      </c>
      <c r="K115" s="84" t="str">
        <f aca="false">IF(E115="","",A115&amp;"_schema.jpg")</f>
        <v/>
      </c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 t="s">
        <v>96</v>
      </c>
      <c r="W115" s="81"/>
      <c r="X115" s="81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6" t="str">
        <f aca="false">IF(SUM(Y115:AJ115)=0,"",SUM(Y115:AJ115))</f>
        <v/>
      </c>
      <c r="AL115" s="84" t="str">
        <f aca="false">MID(IF(N(Y115)&gt;0,", "&amp;Y$2,"")&amp;IF(N(Z115)&gt;0,", "&amp;Z$2,"")&amp;IF(N(AA115)&gt;0,", "&amp;AA$2,"")&amp;IF(N(AB115)&gt;0,", "&amp;AB$2,"")&amp;IF(N(AC115)&gt;0,", "&amp;AC$2,"")&amp;IF(N(AD115)&gt;0,", "&amp;AD$2,"")&amp;IF(N(AE115)&gt;0,", "&amp;AE$2,"")&amp;IF(N(AF115)&gt;0,", "&amp;AF$2,"")&amp;IF(N(AG115)&gt;0,", "&amp;AG$2,"")&amp;IF(N(AH115)&gt;0,", "&amp;AH$2,"")&amp;IF(N(AI115)&gt;0,", "&amp;AI$2,"")&amp;IF(N(AJ115)&gt;0,", "&amp;AJ$2,""),3,999)</f>
        <v/>
      </c>
      <c r="AM115" s="87" t="str">
        <f aca="false">IF(E115="","",MID(IF(N(Y115)&gt;0,", "&amp;A115&amp;"-"&amp;Y$2,"")&amp;IF(N(Z115)&gt;0,", "&amp;A115&amp;"-"&amp;Z$2,"")&amp;IF(N(AA115)&gt;0,", "&amp;A115&amp;"-"&amp;AA$2,"")&amp;IF(N(AB115)&gt;0,", "&amp;A115&amp;"-"&amp;AB$2,"")&amp;IF(N(AC115)&gt;0,", "&amp;A115&amp;"-"&amp;AC$2,"")&amp;IF(N(AD115)&gt;0,", "&amp;A115&amp;"-"&amp;AD$2,"")&amp;IF(N(AE115)&gt;0,", "&amp;A115&amp;"-"&amp;AE$2,"")&amp;IF(N(AF115)&gt;0,", "&amp;A115&amp;"-"&amp;AF$2,"")&amp;IF(N(AG115)&gt;0,", "&amp;A115&amp;"-"&amp;AG$2,"")&amp;IF(N(AH115)&gt;0,", "&amp;A115&amp;"-"&amp;AH$2,"")&amp;IF(N(AI115)&gt;0,", "&amp;A115&amp;"-"&amp;AI$2,"")&amp;IF(N(AJ115)&gt;0,", "&amp;A115&amp;"-"&amp;AJ$2,""),3,999))</f>
        <v/>
      </c>
      <c r="AN115" s="81"/>
      <c r="AO115" s="88"/>
      <c r="AP115" s="89" t="str">
        <f aca="false">IF(AO115="","",ROUND(AO115/(1+Справочники!$B$13),2))</f>
        <v/>
      </c>
      <c r="AQ115" s="90" t="str">
        <f aca="false" t="array" ref="AQ115:AQ115">IF(AP115="","",AP115*INDEX(Справочники!$B$4:$B$7,MATCH("RUB",Справочники!$A$4:$A$7,0)))</f>
        <v/>
      </c>
      <c r="AR115" s="90" t="str">
        <f aca="false">IF(AQ115="","",ROUND(AQ115*(1+Справочники!$B$12),0))</f>
        <v/>
      </c>
      <c r="AS115" s="90" t="str">
        <f aca="false">IF(AR115="","",ROUND(AR115*(1-Справочники!$B$11),0))</f>
        <v/>
      </c>
      <c r="AT115" s="88"/>
      <c r="AU115" s="90" t="str">
        <f aca="false">IF(AT115="","",ROUND(AT115/(1+Справочники!$B$12),0))</f>
        <v/>
      </c>
      <c r="AV115" s="90" t="str">
        <f aca="false">IF(AT115="","",ROUND(AT115*(1-Справочники!$B$15),0))</f>
        <v/>
      </c>
      <c r="AW115" s="90" t="str">
        <f aca="false">IF(AT115="","",ROUND(AT115*(1-Справочники!$B$16),0))</f>
        <v/>
      </c>
      <c r="AX115" s="90" t="str">
        <f aca="false">IF(AT115="","",ROUND(AT115*(1-Справочники!$B$17),0))</f>
        <v/>
      </c>
      <c r="AY115" s="90" t="str">
        <f aca="false">IF(AT115="","",ROUND(AT115*(1-Справочники!$B$18),0))</f>
        <v/>
      </c>
      <c r="AZ115" s="90" t="str">
        <f aca="false">IF(AT115="","",ROUND(AT115*(1-Справочники!$B$19),0))</f>
        <v/>
      </c>
      <c r="BA115" s="81"/>
      <c r="BB115" s="81"/>
      <c r="BC115" s="81"/>
      <c r="BD115" s="81"/>
      <c r="BE115" s="91"/>
      <c r="BF115" s="81" t="s">
        <v>103</v>
      </c>
      <c r="BG115" s="89" t="n">
        <f aca="false" t="array" ref="BG115:BG115">IF(BF115="","",IFERROR(INDEX(Справочники!$B$4:$B$7,MATCH(BF115,Справочники!$A$4:$A$7,0)),""))</f>
        <v>68.5</v>
      </c>
      <c r="BH115" s="90" t="str">
        <f aca="false">IF(N(BN115)&gt;0,ROUND(SUMIF(ЗАКАЗЫ!$F$3:$F$500,$A115,ЗАКАЗЫ!$Y$3:$Y$500)/BN115,0),IF(OR(BE115="",BG115=""),"",ROUND(BE115*BG115*(1+Справочники!$B$10),0)))</f>
        <v/>
      </c>
      <c r="BI115" s="92" t="str">
        <f aca="false">IF(OR(AU115="",BH115="",AU115=0),"",(AU115-BH115)/AU115)</f>
        <v/>
      </c>
      <c r="BJ115" s="81"/>
      <c r="BK115" s="83"/>
      <c r="BL115" s="43" t="str">
        <f aca="false">IFERROR(INDEX(ЗАКАЗЫ!$N$3:$N$500,MATCH($A115,ЗАКАЗЫ!$F$3:$F$500,0)),"")</f>
        <v/>
      </c>
      <c r="BM115" s="8" t="str">
        <f aca="false">IF(BL115="","",IFERROR(VLOOKUP(BL115,'ТН ВЭД'!$A$4:$C$40,3,0),""))</f>
        <v/>
      </c>
      <c r="BN115" s="7" t="str">
        <f aca="false">IF(COUNTIF(ЗАКАЗЫ!$F$3:$F$500,$A115)=0,"",SUMIF(ЗАКАЗЫ!$F$3:$F$500,$A115,ЗАКАЗЫ!$J$3:$J$500))</f>
        <v/>
      </c>
      <c r="BO115" s="7" t="str">
        <f aca="false">IF(BN115="","",SUMIF(ЗАКАЗЫ!$F$3:$F$500,$A115,ЗАКАЗЫ!$AL$3:$AL$500))</f>
        <v/>
      </c>
      <c r="BP115" s="7" t="str">
        <f aca="false">IF(BN115="","",BN115-BO115)</f>
        <v/>
      </c>
      <c r="BQ115" s="55" t="str">
        <f aca="false">IF(BN115="","",IF(BO115&gt;=BN115,"На складе",IF(BO115&gt;0,"Частично","Ждём")))</f>
        <v/>
      </c>
      <c r="BR115" s="43"/>
      <c r="BS115" s="47" t="str">
        <f aca="false">IF(BN115="","",IF(_xlfn.MAXIFS(ЗАКАЗЫ!$AK$3:$AK$500,ЗАКАЗЫ!$F$3:$F$500,$A115)=0,"",_xlfn.MAXIFS(ЗАКАЗЫ!$AK$3:$AK$500,ЗАКАЗЫ!$F$3:$F$500,$A115)))</f>
        <v/>
      </c>
    </row>
    <row r="116" customFormat="false" ht="15.75" hidden="false" customHeight="true" outlineLevel="0" collapsed="false">
      <c r="A116" s="80" t="s">
        <v>2656</v>
      </c>
      <c r="B116" s="81"/>
      <c r="C116" s="81"/>
      <c r="D116" s="81"/>
      <c r="E116" s="83"/>
      <c r="F116" s="81"/>
      <c r="G116" s="83"/>
      <c r="H116" s="83"/>
      <c r="I116" s="84" t="str">
        <f aca="false">IF(E116="","",A116&amp;"_1.jpg")</f>
        <v/>
      </c>
      <c r="J116" s="84" t="str">
        <f aca="false">IF(E116="","",A116&amp;"_2.jpg; "&amp;A116&amp;"_3.jpg")</f>
        <v/>
      </c>
      <c r="K116" s="84" t="str">
        <f aca="false">IF(E116="","",A116&amp;"_schema.jpg")</f>
        <v/>
      </c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 t="s">
        <v>96</v>
      </c>
      <c r="W116" s="81"/>
      <c r="X116" s="81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6" t="str">
        <f aca="false">IF(SUM(Y116:AJ116)=0,"",SUM(Y116:AJ116))</f>
        <v/>
      </c>
      <c r="AL116" s="84" t="str">
        <f aca="false">MID(IF(N(Y116)&gt;0,", "&amp;Y$2,"")&amp;IF(N(Z116)&gt;0,", "&amp;Z$2,"")&amp;IF(N(AA116)&gt;0,", "&amp;AA$2,"")&amp;IF(N(AB116)&gt;0,", "&amp;AB$2,"")&amp;IF(N(AC116)&gt;0,", "&amp;AC$2,"")&amp;IF(N(AD116)&gt;0,", "&amp;AD$2,"")&amp;IF(N(AE116)&gt;0,", "&amp;AE$2,"")&amp;IF(N(AF116)&gt;0,", "&amp;AF$2,"")&amp;IF(N(AG116)&gt;0,", "&amp;AG$2,"")&amp;IF(N(AH116)&gt;0,", "&amp;AH$2,"")&amp;IF(N(AI116)&gt;0,", "&amp;AI$2,"")&amp;IF(N(AJ116)&gt;0,", "&amp;AJ$2,""),3,999)</f>
        <v/>
      </c>
      <c r="AM116" s="87" t="str">
        <f aca="false">IF(E116="","",MID(IF(N(Y116)&gt;0,", "&amp;A116&amp;"-"&amp;Y$2,"")&amp;IF(N(Z116)&gt;0,", "&amp;A116&amp;"-"&amp;Z$2,"")&amp;IF(N(AA116)&gt;0,", "&amp;A116&amp;"-"&amp;AA$2,"")&amp;IF(N(AB116)&gt;0,", "&amp;A116&amp;"-"&amp;AB$2,"")&amp;IF(N(AC116)&gt;0,", "&amp;A116&amp;"-"&amp;AC$2,"")&amp;IF(N(AD116)&gt;0,", "&amp;A116&amp;"-"&amp;AD$2,"")&amp;IF(N(AE116)&gt;0,", "&amp;A116&amp;"-"&amp;AE$2,"")&amp;IF(N(AF116)&gt;0,", "&amp;A116&amp;"-"&amp;AF$2,"")&amp;IF(N(AG116)&gt;0,", "&amp;A116&amp;"-"&amp;AG$2,"")&amp;IF(N(AH116)&gt;0,", "&amp;A116&amp;"-"&amp;AH$2,"")&amp;IF(N(AI116)&gt;0,", "&amp;A116&amp;"-"&amp;AI$2,"")&amp;IF(N(AJ116)&gt;0,", "&amp;A116&amp;"-"&amp;AJ$2,""),3,999))</f>
        <v/>
      </c>
      <c r="AN116" s="81"/>
      <c r="AO116" s="88"/>
      <c r="AP116" s="89" t="str">
        <f aca="false">IF(AO116="","",ROUND(AO116/(1+Справочники!$B$13),2))</f>
        <v/>
      </c>
      <c r="AQ116" s="90" t="str">
        <f aca="false" t="array" ref="AQ116:AQ116">IF(AP116="","",AP116*INDEX(Справочники!$B$4:$B$7,MATCH("RUB",Справочники!$A$4:$A$7,0)))</f>
        <v/>
      </c>
      <c r="AR116" s="90" t="str">
        <f aca="false">IF(AQ116="","",ROUND(AQ116*(1+Справочники!$B$12),0))</f>
        <v/>
      </c>
      <c r="AS116" s="90" t="str">
        <f aca="false">IF(AR116="","",ROUND(AR116*(1-Справочники!$B$11),0))</f>
        <v/>
      </c>
      <c r="AT116" s="88"/>
      <c r="AU116" s="90" t="str">
        <f aca="false">IF(AT116="","",ROUND(AT116/(1+Справочники!$B$12),0))</f>
        <v/>
      </c>
      <c r="AV116" s="90" t="str">
        <f aca="false">IF(AT116="","",ROUND(AT116*(1-Справочники!$B$15),0))</f>
        <v/>
      </c>
      <c r="AW116" s="90" t="str">
        <f aca="false">IF(AT116="","",ROUND(AT116*(1-Справочники!$B$16),0))</f>
        <v/>
      </c>
      <c r="AX116" s="90" t="str">
        <f aca="false">IF(AT116="","",ROUND(AT116*(1-Справочники!$B$17),0))</f>
        <v/>
      </c>
      <c r="AY116" s="90" t="str">
        <f aca="false">IF(AT116="","",ROUND(AT116*(1-Справочники!$B$18),0))</f>
        <v/>
      </c>
      <c r="AZ116" s="90" t="str">
        <f aca="false">IF(AT116="","",ROUND(AT116*(1-Справочники!$B$19),0))</f>
        <v/>
      </c>
      <c r="BA116" s="81"/>
      <c r="BB116" s="81"/>
      <c r="BC116" s="81"/>
      <c r="BD116" s="81"/>
      <c r="BE116" s="91"/>
      <c r="BF116" s="81" t="s">
        <v>103</v>
      </c>
      <c r="BG116" s="89" t="n">
        <f aca="false" t="array" ref="BG116:BG116">IF(BF116="","",IFERROR(INDEX(Справочники!$B$4:$B$7,MATCH(BF116,Справочники!$A$4:$A$7,0)),""))</f>
        <v>68.5</v>
      </c>
      <c r="BH116" s="90" t="str">
        <f aca="false">IF(N(BN116)&gt;0,ROUND(SUMIF(ЗАКАЗЫ!$F$3:$F$500,$A116,ЗАКАЗЫ!$Y$3:$Y$500)/BN116,0),IF(OR(BE116="",BG116=""),"",ROUND(BE116*BG116*(1+Справочники!$B$10),0)))</f>
        <v/>
      </c>
      <c r="BI116" s="92" t="str">
        <f aca="false">IF(OR(AU116="",BH116="",AU116=0),"",(AU116-BH116)/AU116)</f>
        <v/>
      </c>
      <c r="BJ116" s="81"/>
      <c r="BK116" s="83"/>
      <c r="BL116" s="43" t="str">
        <f aca="false">IFERROR(INDEX(ЗАКАЗЫ!$N$3:$N$500,MATCH($A116,ЗАКАЗЫ!$F$3:$F$500,0)),"")</f>
        <v/>
      </c>
      <c r="BM116" s="8" t="str">
        <f aca="false">IF(BL116="","",IFERROR(VLOOKUP(BL116,'ТН ВЭД'!$A$4:$C$40,3,0),""))</f>
        <v/>
      </c>
      <c r="BN116" s="7" t="str">
        <f aca="false">IF(COUNTIF(ЗАКАЗЫ!$F$3:$F$500,$A116)=0,"",SUMIF(ЗАКАЗЫ!$F$3:$F$500,$A116,ЗАКАЗЫ!$J$3:$J$500))</f>
        <v/>
      </c>
      <c r="BO116" s="7" t="str">
        <f aca="false">IF(BN116="","",SUMIF(ЗАКАЗЫ!$F$3:$F$500,$A116,ЗАКАЗЫ!$AL$3:$AL$500))</f>
        <v/>
      </c>
      <c r="BP116" s="7" t="str">
        <f aca="false">IF(BN116="","",BN116-BO116)</f>
        <v/>
      </c>
      <c r="BQ116" s="55" t="str">
        <f aca="false">IF(BN116="","",IF(BO116&gt;=BN116,"На складе",IF(BO116&gt;0,"Частично","Ждём")))</f>
        <v/>
      </c>
      <c r="BR116" s="43"/>
      <c r="BS116" s="47" t="str">
        <f aca="false">IF(BN116="","",IF(_xlfn.MAXIFS(ЗАКАЗЫ!$AK$3:$AK$500,ЗАКАЗЫ!$F$3:$F$500,$A116)=0,"",_xlfn.MAXIFS(ЗАКАЗЫ!$AK$3:$AK$500,ЗАКАЗЫ!$F$3:$F$500,$A116)))</f>
        <v/>
      </c>
    </row>
    <row r="117" customFormat="false" ht="15.75" hidden="false" customHeight="true" outlineLevel="0" collapsed="false">
      <c r="A117" s="80" t="s">
        <v>2657</v>
      </c>
      <c r="B117" s="81"/>
      <c r="C117" s="81"/>
      <c r="D117" s="81"/>
      <c r="E117" s="83"/>
      <c r="F117" s="81"/>
      <c r="G117" s="83"/>
      <c r="H117" s="83"/>
      <c r="I117" s="84" t="str">
        <f aca="false">IF(E117="","",A117&amp;"_1.jpg")</f>
        <v/>
      </c>
      <c r="J117" s="84" t="str">
        <f aca="false">IF(E117="","",A117&amp;"_2.jpg; "&amp;A117&amp;"_3.jpg")</f>
        <v/>
      </c>
      <c r="K117" s="84" t="str">
        <f aca="false">IF(E117="","",A117&amp;"_schema.jpg")</f>
        <v/>
      </c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 t="s">
        <v>96</v>
      </c>
      <c r="W117" s="81"/>
      <c r="X117" s="81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6" t="str">
        <f aca="false">IF(SUM(Y117:AJ117)=0,"",SUM(Y117:AJ117))</f>
        <v/>
      </c>
      <c r="AL117" s="84" t="str">
        <f aca="false">MID(IF(N(Y117)&gt;0,", "&amp;Y$2,"")&amp;IF(N(Z117)&gt;0,", "&amp;Z$2,"")&amp;IF(N(AA117)&gt;0,", "&amp;AA$2,"")&amp;IF(N(AB117)&gt;0,", "&amp;AB$2,"")&amp;IF(N(AC117)&gt;0,", "&amp;AC$2,"")&amp;IF(N(AD117)&gt;0,", "&amp;AD$2,"")&amp;IF(N(AE117)&gt;0,", "&amp;AE$2,"")&amp;IF(N(AF117)&gt;0,", "&amp;AF$2,"")&amp;IF(N(AG117)&gt;0,", "&amp;AG$2,"")&amp;IF(N(AH117)&gt;0,", "&amp;AH$2,"")&amp;IF(N(AI117)&gt;0,", "&amp;AI$2,"")&amp;IF(N(AJ117)&gt;0,", "&amp;AJ$2,""),3,999)</f>
        <v/>
      </c>
      <c r="AM117" s="87" t="str">
        <f aca="false">IF(E117="","",MID(IF(N(Y117)&gt;0,", "&amp;A117&amp;"-"&amp;Y$2,"")&amp;IF(N(Z117)&gt;0,", "&amp;A117&amp;"-"&amp;Z$2,"")&amp;IF(N(AA117)&gt;0,", "&amp;A117&amp;"-"&amp;AA$2,"")&amp;IF(N(AB117)&gt;0,", "&amp;A117&amp;"-"&amp;AB$2,"")&amp;IF(N(AC117)&gt;0,", "&amp;A117&amp;"-"&amp;AC$2,"")&amp;IF(N(AD117)&gt;0,", "&amp;A117&amp;"-"&amp;AD$2,"")&amp;IF(N(AE117)&gt;0,", "&amp;A117&amp;"-"&amp;AE$2,"")&amp;IF(N(AF117)&gt;0,", "&amp;A117&amp;"-"&amp;AF$2,"")&amp;IF(N(AG117)&gt;0,", "&amp;A117&amp;"-"&amp;AG$2,"")&amp;IF(N(AH117)&gt;0,", "&amp;A117&amp;"-"&amp;AH$2,"")&amp;IF(N(AI117)&gt;0,", "&amp;A117&amp;"-"&amp;AI$2,"")&amp;IF(N(AJ117)&gt;0,", "&amp;A117&amp;"-"&amp;AJ$2,""),3,999))</f>
        <v/>
      </c>
      <c r="AN117" s="81"/>
      <c r="AO117" s="88"/>
      <c r="AP117" s="89" t="str">
        <f aca="false">IF(AO117="","",ROUND(AO117/(1+Справочники!$B$13),2))</f>
        <v/>
      </c>
      <c r="AQ117" s="90" t="str">
        <f aca="false" t="array" ref="AQ117:AQ117">IF(AP117="","",AP117*INDEX(Справочники!$B$4:$B$7,MATCH("RUB",Справочники!$A$4:$A$7,0)))</f>
        <v/>
      </c>
      <c r="AR117" s="90" t="str">
        <f aca="false">IF(AQ117="","",ROUND(AQ117*(1+Справочники!$B$12),0))</f>
        <v/>
      </c>
      <c r="AS117" s="90" t="str">
        <f aca="false">IF(AR117="","",ROUND(AR117*(1-Справочники!$B$11),0))</f>
        <v/>
      </c>
      <c r="AT117" s="88"/>
      <c r="AU117" s="90" t="str">
        <f aca="false">IF(AT117="","",ROUND(AT117/(1+Справочники!$B$12),0))</f>
        <v/>
      </c>
      <c r="AV117" s="90" t="str">
        <f aca="false">IF(AT117="","",ROUND(AT117*(1-Справочники!$B$15),0))</f>
        <v/>
      </c>
      <c r="AW117" s="90" t="str">
        <f aca="false">IF(AT117="","",ROUND(AT117*(1-Справочники!$B$16),0))</f>
        <v/>
      </c>
      <c r="AX117" s="90" t="str">
        <f aca="false">IF(AT117="","",ROUND(AT117*(1-Справочники!$B$17),0))</f>
        <v/>
      </c>
      <c r="AY117" s="90" t="str">
        <f aca="false">IF(AT117="","",ROUND(AT117*(1-Справочники!$B$18),0))</f>
        <v/>
      </c>
      <c r="AZ117" s="90" t="str">
        <f aca="false">IF(AT117="","",ROUND(AT117*(1-Справочники!$B$19),0))</f>
        <v/>
      </c>
      <c r="BA117" s="81"/>
      <c r="BB117" s="81"/>
      <c r="BC117" s="81"/>
      <c r="BD117" s="81"/>
      <c r="BE117" s="91"/>
      <c r="BF117" s="81" t="s">
        <v>103</v>
      </c>
      <c r="BG117" s="89" t="n">
        <f aca="false" t="array" ref="BG117:BG117">IF(BF117="","",IFERROR(INDEX(Справочники!$B$4:$B$7,MATCH(BF117,Справочники!$A$4:$A$7,0)),""))</f>
        <v>68.5</v>
      </c>
      <c r="BH117" s="90" t="str">
        <f aca="false">IF(N(BN117)&gt;0,ROUND(SUMIF(ЗАКАЗЫ!$F$3:$F$500,$A117,ЗАКАЗЫ!$Y$3:$Y$500)/BN117,0),IF(OR(BE117="",BG117=""),"",ROUND(BE117*BG117*(1+Справочники!$B$10),0)))</f>
        <v/>
      </c>
      <c r="BI117" s="92" t="str">
        <f aca="false">IF(OR(AU117="",BH117="",AU117=0),"",(AU117-BH117)/AU117)</f>
        <v/>
      </c>
      <c r="BJ117" s="81"/>
      <c r="BK117" s="83"/>
      <c r="BL117" s="43" t="str">
        <f aca="false">IFERROR(INDEX(ЗАКАЗЫ!$N$3:$N$500,MATCH($A117,ЗАКАЗЫ!$F$3:$F$500,0)),"")</f>
        <v/>
      </c>
      <c r="BM117" s="8" t="str">
        <f aca="false">IF(BL117="","",IFERROR(VLOOKUP(BL117,'ТН ВЭД'!$A$4:$C$40,3,0),""))</f>
        <v/>
      </c>
      <c r="BN117" s="7" t="str">
        <f aca="false">IF(COUNTIF(ЗАКАЗЫ!$F$3:$F$500,$A117)=0,"",SUMIF(ЗАКАЗЫ!$F$3:$F$500,$A117,ЗАКАЗЫ!$J$3:$J$500))</f>
        <v/>
      </c>
      <c r="BO117" s="7" t="str">
        <f aca="false">IF(BN117="","",SUMIF(ЗАКАЗЫ!$F$3:$F$500,$A117,ЗАКАЗЫ!$AL$3:$AL$500))</f>
        <v/>
      </c>
      <c r="BP117" s="7" t="str">
        <f aca="false">IF(BN117="","",BN117-BO117)</f>
        <v/>
      </c>
      <c r="BQ117" s="55" t="str">
        <f aca="false">IF(BN117="","",IF(BO117&gt;=BN117,"На складе",IF(BO117&gt;0,"Частично","Ждём")))</f>
        <v/>
      </c>
      <c r="BR117" s="43"/>
      <c r="BS117" s="47" t="str">
        <f aca="false">IF(BN117="","",IF(_xlfn.MAXIFS(ЗАКАЗЫ!$AK$3:$AK$500,ЗАКАЗЫ!$F$3:$F$500,$A117)=0,"",_xlfn.MAXIFS(ЗАКАЗЫ!$AK$3:$AK$500,ЗАКАЗЫ!$F$3:$F$500,$A117)))</f>
        <v/>
      </c>
    </row>
    <row r="118" customFormat="false" ht="15.75" hidden="false" customHeight="true" outlineLevel="0" collapsed="false">
      <c r="A118" s="80" t="s">
        <v>2658</v>
      </c>
      <c r="B118" s="81"/>
      <c r="C118" s="81"/>
      <c r="D118" s="81"/>
      <c r="E118" s="83"/>
      <c r="F118" s="81"/>
      <c r="G118" s="83"/>
      <c r="H118" s="83"/>
      <c r="I118" s="84" t="str">
        <f aca="false">IF(E118="","",A118&amp;"_1.jpg")</f>
        <v/>
      </c>
      <c r="J118" s="84" t="str">
        <f aca="false">IF(E118="","",A118&amp;"_2.jpg; "&amp;A118&amp;"_3.jpg")</f>
        <v/>
      </c>
      <c r="K118" s="84" t="str">
        <f aca="false">IF(E118="","",A118&amp;"_schema.jpg")</f>
        <v/>
      </c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 t="s">
        <v>96</v>
      </c>
      <c r="W118" s="81"/>
      <c r="X118" s="81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6" t="str">
        <f aca="false">IF(SUM(Y118:AJ118)=0,"",SUM(Y118:AJ118))</f>
        <v/>
      </c>
      <c r="AL118" s="84" t="str">
        <f aca="false">MID(IF(N(Y118)&gt;0,", "&amp;Y$2,"")&amp;IF(N(Z118)&gt;0,", "&amp;Z$2,"")&amp;IF(N(AA118)&gt;0,", "&amp;AA$2,"")&amp;IF(N(AB118)&gt;0,", "&amp;AB$2,"")&amp;IF(N(AC118)&gt;0,", "&amp;AC$2,"")&amp;IF(N(AD118)&gt;0,", "&amp;AD$2,"")&amp;IF(N(AE118)&gt;0,", "&amp;AE$2,"")&amp;IF(N(AF118)&gt;0,", "&amp;AF$2,"")&amp;IF(N(AG118)&gt;0,", "&amp;AG$2,"")&amp;IF(N(AH118)&gt;0,", "&amp;AH$2,"")&amp;IF(N(AI118)&gt;0,", "&amp;AI$2,"")&amp;IF(N(AJ118)&gt;0,", "&amp;AJ$2,""),3,999)</f>
        <v/>
      </c>
      <c r="AM118" s="87" t="str">
        <f aca="false">IF(E118="","",MID(IF(N(Y118)&gt;0,", "&amp;A118&amp;"-"&amp;Y$2,"")&amp;IF(N(Z118)&gt;0,", "&amp;A118&amp;"-"&amp;Z$2,"")&amp;IF(N(AA118)&gt;0,", "&amp;A118&amp;"-"&amp;AA$2,"")&amp;IF(N(AB118)&gt;0,", "&amp;A118&amp;"-"&amp;AB$2,"")&amp;IF(N(AC118)&gt;0,", "&amp;A118&amp;"-"&amp;AC$2,"")&amp;IF(N(AD118)&gt;0,", "&amp;A118&amp;"-"&amp;AD$2,"")&amp;IF(N(AE118)&gt;0,", "&amp;A118&amp;"-"&amp;AE$2,"")&amp;IF(N(AF118)&gt;0,", "&amp;A118&amp;"-"&amp;AF$2,"")&amp;IF(N(AG118)&gt;0,", "&amp;A118&amp;"-"&amp;AG$2,"")&amp;IF(N(AH118)&gt;0,", "&amp;A118&amp;"-"&amp;AH$2,"")&amp;IF(N(AI118)&gt;0,", "&amp;A118&amp;"-"&amp;AI$2,"")&amp;IF(N(AJ118)&gt;0,", "&amp;A118&amp;"-"&amp;AJ$2,""),3,999))</f>
        <v/>
      </c>
      <c r="AN118" s="81"/>
      <c r="AO118" s="88"/>
      <c r="AP118" s="89" t="str">
        <f aca="false">IF(AO118="","",ROUND(AO118/(1+Справочники!$B$13),2))</f>
        <v/>
      </c>
      <c r="AQ118" s="90" t="str">
        <f aca="false" t="array" ref="AQ118:AQ118">IF(AP118="","",AP118*INDEX(Справочники!$B$4:$B$7,MATCH("RUB",Справочники!$A$4:$A$7,0)))</f>
        <v/>
      </c>
      <c r="AR118" s="90" t="str">
        <f aca="false">IF(AQ118="","",ROUND(AQ118*(1+Справочники!$B$12),0))</f>
        <v/>
      </c>
      <c r="AS118" s="90" t="str">
        <f aca="false">IF(AR118="","",ROUND(AR118*(1-Справочники!$B$11),0))</f>
        <v/>
      </c>
      <c r="AT118" s="88"/>
      <c r="AU118" s="90" t="str">
        <f aca="false">IF(AT118="","",ROUND(AT118/(1+Справочники!$B$12),0))</f>
        <v/>
      </c>
      <c r="AV118" s="90" t="str">
        <f aca="false">IF(AT118="","",ROUND(AT118*(1-Справочники!$B$15),0))</f>
        <v/>
      </c>
      <c r="AW118" s="90" t="str">
        <f aca="false">IF(AT118="","",ROUND(AT118*(1-Справочники!$B$16),0))</f>
        <v/>
      </c>
      <c r="AX118" s="90" t="str">
        <f aca="false">IF(AT118="","",ROUND(AT118*(1-Справочники!$B$17),0))</f>
        <v/>
      </c>
      <c r="AY118" s="90" t="str">
        <f aca="false">IF(AT118="","",ROUND(AT118*(1-Справочники!$B$18),0))</f>
        <v/>
      </c>
      <c r="AZ118" s="90" t="str">
        <f aca="false">IF(AT118="","",ROUND(AT118*(1-Справочники!$B$19),0))</f>
        <v/>
      </c>
      <c r="BA118" s="81"/>
      <c r="BB118" s="81"/>
      <c r="BC118" s="81"/>
      <c r="BD118" s="81"/>
      <c r="BE118" s="91"/>
      <c r="BF118" s="81" t="s">
        <v>103</v>
      </c>
      <c r="BG118" s="89" t="n">
        <f aca="false" t="array" ref="BG118:BG118">IF(BF118="","",IFERROR(INDEX(Справочники!$B$4:$B$7,MATCH(BF118,Справочники!$A$4:$A$7,0)),""))</f>
        <v>68.5</v>
      </c>
      <c r="BH118" s="90" t="str">
        <f aca="false">IF(N(BN118)&gt;0,ROUND(SUMIF(ЗАКАЗЫ!$F$3:$F$500,$A118,ЗАКАЗЫ!$Y$3:$Y$500)/BN118,0),IF(OR(BE118="",BG118=""),"",ROUND(BE118*BG118*(1+Справочники!$B$10),0)))</f>
        <v/>
      </c>
      <c r="BI118" s="92" t="str">
        <f aca="false">IF(OR(AU118="",BH118="",AU118=0),"",(AU118-BH118)/AU118)</f>
        <v/>
      </c>
      <c r="BJ118" s="81"/>
      <c r="BK118" s="83"/>
      <c r="BL118" s="43" t="str">
        <f aca="false">IFERROR(INDEX(ЗАКАЗЫ!$N$3:$N$500,MATCH($A118,ЗАКАЗЫ!$F$3:$F$500,0)),"")</f>
        <v/>
      </c>
      <c r="BM118" s="8" t="str">
        <f aca="false">IF(BL118="","",IFERROR(VLOOKUP(BL118,'ТН ВЭД'!$A$4:$C$40,3,0),""))</f>
        <v/>
      </c>
      <c r="BN118" s="7" t="str">
        <f aca="false">IF(COUNTIF(ЗАКАЗЫ!$F$3:$F$500,$A118)=0,"",SUMIF(ЗАКАЗЫ!$F$3:$F$500,$A118,ЗАКАЗЫ!$J$3:$J$500))</f>
        <v/>
      </c>
      <c r="BO118" s="7" t="str">
        <f aca="false">IF(BN118="","",SUMIF(ЗАКАЗЫ!$F$3:$F$500,$A118,ЗАКАЗЫ!$AL$3:$AL$500))</f>
        <v/>
      </c>
      <c r="BP118" s="7" t="str">
        <f aca="false">IF(BN118="","",BN118-BO118)</f>
        <v/>
      </c>
      <c r="BQ118" s="55" t="str">
        <f aca="false">IF(BN118="","",IF(BO118&gt;=BN118,"На складе",IF(BO118&gt;0,"Частично","Ждём")))</f>
        <v/>
      </c>
      <c r="BR118" s="43"/>
      <c r="BS118" s="47" t="str">
        <f aca="false">IF(BN118="","",IF(_xlfn.MAXIFS(ЗАКАЗЫ!$AK$3:$AK$500,ЗАКАЗЫ!$F$3:$F$500,$A118)=0,"",_xlfn.MAXIFS(ЗАКАЗЫ!$AK$3:$AK$500,ЗАКАЗЫ!$F$3:$F$500,$A118)))</f>
        <v/>
      </c>
    </row>
    <row r="119" customFormat="false" ht="15.75" hidden="false" customHeight="true" outlineLevel="0" collapsed="false">
      <c r="A119" s="80" t="s">
        <v>2659</v>
      </c>
      <c r="B119" s="81"/>
      <c r="C119" s="81"/>
      <c r="D119" s="81"/>
      <c r="E119" s="83"/>
      <c r="F119" s="81"/>
      <c r="G119" s="83"/>
      <c r="H119" s="83"/>
      <c r="I119" s="84" t="str">
        <f aca="false">IF(E119="","",A119&amp;"_1.jpg")</f>
        <v/>
      </c>
      <c r="J119" s="84" t="str">
        <f aca="false">IF(E119="","",A119&amp;"_2.jpg; "&amp;A119&amp;"_3.jpg")</f>
        <v/>
      </c>
      <c r="K119" s="84" t="str">
        <f aca="false">IF(E119="","",A119&amp;"_schema.jpg")</f>
        <v/>
      </c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 t="s">
        <v>96</v>
      </c>
      <c r="W119" s="81"/>
      <c r="X119" s="81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6" t="str">
        <f aca="false">IF(SUM(Y119:AJ119)=0,"",SUM(Y119:AJ119))</f>
        <v/>
      </c>
      <c r="AL119" s="84" t="str">
        <f aca="false">MID(IF(N(Y119)&gt;0,", "&amp;Y$2,"")&amp;IF(N(Z119)&gt;0,", "&amp;Z$2,"")&amp;IF(N(AA119)&gt;0,", "&amp;AA$2,"")&amp;IF(N(AB119)&gt;0,", "&amp;AB$2,"")&amp;IF(N(AC119)&gt;0,", "&amp;AC$2,"")&amp;IF(N(AD119)&gt;0,", "&amp;AD$2,"")&amp;IF(N(AE119)&gt;0,", "&amp;AE$2,"")&amp;IF(N(AF119)&gt;0,", "&amp;AF$2,"")&amp;IF(N(AG119)&gt;0,", "&amp;AG$2,"")&amp;IF(N(AH119)&gt;0,", "&amp;AH$2,"")&amp;IF(N(AI119)&gt;0,", "&amp;AI$2,"")&amp;IF(N(AJ119)&gt;0,", "&amp;AJ$2,""),3,999)</f>
        <v/>
      </c>
      <c r="AM119" s="87" t="str">
        <f aca="false">IF(E119="","",MID(IF(N(Y119)&gt;0,", "&amp;A119&amp;"-"&amp;Y$2,"")&amp;IF(N(Z119)&gt;0,", "&amp;A119&amp;"-"&amp;Z$2,"")&amp;IF(N(AA119)&gt;0,", "&amp;A119&amp;"-"&amp;AA$2,"")&amp;IF(N(AB119)&gt;0,", "&amp;A119&amp;"-"&amp;AB$2,"")&amp;IF(N(AC119)&gt;0,", "&amp;A119&amp;"-"&amp;AC$2,"")&amp;IF(N(AD119)&gt;0,", "&amp;A119&amp;"-"&amp;AD$2,"")&amp;IF(N(AE119)&gt;0,", "&amp;A119&amp;"-"&amp;AE$2,"")&amp;IF(N(AF119)&gt;0,", "&amp;A119&amp;"-"&amp;AF$2,"")&amp;IF(N(AG119)&gt;0,", "&amp;A119&amp;"-"&amp;AG$2,"")&amp;IF(N(AH119)&gt;0,", "&amp;A119&amp;"-"&amp;AH$2,"")&amp;IF(N(AI119)&gt;0,", "&amp;A119&amp;"-"&amp;AI$2,"")&amp;IF(N(AJ119)&gt;0,", "&amp;A119&amp;"-"&amp;AJ$2,""),3,999))</f>
        <v/>
      </c>
      <c r="AN119" s="81"/>
      <c r="AO119" s="88"/>
      <c r="AP119" s="89" t="str">
        <f aca="false">IF(AO119="","",ROUND(AO119/(1+Справочники!$B$13),2))</f>
        <v/>
      </c>
      <c r="AQ119" s="90" t="str">
        <f aca="false" t="array" ref="AQ119:AQ119">IF(AP119="","",AP119*INDEX(Справочники!$B$4:$B$7,MATCH("RUB",Справочники!$A$4:$A$7,0)))</f>
        <v/>
      </c>
      <c r="AR119" s="90" t="str">
        <f aca="false">IF(AQ119="","",ROUND(AQ119*(1+Справочники!$B$12),0))</f>
        <v/>
      </c>
      <c r="AS119" s="90" t="str">
        <f aca="false">IF(AR119="","",ROUND(AR119*(1-Справочники!$B$11),0))</f>
        <v/>
      </c>
      <c r="AT119" s="88"/>
      <c r="AU119" s="90" t="str">
        <f aca="false">IF(AT119="","",ROUND(AT119/(1+Справочники!$B$12),0))</f>
        <v/>
      </c>
      <c r="AV119" s="90" t="str">
        <f aca="false">IF(AT119="","",ROUND(AT119*(1-Справочники!$B$15),0))</f>
        <v/>
      </c>
      <c r="AW119" s="90" t="str">
        <f aca="false">IF(AT119="","",ROUND(AT119*(1-Справочники!$B$16),0))</f>
        <v/>
      </c>
      <c r="AX119" s="90" t="str">
        <f aca="false">IF(AT119="","",ROUND(AT119*(1-Справочники!$B$17),0))</f>
        <v/>
      </c>
      <c r="AY119" s="90" t="str">
        <f aca="false">IF(AT119="","",ROUND(AT119*(1-Справочники!$B$18),0))</f>
        <v/>
      </c>
      <c r="AZ119" s="90" t="str">
        <f aca="false">IF(AT119="","",ROUND(AT119*(1-Справочники!$B$19),0))</f>
        <v/>
      </c>
      <c r="BA119" s="81"/>
      <c r="BB119" s="81"/>
      <c r="BC119" s="81"/>
      <c r="BD119" s="81"/>
      <c r="BE119" s="91"/>
      <c r="BF119" s="81" t="s">
        <v>103</v>
      </c>
      <c r="BG119" s="89" t="n">
        <f aca="false" t="array" ref="BG119:BG119">IF(BF119="","",IFERROR(INDEX(Справочники!$B$4:$B$7,MATCH(BF119,Справочники!$A$4:$A$7,0)),""))</f>
        <v>68.5</v>
      </c>
      <c r="BH119" s="90" t="str">
        <f aca="false">IF(N(BN119)&gt;0,ROUND(SUMIF(ЗАКАЗЫ!$F$3:$F$500,$A119,ЗАКАЗЫ!$Y$3:$Y$500)/BN119,0),IF(OR(BE119="",BG119=""),"",ROUND(BE119*BG119*(1+Справочники!$B$10),0)))</f>
        <v/>
      </c>
      <c r="BI119" s="92" t="str">
        <f aca="false">IF(OR(AU119="",BH119="",AU119=0),"",(AU119-BH119)/AU119)</f>
        <v/>
      </c>
      <c r="BJ119" s="81"/>
      <c r="BK119" s="83"/>
      <c r="BL119" s="43" t="str">
        <f aca="false">IFERROR(INDEX(ЗАКАЗЫ!$N$3:$N$500,MATCH($A119,ЗАКАЗЫ!$F$3:$F$500,0)),"")</f>
        <v/>
      </c>
      <c r="BM119" s="8" t="str">
        <f aca="false">IF(BL119="","",IFERROR(VLOOKUP(BL119,'ТН ВЭД'!$A$4:$C$40,3,0),""))</f>
        <v/>
      </c>
      <c r="BN119" s="7" t="str">
        <f aca="false">IF(COUNTIF(ЗАКАЗЫ!$F$3:$F$500,$A119)=0,"",SUMIF(ЗАКАЗЫ!$F$3:$F$500,$A119,ЗАКАЗЫ!$J$3:$J$500))</f>
        <v/>
      </c>
      <c r="BO119" s="7" t="str">
        <f aca="false">IF(BN119="","",SUMIF(ЗАКАЗЫ!$F$3:$F$500,$A119,ЗАКАЗЫ!$AL$3:$AL$500))</f>
        <v/>
      </c>
      <c r="BP119" s="7" t="str">
        <f aca="false">IF(BN119="","",BN119-BO119)</f>
        <v/>
      </c>
      <c r="BQ119" s="55" t="str">
        <f aca="false">IF(BN119="","",IF(BO119&gt;=BN119,"На складе",IF(BO119&gt;0,"Частично","Ждём")))</f>
        <v/>
      </c>
      <c r="BR119" s="43"/>
      <c r="BS119" s="47" t="str">
        <f aca="false">IF(BN119="","",IF(_xlfn.MAXIFS(ЗАКАЗЫ!$AK$3:$AK$500,ЗАКАЗЫ!$F$3:$F$500,$A119)=0,"",_xlfn.MAXIFS(ЗАКАЗЫ!$AK$3:$AK$500,ЗАКАЗЫ!$F$3:$F$500,$A119)))</f>
        <v/>
      </c>
    </row>
    <row r="120" customFormat="false" ht="15.75" hidden="false" customHeight="true" outlineLevel="0" collapsed="false">
      <c r="A120" s="80" t="s">
        <v>2660</v>
      </c>
      <c r="B120" s="81"/>
      <c r="C120" s="81"/>
      <c r="D120" s="81"/>
      <c r="E120" s="83"/>
      <c r="F120" s="81"/>
      <c r="G120" s="83"/>
      <c r="H120" s="83"/>
      <c r="I120" s="84" t="str">
        <f aca="false">IF(E120="","",A120&amp;"_1.jpg")</f>
        <v/>
      </c>
      <c r="J120" s="84" t="str">
        <f aca="false">IF(E120="","",A120&amp;"_2.jpg; "&amp;A120&amp;"_3.jpg")</f>
        <v/>
      </c>
      <c r="K120" s="84" t="str">
        <f aca="false">IF(E120="","",A120&amp;"_schema.jpg")</f>
        <v/>
      </c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 t="s">
        <v>96</v>
      </c>
      <c r="W120" s="81"/>
      <c r="X120" s="81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6" t="str">
        <f aca="false">IF(SUM(Y120:AJ120)=0,"",SUM(Y120:AJ120))</f>
        <v/>
      </c>
      <c r="AL120" s="84" t="str">
        <f aca="false">MID(IF(N(Y120)&gt;0,", "&amp;Y$2,"")&amp;IF(N(Z120)&gt;0,", "&amp;Z$2,"")&amp;IF(N(AA120)&gt;0,", "&amp;AA$2,"")&amp;IF(N(AB120)&gt;0,", "&amp;AB$2,"")&amp;IF(N(AC120)&gt;0,", "&amp;AC$2,"")&amp;IF(N(AD120)&gt;0,", "&amp;AD$2,"")&amp;IF(N(AE120)&gt;0,", "&amp;AE$2,"")&amp;IF(N(AF120)&gt;0,", "&amp;AF$2,"")&amp;IF(N(AG120)&gt;0,", "&amp;AG$2,"")&amp;IF(N(AH120)&gt;0,", "&amp;AH$2,"")&amp;IF(N(AI120)&gt;0,", "&amp;AI$2,"")&amp;IF(N(AJ120)&gt;0,", "&amp;AJ$2,""),3,999)</f>
        <v/>
      </c>
      <c r="AM120" s="87" t="str">
        <f aca="false">IF(E120="","",MID(IF(N(Y120)&gt;0,", "&amp;A120&amp;"-"&amp;Y$2,"")&amp;IF(N(Z120)&gt;0,", "&amp;A120&amp;"-"&amp;Z$2,"")&amp;IF(N(AA120)&gt;0,", "&amp;A120&amp;"-"&amp;AA$2,"")&amp;IF(N(AB120)&gt;0,", "&amp;A120&amp;"-"&amp;AB$2,"")&amp;IF(N(AC120)&gt;0,", "&amp;A120&amp;"-"&amp;AC$2,"")&amp;IF(N(AD120)&gt;0,", "&amp;A120&amp;"-"&amp;AD$2,"")&amp;IF(N(AE120)&gt;0,", "&amp;A120&amp;"-"&amp;AE$2,"")&amp;IF(N(AF120)&gt;0,", "&amp;A120&amp;"-"&amp;AF$2,"")&amp;IF(N(AG120)&gt;0,", "&amp;A120&amp;"-"&amp;AG$2,"")&amp;IF(N(AH120)&gt;0,", "&amp;A120&amp;"-"&amp;AH$2,"")&amp;IF(N(AI120)&gt;0,", "&amp;A120&amp;"-"&amp;AI$2,"")&amp;IF(N(AJ120)&gt;0,", "&amp;A120&amp;"-"&amp;AJ$2,""),3,999))</f>
        <v/>
      </c>
      <c r="AN120" s="81"/>
      <c r="AO120" s="88"/>
      <c r="AP120" s="89" t="str">
        <f aca="false">IF(AO120="","",ROUND(AO120/(1+Справочники!$B$13),2))</f>
        <v/>
      </c>
      <c r="AQ120" s="90" t="str">
        <f aca="false" t="array" ref="AQ120:AQ120">IF(AP120="","",AP120*INDEX(Справочники!$B$4:$B$7,MATCH("RUB",Справочники!$A$4:$A$7,0)))</f>
        <v/>
      </c>
      <c r="AR120" s="90" t="str">
        <f aca="false">IF(AQ120="","",ROUND(AQ120*(1+Справочники!$B$12),0))</f>
        <v/>
      </c>
      <c r="AS120" s="90" t="str">
        <f aca="false">IF(AR120="","",ROUND(AR120*(1-Справочники!$B$11),0))</f>
        <v/>
      </c>
      <c r="AT120" s="88"/>
      <c r="AU120" s="90" t="str">
        <f aca="false">IF(AT120="","",ROUND(AT120/(1+Справочники!$B$12),0))</f>
        <v/>
      </c>
      <c r="AV120" s="90" t="str">
        <f aca="false">IF(AT120="","",ROUND(AT120*(1-Справочники!$B$15),0))</f>
        <v/>
      </c>
      <c r="AW120" s="90" t="str">
        <f aca="false">IF(AT120="","",ROUND(AT120*(1-Справочники!$B$16),0))</f>
        <v/>
      </c>
      <c r="AX120" s="90" t="str">
        <f aca="false">IF(AT120="","",ROUND(AT120*(1-Справочники!$B$17),0))</f>
        <v/>
      </c>
      <c r="AY120" s="90" t="str">
        <f aca="false">IF(AT120="","",ROUND(AT120*(1-Справочники!$B$18),0))</f>
        <v/>
      </c>
      <c r="AZ120" s="90" t="str">
        <f aca="false">IF(AT120="","",ROUND(AT120*(1-Справочники!$B$19),0))</f>
        <v/>
      </c>
      <c r="BA120" s="81"/>
      <c r="BB120" s="81"/>
      <c r="BC120" s="81"/>
      <c r="BD120" s="81"/>
      <c r="BE120" s="91"/>
      <c r="BF120" s="81" t="s">
        <v>103</v>
      </c>
      <c r="BG120" s="89" t="n">
        <f aca="false" t="array" ref="BG120:BG120">IF(BF120="","",IFERROR(INDEX(Справочники!$B$4:$B$7,MATCH(BF120,Справочники!$A$4:$A$7,0)),""))</f>
        <v>68.5</v>
      </c>
      <c r="BH120" s="90" t="str">
        <f aca="false">IF(N(BN120)&gt;0,ROUND(SUMIF(ЗАКАЗЫ!$F$3:$F$500,$A120,ЗАКАЗЫ!$Y$3:$Y$500)/BN120,0),IF(OR(BE120="",BG120=""),"",ROUND(BE120*BG120*(1+Справочники!$B$10),0)))</f>
        <v/>
      </c>
      <c r="BI120" s="92" t="str">
        <f aca="false">IF(OR(AU120="",BH120="",AU120=0),"",(AU120-BH120)/AU120)</f>
        <v/>
      </c>
      <c r="BJ120" s="81"/>
      <c r="BK120" s="83"/>
      <c r="BL120" s="43" t="str">
        <f aca="false">IFERROR(INDEX(ЗАКАЗЫ!$N$3:$N$500,MATCH($A120,ЗАКАЗЫ!$F$3:$F$500,0)),"")</f>
        <v/>
      </c>
      <c r="BM120" s="8" t="str">
        <f aca="false">IF(BL120="","",IFERROR(VLOOKUP(BL120,'ТН ВЭД'!$A$4:$C$40,3,0),""))</f>
        <v/>
      </c>
      <c r="BN120" s="7" t="str">
        <f aca="false">IF(COUNTIF(ЗАКАЗЫ!$F$3:$F$500,$A120)=0,"",SUMIF(ЗАКАЗЫ!$F$3:$F$500,$A120,ЗАКАЗЫ!$J$3:$J$500))</f>
        <v/>
      </c>
      <c r="BO120" s="7" t="str">
        <f aca="false">IF(BN120="","",SUMIF(ЗАКАЗЫ!$F$3:$F$500,$A120,ЗАКАЗЫ!$AL$3:$AL$500))</f>
        <v/>
      </c>
      <c r="BP120" s="7" t="str">
        <f aca="false">IF(BN120="","",BN120-BO120)</f>
        <v/>
      </c>
      <c r="BQ120" s="55" t="str">
        <f aca="false">IF(BN120="","",IF(BO120&gt;=BN120,"На складе",IF(BO120&gt;0,"Частично","Ждём")))</f>
        <v/>
      </c>
      <c r="BR120" s="43"/>
      <c r="BS120" s="47" t="str">
        <f aca="false">IF(BN120="","",IF(_xlfn.MAXIFS(ЗАКАЗЫ!$AK$3:$AK$500,ЗАКАЗЫ!$F$3:$F$500,$A120)=0,"",_xlfn.MAXIFS(ЗАКАЗЫ!$AK$3:$AK$500,ЗАКАЗЫ!$F$3:$F$500,$A120)))</f>
        <v/>
      </c>
    </row>
    <row r="121" customFormat="false" ht="15.75" hidden="false" customHeight="true" outlineLevel="0" collapsed="false">
      <c r="A121" s="80" t="s">
        <v>2661</v>
      </c>
      <c r="B121" s="81"/>
      <c r="C121" s="81"/>
      <c r="D121" s="81"/>
      <c r="E121" s="83"/>
      <c r="F121" s="81"/>
      <c r="G121" s="83"/>
      <c r="H121" s="83"/>
      <c r="I121" s="84" t="str">
        <f aca="false">IF(E121="","",A121&amp;"_1.jpg")</f>
        <v/>
      </c>
      <c r="J121" s="84" t="str">
        <f aca="false">IF(E121="","",A121&amp;"_2.jpg; "&amp;A121&amp;"_3.jpg")</f>
        <v/>
      </c>
      <c r="K121" s="84" t="str">
        <f aca="false">IF(E121="","",A121&amp;"_schema.jpg")</f>
        <v/>
      </c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 t="s">
        <v>96</v>
      </c>
      <c r="W121" s="81"/>
      <c r="X121" s="81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6" t="str">
        <f aca="false">IF(SUM(Y121:AJ121)=0,"",SUM(Y121:AJ121))</f>
        <v/>
      </c>
      <c r="AL121" s="84" t="str">
        <f aca="false">MID(IF(N(Y121)&gt;0,", "&amp;Y$2,"")&amp;IF(N(Z121)&gt;0,", "&amp;Z$2,"")&amp;IF(N(AA121)&gt;0,", "&amp;AA$2,"")&amp;IF(N(AB121)&gt;0,", "&amp;AB$2,"")&amp;IF(N(AC121)&gt;0,", "&amp;AC$2,"")&amp;IF(N(AD121)&gt;0,", "&amp;AD$2,"")&amp;IF(N(AE121)&gt;0,", "&amp;AE$2,"")&amp;IF(N(AF121)&gt;0,", "&amp;AF$2,"")&amp;IF(N(AG121)&gt;0,", "&amp;AG$2,"")&amp;IF(N(AH121)&gt;0,", "&amp;AH$2,"")&amp;IF(N(AI121)&gt;0,", "&amp;AI$2,"")&amp;IF(N(AJ121)&gt;0,", "&amp;AJ$2,""),3,999)</f>
        <v/>
      </c>
      <c r="AM121" s="87" t="str">
        <f aca="false">IF(E121="","",MID(IF(N(Y121)&gt;0,", "&amp;A121&amp;"-"&amp;Y$2,"")&amp;IF(N(Z121)&gt;0,", "&amp;A121&amp;"-"&amp;Z$2,"")&amp;IF(N(AA121)&gt;0,", "&amp;A121&amp;"-"&amp;AA$2,"")&amp;IF(N(AB121)&gt;0,", "&amp;A121&amp;"-"&amp;AB$2,"")&amp;IF(N(AC121)&gt;0,", "&amp;A121&amp;"-"&amp;AC$2,"")&amp;IF(N(AD121)&gt;0,", "&amp;A121&amp;"-"&amp;AD$2,"")&amp;IF(N(AE121)&gt;0,", "&amp;A121&amp;"-"&amp;AE$2,"")&amp;IF(N(AF121)&gt;0,", "&amp;A121&amp;"-"&amp;AF$2,"")&amp;IF(N(AG121)&gt;0,", "&amp;A121&amp;"-"&amp;AG$2,"")&amp;IF(N(AH121)&gt;0,", "&amp;A121&amp;"-"&amp;AH$2,"")&amp;IF(N(AI121)&gt;0,", "&amp;A121&amp;"-"&amp;AI$2,"")&amp;IF(N(AJ121)&gt;0,", "&amp;A121&amp;"-"&amp;AJ$2,""),3,999))</f>
        <v/>
      </c>
      <c r="AN121" s="81"/>
      <c r="AO121" s="88"/>
      <c r="AP121" s="89" t="str">
        <f aca="false">IF(AO121="","",ROUND(AO121/(1+Справочники!$B$13),2))</f>
        <v/>
      </c>
      <c r="AQ121" s="90" t="str">
        <f aca="false" t="array" ref="AQ121:AQ121">IF(AP121="","",AP121*INDEX(Справочники!$B$4:$B$7,MATCH("RUB",Справочники!$A$4:$A$7,0)))</f>
        <v/>
      </c>
      <c r="AR121" s="90" t="str">
        <f aca="false">IF(AQ121="","",ROUND(AQ121*(1+Справочники!$B$12),0))</f>
        <v/>
      </c>
      <c r="AS121" s="90" t="str">
        <f aca="false">IF(AR121="","",ROUND(AR121*(1-Справочники!$B$11),0))</f>
        <v/>
      </c>
      <c r="AT121" s="88"/>
      <c r="AU121" s="90" t="str">
        <f aca="false">IF(AT121="","",ROUND(AT121/(1+Справочники!$B$12),0))</f>
        <v/>
      </c>
      <c r="AV121" s="90" t="str">
        <f aca="false">IF(AT121="","",ROUND(AT121*(1-Справочники!$B$15),0))</f>
        <v/>
      </c>
      <c r="AW121" s="90" t="str">
        <f aca="false">IF(AT121="","",ROUND(AT121*(1-Справочники!$B$16),0))</f>
        <v/>
      </c>
      <c r="AX121" s="90" t="str">
        <f aca="false">IF(AT121="","",ROUND(AT121*(1-Справочники!$B$17),0))</f>
        <v/>
      </c>
      <c r="AY121" s="90" t="str">
        <f aca="false">IF(AT121="","",ROUND(AT121*(1-Справочники!$B$18),0))</f>
        <v/>
      </c>
      <c r="AZ121" s="90" t="str">
        <f aca="false">IF(AT121="","",ROUND(AT121*(1-Справочники!$B$19),0))</f>
        <v/>
      </c>
      <c r="BA121" s="81"/>
      <c r="BB121" s="81"/>
      <c r="BC121" s="81"/>
      <c r="BD121" s="81"/>
      <c r="BE121" s="91"/>
      <c r="BF121" s="81" t="s">
        <v>103</v>
      </c>
      <c r="BG121" s="89" t="n">
        <f aca="false" t="array" ref="BG121:BG121">IF(BF121="","",IFERROR(INDEX(Справочники!$B$4:$B$7,MATCH(BF121,Справочники!$A$4:$A$7,0)),""))</f>
        <v>68.5</v>
      </c>
      <c r="BH121" s="90" t="str">
        <f aca="false">IF(N(BN121)&gt;0,ROUND(SUMIF(ЗАКАЗЫ!$F$3:$F$500,$A121,ЗАКАЗЫ!$Y$3:$Y$500)/BN121,0),IF(OR(BE121="",BG121=""),"",ROUND(BE121*BG121*(1+Справочники!$B$10),0)))</f>
        <v/>
      </c>
      <c r="BI121" s="92" t="str">
        <f aca="false">IF(OR(AU121="",BH121="",AU121=0),"",(AU121-BH121)/AU121)</f>
        <v/>
      </c>
      <c r="BJ121" s="81"/>
      <c r="BK121" s="83"/>
      <c r="BL121" s="43" t="str">
        <f aca="false">IFERROR(INDEX(ЗАКАЗЫ!$N$3:$N$500,MATCH($A121,ЗАКАЗЫ!$F$3:$F$500,0)),"")</f>
        <v/>
      </c>
      <c r="BM121" s="8" t="str">
        <f aca="false">IF(BL121="","",IFERROR(VLOOKUP(BL121,'ТН ВЭД'!$A$4:$C$40,3,0),""))</f>
        <v/>
      </c>
      <c r="BN121" s="7" t="str">
        <f aca="false">IF(COUNTIF(ЗАКАЗЫ!$F$3:$F$500,$A121)=0,"",SUMIF(ЗАКАЗЫ!$F$3:$F$500,$A121,ЗАКАЗЫ!$J$3:$J$500))</f>
        <v/>
      </c>
      <c r="BO121" s="7" t="str">
        <f aca="false">IF(BN121="","",SUMIF(ЗАКАЗЫ!$F$3:$F$500,$A121,ЗАКАЗЫ!$AL$3:$AL$500))</f>
        <v/>
      </c>
      <c r="BP121" s="7" t="str">
        <f aca="false">IF(BN121="","",BN121-BO121)</f>
        <v/>
      </c>
      <c r="BQ121" s="55" t="str">
        <f aca="false">IF(BN121="","",IF(BO121&gt;=BN121,"На складе",IF(BO121&gt;0,"Частично","Ждём")))</f>
        <v/>
      </c>
      <c r="BR121" s="43"/>
      <c r="BS121" s="47" t="str">
        <f aca="false">IF(BN121="","",IF(_xlfn.MAXIFS(ЗАКАЗЫ!$AK$3:$AK$500,ЗАКАЗЫ!$F$3:$F$500,$A121)=0,"",_xlfn.MAXIFS(ЗАКАЗЫ!$AK$3:$AK$500,ЗАКАЗЫ!$F$3:$F$500,$A121)))</f>
        <v/>
      </c>
    </row>
    <row r="122" customFormat="false" ht="15.75" hidden="false" customHeight="true" outlineLevel="0" collapsed="false">
      <c r="A122" s="80" t="s">
        <v>2662</v>
      </c>
      <c r="B122" s="81"/>
      <c r="C122" s="81"/>
      <c r="D122" s="81"/>
      <c r="E122" s="83"/>
      <c r="F122" s="81"/>
      <c r="G122" s="83"/>
      <c r="H122" s="83"/>
      <c r="I122" s="84" t="str">
        <f aca="false">IF(E122="","",A122&amp;"_1.jpg")</f>
        <v/>
      </c>
      <c r="J122" s="84" t="str">
        <f aca="false">IF(E122="","",A122&amp;"_2.jpg; "&amp;A122&amp;"_3.jpg")</f>
        <v/>
      </c>
      <c r="K122" s="84" t="str">
        <f aca="false">IF(E122="","",A122&amp;"_schema.jpg")</f>
        <v/>
      </c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 t="s">
        <v>96</v>
      </c>
      <c r="W122" s="81"/>
      <c r="X122" s="81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6" t="str">
        <f aca="false">IF(SUM(Y122:AJ122)=0,"",SUM(Y122:AJ122))</f>
        <v/>
      </c>
      <c r="AL122" s="84" t="str">
        <f aca="false">MID(IF(N(Y122)&gt;0,", "&amp;Y$2,"")&amp;IF(N(Z122)&gt;0,", "&amp;Z$2,"")&amp;IF(N(AA122)&gt;0,", "&amp;AA$2,"")&amp;IF(N(AB122)&gt;0,", "&amp;AB$2,"")&amp;IF(N(AC122)&gt;0,", "&amp;AC$2,"")&amp;IF(N(AD122)&gt;0,", "&amp;AD$2,"")&amp;IF(N(AE122)&gt;0,", "&amp;AE$2,"")&amp;IF(N(AF122)&gt;0,", "&amp;AF$2,"")&amp;IF(N(AG122)&gt;0,", "&amp;AG$2,"")&amp;IF(N(AH122)&gt;0,", "&amp;AH$2,"")&amp;IF(N(AI122)&gt;0,", "&amp;AI$2,"")&amp;IF(N(AJ122)&gt;0,", "&amp;AJ$2,""),3,999)</f>
        <v/>
      </c>
      <c r="AM122" s="87" t="str">
        <f aca="false">IF(E122="","",MID(IF(N(Y122)&gt;0,", "&amp;A122&amp;"-"&amp;Y$2,"")&amp;IF(N(Z122)&gt;0,", "&amp;A122&amp;"-"&amp;Z$2,"")&amp;IF(N(AA122)&gt;0,", "&amp;A122&amp;"-"&amp;AA$2,"")&amp;IF(N(AB122)&gt;0,", "&amp;A122&amp;"-"&amp;AB$2,"")&amp;IF(N(AC122)&gt;0,", "&amp;A122&amp;"-"&amp;AC$2,"")&amp;IF(N(AD122)&gt;0,", "&amp;A122&amp;"-"&amp;AD$2,"")&amp;IF(N(AE122)&gt;0,", "&amp;A122&amp;"-"&amp;AE$2,"")&amp;IF(N(AF122)&gt;0,", "&amp;A122&amp;"-"&amp;AF$2,"")&amp;IF(N(AG122)&gt;0,", "&amp;A122&amp;"-"&amp;AG$2,"")&amp;IF(N(AH122)&gt;0,", "&amp;A122&amp;"-"&amp;AH$2,"")&amp;IF(N(AI122)&gt;0,", "&amp;A122&amp;"-"&amp;AI$2,"")&amp;IF(N(AJ122)&gt;0,", "&amp;A122&amp;"-"&amp;AJ$2,""),3,999))</f>
        <v/>
      </c>
      <c r="AN122" s="81"/>
      <c r="AO122" s="88"/>
      <c r="AP122" s="89" t="str">
        <f aca="false">IF(AO122="","",ROUND(AO122/(1+Справочники!$B$13),2))</f>
        <v/>
      </c>
      <c r="AQ122" s="90" t="str">
        <f aca="false" t="array" ref="AQ122:AQ122">IF(AP122="","",AP122*INDEX(Справочники!$B$4:$B$7,MATCH("RUB",Справочники!$A$4:$A$7,0)))</f>
        <v/>
      </c>
      <c r="AR122" s="90" t="str">
        <f aca="false">IF(AQ122="","",ROUND(AQ122*(1+Справочники!$B$12),0))</f>
        <v/>
      </c>
      <c r="AS122" s="90" t="str">
        <f aca="false">IF(AR122="","",ROUND(AR122*(1-Справочники!$B$11),0))</f>
        <v/>
      </c>
      <c r="AT122" s="88"/>
      <c r="AU122" s="90" t="str">
        <f aca="false">IF(AT122="","",ROUND(AT122/(1+Справочники!$B$12),0))</f>
        <v/>
      </c>
      <c r="AV122" s="90" t="str">
        <f aca="false">IF(AT122="","",ROUND(AT122*(1-Справочники!$B$15),0))</f>
        <v/>
      </c>
      <c r="AW122" s="90" t="str">
        <f aca="false">IF(AT122="","",ROUND(AT122*(1-Справочники!$B$16),0))</f>
        <v/>
      </c>
      <c r="AX122" s="90" t="str">
        <f aca="false">IF(AT122="","",ROUND(AT122*(1-Справочники!$B$17),0))</f>
        <v/>
      </c>
      <c r="AY122" s="90" t="str">
        <f aca="false">IF(AT122="","",ROUND(AT122*(1-Справочники!$B$18),0))</f>
        <v/>
      </c>
      <c r="AZ122" s="90" t="str">
        <f aca="false">IF(AT122="","",ROUND(AT122*(1-Справочники!$B$19),0))</f>
        <v/>
      </c>
      <c r="BA122" s="81"/>
      <c r="BB122" s="81"/>
      <c r="BC122" s="81"/>
      <c r="BD122" s="81"/>
      <c r="BE122" s="91"/>
      <c r="BF122" s="81" t="s">
        <v>103</v>
      </c>
      <c r="BG122" s="89" t="n">
        <f aca="false" t="array" ref="BG122:BG122">IF(BF122="","",IFERROR(INDEX(Справочники!$B$4:$B$7,MATCH(BF122,Справочники!$A$4:$A$7,0)),""))</f>
        <v>68.5</v>
      </c>
      <c r="BH122" s="90" t="str">
        <f aca="false">IF(N(BN122)&gt;0,ROUND(SUMIF(ЗАКАЗЫ!$F$3:$F$500,$A122,ЗАКАЗЫ!$Y$3:$Y$500)/BN122,0),IF(OR(BE122="",BG122=""),"",ROUND(BE122*BG122*(1+Справочники!$B$10),0)))</f>
        <v/>
      </c>
      <c r="BI122" s="92" t="str">
        <f aca="false">IF(OR(AU122="",BH122="",AU122=0),"",(AU122-BH122)/AU122)</f>
        <v/>
      </c>
      <c r="BJ122" s="81"/>
      <c r="BK122" s="83"/>
      <c r="BL122" s="43" t="str">
        <f aca="false">IFERROR(INDEX(ЗАКАЗЫ!$N$3:$N$500,MATCH($A122,ЗАКАЗЫ!$F$3:$F$500,0)),"")</f>
        <v/>
      </c>
      <c r="BM122" s="8" t="str">
        <f aca="false">IF(BL122="","",IFERROR(VLOOKUP(BL122,'ТН ВЭД'!$A$4:$C$40,3,0),""))</f>
        <v/>
      </c>
      <c r="BN122" s="7" t="str">
        <f aca="false">IF(COUNTIF(ЗАКАЗЫ!$F$3:$F$500,$A122)=0,"",SUMIF(ЗАКАЗЫ!$F$3:$F$500,$A122,ЗАКАЗЫ!$J$3:$J$500))</f>
        <v/>
      </c>
      <c r="BO122" s="7" t="str">
        <f aca="false">IF(BN122="","",SUMIF(ЗАКАЗЫ!$F$3:$F$500,$A122,ЗАКАЗЫ!$AL$3:$AL$500))</f>
        <v/>
      </c>
      <c r="BP122" s="7" t="str">
        <f aca="false">IF(BN122="","",BN122-BO122)</f>
        <v/>
      </c>
      <c r="BQ122" s="55" t="str">
        <f aca="false">IF(BN122="","",IF(BO122&gt;=BN122,"На складе",IF(BO122&gt;0,"Частично","Ждём")))</f>
        <v/>
      </c>
      <c r="BR122" s="43"/>
      <c r="BS122" s="47" t="str">
        <f aca="false">IF(BN122="","",IF(_xlfn.MAXIFS(ЗАКАЗЫ!$AK$3:$AK$500,ЗАКАЗЫ!$F$3:$F$500,$A122)=0,"",_xlfn.MAXIFS(ЗАКАЗЫ!$AK$3:$AK$500,ЗАКАЗЫ!$F$3:$F$500,$A122)))</f>
        <v/>
      </c>
    </row>
    <row r="123" customFormat="false" ht="15.75" hidden="false" customHeight="true" outlineLevel="0" collapsed="false">
      <c r="A123" s="80" t="s">
        <v>2663</v>
      </c>
      <c r="B123" s="81"/>
      <c r="C123" s="81"/>
      <c r="D123" s="81"/>
      <c r="E123" s="83"/>
      <c r="F123" s="81"/>
      <c r="G123" s="83"/>
      <c r="H123" s="83"/>
      <c r="I123" s="84" t="str">
        <f aca="false">IF(E123="","",A123&amp;"_1.jpg")</f>
        <v/>
      </c>
      <c r="J123" s="84" t="str">
        <f aca="false">IF(E123="","",A123&amp;"_2.jpg; "&amp;A123&amp;"_3.jpg")</f>
        <v/>
      </c>
      <c r="K123" s="84" t="str">
        <f aca="false">IF(E123="","",A123&amp;"_schema.jpg")</f>
        <v/>
      </c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 t="s">
        <v>96</v>
      </c>
      <c r="W123" s="81"/>
      <c r="X123" s="81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6" t="str">
        <f aca="false">IF(SUM(Y123:AJ123)=0,"",SUM(Y123:AJ123))</f>
        <v/>
      </c>
      <c r="AL123" s="84" t="str">
        <f aca="false">MID(IF(N(Y123)&gt;0,", "&amp;Y$2,"")&amp;IF(N(Z123)&gt;0,", "&amp;Z$2,"")&amp;IF(N(AA123)&gt;0,", "&amp;AA$2,"")&amp;IF(N(AB123)&gt;0,", "&amp;AB$2,"")&amp;IF(N(AC123)&gt;0,", "&amp;AC$2,"")&amp;IF(N(AD123)&gt;0,", "&amp;AD$2,"")&amp;IF(N(AE123)&gt;0,", "&amp;AE$2,"")&amp;IF(N(AF123)&gt;0,", "&amp;AF$2,"")&amp;IF(N(AG123)&gt;0,", "&amp;AG$2,"")&amp;IF(N(AH123)&gt;0,", "&amp;AH$2,"")&amp;IF(N(AI123)&gt;0,", "&amp;AI$2,"")&amp;IF(N(AJ123)&gt;0,", "&amp;AJ$2,""),3,999)</f>
        <v/>
      </c>
      <c r="AM123" s="87" t="str">
        <f aca="false">IF(E123="","",MID(IF(N(Y123)&gt;0,", "&amp;A123&amp;"-"&amp;Y$2,"")&amp;IF(N(Z123)&gt;0,", "&amp;A123&amp;"-"&amp;Z$2,"")&amp;IF(N(AA123)&gt;0,", "&amp;A123&amp;"-"&amp;AA$2,"")&amp;IF(N(AB123)&gt;0,", "&amp;A123&amp;"-"&amp;AB$2,"")&amp;IF(N(AC123)&gt;0,", "&amp;A123&amp;"-"&amp;AC$2,"")&amp;IF(N(AD123)&gt;0,", "&amp;A123&amp;"-"&amp;AD$2,"")&amp;IF(N(AE123)&gt;0,", "&amp;A123&amp;"-"&amp;AE$2,"")&amp;IF(N(AF123)&gt;0,", "&amp;A123&amp;"-"&amp;AF$2,"")&amp;IF(N(AG123)&gt;0,", "&amp;A123&amp;"-"&amp;AG$2,"")&amp;IF(N(AH123)&gt;0,", "&amp;A123&amp;"-"&amp;AH$2,"")&amp;IF(N(AI123)&gt;0,", "&amp;A123&amp;"-"&amp;AI$2,"")&amp;IF(N(AJ123)&gt;0,", "&amp;A123&amp;"-"&amp;AJ$2,""),3,999))</f>
        <v/>
      </c>
      <c r="AN123" s="81"/>
      <c r="AO123" s="88"/>
      <c r="AP123" s="89" t="str">
        <f aca="false">IF(AO123="","",ROUND(AO123/(1+Справочники!$B$13),2))</f>
        <v/>
      </c>
      <c r="AQ123" s="90" t="str">
        <f aca="false" t="array" ref="AQ123:AQ123">IF(AP123="","",AP123*INDEX(Справочники!$B$4:$B$7,MATCH("RUB",Справочники!$A$4:$A$7,0)))</f>
        <v/>
      </c>
      <c r="AR123" s="90" t="str">
        <f aca="false">IF(AQ123="","",ROUND(AQ123*(1+Справочники!$B$12),0))</f>
        <v/>
      </c>
      <c r="AS123" s="90" t="str">
        <f aca="false">IF(AR123="","",ROUND(AR123*(1-Справочники!$B$11),0))</f>
        <v/>
      </c>
      <c r="AT123" s="88"/>
      <c r="AU123" s="90" t="str">
        <f aca="false">IF(AT123="","",ROUND(AT123/(1+Справочники!$B$12),0))</f>
        <v/>
      </c>
      <c r="AV123" s="90" t="str">
        <f aca="false">IF(AT123="","",ROUND(AT123*(1-Справочники!$B$15),0))</f>
        <v/>
      </c>
      <c r="AW123" s="90" t="str">
        <f aca="false">IF(AT123="","",ROUND(AT123*(1-Справочники!$B$16),0))</f>
        <v/>
      </c>
      <c r="AX123" s="90" t="str">
        <f aca="false">IF(AT123="","",ROUND(AT123*(1-Справочники!$B$17),0))</f>
        <v/>
      </c>
      <c r="AY123" s="90" t="str">
        <f aca="false">IF(AT123="","",ROUND(AT123*(1-Справочники!$B$18),0))</f>
        <v/>
      </c>
      <c r="AZ123" s="90" t="str">
        <f aca="false">IF(AT123="","",ROUND(AT123*(1-Справочники!$B$19),0))</f>
        <v/>
      </c>
      <c r="BA123" s="81"/>
      <c r="BB123" s="81"/>
      <c r="BC123" s="81"/>
      <c r="BD123" s="81"/>
      <c r="BE123" s="91"/>
      <c r="BF123" s="81" t="s">
        <v>103</v>
      </c>
      <c r="BG123" s="89" t="n">
        <f aca="false" t="array" ref="BG123:BG123">IF(BF123="","",IFERROR(INDEX(Справочники!$B$4:$B$7,MATCH(BF123,Справочники!$A$4:$A$7,0)),""))</f>
        <v>68.5</v>
      </c>
      <c r="BH123" s="90" t="str">
        <f aca="false">IF(N(BN123)&gt;0,ROUND(SUMIF(ЗАКАЗЫ!$F$3:$F$500,$A123,ЗАКАЗЫ!$Y$3:$Y$500)/BN123,0),IF(OR(BE123="",BG123=""),"",ROUND(BE123*BG123*(1+Справочники!$B$10),0)))</f>
        <v/>
      </c>
      <c r="BI123" s="92" t="str">
        <f aca="false">IF(OR(AU123="",BH123="",AU123=0),"",(AU123-BH123)/AU123)</f>
        <v/>
      </c>
      <c r="BJ123" s="81"/>
      <c r="BK123" s="83"/>
      <c r="BL123" s="43" t="str">
        <f aca="false">IFERROR(INDEX(ЗАКАЗЫ!$N$3:$N$500,MATCH($A123,ЗАКАЗЫ!$F$3:$F$500,0)),"")</f>
        <v/>
      </c>
      <c r="BM123" s="8" t="str">
        <f aca="false">IF(BL123="","",IFERROR(VLOOKUP(BL123,'ТН ВЭД'!$A$4:$C$40,3,0),""))</f>
        <v/>
      </c>
      <c r="BN123" s="7" t="str">
        <f aca="false">IF(COUNTIF(ЗАКАЗЫ!$F$3:$F$500,$A123)=0,"",SUMIF(ЗАКАЗЫ!$F$3:$F$500,$A123,ЗАКАЗЫ!$J$3:$J$500))</f>
        <v/>
      </c>
      <c r="BO123" s="7" t="str">
        <f aca="false">IF(BN123="","",SUMIF(ЗАКАЗЫ!$F$3:$F$500,$A123,ЗАКАЗЫ!$AL$3:$AL$500))</f>
        <v/>
      </c>
      <c r="BP123" s="7" t="str">
        <f aca="false">IF(BN123="","",BN123-BO123)</f>
        <v/>
      </c>
      <c r="BQ123" s="55" t="str">
        <f aca="false">IF(BN123="","",IF(BO123&gt;=BN123,"На складе",IF(BO123&gt;0,"Частично","Ждём")))</f>
        <v/>
      </c>
      <c r="BR123" s="43"/>
      <c r="BS123" s="47" t="str">
        <f aca="false">IF(BN123="","",IF(_xlfn.MAXIFS(ЗАКАЗЫ!$AK$3:$AK$500,ЗАКАЗЫ!$F$3:$F$500,$A123)=0,"",_xlfn.MAXIFS(ЗАКАЗЫ!$AK$3:$AK$500,ЗАКАЗЫ!$F$3:$F$500,$A123)))</f>
        <v/>
      </c>
    </row>
    <row r="124" customFormat="false" ht="15.75" hidden="false" customHeight="true" outlineLevel="0" collapsed="false">
      <c r="A124" s="80" t="s">
        <v>2664</v>
      </c>
      <c r="B124" s="81"/>
      <c r="C124" s="81"/>
      <c r="D124" s="81"/>
      <c r="E124" s="83"/>
      <c r="F124" s="81"/>
      <c r="G124" s="83"/>
      <c r="H124" s="83"/>
      <c r="I124" s="84" t="str">
        <f aca="false">IF(E124="","",A124&amp;"_1.jpg")</f>
        <v/>
      </c>
      <c r="J124" s="84" t="str">
        <f aca="false">IF(E124="","",A124&amp;"_2.jpg; "&amp;A124&amp;"_3.jpg")</f>
        <v/>
      </c>
      <c r="K124" s="84" t="str">
        <f aca="false">IF(E124="","",A124&amp;"_schema.jpg")</f>
        <v/>
      </c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 t="s">
        <v>96</v>
      </c>
      <c r="W124" s="81"/>
      <c r="X124" s="81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6" t="str">
        <f aca="false">IF(SUM(Y124:AJ124)=0,"",SUM(Y124:AJ124))</f>
        <v/>
      </c>
      <c r="AL124" s="84" t="str">
        <f aca="false">MID(IF(N(Y124)&gt;0,", "&amp;Y$2,"")&amp;IF(N(Z124)&gt;0,", "&amp;Z$2,"")&amp;IF(N(AA124)&gt;0,", "&amp;AA$2,"")&amp;IF(N(AB124)&gt;0,", "&amp;AB$2,"")&amp;IF(N(AC124)&gt;0,", "&amp;AC$2,"")&amp;IF(N(AD124)&gt;0,", "&amp;AD$2,"")&amp;IF(N(AE124)&gt;0,", "&amp;AE$2,"")&amp;IF(N(AF124)&gt;0,", "&amp;AF$2,"")&amp;IF(N(AG124)&gt;0,", "&amp;AG$2,"")&amp;IF(N(AH124)&gt;0,", "&amp;AH$2,"")&amp;IF(N(AI124)&gt;0,", "&amp;AI$2,"")&amp;IF(N(AJ124)&gt;0,", "&amp;AJ$2,""),3,999)</f>
        <v/>
      </c>
      <c r="AM124" s="87" t="str">
        <f aca="false">IF(E124="","",MID(IF(N(Y124)&gt;0,", "&amp;A124&amp;"-"&amp;Y$2,"")&amp;IF(N(Z124)&gt;0,", "&amp;A124&amp;"-"&amp;Z$2,"")&amp;IF(N(AA124)&gt;0,", "&amp;A124&amp;"-"&amp;AA$2,"")&amp;IF(N(AB124)&gt;0,", "&amp;A124&amp;"-"&amp;AB$2,"")&amp;IF(N(AC124)&gt;0,", "&amp;A124&amp;"-"&amp;AC$2,"")&amp;IF(N(AD124)&gt;0,", "&amp;A124&amp;"-"&amp;AD$2,"")&amp;IF(N(AE124)&gt;0,", "&amp;A124&amp;"-"&amp;AE$2,"")&amp;IF(N(AF124)&gt;0,", "&amp;A124&amp;"-"&amp;AF$2,"")&amp;IF(N(AG124)&gt;0,", "&amp;A124&amp;"-"&amp;AG$2,"")&amp;IF(N(AH124)&gt;0,", "&amp;A124&amp;"-"&amp;AH$2,"")&amp;IF(N(AI124)&gt;0,", "&amp;A124&amp;"-"&amp;AI$2,"")&amp;IF(N(AJ124)&gt;0,", "&amp;A124&amp;"-"&amp;AJ$2,""),3,999))</f>
        <v/>
      </c>
      <c r="AN124" s="81"/>
      <c r="AO124" s="88"/>
      <c r="AP124" s="89" t="str">
        <f aca="false">IF(AO124="","",ROUND(AO124/(1+Справочники!$B$13),2))</f>
        <v/>
      </c>
      <c r="AQ124" s="90" t="str">
        <f aca="false" t="array" ref="AQ124:AQ124">IF(AP124="","",AP124*INDEX(Справочники!$B$4:$B$7,MATCH("RUB",Справочники!$A$4:$A$7,0)))</f>
        <v/>
      </c>
      <c r="AR124" s="90" t="str">
        <f aca="false">IF(AQ124="","",ROUND(AQ124*(1+Справочники!$B$12),0))</f>
        <v/>
      </c>
      <c r="AS124" s="90" t="str">
        <f aca="false">IF(AR124="","",ROUND(AR124*(1-Справочники!$B$11),0))</f>
        <v/>
      </c>
      <c r="AT124" s="88"/>
      <c r="AU124" s="90" t="str">
        <f aca="false">IF(AT124="","",ROUND(AT124/(1+Справочники!$B$12),0))</f>
        <v/>
      </c>
      <c r="AV124" s="90" t="str">
        <f aca="false">IF(AT124="","",ROUND(AT124*(1-Справочники!$B$15),0))</f>
        <v/>
      </c>
      <c r="AW124" s="90" t="str">
        <f aca="false">IF(AT124="","",ROUND(AT124*(1-Справочники!$B$16),0))</f>
        <v/>
      </c>
      <c r="AX124" s="90" t="str">
        <f aca="false">IF(AT124="","",ROUND(AT124*(1-Справочники!$B$17),0))</f>
        <v/>
      </c>
      <c r="AY124" s="90" t="str">
        <f aca="false">IF(AT124="","",ROUND(AT124*(1-Справочники!$B$18),0))</f>
        <v/>
      </c>
      <c r="AZ124" s="90" t="str">
        <f aca="false">IF(AT124="","",ROUND(AT124*(1-Справочники!$B$19),0))</f>
        <v/>
      </c>
      <c r="BA124" s="81"/>
      <c r="BB124" s="81"/>
      <c r="BC124" s="81"/>
      <c r="BD124" s="81"/>
      <c r="BE124" s="91"/>
      <c r="BF124" s="81" t="s">
        <v>103</v>
      </c>
      <c r="BG124" s="89" t="n">
        <f aca="false" t="array" ref="BG124:BG124">IF(BF124="","",IFERROR(INDEX(Справочники!$B$4:$B$7,MATCH(BF124,Справочники!$A$4:$A$7,0)),""))</f>
        <v>68.5</v>
      </c>
      <c r="BH124" s="90" t="str">
        <f aca="false">IF(N(BN124)&gt;0,ROUND(SUMIF(ЗАКАЗЫ!$F$3:$F$500,$A124,ЗАКАЗЫ!$Y$3:$Y$500)/BN124,0),IF(OR(BE124="",BG124=""),"",ROUND(BE124*BG124*(1+Справочники!$B$10),0)))</f>
        <v/>
      </c>
      <c r="BI124" s="92" t="str">
        <f aca="false">IF(OR(AU124="",BH124="",AU124=0),"",(AU124-BH124)/AU124)</f>
        <v/>
      </c>
      <c r="BJ124" s="81"/>
      <c r="BK124" s="83"/>
      <c r="BL124" s="43" t="str">
        <f aca="false">IFERROR(INDEX(ЗАКАЗЫ!$N$3:$N$500,MATCH($A124,ЗАКАЗЫ!$F$3:$F$500,0)),"")</f>
        <v/>
      </c>
      <c r="BM124" s="8" t="str">
        <f aca="false">IF(BL124="","",IFERROR(VLOOKUP(BL124,'ТН ВЭД'!$A$4:$C$40,3,0),""))</f>
        <v/>
      </c>
      <c r="BN124" s="7" t="str">
        <f aca="false">IF(COUNTIF(ЗАКАЗЫ!$F$3:$F$500,$A124)=0,"",SUMIF(ЗАКАЗЫ!$F$3:$F$500,$A124,ЗАКАЗЫ!$J$3:$J$500))</f>
        <v/>
      </c>
      <c r="BO124" s="7" t="str">
        <f aca="false">IF(BN124="","",SUMIF(ЗАКАЗЫ!$F$3:$F$500,$A124,ЗАКАЗЫ!$AL$3:$AL$500))</f>
        <v/>
      </c>
      <c r="BP124" s="7" t="str">
        <f aca="false">IF(BN124="","",BN124-BO124)</f>
        <v/>
      </c>
      <c r="BQ124" s="55" t="str">
        <f aca="false">IF(BN124="","",IF(BO124&gt;=BN124,"На складе",IF(BO124&gt;0,"Частично","Ждём")))</f>
        <v/>
      </c>
      <c r="BR124" s="43"/>
      <c r="BS124" s="47" t="str">
        <f aca="false">IF(BN124="","",IF(_xlfn.MAXIFS(ЗАКАЗЫ!$AK$3:$AK$500,ЗАКАЗЫ!$F$3:$F$500,$A124)=0,"",_xlfn.MAXIFS(ЗАКАЗЫ!$AK$3:$AK$500,ЗАКАЗЫ!$F$3:$F$500,$A124)))</f>
        <v/>
      </c>
    </row>
    <row r="125" customFormat="false" ht="15.75" hidden="false" customHeight="true" outlineLevel="0" collapsed="false">
      <c r="A125" s="80" t="s">
        <v>2665</v>
      </c>
      <c r="B125" s="81"/>
      <c r="C125" s="81"/>
      <c r="D125" s="81"/>
      <c r="E125" s="83"/>
      <c r="F125" s="81"/>
      <c r="G125" s="83"/>
      <c r="H125" s="83"/>
      <c r="I125" s="84" t="str">
        <f aca="false">IF(E125="","",A125&amp;"_1.jpg")</f>
        <v/>
      </c>
      <c r="J125" s="84" t="str">
        <f aca="false">IF(E125="","",A125&amp;"_2.jpg; "&amp;A125&amp;"_3.jpg")</f>
        <v/>
      </c>
      <c r="K125" s="84" t="str">
        <f aca="false">IF(E125="","",A125&amp;"_schema.jpg")</f>
        <v/>
      </c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 t="s">
        <v>96</v>
      </c>
      <c r="W125" s="81"/>
      <c r="X125" s="81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6" t="str">
        <f aca="false">IF(SUM(Y125:AJ125)=0,"",SUM(Y125:AJ125))</f>
        <v/>
      </c>
      <c r="AL125" s="84" t="str">
        <f aca="false">MID(IF(N(Y125)&gt;0,", "&amp;Y$2,"")&amp;IF(N(Z125)&gt;0,", "&amp;Z$2,"")&amp;IF(N(AA125)&gt;0,", "&amp;AA$2,"")&amp;IF(N(AB125)&gt;0,", "&amp;AB$2,"")&amp;IF(N(AC125)&gt;0,", "&amp;AC$2,"")&amp;IF(N(AD125)&gt;0,", "&amp;AD$2,"")&amp;IF(N(AE125)&gt;0,", "&amp;AE$2,"")&amp;IF(N(AF125)&gt;0,", "&amp;AF$2,"")&amp;IF(N(AG125)&gt;0,", "&amp;AG$2,"")&amp;IF(N(AH125)&gt;0,", "&amp;AH$2,"")&amp;IF(N(AI125)&gt;0,", "&amp;AI$2,"")&amp;IF(N(AJ125)&gt;0,", "&amp;AJ$2,""),3,999)</f>
        <v/>
      </c>
      <c r="AM125" s="87" t="str">
        <f aca="false">IF(E125="","",MID(IF(N(Y125)&gt;0,", "&amp;A125&amp;"-"&amp;Y$2,"")&amp;IF(N(Z125)&gt;0,", "&amp;A125&amp;"-"&amp;Z$2,"")&amp;IF(N(AA125)&gt;0,", "&amp;A125&amp;"-"&amp;AA$2,"")&amp;IF(N(AB125)&gt;0,", "&amp;A125&amp;"-"&amp;AB$2,"")&amp;IF(N(AC125)&gt;0,", "&amp;A125&amp;"-"&amp;AC$2,"")&amp;IF(N(AD125)&gt;0,", "&amp;A125&amp;"-"&amp;AD$2,"")&amp;IF(N(AE125)&gt;0,", "&amp;A125&amp;"-"&amp;AE$2,"")&amp;IF(N(AF125)&gt;0,", "&amp;A125&amp;"-"&amp;AF$2,"")&amp;IF(N(AG125)&gt;0,", "&amp;A125&amp;"-"&amp;AG$2,"")&amp;IF(N(AH125)&gt;0,", "&amp;A125&amp;"-"&amp;AH$2,"")&amp;IF(N(AI125)&gt;0,", "&amp;A125&amp;"-"&amp;AI$2,"")&amp;IF(N(AJ125)&gt;0,", "&amp;A125&amp;"-"&amp;AJ$2,""),3,999))</f>
        <v/>
      </c>
      <c r="AN125" s="81"/>
      <c r="AO125" s="88"/>
      <c r="AP125" s="89" t="str">
        <f aca="false">IF(AO125="","",ROUND(AO125/(1+Справочники!$B$13),2))</f>
        <v/>
      </c>
      <c r="AQ125" s="90" t="str">
        <f aca="false" t="array" ref="AQ125:AQ125">IF(AP125="","",AP125*INDEX(Справочники!$B$4:$B$7,MATCH("RUB",Справочники!$A$4:$A$7,0)))</f>
        <v/>
      </c>
      <c r="AR125" s="90" t="str">
        <f aca="false">IF(AQ125="","",ROUND(AQ125*(1+Справочники!$B$12),0))</f>
        <v/>
      </c>
      <c r="AS125" s="90" t="str">
        <f aca="false">IF(AR125="","",ROUND(AR125*(1-Справочники!$B$11),0))</f>
        <v/>
      </c>
      <c r="AT125" s="88"/>
      <c r="AU125" s="90" t="str">
        <f aca="false">IF(AT125="","",ROUND(AT125/(1+Справочники!$B$12),0))</f>
        <v/>
      </c>
      <c r="AV125" s="90" t="str">
        <f aca="false">IF(AT125="","",ROUND(AT125*(1-Справочники!$B$15),0))</f>
        <v/>
      </c>
      <c r="AW125" s="90" t="str">
        <f aca="false">IF(AT125="","",ROUND(AT125*(1-Справочники!$B$16),0))</f>
        <v/>
      </c>
      <c r="AX125" s="90" t="str">
        <f aca="false">IF(AT125="","",ROUND(AT125*(1-Справочники!$B$17),0))</f>
        <v/>
      </c>
      <c r="AY125" s="90" t="str">
        <f aca="false">IF(AT125="","",ROUND(AT125*(1-Справочники!$B$18),0))</f>
        <v/>
      </c>
      <c r="AZ125" s="90" t="str">
        <f aca="false">IF(AT125="","",ROUND(AT125*(1-Справочники!$B$19),0))</f>
        <v/>
      </c>
      <c r="BA125" s="81"/>
      <c r="BB125" s="81"/>
      <c r="BC125" s="81"/>
      <c r="BD125" s="81"/>
      <c r="BE125" s="91"/>
      <c r="BF125" s="81" t="s">
        <v>103</v>
      </c>
      <c r="BG125" s="89" t="n">
        <f aca="false" t="array" ref="BG125:BG125">IF(BF125="","",IFERROR(INDEX(Справочники!$B$4:$B$7,MATCH(BF125,Справочники!$A$4:$A$7,0)),""))</f>
        <v>68.5</v>
      </c>
      <c r="BH125" s="90" t="str">
        <f aca="false">IF(N(BN125)&gt;0,ROUND(SUMIF(ЗАКАЗЫ!$F$3:$F$500,$A125,ЗАКАЗЫ!$Y$3:$Y$500)/BN125,0),IF(OR(BE125="",BG125=""),"",ROUND(BE125*BG125*(1+Справочники!$B$10),0)))</f>
        <v/>
      </c>
      <c r="BI125" s="92" t="str">
        <f aca="false">IF(OR(AU125="",BH125="",AU125=0),"",(AU125-BH125)/AU125)</f>
        <v/>
      </c>
      <c r="BJ125" s="81"/>
      <c r="BK125" s="83"/>
      <c r="BL125" s="43" t="str">
        <f aca="false">IFERROR(INDEX(ЗАКАЗЫ!$N$3:$N$500,MATCH($A125,ЗАКАЗЫ!$F$3:$F$500,0)),"")</f>
        <v/>
      </c>
      <c r="BM125" s="8" t="str">
        <f aca="false">IF(BL125="","",IFERROR(VLOOKUP(BL125,'ТН ВЭД'!$A$4:$C$40,3,0),""))</f>
        <v/>
      </c>
      <c r="BN125" s="7" t="str">
        <f aca="false">IF(COUNTIF(ЗАКАЗЫ!$F$3:$F$500,$A125)=0,"",SUMIF(ЗАКАЗЫ!$F$3:$F$500,$A125,ЗАКАЗЫ!$J$3:$J$500))</f>
        <v/>
      </c>
      <c r="BO125" s="7" t="str">
        <f aca="false">IF(BN125="","",SUMIF(ЗАКАЗЫ!$F$3:$F$500,$A125,ЗАКАЗЫ!$AL$3:$AL$500))</f>
        <v/>
      </c>
      <c r="BP125" s="7" t="str">
        <f aca="false">IF(BN125="","",BN125-BO125)</f>
        <v/>
      </c>
      <c r="BQ125" s="55" t="str">
        <f aca="false">IF(BN125="","",IF(BO125&gt;=BN125,"На складе",IF(BO125&gt;0,"Частично","Ждём")))</f>
        <v/>
      </c>
      <c r="BR125" s="43"/>
      <c r="BS125" s="47" t="str">
        <f aca="false">IF(BN125="","",IF(_xlfn.MAXIFS(ЗАКАЗЫ!$AK$3:$AK$500,ЗАКАЗЫ!$F$3:$F$500,$A125)=0,"",_xlfn.MAXIFS(ЗАКАЗЫ!$AK$3:$AK$500,ЗАКАЗЫ!$F$3:$F$500,$A125)))</f>
        <v/>
      </c>
    </row>
    <row r="126" customFormat="false" ht="15.75" hidden="false" customHeight="true" outlineLevel="0" collapsed="false">
      <c r="A126" s="80" t="s">
        <v>2666</v>
      </c>
      <c r="B126" s="81"/>
      <c r="C126" s="81"/>
      <c r="D126" s="81"/>
      <c r="E126" s="83"/>
      <c r="F126" s="81"/>
      <c r="G126" s="83"/>
      <c r="H126" s="83"/>
      <c r="I126" s="84" t="str">
        <f aca="false">IF(E126="","",A126&amp;"_1.jpg")</f>
        <v/>
      </c>
      <c r="J126" s="84" t="str">
        <f aca="false">IF(E126="","",A126&amp;"_2.jpg; "&amp;A126&amp;"_3.jpg")</f>
        <v/>
      </c>
      <c r="K126" s="84" t="str">
        <f aca="false">IF(E126="","",A126&amp;"_schema.jpg")</f>
        <v/>
      </c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 t="s">
        <v>96</v>
      </c>
      <c r="W126" s="81"/>
      <c r="X126" s="81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6" t="str">
        <f aca="false">IF(SUM(Y126:AJ126)=0,"",SUM(Y126:AJ126))</f>
        <v/>
      </c>
      <c r="AL126" s="84" t="str">
        <f aca="false">MID(IF(N(Y126)&gt;0,", "&amp;Y$2,"")&amp;IF(N(Z126)&gt;0,", "&amp;Z$2,"")&amp;IF(N(AA126)&gt;0,", "&amp;AA$2,"")&amp;IF(N(AB126)&gt;0,", "&amp;AB$2,"")&amp;IF(N(AC126)&gt;0,", "&amp;AC$2,"")&amp;IF(N(AD126)&gt;0,", "&amp;AD$2,"")&amp;IF(N(AE126)&gt;0,", "&amp;AE$2,"")&amp;IF(N(AF126)&gt;0,", "&amp;AF$2,"")&amp;IF(N(AG126)&gt;0,", "&amp;AG$2,"")&amp;IF(N(AH126)&gt;0,", "&amp;AH$2,"")&amp;IF(N(AI126)&gt;0,", "&amp;AI$2,"")&amp;IF(N(AJ126)&gt;0,", "&amp;AJ$2,""),3,999)</f>
        <v/>
      </c>
      <c r="AM126" s="87" t="str">
        <f aca="false">IF(E126="","",MID(IF(N(Y126)&gt;0,", "&amp;A126&amp;"-"&amp;Y$2,"")&amp;IF(N(Z126)&gt;0,", "&amp;A126&amp;"-"&amp;Z$2,"")&amp;IF(N(AA126)&gt;0,", "&amp;A126&amp;"-"&amp;AA$2,"")&amp;IF(N(AB126)&gt;0,", "&amp;A126&amp;"-"&amp;AB$2,"")&amp;IF(N(AC126)&gt;0,", "&amp;A126&amp;"-"&amp;AC$2,"")&amp;IF(N(AD126)&gt;0,", "&amp;A126&amp;"-"&amp;AD$2,"")&amp;IF(N(AE126)&gt;0,", "&amp;A126&amp;"-"&amp;AE$2,"")&amp;IF(N(AF126)&gt;0,", "&amp;A126&amp;"-"&amp;AF$2,"")&amp;IF(N(AG126)&gt;0,", "&amp;A126&amp;"-"&amp;AG$2,"")&amp;IF(N(AH126)&gt;0,", "&amp;A126&amp;"-"&amp;AH$2,"")&amp;IF(N(AI126)&gt;0,", "&amp;A126&amp;"-"&amp;AI$2,"")&amp;IF(N(AJ126)&gt;0,", "&amp;A126&amp;"-"&amp;AJ$2,""),3,999))</f>
        <v/>
      </c>
      <c r="AN126" s="81"/>
      <c r="AO126" s="88"/>
      <c r="AP126" s="89" t="str">
        <f aca="false">IF(AO126="","",ROUND(AO126/(1+Справочники!$B$13),2))</f>
        <v/>
      </c>
      <c r="AQ126" s="90" t="str">
        <f aca="false" t="array" ref="AQ126:AQ126">IF(AP126="","",AP126*INDEX(Справочники!$B$4:$B$7,MATCH("RUB",Справочники!$A$4:$A$7,0)))</f>
        <v/>
      </c>
      <c r="AR126" s="90" t="str">
        <f aca="false">IF(AQ126="","",ROUND(AQ126*(1+Справочники!$B$12),0))</f>
        <v/>
      </c>
      <c r="AS126" s="90" t="str">
        <f aca="false">IF(AR126="","",ROUND(AR126*(1-Справочники!$B$11),0))</f>
        <v/>
      </c>
      <c r="AT126" s="88"/>
      <c r="AU126" s="90" t="str">
        <f aca="false">IF(AT126="","",ROUND(AT126/(1+Справочники!$B$12),0))</f>
        <v/>
      </c>
      <c r="AV126" s="90" t="str">
        <f aca="false">IF(AT126="","",ROUND(AT126*(1-Справочники!$B$15),0))</f>
        <v/>
      </c>
      <c r="AW126" s="90" t="str">
        <f aca="false">IF(AT126="","",ROUND(AT126*(1-Справочники!$B$16),0))</f>
        <v/>
      </c>
      <c r="AX126" s="90" t="str">
        <f aca="false">IF(AT126="","",ROUND(AT126*(1-Справочники!$B$17),0))</f>
        <v/>
      </c>
      <c r="AY126" s="90" t="str">
        <f aca="false">IF(AT126="","",ROUND(AT126*(1-Справочники!$B$18),0))</f>
        <v/>
      </c>
      <c r="AZ126" s="90" t="str">
        <f aca="false">IF(AT126="","",ROUND(AT126*(1-Справочники!$B$19),0))</f>
        <v/>
      </c>
      <c r="BA126" s="81"/>
      <c r="BB126" s="81"/>
      <c r="BC126" s="81"/>
      <c r="BD126" s="81"/>
      <c r="BE126" s="91"/>
      <c r="BF126" s="81" t="s">
        <v>103</v>
      </c>
      <c r="BG126" s="89" t="n">
        <f aca="false" t="array" ref="BG126:BG126">IF(BF126="","",IFERROR(INDEX(Справочники!$B$4:$B$7,MATCH(BF126,Справочники!$A$4:$A$7,0)),""))</f>
        <v>68.5</v>
      </c>
      <c r="BH126" s="90" t="str">
        <f aca="false">IF(N(BN126)&gt;0,ROUND(SUMIF(ЗАКАЗЫ!$F$3:$F$500,$A126,ЗАКАЗЫ!$Y$3:$Y$500)/BN126,0),IF(OR(BE126="",BG126=""),"",ROUND(BE126*BG126*(1+Справочники!$B$10),0)))</f>
        <v/>
      </c>
      <c r="BI126" s="92" t="str">
        <f aca="false">IF(OR(AU126="",BH126="",AU126=0),"",(AU126-BH126)/AU126)</f>
        <v/>
      </c>
      <c r="BJ126" s="81"/>
      <c r="BK126" s="83"/>
      <c r="BL126" s="43" t="str">
        <f aca="false">IFERROR(INDEX(ЗАКАЗЫ!$N$3:$N$500,MATCH($A126,ЗАКАЗЫ!$F$3:$F$500,0)),"")</f>
        <v/>
      </c>
      <c r="BM126" s="8" t="str">
        <f aca="false">IF(BL126="","",IFERROR(VLOOKUP(BL126,'ТН ВЭД'!$A$4:$C$40,3,0),""))</f>
        <v/>
      </c>
      <c r="BN126" s="7" t="str">
        <f aca="false">IF(COUNTIF(ЗАКАЗЫ!$F$3:$F$500,$A126)=0,"",SUMIF(ЗАКАЗЫ!$F$3:$F$500,$A126,ЗАКАЗЫ!$J$3:$J$500))</f>
        <v/>
      </c>
      <c r="BO126" s="7" t="str">
        <f aca="false">IF(BN126="","",SUMIF(ЗАКАЗЫ!$F$3:$F$500,$A126,ЗАКАЗЫ!$AL$3:$AL$500))</f>
        <v/>
      </c>
      <c r="BP126" s="7" t="str">
        <f aca="false">IF(BN126="","",BN126-BO126)</f>
        <v/>
      </c>
      <c r="BQ126" s="55" t="str">
        <f aca="false">IF(BN126="","",IF(BO126&gt;=BN126,"На складе",IF(BO126&gt;0,"Частично","Ждём")))</f>
        <v/>
      </c>
      <c r="BR126" s="43"/>
      <c r="BS126" s="47" t="str">
        <f aca="false">IF(BN126="","",IF(_xlfn.MAXIFS(ЗАКАЗЫ!$AK$3:$AK$500,ЗАКАЗЫ!$F$3:$F$500,$A126)=0,"",_xlfn.MAXIFS(ЗАКАЗЫ!$AK$3:$AK$500,ЗАКАЗЫ!$F$3:$F$500,$A126)))</f>
        <v/>
      </c>
    </row>
    <row r="127" customFormat="false" ht="15.75" hidden="false" customHeight="true" outlineLevel="0" collapsed="false">
      <c r="A127" s="80" t="s">
        <v>2667</v>
      </c>
      <c r="B127" s="81"/>
      <c r="C127" s="81"/>
      <c r="D127" s="81"/>
      <c r="E127" s="83"/>
      <c r="F127" s="81"/>
      <c r="G127" s="83"/>
      <c r="H127" s="83"/>
      <c r="I127" s="84" t="str">
        <f aca="false">IF(E127="","",A127&amp;"_1.jpg")</f>
        <v/>
      </c>
      <c r="J127" s="84" t="str">
        <f aca="false">IF(E127="","",A127&amp;"_2.jpg; "&amp;A127&amp;"_3.jpg")</f>
        <v/>
      </c>
      <c r="K127" s="84" t="str">
        <f aca="false">IF(E127="","",A127&amp;"_schema.jpg")</f>
        <v/>
      </c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 t="s">
        <v>96</v>
      </c>
      <c r="W127" s="81"/>
      <c r="X127" s="81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6" t="str">
        <f aca="false">IF(SUM(Y127:AJ127)=0,"",SUM(Y127:AJ127))</f>
        <v/>
      </c>
      <c r="AL127" s="84" t="str">
        <f aca="false">MID(IF(N(Y127)&gt;0,", "&amp;Y$2,"")&amp;IF(N(Z127)&gt;0,", "&amp;Z$2,"")&amp;IF(N(AA127)&gt;0,", "&amp;AA$2,"")&amp;IF(N(AB127)&gt;0,", "&amp;AB$2,"")&amp;IF(N(AC127)&gt;0,", "&amp;AC$2,"")&amp;IF(N(AD127)&gt;0,", "&amp;AD$2,"")&amp;IF(N(AE127)&gt;0,", "&amp;AE$2,"")&amp;IF(N(AF127)&gt;0,", "&amp;AF$2,"")&amp;IF(N(AG127)&gt;0,", "&amp;AG$2,"")&amp;IF(N(AH127)&gt;0,", "&amp;AH$2,"")&amp;IF(N(AI127)&gt;0,", "&amp;AI$2,"")&amp;IF(N(AJ127)&gt;0,", "&amp;AJ$2,""),3,999)</f>
        <v/>
      </c>
      <c r="AM127" s="87" t="str">
        <f aca="false">IF(E127="","",MID(IF(N(Y127)&gt;0,", "&amp;A127&amp;"-"&amp;Y$2,"")&amp;IF(N(Z127)&gt;0,", "&amp;A127&amp;"-"&amp;Z$2,"")&amp;IF(N(AA127)&gt;0,", "&amp;A127&amp;"-"&amp;AA$2,"")&amp;IF(N(AB127)&gt;0,", "&amp;A127&amp;"-"&amp;AB$2,"")&amp;IF(N(AC127)&gt;0,", "&amp;A127&amp;"-"&amp;AC$2,"")&amp;IF(N(AD127)&gt;0,", "&amp;A127&amp;"-"&amp;AD$2,"")&amp;IF(N(AE127)&gt;0,", "&amp;A127&amp;"-"&amp;AE$2,"")&amp;IF(N(AF127)&gt;0,", "&amp;A127&amp;"-"&amp;AF$2,"")&amp;IF(N(AG127)&gt;0,", "&amp;A127&amp;"-"&amp;AG$2,"")&amp;IF(N(AH127)&gt;0,", "&amp;A127&amp;"-"&amp;AH$2,"")&amp;IF(N(AI127)&gt;0,", "&amp;A127&amp;"-"&amp;AI$2,"")&amp;IF(N(AJ127)&gt;0,", "&amp;A127&amp;"-"&amp;AJ$2,""),3,999))</f>
        <v/>
      </c>
      <c r="AN127" s="81"/>
      <c r="AO127" s="88"/>
      <c r="AP127" s="89" t="str">
        <f aca="false">IF(AO127="","",ROUND(AO127/(1+Справочники!$B$13),2))</f>
        <v/>
      </c>
      <c r="AQ127" s="90" t="str">
        <f aca="false" t="array" ref="AQ127:AQ127">IF(AP127="","",AP127*INDEX(Справочники!$B$4:$B$7,MATCH("RUB",Справочники!$A$4:$A$7,0)))</f>
        <v/>
      </c>
      <c r="AR127" s="90" t="str">
        <f aca="false">IF(AQ127="","",ROUND(AQ127*(1+Справочники!$B$12),0))</f>
        <v/>
      </c>
      <c r="AS127" s="90" t="str">
        <f aca="false">IF(AR127="","",ROUND(AR127*(1-Справочники!$B$11),0))</f>
        <v/>
      </c>
      <c r="AT127" s="88"/>
      <c r="AU127" s="90" t="str">
        <f aca="false">IF(AT127="","",ROUND(AT127/(1+Справочники!$B$12),0))</f>
        <v/>
      </c>
      <c r="AV127" s="90" t="str">
        <f aca="false">IF(AT127="","",ROUND(AT127*(1-Справочники!$B$15),0))</f>
        <v/>
      </c>
      <c r="AW127" s="90" t="str">
        <f aca="false">IF(AT127="","",ROUND(AT127*(1-Справочники!$B$16),0))</f>
        <v/>
      </c>
      <c r="AX127" s="90" t="str">
        <f aca="false">IF(AT127="","",ROUND(AT127*(1-Справочники!$B$17),0))</f>
        <v/>
      </c>
      <c r="AY127" s="90" t="str">
        <f aca="false">IF(AT127="","",ROUND(AT127*(1-Справочники!$B$18),0))</f>
        <v/>
      </c>
      <c r="AZ127" s="90" t="str">
        <f aca="false">IF(AT127="","",ROUND(AT127*(1-Справочники!$B$19),0))</f>
        <v/>
      </c>
      <c r="BA127" s="81"/>
      <c r="BB127" s="81"/>
      <c r="BC127" s="81"/>
      <c r="BD127" s="81"/>
      <c r="BE127" s="91"/>
      <c r="BF127" s="81" t="s">
        <v>103</v>
      </c>
      <c r="BG127" s="89" t="n">
        <f aca="false" t="array" ref="BG127:BG127">IF(BF127="","",IFERROR(INDEX(Справочники!$B$4:$B$7,MATCH(BF127,Справочники!$A$4:$A$7,0)),""))</f>
        <v>68.5</v>
      </c>
      <c r="BH127" s="90" t="str">
        <f aca="false">IF(N(BN127)&gt;0,ROUND(SUMIF(ЗАКАЗЫ!$F$3:$F$500,$A127,ЗАКАЗЫ!$Y$3:$Y$500)/BN127,0),IF(OR(BE127="",BG127=""),"",ROUND(BE127*BG127*(1+Справочники!$B$10),0)))</f>
        <v/>
      </c>
      <c r="BI127" s="92" t="str">
        <f aca="false">IF(OR(AU127="",BH127="",AU127=0),"",(AU127-BH127)/AU127)</f>
        <v/>
      </c>
      <c r="BJ127" s="81"/>
      <c r="BK127" s="83"/>
      <c r="BL127" s="43" t="str">
        <f aca="false">IFERROR(INDEX(ЗАКАЗЫ!$N$3:$N$500,MATCH($A127,ЗАКАЗЫ!$F$3:$F$500,0)),"")</f>
        <v/>
      </c>
      <c r="BM127" s="8" t="str">
        <f aca="false">IF(BL127="","",IFERROR(VLOOKUP(BL127,'ТН ВЭД'!$A$4:$C$40,3,0),""))</f>
        <v/>
      </c>
      <c r="BN127" s="7" t="str">
        <f aca="false">IF(COUNTIF(ЗАКАЗЫ!$F$3:$F$500,$A127)=0,"",SUMIF(ЗАКАЗЫ!$F$3:$F$500,$A127,ЗАКАЗЫ!$J$3:$J$500))</f>
        <v/>
      </c>
      <c r="BO127" s="7" t="str">
        <f aca="false">IF(BN127="","",SUMIF(ЗАКАЗЫ!$F$3:$F$500,$A127,ЗАКАЗЫ!$AL$3:$AL$500))</f>
        <v/>
      </c>
      <c r="BP127" s="7" t="str">
        <f aca="false">IF(BN127="","",BN127-BO127)</f>
        <v/>
      </c>
      <c r="BQ127" s="55" t="str">
        <f aca="false">IF(BN127="","",IF(BO127&gt;=BN127,"На складе",IF(BO127&gt;0,"Частично","Ждём")))</f>
        <v/>
      </c>
      <c r="BR127" s="43"/>
      <c r="BS127" s="47" t="str">
        <f aca="false">IF(BN127="","",IF(_xlfn.MAXIFS(ЗАКАЗЫ!$AK$3:$AK$500,ЗАКАЗЫ!$F$3:$F$500,$A127)=0,"",_xlfn.MAXIFS(ЗАКАЗЫ!$AK$3:$AK$500,ЗАКАЗЫ!$F$3:$F$500,$A127)))</f>
        <v/>
      </c>
    </row>
    <row r="128" customFormat="false" ht="15.75" hidden="false" customHeight="true" outlineLevel="0" collapsed="false">
      <c r="A128" s="80" t="s">
        <v>2668</v>
      </c>
      <c r="B128" s="81"/>
      <c r="C128" s="81"/>
      <c r="D128" s="81"/>
      <c r="E128" s="83"/>
      <c r="F128" s="81"/>
      <c r="G128" s="83"/>
      <c r="H128" s="83"/>
      <c r="I128" s="84" t="str">
        <f aca="false">IF(E128="","",A128&amp;"_1.jpg")</f>
        <v/>
      </c>
      <c r="J128" s="84" t="str">
        <f aca="false">IF(E128="","",A128&amp;"_2.jpg; "&amp;A128&amp;"_3.jpg")</f>
        <v/>
      </c>
      <c r="K128" s="84" t="str">
        <f aca="false">IF(E128="","",A128&amp;"_schema.jpg")</f>
        <v/>
      </c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 t="s">
        <v>96</v>
      </c>
      <c r="W128" s="81"/>
      <c r="X128" s="81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6" t="str">
        <f aca="false">IF(SUM(Y128:AJ128)=0,"",SUM(Y128:AJ128))</f>
        <v/>
      </c>
      <c r="AL128" s="84" t="str">
        <f aca="false">MID(IF(N(Y128)&gt;0,", "&amp;Y$2,"")&amp;IF(N(Z128)&gt;0,", "&amp;Z$2,"")&amp;IF(N(AA128)&gt;0,", "&amp;AA$2,"")&amp;IF(N(AB128)&gt;0,", "&amp;AB$2,"")&amp;IF(N(AC128)&gt;0,", "&amp;AC$2,"")&amp;IF(N(AD128)&gt;0,", "&amp;AD$2,"")&amp;IF(N(AE128)&gt;0,", "&amp;AE$2,"")&amp;IF(N(AF128)&gt;0,", "&amp;AF$2,"")&amp;IF(N(AG128)&gt;0,", "&amp;AG$2,"")&amp;IF(N(AH128)&gt;0,", "&amp;AH$2,"")&amp;IF(N(AI128)&gt;0,", "&amp;AI$2,"")&amp;IF(N(AJ128)&gt;0,", "&amp;AJ$2,""),3,999)</f>
        <v/>
      </c>
      <c r="AM128" s="87" t="str">
        <f aca="false">IF(E128="","",MID(IF(N(Y128)&gt;0,", "&amp;A128&amp;"-"&amp;Y$2,"")&amp;IF(N(Z128)&gt;0,", "&amp;A128&amp;"-"&amp;Z$2,"")&amp;IF(N(AA128)&gt;0,", "&amp;A128&amp;"-"&amp;AA$2,"")&amp;IF(N(AB128)&gt;0,", "&amp;A128&amp;"-"&amp;AB$2,"")&amp;IF(N(AC128)&gt;0,", "&amp;A128&amp;"-"&amp;AC$2,"")&amp;IF(N(AD128)&gt;0,", "&amp;A128&amp;"-"&amp;AD$2,"")&amp;IF(N(AE128)&gt;0,", "&amp;A128&amp;"-"&amp;AE$2,"")&amp;IF(N(AF128)&gt;0,", "&amp;A128&amp;"-"&amp;AF$2,"")&amp;IF(N(AG128)&gt;0,", "&amp;A128&amp;"-"&amp;AG$2,"")&amp;IF(N(AH128)&gt;0,", "&amp;A128&amp;"-"&amp;AH$2,"")&amp;IF(N(AI128)&gt;0,", "&amp;A128&amp;"-"&amp;AI$2,"")&amp;IF(N(AJ128)&gt;0,", "&amp;A128&amp;"-"&amp;AJ$2,""),3,999))</f>
        <v/>
      </c>
      <c r="AN128" s="81"/>
      <c r="AO128" s="88"/>
      <c r="AP128" s="89" t="str">
        <f aca="false">IF(AO128="","",ROUND(AO128/(1+Справочники!$B$13),2))</f>
        <v/>
      </c>
      <c r="AQ128" s="90" t="str">
        <f aca="false" t="array" ref="AQ128:AQ128">IF(AP128="","",AP128*INDEX(Справочники!$B$4:$B$7,MATCH("RUB",Справочники!$A$4:$A$7,0)))</f>
        <v/>
      </c>
      <c r="AR128" s="90" t="str">
        <f aca="false">IF(AQ128="","",ROUND(AQ128*(1+Справочники!$B$12),0))</f>
        <v/>
      </c>
      <c r="AS128" s="90" t="str">
        <f aca="false">IF(AR128="","",ROUND(AR128*(1-Справочники!$B$11),0))</f>
        <v/>
      </c>
      <c r="AT128" s="88"/>
      <c r="AU128" s="90" t="str">
        <f aca="false">IF(AT128="","",ROUND(AT128/(1+Справочники!$B$12),0))</f>
        <v/>
      </c>
      <c r="AV128" s="90" t="str">
        <f aca="false">IF(AT128="","",ROUND(AT128*(1-Справочники!$B$15),0))</f>
        <v/>
      </c>
      <c r="AW128" s="90" t="str">
        <f aca="false">IF(AT128="","",ROUND(AT128*(1-Справочники!$B$16),0))</f>
        <v/>
      </c>
      <c r="AX128" s="90" t="str">
        <f aca="false">IF(AT128="","",ROUND(AT128*(1-Справочники!$B$17),0))</f>
        <v/>
      </c>
      <c r="AY128" s="90" t="str">
        <f aca="false">IF(AT128="","",ROUND(AT128*(1-Справочники!$B$18),0))</f>
        <v/>
      </c>
      <c r="AZ128" s="90" t="str">
        <f aca="false">IF(AT128="","",ROUND(AT128*(1-Справочники!$B$19),0))</f>
        <v/>
      </c>
      <c r="BA128" s="81"/>
      <c r="BB128" s="81"/>
      <c r="BC128" s="81"/>
      <c r="BD128" s="81"/>
      <c r="BE128" s="91"/>
      <c r="BF128" s="81" t="s">
        <v>103</v>
      </c>
      <c r="BG128" s="89" t="n">
        <f aca="false" t="array" ref="BG128:BG128">IF(BF128="","",IFERROR(INDEX(Справочники!$B$4:$B$7,MATCH(BF128,Справочники!$A$4:$A$7,0)),""))</f>
        <v>68.5</v>
      </c>
      <c r="BH128" s="90" t="str">
        <f aca="false">IF(N(BN128)&gt;0,ROUND(SUMIF(ЗАКАЗЫ!$F$3:$F$500,$A128,ЗАКАЗЫ!$Y$3:$Y$500)/BN128,0),IF(OR(BE128="",BG128=""),"",ROUND(BE128*BG128*(1+Справочники!$B$10),0)))</f>
        <v/>
      </c>
      <c r="BI128" s="92" t="str">
        <f aca="false">IF(OR(AU128="",BH128="",AU128=0),"",(AU128-BH128)/AU128)</f>
        <v/>
      </c>
      <c r="BJ128" s="81"/>
      <c r="BK128" s="83"/>
      <c r="BL128" s="43" t="str">
        <f aca="false">IFERROR(INDEX(ЗАКАЗЫ!$N$3:$N$500,MATCH($A128,ЗАКАЗЫ!$F$3:$F$500,0)),"")</f>
        <v/>
      </c>
      <c r="BM128" s="8" t="str">
        <f aca="false">IF(BL128="","",IFERROR(VLOOKUP(BL128,'ТН ВЭД'!$A$4:$C$40,3,0),""))</f>
        <v/>
      </c>
      <c r="BN128" s="7" t="str">
        <f aca="false">IF(COUNTIF(ЗАКАЗЫ!$F$3:$F$500,$A128)=0,"",SUMIF(ЗАКАЗЫ!$F$3:$F$500,$A128,ЗАКАЗЫ!$J$3:$J$500))</f>
        <v/>
      </c>
      <c r="BO128" s="7" t="str">
        <f aca="false">IF(BN128="","",SUMIF(ЗАКАЗЫ!$F$3:$F$500,$A128,ЗАКАЗЫ!$AL$3:$AL$500))</f>
        <v/>
      </c>
      <c r="BP128" s="7" t="str">
        <f aca="false">IF(BN128="","",BN128-BO128)</f>
        <v/>
      </c>
      <c r="BQ128" s="55" t="str">
        <f aca="false">IF(BN128="","",IF(BO128&gt;=BN128,"На складе",IF(BO128&gt;0,"Частично","Ждём")))</f>
        <v/>
      </c>
      <c r="BR128" s="43"/>
      <c r="BS128" s="47" t="str">
        <f aca="false">IF(BN128="","",IF(_xlfn.MAXIFS(ЗАКАЗЫ!$AK$3:$AK$500,ЗАКАЗЫ!$F$3:$F$500,$A128)=0,"",_xlfn.MAXIFS(ЗАКАЗЫ!$AK$3:$AK$500,ЗАКАЗЫ!$F$3:$F$500,$A128)))</f>
        <v/>
      </c>
    </row>
    <row r="129" customFormat="false" ht="15.75" hidden="false" customHeight="true" outlineLevel="0" collapsed="false">
      <c r="A129" s="80" t="s">
        <v>2669</v>
      </c>
      <c r="B129" s="81"/>
      <c r="C129" s="81"/>
      <c r="D129" s="81"/>
      <c r="E129" s="83"/>
      <c r="F129" s="81"/>
      <c r="G129" s="83"/>
      <c r="H129" s="83"/>
      <c r="I129" s="84" t="str">
        <f aca="false">IF(E129="","",A129&amp;"_1.jpg")</f>
        <v/>
      </c>
      <c r="J129" s="84" t="str">
        <f aca="false">IF(E129="","",A129&amp;"_2.jpg; "&amp;A129&amp;"_3.jpg")</f>
        <v/>
      </c>
      <c r="K129" s="84" t="str">
        <f aca="false">IF(E129="","",A129&amp;"_schema.jpg")</f>
        <v/>
      </c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 t="s">
        <v>96</v>
      </c>
      <c r="W129" s="81"/>
      <c r="X129" s="81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6" t="str">
        <f aca="false">IF(SUM(Y129:AJ129)=0,"",SUM(Y129:AJ129))</f>
        <v/>
      </c>
      <c r="AL129" s="84" t="str">
        <f aca="false">MID(IF(N(Y129)&gt;0,", "&amp;Y$2,"")&amp;IF(N(Z129)&gt;0,", "&amp;Z$2,"")&amp;IF(N(AA129)&gt;0,", "&amp;AA$2,"")&amp;IF(N(AB129)&gt;0,", "&amp;AB$2,"")&amp;IF(N(AC129)&gt;0,", "&amp;AC$2,"")&amp;IF(N(AD129)&gt;0,", "&amp;AD$2,"")&amp;IF(N(AE129)&gt;0,", "&amp;AE$2,"")&amp;IF(N(AF129)&gt;0,", "&amp;AF$2,"")&amp;IF(N(AG129)&gt;0,", "&amp;AG$2,"")&amp;IF(N(AH129)&gt;0,", "&amp;AH$2,"")&amp;IF(N(AI129)&gt;0,", "&amp;AI$2,"")&amp;IF(N(AJ129)&gt;0,", "&amp;AJ$2,""),3,999)</f>
        <v/>
      </c>
      <c r="AM129" s="87" t="str">
        <f aca="false">IF(E129="","",MID(IF(N(Y129)&gt;0,", "&amp;A129&amp;"-"&amp;Y$2,"")&amp;IF(N(Z129)&gt;0,", "&amp;A129&amp;"-"&amp;Z$2,"")&amp;IF(N(AA129)&gt;0,", "&amp;A129&amp;"-"&amp;AA$2,"")&amp;IF(N(AB129)&gt;0,", "&amp;A129&amp;"-"&amp;AB$2,"")&amp;IF(N(AC129)&gt;0,", "&amp;A129&amp;"-"&amp;AC$2,"")&amp;IF(N(AD129)&gt;0,", "&amp;A129&amp;"-"&amp;AD$2,"")&amp;IF(N(AE129)&gt;0,", "&amp;A129&amp;"-"&amp;AE$2,"")&amp;IF(N(AF129)&gt;0,", "&amp;A129&amp;"-"&amp;AF$2,"")&amp;IF(N(AG129)&gt;0,", "&amp;A129&amp;"-"&amp;AG$2,"")&amp;IF(N(AH129)&gt;0,", "&amp;A129&amp;"-"&amp;AH$2,"")&amp;IF(N(AI129)&gt;0,", "&amp;A129&amp;"-"&amp;AI$2,"")&amp;IF(N(AJ129)&gt;0,", "&amp;A129&amp;"-"&amp;AJ$2,""),3,999))</f>
        <v/>
      </c>
      <c r="AN129" s="81"/>
      <c r="AO129" s="88"/>
      <c r="AP129" s="89" t="str">
        <f aca="false">IF(AO129="","",ROUND(AO129/(1+Справочники!$B$13),2))</f>
        <v/>
      </c>
      <c r="AQ129" s="90" t="str">
        <f aca="false" t="array" ref="AQ129:AQ129">IF(AP129="","",AP129*INDEX(Справочники!$B$4:$B$7,MATCH("RUB",Справочники!$A$4:$A$7,0)))</f>
        <v/>
      </c>
      <c r="AR129" s="90" t="str">
        <f aca="false">IF(AQ129="","",ROUND(AQ129*(1+Справочники!$B$12),0))</f>
        <v/>
      </c>
      <c r="AS129" s="90" t="str">
        <f aca="false">IF(AR129="","",ROUND(AR129*(1-Справочники!$B$11),0))</f>
        <v/>
      </c>
      <c r="AT129" s="88"/>
      <c r="AU129" s="90" t="str">
        <f aca="false">IF(AT129="","",ROUND(AT129/(1+Справочники!$B$12),0))</f>
        <v/>
      </c>
      <c r="AV129" s="90" t="str">
        <f aca="false">IF(AT129="","",ROUND(AT129*(1-Справочники!$B$15),0))</f>
        <v/>
      </c>
      <c r="AW129" s="90" t="str">
        <f aca="false">IF(AT129="","",ROUND(AT129*(1-Справочники!$B$16),0))</f>
        <v/>
      </c>
      <c r="AX129" s="90" t="str">
        <f aca="false">IF(AT129="","",ROUND(AT129*(1-Справочники!$B$17),0))</f>
        <v/>
      </c>
      <c r="AY129" s="90" t="str">
        <f aca="false">IF(AT129="","",ROUND(AT129*(1-Справочники!$B$18),0))</f>
        <v/>
      </c>
      <c r="AZ129" s="90" t="str">
        <f aca="false">IF(AT129="","",ROUND(AT129*(1-Справочники!$B$19),0))</f>
        <v/>
      </c>
      <c r="BA129" s="81"/>
      <c r="BB129" s="81"/>
      <c r="BC129" s="81"/>
      <c r="BD129" s="81"/>
      <c r="BE129" s="91"/>
      <c r="BF129" s="81" t="s">
        <v>103</v>
      </c>
      <c r="BG129" s="89" t="n">
        <f aca="false" t="array" ref="BG129:BG129">IF(BF129="","",IFERROR(INDEX(Справочники!$B$4:$B$7,MATCH(BF129,Справочники!$A$4:$A$7,0)),""))</f>
        <v>68.5</v>
      </c>
      <c r="BH129" s="90" t="str">
        <f aca="false">IF(N(BN129)&gt;0,ROUND(SUMIF(ЗАКАЗЫ!$F$3:$F$500,$A129,ЗАКАЗЫ!$Y$3:$Y$500)/BN129,0),IF(OR(BE129="",BG129=""),"",ROUND(BE129*BG129*(1+Справочники!$B$10),0)))</f>
        <v/>
      </c>
      <c r="BI129" s="92" t="str">
        <f aca="false">IF(OR(AU129="",BH129="",AU129=0),"",(AU129-BH129)/AU129)</f>
        <v/>
      </c>
      <c r="BJ129" s="81"/>
      <c r="BK129" s="83"/>
      <c r="BL129" s="43" t="str">
        <f aca="false">IFERROR(INDEX(ЗАКАЗЫ!$N$3:$N$500,MATCH($A129,ЗАКАЗЫ!$F$3:$F$500,0)),"")</f>
        <v/>
      </c>
      <c r="BM129" s="8" t="str">
        <f aca="false">IF(BL129="","",IFERROR(VLOOKUP(BL129,'ТН ВЭД'!$A$4:$C$40,3,0),""))</f>
        <v/>
      </c>
      <c r="BN129" s="7" t="str">
        <f aca="false">IF(COUNTIF(ЗАКАЗЫ!$F$3:$F$500,$A129)=0,"",SUMIF(ЗАКАЗЫ!$F$3:$F$500,$A129,ЗАКАЗЫ!$J$3:$J$500))</f>
        <v/>
      </c>
      <c r="BO129" s="7" t="str">
        <f aca="false">IF(BN129="","",SUMIF(ЗАКАЗЫ!$F$3:$F$500,$A129,ЗАКАЗЫ!$AL$3:$AL$500))</f>
        <v/>
      </c>
      <c r="BP129" s="7" t="str">
        <f aca="false">IF(BN129="","",BN129-BO129)</f>
        <v/>
      </c>
      <c r="BQ129" s="55" t="str">
        <f aca="false">IF(BN129="","",IF(BO129&gt;=BN129,"На складе",IF(BO129&gt;0,"Частично","Ждём")))</f>
        <v/>
      </c>
      <c r="BR129" s="43"/>
      <c r="BS129" s="47" t="str">
        <f aca="false">IF(BN129="","",IF(_xlfn.MAXIFS(ЗАКАЗЫ!$AK$3:$AK$500,ЗАКАЗЫ!$F$3:$F$500,$A129)=0,"",_xlfn.MAXIFS(ЗАКАЗЫ!$AK$3:$AK$500,ЗАКАЗЫ!$F$3:$F$500,$A129)))</f>
        <v/>
      </c>
    </row>
    <row r="130" customFormat="false" ht="15.75" hidden="false" customHeight="true" outlineLevel="0" collapsed="false">
      <c r="A130" s="80" t="s">
        <v>2670</v>
      </c>
      <c r="B130" s="81"/>
      <c r="C130" s="81"/>
      <c r="D130" s="81"/>
      <c r="E130" s="83"/>
      <c r="F130" s="81"/>
      <c r="G130" s="83"/>
      <c r="H130" s="83"/>
      <c r="I130" s="84" t="str">
        <f aca="false">IF(E130="","",A130&amp;"_1.jpg")</f>
        <v/>
      </c>
      <c r="J130" s="84" t="str">
        <f aca="false">IF(E130="","",A130&amp;"_2.jpg; "&amp;A130&amp;"_3.jpg")</f>
        <v/>
      </c>
      <c r="K130" s="84" t="str">
        <f aca="false">IF(E130="","",A130&amp;"_schema.jpg")</f>
        <v/>
      </c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 t="s">
        <v>96</v>
      </c>
      <c r="W130" s="81"/>
      <c r="X130" s="81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6" t="str">
        <f aca="false">IF(SUM(Y130:AJ130)=0,"",SUM(Y130:AJ130))</f>
        <v/>
      </c>
      <c r="AL130" s="84" t="str">
        <f aca="false">MID(IF(N(Y130)&gt;0,", "&amp;Y$2,"")&amp;IF(N(Z130)&gt;0,", "&amp;Z$2,"")&amp;IF(N(AA130)&gt;0,", "&amp;AA$2,"")&amp;IF(N(AB130)&gt;0,", "&amp;AB$2,"")&amp;IF(N(AC130)&gt;0,", "&amp;AC$2,"")&amp;IF(N(AD130)&gt;0,", "&amp;AD$2,"")&amp;IF(N(AE130)&gt;0,", "&amp;AE$2,"")&amp;IF(N(AF130)&gt;0,", "&amp;AF$2,"")&amp;IF(N(AG130)&gt;0,", "&amp;AG$2,"")&amp;IF(N(AH130)&gt;0,", "&amp;AH$2,"")&amp;IF(N(AI130)&gt;0,", "&amp;AI$2,"")&amp;IF(N(AJ130)&gt;0,", "&amp;AJ$2,""),3,999)</f>
        <v/>
      </c>
      <c r="AM130" s="87" t="str">
        <f aca="false">IF(E130="","",MID(IF(N(Y130)&gt;0,", "&amp;A130&amp;"-"&amp;Y$2,"")&amp;IF(N(Z130)&gt;0,", "&amp;A130&amp;"-"&amp;Z$2,"")&amp;IF(N(AA130)&gt;0,", "&amp;A130&amp;"-"&amp;AA$2,"")&amp;IF(N(AB130)&gt;0,", "&amp;A130&amp;"-"&amp;AB$2,"")&amp;IF(N(AC130)&gt;0,", "&amp;A130&amp;"-"&amp;AC$2,"")&amp;IF(N(AD130)&gt;0,", "&amp;A130&amp;"-"&amp;AD$2,"")&amp;IF(N(AE130)&gt;0,", "&amp;A130&amp;"-"&amp;AE$2,"")&amp;IF(N(AF130)&gt;0,", "&amp;A130&amp;"-"&amp;AF$2,"")&amp;IF(N(AG130)&gt;0,", "&amp;A130&amp;"-"&amp;AG$2,"")&amp;IF(N(AH130)&gt;0,", "&amp;A130&amp;"-"&amp;AH$2,"")&amp;IF(N(AI130)&gt;0,", "&amp;A130&amp;"-"&amp;AI$2,"")&amp;IF(N(AJ130)&gt;0,", "&amp;A130&amp;"-"&amp;AJ$2,""),3,999))</f>
        <v/>
      </c>
      <c r="AN130" s="81"/>
      <c r="AO130" s="88"/>
      <c r="AP130" s="89" t="str">
        <f aca="false">IF(AO130="","",ROUND(AO130/(1+Справочники!$B$13),2))</f>
        <v/>
      </c>
      <c r="AQ130" s="90" t="str">
        <f aca="false" t="array" ref="AQ130:AQ130">IF(AP130="","",AP130*INDEX(Справочники!$B$4:$B$7,MATCH("RUB",Справочники!$A$4:$A$7,0)))</f>
        <v/>
      </c>
      <c r="AR130" s="90" t="str">
        <f aca="false">IF(AQ130="","",ROUND(AQ130*(1+Справочники!$B$12),0))</f>
        <v/>
      </c>
      <c r="AS130" s="90" t="str">
        <f aca="false">IF(AR130="","",ROUND(AR130*(1-Справочники!$B$11),0))</f>
        <v/>
      </c>
      <c r="AT130" s="88"/>
      <c r="AU130" s="90" t="str">
        <f aca="false">IF(AT130="","",ROUND(AT130/(1+Справочники!$B$12),0))</f>
        <v/>
      </c>
      <c r="AV130" s="90" t="str">
        <f aca="false">IF(AT130="","",ROUND(AT130*(1-Справочники!$B$15),0))</f>
        <v/>
      </c>
      <c r="AW130" s="90" t="str">
        <f aca="false">IF(AT130="","",ROUND(AT130*(1-Справочники!$B$16),0))</f>
        <v/>
      </c>
      <c r="AX130" s="90" t="str">
        <f aca="false">IF(AT130="","",ROUND(AT130*(1-Справочники!$B$17),0))</f>
        <v/>
      </c>
      <c r="AY130" s="90" t="str">
        <f aca="false">IF(AT130="","",ROUND(AT130*(1-Справочники!$B$18),0))</f>
        <v/>
      </c>
      <c r="AZ130" s="90" t="str">
        <f aca="false">IF(AT130="","",ROUND(AT130*(1-Справочники!$B$19),0))</f>
        <v/>
      </c>
      <c r="BA130" s="81"/>
      <c r="BB130" s="81"/>
      <c r="BC130" s="81"/>
      <c r="BD130" s="81"/>
      <c r="BE130" s="91"/>
      <c r="BF130" s="81" t="s">
        <v>103</v>
      </c>
      <c r="BG130" s="89" t="n">
        <f aca="false" t="array" ref="BG130:BG130">IF(BF130="","",IFERROR(INDEX(Справочники!$B$4:$B$7,MATCH(BF130,Справочники!$A$4:$A$7,0)),""))</f>
        <v>68.5</v>
      </c>
      <c r="BH130" s="90" t="str">
        <f aca="false">IF(N(BN130)&gt;0,ROUND(SUMIF(ЗАКАЗЫ!$F$3:$F$500,$A130,ЗАКАЗЫ!$Y$3:$Y$500)/BN130,0),IF(OR(BE130="",BG130=""),"",ROUND(BE130*BG130*(1+Справочники!$B$10),0)))</f>
        <v/>
      </c>
      <c r="BI130" s="92" t="str">
        <f aca="false">IF(OR(AU130="",BH130="",AU130=0),"",(AU130-BH130)/AU130)</f>
        <v/>
      </c>
      <c r="BJ130" s="81"/>
      <c r="BK130" s="83"/>
      <c r="BL130" s="43" t="str">
        <f aca="false">IFERROR(INDEX(ЗАКАЗЫ!$N$3:$N$500,MATCH($A130,ЗАКАЗЫ!$F$3:$F$500,0)),"")</f>
        <v/>
      </c>
      <c r="BM130" s="8" t="str">
        <f aca="false">IF(BL130="","",IFERROR(VLOOKUP(BL130,'ТН ВЭД'!$A$4:$C$40,3,0),""))</f>
        <v/>
      </c>
      <c r="BN130" s="7" t="str">
        <f aca="false">IF(COUNTIF(ЗАКАЗЫ!$F$3:$F$500,$A130)=0,"",SUMIF(ЗАКАЗЫ!$F$3:$F$500,$A130,ЗАКАЗЫ!$J$3:$J$500))</f>
        <v/>
      </c>
      <c r="BO130" s="7" t="str">
        <f aca="false">IF(BN130="","",SUMIF(ЗАКАЗЫ!$F$3:$F$500,$A130,ЗАКАЗЫ!$AL$3:$AL$500))</f>
        <v/>
      </c>
      <c r="BP130" s="7" t="str">
        <f aca="false">IF(BN130="","",BN130-BO130)</f>
        <v/>
      </c>
      <c r="BQ130" s="55" t="str">
        <f aca="false">IF(BN130="","",IF(BO130&gt;=BN130,"На складе",IF(BO130&gt;0,"Частично","Ждём")))</f>
        <v/>
      </c>
      <c r="BR130" s="43"/>
      <c r="BS130" s="47" t="str">
        <f aca="false">IF(BN130="","",IF(_xlfn.MAXIFS(ЗАКАЗЫ!$AK$3:$AK$500,ЗАКАЗЫ!$F$3:$F$500,$A130)=0,"",_xlfn.MAXIFS(ЗАКАЗЫ!$AK$3:$AK$500,ЗАКАЗЫ!$F$3:$F$500,$A130)))</f>
        <v/>
      </c>
    </row>
    <row r="131" customFormat="false" ht="15.75" hidden="false" customHeight="true" outlineLevel="0" collapsed="false">
      <c r="A131" s="80" t="s">
        <v>2671</v>
      </c>
      <c r="B131" s="81"/>
      <c r="C131" s="81"/>
      <c r="D131" s="81"/>
      <c r="E131" s="83"/>
      <c r="F131" s="81"/>
      <c r="G131" s="83"/>
      <c r="H131" s="83"/>
      <c r="I131" s="84" t="str">
        <f aca="false">IF(E131="","",A131&amp;"_1.jpg")</f>
        <v/>
      </c>
      <c r="J131" s="84" t="str">
        <f aca="false">IF(E131="","",A131&amp;"_2.jpg; "&amp;A131&amp;"_3.jpg")</f>
        <v/>
      </c>
      <c r="K131" s="84" t="str">
        <f aca="false">IF(E131="","",A131&amp;"_schema.jpg")</f>
        <v/>
      </c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 t="s">
        <v>96</v>
      </c>
      <c r="W131" s="81"/>
      <c r="X131" s="81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6" t="str">
        <f aca="false">IF(SUM(Y131:AJ131)=0,"",SUM(Y131:AJ131))</f>
        <v/>
      </c>
      <c r="AL131" s="84" t="str">
        <f aca="false">MID(IF(N(Y131)&gt;0,", "&amp;Y$2,"")&amp;IF(N(Z131)&gt;0,", "&amp;Z$2,"")&amp;IF(N(AA131)&gt;0,", "&amp;AA$2,"")&amp;IF(N(AB131)&gt;0,", "&amp;AB$2,"")&amp;IF(N(AC131)&gt;0,", "&amp;AC$2,"")&amp;IF(N(AD131)&gt;0,", "&amp;AD$2,"")&amp;IF(N(AE131)&gt;0,", "&amp;AE$2,"")&amp;IF(N(AF131)&gt;0,", "&amp;AF$2,"")&amp;IF(N(AG131)&gt;0,", "&amp;AG$2,"")&amp;IF(N(AH131)&gt;0,", "&amp;AH$2,"")&amp;IF(N(AI131)&gt;0,", "&amp;AI$2,"")&amp;IF(N(AJ131)&gt;0,", "&amp;AJ$2,""),3,999)</f>
        <v/>
      </c>
      <c r="AM131" s="87" t="str">
        <f aca="false">IF(E131="","",MID(IF(N(Y131)&gt;0,", "&amp;A131&amp;"-"&amp;Y$2,"")&amp;IF(N(Z131)&gt;0,", "&amp;A131&amp;"-"&amp;Z$2,"")&amp;IF(N(AA131)&gt;0,", "&amp;A131&amp;"-"&amp;AA$2,"")&amp;IF(N(AB131)&gt;0,", "&amp;A131&amp;"-"&amp;AB$2,"")&amp;IF(N(AC131)&gt;0,", "&amp;A131&amp;"-"&amp;AC$2,"")&amp;IF(N(AD131)&gt;0,", "&amp;A131&amp;"-"&amp;AD$2,"")&amp;IF(N(AE131)&gt;0,", "&amp;A131&amp;"-"&amp;AE$2,"")&amp;IF(N(AF131)&gt;0,", "&amp;A131&amp;"-"&amp;AF$2,"")&amp;IF(N(AG131)&gt;0,", "&amp;A131&amp;"-"&amp;AG$2,"")&amp;IF(N(AH131)&gt;0,", "&amp;A131&amp;"-"&amp;AH$2,"")&amp;IF(N(AI131)&gt;0,", "&amp;A131&amp;"-"&amp;AI$2,"")&amp;IF(N(AJ131)&gt;0,", "&amp;A131&amp;"-"&amp;AJ$2,""),3,999))</f>
        <v/>
      </c>
      <c r="AN131" s="81"/>
      <c r="AO131" s="88"/>
      <c r="AP131" s="89" t="str">
        <f aca="false">IF(AO131="","",ROUND(AO131/(1+Справочники!$B$13),2))</f>
        <v/>
      </c>
      <c r="AQ131" s="90" t="str">
        <f aca="false" t="array" ref="AQ131:AQ131">IF(AP131="","",AP131*INDEX(Справочники!$B$4:$B$7,MATCH("RUB",Справочники!$A$4:$A$7,0)))</f>
        <v/>
      </c>
      <c r="AR131" s="90" t="str">
        <f aca="false">IF(AQ131="","",ROUND(AQ131*(1+Справочники!$B$12),0))</f>
        <v/>
      </c>
      <c r="AS131" s="90" t="str">
        <f aca="false">IF(AR131="","",ROUND(AR131*(1-Справочники!$B$11),0))</f>
        <v/>
      </c>
      <c r="AT131" s="88"/>
      <c r="AU131" s="90" t="str">
        <f aca="false">IF(AT131="","",ROUND(AT131/(1+Справочники!$B$12),0))</f>
        <v/>
      </c>
      <c r="AV131" s="90" t="str">
        <f aca="false">IF(AT131="","",ROUND(AT131*(1-Справочники!$B$15),0))</f>
        <v/>
      </c>
      <c r="AW131" s="90" t="str">
        <f aca="false">IF(AT131="","",ROUND(AT131*(1-Справочники!$B$16),0))</f>
        <v/>
      </c>
      <c r="AX131" s="90" t="str">
        <f aca="false">IF(AT131="","",ROUND(AT131*(1-Справочники!$B$17),0))</f>
        <v/>
      </c>
      <c r="AY131" s="90" t="str">
        <f aca="false">IF(AT131="","",ROUND(AT131*(1-Справочники!$B$18),0))</f>
        <v/>
      </c>
      <c r="AZ131" s="90" t="str">
        <f aca="false">IF(AT131="","",ROUND(AT131*(1-Справочники!$B$19),0))</f>
        <v/>
      </c>
      <c r="BA131" s="81"/>
      <c r="BB131" s="81"/>
      <c r="BC131" s="81"/>
      <c r="BD131" s="81"/>
      <c r="BE131" s="91"/>
      <c r="BF131" s="81" t="s">
        <v>103</v>
      </c>
      <c r="BG131" s="89" t="n">
        <f aca="false" t="array" ref="BG131:BG131">IF(BF131="","",IFERROR(INDEX(Справочники!$B$4:$B$7,MATCH(BF131,Справочники!$A$4:$A$7,0)),""))</f>
        <v>68.5</v>
      </c>
      <c r="BH131" s="90" t="str">
        <f aca="false">IF(N(BN131)&gt;0,ROUND(SUMIF(ЗАКАЗЫ!$F$3:$F$500,$A131,ЗАКАЗЫ!$Y$3:$Y$500)/BN131,0),IF(OR(BE131="",BG131=""),"",ROUND(BE131*BG131*(1+Справочники!$B$10),0)))</f>
        <v/>
      </c>
      <c r="BI131" s="92" t="str">
        <f aca="false">IF(OR(AU131="",BH131="",AU131=0),"",(AU131-BH131)/AU131)</f>
        <v/>
      </c>
      <c r="BJ131" s="81"/>
      <c r="BK131" s="83"/>
      <c r="BL131" s="43" t="str">
        <f aca="false">IFERROR(INDEX(ЗАКАЗЫ!$N$3:$N$500,MATCH($A131,ЗАКАЗЫ!$F$3:$F$500,0)),"")</f>
        <v/>
      </c>
      <c r="BM131" s="8" t="str">
        <f aca="false">IF(BL131="","",IFERROR(VLOOKUP(BL131,'ТН ВЭД'!$A$4:$C$40,3,0),""))</f>
        <v/>
      </c>
      <c r="BN131" s="7" t="str">
        <f aca="false">IF(COUNTIF(ЗАКАЗЫ!$F$3:$F$500,$A131)=0,"",SUMIF(ЗАКАЗЫ!$F$3:$F$500,$A131,ЗАКАЗЫ!$J$3:$J$500))</f>
        <v/>
      </c>
      <c r="BO131" s="7" t="str">
        <f aca="false">IF(BN131="","",SUMIF(ЗАКАЗЫ!$F$3:$F$500,$A131,ЗАКАЗЫ!$AL$3:$AL$500))</f>
        <v/>
      </c>
      <c r="BP131" s="7" t="str">
        <f aca="false">IF(BN131="","",BN131-BO131)</f>
        <v/>
      </c>
      <c r="BQ131" s="55" t="str">
        <f aca="false">IF(BN131="","",IF(BO131&gt;=BN131,"На складе",IF(BO131&gt;0,"Частично","Ждём")))</f>
        <v/>
      </c>
      <c r="BR131" s="43"/>
      <c r="BS131" s="47" t="str">
        <f aca="false">IF(BN131="","",IF(_xlfn.MAXIFS(ЗАКАЗЫ!$AK$3:$AK$500,ЗАКАЗЫ!$F$3:$F$500,$A131)=0,"",_xlfn.MAXIFS(ЗАКАЗЫ!$AK$3:$AK$500,ЗАКАЗЫ!$F$3:$F$500,$A131)))</f>
        <v/>
      </c>
    </row>
    <row r="132" customFormat="false" ht="15.75" hidden="false" customHeight="true" outlineLevel="0" collapsed="false">
      <c r="A132" s="80" t="s">
        <v>2672</v>
      </c>
      <c r="B132" s="81"/>
      <c r="C132" s="81"/>
      <c r="D132" s="81"/>
      <c r="E132" s="83"/>
      <c r="F132" s="81"/>
      <c r="G132" s="83"/>
      <c r="H132" s="83"/>
      <c r="I132" s="84" t="str">
        <f aca="false">IF(E132="","",A132&amp;"_1.jpg")</f>
        <v/>
      </c>
      <c r="J132" s="84" t="str">
        <f aca="false">IF(E132="","",A132&amp;"_2.jpg; "&amp;A132&amp;"_3.jpg")</f>
        <v/>
      </c>
      <c r="K132" s="84" t="str">
        <f aca="false">IF(E132="","",A132&amp;"_schema.jpg")</f>
        <v/>
      </c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 t="s">
        <v>96</v>
      </c>
      <c r="W132" s="81"/>
      <c r="X132" s="81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6" t="str">
        <f aca="false">IF(SUM(Y132:AJ132)=0,"",SUM(Y132:AJ132))</f>
        <v/>
      </c>
      <c r="AL132" s="84" t="str">
        <f aca="false">MID(IF(N(Y132)&gt;0,", "&amp;Y$2,"")&amp;IF(N(Z132)&gt;0,", "&amp;Z$2,"")&amp;IF(N(AA132)&gt;0,", "&amp;AA$2,"")&amp;IF(N(AB132)&gt;0,", "&amp;AB$2,"")&amp;IF(N(AC132)&gt;0,", "&amp;AC$2,"")&amp;IF(N(AD132)&gt;0,", "&amp;AD$2,"")&amp;IF(N(AE132)&gt;0,", "&amp;AE$2,"")&amp;IF(N(AF132)&gt;0,", "&amp;AF$2,"")&amp;IF(N(AG132)&gt;0,", "&amp;AG$2,"")&amp;IF(N(AH132)&gt;0,", "&amp;AH$2,"")&amp;IF(N(AI132)&gt;0,", "&amp;AI$2,"")&amp;IF(N(AJ132)&gt;0,", "&amp;AJ$2,""),3,999)</f>
        <v/>
      </c>
      <c r="AM132" s="87" t="str">
        <f aca="false">IF(E132="","",MID(IF(N(Y132)&gt;0,", "&amp;A132&amp;"-"&amp;Y$2,"")&amp;IF(N(Z132)&gt;0,", "&amp;A132&amp;"-"&amp;Z$2,"")&amp;IF(N(AA132)&gt;0,", "&amp;A132&amp;"-"&amp;AA$2,"")&amp;IF(N(AB132)&gt;0,", "&amp;A132&amp;"-"&amp;AB$2,"")&amp;IF(N(AC132)&gt;0,", "&amp;A132&amp;"-"&amp;AC$2,"")&amp;IF(N(AD132)&gt;0,", "&amp;A132&amp;"-"&amp;AD$2,"")&amp;IF(N(AE132)&gt;0,", "&amp;A132&amp;"-"&amp;AE$2,"")&amp;IF(N(AF132)&gt;0,", "&amp;A132&amp;"-"&amp;AF$2,"")&amp;IF(N(AG132)&gt;0,", "&amp;A132&amp;"-"&amp;AG$2,"")&amp;IF(N(AH132)&gt;0,", "&amp;A132&amp;"-"&amp;AH$2,"")&amp;IF(N(AI132)&gt;0,", "&amp;A132&amp;"-"&amp;AI$2,"")&amp;IF(N(AJ132)&gt;0,", "&amp;A132&amp;"-"&amp;AJ$2,""),3,999))</f>
        <v/>
      </c>
      <c r="AN132" s="81"/>
      <c r="AO132" s="88"/>
      <c r="AP132" s="89" t="str">
        <f aca="false">IF(AO132="","",ROUND(AO132/(1+Справочники!$B$13),2))</f>
        <v/>
      </c>
      <c r="AQ132" s="90" t="str">
        <f aca="false" t="array" ref="AQ132:AQ132">IF(AP132="","",AP132*INDEX(Справочники!$B$4:$B$7,MATCH("RUB",Справочники!$A$4:$A$7,0)))</f>
        <v/>
      </c>
      <c r="AR132" s="90" t="str">
        <f aca="false">IF(AQ132="","",ROUND(AQ132*(1+Справочники!$B$12),0))</f>
        <v/>
      </c>
      <c r="AS132" s="90" t="str">
        <f aca="false">IF(AR132="","",ROUND(AR132*(1-Справочники!$B$11),0))</f>
        <v/>
      </c>
      <c r="AT132" s="88"/>
      <c r="AU132" s="90" t="str">
        <f aca="false">IF(AT132="","",ROUND(AT132/(1+Справочники!$B$12),0))</f>
        <v/>
      </c>
      <c r="AV132" s="90" t="str">
        <f aca="false">IF(AT132="","",ROUND(AT132*(1-Справочники!$B$15),0))</f>
        <v/>
      </c>
      <c r="AW132" s="90" t="str">
        <f aca="false">IF(AT132="","",ROUND(AT132*(1-Справочники!$B$16),0))</f>
        <v/>
      </c>
      <c r="AX132" s="90" t="str">
        <f aca="false">IF(AT132="","",ROUND(AT132*(1-Справочники!$B$17),0))</f>
        <v/>
      </c>
      <c r="AY132" s="90" t="str">
        <f aca="false">IF(AT132="","",ROUND(AT132*(1-Справочники!$B$18),0))</f>
        <v/>
      </c>
      <c r="AZ132" s="90" t="str">
        <f aca="false">IF(AT132="","",ROUND(AT132*(1-Справочники!$B$19),0))</f>
        <v/>
      </c>
      <c r="BA132" s="81"/>
      <c r="BB132" s="81"/>
      <c r="BC132" s="81"/>
      <c r="BD132" s="81"/>
      <c r="BE132" s="91"/>
      <c r="BF132" s="81" t="s">
        <v>103</v>
      </c>
      <c r="BG132" s="89" t="n">
        <f aca="false" t="array" ref="BG132:BG132">IF(BF132="","",IFERROR(INDEX(Справочники!$B$4:$B$7,MATCH(BF132,Справочники!$A$4:$A$7,0)),""))</f>
        <v>68.5</v>
      </c>
      <c r="BH132" s="90" t="str">
        <f aca="false">IF(N(BN132)&gt;0,ROUND(SUMIF(ЗАКАЗЫ!$F$3:$F$500,$A132,ЗАКАЗЫ!$Y$3:$Y$500)/BN132,0),IF(OR(BE132="",BG132=""),"",ROUND(BE132*BG132*(1+Справочники!$B$10),0)))</f>
        <v/>
      </c>
      <c r="BI132" s="92" t="str">
        <f aca="false">IF(OR(AU132="",BH132="",AU132=0),"",(AU132-BH132)/AU132)</f>
        <v/>
      </c>
      <c r="BJ132" s="81"/>
      <c r="BK132" s="83"/>
      <c r="BL132" s="43" t="str">
        <f aca="false">IFERROR(INDEX(ЗАКАЗЫ!$N$3:$N$500,MATCH($A132,ЗАКАЗЫ!$F$3:$F$500,0)),"")</f>
        <v/>
      </c>
      <c r="BM132" s="8" t="str">
        <f aca="false">IF(BL132="","",IFERROR(VLOOKUP(BL132,'ТН ВЭД'!$A$4:$C$40,3,0),""))</f>
        <v/>
      </c>
      <c r="BN132" s="7" t="str">
        <f aca="false">IF(COUNTIF(ЗАКАЗЫ!$F$3:$F$500,$A132)=0,"",SUMIF(ЗАКАЗЫ!$F$3:$F$500,$A132,ЗАКАЗЫ!$J$3:$J$500))</f>
        <v/>
      </c>
      <c r="BO132" s="7" t="str">
        <f aca="false">IF(BN132="","",SUMIF(ЗАКАЗЫ!$F$3:$F$500,$A132,ЗАКАЗЫ!$AL$3:$AL$500))</f>
        <v/>
      </c>
      <c r="BP132" s="7" t="str">
        <f aca="false">IF(BN132="","",BN132-BO132)</f>
        <v/>
      </c>
      <c r="BQ132" s="55" t="str">
        <f aca="false">IF(BN132="","",IF(BO132&gt;=BN132,"На складе",IF(BO132&gt;0,"Частично","Ждём")))</f>
        <v/>
      </c>
      <c r="BR132" s="43"/>
      <c r="BS132" s="47" t="str">
        <f aca="false">IF(BN132="","",IF(_xlfn.MAXIFS(ЗАКАЗЫ!$AK$3:$AK$500,ЗАКАЗЫ!$F$3:$F$500,$A132)=0,"",_xlfn.MAXIFS(ЗАКАЗЫ!$AK$3:$AK$500,ЗАКАЗЫ!$F$3:$F$500,$A132)))</f>
        <v/>
      </c>
    </row>
    <row r="133" customFormat="false" ht="15.75" hidden="false" customHeight="true" outlineLevel="0" collapsed="false">
      <c r="A133" s="80" t="s">
        <v>2673</v>
      </c>
      <c r="B133" s="81"/>
      <c r="C133" s="81"/>
      <c r="D133" s="81"/>
      <c r="E133" s="83"/>
      <c r="F133" s="81"/>
      <c r="G133" s="83"/>
      <c r="H133" s="83"/>
      <c r="I133" s="84" t="str">
        <f aca="false">IF(E133="","",A133&amp;"_1.jpg")</f>
        <v/>
      </c>
      <c r="J133" s="84" t="str">
        <f aca="false">IF(E133="","",A133&amp;"_2.jpg; "&amp;A133&amp;"_3.jpg")</f>
        <v/>
      </c>
      <c r="K133" s="84" t="str">
        <f aca="false">IF(E133="","",A133&amp;"_schema.jpg")</f>
        <v/>
      </c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 t="s">
        <v>96</v>
      </c>
      <c r="W133" s="81"/>
      <c r="X133" s="81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6" t="str">
        <f aca="false">IF(SUM(Y133:AJ133)=0,"",SUM(Y133:AJ133))</f>
        <v/>
      </c>
      <c r="AL133" s="84" t="str">
        <f aca="false">MID(IF(N(Y133)&gt;0,", "&amp;Y$2,"")&amp;IF(N(Z133)&gt;0,", "&amp;Z$2,"")&amp;IF(N(AA133)&gt;0,", "&amp;AA$2,"")&amp;IF(N(AB133)&gt;0,", "&amp;AB$2,"")&amp;IF(N(AC133)&gt;0,", "&amp;AC$2,"")&amp;IF(N(AD133)&gt;0,", "&amp;AD$2,"")&amp;IF(N(AE133)&gt;0,", "&amp;AE$2,"")&amp;IF(N(AF133)&gt;0,", "&amp;AF$2,"")&amp;IF(N(AG133)&gt;0,", "&amp;AG$2,"")&amp;IF(N(AH133)&gt;0,", "&amp;AH$2,"")&amp;IF(N(AI133)&gt;0,", "&amp;AI$2,"")&amp;IF(N(AJ133)&gt;0,", "&amp;AJ$2,""),3,999)</f>
        <v/>
      </c>
      <c r="AM133" s="87" t="str">
        <f aca="false">IF(E133="","",MID(IF(N(Y133)&gt;0,", "&amp;A133&amp;"-"&amp;Y$2,"")&amp;IF(N(Z133)&gt;0,", "&amp;A133&amp;"-"&amp;Z$2,"")&amp;IF(N(AA133)&gt;0,", "&amp;A133&amp;"-"&amp;AA$2,"")&amp;IF(N(AB133)&gt;0,", "&amp;A133&amp;"-"&amp;AB$2,"")&amp;IF(N(AC133)&gt;0,", "&amp;A133&amp;"-"&amp;AC$2,"")&amp;IF(N(AD133)&gt;0,", "&amp;A133&amp;"-"&amp;AD$2,"")&amp;IF(N(AE133)&gt;0,", "&amp;A133&amp;"-"&amp;AE$2,"")&amp;IF(N(AF133)&gt;0,", "&amp;A133&amp;"-"&amp;AF$2,"")&amp;IF(N(AG133)&gt;0,", "&amp;A133&amp;"-"&amp;AG$2,"")&amp;IF(N(AH133)&gt;0,", "&amp;A133&amp;"-"&amp;AH$2,"")&amp;IF(N(AI133)&gt;0,", "&amp;A133&amp;"-"&amp;AI$2,"")&amp;IF(N(AJ133)&gt;0,", "&amp;A133&amp;"-"&amp;AJ$2,""),3,999))</f>
        <v/>
      </c>
      <c r="AN133" s="81"/>
      <c r="AO133" s="88"/>
      <c r="AP133" s="89" t="str">
        <f aca="false">IF(AO133="","",ROUND(AO133/(1+Справочники!$B$13),2))</f>
        <v/>
      </c>
      <c r="AQ133" s="90" t="str">
        <f aca="false" t="array" ref="AQ133:AQ133">IF(AP133="","",AP133*INDEX(Справочники!$B$4:$B$7,MATCH("RUB",Справочники!$A$4:$A$7,0)))</f>
        <v/>
      </c>
      <c r="AR133" s="90" t="str">
        <f aca="false">IF(AQ133="","",ROUND(AQ133*(1+Справочники!$B$12),0))</f>
        <v/>
      </c>
      <c r="AS133" s="90" t="str">
        <f aca="false">IF(AR133="","",ROUND(AR133*(1-Справочники!$B$11),0))</f>
        <v/>
      </c>
      <c r="AT133" s="88"/>
      <c r="AU133" s="90" t="str">
        <f aca="false">IF(AT133="","",ROUND(AT133/(1+Справочники!$B$12),0))</f>
        <v/>
      </c>
      <c r="AV133" s="90" t="str">
        <f aca="false">IF(AT133="","",ROUND(AT133*(1-Справочники!$B$15),0))</f>
        <v/>
      </c>
      <c r="AW133" s="90" t="str">
        <f aca="false">IF(AT133="","",ROUND(AT133*(1-Справочники!$B$16),0))</f>
        <v/>
      </c>
      <c r="AX133" s="90" t="str">
        <f aca="false">IF(AT133="","",ROUND(AT133*(1-Справочники!$B$17),0))</f>
        <v/>
      </c>
      <c r="AY133" s="90" t="str">
        <f aca="false">IF(AT133="","",ROUND(AT133*(1-Справочники!$B$18),0))</f>
        <v/>
      </c>
      <c r="AZ133" s="90" t="str">
        <f aca="false">IF(AT133="","",ROUND(AT133*(1-Справочники!$B$19),0))</f>
        <v/>
      </c>
      <c r="BA133" s="81"/>
      <c r="BB133" s="81"/>
      <c r="BC133" s="81"/>
      <c r="BD133" s="81"/>
      <c r="BE133" s="91"/>
      <c r="BF133" s="81" t="s">
        <v>103</v>
      </c>
      <c r="BG133" s="89" t="n">
        <f aca="false" t="array" ref="BG133:BG133">IF(BF133="","",IFERROR(INDEX(Справочники!$B$4:$B$7,MATCH(BF133,Справочники!$A$4:$A$7,0)),""))</f>
        <v>68.5</v>
      </c>
      <c r="BH133" s="90" t="str">
        <f aca="false">IF(N(BN133)&gt;0,ROUND(SUMIF(ЗАКАЗЫ!$F$3:$F$500,$A133,ЗАКАЗЫ!$Y$3:$Y$500)/BN133,0),IF(OR(BE133="",BG133=""),"",ROUND(BE133*BG133*(1+Справочники!$B$10),0)))</f>
        <v/>
      </c>
      <c r="BI133" s="92" t="str">
        <f aca="false">IF(OR(AU133="",BH133="",AU133=0),"",(AU133-BH133)/AU133)</f>
        <v/>
      </c>
      <c r="BJ133" s="81"/>
      <c r="BK133" s="83"/>
      <c r="BL133" s="43" t="str">
        <f aca="false">IFERROR(INDEX(ЗАКАЗЫ!$N$3:$N$500,MATCH($A133,ЗАКАЗЫ!$F$3:$F$500,0)),"")</f>
        <v/>
      </c>
      <c r="BM133" s="8" t="str">
        <f aca="false">IF(BL133="","",IFERROR(VLOOKUP(BL133,'ТН ВЭД'!$A$4:$C$40,3,0),""))</f>
        <v/>
      </c>
      <c r="BN133" s="7" t="str">
        <f aca="false">IF(COUNTIF(ЗАКАЗЫ!$F$3:$F$500,$A133)=0,"",SUMIF(ЗАКАЗЫ!$F$3:$F$500,$A133,ЗАКАЗЫ!$J$3:$J$500))</f>
        <v/>
      </c>
      <c r="BO133" s="7" t="str">
        <f aca="false">IF(BN133="","",SUMIF(ЗАКАЗЫ!$F$3:$F$500,$A133,ЗАКАЗЫ!$AL$3:$AL$500))</f>
        <v/>
      </c>
      <c r="BP133" s="7" t="str">
        <f aca="false">IF(BN133="","",BN133-BO133)</f>
        <v/>
      </c>
      <c r="BQ133" s="55" t="str">
        <f aca="false">IF(BN133="","",IF(BO133&gt;=BN133,"На складе",IF(BO133&gt;0,"Частично","Ждём")))</f>
        <v/>
      </c>
      <c r="BR133" s="43"/>
      <c r="BS133" s="47" t="str">
        <f aca="false">IF(BN133="","",IF(_xlfn.MAXIFS(ЗАКАЗЫ!$AK$3:$AK$500,ЗАКАЗЫ!$F$3:$F$500,$A133)=0,"",_xlfn.MAXIFS(ЗАКАЗЫ!$AK$3:$AK$500,ЗАКАЗЫ!$F$3:$F$500,$A133)))</f>
        <v/>
      </c>
    </row>
    <row r="134" customFormat="false" ht="15.75" hidden="false" customHeight="true" outlineLevel="0" collapsed="false">
      <c r="A134" s="80" t="s">
        <v>2674</v>
      </c>
      <c r="B134" s="81"/>
      <c r="C134" s="81"/>
      <c r="D134" s="81"/>
      <c r="E134" s="83"/>
      <c r="F134" s="81"/>
      <c r="G134" s="83"/>
      <c r="H134" s="83"/>
      <c r="I134" s="84" t="str">
        <f aca="false">IF(E134="","",A134&amp;"_1.jpg")</f>
        <v/>
      </c>
      <c r="J134" s="84" t="str">
        <f aca="false">IF(E134="","",A134&amp;"_2.jpg; "&amp;A134&amp;"_3.jpg")</f>
        <v/>
      </c>
      <c r="K134" s="84" t="str">
        <f aca="false">IF(E134="","",A134&amp;"_schema.jpg")</f>
        <v/>
      </c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 t="s">
        <v>96</v>
      </c>
      <c r="W134" s="81"/>
      <c r="X134" s="81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6" t="str">
        <f aca="false">IF(SUM(Y134:AJ134)=0,"",SUM(Y134:AJ134))</f>
        <v/>
      </c>
      <c r="AL134" s="84" t="str">
        <f aca="false">MID(IF(N(Y134)&gt;0,", "&amp;Y$2,"")&amp;IF(N(Z134)&gt;0,", "&amp;Z$2,"")&amp;IF(N(AA134)&gt;0,", "&amp;AA$2,"")&amp;IF(N(AB134)&gt;0,", "&amp;AB$2,"")&amp;IF(N(AC134)&gt;0,", "&amp;AC$2,"")&amp;IF(N(AD134)&gt;0,", "&amp;AD$2,"")&amp;IF(N(AE134)&gt;0,", "&amp;AE$2,"")&amp;IF(N(AF134)&gt;0,", "&amp;AF$2,"")&amp;IF(N(AG134)&gt;0,", "&amp;AG$2,"")&amp;IF(N(AH134)&gt;0,", "&amp;AH$2,"")&amp;IF(N(AI134)&gt;0,", "&amp;AI$2,"")&amp;IF(N(AJ134)&gt;0,", "&amp;AJ$2,""),3,999)</f>
        <v/>
      </c>
      <c r="AM134" s="87" t="str">
        <f aca="false">IF(E134="","",MID(IF(N(Y134)&gt;0,", "&amp;A134&amp;"-"&amp;Y$2,"")&amp;IF(N(Z134)&gt;0,", "&amp;A134&amp;"-"&amp;Z$2,"")&amp;IF(N(AA134)&gt;0,", "&amp;A134&amp;"-"&amp;AA$2,"")&amp;IF(N(AB134)&gt;0,", "&amp;A134&amp;"-"&amp;AB$2,"")&amp;IF(N(AC134)&gt;0,", "&amp;A134&amp;"-"&amp;AC$2,"")&amp;IF(N(AD134)&gt;0,", "&amp;A134&amp;"-"&amp;AD$2,"")&amp;IF(N(AE134)&gt;0,", "&amp;A134&amp;"-"&amp;AE$2,"")&amp;IF(N(AF134)&gt;0,", "&amp;A134&amp;"-"&amp;AF$2,"")&amp;IF(N(AG134)&gt;0,", "&amp;A134&amp;"-"&amp;AG$2,"")&amp;IF(N(AH134)&gt;0,", "&amp;A134&amp;"-"&amp;AH$2,"")&amp;IF(N(AI134)&gt;0,", "&amp;A134&amp;"-"&amp;AI$2,"")&amp;IF(N(AJ134)&gt;0,", "&amp;A134&amp;"-"&amp;AJ$2,""),3,999))</f>
        <v/>
      </c>
      <c r="AN134" s="81"/>
      <c r="AO134" s="88"/>
      <c r="AP134" s="89" t="str">
        <f aca="false">IF(AO134="","",ROUND(AO134/(1+Справочники!$B$13),2))</f>
        <v/>
      </c>
      <c r="AQ134" s="90" t="str">
        <f aca="false" t="array" ref="AQ134:AQ134">IF(AP134="","",AP134*INDEX(Справочники!$B$4:$B$7,MATCH("RUB",Справочники!$A$4:$A$7,0)))</f>
        <v/>
      </c>
      <c r="AR134" s="90" t="str">
        <f aca="false">IF(AQ134="","",ROUND(AQ134*(1+Справочники!$B$12),0))</f>
        <v/>
      </c>
      <c r="AS134" s="90" t="str">
        <f aca="false">IF(AR134="","",ROUND(AR134*(1-Справочники!$B$11),0))</f>
        <v/>
      </c>
      <c r="AT134" s="88"/>
      <c r="AU134" s="90" t="str">
        <f aca="false">IF(AT134="","",ROUND(AT134/(1+Справочники!$B$12),0))</f>
        <v/>
      </c>
      <c r="AV134" s="90" t="str">
        <f aca="false">IF(AT134="","",ROUND(AT134*(1-Справочники!$B$15),0))</f>
        <v/>
      </c>
      <c r="AW134" s="90" t="str">
        <f aca="false">IF(AT134="","",ROUND(AT134*(1-Справочники!$B$16),0))</f>
        <v/>
      </c>
      <c r="AX134" s="90" t="str">
        <f aca="false">IF(AT134="","",ROUND(AT134*(1-Справочники!$B$17),0))</f>
        <v/>
      </c>
      <c r="AY134" s="90" t="str">
        <f aca="false">IF(AT134="","",ROUND(AT134*(1-Справочники!$B$18),0))</f>
        <v/>
      </c>
      <c r="AZ134" s="90" t="str">
        <f aca="false">IF(AT134="","",ROUND(AT134*(1-Справочники!$B$19),0))</f>
        <v/>
      </c>
      <c r="BA134" s="81"/>
      <c r="BB134" s="81"/>
      <c r="BC134" s="81"/>
      <c r="BD134" s="81"/>
      <c r="BE134" s="91"/>
      <c r="BF134" s="81" t="s">
        <v>103</v>
      </c>
      <c r="BG134" s="89" t="n">
        <f aca="false" t="array" ref="BG134:BG134">IF(BF134="","",IFERROR(INDEX(Справочники!$B$4:$B$7,MATCH(BF134,Справочники!$A$4:$A$7,0)),""))</f>
        <v>68.5</v>
      </c>
      <c r="BH134" s="90" t="str">
        <f aca="false">IF(N(BN134)&gt;0,ROUND(SUMIF(ЗАКАЗЫ!$F$3:$F$500,$A134,ЗАКАЗЫ!$Y$3:$Y$500)/BN134,0),IF(OR(BE134="",BG134=""),"",ROUND(BE134*BG134*(1+Справочники!$B$10),0)))</f>
        <v/>
      </c>
      <c r="BI134" s="92" t="str">
        <f aca="false">IF(OR(AU134="",BH134="",AU134=0),"",(AU134-BH134)/AU134)</f>
        <v/>
      </c>
      <c r="BJ134" s="81"/>
      <c r="BK134" s="83"/>
      <c r="BL134" s="43" t="str">
        <f aca="false">IFERROR(INDEX(ЗАКАЗЫ!$N$3:$N$500,MATCH($A134,ЗАКАЗЫ!$F$3:$F$500,0)),"")</f>
        <v/>
      </c>
      <c r="BM134" s="8" t="str">
        <f aca="false">IF(BL134="","",IFERROR(VLOOKUP(BL134,'ТН ВЭД'!$A$4:$C$40,3,0),""))</f>
        <v/>
      </c>
      <c r="BN134" s="7" t="str">
        <f aca="false">IF(COUNTIF(ЗАКАЗЫ!$F$3:$F$500,$A134)=0,"",SUMIF(ЗАКАЗЫ!$F$3:$F$500,$A134,ЗАКАЗЫ!$J$3:$J$500))</f>
        <v/>
      </c>
      <c r="BO134" s="7" t="str">
        <f aca="false">IF(BN134="","",SUMIF(ЗАКАЗЫ!$F$3:$F$500,$A134,ЗАКАЗЫ!$AL$3:$AL$500))</f>
        <v/>
      </c>
      <c r="BP134" s="7" t="str">
        <f aca="false">IF(BN134="","",BN134-BO134)</f>
        <v/>
      </c>
      <c r="BQ134" s="55" t="str">
        <f aca="false">IF(BN134="","",IF(BO134&gt;=BN134,"На складе",IF(BO134&gt;0,"Частично","Ждём")))</f>
        <v/>
      </c>
      <c r="BR134" s="43"/>
      <c r="BS134" s="47" t="str">
        <f aca="false">IF(BN134="","",IF(_xlfn.MAXIFS(ЗАКАЗЫ!$AK$3:$AK$500,ЗАКАЗЫ!$F$3:$F$500,$A134)=0,"",_xlfn.MAXIFS(ЗАКАЗЫ!$AK$3:$AK$500,ЗАКАЗЫ!$F$3:$F$500,$A134)))</f>
        <v/>
      </c>
    </row>
    <row r="135" customFormat="false" ht="15.75" hidden="false" customHeight="true" outlineLevel="0" collapsed="false">
      <c r="A135" s="80" t="s">
        <v>2675</v>
      </c>
      <c r="B135" s="81"/>
      <c r="C135" s="81"/>
      <c r="D135" s="81"/>
      <c r="E135" s="83"/>
      <c r="F135" s="81"/>
      <c r="G135" s="83"/>
      <c r="H135" s="83"/>
      <c r="I135" s="84" t="str">
        <f aca="false">IF(E135="","",A135&amp;"_1.jpg")</f>
        <v/>
      </c>
      <c r="J135" s="84" t="str">
        <f aca="false">IF(E135="","",A135&amp;"_2.jpg; "&amp;A135&amp;"_3.jpg")</f>
        <v/>
      </c>
      <c r="K135" s="84" t="str">
        <f aca="false">IF(E135="","",A135&amp;"_schema.jpg")</f>
        <v/>
      </c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 t="s">
        <v>96</v>
      </c>
      <c r="W135" s="81"/>
      <c r="X135" s="81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6" t="str">
        <f aca="false">IF(SUM(Y135:AJ135)=0,"",SUM(Y135:AJ135))</f>
        <v/>
      </c>
      <c r="AL135" s="84" t="str">
        <f aca="false">MID(IF(N(Y135)&gt;0,", "&amp;Y$2,"")&amp;IF(N(Z135)&gt;0,", "&amp;Z$2,"")&amp;IF(N(AA135)&gt;0,", "&amp;AA$2,"")&amp;IF(N(AB135)&gt;0,", "&amp;AB$2,"")&amp;IF(N(AC135)&gt;0,", "&amp;AC$2,"")&amp;IF(N(AD135)&gt;0,", "&amp;AD$2,"")&amp;IF(N(AE135)&gt;0,", "&amp;AE$2,"")&amp;IF(N(AF135)&gt;0,", "&amp;AF$2,"")&amp;IF(N(AG135)&gt;0,", "&amp;AG$2,"")&amp;IF(N(AH135)&gt;0,", "&amp;AH$2,"")&amp;IF(N(AI135)&gt;0,", "&amp;AI$2,"")&amp;IF(N(AJ135)&gt;0,", "&amp;AJ$2,""),3,999)</f>
        <v/>
      </c>
      <c r="AM135" s="87" t="str">
        <f aca="false">IF(E135="","",MID(IF(N(Y135)&gt;0,", "&amp;A135&amp;"-"&amp;Y$2,"")&amp;IF(N(Z135)&gt;0,", "&amp;A135&amp;"-"&amp;Z$2,"")&amp;IF(N(AA135)&gt;0,", "&amp;A135&amp;"-"&amp;AA$2,"")&amp;IF(N(AB135)&gt;0,", "&amp;A135&amp;"-"&amp;AB$2,"")&amp;IF(N(AC135)&gt;0,", "&amp;A135&amp;"-"&amp;AC$2,"")&amp;IF(N(AD135)&gt;0,", "&amp;A135&amp;"-"&amp;AD$2,"")&amp;IF(N(AE135)&gt;0,", "&amp;A135&amp;"-"&amp;AE$2,"")&amp;IF(N(AF135)&gt;0,", "&amp;A135&amp;"-"&amp;AF$2,"")&amp;IF(N(AG135)&gt;0,", "&amp;A135&amp;"-"&amp;AG$2,"")&amp;IF(N(AH135)&gt;0,", "&amp;A135&amp;"-"&amp;AH$2,"")&amp;IF(N(AI135)&gt;0,", "&amp;A135&amp;"-"&amp;AI$2,"")&amp;IF(N(AJ135)&gt;0,", "&amp;A135&amp;"-"&amp;AJ$2,""),3,999))</f>
        <v/>
      </c>
      <c r="AN135" s="81"/>
      <c r="AO135" s="88"/>
      <c r="AP135" s="89" t="str">
        <f aca="false">IF(AO135="","",ROUND(AO135/(1+Справочники!$B$13),2))</f>
        <v/>
      </c>
      <c r="AQ135" s="90" t="str">
        <f aca="false" t="array" ref="AQ135:AQ135">IF(AP135="","",AP135*INDEX(Справочники!$B$4:$B$7,MATCH("RUB",Справочники!$A$4:$A$7,0)))</f>
        <v/>
      </c>
      <c r="AR135" s="90" t="str">
        <f aca="false">IF(AQ135="","",ROUND(AQ135*(1+Справочники!$B$12),0))</f>
        <v/>
      </c>
      <c r="AS135" s="90" t="str">
        <f aca="false">IF(AR135="","",ROUND(AR135*(1-Справочники!$B$11),0))</f>
        <v/>
      </c>
      <c r="AT135" s="88"/>
      <c r="AU135" s="90" t="str">
        <f aca="false">IF(AT135="","",ROUND(AT135/(1+Справочники!$B$12),0))</f>
        <v/>
      </c>
      <c r="AV135" s="90" t="str">
        <f aca="false">IF(AT135="","",ROUND(AT135*(1-Справочники!$B$15),0))</f>
        <v/>
      </c>
      <c r="AW135" s="90" t="str">
        <f aca="false">IF(AT135="","",ROUND(AT135*(1-Справочники!$B$16),0))</f>
        <v/>
      </c>
      <c r="AX135" s="90" t="str">
        <f aca="false">IF(AT135="","",ROUND(AT135*(1-Справочники!$B$17),0))</f>
        <v/>
      </c>
      <c r="AY135" s="90" t="str">
        <f aca="false">IF(AT135="","",ROUND(AT135*(1-Справочники!$B$18),0))</f>
        <v/>
      </c>
      <c r="AZ135" s="90" t="str">
        <f aca="false">IF(AT135="","",ROUND(AT135*(1-Справочники!$B$19),0))</f>
        <v/>
      </c>
      <c r="BA135" s="81"/>
      <c r="BB135" s="81"/>
      <c r="BC135" s="81"/>
      <c r="BD135" s="81"/>
      <c r="BE135" s="91"/>
      <c r="BF135" s="81" t="s">
        <v>103</v>
      </c>
      <c r="BG135" s="89" t="n">
        <f aca="false" t="array" ref="BG135:BG135">IF(BF135="","",IFERROR(INDEX(Справочники!$B$4:$B$7,MATCH(BF135,Справочники!$A$4:$A$7,0)),""))</f>
        <v>68.5</v>
      </c>
      <c r="BH135" s="90" t="str">
        <f aca="false">IF(N(BN135)&gt;0,ROUND(SUMIF(ЗАКАЗЫ!$F$3:$F$500,$A135,ЗАКАЗЫ!$Y$3:$Y$500)/BN135,0),IF(OR(BE135="",BG135=""),"",ROUND(BE135*BG135*(1+Справочники!$B$10),0)))</f>
        <v/>
      </c>
      <c r="BI135" s="92" t="str">
        <f aca="false">IF(OR(AU135="",BH135="",AU135=0),"",(AU135-BH135)/AU135)</f>
        <v/>
      </c>
      <c r="BJ135" s="81"/>
      <c r="BK135" s="83"/>
      <c r="BL135" s="43" t="str">
        <f aca="false">IFERROR(INDEX(ЗАКАЗЫ!$N$3:$N$500,MATCH($A135,ЗАКАЗЫ!$F$3:$F$500,0)),"")</f>
        <v/>
      </c>
      <c r="BM135" s="8" t="str">
        <f aca="false">IF(BL135="","",IFERROR(VLOOKUP(BL135,'ТН ВЭД'!$A$4:$C$40,3,0),""))</f>
        <v/>
      </c>
      <c r="BN135" s="7" t="str">
        <f aca="false">IF(COUNTIF(ЗАКАЗЫ!$F$3:$F$500,$A135)=0,"",SUMIF(ЗАКАЗЫ!$F$3:$F$500,$A135,ЗАКАЗЫ!$J$3:$J$500))</f>
        <v/>
      </c>
      <c r="BO135" s="7" t="str">
        <f aca="false">IF(BN135="","",SUMIF(ЗАКАЗЫ!$F$3:$F$500,$A135,ЗАКАЗЫ!$AL$3:$AL$500))</f>
        <v/>
      </c>
      <c r="BP135" s="7" t="str">
        <f aca="false">IF(BN135="","",BN135-BO135)</f>
        <v/>
      </c>
      <c r="BQ135" s="55" t="str">
        <f aca="false">IF(BN135="","",IF(BO135&gt;=BN135,"На складе",IF(BO135&gt;0,"Частично","Ждём")))</f>
        <v/>
      </c>
      <c r="BR135" s="43"/>
      <c r="BS135" s="47" t="str">
        <f aca="false">IF(BN135="","",IF(_xlfn.MAXIFS(ЗАКАЗЫ!$AK$3:$AK$500,ЗАКАЗЫ!$F$3:$F$500,$A135)=0,"",_xlfn.MAXIFS(ЗАКАЗЫ!$AK$3:$AK$500,ЗАКАЗЫ!$F$3:$F$500,$A135)))</f>
        <v/>
      </c>
    </row>
    <row r="136" customFormat="false" ht="15.75" hidden="false" customHeight="true" outlineLevel="0" collapsed="false">
      <c r="A136" s="80" t="s">
        <v>2676</v>
      </c>
      <c r="B136" s="81"/>
      <c r="C136" s="81"/>
      <c r="D136" s="81"/>
      <c r="E136" s="83"/>
      <c r="F136" s="81"/>
      <c r="G136" s="83"/>
      <c r="H136" s="83"/>
      <c r="I136" s="84" t="str">
        <f aca="false">IF(E136="","",A136&amp;"_1.jpg")</f>
        <v/>
      </c>
      <c r="J136" s="84" t="str">
        <f aca="false">IF(E136="","",A136&amp;"_2.jpg; "&amp;A136&amp;"_3.jpg")</f>
        <v/>
      </c>
      <c r="K136" s="84" t="str">
        <f aca="false">IF(E136="","",A136&amp;"_schema.jpg")</f>
        <v/>
      </c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 t="s">
        <v>96</v>
      </c>
      <c r="W136" s="81"/>
      <c r="X136" s="81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6" t="str">
        <f aca="false">IF(SUM(Y136:AJ136)=0,"",SUM(Y136:AJ136))</f>
        <v/>
      </c>
      <c r="AL136" s="84" t="str">
        <f aca="false">MID(IF(N(Y136)&gt;0,", "&amp;Y$2,"")&amp;IF(N(Z136)&gt;0,", "&amp;Z$2,"")&amp;IF(N(AA136)&gt;0,", "&amp;AA$2,"")&amp;IF(N(AB136)&gt;0,", "&amp;AB$2,"")&amp;IF(N(AC136)&gt;0,", "&amp;AC$2,"")&amp;IF(N(AD136)&gt;0,", "&amp;AD$2,"")&amp;IF(N(AE136)&gt;0,", "&amp;AE$2,"")&amp;IF(N(AF136)&gt;0,", "&amp;AF$2,"")&amp;IF(N(AG136)&gt;0,", "&amp;AG$2,"")&amp;IF(N(AH136)&gt;0,", "&amp;AH$2,"")&amp;IF(N(AI136)&gt;0,", "&amp;AI$2,"")&amp;IF(N(AJ136)&gt;0,", "&amp;AJ$2,""),3,999)</f>
        <v/>
      </c>
      <c r="AM136" s="87" t="str">
        <f aca="false">IF(E136="","",MID(IF(N(Y136)&gt;0,", "&amp;A136&amp;"-"&amp;Y$2,"")&amp;IF(N(Z136)&gt;0,", "&amp;A136&amp;"-"&amp;Z$2,"")&amp;IF(N(AA136)&gt;0,", "&amp;A136&amp;"-"&amp;AA$2,"")&amp;IF(N(AB136)&gt;0,", "&amp;A136&amp;"-"&amp;AB$2,"")&amp;IF(N(AC136)&gt;0,", "&amp;A136&amp;"-"&amp;AC$2,"")&amp;IF(N(AD136)&gt;0,", "&amp;A136&amp;"-"&amp;AD$2,"")&amp;IF(N(AE136)&gt;0,", "&amp;A136&amp;"-"&amp;AE$2,"")&amp;IF(N(AF136)&gt;0,", "&amp;A136&amp;"-"&amp;AF$2,"")&amp;IF(N(AG136)&gt;0,", "&amp;A136&amp;"-"&amp;AG$2,"")&amp;IF(N(AH136)&gt;0,", "&amp;A136&amp;"-"&amp;AH$2,"")&amp;IF(N(AI136)&gt;0,", "&amp;A136&amp;"-"&amp;AI$2,"")&amp;IF(N(AJ136)&gt;0,", "&amp;A136&amp;"-"&amp;AJ$2,""),3,999))</f>
        <v/>
      </c>
      <c r="AN136" s="81"/>
      <c r="AO136" s="88"/>
      <c r="AP136" s="89" t="str">
        <f aca="false">IF(AO136="","",ROUND(AO136/(1+Справочники!$B$13),2))</f>
        <v/>
      </c>
      <c r="AQ136" s="90" t="str">
        <f aca="false" t="array" ref="AQ136:AQ136">IF(AP136="","",AP136*INDEX(Справочники!$B$4:$B$7,MATCH("RUB",Справочники!$A$4:$A$7,0)))</f>
        <v/>
      </c>
      <c r="AR136" s="90" t="str">
        <f aca="false">IF(AQ136="","",ROUND(AQ136*(1+Справочники!$B$12),0))</f>
        <v/>
      </c>
      <c r="AS136" s="90" t="str">
        <f aca="false">IF(AR136="","",ROUND(AR136*(1-Справочники!$B$11),0))</f>
        <v/>
      </c>
      <c r="AT136" s="88"/>
      <c r="AU136" s="90" t="str">
        <f aca="false">IF(AT136="","",ROUND(AT136/(1+Справочники!$B$12),0))</f>
        <v/>
      </c>
      <c r="AV136" s="90" t="str">
        <f aca="false">IF(AT136="","",ROUND(AT136*(1-Справочники!$B$15),0))</f>
        <v/>
      </c>
      <c r="AW136" s="90" t="str">
        <f aca="false">IF(AT136="","",ROUND(AT136*(1-Справочники!$B$16),0))</f>
        <v/>
      </c>
      <c r="AX136" s="90" t="str">
        <f aca="false">IF(AT136="","",ROUND(AT136*(1-Справочники!$B$17),0))</f>
        <v/>
      </c>
      <c r="AY136" s="90" t="str">
        <f aca="false">IF(AT136="","",ROUND(AT136*(1-Справочники!$B$18),0))</f>
        <v/>
      </c>
      <c r="AZ136" s="90" t="str">
        <f aca="false">IF(AT136="","",ROUND(AT136*(1-Справочники!$B$19),0))</f>
        <v/>
      </c>
      <c r="BA136" s="81"/>
      <c r="BB136" s="81"/>
      <c r="BC136" s="81"/>
      <c r="BD136" s="81"/>
      <c r="BE136" s="91"/>
      <c r="BF136" s="81" t="s">
        <v>103</v>
      </c>
      <c r="BG136" s="89" t="n">
        <f aca="false" t="array" ref="BG136:BG136">IF(BF136="","",IFERROR(INDEX(Справочники!$B$4:$B$7,MATCH(BF136,Справочники!$A$4:$A$7,0)),""))</f>
        <v>68.5</v>
      </c>
      <c r="BH136" s="90" t="str">
        <f aca="false">IF(N(BN136)&gt;0,ROUND(SUMIF(ЗАКАЗЫ!$F$3:$F$500,$A136,ЗАКАЗЫ!$Y$3:$Y$500)/BN136,0),IF(OR(BE136="",BG136=""),"",ROUND(BE136*BG136*(1+Справочники!$B$10),0)))</f>
        <v/>
      </c>
      <c r="BI136" s="92" t="str">
        <f aca="false">IF(OR(AU136="",BH136="",AU136=0),"",(AU136-BH136)/AU136)</f>
        <v/>
      </c>
      <c r="BJ136" s="81"/>
      <c r="BK136" s="83"/>
      <c r="BL136" s="43" t="str">
        <f aca="false">IFERROR(INDEX(ЗАКАЗЫ!$N$3:$N$500,MATCH($A136,ЗАКАЗЫ!$F$3:$F$500,0)),"")</f>
        <v/>
      </c>
      <c r="BM136" s="8" t="str">
        <f aca="false">IF(BL136="","",IFERROR(VLOOKUP(BL136,'ТН ВЭД'!$A$4:$C$40,3,0),""))</f>
        <v/>
      </c>
      <c r="BN136" s="7" t="str">
        <f aca="false">IF(COUNTIF(ЗАКАЗЫ!$F$3:$F$500,$A136)=0,"",SUMIF(ЗАКАЗЫ!$F$3:$F$500,$A136,ЗАКАЗЫ!$J$3:$J$500))</f>
        <v/>
      </c>
      <c r="BO136" s="7" t="str">
        <f aca="false">IF(BN136="","",SUMIF(ЗАКАЗЫ!$F$3:$F$500,$A136,ЗАКАЗЫ!$AL$3:$AL$500))</f>
        <v/>
      </c>
      <c r="BP136" s="7" t="str">
        <f aca="false">IF(BN136="","",BN136-BO136)</f>
        <v/>
      </c>
      <c r="BQ136" s="55" t="str">
        <f aca="false">IF(BN136="","",IF(BO136&gt;=BN136,"На складе",IF(BO136&gt;0,"Частично","Ждём")))</f>
        <v/>
      </c>
      <c r="BR136" s="43"/>
      <c r="BS136" s="47" t="str">
        <f aca="false">IF(BN136="","",IF(_xlfn.MAXIFS(ЗАКАЗЫ!$AK$3:$AK$500,ЗАКАЗЫ!$F$3:$F$500,$A136)=0,"",_xlfn.MAXIFS(ЗАКАЗЫ!$AK$3:$AK$500,ЗАКАЗЫ!$F$3:$F$500,$A136)))</f>
        <v/>
      </c>
    </row>
    <row r="137" customFormat="false" ht="15.75" hidden="false" customHeight="true" outlineLevel="0" collapsed="false">
      <c r="A137" s="80" t="s">
        <v>2677</v>
      </c>
      <c r="B137" s="81"/>
      <c r="C137" s="81"/>
      <c r="D137" s="81"/>
      <c r="E137" s="83"/>
      <c r="F137" s="81"/>
      <c r="G137" s="83"/>
      <c r="H137" s="83"/>
      <c r="I137" s="84" t="str">
        <f aca="false">IF(E137="","",A137&amp;"_1.jpg")</f>
        <v/>
      </c>
      <c r="J137" s="84" t="str">
        <f aca="false">IF(E137="","",A137&amp;"_2.jpg; "&amp;A137&amp;"_3.jpg")</f>
        <v/>
      </c>
      <c r="K137" s="84" t="str">
        <f aca="false">IF(E137="","",A137&amp;"_schema.jpg")</f>
        <v/>
      </c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 t="s">
        <v>96</v>
      </c>
      <c r="W137" s="81"/>
      <c r="X137" s="81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6" t="str">
        <f aca="false">IF(SUM(Y137:AJ137)=0,"",SUM(Y137:AJ137))</f>
        <v/>
      </c>
      <c r="AL137" s="84" t="str">
        <f aca="false">MID(IF(N(Y137)&gt;0,", "&amp;Y$2,"")&amp;IF(N(Z137)&gt;0,", "&amp;Z$2,"")&amp;IF(N(AA137)&gt;0,", "&amp;AA$2,"")&amp;IF(N(AB137)&gt;0,", "&amp;AB$2,"")&amp;IF(N(AC137)&gt;0,", "&amp;AC$2,"")&amp;IF(N(AD137)&gt;0,", "&amp;AD$2,"")&amp;IF(N(AE137)&gt;0,", "&amp;AE$2,"")&amp;IF(N(AF137)&gt;0,", "&amp;AF$2,"")&amp;IF(N(AG137)&gt;0,", "&amp;AG$2,"")&amp;IF(N(AH137)&gt;0,", "&amp;AH$2,"")&amp;IF(N(AI137)&gt;0,", "&amp;AI$2,"")&amp;IF(N(AJ137)&gt;0,", "&amp;AJ$2,""),3,999)</f>
        <v/>
      </c>
      <c r="AM137" s="87" t="str">
        <f aca="false">IF(E137="","",MID(IF(N(Y137)&gt;0,", "&amp;A137&amp;"-"&amp;Y$2,"")&amp;IF(N(Z137)&gt;0,", "&amp;A137&amp;"-"&amp;Z$2,"")&amp;IF(N(AA137)&gt;0,", "&amp;A137&amp;"-"&amp;AA$2,"")&amp;IF(N(AB137)&gt;0,", "&amp;A137&amp;"-"&amp;AB$2,"")&amp;IF(N(AC137)&gt;0,", "&amp;A137&amp;"-"&amp;AC$2,"")&amp;IF(N(AD137)&gt;0,", "&amp;A137&amp;"-"&amp;AD$2,"")&amp;IF(N(AE137)&gt;0,", "&amp;A137&amp;"-"&amp;AE$2,"")&amp;IF(N(AF137)&gt;0,", "&amp;A137&amp;"-"&amp;AF$2,"")&amp;IF(N(AG137)&gt;0,", "&amp;A137&amp;"-"&amp;AG$2,"")&amp;IF(N(AH137)&gt;0,", "&amp;A137&amp;"-"&amp;AH$2,"")&amp;IF(N(AI137)&gt;0,", "&amp;A137&amp;"-"&amp;AI$2,"")&amp;IF(N(AJ137)&gt;0,", "&amp;A137&amp;"-"&amp;AJ$2,""),3,999))</f>
        <v/>
      </c>
      <c r="AN137" s="81"/>
      <c r="AO137" s="88"/>
      <c r="AP137" s="89" t="str">
        <f aca="false">IF(AO137="","",ROUND(AO137/(1+Справочники!$B$13),2))</f>
        <v/>
      </c>
      <c r="AQ137" s="90" t="str">
        <f aca="false" t="array" ref="AQ137:AQ137">IF(AP137="","",AP137*INDEX(Справочники!$B$4:$B$7,MATCH("RUB",Справочники!$A$4:$A$7,0)))</f>
        <v/>
      </c>
      <c r="AR137" s="90" t="str">
        <f aca="false">IF(AQ137="","",ROUND(AQ137*(1+Справочники!$B$12),0))</f>
        <v/>
      </c>
      <c r="AS137" s="90" t="str">
        <f aca="false">IF(AR137="","",ROUND(AR137*(1-Справочники!$B$11),0))</f>
        <v/>
      </c>
      <c r="AT137" s="88"/>
      <c r="AU137" s="90" t="str">
        <f aca="false">IF(AT137="","",ROUND(AT137/(1+Справочники!$B$12),0))</f>
        <v/>
      </c>
      <c r="AV137" s="90" t="str">
        <f aca="false">IF(AT137="","",ROUND(AT137*(1-Справочники!$B$15),0))</f>
        <v/>
      </c>
      <c r="AW137" s="90" t="str">
        <f aca="false">IF(AT137="","",ROUND(AT137*(1-Справочники!$B$16),0))</f>
        <v/>
      </c>
      <c r="AX137" s="90" t="str">
        <f aca="false">IF(AT137="","",ROUND(AT137*(1-Справочники!$B$17),0))</f>
        <v/>
      </c>
      <c r="AY137" s="90" t="str">
        <f aca="false">IF(AT137="","",ROUND(AT137*(1-Справочники!$B$18),0))</f>
        <v/>
      </c>
      <c r="AZ137" s="90" t="str">
        <f aca="false">IF(AT137="","",ROUND(AT137*(1-Справочники!$B$19),0))</f>
        <v/>
      </c>
      <c r="BA137" s="81"/>
      <c r="BB137" s="81"/>
      <c r="BC137" s="81"/>
      <c r="BD137" s="81"/>
      <c r="BE137" s="91"/>
      <c r="BF137" s="81" t="s">
        <v>103</v>
      </c>
      <c r="BG137" s="89" t="n">
        <f aca="false" t="array" ref="BG137:BG137">IF(BF137="","",IFERROR(INDEX(Справочники!$B$4:$B$7,MATCH(BF137,Справочники!$A$4:$A$7,0)),""))</f>
        <v>68.5</v>
      </c>
      <c r="BH137" s="90" t="str">
        <f aca="false">IF(N(BN137)&gt;0,ROUND(SUMIF(ЗАКАЗЫ!$F$3:$F$500,$A137,ЗАКАЗЫ!$Y$3:$Y$500)/BN137,0),IF(OR(BE137="",BG137=""),"",ROUND(BE137*BG137*(1+Справочники!$B$10),0)))</f>
        <v/>
      </c>
      <c r="BI137" s="92" t="str">
        <f aca="false">IF(OR(AU137="",BH137="",AU137=0),"",(AU137-BH137)/AU137)</f>
        <v/>
      </c>
      <c r="BJ137" s="81"/>
      <c r="BK137" s="83"/>
      <c r="BL137" s="43" t="str">
        <f aca="false">IFERROR(INDEX(ЗАКАЗЫ!$N$3:$N$500,MATCH($A137,ЗАКАЗЫ!$F$3:$F$500,0)),"")</f>
        <v/>
      </c>
      <c r="BM137" s="8" t="str">
        <f aca="false">IF(BL137="","",IFERROR(VLOOKUP(BL137,'ТН ВЭД'!$A$4:$C$40,3,0),""))</f>
        <v/>
      </c>
      <c r="BN137" s="7" t="str">
        <f aca="false">IF(COUNTIF(ЗАКАЗЫ!$F$3:$F$500,$A137)=0,"",SUMIF(ЗАКАЗЫ!$F$3:$F$500,$A137,ЗАКАЗЫ!$J$3:$J$500))</f>
        <v/>
      </c>
      <c r="BO137" s="7" t="str">
        <f aca="false">IF(BN137="","",SUMIF(ЗАКАЗЫ!$F$3:$F$500,$A137,ЗАКАЗЫ!$AL$3:$AL$500))</f>
        <v/>
      </c>
      <c r="BP137" s="7" t="str">
        <f aca="false">IF(BN137="","",BN137-BO137)</f>
        <v/>
      </c>
      <c r="BQ137" s="55" t="str">
        <f aca="false">IF(BN137="","",IF(BO137&gt;=BN137,"На складе",IF(BO137&gt;0,"Частично","Ждём")))</f>
        <v/>
      </c>
      <c r="BR137" s="43"/>
      <c r="BS137" s="47" t="str">
        <f aca="false">IF(BN137="","",IF(_xlfn.MAXIFS(ЗАКАЗЫ!$AK$3:$AK$500,ЗАКАЗЫ!$F$3:$F$500,$A137)=0,"",_xlfn.MAXIFS(ЗАКАЗЫ!$AK$3:$AK$500,ЗАКАЗЫ!$F$3:$F$500,$A137)))</f>
        <v/>
      </c>
    </row>
    <row r="138" customFormat="false" ht="15.75" hidden="false" customHeight="true" outlineLevel="0" collapsed="false">
      <c r="A138" s="80" t="s">
        <v>2678</v>
      </c>
      <c r="B138" s="81"/>
      <c r="C138" s="81"/>
      <c r="D138" s="81"/>
      <c r="E138" s="83"/>
      <c r="F138" s="81"/>
      <c r="G138" s="83"/>
      <c r="H138" s="83"/>
      <c r="I138" s="84" t="str">
        <f aca="false">IF(E138="","",A138&amp;"_1.jpg")</f>
        <v/>
      </c>
      <c r="J138" s="84" t="str">
        <f aca="false">IF(E138="","",A138&amp;"_2.jpg; "&amp;A138&amp;"_3.jpg")</f>
        <v/>
      </c>
      <c r="K138" s="84" t="str">
        <f aca="false">IF(E138="","",A138&amp;"_schema.jpg")</f>
        <v/>
      </c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 t="s">
        <v>96</v>
      </c>
      <c r="W138" s="81"/>
      <c r="X138" s="81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6" t="str">
        <f aca="false">IF(SUM(Y138:AJ138)=0,"",SUM(Y138:AJ138))</f>
        <v/>
      </c>
      <c r="AL138" s="84" t="str">
        <f aca="false">MID(IF(N(Y138)&gt;0,", "&amp;Y$2,"")&amp;IF(N(Z138)&gt;0,", "&amp;Z$2,"")&amp;IF(N(AA138)&gt;0,", "&amp;AA$2,"")&amp;IF(N(AB138)&gt;0,", "&amp;AB$2,"")&amp;IF(N(AC138)&gt;0,", "&amp;AC$2,"")&amp;IF(N(AD138)&gt;0,", "&amp;AD$2,"")&amp;IF(N(AE138)&gt;0,", "&amp;AE$2,"")&amp;IF(N(AF138)&gt;0,", "&amp;AF$2,"")&amp;IF(N(AG138)&gt;0,", "&amp;AG$2,"")&amp;IF(N(AH138)&gt;0,", "&amp;AH$2,"")&amp;IF(N(AI138)&gt;0,", "&amp;AI$2,"")&amp;IF(N(AJ138)&gt;0,", "&amp;AJ$2,""),3,999)</f>
        <v/>
      </c>
      <c r="AM138" s="87" t="str">
        <f aca="false">IF(E138="","",MID(IF(N(Y138)&gt;0,", "&amp;A138&amp;"-"&amp;Y$2,"")&amp;IF(N(Z138)&gt;0,", "&amp;A138&amp;"-"&amp;Z$2,"")&amp;IF(N(AA138)&gt;0,", "&amp;A138&amp;"-"&amp;AA$2,"")&amp;IF(N(AB138)&gt;0,", "&amp;A138&amp;"-"&amp;AB$2,"")&amp;IF(N(AC138)&gt;0,", "&amp;A138&amp;"-"&amp;AC$2,"")&amp;IF(N(AD138)&gt;0,", "&amp;A138&amp;"-"&amp;AD$2,"")&amp;IF(N(AE138)&gt;0,", "&amp;A138&amp;"-"&amp;AE$2,"")&amp;IF(N(AF138)&gt;0,", "&amp;A138&amp;"-"&amp;AF$2,"")&amp;IF(N(AG138)&gt;0,", "&amp;A138&amp;"-"&amp;AG$2,"")&amp;IF(N(AH138)&gt;0,", "&amp;A138&amp;"-"&amp;AH$2,"")&amp;IF(N(AI138)&gt;0,", "&amp;A138&amp;"-"&amp;AI$2,"")&amp;IF(N(AJ138)&gt;0,", "&amp;A138&amp;"-"&amp;AJ$2,""),3,999))</f>
        <v/>
      </c>
      <c r="AN138" s="81"/>
      <c r="AO138" s="88"/>
      <c r="AP138" s="89" t="str">
        <f aca="false">IF(AO138="","",ROUND(AO138/(1+Справочники!$B$13),2))</f>
        <v/>
      </c>
      <c r="AQ138" s="90" t="str">
        <f aca="false" t="array" ref="AQ138:AQ138">IF(AP138="","",AP138*INDEX(Справочники!$B$4:$B$7,MATCH("RUB",Справочники!$A$4:$A$7,0)))</f>
        <v/>
      </c>
      <c r="AR138" s="90" t="str">
        <f aca="false">IF(AQ138="","",ROUND(AQ138*(1+Справочники!$B$12),0))</f>
        <v/>
      </c>
      <c r="AS138" s="90" t="str">
        <f aca="false">IF(AR138="","",ROUND(AR138*(1-Справочники!$B$11),0))</f>
        <v/>
      </c>
      <c r="AT138" s="88"/>
      <c r="AU138" s="90" t="str">
        <f aca="false">IF(AT138="","",ROUND(AT138/(1+Справочники!$B$12),0))</f>
        <v/>
      </c>
      <c r="AV138" s="90" t="str">
        <f aca="false">IF(AT138="","",ROUND(AT138*(1-Справочники!$B$15),0))</f>
        <v/>
      </c>
      <c r="AW138" s="90" t="str">
        <f aca="false">IF(AT138="","",ROUND(AT138*(1-Справочники!$B$16),0))</f>
        <v/>
      </c>
      <c r="AX138" s="90" t="str">
        <f aca="false">IF(AT138="","",ROUND(AT138*(1-Справочники!$B$17),0))</f>
        <v/>
      </c>
      <c r="AY138" s="90" t="str">
        <f aca="false">IF(AT138="","",ROUND(AT138*(1-Справочники!$B$18),0))</f>
        <v/>
      </c>
      <c r="AZ138" s="90" t="str">
        <f aca="false">IF(AT138="","",ROUND(AT138*(1-Справочники!$B$19),0))</f>
        <v/>
      </c>
      <c r="BA138" s="81"/>
      <c r="BB138" s="81"/>
      <c r="BC138" s="81"/>
      <c r="BD138" s="81"/>
      <c r="BE138" s="91"/>
      <c r="BF138" s="81" t="s">
        <v>103</v>
      </c>
      <c r="BG138" s="89" t="n">
        <f aca="false" t="array" ref="BG138:BG138">IF(BF138="","",IFERROR(INDEX(Справочники!$B$4:$B$7,MATCH(BF138,Справочники!$A$4:$A$7,0)),""))</f>
        <v>68.5</v>
      </c>
      <c r="BH138" s="90" t="str">
        <f aca="false">IF(N(BN138)&gt;0,ROUND(SUMIF(ЗАКАЗЫ!$F$3:$F$500,$A138,ЗАКАЗЫ!$Y$3:$Y$500)/BN138,0),IF(OR(BE138="",BG138=""),"",ROUND(BE138*BG138*(1+Справочники!$B$10),0)))</f>
        <v/>
      </c>
      <c r="BI138" s="92" t="str">
        <f aca="false">IF(OR(AU138="",BH138="",AU138=0),"",(AU138-BH138)/AU138)</f>
        <v/>
      </c>
      <c r="BJ138" s="81"/>
      <c r="BK138" s="83"/>
      <c r="BL138" s="43" t="str">
        <f aca="false">IFERROR(INDEX(ЗАКАЗЫ!$N$3:$N$500,MATCH($A138,ЗАКАЗЫ!$F$3:$F$500,0)),"")</f>
        <v/>
      </c>
      <c r="BM138" s="8" t="str">
        <f aca="false">IF(BL138="","",IFERROR(VLOOKUP(BL138,'ТН ВЭД'!$A$4:$C$40,3,0),""))</f>
        <v/>
      </c>
      <c r="BN138" s="7" t="str">
        <f aca="false">IF(COUNTIF(ЗАКАЗЫ!$F$3:$F$500,$A138)=0,"",SUMIF(ЗАКАЗЫ!$F$3:$F$500,$A138,ЗАКАЗЫ!$J$3:$J$500))</f>
        <v/>
      </c>
      <c r="BO138" s="7" t="str">
        <f aca="false">IF(BN138="","",SUMIF(ЗАКАЗЫ!$F$3:$F$500,$A138,ЗАКАЗЫ!$AL$3:$AL$500))</f>
        <v/>
      </c>
      <c r="BP138" s="7" t="str">
        <f aca="false">IF(BN138="","",BN138-BO138)</f>
        <v/>
      </c>
      <c r="BQ138" s="55" t="str">
        <f aca="false">IF(BN138="","",IF(BO138&gt;=BN138,"На складе",IF(BO138&gt;0,"Частично","Ждём")))</f>
        <v/>
      </c>
      <c r="BR138" s="43"/>
      <c r="BS138" s="47" t="str">
        <f aca="false">IF(BN138="","",IF(_xlfn.MAXIFS(ЗАКАЗЫ!$AK$3:$AK$500,ЗАКАЗЫ!$F$3:$F$500,$A138)=0,"",_xlfn.MAXIFS(ЗАКАЗЫ!$AK$3:$AK$500,ЗАКАЗЫ!$F$3:$F$500,$A138)))</f>
        <v/>
      </c>
    </row>
    <row r="139" customFormat="false" ht="15.75" hidden="false" customHeight="true" outlineLevel="0" collapsed="false">
      <c r="A139" s="80" t="s">
        <v>2679</v>
      </c>
      <c r="B139" s="81"/>
      <c r="C139" s="81"/>
      <c r="D139" s="81"/>
      <c r="E139" s="83"/>
      <c r="F139" s="81"/>
      <c r="G139" s="83"/>
      <c r="H139" s="83"/>
      <c r="I139" s="84" t="str">
        <f aca="false">IF(E139="","",A139&amp;"_1.jpg")</f>
        <v/>
      </c>
      <c r="J139" s="84" t="str">
        <f aca="false">IF(E139="","",A139&amp;"_2.jpg; "&amp;A139&amp;"_3.jpg")</f>
        <v/>
      </c>
      <c r="K139" s="84" t="str">
        <f aca="false">IF(E139="","",A139&amp;"_schema.jpg")</f>
        <v/>
      </c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 t="s">
        <v>96</v>
      </c>
      <c r="W139" s="81"/>
      <c r="X139" s="81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6" t="str">
        <f aca="false">IF(SUM(Y139:AJ139)=0,"",SUM(Y139:AJ139))</f>
        <v/>
      </c>
      <c r="AL139" s="84" t="str">
        <f aca="false">MID(IF(N(Y139)&gt;0,", "&amp;Y$2,"")&amp;IF(N(Z139)&gt;0,", "&amp;Z$2,"")&amp;IF(N(AA139)&gt;0,", "&amp;AA$2,"")&amp;IF(N(AB139)&gt;0,", "&amp;AB$2,"")&amp;IF(N(AC139)&gt;0,", "&amp;AC$2,"")&amp;IF(N(AD139)&gt;0,", "&amp;AD$2,"")&amp;IF(N(AE139)&gt;0,", "&amp;AE$2,"")&amp;IF(N(AF139)&gt;0,", "&amp;AF$2,"")&amp;IF(N(AG139)&gt;0,", "&amp;AG$2,"")&amp;IF(N(AH139)&gt;0,", "&amp;AH$2,"")&amp;IF(N(AI139)&gt;0,", "&amp;AI$2,"")&amp;IF(N(AJ139)&gt;0,", "&amp;AJ$2,""),3,999)</f>
        <v/>
      </c>
      <c r="AM139" s="87" t="str">
        <f aca="false">IF(E139="","",MID(IF(N(Y139)&gt;0,", "&amp;A139&amp;"-"&amp;Y$2,"")&amp;IF(N(Z139)&gt;0,", "&amp;A139&amp;"-"&amp;Z$2,"")&amp;IF(N(AA139)&gt;0,", "&amp;A139&amp;"-"&amp;AA$2,"")&amp;IF(N(AB139)&gt;0,", "&amp;A139&amp;"-"&amp;AB$2,"")&amp;IF(N(AC139)&gt;0,", "&amp;A139&amp;"-"&amp;AC$2,"")&amp;IF(N(AD139)&gt;0,", "&amp;A139&amp;"-"&amp;AD$2,"")&amp;IF(N(AE139)&gt;0,", "&amp;A139&amp;"-"&amp;AE$2,"")&amp;IF(N(AF139)&gt;0,", "&amp;A139&amp;"-"&amp;AF$2,"")&amp;IF(N(AG139)&gt;0,", "&amp;A139&amp;"-"&amp;AG$2,"")&amp;IF(N(AH139)&gt;0,", "&amp;A139&amp;"-"&amp;AH$2,"")&amp;IF(N(AI139)&gt;0,", "&amp;A139&amp;"-"&amp;AI$2,"")&amp;IF(N(AJ139)&gt;0,", "&amp;A139&amp;"-"&amp;AJ$2,""),3,999))</f>
        <v/>
      </c>
      <c r="AN139" s="81"/>
      <c r="AO139" s="88"/>
      <c r="AP139" s="89" t="str">
        <f aca="false">IF(AO139="","",ROUND(AO139/(1+Справочники!$B$13),2))</f>
        <v/>
      </c>
      <c r="AQ139" s="90" t="str">
        <f aca="false" t="array" ref="AQ139:AQ139">IF(AP139="","",AP139*INDEX(Справочники!$B$4:$B$7,MATCH("RUB",Справочники!$A$4:$A$7,0)))</f>
        <v/>
      </c>
      <c r="AR139" s="90" t="str">
        <f aca="false">IF(AQ139="","",ROUND(AQ139*(1+Справочники!$B$12),0))</f>
        <v/>
      </c>
      <c r="AS139" s="90" t="str">
        <f aca="false">IF(AR139="","",ROUND(AR139*(1-Справочники!$B$11),0))</f>
        <v/>
      </c>
      <c r="AT139" s="88"/>
      <c r="AU139" s="90" t="str">
        <f aca="false">IF(AT139="","",ROUND(AT139/(1+Справочники!$B$12),0))</f>
        <v/>
      </c>
      <c r="AV139" s="90" t="str">
        <f aca="false">IF(AT139="","",ROUND(AT139*(1-Справочники!$B$15),0))</f>
        <v/>
      </c>
      <c r="AW139" s="90" t="str">
        <f aca="false">IF(AT139="","",ROUND(AT139*(1-Справочники!$B$16),0))</f>
        <v/>
      </c>
      <c r="AX139" s="90" t="str">
        <f aca="false">IF(AT139="","",ROUND(AT139*(1-Справочники!$B$17),0))</f>
        <v/>
      </c>
      <c r="AY139" s="90" t="str">
        <f aca="false">IF(AT139="","",ROUND(AT139*(1-Справочники!$B$18),0))</f>
        <v/>
      </c>
      <c r="AZ139" s="90" t="str">
        <f aca="false">IF(AT139="","",ROUND(AT139*(1-Справочники!$B$19),0))</f>
        <v/>
      </c>
      <c r="BA139" s="81"/>
      <c r="BB139" s="81"/>
      <c r="BC139" s="81"/>
      <c r="BD139" s="81"/>
      <c r="BE139" s="91"/>
      <c r="BF139" s="81" t="s">
        <v>103</v>
      </c>
      <c r="BG139" s="89" t="n">
        <f aca="false" t="array" ref="BG139:BG139">IF(BF139="","",IFERROR(INDEX(Справочники!$B$4:$B$7,MATCH(BF139,Справочники!$A$4:$A$7,0)),""))</f>
        <v>68.5</v>
      </c>
      <c r="BH139" s="90" t="str">
        <f aca="false">IF(N(BN139)&gt;0,ROUND(SUMIF(ЗАКАЗЫ!$F$3:$F$500,$A139,ЗАКАЗЫ!$Y$3:$Y$500)/BN139,0),IF(OR(BE139="",BG139=""),"",ROUND(BE139*BG139*(1+Справочники!$B$10),0)))</f>
        <v/>
      </c>
      <c r="BI139" s="92" t="str">
        <f aca="false">IF(OR(AU139="",BH139="",AU139=0),"",(AU139-BH139)/AU139)</f>
        <v/>
      </c>
      <c r="BJ139" s="81"/>
      <c r="BK139" s="83"/>
      <c r="BL139" s="43" t="str">
        <f aca="false">IFERROR(INDEX(ЗАКАЗЫ!$N$3:$N$500,MATCH($A139,ЗАКАЗЫ!$F$3:$F$500,0)),"")</f>
        <v/>
      </c>
      <c r="BM139" s="8" t="str">
        <f aca="false">IF(BL139="","",IFERROR(VLOOKUP(BL139,'ТН ВЭД'!$A$4:$C$40,3,0),""))</f>
        <v/>
      </c>
      <c r="BN139" s="7" t="str">
        <f aca="false">IF(COUNTIF(ЗАКАЗЫ!$F$3:$F$500,$A139)=0,"",SUMIF(ЗАКАЗЫ!$F$3:$F$500,$A139,ЗАКАЗЫ!$J$3:$J$500))</f>
        <v/>
      </c>
      <c r="BO139" s="7" t="str">
        <f aca="false">IF(BN139="","",SUMIF(ЗАКАЗЫ!$F$3:$F$500,$A139,ЗАКАЗЫ!$AL$3:$AL$500))</f>
        <v/>
      </c>
      <c r="BP139" s="7" t="str">
        <f aca="false">IF(BN139="","",BN139-BO139)</f>
        <v/>
      </c>
      <c r="BQ139" s="55" t="str">
        <f aca="false">IF(BN139="","",IF(BO139&gt;=BN139,"На складе",IF(BO139&gt;0,"Частично","Ждём")))</f>
        <v/>
      </c>
      <c r="BR139" s="43"/>
      <c r="BS139" s="47" t="str">
        <f aca="false">IF(BN139="","",IF(_xlfn.MAXIFS(ЗАКАЗЫ!$AK$3:$AK$500,ЗАКАЗЫ!$F$3:$F$500,$A139)=0,"",_xlfn.MAXIFS(ЗАКАЗЫ!$AK$3:$AK$500,ЗАКАЗЫ!$F$3:$F$500,$A139)))</f>
        <v/>
      </c>
    </row>
    <row r="140" customFormat="false" ht="15.75" hidden="false" customHeight="true" outlineLevel="0" collapsed="false">
      <c r="A140" s="80" t="s">
        <v>2680</v>
      </c>
      <c r="B140" s="81"/>
      <c r="C140" s="81"/>
      <c r="D140" s="81"/>
      <c r="E140" s="83"/>
      <c r="F140" s="81"/>
      <c r="G140" s="83"/>
      <c r="H140" s="83"/>
      <c r="I140" s="84" t="str">
        <f aca="false">IF(E140="","",A140&amp;"_1.jpg")</f>
        <v/>
      </c>
      <c r="J140" s="84" t="str">
        <f aca="false">IF(E140="","",A140&amp;"_2.jpg; "&amp;A140&amp;"_3.jpg")</f>
        <v/>
      </c>
      <c r="K140" s="84" t="str">
        <f aca="false">IF(E140="","",A140&amp;"_schema.jpg")</f>
        <v/>
      </c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 t="s">
        <v>96</v>
      </c>
      <c r="W140" s="81"/>
      <c r="X140" s="81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6" t="str">
        <f aca="false">IF(SUM(Y140:AJ140)=0,"",SUM(Y140:AJ140))</f>
        <v/>
      </c>
      <c r="AL140" s="84" t="str">
        <f aca="false">MID(IF(N(Y140)&gt;0,", "&amp;Y$2,"")&amp;IF(N(Z140)&gt;0,", "&amp;Z$2,"")&amp;IF(N(AA140)&gt;0,", "&amp;AA$2,"")&amp;IF(N(AB140)&gt;0,", "&amp;AB$2,"")&amp;IF(N(AC140)&gt;0,", "&amp;AC$2,"")&amp;IF(N(AD140)&gt;0,", "&amp;AD$2,"")&amp;IF(N(AE140)&gt;0,", "&amp;AE$2,"")&amp;IF(N(AF140)&gt;0,", "&amp;AF$2,"")&amp;IF(N(AG140)&gt;0,", "&amp;AG$2,"")&amp;IF(N(AH140)&gt;0,", "&amp;AH$2,"")&amp;IF(N(AI140)&gt;0,", "&amp;AI$2,"")&amp;IF(N(AJ140)&gt;0,", "&amp;AJ$2,""),3,999)</f>
        <v/>
      </c>
      <c r="AM140" s="87" t="str">
        <f aca="false">IF(E140="","",MID(IF(N(Y140)&gt;0,", "&amp;A140&amp;"-"&amp;Y$2,"")&amp;IF(N(Z140)&gt;0,", "&amp;A140&amp;"-"&amp;Z$2,"")&amp;IF(N(AA140)&gt;0,", "&amp;A140&amp;"-"&amp;AA$2,"")&amp;IF(N(AB140)&gt;0,", "&amp;A140&amp;"-"&amp;AB$2,"")&amp;IF(N(AC140)&gt;0,", "&amp;A140&amp;"-"&amp;AC$2,"")&amp;IF(N(AD140)&gt;0,", "&amp;A140&amp;"-"&amp;AD$2,"")&amp;IF(N(AE140)&gt;0,", "&amp;A140&amp;"-"&amp;AE$2,"")&amp;IF(N(AF140)&gt;0,", "&amp;A140&amp;"-"&amp;AF$2,"")&amp;IF(N(AG140)&gt;0,", "&amp;A140&amp;"-"&amp;AG$2,"")&amp;IF(N(AH140)&gt;0,", "&amp;A140&amp;"-"&amp;AH$2,"")&amp;IF(N(AI140)&gt;0,", "&amp;A140&amp;"-"&amp;AI$2,"")&amp;IF(N(AJ140)&gt;0,", "&amp;A140&amp;"-"&amp;AJ$2,""),3,999))</f>
        <v/>
      </c>
      <c r="AN140" s="81"/>
      <c r="AO140" s="88"/>
      <c r="AP140" s="89" t="str">
        <f aca="false">IF(AO140="","",ROUND(AO140/(1+Справочники!$B$13),2))</f>
        <v/>
      </c>
      <c r="AQ140" s="90" t="str">
        <f aca="false" t="array" ref="AQ140:AQ140">IF(AP140="","",AP140*INDEX(Справочники!$B$4:$B$7,MATCH("RUB",Справочники!$A$4:$A$7,0)))</f>
        <v/>
      </c>
      <c r="AR140" s="90" t="str">
        <f aca="false">IF(AQ140="","",ROUND(AQ140*(1+Справочники!$B$12),0))</f>
        <v/>
      </c>
      <c r="AS140" s="90" t="str">
        <f aca="false">IF(AR140="","",ROUND(AR140*(1-Справочники!$B$11),0))</f>
        <v/>
      </c>
      <c r="AT140" s="88"/>
      <c r="AU140" s="90" t="str">
        <f aca="false">IF(AT140="","",ROUND(AT140/(1+Справочники!$B$12),0))</f>
        <v/>
      </c>
      <c r="AV140" s="90" t="str">
        <f aca="false">IF(AT140="","",ROUND(AT140*(1-Справочники!$B$15),0))</f>
        <v/>
      </c>
      <c r="AW140" s="90" t="str">
        <f aca="false">IF(AT140="","",ROUND(AT140*(1-Справочники!$B$16),0))</f>
        <v/>
      </c>
      <c r="AX140" s="90" t="str">
        <f aca="false">IF(AT140="","",ROUND(AT140*(1-Справочники!$B$17),0))</f>
        <v/>
      </c>
      <c r="AY140" s="90" t="str">
        <f aca="false">IF(AT140="","",ROUND(AT140*(1-Справочники!$B$18),0))</f>
        <v/>
      </c>
      <c r="AZ140" s="90" t="str">
        <f aca="false">IF(AT140="","",ROUND(AT140*(1-Справочники!$B$19),0))</f>
        <v/>
      </c>
      <c r="BA140" s="81"/>
      <c r="BB140" s="81"/>
      <c r="BC140" s="81"/>
      <c r="BD140" s="81"/>
      <c r="BE140" s="91"/>
      <c r="BF140" s="81" t="s">
        <v>103</v>
      </c>
      <c r="BG140" s="89" t="n">
        <f aca="false" t="array" ref="BG140:BG140">IF(BF140="","",IFERROR(INDEX(Справочники!$B$4:$B$7,MATCH(BF140,Справочники!$A$4:$A$7,0)),""))</f>
        <v>68.5</v>
      </c>
      <c r="BH140" s="90" t="str">
        <f aca="false">IF(N(BN140)&gt;0,ROUND(SUMIF(ЗАКАЗЫ!$F$3:$F$500,$A140,ЗАКАЗЫ!$Y$3:$Y$500)/BN140,0),IF(OR(BE140="",BG140=""),"",ROUND(BE140*BG140*(1+Справочники!$B$10),0)))</f>
        <v/>
      </c>
      <c r="BI140" s="92" t="str">
        <f aca="false">IF(OR(AU140="",BH140="",AU140=0),"",(AU140-BH140)/AU140)</f>
        <v/>
      </c>
      <c r="BJ140" s="81"/>
      <c r="BK140" s="83"/>
      <c r="BL140" s="43" t="str">
        <f aca="false">IFERROR(INDEX(ЗАКАЗЫ!$N$3:$N$500,MATCH($A140,ЗАКАЗЫ!$F$3:$F$500,0)),"")</f>
        <v/>
      </c>
      <c r="BM140" s="8" t="str">
        <f aca="false">IF(BL140="","",IFERROR(VLOOKUP(BL140,'ТН ВЭД'!$A$4:$C$40,3,0),""))</f>
        <v/>
      </c>
      <c r="BN140" s="7" t="str">
        <f aca="false">IF(COUNTIF(ЗАКАЗЫ!$F$3:$F$500,$A140)=0,"",SUMIF(ЗАКАЗЫ!$F$3:$F$500,$A140,ЗАКАЗЫ!$J$3:$J$500))</f>
        <v/>
      </c>
      <c r="BO140" s="7" t="str">
        <f aca="false">IF(BN140="","",SUMIF(ЗАКАЗЫ!$F$3:$F$500,$A140,ЗАКАЗЫ!$AL$3:$AL$500))</f>
        <v/>
      </c>
      <c r="BP140" s="7" t="str">
        <f aca="false">IF(BN140="","",BN140-BO140)</f>
        <v/>
      </c>
      <c r="BQ140" s="55" t="str">
        <f aca="false">IF(BN140="","",IF(BO140&gt;=BN140,"На складе",IF(BO140&gt;0,"Частично","Ждём")))</f>
        <v/>
      </c>
      <c r="BR140" s="43"/>
      <c r="BS140" s="47" t="str">
        <f aca="false">IF(BN140="","",IF(_xlfn.MAXIFS(ЗАКАЗЫ!$AK$3:$AK$500,ЗАКАЗЫ!$F$3:$F$500,$A140)=0,"",_xlfn.MAXIFS(ЗАКАЗЫ!$AK$3:$AK$500,ЗАКАЗЫ!$F$3:$F$500,$A140)))</f>
        <v/>
      </c>
    </row>
    <row r="141" customFormat="false" ht="15.75" hidden="false" customHeight="true" outlineLevel="0" collapsed="false">
      <c r="A141" s="80" t="s">
        <v>2681</v>
      </c>
      <c r="B141" s="81"/>
      <c r="C141" s="81"/>
      <c r="D141" s="81"/>
      <c r="E141" s="83"/>
      <c r="F141" s="81"/>
      <c r="G141" s="83"/>
      <c r="H141" s="83"/>
      <c r="I141" s="84" t="str">
        <f aca="false">IF(E141="","",A141&amp;"_1.jpg")</f>
        <v/>
      </c>
      <c r="J141" s="84" t="str">
        <f aca="false">IF(E141="","",A141&amp;"_2.jpg; "&amp;A141&amp;"_3.jpg")</f>
        <v/>
      </c>
      <c r="K141" s="84" t="str">
        <f aca="false">IF(E141="","",A141&amp;"_schema.jpg")</f>
        <v/>
      </c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 t="s">
        <v>96</v>
      </c>
      <c r="W141" s="81"/>
      <c r="X141" s="81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6" t="str">
        <f aca="false">IF(SUM(Y141:AJ141)=0,"",SUM(Y141:AJ141))</f>
        <v/>
      </c>
      <c r="AL141" s="84" t="str">
        <f aca="false">MID(IF(N(Y141)&gt;0,", "&amp;Y$2,"")&amp;IF(N(Z141)&gt;0,", "&amp;Z$2,"")&amp;IF(N(AA141)&gt;0,", "&amp;AA$2,"")&amp;IF(N(AB141)&gt;0,", "&amp;AB$2,"")&amp;IF(N(AC141)&gt;0,", "&amp;AC$2,"")&amp;IF(N(AD141)&gt;0,", "&amp;AD$2,"")&amp;IF(N(AE141)&gt;0,", "&amp;AE$2,"")&amp;IF(N(AF141)&gt;0,", "&amp;AF$2,"")&amp;IF(N(AG141)&gt;0,", "&amp;AG$2,"")&amp;IF(N(AH141)&gt;0,", "&amp;AH$2,"")&amp;IF(N(AI141)&gt;0,", "&amp;AI$2,"")&amp;IF(N(AJ141)&gt;0,", "&amp;AJ$2,""),3,999)</f>
        <v/>
      </c>
      <c r="AM141" s="87" t="str">
        <f aca="false">IF(E141="","",MID(IF(N(Y141)&gt;0,", "&amp;A141&amp;"-"&amp;Y$2,"")&amp;IF(N(Z141)&gt;0,", "&amp;A141&amp;"-"&amp;Z$2,"")&amp;IF(N(AA141)&gt;0,", "&amp;A141&amp;"-"&amp;AA$2,"")&amp;IF(N(AB141)&gt;0,", "&amp;A141&amp;"-"&amp;AB$2,"")&amp;IF(N(AC141)&gt;0,", "&amp;A141&amp;"-"&amp;AC$2,"")&amp;IF(N(AD141)&gt;0,", "&amp;A141&amp;"-"&amp;AD$2,"")&amp;IF(N(AE141)&gt;0,", "&amp;A141&amp;"-"&amp;AE$2,"")&amp;IF(N(AF141)&gt;0,", "&amp;A141&amp;"-"&amp;AF$2,"")&amp;IF(N(AG141)&gt;0,", "&amp;A141&amp;"-"&amp;AG$2,"")&amp;IF(N(AH141)&gt;0,", "&amp;A141&amp;"-"&amp;AH$2,"")&amp;IF(N(AI141)&gt;0,", "&amp;A141&amp;"-"&amp;AI$2,"")&amp;IF(N(AJ141)&gt;0,", "&amp;A141&amp;"-"&amp;AJ$2,""),3,999))</f>
        <v/>
      </c>
      <c r="AN141" s="81"/>
      <c r="AO141" s="88"/>
      <c r="AP141" s="89" t="str">
        <f aca="false">IF(AO141="","",ROUND(AO141/(1+Справочники!$B$13),2))</f>
        <v/>
      </c>
      <c r="AQ141" s="90" t="str">
        <f aca="false" t="array" ref="AQ141:AQ141">IF(AP141="","",AP141*INDEX(Справочники!$B$4:$B$7,MATCH("RUB",Справочники!$A$4:$A$7,0)))</f>
        <v/>
      </c>
      <c r="AR141" s="90" t="str">
        <f aca="false">IF(AQ141="","",ROUND(AQ141*(1+Справочники!$B$12),0))</f>
        <v/>
      </c>
      <c r="AS141" s="90" t="str">
        <f aca="false">IF(AR141="","",ROUND(AR141*(1-Справочники!$B$11),0))</f>
        <v/>
      </c>
      <c r="AT141" s="88"/>
      <c r="AU141" s="90" t="str">
        <f aca="false">IF(AT141="","",ROUND(AT141/(1+Справочники!$B$12),0))</f>
        <v/>
      </c>
      <c r="AV141" s="90" t="str">
        <f aca="false">IF(AT141="","",ROUND(AT141*(1-Справочники!$B$15),0))</f>
        <v/>
      </c>
      <c r="AW141" s="90" t="str">
        <f aca="false">IF(AT141="","",ROUND(AT141*(1-Справочники!$B$16),0))</f>
        <v/>
      </c>
      <c r="AX141" s="90" t="str">
        <f aca="false">IF(AT141="","",ROUND(AT141*(1-Справочники!$B$17),0))</f>
        <v/>
      </c>
      <c r="AY141" s="90" t="str">
        <f aca="false">IF(AT141="","",ROUND(AT141*(1-Справочники!$B$18),0))</f>
        <v/>
      </c>
      <c r="AZ141" s="90" t="str">
        <f aca="false">IF(AT141="","",ROUND(AT141*(1-Справочники!$B$19),0))</f>
        <v/>
      </c>
      <c r="BA141" s="81"/>
      <c r="BB141" s="81"/>
      <c r="BC141" s="81"/>
      <c r="BD141" s="81"/>
      <c r="BE141" s="91"/>
      <c r="BF141" s="81" t="s">
        <v>103</v>
      </c>
      <c r="BG141" s="89" t="n">
        <f aca="false" t="array" ref="BG141:BG141">IF(BF141="","",IFERROR(INDEX(Справочники!$B$4:$B$7,MATCH(BF141,Справочники!$A$4:$A$7,0)),""))</f>
        <v>68.5</v>
      </c>
      <c r="BH141" s="90" t="str">
        <f aca="false">IF(N(BN141)&gt;0,ROUND(SUMIF(ЗАКАЗЫ!$F$3:$F$500,$A141,ЗАКАЗЫ!$Y$3:$Y$500)/BN141,0),IF(OR(BE141="",BG141=""),"",ROUND(BE141*BG141*(1+Справочники!$B$10),0)))</f>
        <v/>
      </c>
      <c r="BI141" s="92" t="str">
        <f aca="false">IF(OR(AU141="",BH141="",AU141=0),"",(AU141-BH141)/AU141)</f>
        <v/>
      </c>
      <c r="BJ141" s="81"/>
      <c r="BK141" s="83"/>
      <c r="BL141" s="43" t="str">
        <f aca="false">IFERROR(INDEX(ЗАКАЗЫ!$N$3:$N$500,MATCH($A141,ЗАКАЗЫ!$F$3:$F$500,0)),"")</f>
        <v/>
      </c>
      <c r="BM141" s="8" t="str">
        <f aca="false">IF(BL141="","",IFERROR(VLOOKUP(BL141,'ТН ВЭД'!$A$4:$C$40,3,0),""))</f>
        <v/>
      </c>
      <c r="BN141" s="7" t="str">
        <f aca="false">IF(COUNTIF(ЗАКАЗЫ!$F$3:$F$500,$A141)=0,"",SUMIF(ЗАКАЗЫ!$F$3:$F$500,$A141,ЗАКАЗЫ!$J$3:$J$500))</f>
        <v/>
      </c>
      <c r="BO141" s="7" t="str">
        <f aca="false">IF(BN141="","",SUMIF(ЗАКАЗЫ!$F$3:$F$500,$A141,ЗАКАЗЫ!$AL$3:$AL$500))</f>
        <v/>
      </c>
      <c r="BP141" s="7" t="str">
        <f aca="false">IF(BN141="","",BN141-BO141)</f>
        <v/>
      </c>
      <c r="BQ141" s="55" t="str">
        <f aca="false">IF(BN141="","",IF(BO141&gt;=BN141,"На складе",IF(BO141&gt;0,"Частично","Ждём")))</f>
        <v/>
      </c>
      <c r="BR141" s="43"/>
      <c r="BS141" s="47" t="str">
        <f aca="false">IF(BN141="","",IF(_xlfn.MAXIFS(ЗАКАЗЫ!$AK$3:$AK$500,ЗАКАЗЫ!$F$3:$F$500,$A141)=0,"",_xlfn.MAXIFS(ЗАКАЗЫ!$AK$3:$AK$500,ЗАКАЗЫ!$F$3:$F$500,$A141)))</f>
        <v/>
      </c>
    </row>
    <row r="142" customFormat="false" ht="15.75" hidden="false" customHeight="true" outlineLevel="0" collapsed="false">
      <c r="A142" s="80" t="s">
        <v>2682</v>
      </c>
      <c r="B142" s="81"/>
      <c r="C142" s="81"/>
      <c r="D142" s="81"/>
      <c r="E142" s="83"/>
      <c r="F142" s="81"/>
      <c r="G142" s="83"/>
      <c r="H142" s="83"/>
      <c r="I142" s="84" t="str">
        <f aca="false">IF(E142="","",A142&amp;"_1.jpg")</f>
        <v/>
      </c>
      <c r="J142" s="84" t="str">
        <f aca="false">IF(E142="","",A142&amp;"_2.jpg; "&amp;A142&amp;"_3.jpg")</f>
        <v/>
      </c>
      <c r="K142" s="84" t="str">
        <f aca="false">IF(E142="","",A142&amp;"_schema.jpg")</f>
        <v/>
      </c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 t="s">
        <v>96</v>
      </c>
      <c r="W142" s="81"/>
      <c r="X142" s="81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6" t="str">
        <f aca="false">IF(SUM(Y142:AJ142)=0,"",SUM(Y142:AJ142))</f>
        <v/>
      </c>
      <c r="AL142" s="84" t="str">
        <f aca="false">MID(IF(N(Y142)&gt;0,", "&amp;Y$2,"")&amp;IF(N(Z142)&gt;0,", "&amp;Z$2,"")&amp;IF(N(AA142)&gt;0,", "&amp;AA$2,"")&amp;IF(N(AB142)&gt;0,", "&amp;AB$2,"")&amp;IF(N(AC142)&gt;0,", "&amp;AC$2,"")&amp;IF(N(AD142)&gt;0,", "&amp;AD$2,"")&amp;IF(N(AE142)&gt;0,", "&amp;AE$2,"")&amp;IF(N(AF142)&gt;0,", "&amp;AF$2,"")&amp;IF(N(AG142)&gt;0,", "&amp;AG$2,"")&amp;IF(N(AH142)&gt;0,", "&amp;AH$2,"")&amp;IF(N(AI142)&gt;0,", "&amp;AI$2,"")&amp;IF(N(AJ142)&gt;0,", "&amp;AJ$2,""),3,999)</f>
        <v/>
      </c>
      <c r="AM142" s="87" t="str">
        <f aca="false">IF(E142="","",MID(IF(N(Y142)&gt;0,", "&amp;A142&amp;"-"&amp;Y$2,"")&amp;IF(N(Z142)&gt;0,", "&amp;A142&amp;"-"&amp;Z$2,"")&amp;IF(N(AA142)&gt;0,", "&amp;A142&amp;"-"&amp;AA$2,"")&amp;IF(N(AB142)&gt;0,", "&amp;A142&amp;"-"&amp;AB$2,"")&amp;IF(N(AC142)&gt;0,", "&amp;A142&amp;"-"&amp;AC$2,"")&amp;IF(N(AD142)&gt;0,", "&amp;A142&amp;"-"&amp;AD$2,"")&amp;IF(N(AE142)&gt;0,", "&amp;A142&amp;"-"&amp;AE$2,"")&amp;IF(N(AF142)&gt;0,", "&amp;A142&amp;"-"&amp;AF$2,"")&amp;IF(N(AG142)&gt;0,", "&amp;A142&amp;"-"&amp;AG$2,"")&amp;IF(N(AH142)&gt;0,", "&amp;A142&amp;"-"&amp;AH$2,"")&amp;IF(N(AI142)&gt;0,", "&amp;A142&amp;"-"&amp;AI$2,"")&amp;IF(N(AJ142)&gt;0,", "&amp;A142&amp;"-"&amp;AJ$2,""),3,999))</f>
        <v/>
      </c>
      <c r="AN142" s="81"/>
      <c r="AO142" s="88"/>
      <c r="AP142" s="89" t="str">
        <f aca="false">IF(AO142="","",ROUND(AO142/(1+Справочники!$B$13),2))</f>
        <v/>
      </c>
      <c r="AQ142" s="90" t="str">
        <f aca="false" t="array" ref="AQ142:AQ142">IF(AP142="","",AP142*INDEX(Справочники!$B$4:$B$7,MATCH("RUB",Справочники!$A$4:$A$7,0)))</f>
        <v/>
      </c>
      <c r="AR142" s="90" t="str">
        <f aca="false">IF(AQ142="","",ROUND(AQ142*(1+Справочники!$B$12),0))</f>
        <v/>
      </c>
      <c r="AS142" s="90" t="str">
        <f aca="false">IF(AR142="","",ROUND(AR142*(1-Справочники!$B$11),0))</f>
        <v/>
      </c>
      <c r="AT142" s="88"/>
      <c r="AU142" s="90" t="str">
        <f aca="false">IF(AT142="","",ROUND(AT142/(1+Справочники!$B$12),0))</f>
        <v/>
      </c>
      <c r="AV142" s="90" t="str">
        <f aca="false">IF(AT142="","",ROUND(AT142*(1-Справочники!$B$15),0))</f>
        <v/>
      </c>
      <c r="AW142" s="90" t="str">
        <f aca="false">IF(AT142="","",ROUND(AT142*(1-Справочники!$B$16),0))</f>
        <v/>
      </c>
      <c r="AX142" s="90" t="str">
        <f aca="false">IF(AT142="","",ROUND(AT142*(1-Справочники!$B$17),0))</f>
        <v/>
      </c>
      <c r="AY142" s="90" t="str">
        <f aca="false">IF(AT142="","",ROUND(AT142*(1-Справочники!$B$18),0))</f>
        <v/>
      </c>
      <c r="AZ142" s="90" t="str">
        <f aca="false">IF(AT142="","",ROUND(AT142*(1-Справочники!$B$19),0))</f>
        <v/>
      </c>
      <c r="BA142" s="81"/>
      <c r="BB142" s="81"/>
      <c r="BC142" s="81"/>
      <c r="BD142" s="81"/>
      <c r="BE142" s="91"/>
      <c r="BF142" s="81" t="s">
        <v>103</v>
      </c>
      <c r="BG142" s="89" t="n">
        <f aca="false" t="array" ref="BG142:BG142">IF(BF142="","",IFERROR(INDEX(Справочники!$B$4:$B$7,MATCH(BF142,Справочники!$A$4:$A$7,0)),""))</f>
        <v>68.5</v>
      </c>
      <c r="BH142" s="90" t="str">
        <f aca="false">IF(N(BN142)&gt;0,ROUND(SUMIF(ЗАКАЗЫ!$F$3:$F$500,$A142,ЗАКАЗЫ!$Y$3:$Y$500)/BN142,0),IF(OR(BE142="",BG142=""),"",ROUND(BE142*BG142*(1+Справочники!$B$10),0)))</f>
        <v/>
      </c>
      <c r="BI142" s="92" t="str">
        <f aca="false">IF(OR(AU142="",BH142="",AU142=0),"",(AU142-BH142)/AU142)</f>
        <v/>
      </c>
      <c r="BJ142" s="81"/>
      <c r="BK142" s="83"/>
      <c r="BL142" s="43" t="str">
        <f aca="false">IFERROR(INDEX(ЗАКАЗЫ!$N$3:$N$500,MATCH($A142,ЗАКАЗЫ!$F$3:$F$500,0)),"")</f>
        <v/>
      </c>
      <c r="BM142" s="8" t="str">
        <f aca="false">IF(BL142="","",IFERROR(VLOOKUP(BL142,'ТН ВЭД'!$A$4:$C$40,3,0),""))</f>
        <v/>
      </c>
      <c r="BN142" s="7" t="str">
        <f aca="false">IF(COUNTIF(ЗАКАЗЫ!$F$3:$F$500,$A142)=0,"",SUMIF(ЗАКАЗЫ!$F$3:$F$500,$A142,ЗАКАЗЫ!$J$3:$J$500))</f>
        <v/>
      </c>
      <c r="BO142" s="7" t="str">
        <f aca="false">IF(BN142="","",SUMIF(ЗАКАЗЫ!$F$3:$F$500,$A142,ЗАКАЗЫ!$AL$3:$AL$500))</f>
        <v/>
      </c>
      <c r="BP142" s="7" t="str">
        <f aca="false">IF(BN142="","",BN142-BO142)</f>
        <v/>
      </c>
      <c r="BQ142" s="55" t="str">
        <f aca="false">IF(BN142="","",IF(BO142&gt;=BN142,"На складе",IF(BO142&gt;0,"Частично","Ждём")))</f>
        <v/>
      </c>
      <c r="BR142" s="43"/>
      <c r="BS142" s="47" t="str">
        <f aca="false">IF(BN142="","",IF(_xlfn.MAXIFS(ЗАКАЗЫ!$AK$3:$AK$500,ЗАКАЗЫ!$F$3:$F$500,$A142)=0,"",_xlfn.MAXIFS(ЗАКАЗЫ!$AK$3:$AK$500,ЗАКАЗЫ!$F$3:$F$500,$A142)))</f>
        <v/>
      </c>
    </row>
    <row r="143" customFormat="false" ht="15.75" hidden="false" customHeight="true" outlineLevel="0" collapsed="false">
      <c r="A143" s="80" t="s">
        <v>2683</v>
      </c>
      <c r="B143" s="81"/>
      <c r="C143" s="81"/>
      <c r="D143" s="81"/>
      <c r="E143" s="83"/>
      <c r="F143" s="81"/>
      <c r="G143" s="83"/>
      <c r="H143" s="83"/>
      <c r="I143" s="84" t="str">
        <f aca="false">IF(E143="","",A143&amp;"_1.jpg")</f>
        <v/>
      </c>
      <c r="J143" s="84" t="str">
        <f aca="false">IF(E143="","",A143&amp;"_2.jpg; "&amp;A143&amp;"_3.jpg")</f>
        <v/>
      </c>
      <c r="K143" s="84" t="str">
        <f aca="false">IF(E143="","",A143&amp;"_schema.jpg")</f>
        <v/>
      </c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 t="s">
        <v>96</v>
      </c>
      <c r="W143" s="81"/>
      <c r="X143" s="81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6" t="str">
        <f aca="false">IF(SUM(Y143:AJ143)=0,"",SUM(Y143:AJ143))</f>
        <v/>
      </c>
      <c r="AL143" s="84" t="str">
        <f aca="false">MID(IF(N(Y143)&gt;0,", "&amp;Y$2,"")&amp;IF(N(Z143)&gt;0,", "&amp;Z$2,"")&amp;IF(N(AA143)&gt;0,", "&amp;AA$2,"")&amp;IF(N(AB143)&gt;0,", "&amp;AB$2,"")&amp;IF(N(AC143)&gt;0,", "&amp;AC$2,"")&amp;IF(N(AD143)&gt;0,", "&amp;AD$2,"")&amp;IF(N(AE143)&gt;0,", "&amp;AE$2,"")&amp;IF(N(AF143)&gt;0,", "&amp;AF$2,"")&amp;IF(N(AG143)&gt;0,", "&amp;AG$2,"")&amp;IF(N(AH143)&gt;0,", "&amp;AH$2,"")&amp;IF(N(AI143)&gt;0,", "&amp;AI$2,"")&amp;IF(N(AJ143)&gt;0,", "&amp;AJ$2,""),3,999)</f>
        <v/>
      </c>
      <c r="AM143" s="87" t="str">
        <f aca="false">IF(E143="","",MID(IF(N(Y143)&gt;0,", "&amp;A143&amp;"-"&amp;Y$2,"")&amp;IF(N(Z143)&gt;0,", "&amp;A143&amp;"-"&amp;Z$2,"")&amp;IF(N(AA143)&gt;0,", "&amp;A143&amp;"-"&amp;AA$2,"")&amp;IF(N(AB143)&gt;0,", "&amp;A143&amp;"-"&amp;AB$2,"")&amp;IF(N(AC143)&gt;0,", "&amp;A143&amp;"-"&amp;AC$2,"")&amp;IF(N(AD143)&gt;0,", "&amp;A143&amp;"-"&amp;AD$2,"")&amp;IF(N(AE143)&gt;0,", "&amp;A143&amp;"-"&amp;AE$2,"")&amp;IF(N(AF143)&gt;0,", "&amp;A143&amp;"-"&amp;AF$2,"")&amp;IF(N(AG143)&gt;0,", "&amp;A143&amp;"-"&amp;AG$2,"")&amp;IF(N(AH143)&gt;0,", "&amp;A143&amp;"-"&amp;AH$2,"")&amp;IF(N(AI143)&gt;0,", "&amp;A143&amp;"-"&amp;AI$2,"")&amp;IF(N(AJ143)&gt;0,", "&amp;A143&amp;"-"&amp;AJ$2,""),3,999))</f>
        <v/>
      </c>
      <c r="AN143" s="81"/>
      <c r="AO143" s="88"/>
      <c r="AP143" s="89" t="str">
        <f aca="false">IF(AO143="","",ROUND(AO143/(1+Справочники!$B$13),2))</f>
        <v/>
      </c>
      <c r="AQ143" s="90" t="str">
        <f aca="false" t="array" ref="AQ143:AQ143">IF(AP143="","",AP143*INDEX(Справочники!$B$4:$B$7,MATCH("RUB",Справочники!$A$4:$A$7,0)))</f>
        <v/>
      </c>
      <c r="AR143" s="90" t="str">
        <f aca="false">IF(AQ143="","",ROUND(AQ143*(1+Справочники!$B$12),0))</f>
        <v/>
      </c>
      <c r="AS143" s="90" t="str">
        <f aca="false">IF(AR143="","",ROUND(AR143*(1-Справочники!$B$11),0))</f>
        <v/>
      </c>
      <c r="AT143" s="88"/>
      <c r="AU143" s="90" t="str">
        <f aca="false">IF(AT143="","",ROUND(AT143/(1+Справочники!$B$12),0))</f>
        <v/>
      </c>
      <c r="AV143" s="90" t="str">
        <f aca="false">IF(AT143="","",ROUND(AT143*(1-Справочники!$B$15),0))</f>
        <v/>
      </c>
      <c r="AW143" s="90" t="str">
        <f aca="false">IF(AT143="","",ROUND(AT143*(1-Справочники!$B$16),0))</f>
        <v/>
      </c>
      <c r="AX143" s="90" t="str">
        <f aca="false">IF(AT143="","",ROUND(AT143*(1-Справочники!$B$17),0))</f>
        <v/>
      </c>
      <c r="AY143" s="90" t="str">
        <f aca="false">IF(AT143="","",ROUND(AT143*(1-Справочники!$B$18),0))</f>
        <v/>
      </c>
      <c r="AZ143" s="90" t="str">
        <f aca="false">IF(AT143="","",ROUND(AT143*(1-Справочники!$B$19),0))</f>
        <v/>
      </c>
      <c r="BA143" s="81"/>
      <c r="BB143" s="81"/>
      <c r="BC143" s="81"/>
      <c r="BD143" s="81"/>
      <c r="BE143" s="91"/>
      <c r="BF143" s="81" t="s">
        <v>103</v>
      </c>
      <c r="BG143" s="89" t="n">
        <f aca="false" t="array" ref="BG143:BG143">IF(BF143="","",IFERROR(INDEX(Справочники!$B$4:$B$7,MATCH(BF143,Справочники!$A$4:$A$7,0)),""))</f>
        <v>68.5</v>
      </c>
      <c r="BH143" s="90" t="str">
        <f aca="false">IF(N(BN143)&gt;0,ROUND(SUMIF(ЗАКАЗЫ!$F$3:$F$500,$A143,ЗАКАЗЫ!$Y$3:$Y$500)/BN143,0),IF(OR(BE143="",BG143=""),"",ROUND(BE143*BG143*(1+Справочники!$B$10),0)))</f>
        <v/>
      </c>
      <c r="BI143" s="92" t="str">
        <f aca="false">IF(OR(AU143="",BH143="",AU143=0),"",(AU143-BH143)/AU143)</f>
        <v/>
      </c>
      <c r="BJ143" s="81"/>
      <c r="BK143" s="83"/>
      <c r="BL143" s="43" t="str">
        <f aca="false">IFERROR(INDEX(ЗАКАЗЫ!$N$3:$N$500,MATCH($A143,ЗАКАЗЫ!$F$3:$F$500,0)),"")</f>
        <v/>
      </c>
      <c r="BM143" s="8" t="str">
        <f aca="false">IF(BL143="","",IFERROR(VLOOKUP(BL143,'ТН ВЭД'!$A$4:$C$40,3,0),""))</f>
        <v/>
      </c>
      <c r="BN143" s="7" t="str">
        <f aca="false">IF(COUNTIF(ЗАКАЗЫ!$F$3:$F$500,$A143)=0,"",SUMIF(ЗАКАЗЫ!$F$3:$F$500,$A143,ЗАКАЗЫ!$J$3:$J$500))</f>
        <v/>
      </c>
      <c r="BO143" s="7" t="str">
        <f aca="false">IF(BN143="","",SUMIF(ЗАКАЗЫ!$F$3:$F$500,$A143,ЗАКАЗЫ!$AL$3:$AL$500))</f>
        <v/>
      </c>
      <c r="BP143" s="7" t="str">
        <f aca="false">IF(BN143="","",BN143-BO143)</f>
        <v/>
      </c>
      <c r="BQ143" s="55" t="str">
        <f aca="false">IF(BN143="","",IF(BO143&gt;=BN143,"На складе",IF(BO143&gt;0,"Частично","Ждём")))</f>
        <v/>
      </c>
      <c r="BR143" s="43"/>
      <c r="BS143" s="47" t="str">
        <f aca="false">IF(BN143="","",IF(_xlfn.MAXIFS(ЗАКАЗЫ!$AK$3:$AK$500,ЗАКАЗЫ!$F$3:$F$500,$A143)=0,"",_xlfn.MAXIFS(ЗАКАЗЫ!$AK$3:$AK$500,ЗАКАЗЫ!$F$3:$F$500,$A143)))</f>
        <v/>
      </c>
    </row>
    <row r="144" customFormat="false" ht="15.75" hidden="false" customHeight="true" outlineLevel="0" collapsed="false">
      <c r="A144" s="80" t="s">
        <v>2684</v>
      </c>
      <c r="B144" s="81"/>
      <c r="C144" s="81"/>
      <c r="D144" s="81"/>
      <c r="E144" s="83"/>
      <c r="F144" s="81"/>
      <c r="G144" s="83"/>
      <c r="H144" s="83"/>
      <c r="I144" s="84" t="str">
        <f aca="false">IF(E144="","",A144&amp;"_1.jpg")</f>
        <v/>
      </c>
      <c r="J144" s="84" t="str">
        <f aca="false">IF(E144="","",A144&amp;"_2.jpg; "&amp;A144&amp;"_3.jpg")</f>
        <v/>
      </c>
      <c r="K144" s="84" t="str">
        <f aca="false">IF(E144="","",A144&amp;"_schema.jpg")</f>
        <v/>
      </c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 t="s">
        <v>96</v>
      </c>
      <c r="W144" s="81"/>
      <c r="X144" s="81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6" t="str">
        <f aca="false">IF(SUM(Y144:AJ144)=0,"",SUM(Y144:AJ144))</f>
        <v/>
      </c>
      <c r="AL144" s="84" t="str">
        <f aca="false">MID(IF(N(Y144)&gt;0,", "&amp;Y$2,"")&amp;IF(N(Z144)&gt;0,", "&amp;Z$2,"")&amp;IF(N(AA144)&gt;0,", "&amp;AA$2,"")&amp;IF(N(AB144)&gt;0,", "&amp;AB$2,"")&amp;IF(N(AC144)&gt;0,", "&amp;AC$2,"")&amp;IF(N(AD144)&gt;0,", "&amp;AD$2,"")&amp;IF(N(AE144)&gt;0,", "&amp;AE$2,"")&amp;IF(N(AF144)&gt;0,", "&amp;AF$2,"")&amp;IF(N(AG144)&gt;0,", "&amp;AG$2,"")&amp;IF(N(AH144)&gt;0,", "&amp;AH$2,"")&amp;IF(N(AI144)&gt;0,", "&amp;AI$2,"")&amp;IF(N(AJ144)&gt;0,", "&amp;AJ$2,""),3,999)</f>
        <v/>
      </c>
      <c r="AM144" s="87" t="str">
        <f aca="false">IF(E144="","",MID(IF(N(Y144)&gt;0,", "&amp;A144&amp;"-"&amp;Y$2,"")&amp;IF(N(Z144)&gt;0,", "&amp;A144&amp;"-"&amp;Z$2,"")&amp;IF(N(AA144)&gt;0,", "&amp;A144&amp;"-"&amp;AA$2,"")&amp;IF(N(AB144)&gt;0,", "&amp;A144&amp;"-"&amp;AB$2,"")&amp;IF(N(AC144)&gt;0,", "&amp;A144&amp;"-"&amp;AC$2,"")&amp;IF(N(AD144)&gt;0,", "&amp;A144&amp;"-"&amp;AD$2,"")&amp;IF(N(AE144)&gt;0,", "&amp;A144&amp;"-"&amp;AE$2,"")&amp;IF(N(AF144)&gt;0,", "&amp;A144&amp;"-"&amp;AF$2,"")&amp;IF(N(AG144)&gt;0,", "&amp;A144&amp;"-"&amp;AG$2,"")&amp;IF(N(AH144)&gt;0,", "&amp;A144&amp;"-"&amp;AH$2,"")&amp;IF(N(AI144)&gt;0,", "&amp;A144&amp;"-"&amp;AI$2,"")&amp;IF(N(AJ144)&gt;0,", "&amp;A144&amp;"-"&amp;AJ$2,""),3,999))</f>
        <v/>
      </c>
      <c r="AN144" s="81"/>
      <c r="AO144" s="88"/>
      <c r="AP144" s="89" t="str">
        <f aca="false">IF(AO144="","",ROUND(AO144/(1+Справочники!$B$13),2))</f>
        <v/>
      </c>
      <c r="AQ144" s="90" t="str">
        <f aca="false" t="array" ref="AQ144:AQ144">IF(AP144="","",AP144*INDEX(Справочники!$B$4:$B$7,MATCH("RUB",Справочники!$A$4:$A$7,0)))</f>
        <v/>
      </c>
      <c r="AR144" s="90" t="str">
        <f aca="false">IF(AQ144="","",ROUND(AQ144*(1+Справочники!$B$12),0))</f>
        <v/>
      </c>
      <c r="AS144" s="90" t="str">
        <f aca="false">IF(AR144="","",ROUND(AR144*(1-Справочники!$B$11),0))</f>
        <v/>
      </c>
      <c r="AT144" s="88"/>
      <c r="AU144" s="90" t="str">
        <f aca="false">IF(AT144="","",ROUND(AT144/(1+Справочники!$B$12),0))</f>
        <v/>
      </c>
      <c r="AV144" s="90" t="str">
        <f aca="false">IF(AT144="","",ROUND(AT144*(1-Справочники!$B$15),0))</f>
        <v/>
      </c>
      <c r="AW144" s="90" t="str">
        <f aca="false">IF(AT144="","",ROUND(AT144*(1-Справочники!$B$16),0))</f>
        <v/>
      </c>
      <c r="AX144" s="90" t="str">
        <f aca="false">IF(AT144="","",ROUND(AT144*(1-Справочники!$B$17),0))</f>
        <v/>
      </c>
      <c r="AY144" s="90" t="str">
        <f aca="false">IF(AT144="","",ROUND(AT144*(1-Справочники!$B$18),0))</f>
        <v/>
      </c>
      <c r="AZ144" s="90" t="str">
        <f aca="false">IF(AT144="","",ROUND(AT144*(1-Справочники!$B$19),0))</f>
        <v/>
      </c>
      <c r="BA144" s="81"/>
      <c r="BB144" s="81"/>
      <c r="BC144" s="81"/>
      <c r="BD144" s="81"/>
      <c r="BE144" s="91"/>
      <c r="BF144" s="81" t="s">
        <v>103</v>
      </c>
      <c r="BG144" s="89" t="n">
        <f aca="false" t="array" ref="BG144:BG144">IF(BF144="","",IFERROR(INDEX(Справочники!$B$4:$B$7,MATCH(BF144,Справочники!$A$4:$A$7,0)),""))</f>
        <v>68.5</v>
      </c>
      <c r="BH144" s="90" t="str">
        <f aca="false">IF(N(BN144)&gt;0,ROUND(SUMIF(ЗАКАЗЫ!$F$3:$F$500,$A144,ЗАКАЗЫ!$Y$3:$Y$500)/BN144,0),IF(OR(BE144="",BG144=""),"",ROUND(BE144*BG144*(1+Справочники!$B$10),0)))</f>
        <v/>
      </c>
      <c r="BI144" s="92" t="str">
        <f aca="false">IF(OR(AU144="",BH144="",AU144=0),"",(AU144-BH144)/AU144)</f>
        <v/>
      </c>
      <c r="BJ144" s="81"/>
      <c r="BK144" s="83"/>
      <c r="BL144" s="43" t="str">
        <f aca="false">IFERROR(INDEX(ЗАКАЗЫ!$N$3:$N$500,MATCH($A144,ЗАКАЗЫ!$F$3:$F$500,0)),"")</f>
        <v/>
      </c>
      <c r="BM144" s="8" t="str">
        <f aca="false">IF(BL144="","",IFERROR(VLOOKUP(BL144,'ТН ВЭД'!$A$4:$C$40,3,0),""))</f>
        <v/>
      </c>
      <c r="BN144" s="7" t="str">
        <f aca="false">IF(COUNTIF(ЗАКАЗЫ!$F$3:$F$500,$A144)=0,"",SUMIF(ЗАКАЗЫ!$F$3:$F$500,$A144,ЗАКАЗЫ!$J$3:$J$500))</f>
        <v/>
      </c>
      <c r="BO144" s="7" t="str">
        <f aca="false">IF(BN144="","",SUMIF(ЗАКАЗЫ!$F$3:$F$500,$A144,ЗАКАЗЫ!$AL$3:$AL$500))</f>
        <v/>
      </c>
      <c r="BP144" s="7" t="str">
        <f aca="false">IF(BN144="","",BN144-BO144)</f>
        <v/>
      </c>
      <c r="BQ144" s="55" t="str">
        <f aca="false">IF(BN144="","",IF(BO144&gt;=BN144,"На складе",IF(BO144&gt;0,"Частично","Ждём")))</f>
        <v/>
      </c>
      <c r="BR144" s="43"/>
      <c r="BS144" s="47" t="str">
        <f aca="false">IF(BN144="","",IF(_xlfn.MAXIFS(ЗАКАЗЫ!$AK$3:$AK$500,ЗАКАЗЫ!$F$3:$F$500,$A144)=0,"",_xlfn.MAXIFS(ЗАКАЗЫ!$AK$3:$AK$500,ЗАКАЗЫ!$F$3:$F$500,$A144)))</f>
        <v/>
      </c>
    </row>
    <row r="145" customFormat="false" ht="15.75" hidden="false" customHeight="true" outlineLevel="0" collapsed="false">
      <c r="A145" s="80" t="s">
        <v>2685</v>
      </c>
      <c r="B145" s="81"/>
      <c r="C145" s="81"/>
      <c r="D145" s="81"/>
      <c r="E145" s="83"/>
      <c r="F145" s="81"/>
      <c r="G145" s="83"/>
      <c r="H145" s="83"/>
      <c r="I145" s="84" t="str">
        <f aca="false">IF(E145="","",A145&amp;"_1.jpg")</f>
        <v/>
      </c>
      <c r="J145" s="84" t="str">
        <f aca="false">IF(E145="","",A145&amp;"_2.jpg; "&amp;A145&amp;"_3.jpg")</f>
        <v/>
      </c>
      <c r="K145" s="84" t="str">
        <f aca="false">IF(E145="","",A145&amp;"_schema.jpg")</f>
        <v/>
      </c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 t="s">
        <v>96</v>
      </c>
      <c r="W145" s="81"/>
      <c r="X145" s="81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6" t="str">
        <f aca="false">IF(SUM(Y145:AJ145)=0,"",SUM(Y145:AJ145))</f>
        <v/>
      </c>
      <c r="AL145" s="84" t="str">
        <f aca="false">MID(IF(N(Y145)&gt;0,", "&amp;Y$2,"")&amp;IF(N(Z145)&gt;0,", "&amp;Z$2,"")&amp;IF(N(AA145)&gt;0,", "&amp;AA$2,"")&amp;IF(N(AB145)&gt;0,", "&amp;AB$2,"")&amp;IF(N(AC145)&gt;0,", "&amp;AC$2,"")&amp;IF(N(AD145)&gt;0,", "&amp;AD$2,"")&amp;IF(N(AE145)&gt;0,", "&amp;AE$2,"")&amp;IF(N(AF145)&gt;0,", "&amp;AF$2,"")&amp;IF(N(AG145)&gt;0,", "&amp;AG$2,"")&amp;IF(N(AH145)&gt;0,", "&amp;AH$2,"")&amp;IF(N(AI145)&gt;0,", "&amp;AI$2,"")&amp;IF(N(AJ145)&gt;0,", "&amp;AJ$2,""),3,999)</f>
        <v/>
      </c>
      <c r="AM145" s="87" t="str">
        <f aca="false">IF(E145="","",MID(IF(N(Y145)&gt;0,", "&amp;A145&amp;"-"&amp;Y$2,"")&amp;IF(N(Z145)&gt;0,", "&amp;A145&amp;"-"&amp;Z$2,"")&amp;IF(N(AA145)&gt;0,", "&amp;A145&amp;"-"&amp;AA$2,"")&amp;IF(N(AB145)&gt;0,", "&amp;A145&amp;"-"&amp;AB$2,"")&amp;IF(N(AC145)&gt;0,", "&amp;A145&amp;"-"&amp;AC$2,"")&amp;IF(N(AD145)&gt;0,", "&amp;A145&amp;"-"&amp;AD$2,"")&amp;IF(N(AE145)&gt;0,", "&amp;A145&amp;"-"&amp;AE$2,"")&amp;IF(N(AF145)&gt;0,", "&amp;A145&amp;"-"&amp;AF$2,"")&amp;IF(N(AG145)&gt;0,", "&amp;A145&amp;"-"&amp;AG$2,"")&amp;IF(N(AH145)&gt;0,", "&amp;A145&amp;"-"&amp;AH$2,"")&amp;IF(N(AI145)&gt;0,", "&amp;A145&amp;"-"&amp;AI$2,"")&amp;IF(N(AJ145)&gt;0,", "&amp;A145&amp;"-"&amp;AJ$2,""),3,999))</f>
        <v/>
      </c>
      <c r="AN145" s="81"/>
      <c r="AO145" s="88"/>
      <c r="AP145" s="89" t="str">
        <f aca="false">IF(AO145="","",ROUND(AO145/(1+Справочники!$B$13),2))</f>
        <v/>
      </c>
      <c r="AQ145" s="90" t="str">
        <f aca="false" t="array" ref="AQ145:AQ145">IF(AP145="","",AP145*INDEX(Справочники!$B$4:$B$7,MATCH("RUB",Справочники!$A$4:$A$7,0)))</f>
        <v/>
      </c>
      <c r="AR145" s="90" t="str">
        <f aca="false">IF(AQ145="","",ROUND(AQ145*(1+Справочники!$B$12),0))</f>
        <v/>
      </c>
      <c r="AS145" s="90" t="str">
        <f aca="false">IF(AR145="","",ROUND(AR145*(1-Справочники!$B$11),0))</f>
        <v/>
      </c>
      <c r="AT145" s="88"/>
      <c r="AU145" s="90" t="str">
        <f aca="false">IF(AT145="","",ROUND(AT145/(1+Справочники!$B$12),0))</f>
        <v/>
      </c>
      <c r="AV145" s="90" t="str">
        <f aca="false">IF(AT145="","",ROUND(AT145*(1-Справочники!$B$15),0))</f>
        <v/>
      </c>
      <c r="AW145" s="90" t="str">
        <f aca="false">IF(AT145="","",ROUND(AT145*(1-Справочники!$B$16),0))</f>
        <v/>
      </c>
      <c r="AX145" s="90" t="str">
        <f aca="false">IF(AT145="","",ROUND(AT145*(1-Справочники!$B$17),0))</f>
        <v/>
      </c>
      <c r="AY145" s="90" t="str">
        <f aca="false">IF(AT145="","",ROUND(AT145*(1-Справочники!$B$18),0))</f>
        <v/>
      </c>
      <c r="AZ145" s="90" t="str">
        <f aca="false">IF(AT145="","",ROUND(AT145*(1-Справочники!$B$19),0))</f>
        <v/>
      </c>
      <c r="BA145" s="81"/>
      <c r="BB145" s="81"/>
      <c r="BC145" s="81"/>
      <c r="BD145" s="81"/>
      <c r="BE145" s="91"/>
      <c r="BF145" s="81" t="s">
        <v>103</v>
      </c>
      <c r="BG145" s="89" t="n">
        <f aca="false" t="array" ref="BG145:BG145">IF(BF145="","",IFERROR(INDEX(Справочники!$B$4:$B$7,MATCH(BF145,Справочники!$A$4:$A$7,0)),""))</f>
        <v>68.5</v>
      </c>
      <c r="BH145" s="90" t="str">
        <f aca="false">IF(N(BN145)&gt;0,ROUND(SUMIF(ЗАКАЗЫ!$F$3:$F$500,$A145,ЗАКАЗЫ!$Y$3:$Y$500)/BN145,0),IF(OR(BE145="",BG145=""),"",ROUND(BE145*BG145*(1+Справочники!$B$10),0)))</f>
        <v/>
      </c>
      <c r="BI145" s="92" t="str">
        <f aca="false">IF(OR(AU145="",BH145="",AU145=0),"",(AU145-BH145)/AU145)</f>
        <v/>
      </c>
      <c r="BJ145" s="81"/>
      <c r="BK145" s="83"/>
      <c r="BL145" s="43" t="str">
        <f aca="false">IFERROR(INDEX(ЗАКАЗЫ!$N$3:$N$500,MATCH($A145,ЗАКАЗЫ!$F$3:$F$500,0)),"")</f>
        <v/>
      </c>
      <c r="BM145" s="8" t="str">
        <f aca="false">IF(BL145="","",IFERROR(VLOOKUP(BL145,'ТН ВЭД'!$A$4:$C$40,3,0),""))</f>
        <v/>
      </c>
      <c r="BN145" s="7" t="str">
        <f aca="false">IF(COUNTIF(ЗАКАЗЫ!$F$3:$F$500,$A145)=0,"",SUMIF(ЗАКАЗЫ!$F$3:$F$500,$A145,ЗАКАЗЫ!$J$3:$J$500))</f>
        <v/>
      </c>
      <c r="BO145" s="7" t="str">
        <f aca="false">IF(BN145="","",SUMIF(ЗАКАЗЫ!$F$3:$F$500,$A145,ЗАКАЗЫ!$AL$3:$AL$500))</f>
        <v/>
      </c>
      <c r="BP145" s="7" t="str">
        <f aca="false">IF(BN145="","",BN145-BO145)</f>
        <v/>
      </c>
      <c r="BQ145" s="55" t="str">
        <f aca="false">IF(BN145="","",IF(BO145&gt;=BN145,"На складе",IF(BO145&gt;0,"Частично","Ждём")))</f>
        <v/>
      </c>
      <c r="BR145" s="43"/>
      <c r="BS145" s="47" t="str">
        <f aca="false">IF(BN145="","",IF(_xlfn.MAXIFS(ЗАКАЗЫ!$AK$3:$AK$500,ЗАКАЗЫ!$F$3:$F$500,$A145)=0,"",_xlfn.MAXIFS(ЗАКАЗЫ!$AK$3:$AK$500,ЗАКАЗЫ!$F$3:$F$500,$A145)))</f>
        <v/>
      </c>
    </row>
    <row r="146" customFormat="false" ht="15.75" hidden="false" customHeight="true" outlineLevel="0" collapsed="false">
      <c r="A146" s="80" t="s">
        <v>2686</v>
      </c>
      <c r="B146" s="81"/>
      <c r="C146" s="81"/>
      <c r="D146" s="81"/>
      <c r="E146" s="83"/>
      <c r="F146" s="81"/>
      <c r="G146" s="83"/>
      <c r="H146" s="83"/>
      <c r="I146" s="84" t="str">
        <f aca="false">IF(E146="","",A146&amp;"_1.jpg")</f>
        <v/>
      </c>
      <c r="J146" s="84" t="str">
        <f aca="false">IF(E146="","",A146&amp;"_2.jpg; "&amp;A146&amp;"_3.jpg")</f>
        <v/>
      </c>
      <c r="K146" s="84" t="str">
        <f aca="false">IF(E146="","",A146&amp;"_schema.jpg")</f>
        <v/>
      </c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 t="s">
        <v>96</v>
      </c>
      <c r="W146" s="81"/>
      <c r="X146" s="81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6" t="str">
        <f aca="false">IF(SUM(Y146:AJ146)=0,"",SUM(Y146:AJ146))</f>
        <v/>
      </c>
      <c r="AL146" s="84" t="str">
        <f aca="false">MID(IF(N(Y146)&gt;0,", "&amp;Y$2,"")&amp;IF(N(Z146)&gt;0,", "&amp;Z$2,"")&amp;IF(N(AA146)&gt;0,", "&amp;AA$2,"")&amp;IF(N(AB146)&gt;0,", "&amp;AB$2,"")&amp;IF(N(AC146)&gt;0,", "&amp;AC$2,"")&amp;IF(N(AD146)&gt;0,", "&amp;AD$2,"")&amp;IF(N(AE146)&gt;0,", "&amp;AE$2,"")&amp;IF(N(AF146)&gt;0,", "&amp;AF$2,"")&amp;IF(N(AG146)&gt;0,", "&amp;AG$2,"")&amp;IF(N(AH146)&gt;0,", "&amp;AH$2,"")&amp;IF(N(AI146)&gt;0,", "&amp;AI$2,"")&amp;IF(N(AJ146)&gt;0,", "&amp;AJ$2,""),3,999)</f>
        <v/>
      </c>
      <c r="AM146" s="87" t="str">
        <f aca="false">IF(E146="","",MID(IF(N(Y146)&gt;0,", "&amp;A146&amp;"-"&amp;Y$2,"")&amp;IF(N(Z146)&gt;0,", "&amp;A146&amp;"-"&amp;Z$2,"")&amp;IF(N(AA146)&gt;0,", "&amp;A146&amp;"-"&amp;AA$2,"")&amp;IF(N(AB146)&gt;0,", "&amp;A146&amp;"-"&amp;AB$2,"")&amp;IF(N(AC146)&gt;0,", "&amp;A146&amp;"-"&amp;AC$2,"")&amp;IF(N(AD146)&gt;0,", "&amp;A146&amp;"-"&amp;AD$2,"")&amp;IF(N(AE146)&gt;0,", "&amp;A146&amp;"-"&amp;AE$2,"")&amp;IF(N(AF146)&gt;0,", "&amp;A146&amp;"-"&amp;AF$2,"")&amp;IF(N(AG146)&gt;0,", "&amp;A146&amp;"-"&amp;AG$2,"")&amp;IF(N(AH146)&gt;0,", "&amp;A146&amp;"-"&amp;AH$2,"")&amp;IF(N(AI146)&gt;0,", "&amp;A146&amp;"-"&amp;AI$2,"")&amp;IF(N(AJ146)&gt;0,", "&amp;A146&amp;"-"&amp;AJ$2,""),3,999))</f>
        <v/>
      </c>
      <c r="AN146" s="81"/>
      <c r="AO146" s="88"/>
      <c r="AP146" s="89" t="str">
        <f aca="false">IF(AO146="","",ROUND(AO146/(1+Справочники!$B$13),2))</f>
        <v/>
      </c>
      <c r="AQ146" s="90" t="str">
        <f aca="false" t="array" ref="AQ146:AQ146">IF(AP146="","",AP146*INDEX(Справочники!$B$4:$B$7,MATCH("RUB",Справочники!$A$4:$A$7,0)))</f>
        <v/>
      </c>
      <c r="AR146" s="90" t="str">
        <f aca="false">IF(AQ146="","",ROUND(AQ146*(1+Справочники!$B$12),0))</f>
        <v/>
      </c>
      <c r="AS146" s="90" t="str">
        <f aca="false">IF(AR146="","",ROUND(AR146*(1-Справочники!$B$11),0))</f>
        <v/>
      </c>
      <c r="AT146" s="88"/>
      <c r="AU146" s="90" t="str">
        <f aca="false">IF(AT146="","",ROUND(AT146/(1+Справочники!$B$12),0))</f>
        <v/>
      </c>
      <c r="AV146" s="90" t="str">
        <f aca="false">IF(AT146="","",ROUND(AT146*(1-Справочники!$B$15),0))</f>
        <v/>
      </c>
      <c r="AW146" s="90" t="str">
        <f aca="false">IF(AT146="","",ROUND(AT146*(1-Справочники!$B$16),0))</f>
        <v/>
      </c>
      <c r="AX146" s="90" t="str">
        <f aca="false">IF(AT146="","",ROUND(AT146*(1-Справочники!$B$17),0))</f>
        <v/>
      </c>
      <c r="AY146" s="90" t="str">
        <f aca="false">IF(AT146="","",ROUND(AT146*(1-Справочники!$B$18),0))</f>
        <v/>
      </c>
      <c r="AZ146" s="90" t="str">
        <f aca="false">IF(AT146="","",ROUND(AT146*(1-Справочники!$B$19),0))</f>
        <v/>
      </c>
      <c r="BA146" s="81"/>
      <c r="BB146" s="81"/>
      <c r="BC146" s="81"/>
      <c r="BD146" s="81"/>
      <c r="BE146" s="91"/>
      <c r="BF146" s="81" t="s">
        <v>103</v>
      </c>
      <c r="BG146" s="89" t="n">
        <f aca="false" t="array" ref="BG146:BG146">IF(BF146="","",IFERROR(INDEX(Справочники!$B$4:$B$7,MATCH(BF146,Справочники!$A$4:$A$7,0)),""))</f>
        <v>68.5</v>
      </c>
      <c r="BH146" s="90" t="str">
        <f aca="false">IF(N(BN146)&gt;0,ROUND(SUMIF(ЗАКАЗЫ!$F$3:$F$500,$A146,ЗАКАЗЫ!$Y$3:$Y$500)/BN146,0),IF(OR(BE146="",BG146=""),"",ROUND(BE146*BG146*(1+Справочники!$B$10),0)))</f>
        <v/>
      </c>
      <c r="BI146" s="92" t="str">
        <f aca="false">IF(OR(AU146="",BH146="",AU146=0),"",(AU146-BH146)/AU146)</f>
        <v/>
      </c>
      <c r="BJ146" s="81"/>
      <c r="BK146" s="83"/>
      <c r="BL146" s="43" t="str">
        <f aca="false">IFERROR(INDEX(ЗАКАЗЫ!$N$3:$N$500,MATCH($A146,ЗАКАЗЫ!$F$3:$F$500,0)),"")</f>
        <v/>
      </c>
      <c r="BM146" s="8" t="str">
        <f aca="false">IF(BL146="","",IFERROR(VLOOKUP(BL146,'ТН ВЭД'!$A$4:$C$40,3,0),""))</f>
        <v/>
      </c>
      <c r="BN146" s="7" t="str">
        <f aca="false">IF(COUNTIF(ЗАКАЗЫ!$F$3:$F$500,$A146)=0,"",SUMIF(ЗАКАЗЫ!$F$3:$F$500,$A146,ЗАКАЗЫ!$J$3:$J$500))</f>
        <v/>
      </c>
      <c r="BO146" s="7" t="str">
        <f aca="false">IF(BN146="","",SUMIF(ЗАКАЗЫ!$F$3:$F$500,$A146,ЗАКАЗЫ!$AL$3:$AL$500))</f>
        <v/>
      </c>
      <c r="BP146" s="7" t="str">
        <f aca="false">IF(BN146="","",BN146-BO146)</f>
        <v/>
      </c>
      <c r="BQ146" s="55" t="str">
        <f aca="false">IF(BN146="","",IF(BO146&gt;=BN146,"На складе",IF(BO146&gt;0,"Частично","Ждём")))</f>
        <v/>
      </c>
      <c r="BR146" s="43"/>
      <c r="BS146" s="47" t="str">
        <f aca="false">IF(BN146="","",IF(_xlfn.MAXIFS(ЗАКАЗЫ!$AK$3:$AK$500,ЗАКАЗЫ!$F$3:$F$500,$A146)=0,"",_xlfn.MAXIFS(ЗАКАЗЫ!$AK$3:$AK$500,ЗАКАЗЫ!$F$3:$F$500,$A146)))</f>
        <v/>
      </c>
    </row>
    <row r="147" customFormat="false" ht="15.75" hidden="false" customHeight="true" outlineLevel="0" collapsed="false">
      <c r="A147" s="80" t="s">
        <v>2687</v>
      </c>
      <c r="B147" s="81"/>
      <c r="C147" s="81"/>
      <c r="D147" s="81"/>
      <c r="E147" s="83"/>
      <c r="F147" s="81"/>
      <c r="G147" s="83"/>
      <c r="H147" s="83"/>
      <c r="I147" s="84" t="str">
        <f aca="false">IF(E147="","",A147&amp;"_1.jpg")</f>
        <v/>
      </c>
      <c r="J147" s="84" t="str">
        <f aca="false">IF(E147="","",A147&amp;"_2.jpg; "&amp;A147&amp;"_3.jpg")</f>
        <v/>
      </c>
      <c r="K147" s="84" t="str">
        <f aca="false">IF(E147="","",A147&amp;"_schema.jpg")</f>
        <v/>
      </c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 t="s">
        <v>96</v>
      </c>
      <c r="W147" s="81"/>
      <c r="X147" s="81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6" t="str">
        <f aca="false">IF(SUM(Y147:AJ147)=0,"",SUM(Y147:AJ147))</f>
        <v/>
      </c>
      <c r="AL147" s="84" t="str">
        <f aca="false">MID(IF(N(Y147)&gt;0,", "&amp;Y$2,"")&amp;IF(N(Z147)&gt;0,", "&amp;Z$2,"")&amp;IF(N(AA147)&gt;0,", "&amp;AA$2,"")&amp;IF(N(AB147)&gt;0,", "&amp;AB$2,"")&amp;IF(N(AC147)&gt;0,", "&amp;AC$2,"")&amp;IF(N(AD147)&gt;0,", "&amp;AD$2,"")&amp;IF(N(AE147)&gt;0,", "&amp;AE$2,"")&amp;IF(N(AF147)&gt;0,", "&amp;AF$2,"")&amp;IF(N(AG147)&gt;0,", "&amp;AG$2,"")&amp;IF(N(AH147)&gt;0,", "&amp;AH$2,"")&amp;IF(N(AI147)&gt;0,", "&amp;AI$2,"")&amp;IF(N(AJ147)&gt;0,", "&amp;AJ$2,""),3,999)</f>
        <v/>
      </c>
      <c r="AM147" s="87" t="str">
        <f aca="false">IF(E147="","",MID(IF(N(Y147)&gt;0,", "&amp;A147&amp;"-"&amp;Y$2,"")&amp;IF(N(Z147)&gt;0,", "&amp;A147&amp;"-"&amp;Z$2,"")&amp;IF(N(AA147)&gt;0,", "&amp;A147&amp;"-"&amp;AA$2,"")&amp;IF(N(AB147)&gt;0,", "&amp;A147&amp;"-"&amp;AB$2,"")&amp;IF(N(AC147)&gt;0,", "&amp;A147&amp;"-"&amp;AC$2,"")&amp;IF(N(AD147)&gt;0,", "&amp;A147&amp;"-"&amp;AD$2,"")&amp;IF(N(AE147)&gt;0,", "&amp;A147&amp;"-"&amp;AE$2,"")&amp;IF(N(AF147)&gt;0,", "&amp;A147&amp;"-"&amp;AF$2,"")&amp;IF(N(AG147)&gt;0,", "&amp;A147&amp;"-"&amp;AG$2,"")&amp;IF(N(AH147)&gt;0,", "&amp;A147&amp;"-"&amp;AH$2,"")&amp;IF(N(AI147)&gt;0,", "&amp;A147&amp;"-"&amp;AI$2,"")&amp;IF(N(AJ147)&gt;0,", "&amp;A147&amp;"-"&amp;AJ$2,""),3,999))</f>
        <v/>
      </c>
      <c r="AN147" s="81"/>
      <c r="AO147" s="88"/>
      <c r="AP147" s="89" t="str">
        <f aca="false">IF(AO147="","",ROUND(AO147/(1+Справочники!$B$13),2))</f>
        <v/>
      </c>
      <c r="AQ147" s="90" t="str">
        <f aca="false" t="array" ref="AQ147:AQ147">IF(AP147="","",AP147*INDEX(Справочники!$B$4:$B$7,MATCH("RUB",Справочники!$A$4:$A$7,0)))</f>
        <v/>
      </c>
      <c r="AR147" s="90" t="str">
        <f aca="false">IF(AQ147="","",ROUND(AQ147*(1+Справочники!$B$12),0))</f>
        <v/>
      </c>
      <c r="AS147" s="90" t="str">
        <f aca="false">IF(AR147="","",ROUND(AR147*(1-Справочники!$B$11),0))</f>
        <v/>
      </c>
      <c r="AT147" s="88"/>
      <c r="AU147" s="90" t="str">
        <f aca="false">IF(AT147="","",ROUND(AT147/(1+Справочники!$B$12),0))</f>
        <v/>
      </c>
      <c r="AV147" s="90" t="str">
        <f aca="false">IF(AT147="","",ROUND(AT147*(1-Справочники!$B$15),0))</f>
        <v/>
      </c>
      <c r="AW147" s="90" t="str">
        <f aca="false">IF(AT147="","",ROUND(AT147*(1-Справочники!$B$16),0))</f>
        <v/>
      </c>
      <c r="AX147" s="90" t="str">
        <f aca="false">IF(AT147="","",ROUND(AT147*(1-Справочники!$B$17),0))</f>
        <v/>
      </c>
      <c r="AY147" s="90" t="str">
        <f aca="false">IF(AT147="","",ROUND(AT147*(1-Справочники!$B$18),0))</f>
        <v/>
      </c>
      <c r="AZ147" s="90" t="str">
        <f aca="false">IF(AT147="","",ROUND(AT147*(1-Справочники!$B$19),0))</f>
        <v/>
      </c>
      <c r="BA147" s="81"/>
      <c r="BB147" s="81"/>
      <c r="BC147" s="81"/>
      <c r="BD147" s="81"/>
      <c r="BE147" s="91"/>
      <c r="BF147" s="81" t="s">
        <v>103</v>
      </c>
      <c r="BG147" s="89" t="n">
        <f aca="false" t="array" ref="BG147:BG147">IF(BF147="","",IFERROR(INDEX(Справочники!$B$4:$B$7,MATCH(BF147,Справочники!$A$4:$A$7,0)),""))</f>
        <v>68.5</v>
      </c>
      <c r="BH147" s="90" t="str">
        <f aca="false">IF(N(BN147)&gt;0,ROUND(SUMIF(ЗАКАЗЫ!$F$3:$F$500,$A147,ЗАКАЗЫ!$Y$3:$Y$500)/BN147,0),IF(OR(BE147="",BG147=""),"",ROUND(BE147*BG147*(1+Справочники!$B$10),0)))</f>
        <v/>
      </c>
      <c r="BI147" s="92" t="str">
        <f aca="false">IF(OR(AU147="",BH147="",AU147=0),"",(AU147-BH147)/AU147)</f>
        <v/>
      </c>
      <c r="BJ147" s="81"/>
      <c r="BK147" s="83"/>
      <c r="BL147" s="43" t="str">
        <f aca="false">IFERROR(INDEX(ЗАКАЗЫ!$N$3:$N$500,MATCH($A147,ЗАКАЗЫ!$F$3:$F$500,0)),"")</f>
        <v/>
      </c>
      <c r="BM147" s="8" t="str">
        <f aca="false">IF(BL147="","",IFERROR(VLOOKUP(BL147,'ТН ВЭД'!$A$4:$C$40,3,0),""))</f>
        <v/>
      </c>
      <c r="BN147" s="7" t="str">
        <f aca="false">IF(COUNTIF(ЗАКАЗЫ!$F$3:$F$500,$A147)=0,"",SUMIF(ЗАКАЗЫ!$F$3:$F$500,$A147,ЗАКАЗЫ!$J$3:$J$500))</f>
        <v/>
      </c>
      <c r="BO147" s="7" t="str">
        <f aca="false">IF(BN147="","",SUMIF(ЗАКАЗЫ!$F$3:$F$500,$A147,ЗАКАЗЫ!$AL$3:$AL$500))</f>
        <v/>
      </c>
      <c r="BP147" s="7" t="str">
        <f aca="false">IF(BN147="","",BN147-BO147)</f>
        <v/>
      </c>
      <c r="BQ147" s="55" t="str">
        <f aca="false">IF(BN147="","",IF(BO147&gt;=BN147,"На складе",IF(BO147&gt;0,"Частично","Ждём")))</f>
        <v/>
      </c>
      <c r="BR147" s="43"/>
      <c r="BS147" s="47" t="str">
        <f aca="false">IF(BN147="","",IF(_xlfn.MAXIFS(ЗАКАЗЫ!$AK$3:$AK$500,ЗАКАЗЫ!$F$3:$F$500,$A147)=0,"",_xlfn.MAXIFS(ЗАКАЗЫ!$AK$3:$AK$500,ЗАКАЗЫ!$F$3:$F$500,$A147)))</f>
        <v/>
      </c>
    </row>
    <row r="148" customFormat="false" ht="15.75" hidden="false" customHeight="true" outlineLevel="0" collapsed="false">
      <c r="A148" s="80" t="s">
        <v>2688</v>
      </c>
      <c r="B148" s="81"/>
      <c r="C148" s="81"/>
      <c r="D148" s="81"/>
      <c r="E148" s="83"/>
      <c r="F148" s="81"/>
      <c r="G148" s="83"/>
      <c r="H148" s="83"/>
      <c r="I148" s="84" t="str">
        <f aca="false">IF(E148="","",A148&amp;"_1.jpg")</f>
        <v/>
      </c>
      <c r="J148" s="84" t="str">
        <f aca="false">IF(E148="","",A148&amp;"_2.jpg; "&amp;A148&amp;"_3.jpg")</f>
        <v/>
      </c>
      <c r="K148" s="84" t="str">
        <f aca="false">IF(E148="","",A148&amp;"_schema.jpg")</f>
        <v/>
      </c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 t="s">
        <v>96</v>
      </c>
      <c r="W148" s="81"/>
      <c r="X148" s="81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6" t="str">
        <f aca="false">IF(SUM(Y148:AJ148)=0,"",SUM(Y148:AJ148))</f>
        <v/>
      </c>
      <c r="AL148" s="84" t="str">
        <f aca="false">MID(IF(N(Y148)&gt;0,", "&amp;Y$2,"")&amp;IF(N(Z148)&gt;0,", "&amp;Z$2,"")&amp;IF(N(AA148)&gt;0,", "&amp;AA$2,"")&amp;IF(N(AB148)&gt;0,", "&amp;AB$2,"")&amp;IF(N(AC148)&gt;0,", "&amp;AC$2,"")&amp;IF(N(AD148)&gt;0,", "&amp;AD$2,"")&amp;IF(N(AE148)&gt;0,", "&amp;AE$2,"")&amp;IF(N(AF148)&gt;0,", "&amp;AF$2,"")&amp;IF(N(AG148)&gt;0,", "&amp;AG$2,"")&amp;IF(N(AH148)&gt;0,", "&amp;AH$2,"")&amp;IF(N(AI148)&gt;0,", "&amp;AI$2,"")&amp;IF(N(AJ148)&gt;0,", "&amp;AJ$2,""),3,999)</f>
        <v/>
      </c>
      <c r="AM148" s="87" t="str">
        <f aca="false">IF(E148="","",MID(IF(N(Y148)&gt;0,", "&amp;A148&amp;"-"&amp;Y$2,"")&amp;IF(N(Z148)&gt;0,", "&amp;A148&amp;"-"&amp;Z$2,"")&amp;IF(N(AA148)&gt;0,", "&amp;A148&amp;"-"&amp;AA$2,"")&amp;IF(N(AB148)&gt;0,", "&amp;A148&amp;"-"&amp;AB$2,"")&amp;IF(N(AC148)&gt;0,", "&amp;A148&amp;"-"&amp;AC$2,"")&amp;IF(N(AD148)&gt;0,", "&amp;A148&amp;"-"&amp;AD$2,"")&amp;IF(N(AE148)&gt;0,", "&amp;A148&amp;"-"&amp;AE$2,"")&amp;IF(N(AF148)&gt;0,", "&amp;A148&amp;"-"&amp;AF$2,"")&amp;IF(N(AG148)&gt;0,", "&amp;A148&amp;"-"&amp;AG$2,"")&amp;IF(N(AH148)&gt;0,", "&amp;A148&amp;"-"&amp;AH$2,"")&amp;IF(N(AI148)&gt;0,", "&amp;A148&amp;"-"&amp;AI$2,"")&amp;IF(N(AJ148)&gt;0,", "&amp;A148&amp;"-"&amp;AJ$2,""),3,999))</f>
        <v/>
      </c>
      <c r="AN148" s="81"/>
      <c r="AO148" s="88"/>
      <c r="AP148" s="89" t="str">
        <f aca="false">IF(AO148="","",ROUND(AO148/(1+Справочники!$B$13),2))</f>
        <v/>
      </c>
      <c r="AQ148" s="90" t="str">
        <f aca="false" t="array" ref="AQ148:AQ148">IF(AP148="","",AP148*INDEX(Справочники!$B$4:$B$7,MATCH("RUB",Справочники!$A$4:$A$7,0)))</f>
        <v/>
      </c>
      <c r="AR148" s="90" t="str">
        <f aca="false">IF(AQ148="","",ROUND(AQ148*(1+Справочники!$B$12),0))</f>
        <v/>
      </c>
      <c r="AS148" s="90" t="str">
        <f aca="false">IF(AR148="","",ROUND(AR148*(1-Справочники!$B$11),0))</f>
        <v/>
      </c>
      <c r="AT148" s="88"/>
      <c r="AU148" s="90" t="str">
        <f aca="false">IF(AT148="","",ROUND(AT148/(1+Справочники!$B$12),0))</f>
        <v/>
      </c>
      <c r="AV148" s="90" t="str">
        <f aca="false">IF(AT148="","",ROUND(AT148*(1-Справочники!$B$15),0))</f>
        <v/>
      </c>
      <c r="AW148" s="90" t="str">
        <f aca="false">IF(AT148="","",ROUND(AT148*(1-Справочники!$B$16),0))</f>
        <v/>
      </c>
      <c r="AX148" s="90" t="str">
        <f aca="false">IF(AT148="","",ROUND(AT148*(1-Справочники!$B$17),0))</f>
        <v/>
      </c>
      <c r="AY148" s="90" t="str">
        <f aca="false">IF(AT148="","",ROUND(AT148*(1-Справочники!$B$18),0))</f>
        <v/>
      </c>
      <c r="AZ148" s="90" t="str">
        <f aca="false">IF(AT148="","",ROUND(AT148*(1-Справочники!$B$19),0))</f>
        <v/>
      </c>
      <c r="BA148" s="81"/>
      <c r="BB148" s="81"/>
      <c r="BC148" s="81"/>
      <c r="BD148" s="81"/>
      <c r="BE148" s="91"/>
      <c r="BF148" s="81" t="s">
        <v>103</v>
      </c>
      <c r="BG148" s="89" t="n">
        <f aca="false" t="array" ref="BG148:BG148">IF(BF148="","",IFERROR(INDEX(Справочники!$B$4:$B$7,MATCH(BF148,Справочники!$A$4:$A$7,0)),""))</f>
        <v>68.5</v>
      </c>
      <c r="BH148" s="90" t="str">
        <f aca="false">IF(N(BN148)&gt;0,ROUND(SUMIF(ЗАКАЗЫ!$F$3:$F$500,$A148,ЗАКАЗЫ!$Y$3:$Y$500)/BN148,0),IF(OR(BE148="",BG148=""),"",ROUND(BE148*BG148*(1+Справочники!$B$10),0)))</f>
        <v/>
      </c>
      <c r="BI148" s="92" t="str">
        <f aca="false">IF(OR(AU148="",BH148="",AU148=0),"",(AU148-BH148)/AU148)</f>
        <v/>
      </c>
      <c r="BJ148" s="81"/>
      <c r="BK148" s="83"/>
      <c r="BL148" s="43" t="str">
        <f aca="false">IFERROR(INDEX(ЗАКАЗЫ!$N$3:$N$500,MATCH($A148,ЗАКАЗЫ!$F$3:$F$500,0)),"")</f>
        <v/>
      </c>
      <c r="BM148" s="8" t="str">
        <f aca="false">IF(BL148="","",IFERROR(VLOOKUP(BL148,'ТН ВЭД'!$A$4:$C$40,3,0),""))</f>
        <v/>
      </c>
      <c r="BN148" s="7" t="str">
        <f aca="false">IF(COUNTIF(ЗАКАЗЫ!$F$3:$F$500,$A148)=0,"",SUMIF(ЗАКАЗЫ!$F$3:$F$500,$A148,ЗАКАЗЫ!$J$3:$J$500))</f>
        <v/>
      </c>
      <c r="BO148" s="7" t="str">
        <f aca="false">IF(BN148="","",SUMIF(ЗАКАЗЫ!$F$3:$F$500,$A148,ЗАКАЗЫ!$AL$3:$AL$500))</f>
        <v/>
      </c>
      <c r="BP148" s="7" t="str">
        <f aca="false">IF(BN148="","",BN148-BO148)</f>
        <v/>
      </c>
      <c r="BQ148" s="55" t="str">
        <f aca="false">IF(BN148="","",IF(BO148&gt;=BN148,"На складе",IF(BO148&gt;0,"Частично","Ждём")))</f>
        <v/>
      </c>
      <c r="BR148" s="43"/>
      <c r="BS148" s="47" t="str">
        <f aca="false">IF(BN148="","",IF(_xlfn.MAXIFS(ЗАКАЗЫ!$AK$3:$AK$500,ЗАКАЗЫ!$F$3:$F$500,$A148)=0,"",_xlfn.MAXIFS(ЗАКАЗЫ!$AK$3:$AK$500,ЗАКАЗЫ!$F$3:$F$500,$A148)))</f>
        <v/>
      </c>
    </row>
    <row r="149" customFormat="false" ht="15.75" hidden="false" customHeight="true" outlineLevel="0" collapsed="false">
      <c r="A149" s="80" t="s">
        <v>2689</v>
      </c>
      <c r="B149" s="81"/>
      <c r="C149" s="81"/>
      <c r="D149" s="81"/>
      <c r="E149" s="83"/>
      <c r="F149" s="81"/>
      <c r="G149" s="83"/>
      <c r="H149" s="83"/>
      <c r="I149" s="84" t="str">
        <f aca="false">IF(E149="","",A149&amp;"_1.jpg")</f>
        <v/>
      </c>
      <c r="J149" s="84" t="str">
        <f aca="false">IF(E149="","",A149&amp;"_2.jpg; "&amp;A149&amp;"_3.jpg")</f>
        <v/>
      </c>
      <c r="K149" s="84" t="str">
        <f aca="false">IF(E149="","",A149&amp;"_schema.jpg")</f>
        <v/>
      </c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 t="s">
        <v>96</v>
      </c>
      <c r="W149" s="81"/>
      <c r="X149" s="81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6" t="str">
        <f aca="false">IF(SUM(Y149:AJ149)=0,"",SUM(Y149:AJ149))</f>
        <v/>
      </c>
      <c r="AL149" s="84" t="str">
        <f aca="false">MID(IF(N(Y149)&gt;0,", "&amp;Y$2,"")&amp;IF(N(Z149)&gt;0,", "&amp;Z$2,"")&amp;IF(N(AA149)&gt;0,", "&amp;AA$2,"")&amp;IF(N(AB149)&gt;0,", "&amp;AB$2,"")&amp;IF(N(AC149)&gt;0,", "&amp;AC$2,"")&amp;IF(N(AD149)&gt;0,", "&amp;AD$2,"")&amp;IF(N(AE149)&gt;0,", "&amp;AE$2,"")&amp;IF(N(AF149)&gt;0,", "&amp;AF$2,"")&amp;IF(N(AG149)&gt;0,", "&amp;AG$2,"")&amp;IF(N(AH149)&gt;0,", "&amp;AH$2,"")&amp;IF(N(AI149)&gt;0,", "&amp;AI$2,"")&amp;IF(N(AJ149)&gt;0,", "&amp;AJ$2,""),3,999)</f>
        <v/>
      </c>
      <c r="AM149" s="87" t="str">
        <f aca="false">IF(E149="","",MID(IF(N(Y149)&gt;0,", "&amp;A149&amp;"-"&amp;Y$2,"")&amp;IF(N(Z149)&gt;0,", "&amp;A149&amp;"-"&amp;Z$2,"")&amp;IF(N(AA149)&gt;0,", "&amp;A149&amp;"-"&amp;AA$2,"")&amp;IF(N(AB149)&gt;0,", "&amp;A149&amp;"-"&amp;AB$2,"")&amp;IF(N(AC149)&gt;0,", "&amp;A149&amp;"-"&amp;AC$2,"")&amp;IF(N(AD149)&gt;0,", "&amp;A149&amp;"-"&amp;AD$2,"")&amp;IF(N(AE149)&gt;0,", "&amp;A149&amp;"-"&amp;AE$2,"")&amp;IF(N(AF149)&gt;0,", "&amp;A149&amp;"-"&amp;AF$2,"")&amp;IF(N(AG149)&gt;0,", "&amp;A149&amp;"-"&amp;AG$2,"")&amp;IF(N(AH149)&gt;0,", "&amp;A149&amp;"-"&amp;AH$2,"")&amp;IF(N(AI149)&gt;0,", "&amp;A149&amp;"-"&amp;AI$2,"")&amp;IF(N(AJ149)&gt;0,", "&amp;A149&amp;"-"&amp;AJ$2,""),3,999))</f>
        <v/>
      </c>
      <c r="AN149" s="81"/>
      <c r="AO149" s="88"/>
      <c r="AP149" s="89" t="str">
        <f aca="false">IF(AO149="","",ROUND(AO149/(1+Справочники!$B$13),2))</f>
        <v/>
      </c>
      <c r="AQ149" s="90" t="str">
        <f aca="false" t="array" ref="AQ149:AQ149">IF(AP149="","",AP149*INDEX(Справочники!$B$4:$B$7,MATCH("RUB",Справочники!$A$4:$A$7,0)))</f>
        <v/>
      </c>
      <c r="AR149" s="90" t="str">
        <f aca="false">IF(AQ149="","",ROUND(AQ149*(1+Справочники!$B$12),0))</f>
        <v/>
      </c>
      <c r="AS149" s="90" t="str">
        <f aca="false">IF(AR149="","",ROUND(AR149*(1-Справочники!$B$11),0))</f>
        <v/>
      </c>
      <c r="AT149" s="88"/>
      <c r="AU149" s="90" t="str">
        <f aca="false">IF(AT149="","",ROUND(AT149/(1+Справочники!$B$12),0))</f>
        <v/>
      </c>
      <c r="AV149" s="90" t="str">
        <f aca="false">IF(AT149="","",ROUND(AT149*(1-Справочники!$B$15),0))</f>
        <v/>
      </c>
      <c r="AW149" s="90" t="str">
        <f aca="false">IF(AT149="","",ROUND(AT149*(1-Справочники!$B$16),0))</f>
        <v/>
      </c>
      <c r="AX149" s="90" t="str">
        <f aca="false">IF(AT149="","",ROUND(AT149*(1-Справочники!$B$17),0))</f>
        <v/>
      </c>
      <c r="AY149" s="90" t="str">
        <f aca="false">IF(AT149="","",ROUND(AT149*(1-Справочники!$B$18),0))</f>
        <v/>
      </c>
      <c r="AZ149" s="90" t="str">
        <f aca="false">IF(AT149="","",ROUND(AT149*(1-Справочники!$B$19),0))</f>
        <v/>
      </c>
      <c r="BA149" s="81"/>
      <c r="BB149" s="81"/>
      <c r="BC149" s="81"/>
      <c r="BD149" s="81"/>
      <c r="BE149" s="91"/>
      <c r="BF149" s="81" t="s">
        <v>103</v>
      </c>
      <c r="BG149" s="89" t="n">
        <f aca="false" t="array" ref="BG149:BG149">IF(BF149="","",IFERROR(INDEX(Справочники!$B$4:$B$7,MATCH(BF149,Справочники!$A$4:$A$7,0)),""))</f>
        <v>68.5</v>
      </c>
      <c r="BH149" s="90" t="str">
        <f aca="false">IF(N(BN149)&gt;0,ROUND(SUMIF(ЗАКАЗЫ!$F$3:$F$500,$A149,ЗАКАЗЫ!$Y$3:$Y$500)/BN149,0),IF(OR(BE149="",BG149=""),"",ROUND(BE149*BG149*(1+Справочники!$B$10),0)))</f>
        <v/>
      </c>
      <c r="BI149" s="92" t="str">
        <f aca="false">IF(OR(AU149="",BH149="",AU149=0),"",(AU149-BH149)/AU149)</f>
        <v/>
      </c>
      <c r="BJ149" s="81"/>
      <c r="BK149" s="83"/>
      <c r="BL149" s="43" t="str">
        <f aca="false">IFERROR(INDEX(ЗАКАЗЫ!$N$3:$N$500,MATCH($A149,ЗАКАЗЫ!$F$3:$F$500,0)),"")</f>
        <v/>
      </c>
      <c r="BM149" s="8" t="str">
        <f aca="false">IF(BL149="","",IFERROR(VLOOKUP(BL149,'ТН ВЭД'!$A$4:$C$40,3,0),""))</f>
        <v/>
      </c>
      <c r="BN149" s="7" t="str">
        <f aca="false">IF(COUNTIF(ЗАКАЗЫ!$F$3:$F$500,$A149)=0,"",SUMIF(ЗАКАЗЫ!$F$3:$F$500,$A149,ЗАКАЗЫ!$J$3:$J$500))</f>
        <v/>
      </c>
      <c r="BO149" s="7" t="str">
        <f aca="false">IF(BN149="","",SUMIF(ЗАКАЗЫ!$F$3:$F$500,$A149,ЗАКАЗЫ!$AL$3:$AL$500))</f>
        <v/>
      </c>
      <c r="BP149" s="7" t="str">
        <f aca="false">IF(BN149="","",BN149-BO149)</f>
        <v/>
      </c>
      <c r="BQ149" s="55" t="str">
        <f aca="false">IF(BN149="","",IF(BO149&gt;=BN149,"На складе",IF(BO149&gt;0,"Частично","Ждём")))</f>
        <v/>
      </c>
      <c r="BR149" s="43"/>
      <c r="BS149" s="47" t="str">
        <f aca="false">IF(BN149="","",IF(_xlfn.MAXIFS(ЗАКАЗЫ!$AK$3:$AK$500,ЗАКАЗЫ!$F$3:$F$500,$A149)=0,"",_xlfn.MAXIFS(ЗАКАЗЫ!$AK$3:$AK$500,ЗАКАЗЫ!$F$3:$F$500,$A149)))</f>
        <v/>
      </c>
    </row>
    <row r="150" customFormat="false" ht="15.75" hidden="false" customHeight="true" outlineLevel="0" collapsed="false">
      <c r="A150" s="80" t="s">
        <v>2690</v>
      </c>
      <c r="B150" s="81"/>
      <c r="C150" s="81"/>
      <c r="D150" s="81"/>
      <c r="E150" s="83"/>
      <c r="F150" s="81"/>
      <c r="G150" s="83"/>
      <c r="H150" s="83"/>
      <c r="I150" s="84" t="str">
        <f aca="false">IF(E150="","",A150&amp;"_1.jpg")</f>
        <v/>
      </c>
      <c r="J150" s="84" t="str">
        <f aca="false">IF(E150="","",A150&amp;"_2.jpg; "&amp;A150&amp;"_3.jpg")</f>
        <v/>
      </c>
      <c r="K150" s="84" t="str">
        <f aca="false">IF(E150="","",A150&amp;"_schema.jpg")</f>
        <v/>
      </c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 t="s">
        <v>96</v>
      </c>
      <c r="W150" s="81"/>
      <c r="X150" s="81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6" t="str">
        <f aca="false">IF(SUM(Y150:AJ150)=0,"",SUM(Y150:AJ150))</f>
        <v/>
      </c>
      <c r="AL150" s="84" t="str">
        <f aca="false">MID(IF(N(Y150)&gt;0,", "&amp;Y$2,"")&amp;IF(N(Z150)&gt;0,", "&amp;Z$2,"")&amp;IF(N(AA150)&gt;0,", "&amp;AA$2,"")&amp;IF(N(AB150)&gt;0,", "&amp;AB$2,"")&amp;IF(N(AC150)&gt;0,", "&amp;AC$2,"")&amp;IF(N(AD150)&gt;0,", "&amp;AD$2,"")&amp;IF(N(AE150)&gt;0,", "&amp;AE$2,"")&amp;IF(N(AF150)&gt;0,", "&amp;AF$2,"")&amp;IF(N(AG150)&gt;0,", "&amp;AG$2,"")&amp;IF(N(AH150)&gt;0,", "&amp;AH$2,"")&amp;IF(N(AI150)&gt;0,", "&amp;AI$2,"")&amp;IF(N(AJ150)&gt;0,", "&amp;AJ$2,""),3,999)</f>
        <v/>
      </c>
      <c r="AM150" s="87" t="str">
        <f aca="false">IF(E150="","",MID(IF(N(Y150)&gt;0,", "&amp;A150&amp;"-"&amp;Y$2,"")&amp;IF(N(Z150)&gt;0,", "&amp;A150&amp;"-"&amp;Z$2,"")&amp;IF(N(AA150)&gt;0,", "&amp;A150&amp;"-"&amp;AA$2,"")&amp;IF(N(AB150)&gt;0,", "&amp;A150&amp;"-"&amp;AB$2,"")&amp;IF(N(AC150)&gt;0,", "&amp;A150&amp;"-"&amp;AC$2,"")&amp;IF(N(AD150)&gt;0,", "&amp;A150&amp;"-"&amp;AD$2,"")&amp;IF(N(AE150)&gt;0,", "&amp;A150&amp;"-"&amp;AE$2,"")&amp;IF(N(AF150)&gt;0,", "&amp;A150&amp;"-"&amp;AF$2,"")&amp;IF(N(AG150)&gt;0,", "&amp;A150&amp;"-"&amp;AG$2,"")&amp;IF(N(AH150)&gt;0,", "&amp;A150&amp;"-"&amp;AH$2,"")&amp;IF(N(AI150)&gt;0,", "&amp;A150&amp;"-"&amp;AI$2,"")&amp;IF(N(AJ150)&gt;0,", "&amp;A150&amp;"-"&amp;AJ$2,""),3,999))</f>
        <v/>
      </c>
      <c r="AN150" s="81"/>
      <c r="AO150" s="88"/>
      <c r="AP150" s="89" t="str">
        <f aca="false">IF(AO150="","",ROUND(AO150/(1+Справочники!$B$13),2))</f>
        <v/>
      </c>
      <c r="AQ150" s="90" t="str">
        <f aca="false" t="array" ref="AQ150:AQ150">IF(AP150="","",AP150*INDEX(Справочники!$B$4:$B$7,MATCH("RUB",Справочники!$A$4:$A$7,0)))</f>
        <v/>
      </c>
      <c r="AR150" s="90" t="str">
        <f aca="false">IF(AQ150="","",ROUND(AQ150*(1+Справочники!$B$12),0))</f>
        <v/>
      </c>
      <c r="AS150" s="90" t="str">
        <f aca="false">IF(AR150="","",ROUND(AR150*(1-Справочники!$B$11),0))</f>
        <v/>
      </c>
      <c r="AT150" s="88"/>
      <c r="AU150" s="90" t="str">
        <f aca="false">IF(AT150="","",ROUND(AT150/(1+Справочники!$B$12),0))</f>
        <v/>
      </c>
      <c r="AV150" s="90" t="str">
        <f aca="false">IF(AT150="","",ROUND(AT150*(1-Справочники!$B$15),0))</f>
        <v/>
      </c>
      <c r="AW150" s="90" t="str">
        <f aca="false">IF(AT150="","",ROUND(AT150*(1-Справочники!$B$16),0))</f>
        <v/>
      </c>
      <c r="AX150" s="90" t="str">
        <f aca="false">IF(AT150="","",ROUND(AT150*(1-Справочники!$B$17),0))</f>
        <v/>
      </c>
      <c r="AY150" s="90" t="str">
        <f aca="false">IF(AT150="","",ROUND(AT150*(1-Справочники!$B$18),0))</f>
        <v/>
      </c>
      <c r="AZ150" s="90" t="str">
        <f aca="false">IF(AT150="","",ROUND(AT150*(1-Справочники!$B$19),0))</f>
        <v/>
      </c>
      <c r="BA150" s="81"/>
      <c r="BB150" s="81"/>
      <c r="BC150" s="81"/>
      <c r="BD150" s="81"/>
      <c r="BE150" s="91"/>
      <c r="BF150" s="81" t="s">
        <v>103</v>
      </c>
      <c r="BG150" s="89" t="n">
        <f aca="false" t="array" ref="BG150:BG150">IF(BF150="","",IFERROR(INDEX(Справочники!$B$4:$B$7,MATCH(BF150,Справочники!$A$4:$A$7,0)),""))</f>
        <v>68.5</v>
      </c>
      <c r="BH150" s="90" t="str">
        <f aca="false">IF(N(BN150)&gt;0,ROUND(SUMIF(ЗАКАЗЫ!$F$3:$F$500,$A150,ЗАКАЗЫ!$Y$3:$Y$500)/BN150,0),IF(OR(BE150="",BG150=""),"",ROUND(BE150*BG150*(1+Справочники!$B$10),0)))</f>
        <v/>
      </c>
      <c r="BI150" s="92" t="str">
        <f aca="false">IF(OR(AU150="",BH150="",AU150=0),"",(AU150-BH150)/AU150)</f>
        <v/>
      </c>
      <c r="BJ150" s="81"/>
      <c r="BK150" s="83"/>
      <c r="BL150" s="43" t="str">
        <f aca="false">IFERROR(INDEX(ЗАКАЗЫ!$N$3:$N$500,MATCH($A150,ЗАКАЗЫ!$F$3:$F$500,0)),"")</f>
        <v/>
      </c>
      <c r="BM150" s="8" t="str">
        <f aca="false">IF(BL150="","",IFERROR(VLOOKUP(BL150,'ТН ВЭД'!$A$4:$C$40,3,0),""))</f>
        <v/>
      </c>
      <c r="BN150" s="7" t="str">
        <f aca="false">IF(COUNTIF(ЗАКАЗЫ!$F$3:$F$500,$A150)=0,"",SUMIF(ЗАКАЗЫ!$F$3:$F$500,$A150,ЗАКАЗЫ!$J$3:$J$500))</f>
        <v/>
      </c>
      <c r="BO150" s="7" t="str">
        <f aca="false">IF(BN150="","",SUMIF(ЗАКАЗЫ!$F$3:$F$500,$A150,ЗАКАЗЫ!$AL$3:$AL$500))</f>
        <v/>
      </c>
      <c r="BP150" s="7" t="str">
        <f aca="false">IF(BN150="","",BN150-BO150)</f>
        <v/>
      </c>
      <c r="BQ150" s="55" t="str">
        <f aca="false">IF(BN150="","",IF(BO150&gt;=BN150,"На складе",IF(BO150&gt;0,"Частично","Ждём")))</f>
        <v/>
      </c>
      <c r="BR150" s="43"/>
      <c r="BS150" s="47" t="str">
        <f aca="false">IF(BN150="","",IF(_xlfn.MAXIFS(ЗАКАЗЫ!$AK$3:$AK$500,ЗАКАЗЫ!$F$3:$F$500,$A150)=0,"",_xlfn.MAXIFS(ЗАКАЗЫ!$AK$3:$AK$500,ЗАКАЗЫ!$F$3:$F$500,$A150)))</f>
        <v/>
      </c>
    </row>
    <row r="151" customFormat="false" ht="15.75" hidden="false" customHeight="true" outlineLevel="0" collapsed="false">
      <c r="A151" s="80" t="s">
        <v>2691</v>
      </c>
      <c r="B151" s="81"/>
      <c r="C151" s="81"/>
      <c r="D151" s="81"/>
      <c r="E151" s="83"/>
      <c r="F151" s="81"/>
      <c r="G151" s="83"/>
      <c r="H151" s="83"/>
      <c r="I151" s="84" t="str">
        <f aca="false">IF(E151="","",A151&amp;"_1.jpg")</f>
        <v/>
      </c>
      <c r="J151" s="84" t="str">
        <f aca="false">IF(E151="","",A151&amp;"_2.jpg; "&amp;A151&amp;"_3.jpg")</f>
        <v/>
      </c>
      <c r="K151" s="84" t="str">
        <f aca="false">IF(E151="","",A151&amp;"_schema.jpg")</f>
        <v/>
      </c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 t="s">
        <v>96</v>
      </c>
      <c r="W151" s="81"/>
      <c r="X151" s="81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6" t="str">
        <f aca="false">IF(SUM(Y151:AJ151)=0,"",SUM(Y151:AJ151))</f>
        <v/>
      </c>
      <c r="AL151" s="84" t="str">
        <f aca="false">MID(IF(N(Y151)&gt;0,", "&amp;Y$2,"")&amp;IF(N(Z151)&gt;0,", "&amp;Z$2,"")&amp;IF(N(AA151)&gt;0,", "&amp;AA$2,"")&amp;IF(N(AB151)&gt;0,", "&amp;AB$2,"")&amp;IF(N(AC151)&gt;0,", "&amp;AC$2,"")&amp;IF(N(AD151)&gt;0,", "&amp;AD$2,"")&amp;IF(N(AE151)&gt;0,", "&amp;AE$2,"")&amp;IF(N(AF151)&gt;0,", "&amp;AF$2,"")&amp;IF(N(AG151)&gt;0,", "&amp;AG$2,"")&amp;IF(N(AH151)&gt;0,", "&amp;AH$2,"")&amp;IF(N(AI151)&gt;0,", "&amp;AI$2,"")&amp;IF(N(AJ151)&gt;0,", "&amp;AJ$2,""),3,999)</f>
        <v/>
      </c>
      <c r="AM151" s="87" t="str">
        <f aca="false">IF(E151="","",MID(IF(N(Y151)&gt;0,", "&amp;A151&amp;"-"&amp;Y$2,"")&amp;IF(N(Z151)&gt;0,", "&amp;A151&amp;"-"&amp;Z$2,"")&amp;IF(N(AA151)&gt;0,", "&amp;A151&amp;"-"&amp;AA$2,"")&amp;IF(N(AB151)&gt;0,", "&amp;A151&amp;"-"&amp;AB$2,"")&amp;IF(N(AC151)&gt;0,", "&amp;A151&amp;"-"&amp;AC$2,"")&amp;IF(N(AD151)&gt;0,", "&amp;A151&amp;"-"&amp;AD$2,"")&amp;IF(N(AE151)&gt;0,", "&amp;A151&amp;"-"&amp;AE$2,"")&amp;IF(N(AF151)&gt;0,", "&amp;A151&amp;"-"&amp;AF$2,"")&amp;IF(N(AG151)&gt;0,", "&amp;A151&amp;"-"&amp;AG$2,"")&amp;IF(N(AH151)&gt;0,", "&amp;A151&amp;"-"&amp;AH$2,"")&amp;IF(N(AI151)&gt;0,", "&amp;A151&amp;"-"&amp;AI$2,"")&amp;IF(N(AJ151)&gt;0,", "&amp;A151&amp;"-"&amp;AJ$2,""),3,999))</f>
        <v/>
      </c>
      <c r="AN151" s="81"/>
      <c r="AO151" s="88"/>
      <c r="AP151" s="89" t="str">
        <f aca="false">IF(AO151="","",ROUND(AO151/(1+Справочники!$B$13),2))</f>
        <v/>
      </c>
      <c r="AQ151" s="90" t="str">
        <f aca="false" t="array" ref="AQ151:AQ151">IF(AP151="","",AP151*INDEX(Справочники!$B$4:$B$7,MATCH("RUB",Справочники!$A$4:$A$7,0)))</f>
        <v/>
      </c>
      <c r="AR151" s="90" t="str">
        <f aca="false">IF(AQ151="","",ROUND(AQ151*(1+Справочники!$B$12),0))</f>
        <v/>
      </c>
      <c r="AS151" s="90" t="str">
        <f aca="false">IF(AR151="","",ROUND(AR151*(1-Справочники!$B$11),0))</f>
        <v/>
      </c>
      <c r="AT151" s="88"/>
      <c r="AU151" s="90" t="str">
        <f aca="false">IF(AT151="","",ROUND(AT151/(1+Справочники!$B$12),0))</f>
        <v/>
      </c>
      <c r="AV151" s="90" t="str">
        <f aca="false">IF(AT151="","",ROUND(AT151*(1-Справочники!$B$15),0))</f>
        <v/>
      </c>
      <c r="AW151" s="90" t="str">
        <f aca="false">IF(AT151="","",ROUND(AT151*(1-Справочники!$B$16),0))</f>
        <v/>
      </c>
      <c r="AX151" s="90" t="str">
        <f aca="false">IF(AT151="","",ROUND(AT151*(1-Справочники!$B$17),0))</f>
        <v/>
      </c>
      <c r="AY151" s="90" t="str">
        <f aca="false">IF(AT151="","",ROUND(AT151*(1-Справочники!$B$18),0))</f>
        <v/>
      </c>
      <c r="AZ151" s="90" t="str">
        <f aca="false">IF(AT151="","",ROUND(AT151*(1-Справочники!$B$19),0))</f>
        <v/>
      </c>
      <c r="BA151" s="81"/>
      <c r="BB151" s="81"/>
      <c r="BC151" s="81"/>
      <c r="BD151" s="81"/>
      <c r="BE151" s="91"/>
      <c r="BF151" s="81" t="s">
        <v>103</v>
      </c>
      <c r="BG151" s="89" t="n">
        <f aca="false" t="array" ref="BG151:BG151">IF(BF151="","",IFERROR(INDEX(Справочники!$B$4:$B$7,MATCH(BF151,Справочники!$A$4:$A$7,0)),""))</f>
        <v>68.5</v>
      </c>
      <c r="BH151" s="90" t="str">
        <f aca="false">IF(N(BN151)&gt;0,ROUND(SUMIF(ЗАКАЗЫ!$F$3:$F$500,$A151,ЗАКАЗЫ!$Y$3:$Y$500)/BN151,0),IF(OR(BE151="",BG151=""),"",ROUND(BE151*BG151*(1+Справочники!$B$10),0)))</f>
        <v/>
      </c>
      <c r="BI151" s="92" t="str">
        <f aca="false">IF(OR(AU151="",BH151="",AU151=0),"",(AU151-BH151)/AU151)</f>
        <v/>
      </c>
      <c r="BJ151" s="81"/>
      <c r="BK151" s="83"/>
      <c r="BL151" s="43" t="str">
        <f aca="false">IFERROR(INDEX(ЗАКАЗЫ!$N$3:$N$500,MATCH($A151,ЗАКАЗЫ!$F$3:$F$500,0)),"")</f>
        <v/>
      </c>
      <c r="BM151" s="8" t="str">
        <f aca="false">IF(BL151="","",IFERROR(VLOOKUP(BL151,'ТН ВЭД'!$A$4:$C$40,3,0),""))</f>
        <v/>
      </c>
      <c r="BN151" s="7" t="str">
        <f aca="false">IF(COUNTIF(ЗАКАЗЫ!$F$3:$F$500,$A151)=0,"",SUMIF(ЗАКАЗЫ!$F$3:$F$500,$A151,ЗАКАЗЫ!$J$3:$J$500))</f>
        <v/>
      </c>
      <c r="BO151" s="7" t="str">
        <f aca="false">IF(BN151="","",SUMIF(ЗАКАЗЫ!$F$3:$F$500,$A151,ЗАКАЗЫ!$AL$3:$AL$500))</f>
        <v/>
      </c>
      <c r="BP151" s="7" t="str">
        <f aca="false">IF(BN151="","",BN151-BO151)</f>
        <v/>
      </c>
      <c r="BQ151" s="55" t="str">
        <f aca="false">IF(BN151="","",IF(BO151&gt;=BN151,"На складе",IF(BO151&gt;0,"Частично","Ждём")))</f>
        <v/>
      </c>
      <c r="BR151" s="43"/>
      <c r="BS151" s="47" t="str">
        <f aca="false">IF(BN151="","",IF(_xlfn.MAXIFS(ЗАКАЗЫ!$AK$3:$AK$500,ЗАКАЗЫ!$F$3:$F$500,$A151)=0,"",_xlfn.MAXIFS(ЗАКАЗЫ!$AK$3:$AK$500,ЗАКАЗЫ!$F$3:$F$500,$A151)))</f>
        <v/>
      </c>
    </row>
    <row r="152" customFormat="false" ht="15.75" hidden="false" customHeight="true" outlineLevel="0" collapsed="false">
      <c r="A152" s="80" t="s">
        <v>2692</v>
      </c>
      <c r="B152" s="81"/>
      <c r="C152" s="81"/>
      <c r="D152" s="81"/>
      <c r="E152" s="83"/>
      <c r="F152" s="81"/>
      <c r="G152" s="83"/>
      <c r="H152" s="83"/>
      <c r="I152" s="84" t="str">
        <f aca="false">IF(E152="","",A152&amp;"_1.jpg")</f>
        <v/>
      </c>
      <c r="J152" s="84" t="str">
        <f aca="false">IF(E152="","",A152&amp;"_2.jpg; "&amp;A152&amp;"_3.jpg")</f>
        <v/>
      </c>
      <c r="K152" s="84" t="str">
        <f aca="false">IF(E152="","",A152&amp;"_schema.jpg")</f>
        <v/>
      </c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 t="s">
        <v>96</v>
      </c>
      <c r="W152" s="81"/>
      <c r="X152" s="81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6" t="str">
        <f aca="false">IF(SUM(Y152:AJ152)=0,"",SUM(Y152:AJ152))</f>
        <v/>
      </c>
      <c r="AL152" s="84" t="str">
        <f aca="false">MID(IF(N(Y152)&gt;0,", "&amp;Y$2,"")&amp;IF(N(Z152)&gt;0,", "&amp;Z$2,"")&amp;IF(N(AA152)&gt;0,", "&amp;AA$2,"")&amp;IF(N(AB152)&gt;0,", "&amp;AB$2,"")&amp;IF(N(AC152)&gt;0,", "&amp;AC$2,"")&amp;IF(N(AD152)&gt;0,", "&amp;AD$2,"")&amp;IF(N(AE152)&gt;0,", "&amp;AE$2,"")&amp;IF(N(AF152)&gt;0,", "&amp;AF$2,"")&amp;IF(N(AG152)&gt;0,", "&amp;AG$2,"")&amp;IF(N(AH152)&gt;0,", "&amp;AH$2,"")&amp;IF(N(AI152)&gt;0,", "&amp;AI$2,"")&amp;IF(N(AJ152)&gt;0,", "&amp;AJ$2,""),3,999)</f>
        <v/>
      </c>
      <c r="AM152" s="87" t="str">
        <f aca="false">IF(E152="","",MID(IF(N(Y152)&gt;0,", "&amp;A152&amp;"-"&amp;Y$2,"")&amp;IF(N(Z152)&gt;0,", "&amp;A152&amp;"-"&amp;Z$2,"")&amp;IF(N(AA152)&gt;0,", "&amp;A152&amp;"-"&amp;AA$2,"")&amp;IF(N(AB152)&gt;0,", "&amp;A152&amp;"-"&amp;AB$2,"")&amp;IF(N(AC152)&gt;0,", "&amp;A152&amp;"-"&amp;AC$2,"")&amp;IF(N(AD152)&gt;0,", "&amp;A152&amp;"-"&amp;AD$2,"")&amp;IF(N(AE152)&gt;0,", "&amp;A152&amp;"-"&amp;AE$2,"")&amp;IF(N(AF152)&gt;0,", "&amp;A152&amp;"-"&amp;AF$2,"")&amp;IF(N(AG152)&gt;0,", "&amp;A152&amp;"-"&amp;AG$2,"")&amp;IF(N(AH152)&gt;0,", "&amp;A152&amp;"-"&amp;AH$2,"")&amp;IF(N(AI152)&gt;0,", "&amp;A152&amp;"-"&amp;AI$2,"")&amp;IF(N(AJ152)&gt;0,", "&amp;A152&amp;"-"&amp;AJ$2,""),3,999))</f>
        <v/>
      </c>
      <c r="AN152" s="81"/>
      <c r="AO152" s="88"/>
      <c r="AP152" s="89" t="str">
        <f aca="false">IF(AO152="","",ROUND(AO152/(1+Справочники!$B$13),2))</f>
        <v/>
      </c>
      <c r="AQ152" s="90" t="str">
        <f aca="false" t="array" ref="AQ152:AQ152">IF(AP152="","",AP152*INDEX(Справочники!$B$4:$B$7,MATCH("RUB",Справочники!$A$4:$A$7,0)))</f>
        <v/>
      </c>
      <c r="AR152" s="90" t="str">
        <f aca="false">IF(AQ152="","",ROUND(AQ152*(1+Справочники!$B$12),0))</f>
        <v/>
      </c>
      <c r="AS152" s="90" t="str">
        <f aca="false">IF(AR152="","",ROUND(AR152*(1-Справочники!$B$11),0))</f>
        <v/>
      </c>
      <c r="AT152" s="88"/>
      <c r="AU152" s="90" t="str">
        <f aca="false">IF(AT152="","",ROUND(AT152/(1+Справочники!$B$12),0))</f>
        <v/>
      </c>
      <c r="AV152" s="90" t="str">
        <f aca="false">IF(AT152="","",ROUND(AT152*(1-Справочники!$B$15),0))</f>
        <v/>
      </c>
      <c r="AW152" s="90" t="str">
        <f aca="false">IF(AT152="","",ROUND(AT152*(1-Справочники!$B$16),0))</f>
        <v/>
      </c>
      <c r="AX152" s="90" t="str">
        <f aca="false">IF(AT152="","",ROUND(AT152*(1-Справочники!$B$17),0))</f>
        <v/>
      </c>
      <c r="AY152" s="90" t="str">
        <f aca="false">IF(AT152="","",ROUND(AT152*(1-Справочники!$B$18),0))</f>
        <v/>
      </c>
      <c r="AZ152" s="90" t="str">
        <f aca="false">IF(AT152="","",ROUND(AT152*(1-Справочники!$B$19),0))</f>
        <v/>
      </c>
      <c r="BA152" s="81"/>
      <c r="BB152" s="81"/>
      <c r="BC152" s="81"/>
      <c r="BD152" s="81"/>
      <c r="BE152" s="91"/>
      <c r="BF152" s="81" t="s">
        <v>103</v>
      </c>
      <c r="BG152" s="89" t="n">
        <f aca="false" t="array" ref="BG152:BG152">IF(BF152="","",IFERROR(INDEX(Справочники!$B$4:$B$7,MATCH(BF152,Справочники!$A$4:$A$7,0)),""))</f>
        <v>68.5</v>
      </c>
      <c r="BH152" s="90" t="str">
        <f aca="false">IF(N(BN152)&gt;0,ROUND(SUMIF(ЗАКАЗЫ!$F$3:$F$500,$A152,ЗАКАЗЫ!$Y$3:$Y$500)/BN152,0),IF(OR(BE152="",BG152=""),"",ROUND(BE152*BG152*(1+Справочники!$B$10),0)))</f>
        <v/>
      </c>
      <c r="BI152" s="92" t="str">
        <f aca="false">IF(OR(AU152="",BH152="",AU152=0),"",(AU152-BH152)/AU152)</f>
        <v/>
      </c>
      <c r="BJ152" s="81"/>
      <c r="BK152" s="83"/>
      <c r="BL152" s="43" t="str">
        <f aca="false">IFERROR(INDEX(ЗАКАЗЫ!$N$3:$N$500,MATCH($A152,ЗАКАЗЫ!$F$3:$F$500,0)),"")</f>
        <v/>
      </c>
      <c r="BM152" s="8" t="str">
        <f aca="false">IF(BL152="","",IFERROR(VLOOKUP(BL152,'ТН ВЭД'!$A$4:$C$40,3,0),""))</f>
        <v/>
      </c>
      <c r="BN152" s="7" t="str">
        <f aca="false">IF(COUNTIF(ЗАКАЗЫ!$F$3:$F$500,$A152)=0,"",SUMIF(ЗАКАЗЫ!$F$3:$F$500,$A152,ЗАКАЗЫ!$J$3:$J$500))</f>
        <v/>
      </c>
      <c r="BO152" s="7" t="str">
        <f aca="false">IF(BN152="","",SUMIF(ЗАКАЗЫ!$F$3:$F$500,$A152,ЗАКАЗЫ!$AL$3:$AL$500))</f>
        <v/>
      </c>
      <c r="BP152" s="7" t="str">
        <f aca="false">IF(BN152="","",BN152-BO152)</f>
        <v/>
      </c>
      <c r="BQ152" s="55" t="str">
        <f aca="false">IF(BN152="","",IF(BO152&gt;=BN152,"На складе",IF(BO152&gt;0,"Частично","Ждём")))</f>
        <v/>
      </c>
      <c r="BR152" s="43"/>
      <c r="BS152" s="47" t="str">
        <f aca="false">IF(BN152="","",IF(_xlfn.MAXIFS(ЗАКАЗЫ!$AK$3:$AK$500,ЗАКАЗЫ!$F$3:$F$500,$A152)=0,"",_xlfn.MAXIFS(ЗАКАЗЫ!$AK$3:$AK$500,ЗАКАЗЫ!$F$3:$F$500,$A152)))</f>
        <v/>
      </c>
    </row>
    <row r="153" customFormat="false" ht="15.75" hidden="false" customHeight="true" outlineLevel="0" collapsed="false">
      <c r="A153" s="80" t="s">
        <v>2693</v>
      </c>
      <c r="B153" s="81"/>
      <c r="C153" s="81"/>
      <c r="D153" s="81"/>
      <c r="E153" s="83"/>
      <c r="F153" s="81"/>
      <c r="G153" s="83"/>
      <c r="H153" s="83"/>
      <c r="I153" s="84" t="str">
        <f aca="false">IF(E153="","",A153&amp;"_1.jpg")</f>
        <v/>
      </c>
      <c r="J153" s="84" t="str">
        <f aca="false">IF(E153="","",A153&amp;"_2.jpg; "&amp;A153&amp;"_3.jpg")</f>
        <v/>
      </c>
      <c r="K153" s="84" t="str">
        <f aca="false">IF(E153="","",A153&amp;"_schema.jpg")</f>
        <v/>
      </c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 t="s">
        <v>96</v>
      </c>
      <c r="W153" s="81"/>
      <c r="X153" s="81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6" t="str">
        <f aca="false">IF(SUM(Y153:AJ153)=0,"",SUM(Y153:AJ153))</f>
        <v/>
      </c>
      <c r="AL153" s="84" t="str">
        <f aca="false">MID(IF(N(Y153)&gt;0,", "&amp;Y$2,"")&amp;IF(N(Z153)&gt;0,", "&amp;Z$2,"")&amp;IF(N(AA153)&gt;0,", "&amp;AA$2,"")&amp;IF(N(AB153)&gt;0,", "&amp;AB$2,"")&amp;IF(N(AC153)&gt;0,", "&amp;AC$2,"")&amp;IF(N(AD153)&gt;0,", "&amp;AD$2,"")&amp;IF(N(AE153)&gt;0,", "&amp;AE$2,"")&amp;IF(N(AF153)&gt;0,", "&amp;AF$2,"")&amp;IF(N(AG153)&gt;0,", "&amp;AG$2,"")&amp;IF(N(AH153)&gt;0,", "&amp;AH$2,"")&amp;IF(N(AI153)&gt;0,", "&amp;AI$2,"")&amp;IF(N(AJ153)&gt;0,", "&amp;AJ$2,""),3,999)</f>
        <v/>
      </c>
      <c r="AM153" s="87" t="str">
        <f aca="false">IF(E153="","",MID(IF(N(Y153)&gt;0,", "&amp;A153&amp;"-"&amp;Y$2,"")&amp;IF(N(Z153)&gt;0,", "&amp;A153&amp;"-"&amp;Z$2,"")&amp;IF(N(AA153)&gt;0,", "&amp;A153&amp;"-"&amp;AA$2,"")&amp;IF(N(AB153)&gt;0,", "&amp;A153&amp;"-"&amp;AB$2,"")&amp;IF(N(AC153)&gt;0,", "&amp;A153&amp;"-"&amp;AC$2,"")&amp;IF(N(AD153)&gt;0,", "&amp;A153&amp;"-"&amp;AD$2,"")&amp;IF(N(AE153)&gt;0,", "&amp;A153&amp;"-"&amp;AE$2,"")&amp;IF(N(AF153)&gt;0,", "&amp;A153&amp;"-"&amp;AF$2,"")&amp;IF(N(AG153)&gt;0,", "&amp;A153&amp;"-"&amp;AG$2,"")&amp;IF(N(AH153)&gt;0,", "&amp;A153&amp;"-"&amp;AH$2,"")&amp;IF(N(AI153)&gt;0,", "&amp;A153&amp;"-"&amp;AI$2,"")&amp;IF(N(AJ153)&gt;0,", "&amp;A153&amp;"-"&amp;AJ$2,""),3,999))</f>
        <v/>
      </c>
      <c r="AN153" s="81"/>
      <c r="AO153" s="88"/>
      <c r="AP153" s="89" t="str">
        <f aca="false">IF(AO153="","",ROUND(AO153/(1+Справочники!$B$13),2))</f>
        <v/>
      </c>
      <c r="AQ153" s="90" t="str">
        <f aca="false" t="array" ref="AQ153:AQ153">IF(AP153="","",AP153*INDEX(Справочники!$B$4:$B$7,MATCH("RUB",Справочники!$A$4:$A$7,0)))</f>
        <v/>
      </c>
      <c r="AR153" s="90" t="str">
        <f aca="false">IF(AQ153="","",ROUND(AQ153*(1+Справочники!$B$12),0))</f>
        <v/>
      </c>
      <c r="AS153" s="90" t="str">
        <f aca="false">IF(AR153="","",ROUND(AR153*(1-Справочники!$B$11),0))</f>
        <v/>
      </c>
      <c r="AT153" s="88"/>
      <c r="AU153" s="90" t="str">
        <f aca="false">IF(AT153="","",ROUND(AT153/(1+Справочники!$B$12),0))</f>
        <v/>
      </c>
      <c r="AV153" s="90" t="str">
        <f aca="false">IF(AT153="","",ROUND(AT153*(1-Справочники!$B$15),0))</f>
        <v/>
      </c>
      <c r="AW153" s="90" t="str">
        <f aca="false">IF(AT153="","",ROUND(AT153*(1-Справочники!$B$16),0))</f>
        <v/>
      </c>
      <c r="AX153" s="90" t="str">
        <f aca="false">IF(AT153="","",ROUND(AT153*(1-Справочники!$B$17),0))</f>
        <v/>
      </c>
      <c r="AY153" s="90" t="str">
        <f aca="false">IF(AT153="","",ROUND(AT153*(1-Справочники!$B$18),0))</f>
        <v/>
      </c>
      <c r="AZ153" s="90" t="str">
        <f aca="false">IF(AT153="","",ROUND(AT153*(1-Справочники!$B$19),0))</f>
        <v/>
      </c>
      <c r="BA153" s="81"/>
      <c r="BB153" s="81"/>
      <c r="BC153" s="81"/>
      <c r="BD153" s="81"/>
      <c r="BE153" s="91"/>
      <c r="BF153" s="81" t="s">
        <v>103</v>
      </c>
      <c r="BG153" s="89" t="n">
        <f aca="false" t="array" ref="BG153:BG153">IF(BF153="","",IFERROR(INDEX(Справочники!$B$4:$B$7,MATCH(BF153,Справочники!$A$4:$A$7,0)),""))</f>
        <v>68.5</v>
      </c>
      <c r="BH153" s="90" t="str">
        <f aca="false">IF(N(BN153)&gt;0,ROUND(SUMIF(ЗАКАЗЫ!$F$3:$F$500,$A153,ЗАКАЗЫ!$Y$3:$Y$500)/BN153,0),IF(OR(BE153="",BG153=""),"",ROUND(BE153*BG153*(1+Справочники!$B$10),0)))</f>
        <v/>
      </c>
      <c r="BI153" s="92" t="str">
        <f aca="false">IF(OR(AU153="",BH153="",AU153=0),"",(AU153-BH153)/AU153)</f>
        <v/>
      </c>
      <c r="BJ153" s="81"/>
      <c r="BK153" s="83"/>
      <c r="BL153" s="43" t="str">
        <f aca="false">IFERROR(INDEX(ЗАКАЗЫ!$N$3:$N$500,MATCH($A153,ЗАКАЗЫ!$F$3:$F$500,0)),"")</f>
        <v/>
      </c>
      <c r="BM153" s="8" t="str">
        <f aca="false">IF(BL153="","",IFERROR(VLOOKUP(BL153,'ТН ВЭД'!$A$4:$C$40,3,0),""))</f>
        <v/>
      </c>
      <c r="BN153" s="7" t="str">
        <f aca="false">IF(COUNTIF(ЗАКАЗЫ!$F$3:$F$500,$A153)=0,"",SUMIF(ЗАКАЗЫ!$F$3:$F$500,$A153,ЗАКАЗЫ!$J$3:$J$500))</f>
        <v/>
      </c>
      <c r="BO153" s="7" t="str">
        <f aca="false">IF(BN153="","",SUMIF(ЗАКАЗЫ!$F$3:$F$500,$A153,ЗАКАЗЫ!$AL$3:$AL$500))</f>
        <v/>
      </c>
      <c r="BP153" s="7" t="str">
        <f aca="false">IF(BN153="","",BN153-BO153)</f>
        <v/>
      </c>
      <c r="BQ153" s="55" t="str">
        <f aca="false">IF(BN153="","",IF(BO153&gt;=BN153,"На складе",IF(BO153&gt;0,"Частично","Ждём")))</f>
        <v/>
      </c>
      <c r="BR153" s="43"/>
      <c r="BS153" s="47" t="str">
        <f aca="false">IF(BN153="","",IF(_xlfn.MAXIFS(ЗАКАЗЫ!$AK$3:$AK$500,ЗАКАЗЫ!$F$3:$F$500,$A153)=0,"",_xlfn.MAXIFS(ЗАКАЗЫ!$AK$3:$AK$500,ЗАКАЗЫ!$F$3:$F$500,$A153)))</f>
        <v/>
      </c>
    </row>
    <row r="154" customFormat="false" ht="15.75" hidden="false" customHeight="true" outlineLevel="0" collapsed="false">
      <c r="A154" s="80" t="s">
        <v>2694</v>
      </c>
      <c r="B154" s="81"/>
      <c r="C154" s="81"/>
      <c r="D154" s="81"/>
      <c r="E154" s="83"/>
      <c r="F154" s="81"/>
      <c r="G154" s="83"/>
      <c r="H154" s="83"/>
      <c r="I154" s="84" t="str">
        <f aca="false">IF(E154="","",A154&amp;"_1.jpg")</f>
        <v/>
      </c>
      <c r="J154" s="84" t="str">
        <f aca="false">IF(E154="","",A154&amp;"_2.jpg; "&amp;A154&amp;"_3.jpg")</f>
        <v/>
      </c>
      <c r="K154" s="84" t="str">
        <f aca="false">IF(E154="","",A154&amp;"_schema.jpg")</f>
        <v/>
      </c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 t="s">
        <v>96</v>
      </c>
      <c r="W154" s="81"/>
      <c r="X154" s="81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6" t="str">
        <f aca="false">IF(SUM(Y154:AJ154)=0,"",SUM(Y154:AJ154))</f>
        <v/>
      </c>
      <c r="AL154" s="84" t="str">
        <f aca="false">MID(IF(N(Y154)&gt;0,", "&amp;Y$2,"")&amp;IF(N(Z154)&gt;0,", "&amp;Z$2,"")&amp;IF(N(AA154)&gt;0,", "&amp;AA$2,"")&amp;IF(N(AB154)&gt;0,", "&amp;AB$2,"")&amp;IF(N(AC154)&gt;0,", "&amp;AC$2,"")&amp;IF(N(AD154)&gt;0,", "&amp;AD$2,"")&amp;IF(N(AE154)&gt;0,", "&amp;AE$2,"")&amp;IF(N(AF154)&gt;0,", "&amp;AF$2,"")&amp;IF(N(AG154)&gt;0,", "&amp;AG$2,"")&amp;IF(N(AH154)&gt;0,", "&amp;AH$2,"")&amp;IF(N(AI154)&gt;0,", "&amp;AI$2,"")&amp;IF(N(AJ154)&gt;0,", "&amp;AJ$2,""),3,999)</f>
        <v/>
      </c>
      <c r="AM154" s="87" t="str">
        <f aca="false">IF(E154="","",MID(IF(N(Y154)&gt;0,", "&amp;A154&amp;"-"&amp;Y$2,"")&amp;IF(N(Z154)&gt;0,", "&amp;A154&amp;"-"&amp;Z$2,"")&amp;IF(N(AA154)&gt;0,", "&amp;A154&amp;"-"&amp;AA$2,"")&amp;IF(N(AB154)&gt;0,", "&amp;A154&amp;"-"&amp;AB$2,"")&amp;IF(N(AC154)&gt;0,", "&amp;A154&amp;"-"&amp;AC$2,"")&amp;IF(N(AD154)&gt;0,", "&amp;A154&amp;"-"&amp;AD$2,"")&amp;IF(N(AE154)&gt;0,", "&amp;A154&amp;"-"&amp;AE$2,"")&amp;IF(N(AF154)&gt;0,", "&amp;A154&amp;"-"&amp;AF$2,"")&amp;IF(N(AG154)&gt;0,", "&amp;A154&amp;"-"&amp;AG$2,"")&amp;IF(N(AH154)&gt;0,", "&amp;A154&amp;"-"&amp;AH$2,"")&amp;IF(N(AI154)&gt;0,", "&amp;A154&amp;"-"&amp;AI$2,"")&amp;IF(N(AJ154)&gt;0,", "&amp;A154&amp;"-"&amp;AJ$2,""),3,999))</f>
        <v/>
      </c>
      <c r="AN154" s="81"/>
      <c r="AO154" s="88"/>
      <c r="AP154" s="89" t="str">
        <f aca="false">IF(AO154="","",ROUND(AO154/(1+Справочники!$B$13),2))</f>
        <v/>
      </c>
      <c r="AQ154" s="90" t="str">
        <f aca="false" t="array" ref="AQ154:AQ154">IF(AP154="","",AP154*INDEX(Справочники!$B$4:$B$7,MATCH("RUB",Справочники!$A$4:$A$7,0)))</f>
        <v/>
      </c>
      <c r="AR154" s="90" t="str">
        <f aca="false">IF(AQ154="","",ROUND(AQ154*(1+Справочники!$B$12),0))</f>
        <v/>
      </c>
      <c r="AS154" s="90" t="str">
        <f aca="false">IF(AR154="","",ROUND(AR154*(1-Справочники!$B$11),0))</f>
        <v/>
      </c>
      <c r="AT154" s="88"/>
      <c r="AU154" s="90" t="str">
        <f aca="false">IF(AT154="","",ROUND(AT154/(1+Справочники!$B$12),0))</f>
        <v/>
      </c>
      <c r="AV154" s="90" t="str">
        <f aca="false">IF(AT154="","",ROUND(AT154*(1-Справочники!$B$15),0))</f>
        <v/>
      </c>
      <c r="AW154" s="90" t="str">
        <f aca="false">IF(AT154="","",ROUND(AT154*(1-Справочники!$B$16),0))</f>
        <v/>
      </c>
      <c r="AX154" s="90" t="str">
        <f aca="false">IF(AT154="","",ROUND(AT154*(1-Справочники!$B$17),0))</f>
        <v/>
      </c>
      <c r="AY154" s="90" t="str">
        <f aca="false">IF(AT154="","",ROUND(AT154*(1-Справочники!$B$18),0))</f>
        <v/>
      </c>
      <c r="AZ154" s="90" t="str">
        <f aca="false">IF(AT154="","",ROUND(AT154*(1-Справочники!$B$19),0))</f>
        <v/>
      </c>
      <c r="BA154" s="81"/>
      <c r="BB154" s="81"/>
      <c r="BC154" s="81"/>
      <c r="BD154" s="81"/>
      <c r="BE154" s="91"/>
      <c r="BF154" s="81" t="s">
        <v>103</v>
      </c>
      <c r="BG154" s="89" t="n">
        <f aca="false" t="array" ref="BG154:BG154">IF(BF154="","",IFERROR(INDEX(Справочники!$B$4:$B$7,MATCH(BF154,Справочники!$A$4:$A$7,0)),""))</f>
        <v>68.5</v>
      </c>
      <c r="BH154" s="90" t="str">
        <f aca="false">IF(N(BN154)&gt;0,ROUND(SUMIF(ЗАКАЗЫ!$F$3:$F$500,$A154,ЗАКАЗЫ!$Y$3:$Y$500)/BN154,0),IF(OR(BE154="",BG154=""),"",ROUND(BE154*BG154*(1+Справочники!$B$10),0)))</f>
        <v/>
      </c>
      <c r="BI154" s="92" t="str">
        <f aca="false">IF(OR(AU154="",BH154="",AU154=0),"",(AU154-BH154)/AU154)</f>
        <v/>
      </c>
      <c r="BJ154" s="81"/>
      <c r="BK154" s="83"/>
      <c r="BL154" s="43" t="str">
        <f aca="false">IFERROR(INDEX(ЗАКАЗЫ!$N$3:$N$500,MATCH($A154,ЗАКАЗЫ!$F$3:$F$500,0)),"")</f>
        <v/>
      </c>
      <c r="BM154" s="8" t="str">
        <f aca="false">IF(BL154="","",IFERROR(VLOOKUP(BL154,'ТН ВЭД'!$A$4:$C$40,3,0),""))</f>
        <v/>
      </c>
      <c r="BN154" s="7" t="str">
        <f aca="false">IF(COUNTIF(ЗАКАЗЫ!$F$3:$F$500,$A154)=0,"",SUMIF(ЗАКАЗЫ!$F$3:$F$500,$A154,ЗАКАЗЫ!$J$3:$J$500))</f>
        <v/>
      </c>
      <c r="BO154" s="7" t="str">
        <f aca="false">IF(BN154="","",SUMIF(ЗАКАЗЫ!$F$3:$F$500,$A154,ЗАКАЗЫ!$AL$3:$AL$500))</f>
        <v/>
      </c>
      <c r="BP154" s="7" t="str">
        <f aca="false">IF(BN154="","",BN154-BO154)</f>
        <v/>
      </c>
      <c r="BQ154" s="55" t="str">
        <f aca="false">IF(BN154="","",IF(BO154&gt;=BN154,"На складе",IF(BO154&gt;0,"Частично","Ждём")))</f>
        <v/>
      </c>
      <c r="BR154" s="43"/>
      <c r="BS154" s="47" t="str">
        <f aca="false">IF(BN154="","",IF(_xlfn.MAXIFS(ЗАКАЗЫ!$AK$3:$AK$500,ЗАКАЗЫ!$F$3:$F$500,$A154)=0,"",_xlfn.MAXIFS(ЗАКАЗЫ!$AK$3:$AK$500,ЗАКАЗЫ!$F$3:$F$500,$A154)))</f>
        <v/>
      </c>
    </row>
    <row r="155" customFormat="false" ht="15.75" hidden="false" customHeight="true" outlineLevel="0" collapsed="false">
      <c r="A155" s="80" t="s">
        <v>2695</v>
      </c>
      <c r="B155" s="81"/>
      <c r="C155" s="81"/>
      <c r="D155" s="81"/>
      <c r="E155" s="83"/>
      <c r="F155" s="81"/>
      <c r="G155" s="83"/>
      <c r="H155" s="83"/>
      <c r="I155" s="84" t="str">
        <f aca="false">IF(E155="","",A155&amp;"_1.jpg")</f>
        <v/>
      </c>
      <c r="J155" s="84" t="str">
        <f aca="false">IF(E155="","",A155&amp;"_2.jpg; "&amp;A155&amp;"_3.jpg")</f>
        <v/>
      </c>
      <c r="K155" s="84" t="str">
        <f aca="false">IF(E155="","",A155&amp;"_schema.jpg")</f>
        <v/>
      </c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 t="s">
        <v>96</v>
      </c>
      <c r="W155" s="81"/>
      <c r="X155" s="81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6" t="str">
        <f aca="false">IF(SUM(Y155:AJ155)=0,"",SUM(Y155:AJ155))</f>
        <v/>
      </c>
      <c r="AL155" s="84" t="str">
        <f aca="false">MID(IF(N(Y155)&gt;0,", "&amp;Y$2,"")&amp;IF(N(Z155)&gt;0,", "&amp;Z$2,"")&amp;IF(N(AA155)&gt;0,", "&amp;AA$2,"")&amp;IF(N(AB155)&gt;0,", "&amp;AB$2,"")&amp;IF(N(AC155)&gt;0,", "&amp;AC$2,"")&amp;IF(N(AD155)&gt;0,", "&amp;AD$2,"")&amp;IF(N(AE155)&gt;0,", "&amp;AE$2,"")&amp;IF(N(AF155)&gt;0,", "&amp;AF$2,"")&amp;IF(N(AG155)&gt;0,", "&amp;AG$2,"")&amp;IF(N(AH155)&gt;0,", "&amp;AH$2,"")&amp;IF(N(AI155)&gt;0,", "&amp;AI$2,"")&amp;IF(N(AJ155)&gt;0,", "&amp;AJ$2,""),3,999)</f>
        <v/>
      </c>
      <c r="AM155" s="87" t="str">
        <f aca="false">IF(E155="","",MID(IF(N(Y155)&gt;0,", "&amp;A155&amp;"-"&amp;Y$2,"")&amp;IF(N(Z155)&gt;0,", "&amp;A155&amp;"-"&amp;Z$2,"")&amp;IF(N(AA155)&gt;0,", "&amp;A155&amp;"-"&amp;AA$2,"")&amp;IF(N(AB155)&gt;0,", "&amp;A155&amp;"-"&amp;AB$2,"")&amp;IF(N(AC155)&gt;0,", "&amp;A155&amp;"-"&amp;AC$2,"")&amp;IF(N(AD155)&gt;0,", "&amp;A155&amp;"-"&amp;AD$2,"")&amp;IF(N(AE155)&gt;0,", "&amp;A155&amp;"-"&amp;AE$2,"")&amp;IF(N(AF155)&gt;0,", "&amp;A155&amp;"-"&amp;AF$2,"")&amp;IF(N(AG155)&gt;0,", "&amp;A155&amp;"-"&amp;AG$2,"")&amp;IF(N(AH155)&gt;0,", "&amp;A155&amp;"-"&amp;AH$2,"")&amp;IF(N(AI155)&gt;0,", "&amp;A155&amp;"-"&amp;AI$2,"")&amp;IF(N(AJ155)&gt;0,", "&amp;A155&amp;"-"&amp;AJ$2,""),3,999))</f>
        <v/>
      </c>
      <c r="AN155" s="81"/>
      <c r="AO155" s="88"/>
      <c r="AP155" s="89" t="str">
        <f aca="false">IF(AO155="","",ROUND(AO155/(1+Справочники!$B$13),2))</f>
        <v/>
      </c>
      <c r="AQ155" s="90" t="str">
        <f aca="false" t="array" ref="AQ155:AQ155">IF(AP155="","",AP155*INDEX(Справочники!$B$4:$B$7,MATCH("RUB",Справочники!$A$4:$A$7,0)))</f>
        <v/>
      </c>
      <c r="AR155" s="90" t="str">
        <f aca="false">IF(AQ155="","",ROUND(AQ155*(1+Справочники!$B$12),0))</f>
        <v/>
      </c>
      <c r="AS155" s="90" t="str">
        <f aca="false">IF(AR155="","",ROUND(AR155*(1-Справочники!$B$11),0))</f>
        <v/>
      </c>
      <c r="AT155" s="88"/>
      <c r="AU155" s="90" t="str">
        <f aca="false">IF(AT155="","",ROUND(AT155/(1+Справочники!$B$12),0))</f>
        <v/>
      </c>
      <c r="AV155" s="90" t="str">
        <f aca="false">IF(AT155="","",ROUND(AT155*(1-Справочники!$B$15),0))</f>
        <v/>
      </c>
      <c r="AW155" s="90" t="str">
        <f aca="false">IF(AT155="","",ROUND(AT155*(1-Справочники!$B$16),0))</f>
        <v/>
      </c>
      <c r="AX155" s="90" t="str">
        <f aca="false">IF(AT155="","",ROUND(AT155*(1-Справочники!$B$17),0))</f>
        <v/>
      </c>
      <c r="AY155" s="90" t="str">
        <f aca="false">IF(AT155="","",ROUND(AT155*(1-Справочники!$B$18),0))</f>
        <v/>
      </c>
      <c r="AZ155" s="90" t="str">
        <f aca="false">IF(AT155="","",ROUND(AT155*(1-Справочники!$B$19),0))</f>
        <v/>
      </c>
      <c r="BA155" s="81"/>
      <c r="BB155" s="81"/>
      <c r="BC155" s="81"/>
      <c r="BD155" s="81"/>
      <c r="BE155" s="91"/>
      <c r="BF155" s="81" t="s">
        <v>103</v>
      </c>
      <c r="BG155" s="89" t="n">
        <f aca="false" t="array" ref="BG155:BG155">IF(BF155="","",IFERROR(INDEX(Справочники!$B$4:$B$7,MATCH(BF155,Справочники!$A$4:$A$7,0)),""))</f>
        <v>68.5</v>
      </c>
      <c r="BH155" s="90" t="str">
        <f aca="false">IF(N(BN155)&gt;0,ROUND(SUMIF(ЗАКАЗЫ!$F$3:$F$500,$A155,ЗАКАЗЫ!$Y$3:$Y$500)/BN155,0),IF(OR(BE155="",BG155=""),"",ROUND(BE155*BG155*(1+Справочники!$B$10),0)))</f>
        <v/>
      </c>
      <c r="BI155" s="92" t="str">
        <f aca="false">IF(OR(AU155="",BH155="",AU155=0),"",(AU155-BH155)/AU155)</f>
        <v/>
      </c>
      <c r="BJ155" s="81"/>
      <c r="BK155" s="83"/>
      <c r="BL155" s="43" t="str">
        <f aca="false">IFERROR(INDEX(ЗАКАЗЫ!$N$3:$N$500,MATCH($A155,ЗАКАЗЫ!$F$3:$F$500,0)),"")</f>
        <v/>
      </c>
      <c r="BM155" s="8" t="str">
        <f aca="false">IF(BL155="","",IFERROR(VLOOKUP(BL155,'ТН ВЭД'!$A$4:$C$40,3,0),""))</f>
        <v/>
      </c>
      <c r="BN155" s="7" t="str">
        <f aca="false">IF(COUNTIF(ЗАКАЗЫ!$F$3:$F$500,$A155)=0,"",SUMIF(ЗАКАЗЫ!$F$3:$F$500,$A155,ЗАКАЗЫ!$J$3:$J$500))</f>
        <v/>
      </c>
      <c r="BO155" s="7" t="str">
        <f aca="false">IF(BN155="","",SUMIF(ЗАКАЗЫ!$F$3:$F$500,$A155,ЗАКАЗЫ!$AL$3:$AL$500))</f>
        <v/>
      </c>
      <c r="BP155" s="7" t="str">
        <f aca="false">IF(BN155="","",BN155-BO155)</f>
        <v/>
      </c>
      <c r="BQ155" s="55" t="str">
        <f aca="false">IF(BN155="","",IF(BO155&gt;=BN155,"На складе",IF(BO155&gt;0,"Частично","Ждём")))</f>
        <v/>
      </c>
      <c r="BR155" s="43"/>
      <c r="BS155" s="47" t="str">
        <f aca="false">IF(BN155="","",IF(_xlfn.MAXIFS(ЗАКАЗЫ!$AK$3:$AK$500,ЗАКАЗЫ!$F$3:$F$500,$A155)=0,"",_xlfn.MAXIFS(ЗАКАЗЫ!$AK$3:$AK$500,ЗАКАЗЫ!$F$3:$F$500,$A155)))</f>
        <v/>
      </c>
    </row>
    <row r="156" customFormat="false" ht="15.75" hidden="false" customHeight="true" outlineLevel="0" collapsed="false">
      <c r="A156" s="80" t="s">
        <v>2696</v>
      </c>
      <c r="B156" s="81"/>
      <c r="C156" s="81"/>
      <c r="D156" s="81"/>
      <c r="E156" s="83"/>
      <c r="F156" s="81"/>
      <c r="G156" s="83"/>
      <c r="H156" s="83"/>
      <c r="I156" s="84" t="str">
        <f aca="false">IF(E156="","",A156&amp;"_1.jpg")</f>
        <v/>
      </c>
      <c r="J156" s="84" t="str">
        <f aca="false">IF(E156="","",A156&amp;"_2.jpg; "&amp;A156&amp;"_3.jpg")</f>
        <v/>
      </c>
      <c r="K156" s="84" t="str">
        <f aca="false">IF(E156="","",A156&amp;"_schema.jpg")</f>
        <v/>
      </c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 t="s">
        <v>96</v>
      </c>
      <c r="W156" s="81"/>
      <c r="X156" s="81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6" t="str">
        <f aca="false">IF(SUM(Y156:AJ156)=0,"",SUM(Y156:AJ156))</f>
        <v/>
      </c>
      <c r="AL156" s="84" t="str">
        <f aca="false">MID(IF(N(Y156)&gt;0,", "&amp;Y$2,"")&amp;IF(N(Z156)&gt;0,", "&amp;Z$2,"")&amp;IF(N(AA156)&gt;0,", "&amp;AA$2,"")&amp;IF(N(AB156)&gt;0,", "&amp;AB$2,"")&amp;IF(N(AC156)&gt;0,", "&amp;AC$2,"")&amp;IF(N(AD156)&gt;0,", "&amp;AD$2,"")&amp;IF(N(AE156)&gt;0,", "&amp;AE$2,"")&amp;IF(N(AF156)&gt;0,", "&amp;AF$2,"")&amp;IF(N(AG156)&gt;0,", "&amp;AG$2,"")&amp;IF(N(AH156)&gt;0,", "&amp;AH$2,"")&amp;IF(N(AI156)&gt;0,", "&amp;AI$2,"")&amp;IF(N(AJ156)&gt;0,", "&amp;AJ$2,""),3,999)</f>
        <v/>
      </c>
      <c r="AM156" s="87" t="str">
        <f aca="false">IF(E156="","",MID(IF(N(Y156)&gt;0,", "&amp;A156&amp;"-"&amp;Y$2,"")&amp;IF(N(Z156)&gt;0,", "&amp;A156&amp;"-"&amp;Z$2,"")&amp;IF(N(AA156)&gt;0,", "&amp;A156&amp;"-"&amp;AA$2,"")&amp;IF(N(AB156)&gt;0,", "&amp;A156&amp;"-"&amp;AB$2,"")&amp;IF(N(AC156)&gt;0,", "&amp;A156&amp;"-"&amp;AC$2,"")&amp;IF(N(AD156)&gt;0,", "&amp;A156&amp;"-"&amp;AD$2,"")&amp;IF(N(AE156)&gt;0,", "&amp;A156&amp;"-"&amp;AE$2,"")&amp;IF(N(AF156)&gt;0,", "&amp;A156&amp;"-"&amp;AF$2,"")&amp;IF(N(AG156)&gt;0,", "&amp;A156&amp;"-"&amp;AG$2,"")&amp;IF(N(AH156)&gt;0,", "&amp;A156&amp;"-"&amp;AH$2,"")&amp;IF(N(AI156)&gt;0,", "&amp;A156&amp;"-"&amp;AI$2,"")&amp;IF(N(AJ156)&gt;0,", "&amp;A156&amp;"-"&amp;AJ$2,""),3,999))</f>
        <v/>
      </c>
      <c r="AN156" s="81"/>
      <c r="AO156" s="88"/>
      <c r="AP156" s="89" t="str">
        <f aca="false">IF(AO156="","",ROUND(AO156/(1+Справочники!$B$13),2))</f>
        <v/>
      </c>
      <c r="AQ156" s="90" t="str">
        <f aca="false" t="array" ref="AQ156:AQ156">IF(AP156="","",AP156*INDEX(Справочники!$B$4:$B$7,MATCH("RUB",Справочники!$A$4:$A$7,0)))</f>
        <v/>
      </c>
      <c r="AR156" s="90" t="str">
        <f aca="false">IF(AQ156="","",ROUND(AQ156*(1+Справочники!$B$12),0))</f>
        <v/>
      </c>
      <c r="AS156" s="90" t="str">
        <f aca="false">IF(AR156="","",ROUND(AR156*(1-Справочники!$B$11),0))</f>
        <v/>
      </c>
      <c r="AT156" s="88"/>
      <c r="AU156" s="90" t="str">
        <f aca="false">IF(AT156="","",ROUND(AT156/(1+Справочники!$B$12),0))</f>
        <v/>
      </c>
      <c r="AV156" s="90" t="str">
        <f aca="false">IF(AT156="","",ROUND(AT156*(1-Справочники!$B$15),0))</f>
        <v/>
      </c>
      <c r="AW156" s="90" t="str">
        <f aca="false">IF(AT156="","",ROUND(AT156*(1-Справочники!$B$16),0))</f>
        <v/>
      </c>
      <c r="AX156" s="90" t="str">
        <f aca="false">IF(AT156="","",ROUND(AT156*(1-Справочники!$B$17),0))</f>
        <v/>
      </c>
      <c r="AY156" s="90" t="str">
        <f aca="false">IF(AT156="","",ROUND(AT156*(1-Справочники!$B$18),0))</f>
        <v/>
      </c>
      <c r="AZ156" s="90" t="str">
        <f aca="false">IF(AT156="","",ROUND(AT156*(1-Справочники!$B$19),0))</f>
        <v/>
      </c>
      <c r="BA156" s="81"/>
      <c r="BB156" s="81"/>
      <c r="BC156" s="81"/>
      <c r="BD156" s="81"/>
      <c r="BE156" s="91"/>
      <c r="BF156" s="81" t="s">
        <v>103</v>
      </c>
      <c r="BG156" s="89" t="n">
        <f aca="false" t="array" ref="BG156:BG156">IF(BF156="","",IFERROR(INDEX(Справочники!$B$4:$B$7,MATCH(BF156,Справочники!$A$4:$A$7,0)),""))</f>
        <v>68.5</v>
      </c>
      <c r="BH156" s="90" t="str">
        <f aca="false">IF(N(BN156)&gt;0,ROUND(SUMIF(ЗАКАЗЫ!$F$3:$F$500,$A156,ЗАКАЗЫ!$Y$3:$Y$500)/BN156,0),IF(OR(BE156="",BG156=""),"",ROUND(BE156*BG156*(1+Справочники!$B$10),0)))</f>
        <v/>
      </c>
      <c r="BI156" s="92" t="str">
        <f aca="false">IF(OR(AU156="",BH156="",AU156=0),"",(AU156-BH156)/AU156)</f>
        <v/>
      </c>
      <c r="BJ156" s="81"/>
      <c r="BK156" s="83"/>
      <c r="BL156" s="43" t="str">
        <f aca="false">IFERROR(INDEX(ЗАКАЗЫ!$N$3:$N$500,MATCH($A156,ЗАКАЗЫ!$F$3:$F$500,0)),"")</f>
        <v/>
      </c>
      <c r="BM156" s="8" t="str">
        <f aca="false">IF(BL156="","",IFERROR(VLOOKUP(BL156,'ТН ВЭД'!$A$4:$C$40,3,0),""))</f>
        <v/>
      </c>
      <c r="BN156" s="7" t="str">
        <f aca="false">IF(COUNTIF(ЗАКАЗЫ!$F$3:$F$500,$A156)=0,"",SUMIF(ЗАКАЗЫ!$F$3:$F$500,$A156,ЗАКАЗЫ!$J$3:$J$500))</f>
        <v/>
      </c>
      <c r="BO156" s="7" t="str">
        <f aca="false">IF(BN156="","",SUMIF(ЗАКАЗЫ!$F$3:$F$500,$A156,ЗАКАЗЫ!$AL$3:$AL$500))</f>
        <v/>
      </c>
      <c r="BP156" s="7" t="str">
        <f aca="false">IF(BN156="","",BN156-BO156)</f>
        <v/>
      </c>
      <c r="BQ156" s="55" t="str">
        <f aca="false">IF(BN156="","",IF(BO156&gt;=BN156,"На складе",IF(BO156&gt;0,"Частично","Ждём")))</f>
        <v/>
      </c>
      <c r="BR156" s="43"/>
      <c r="BS156" s="47" t="str">
        <f aca="false">IF(BN156="","",IF(_xlfn.MAXIFS(ЗАКАЗЫ!$AK$3:$AK$500,ЗАКАЗЫ!$F$3:$F$500,$A156)=0,"",_xlfn.MAXIFS(ЗАКАЗЫ!$AK$3:$AK$500,ЗАКАЗЫ!$F$3:$F$500,$A156)))</f>
        <v/>
      </c>
    </row>
    <row r="157" customFormat="false" ht="15.75" hidden="false" customHeight="true" outlineLevel="0" collapsed="false">
      <c r="A157" s="80" t="s">
        <v>2697</v>
      </c>
      <c r="B157" s="81"/>
      <c r="C157" s="81"/>
      <c r="D157" s="81"/>
      <c r="E157" s="83"/>
      <c r="F157" s="81"/>
      <c r="G157" s="83"/>
      <c r="H157" s="83"/>
      <c r="I157" s="84" t="str">
        <f aca="false">IF(E157="","",A157&amp;"_1.jpg")</f>
        <v/>
      </c>
      <c r="J157" s="84" t="str">
        <f aca="false">IF(E157="","",A157&amp;"_2.jpg; "&amp;A157&amp;"_3.jpg")</f>
        <v/>
      </c>
      <c r="K157" s="84" t="str">
        <f aca="false">IF(E157="","",A157&amp;"_schema.jpg")</f>
        <v/>
      </c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 t="s">
        <v>96</v>
      </c>
      <c r="W157" s="81"/>
      <c r="X157" s="81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6" t="str">
        <f aca="false">IF(SUM(Y157:AJ157)=0,"",SUM(Y157:AJ157))</f>
        <v/>
      </c>
      <c r="AL157" s="84" t="str">
        <f aca="false">MID(IF(N(Y157)&gt;0,", "&amp;Y$2,"")&amp;IF(N(Z157)&gt;0,", "&amp;Z$2,"")&amp;IF(N(AA157)&gt;0,", "&amp;AA$2,"")&amp;IF(N(AB157)&gt;0,", "&amp;AB$2,"")&amp;IF(N(AC157)&gt;0,", "&amp;AC$2,"")&amp;IF(N(AD157)&gt;0,", "&amp;AD$2,"")&amp;IF(N(AE157)&gt;0,", "&amp;AE$2,"")&amp;IF(N(AF157)&gt;0,", "&amp;AF$2,"")&amp;IF(N(AG157)&gt;0,", "&amp;AG$2,"")&amp;IF(N(AH157)&gt;0,", "&amp;AH$2,"")&amp;IF(N(AI157)&gt;0,", "&amp;AI$2,"")&amp;IF(N(AJ157)&gt;0,", "&amp;AJ$2,""),3,999)</f>
        <v/>
      </c>
      <c r="AM157" s="87" t="str">
        <f aca="false">IF(E157="","",MID(IF(N(Y157)&gt;0,", "&amp;A157&amp;"-"&amp;Y$2,"")&amp;IF(N(Z157)&gt;0,", "&amp;A157&amp;"-"&amp;Z$2,"")&amp;IF(N(AA157)&gt;0,", "&amp;A157&amp;"-"&amp;AA$2,"")&amp;IF(N(AB157)&gt;0,", "&amp;A157&amp;"-"&amp;AB$2,"")&amp;IF(N(AC157)&gt;0,", "&amp;A157&amp;"-"&amp;AC$2,"")&amp;IF(N(AD157)&gt;0,", "&amp;A157&amp;"-"&amp;AD$2,"")&amp;IF(N(AE157)&gt;0,", "&amp;A157&amp;"-"&amp;AE$2,"")&amp;IF(N(AF157)&gt;0,", "&amp;A157&amp;"-"&amp;AF$2,"")&amp;IF(N(AG157)&gt;0,", "&amp;A157&amp;"-"&amp;AG$2,"")&amp;IF(N(AH157)&gt;0,", "&amp;A157&amp;"-"&amp;AH$2,"")&amp;IF(N(AI157)&gt;0,", "&amp;A157&amp;"-"&amp;AI$2,"")&amp;IF(N(AJ157)&gt;0,", "&amp;A157&amp;"-"&amp;AJ$2,""),3,999))</f>
        <v/>
      </c>
      <c r="AN157" s="81"/>
      <c r="AO157" s="88"/>
      <c r="AP157" s="89" t="str">
        <f aca="false">IF(AO157="","",ROUND(AO157/(1+Справочники!$B$13),2))</f>
        <v/>
      </c>
      <c r="AQ157" s="90" t="str">
        <f aca="false" t="array" ref="AQ157:AQ157">IF(AP157="","",AP157*INDEX(Справочники!$B$4:$B$7,MATCH("RUB",Справочники!$A$4:$A$7,0)))</f>
        <v/>
      </c>
      <c r="AR157" s="90" t="str">
        <f aca="false">IF(AQ157="","",ROUND(AQ157*(1+Справочники!$B$12),0))</f>
        <v/>
      </c>
      <c r="AS157" s="90" t="str">
        <f aca="false">IF(AR157="","",ROUND(AR157*(1-Справочники!$B$11),0))</f>
        <v/>
      </c>
      <c r="AT157" s="88"/>
      <c r="AU157" s="90" t="str">
        <f aca="false">IF(AT157="","",ROUND(AT157/(1+Справочники!$B$12),0))</f>
        <v/>
      </c>
      <c r="AV157" s="90" t="str">
        <f aca="false">IF(AT157="","",ROUND(AT157*(1-Справочники!$B$15),0))</f>
        <v/>
      </c>
      <c r="AW157" s="90" t="str">
        <f aca="false">IF(AT157="","",ROUND(AT157*(1-Справочники!$B$16),0))</f>
        <v/>
      </c>
      <c r="AX157" s="90" t="str">
        <f aca="false">IF(AT157="","",ROUND(AT157*(1-Справочники!$B$17),0))</f>
        <v/>
      </c>
      <c r="AY157" s="90" t="str">
        <f aca="false">IF(AT157="","",ROUND(AT157*(1-Справочники!$B$18),0))</f>
        <v/>
      </c>
      <c r="AZ157" s="90" t="str">
        <f aca="false">IF(AT157="","",ROUND(AT157*(1-Справочники!$B$19),0))</f>
        <v/>
      </c>
      <c r="BA157" s="81"/>
      <c r="BB157" s="81"/>
      <c r="BC157" s="81"/>
      <c r="BD157" s="81"/>
      <c r="BE157" s="91"/>
      <c r="BF157" s="81" t="s">
        <v>103</v>
      </c>
      <c r="BG157" s="89" t="n">
        <f aca="false" t="array" ref="BG157:BG157">IF(BF157="","",IFERROR(INDEX(Справочники!$B$4:$B$7,MATCH(BF157,Справочники!$A$4:$A$7,0)),""))</f>
        <v>68.5</v>
      </c>
      <c r="BH157" s="90" t="str">
        <f aca="false">IF(N(BN157)&gt;0,ROUND(SUMIF(ЗАКАЗЫ!$F$3:$F$500,$A157,ЗАКАЗЫ!$Y$3:$Y$500)/BN157,0),IF(OR(BE157="",BG157=""),"",ROUND(BE157*BG157*(1+Справочники!$B$10),0)))</f>
        <v/>
      </c>
      <c r="BI157" s="92" t="str">
        <f aca="false">IF(OR(AU157="",BH157="",AU157=0),"",(AU157-BH157)/AU157)</f>
        <v/>
      </c>
      <c r="BJ157" s="81"/>
      <c r="BK157" s="83"/>
      <c r="BL157" s="43" t="str">
        <f aca="false">IFERROR(INDEX(ЗАКАЗЫ!$N$3:$N$500,MATCH($A157,ЗАКАЗЫ!$F$3:$F$500,0)),"")</f>
        <v/>
      </c>
      <c r="BM157" s="8" t="str">
        <f aca="false">IF(BL157="","",IFERROR(VLOOKUP(BL157,'ТН ВЭД'!$A$4:$C$40,3,0),""))</f>
        <v/>
      </c>
      <c r="BN157" s="7" t="str">
        <f aca="false">IF(COUNTIF(ЗАКАЗЫ!$F$3:$F$500,$A157)=0,"",SUMIF(ЗАКАЗЫ!$F$3:$F$500,$A157,ЗАКАЗЫ!$J$3:$J$500))</f>
        <v/>
      </c>
      <c r="BO157" s="7" t="str">
        <f aca="false">IF(BN157="","",SUMIF(ЗАКАЗЫ!$F$3:$F$500,$A157,ЗАКАЗЫ!$AL$3:$AL$500))</f>
        <v/>
      </c>
      <c r="BP157" s="7" t="str">
        <f aca="false">IF(BN157="","",BN157-BO157)</f>
        <v/>
      </c>
      <c r="BQ157" s="55" t="str">
        <f aca="false">IF(BN157="","",IF(BO157&gt;=BN157,"На складе",IF(BO157&gt;0,"Частично","Ждём")))</f>
        <v/>
      </c>
      <c r="BR157" s="43"/>
      <c r="BS157" s="47" t="str">
        <f aca="false">IF(BN157="","",IF(_xlfn.MAXIFS(ЗАКАЗЫ!$AK$3:$AK$500,ЗАКАЗЫ!$F$3:$F$500,$A157)=0,"",_xlfn.MAXIFS(ЗАКАЗЫ!$AK$3:$AK$500,ЗАКАЗЫ!$F$3:$F$500,$A157)))</f>
        <v/>
      </c>
    </row>
    <row r="158" customFormat="false" ht="15.75" hidden="false" customHeight="true" outlineLevel="0" collapsed="false">
      <c r="A158" s="80" t="s">
        <v>2698</v>
      </c>
      <c r="B158" s="81"/>
      <c r="C158" s="81"/>
      <c r="D158" s="81"/>
      <c r="E158" s="83"/>
      <c r="F158" s="81"/>
      <c r="G158" s="83"/>
      <c r="H158" s="83"/>
      <c r="I158" s="84" t="str">
        <f aca="false">IF(E158="","",A158&amp;"_1.jpg")</f>
        <v/>
      </c>
      <c r="J158" s="84" t="str">
        <f aca="false">IF(E158="","",A158&amp;"_2.jpg; "&amp;A158&amp;"_3.jpg")</f>
        <v/>
      </c>
      <c r="K158" s="84" t="str">
        <f aca="false">IF(E158="","",A158&amp;"_schema.jpg")</f>
        <v/>
      </c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 t="s">
        <v>96</v>
      </c>
      <c r="W158" s="81"/>
      <c r="X158" s="81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6" t="str">
        <f aca="false">IF(SUM(Y158:AJ158)=0,"",SUM(Y158:AJ158))</f>
        <v/>
      </c>
      <c r="AL158" s="84" t="str">
        <f aca="false">MID(IF(N(Y158)&gt;0,", "&amp;Y$2,"")&amp;IF(N(Z158)&gt;0,", "&amp;Z$2,"")&amp;IF(N(AA158)&gt;0,", "&amp;AA$2,"")&amp;IF(N(AB158)&gt;0,", "&amp;AB$2,"")&amp;IF(N(AC158)&gt;0,", "&amp;AC$2,"")&amp;IF(N(AD158)&gt;0,", "&amp;AD$2,"")&amp;IF(N(AE158)&gt;0,", "&amp;AE$2,"")&amp;IF(N(AF158)&gt;0,", "&amp;AF$2,"")&amp;IF(N(AG158)&gt;0,", "&amp;AG$2,"")&amp;IF(N(AH158)&gt;0,", "&amp;AH$2,"")&amp;IF(N(AI158)&gt;0,", "&amp;AI$2,"")&amp;IF(N(AJ158)&gt;0,", "&amp;AJ$2,""),3,999)</f>
        <v/>
      </c>
      <c r="AM158" s="87" t="str">
        <f aca="false">IF(E158="","",MID(IF(N(Y158)&gt;0,", "&amp;A158&amp;"-"&amp;Y$2,"")&amp;IF(N(Z158)&gt;0,", "&amp;A158&amp;"-"&amp;Z$2,"")&amp;IF(N(AA158)&gt;0,", "&amp;A158&amp;"-"&amp;AA$2,"")&amp;IF(N(AB158)&gt;0,", "&amp;A158&amp;"-"&amp;AB$2,"")&amp;IF(N(AC158)&gt;0,", "&amp;A158&amp;"-"&amp;AC$2,"")&amp;IF(N(AD158)&gt;0,", "&amp;A158&amp;"-"&amp;AD$2,"")&amp;IF(N(AE158)&gt;0,", "&amp;A158&amp;"-"&amp;AE$2,"")&amp;IF(N(AF158)&gt;0,", "&amp;A158&amp;"-"&amp;AF$2,"")&amp;IF(N(AG158)&gt;0,", "&amp;A158&amp;"-"&amp;AG$2,"")&amp;IF(N(AH158)&gt;0,", "&amp;A158&amp;"-"&amp;AH$2,"")&amp;IF(N(AI158)&gt;0,", "&amp;A158&amp;"-"&amp;AI$2,"")&amp;IF(N(AJ158)&gt;0,", "&amp;A158&amp;"-"&amp;AJ$2,""),3,999))</f>
        <v/>
      </c>
      <c r="AN158" s="81"/>
      <c r="AO158" s="88"/>
      <c r="AP158" s="89" t="str">
        <f aca="false">IF(AO158="","",ROUND(AO158/(1+Справочники!$B$13),2))</f>
        <v/>
      </c>
      <c r="AQ158" s="90" t="str">
        <f aca="false" t="array" ref="AQ158:AQ158">IF(AP158="","",AP158*INDEX(Справочники!$B$4:$B$7,MATCH("RUB",Справочники!$A$4:$A$7,0)))</f>
        <v/>
      </c>
      <c r="AR158" s="90" t="str">
        <f aca="false">IF(AQ158="","",ROUND(AQ158*(1+Справочники!$B$12),0))</f>
        <v/>
      </c>
      <c r="AS158" s="90" t="str">
        <f aca="false">IF(AR158="","",ROUND(AR158*(1-Справочники!$B$11),0))</f>
        <v/>
      </c>
      <c r="AT158" s="88"/>
      <c r="AU158" s="90" t="str">
        <f aca="false">IF(AT158="","",ROUND(AT158/(1+Справочники!$B$12),0))</f>
        <v/>
      </c>
      <c r="AV158" s="90" t="str">
        <f aca="false">IF(AT158="","",ROUND(AT158*(1-Справочники!$B$15),0))</f>
        <v/>
      </c>
      <c r="AW158" s="90" t="str">
        <f aca="false">IF(AT158="","",ROUND(AT158*(1-Справочники!$B$16),0))</f>
        <v/>
      </c>
      <c r="AX158" s="90" t="str">
        <f aca="false">IF(AT158="","",ROUND(AT158*(1-Справочники!$B$17),0))</f>
        <v/>
      </c>
      <c r="AY158" s="90" t="str">
        <f aca="false">IF(AT158="","",ROUND(AT158*(1-Справочники!$B$18),0))</f>
        <v/>
      </c>
      <c r="AZ158" s="90" t="str">
        <f aca="false">IF(AT158="","",ROUND(AT158*(1-Справочники!$B$19),0))</f>
        <v/>
      </c>
      <c r="BA158" s="81"/>
      <c r="BB158" s="81"/>
      <c r="BC158" s="81"/>
      <c r="BD158" s="81"/>
      <c r="BE158" s="91"/>
      <c r="BF158" s="81" t="s">
        <v>103</v>
      </c>
      <c r="BG158" s="89" t="n">
        <f aca="false" t="array" ref="BG158:BG158">IF(BF158="","",IFERROR(INDEX(Справочники!$B$4:$B$7,MATCH(BF158,Справочники!$A$4:$A$7,0)),""))</f>
        <v>68.5</v>
      </c>
      <c r="BH158" s="90" t="str">
        <f aca="false">IF(N(BN158)&gt;0,ROUND(SUMIF(ЗАКАЗЫ!$F$3:$F$500,$A158,ЗАКАЗЫ!$Y$3:$Y$500)/BN158,0),IF(OR(BE158="",BG158=""),"",ROUND(BE158*BG158*(1+Справочники!$B$10),0)))</f>
        <v/>
      </c>
      <c r="BI158" s="92" t="str">
        <f aca="false">IF(OR(AU158="",BH158="",AU158=0),"",(AU158-BH158)/AU158)</f>
        <v/>
      </c>
      <c r="BJ158" s="81"/>
      <c r="BK158" s="83"/>
      <c r="BL158" s="43" t="str">
        <f aca="false">IFERROR(INDEX(ЗАКАЗЫ!$N$3:$N$500,MATCH($A158,ЗАКАЗЫ!$F$3:$F$500,0)),"")</f>
        <v/>
      </c>
      <c r="BM158" s="8" t="str">
        <f aca="false">IF(BL158="","",IFERROR(VLOOKUP(BL158,'ТН ВЭД'!$A$4:$C$40,3,0),""))</f>
        <v/>
      </c>
      <c r="BN158" s="7" t="str">
        <f aca="false">IF(COUNTIF(ЗАКАЗЫ!$F$3:$F$500,$A158)=0,"",SUMIF(ЗАКАЗЫ!$F$3:$F$500,$A158,ЗАКАЗЫ!$J$3:$J$500))</f>
        <v/>
      </c>
      <c r="BO158" s="7" t="str">
        <f aca="false">IF(BN158="","",SUMIF(ЗАКАЗЫ!$F$3:$F$500,$A158,ЗАКАЗЫ!$AL$3:$AL$500))</f>
        <v/>
      </c>
      <c r="BP158" s="7" t="str">
        <f aca="false">IF(BN158="","",BN158-BO158)</f>
        <v/>
      </c>
      <c r="BQ158" s="55" t="str">
        <f aca="false">IF(BN158="","",IF(BO158&gt;=BN158,"На складе",IF(BO158&gt;0,"Частично","Ждём")))</f>
        <v/>
      </c>
      <c r="BR158" s="43"/>
      <c r="BS158" s="47" t="str">
        <f aca="false">IF(BN158="","",IF(_xlfn.MAXIFS(ЗАКАЗЫ!$AK$3:$AK$500,ЗАКАЗЫ!$F$3:$F$500,$A158)=0,"",_xlfn.MAXIFS(ЗАКАЗЫ!$AK$3:$AK$500,ЗАКАЗЫ!$F$3:$F$500,$A158)))</f>
        <v/>
      </c>
    </row>
    <row r="159" customFormat="false" ht="15.75" hidden="false" customHeight="true" outlineLevel="0" collapsed="false">
      <c r="A159" s="80" t="s">
        <v>2699</v>
      </c>
      <c r="B159" s="81"/>
      <c r="C159" s="81"/>
      <c r="D159" s="81"/>
      <c r="E159" s="83"/>
      <c r="F159" s="81"/>
      <c r="G159" s="83"/>
      <c r="H159" s="83"/>
      <c r="I159" s="84" t="str">
        <f aca="false">IF(E159="","",A159&amp;"_1.jpg")</f>
        <v/>
      </c>
      <c r="J159" s="84" t="str">
        <f aca="false">IF(E159="","",A159&amp;"_2.jpg; "&amp;A159&amp;"_3.jpg")</f>
        <v/>
      </c>
      <c r="K159" s="84" t="str">
        <f aca="false">IF(E159="","",A159&amp;"_schema.jpg")</f>
        <v/>
      </c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 t="s">
        <v>96</v>
      </c>
      <c r="W159" s="81"/>
      <c r="X159" s="81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6" t="str">
        <f aca="false">IF(SUM(Y159:AJ159)=0,"",SUM(Y159:AJ159))</f>
        <v/>
      </c>
      <c r="AL159" s="84" t="str">
        <f aca="false">MID(IF(N(Y159)&gt;0,", "&amp;Y$2,"")&amp;IF(N(Z159)&gt;0,", "&amp;Z$2,"")&amp;IF(N(AA159)&gt;0,", "&amp;AA$2,"")&amp;IF(N(AB159)&gt;0,", "&amp;AB$2,"")&amp;IF(N(AC159)&gt;0,", "&amp;AC$2,"")&amp;IF(N(AD159)&gt;0,", "&amp;AD$2,"")&amp;IF(N(AE159)&gt;0,", "&amp;AE$2,"")&amp;IF(N(AF159)&gt;0,", "&amp;AF$2,"")&amp;IF(N(AG159)&gt;0,", "&amp;AG$2,"")&amp;IF(N(AH159)&gt;0,", "&amp;AH$2,"")&amp;IF(N(AI159)&gt;0,", "&amp;AI$2,"")&amp;IF(N(AJ159)&gt;0,", "&amp;AJ$2,""),3,999)</f>
        <v/>
      </c>
      <c r="AM159" s="87" t="str">
        <f aca="false">IF(E159="","",MID(IF(N(Y159)&gt;0,", "&amp;A159&amp;"-"&amp;Y$2,"")&amp;IF(N(Z159)&gt;0,", "&amp;A159&amp;"-"&amp;Z$2,"")&amp;IF(N(AA159)&gt;0,", "&amp;A159&amp;"-"&amp;AA$2,"")&amp;IF(N(AB159)&gt;0,", "&amp;A159&amp;"-"&amp;AB$2,"")&amp;IF(N(AC159)&gt;0,", "&amp;A159&amp;"-"&amp;AC$2,"")&amp;IF(N(AD159)&gt;0,", "&amp;A159&amp;"-"&amp;AD$2,"")&amp;IF(N(AE159)&gt;0,", "&amp;A159&amp;"-"&amp;AE$2,"")&amp;IF(N(AF159)&gt;0,", "&amp;A159&amp;"-"&amp;AF$2,"")&amp;IF(N(AG159)&gt;0,", "&amp;A159&amp;"-"&amp;AG$2,"")&amp;IF(N(AH159)&gt;0,", "&amp;A159&amp;"-"&amp;AH$2,"")&amp;IF(N(AI159)&gt;0,", "&amp;A159&amp;"-"&amp;AI$2,"")&amp;IF(N(AJ159)&gt;0,", "&amp;A159&amp;"-"&amp;AJ$2,""),3,999))</f>
        <v/>
      </c>
      <c r="AN159" s="81"/>
      <c r="AO159" s="88"/>
      <c r="AP159" s="89" t="str">
        <f aca="false">IF(AO159="","",ROUND(AO159/(1+Справочники!$B$13),2))</f>
        <v/>
      </c>
      <c r="AQ159" s="90" t="str">
        <f aca="false" t="array" ref="AQ159:AQ159">IF(AP159="","",AP159*INDEX(Справочники!$B$4:$B$7,MATCH("RUB",Справочники!$A$4:$A$7,0)))</f>
        <v/>
      </c>
      <c r="AR159" s="90" t="str">
        <f aca="false">IF(AQ159="","",ROUND(AQ159*(1+Справочники!$B$12),0))</f>
        <v/>
      </c>
      <c r="AS159" s="90" t="str">
        <f aca="false">IF(AR159="","",ROUND(AR159*(1-Справочники!$B$11),0))</f>
        <v/>
      </c>
      <c r="AT159" s="88"/>
      <c r="AU159" s="90" t="str">
        <f aca="false">IF(AT159="","",ROUND(AT159/(1+Справочники!$B$12),0))</f>
        <v/>
      </c>
      <c r="AV159" s="90" t="str">
        <f aca="false">IF(AT159="","",ROUND(AT159*(1-Справочники!$B$15),0))</f>
        <v/>
      </c>
      <c r="AW159" s="90" t="str">
        <f aca="false">IF(AT159="","",ROUND(AT159*(1-Справочники!$B$16),0))</f>
        <v/>
      </c>
      <c r="AX159" s="90" t="str">
        <f aca="false">IF(AT159="","",ROUND(AT159*(1-Справочники!$B$17),0))</f>
        <v/>
      </c>
      <c r="AY159" s="90" t="str">
        <f aca="false">IF(AT159="","",ROUND(AT159*(1-Справочники!$B$18),0))</f>
        <v/>
      </c>
      <c r="AZ159" s="90" t="str">
        <f aca="false">IF(AT159="","",ROUND(AT159*(1-Справочники!$B$19),0))</f>
        <v/>
      </c>
      <c r="BA159" s="81"/>
      <c r="BB159" s="81"/>
      <c r="BC159" s="81"/>
      <c r="BD159" s="81"/>
      <c r="BE159" s="91"/>
      <c r="BF159" s="81" t="s">
        <v>103</v>
      </c>
      <c r="BG159" s="89" t="n">
        <f aca="false" t="array" ref="BG159:BG159">IF(BF159="","",IFERROR(INDEX(Справочники!$B$4:$B$7,MATCH(BF159,Справочники!$A$4:$A$7,0)),""))</f>
        <v>68.5</v>
      </c>
      <c r="BH159" s="90" t="str">
        <f aca="false">IF(N(BN159)&gt;0,ROUND(SUMIF(ЗАКАЗЫ!$F$3:$F$500,$A159,ЗАКАЗЫ!$Y$3:$Y$500)/BN159,0),IF(OR(BE159="",BG159=""),"",ROUND(BE159*BG159*(1+Справочники!$B$10),0)))</f>
        <v/>
      </c>
      <c r="BI159" s="92" t="str">
        <f aca="false">IF(OR(AU159="",BH159="",AU159=0),"",(AU159-BH159)/AU159)</f>
        <v/>
      </c>
      <c r="BJ159" s="81"/>
      <c r="BK159" s="83"/>
      <c r="BL159" s="43" t="str">
        <f aca="false">IFERROR(INDEX(ЗАКАЗЫ!$N$3:$N$500,MATCH($A159,ЗАКАЗЫ!$F$3:$F$500,0)),"")</f>
        <v/>
      </c>
      <c r="BM159" s="8" t="str">
        <f aca="false">IF(BL159="","",IFERROR(VLOOKUP(BL159,'ТН ВЭД'!$A$4:$C$40,3,0),""))</f>
        <v/>
      </c>
      <c r="BN159" s="7" t="str">
        <f aca="false">IF(COUNTIF(ЗАКАЗЫ!$F$3:$F$500,$A159)=0,"",SUMIF(ЗАКАЗЫ!$F$3:$F$500,$A159,ЗАКАЗЫ!$J$3:$J$500))</f>
        <v/>
      </c>
      <c r="BO159" s="7" t="str">
        <f aca="false">IF(BN159="","",SUMIF(ЗАКАЗЫ!$F$3:$F$500,$A159,ЗАКАЗЫ!$AL$3:$AL$500))</f>
        <v/>
      </c>
      <c r="BP159" s="7" t="str">
        <f aca="false">IF(BN159="","",BN159-BO159)</f>
        <v/>
      </c>
      <c r="BQ159" s="55" t="str">
        <f aca="false">IF(BN159="","",IF(BO159&gt;=BN159,"На складе",IF(BO159&gt;0,"Частично","Ждём")))</f>
        <v/>
      </c>
      <c r="BR159" s="43"/>
      <c r="BS159" s="47" t="str">
        <f aca="false">IF(BN159="","",IF(_xlfn.MAXIFS(ЗАКАЗЫ!$AK$3:$AK$500,ЗАКАЗЫ!$F$3:$F$500,$A159)=0,"",_xlfn.MAXIFS(ЗАКАЗЫ!$AK$3:$AK$500,ЗАКАЗЫ!$F$3:$F$500,$A159)))</f>
        <v/>
      </c>
    </row>
    <row r="160" customFormat="false" ht="15.75" hidden="false" customHeight="true" outlineLevel="0" collapsed="false">
      <c r="A160" s="80" t="s">
        <v>2700</v>
      </c>
      <c r="B160" s="81"/>
      <c r="C160" s="81"/>
      <c r="D160" s="81"/>
      <c r="E160" s="83"/>
      <c r="F160" s="81"/>
      <c r="G160" s="83"/>
      <c r="H160" s="83"/>
      <c r="I160" s="84" t="str">
        <f aca="false">IF(E160="","",A160&amp;"_1.jpg")</f>
        <v/>
      </c>
      <c r="J160" s="84" t="str">
        <f aca="false">IF(E160="","",A160&amp;"_2.jpg; "&amp;A160&amp;"_3.jpg")</f>
        <v/>
      </c>
      <c r="K160" s="84" t="str">
        <f aca="false">IF(E160="","",A160&amp;"_schema.jpg")</f>
        <v/>
      </c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 t="s">
        <v>96</v>
      </c>
      <c r="W160" s="81"/>
      <c r="X160" s="81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6" t="str">
        <f aca="false">IF(SUM(Y160:AJ160)=0,"",SUM(Y160:AJ160))</f>
        <v/>
      </c>
      <c r="AL160" s="84" t="str">
        <f aca="false">MID(IF(N(Y160)&gt;0,", "&amp;Y$2,"")&amp;IF(N(Z160)&gt;0,", "&amp;Z$2,"")&amp;IF(N(AA160)&gt;0,", "&amp;AA$2,"")&amp;IF(N(AB160)&gt;0,", "&amp;AB$2,"")&amp;IF(N(AC160)&gt;0,", "&amp;AC$2,"")&amp;IF(N(AD160)&gt;0,", "&amp;AD$2,"")&amp;IF(N(AE160)&gt;0,", "&amp;AE$2,"")&amp;IF(N(AF160)&gt;0,", "&amp;AF$2,"")&amp;IF(N(AG160)&gt;0,", "&amp;AG$2,"")&amp;IF(N(AH160)&gt;0,", "&amp;AH$2,"")&amp;IF(N(AI160)&gt;0,", "&amp;AI$2,"")&amp;IF(N(AJ160)&gt;0,", "&amp;AJ$2,""),3,999)</f>
        <v/>
      </c>
      <c r="AM160" s="87" t="str">
        <f aca="false">IF(E160="","",MID(IF(N(Y160)&gt;0,", "&amp;A160&amp;"-"&amp;Y$2,"")&amp;IF(N(Z160)&gt;0,", "&amp;A160&amp;"-"&amp;Z$2,"")&amp;IF(N(AA160)&gt;0,", "&amp;A160&amp;"-"&amp;AA$2,"")&amp;IF(N(AB160)&gt;0,", "&amp;A160&amp;"-"&amp;AB$2,"")&amp;IF(N(AC160)&gt;0,", "&amp;A160&amp;"-"&amp;AC$2,"")&amp;IF(N(AD160)&gt;0,", "&amp;A160&amp;"-"&amp;AD$2,"")&amp;IF(N(AE160)&gt;0,", "&amp;A160&amp;"-"&amp;AE$2,"")&amp;IF(N(AF160)&gt;0,", "&amp;A160&amp;"-"&amp;AF$2,"")&amp;IF(N(AG160)&gt;0,", "&amp;A160&amp;"-"&amp;AG$2,"")&amp;IF(N(AH160)&gt;0,", "&amp;A160&amp;"-"&amp;AH$2,"")&amp;IF(N(AI160)&gt;0,", "&amp;A160&amp;"-"&amp;AI$2,"")&amp;IF(N(AJ160)&gt;0,", "&amp;A160&amp;"-"&amp;AJ$2,""),3,999))</f>
        <v/>
      </c>
      <c r="AN160" s="81"/>
      <c r="AO160" s="88"/>
      <c r="AP160" s="89" t="str">
        <f aca="false">IF(AO160="","",ROUND(AO160/(1+Справочники!$B$13),2))</f>
        <v/>
      </c>
      <c r="AQ160" s="90" t="str">
        <f aca="false" t="array" ref="AQ160:AQ160">IF(AP160="","",AP160*INDEX(Справочники!$B$4:$B$7,MATCH("RUB",Справочники!$A$4:$A$7,0)))</f>
        <v/>
      </c>
      <c r="AR160" s="90" t="str">
        <f aca="false">IF(AQ160="","",ROUND(AQ160*(1+Справочники!$B$12),0))</f>
        <v/>
      </c>
      <c r="AS160" s="90" t="str">
        <f aca="false">IF(AR160="","",ROUND(AR160*(1-Справочники!$B$11),0))</f>
        <v/>
      </c>
      <c r="AT160" s="88"/>
      <c r="AU160" s="90" t="str">
        <f aca="false">IF(AT160="","",ROUND(AT160/(1+Справочники!$B$12),0))</f>
        <v/>
      </c>
      <c r="AV160" s="90" t="str">
        <f aca="false">IF(AT160="","",ROUND(AT160*(1-Справочники!$B$15),0))</f>
        <v/>
      </c>
      <c r="AW160" s="90" t="str">
        <f aca="false">IF(AT160="","",ROUND(AT160*(1-Справочники!$B$16),0))</f>
        <v/>
      </c>
      <c r="AX160" s="90" t="str">
        <f aca="false">IF(AT160="","",ROUND(AT160*(1-Справочники!$B$17),0))</f>
        <v/>
      </c>
      <c r="AY160" s="90" t="str">
        <f aca="false">IF(AT160="","",ROUND(AT160*(1-Справочники!$B$18),0))</f>
        <v/>
      </c>
      <c r="AZ160" s="90" t="str">
        <f aca="false">IF(AT160="","",ROUND(AT160*(1-Справочники!$B$19),0))</f>
        <v/>
      </c>
      <c r="BA160" s="81"/>
      <c r="BB160" s="81"/>
      <c r="BC160" s="81"/>
      <c r="BD160" s="81"/>
      <c r="BE160" s="91"/>
      <c r="BF160" s="81" t="s">
        <v>103</v>
      </c>
      <c r="BG160" s="89" t="n">
        <f aca="false" t="array" ref="BG160:BG160">IF(BF160="","",IFERROR(INDEX(Справочники!$B$4:$B$7,MATCH(BF160,Справочники!$A$4:$A$7,0)),""))</f>
        <v>68.5</v>
      </c>
      <c r="BH160" s="90" t="str">
        <f aca="false">IF(N(BN160)&gt;0,ROUND(SUMIF(ЗАКАЗЫ!$F$3:$F$500,$A160,ЗАКАЗЫ!$Y$3:$Y$500)/BN160,0),IF(OR(BE160="",BG160=""),"",ROUND(BE160*BG160*(1+Справочники!$B$10),0)))</f>
        <v/>
      </c>
      <c r="BI160" s="92" t="str">
        <f aca="false">IF(OR(AU160="",BH160="",AU160=0),"",(AU160-BH160)/AU160)</f>
        <v/>
      </c>
      <c r="BJ160" s="81"/>
      <c r="BK160" s="83"/>
      <c r="BL160" s="43" t="str">
        <f aca="false">IFERROR(INDEX(ЗАКАЗЫ!$N$3:$N$500,MATCH($A160,ЗАКАЗЫ!$F$3:$F$500,0)),"")</f>
        <v/>
      </c>
      <c r="BM160" s="8" t="str">
        <f aca="false">IF(BL160="","",IFERROR(VLOOKUP(BL160,'ТН ВЭД'!$A$4:$C$40,3,0),""))</f>
        <v/>
      </c>
      <c r="BN160" s="7" t="str">
        <f aca="false">IF(COUNTIF(ЗАКАЗЫ!$F$3:$F$500,$A160)=0,"",SUMIF(ЗАКАЗЫ!$F$3:$F$500,$A160,ЗАКАЗЫ!$J$3:$J$500))</f>
        <v/>
      </c>
      <c r="BO160" s="7" t="str">
        <f aca="false">IF(BN160="","",SUMIF(ЗАКАЗЫ!$F$3:$F$500,$A160,ЗАКАЗЫ!$AL$3:$AL$500))</f>
        <v/>
      </c>
      <c r="BP160" s="7" t="str">
        <f aca="false">IF(BN160="","",BN160-BO160)</f>
        <v/>
      </c>
      <c r="BQ160" s="55" t="str">
        <f aca="false">IF(BN160="","",IF(BO160&gt;=BN160,"На складе",IF(BO160&gt;0,"Частично","Ждём")))</f>
        <v/>
      </c>
      <c r="BR160" s="43"/>
      <c r="BS160" s="47" t="str">
        <f aca="false">IF(BN160="","",IF(_xlfn.MAXIFS(ЗАКАЗЫ!$AK$3:$AK$500,ЗАКАЗЫ!$F$3:$F$500,$A160)=0,"",_xlfn.MAXIFS(ЗАКАЗЫ!$AK$3:$AK$500,ЗАКАЗЫ!$F$3:$F$500,$A160)))</f>
        <v/>
      </c>
    </row>
    <row r="161" customFormat="false" ht="15.75" hidden="false" customHeight="true" outlineLevel="0" collapsed="false">
      <c r="A161" s="80" t="s">
        <v>2701</v>
      </c>
      <c r="B161" s="81"/>
      <c r="C161" s="81"/>
      <c r="D161" s="81"/>
      <c r="E161" s="83"/>
      <c r="F161" s="81"/>
      <c r="G161" s="83"/>
      <c r="H161" s="83"/>
      <c r="I161" s="84" t="str">
        <f aca="false">IF(E161="","",A161&amp;"_1.jpg")</f>
        <v/>
      </c>
      <c r="J161" s="84" t="str">
        <f aca="false">IF(E161="","",A161&amp;"_2.jpg; "&amp;A161&amp;"_3.jpg")</f>
        <v/>
      </c>
      <c r="K161" s="84" t="str">
        <f aca="false">IF(E161="","",A161&amp;"_schema.jpg")</f>
        <v/>
      </c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 t="s">
        <v>96</v>
      </c>
      <c r="W161" s="81"/>
      <c r="X161" s="81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6" t="str">
        <f aca="false">IF(SUM(Y161:AJ161)=0,"",SUM(Y161:AJ161))</f>
        <v/>
      </c>
      <c r="AL161" s="84" t="str">
        <f aca="false">MID(IF(N(Y161)&gt;0,", "&amp;Y$2,"")&amp;IF(N(Z161)&gt;0,", "&amp;Z$2,"")&amp;IF(N(AA161)&gt;0,", "&amp;AA$2,"")&amp;IF(N(AB161)&gt;0,", "&amp;AB$2,"")&amp;IF(N(AC161)&gt;0,", "&amp;AC$2,"")&amp;IF(N(AD161)&gt;0,", "&amp;AD$2,"")&amp;IF(N(AE161)&gt;0,", "&amp;AE$2,"")&amp;IF(N(AF161)&gt;0,", "&amp;AF$2,"")&amp;IF(N(AG161)&gt;0,", "&amp;AG$2,"")&amp;IF(N(AH161)&gt;0,", "&amp;AH$2,"")&amp;IF(N(AI161)&gt;0,", "&amp;AI$2,"")&amp;IF(N(AJ161)&gt;0,", "&amp;AJ$2,""),3,999)</f>
        <v/>
      </c>
      <c r="AM161" s="87" t="str">
        <f aca="false">IF(E161="","",MID(IF(N(Y161)&gt;0,", "&amp;A161&amp;"-"&amp;Y$2,"")&amp;IF(N(Z161)&gt;0,", "&amp;A161&amp;"-"&amp;Z$2,"")&amp;IF(N(AA161)&gt;0,", "&amp;A161&amp;"-"&amp;AA$2,"")&amp;IF(N(AB161)&gt;0,", "&amp;A161&amp;"-"&amp;AB$2,"")&amp;IF(N(AC161)&gt;0,", "&amp;A161&amp;"-"&amp;AC$2,"")&amp;IF(N(AD161)&gt;0,", "&amp;A161&amp;"-"&amp;AD$2,"")&amp;IF(N(AE161)&gt;0,", "&amp;A161&amp;"-"&amp;AE$2,"")&amp;IF(N(AF161)&gt;0,", "&amp;A161&amp;"-"&amp;AF$2,"")&amp;IF(N(AG161)&gt;0,", "&amp;A161&amp;"-"&amp;AG$2,"")&amp;IF(N(AH161)&gt;0,", "&amp;A161&amp;"-"&amp;AH$2,"")&amp;IF(N(AI161)&gt;0,", "&amp;A161&amp;"-"&amp;AI$2,"")&amp;IF(N(AJ161)&gt;0,", "&amp;A161&amp;"-"&amp;AJ$2,""),3,999))</f>
        <v/>
      </c>
      <c r="AN161" s="81"/>
      <c r="AO161" s="88"/>
      <c r="AP161" s="89" t="str">
        <f aca="false">IF(AO161="","",ROUND(AO161/(1+Справочники!$B$13),2))</f>
        <v/>
      </c>
      <c r="AQ161" s="90" t="str">
        <f aca="false" t="array" ref="AQ161:AQ161">IF(AP161="","",AP161*INDEX(Справочники!$B$4:$B$7,MATCH("RUB",Справочники!$A$4:$A$7,0)))</f>
        <v/>
      </c>
      <c r="AR161" s="90" t="str">
        <f aca="false">IF(AQ161="","",ROUND(AQ161*(1+Справочники!$B$12),0))</f>
        <v/>
      </c>
      <c r="AS161" s="90" t="str">
        <f aca="false">IF(AR161="","",ROUND(AR161*(1-Справочники!$B$11),0))</f>
        <v/>
      </c>
      <c r="AT161" s="88"/>
      <c r="AU161" s="90" t="str">
        <f aca="false">IF(AT161="","",ROUND(AT161/(1+Справочники!$B$12),0))</f>
        <v/>
      </c>
      <c r="AV161" s="90" t="str">
        <f aca="false">IF(AT161="","",ROUND(AT161*(1-Справочники!$B$15),0))</f>
        <v/>
      </c>
      <c r="AW161" s="90" t="str">
        <f aca="false">IF(AT161="","",ROUND(AT161*(1-Справочники!$B$16),0))</f>
        <v/>
      </c>
      <c r="AX161" s="90" t="str">
        <f aca="false">IF(AT161="","",ROUND(AT161*(1-Справочники!$B$17),0))</f>
        <v/>
      </c>
      <c r="AY161" s="90" t="str">
        <f aca="false">IF(AT161="","",ROUND(AT161*(1-Справочники!$B$18),0))</f>
        <v/>
      </c>
      <c r="AZ161" s="90" t="str">
        <f aca="false">IF(AT161="","",ROUND(AT161*(1-Справочники!$B$19),0))</f>
        <v/>
      </c>
      <c r="BA161" s="81"/>
      <c r="BB161" s="81"/>
      <c r="BC161" s="81"/>
      <c r="BD161" s="81"/>
      <c r="BE161" s="91"/>
      <c r="BF161" s="81" t="s">
        <v>103</v>
      </c>
      <c r="BG161" s="89" t="n">
        <f aca="false" t="array" ref="BG161:BG161">IF(BF161="","",IFERROR(INDEX(Справочники!$B$4:$B$7,MATCH(BF161,Справочники!$A$4:$A$7,0)),""))</f>
        <v>68.5</v>
      </c>
      <c r="BH161" s="90" t="str">
        <f aca="false">IF(N(BN161)&gt;0,ROUND(SUMIF(ЗАКАЗЫ!$F$3:$F$500,$A161,ЗАКАЗЫ!$Y$3:$Y$500)/BN161,0),IF(OR(BE161="",BG161=""),"",ROUND(BE161*BG161*(1+Справочники!$B$10),0)))</f>
        <v/>
      </c>
      <c r="BI161" s="92" t="str">
        <f aca="false">IF(OR(AU161="",BH161="",AU161=0),"",(AU161-BH161)/AU161)</f>
        <v/>
      </c>
      <c r="BJ161" s="81"/>
      <c r="BK161" s="83"/>
      <c r="BL161" s="43" t="str">
        <f aca="false">IFERROR(INDEX(ЗАКАЗЫ!$N$3:$N$500,MATCH($A161,ЗАКАЗЫ!$F$3:$F$500,0)),"")</f>
        <v/>
      </c>
      <c r="BM161" s="8" t="str">
        <f aca="false">IF(BL161="","",IFERROR(VLOOKUP(BL161,'ТН ВЭД'!$A$4:$C$40,3,0),""))</f>
        <v/>
      </c>
      <c r="BN161" s="7" t="str">
        <f aca="false">IF(COUNTIF(ЗАКАЗЫ!$F$3:$F$500,$A161)=0,"",SUMIF(ЗАКАЗЫ!$F$3:$F$500,$A161,ЗАКАЗЫ!$J$3:$J$500))</f>
        <v/>
      </c>
      <c r="BO161" s="7" t="str">
        <f aca="false">IF(BN161="","",SUMIF(ЗАКАЗЫ!$F$3:$F$500,$A161,ЗАКАЗЫ!$AL$3:$AL$500))</f>
        <v/>
      </c>
      <c r="BP161" s="7" t="str">
        <f aca="false">IF(BN161="","",BN161-BO161)</f>
        <v/>
      </c>
      <c r="BQ161" s="55" t="str">
        <f aca="false">IF(BN161="","",IF(BO161&gt;=BN161,"На складе",IF(BO161&gt;0,"Частично","Ждём")))</f>
        <v/>
      </c>
      <c r="BR161" s="43"/>
      <c r="BS161" s="47" t="str">
        <f aca="false">IF(BN161="","",IF(_xlfn.MAXIFS(ЗАКАЗЫ!$AK$3:$AK$500,ЗАКАЗЫ!$F$3:$F$500,$A161)=0,"",_xlfn.MAXIFS(ЗАКАЗЫ!$AK$3:$AK$500,ЗАКАЗЫ!$F$3:$F$500,$A161)))</f>
        <v/>
      </c>
    </row>
    <row r="162" customFormat="false" ht="15.75" hidden="false" customHeight="true" outlineLevel="0" collapsed="false">
      <c r="A162" s="80" t="s">
        <v>2702</v>
      </c>
      <c r="B162" s="81"/>
      <c r="C162" s="81"/>
      <c r="D162" s="81"/>
      <c r="E162" s="83"/>
      <c r="F162" s="81"/>
      <c r="G162" s="83"/>
      <c r="H162" s="83"/>
      <c r="I162" s="84" t="str">
        <f aca="false">IF(E162="","",A162&amp;"_1.jpg")</f>
        <v/>
      </c>
      <c r="J162" s="84" t="str">
        <f aca="false">IF(E162="","",A162&amp;"_2.jpg; "&amp;A162&amp;"_3.jpg")</f>
        <v/>
      </c>
      <c r="K162" s="84" t="str">
        <f aca="false">IF(E162="","",A162&amp;"_schema.jpg")</f>
        <v/>
      </c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 t="s">
        <v>96</v>
      </c>
      <c r="W162" s="81"/>
      <c r="X162" s="81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6" t="str">
        <f aca="false">IF(SUM(Y162:AJ162)=0,"",SUM(Y162:AJ162))</f>
        <v/>
      </c>
      <c r="AL162" s="84" t="str">
        <f aca="false">MID(IF(N(Y162)&gt;0,", "&amp;Y$2,"")&amp;IF(N(Z162)&gt;0,", "&amp;Z$2,"")&amp;IF(N(AA162)&gt;0,", "&amp;AA$2,"")&amp;IF(N(AB162)&gt;0,", "&amp;AB$2,"")&amp;IF(N(AC162)&gt;0,", "&amp;AC$2,"")&amp;IF(N(AD162)&gt;0,", "&amp;AD$2,"")&amp;IF(N(AE162)&gt;0,", "&amp;AE$2,"")&amp;IF(N(AF162)&gt;0,", "&amp;AF$2,"")&amp;IF(N(AG162)&gt;0,", "&amp;AG$2,"")&amp;IF(N(AH162)&gt;0,", "&amp;AH$2,"")&amp;IF(N(AI162)&gt;0,", "&amp;AI$2,"")&amp;IF(N(AJ162)&gt;0,", "&amp;AJ$2,""),3,999)</f>
        <v/>
      </c>
      <c r="AM162" s="87" t="str">
        <f aca="false">IF(E162="","",MID(IF(N(Y162)&gt;0,", "&amp;A162&amp;"-"&amp;Y$2,"")&amp;IF(N(Z162)&gt;0,", "&amp;A162&amp;"-"&amp;Z$2,"")&amp;IF(N(AA162)&gt;0,", "&amp;A162&amp;"-"&amp;AA$2,"")&amp;IF(N(AB162)&gt;0,", "&amp;A162&amp;"-"&amp;AB$2,"")&amp;IF(N(AC162)&gt;0,", "&amp;A162&amp;"-"&amp;AC$2,"")&amp;IF(N(AD162)&gt;0,", "&amp;A162&amp;"-"&amp;AD$2,"")&amp;IF(N(AE162)&gt;0,", "&amp;A162&amp;"-"&amp;AE$2,"")&amp;IF(N(AF162)&gt;0,", "&amp;A162&amp;"-"&amp;AF$2,"")&amp;IF(N(AG162)&gt;0,", "&amp;A162&amp;"-"&amp;AG$2,"")&amp;IF(N(AH162)&gt;0,", "&amp;A162&amp;"-"&amp;AH$2,"")&amp;IF(N(AI162)&gt;0,", "&amp;A162&amp;"-"&amp;AI$2,"")&amp;IF(N(AJ162)&gt;0,", "&amp;A162&amp;"-"&amp;AJ$2,""),3,999))</f>
        <v/>
      </c>
      <c r="AN162" s="81"/>
      <c r="AO162" s="88"/>
      <c r="AP162" s="89" t="str">
        <f aca="false">IF(AO162="","",ROUND(AO162/(1+Справочники!$B$13),2))</f>
        <v/>
      </c>
      <c r="AQ162" s="90" t="str">
        <f aca="false" t="array" ref="AQ162:AQ162">IF(AP162="","",AP162*INDEX(Справочники!$B$4:$B$7,MATCH("RUB",Справочники!$A$4:$A$7,0)))</f>
        <v/>
      </c>
      <c r="AR162" s="90" t="str">
        <f aca="false">IF(AQ162="","",ROUND(AQ162*(1+Справочники!$B$12),0))</f>
        <v/>
      </c>
      <c r="AS162" s="90" t="str">
        <f aca="false">IF(AR162="","",ROUND(AR162*(1-Справочники!$B$11),0))</f>
        <v/>
      </c>
      <c r="AT162" s="88"/>
      <c r="AU162" s="90" t="str">
        <f aca="false">IF(AT162="","",ROUND(AT162/(1+Справочники!$B$12),0))</f>
        <v/>
      </c>
      <c r="AV162" s="90" t="str">
        <f aca="false">IF(AT162="","",ROUND(AT162*(1-Справочники!$B$15),0))</f>
        <v/>
      </c>
      <c r="AW162" s="90" t="str">
        <f aca="false">IF(AT162="","",ROUND(AT162*(1-Справочники!$B$16),0))</f>
        <v/>
      </c>
      <c r="AX162" s="90" t="str">
        <f aca="false">IF(AT162="","",ROUND(AT162*(1-Справочники!$B$17),0))</f>
        <v/>
      </c>
      <c r="AY162" s="90" t="str">
        <f aca="false">IF(AT162="","",ROUND(AT162*(1-Справочники!$B$18),0))</f>
        <v/>
      </c>
      <c r="AZ162" s="90" t="str">
        <f aca="false">IF(AT162="","",ROUND(AT162*(1-Справочники!$B$19),0))</f>
        <v/>
      </c>
      <c r="BA162" s="81"/>
      <c r="BB162" s="81"/>
      <c r="BC162" s="81"/>
      <c r="BD162" s="81"/>
      <c r="BE162" s="91"/>
      <c r="BF162" s="81" t="s">
        <v>103</v>
      </c>
      <c r="BG162" s="89" t="n">
        <f aca="false" t="array" ref="BG162:BG162">IF(BF162="","",IFERROR(INDEX(Справочники!$B$4:$B$7,MATCH(BF162,Справочники!$A$4:$A$7,0)),""))</f>
        <v>68.5</v>
      </c>
      <c r="BH162" s="90" t="str">
        <f aca="false">IF(N(BN162)&gt;0,ROUND(SUMIF(ЗАКАЗЫ!$F$3:$F$500,$A162,ЗАКАЗЫ!$Y$3:$Y$500)/BN162,0),IF(OR(BE162="",BG162=""),"",ROUND(BE162*BG162*(1+Справочники!$B$10),0)))</f>
        <v/>
      </c>
      <c r="BI162" s="92" t="str">
        <f aca="false">IF(OR(AU162="",BH162="",AU162=0),"",(AU162-BH162)/AU162)</f>
        <v/>
      </c>
      <c r="BJ162" s="81"/>
      <c r="BK162" s="83"/>
      <c r="BL162" s="43" t="str">
        <f aca="false">IFERROR(INDEX(ЗАКАЗЫ!$N$3:$N$500,MATCH($A162,ЗАКАЗЫ!$F$3:$F$500,0)),"")</f>
        <v/>
      </c>
      <c r="BM162" s="8" t="str">
        <f aca="false">IF(BL162="","",IFERROR(VLOOKUP(BL162,'ТН ВЭД'!$A$4:$C$40,3,0),""))</f>
        <v/>
      </c>
      <c r="BN162" s="7" t="str">
        <f aca="false">IF(COUNTIF(ЗАКАЗЫ!$F$3:$F$500,$A162)=0,"",SUMIF(ЗАКАЗЫ!$F$3:$F$500,$A162,ЗАКАЗЫ!$J$3:$J$500))</f>
        <v/>
      </c>
      <c r="BO162" s="7" t="str">
        <f aca="false">IF(BN162="","",SUMIF(ЗАКАЗЫ!$F$3:$F$500,$A162,ЗАКАЗЫ!$AL$3:$AL$500))</f>
        <v/>
      </c>
      <c r="BP162" s="7" t="str">
        <f aca="false">IF(BN162="","",BN162-BO162)</f>
        <v/>
      </c>
      <c r="BQ162" s="55" t="str">
        <f aca="false">IF(BN162="","",IF(BO162&gt;=BN162,"На складе",IF(BO162&gt;0,"Частично","Ждём")))</f>
        <v/>
      </c>
      <c r="BR162" s="43"/>
      <c r="BS162" s="47" t="str">
        <f aca="false">IF(BN162="","",IF(_xlfn.MAXIFS(ЗАКАЗЫ!$AK$3:$AK$500,ЗАКАЗЫ!$F$3:$F$500,$A162)=0,"",_xlfn.MAXIFS(ЗАКАЗЫ!$AK$3:$AK$500,ЗАКАЗЫ!$F$3:$F$500,$A162)))</f>
        <v/>
      </c>
    </row>
    <row r="163" customFormat="false" ht="15.75" hidden="false" customHeight="true" outlineLevel="0" collapsed="false">
      <c r="A163" s="80" t="s">
        <v>2703</v>
      </c>
      <c r="B163" s="81"/>
      <c r="C163" s="81"/>
      <c r="D163" s="81"/>
      <c r="E163" s="83"/>
      <c r="F163" s="81"/>
      <c r="G163" s="83"/>
      <c r="H163" s="83"/>
      <c r="I163" s="84" t="str">
        <f aca="false">IF(E163="","",A163&amp;"_1.jpg")</f>
        <v/>
      </c>
      <c r="J163" s="84" t="str">
        <f aca="false">IF(E163="","",A163&amp;"_2.jpg; "&amp;A163&amp;"_3.jpg")</f>
        <v/>
      </c>
      <c r="K163" s="84" t="str">
        <f aca="false">IF(E163="","",A163&amp;"_schema.jpg")</f>
        <v/>
      </c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 t="s">
        <v>96</v>
      </c>
      <c r="W163" s="81"/>
      <c r="X163" s="81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6" t="str">
        <f aca="false">IF(SUM(Y163:AJ163)=0,"",SUM(Y163:AJ163))</f>
        <v/>
      </c>
      <c r="AL163" s="84" t="str">
        <f aca="false">MID(IF(N(Y163)&gt;0,", "&amp;Y$2,"")&amp;IF(N(Z163)&gt;0,", "&amp;Z$2,"")&amp;IF(N(AA163)&gt;0,", "&amp;AA$2,"")&amp;IF(N(AB163)&gt;0,", "&amp;AB$2,"")&amp;IF(N(AC163)&gt;0,", "&amp;AC$2,"")&amp;IF(N(AD163)&gt;0,", "&amp;AD$2,"")&amp;IF(N(AE163)&gt;0,", "&amp;AE$2,"")&amp;IF(N(AF163)&gt;0,", "&amp;AF$2,"")&amp;IF(N(AG163)&gt;0,", "&amp;AG$2,"")&amp;IF(N(AH163)&gt;0,", "&amp;AH$2,"")&amp;IF(N(AI163)&gt;0,", "&amp;AI$2,"")&amp;IF(N(AJ163)&gt;0,", "&amp;AJ$2,""),3,999)</f>
        <v/>
      </c>
      <c r="AM163" s="87" t="str">
        <f aca="false">IF(E163="","",MID(IF(N(Y163)&gt;0,", "&amp;A163&amp;"-"&amp;Y$2,"")&amp;IF(N(Z163)&gt;0,", "&amp;A163&amp;"-"&amp;Z$2,"")&amp;IF(N(AA163)&gt;0,", "&amp;A163&amp;"-"&amp;AA$2,"")&amp;IF(N(AB163)&gt;0,", "&amp;A163&amp;"-"&amp;AB$2,"")&amp;IF(N(AC163)&gt;0,", "&amp;A163&amp;"-"&amp;AC$2,"")&amp;IF(N(AD163)&gt;0,", "&amp;A163&amp;"-"&amp;AD$2,"")&amp;IF(N(AE163)&gt;0,", "&amp;A163&amp;"-"&amp;AE$2,"")&amp;IF(N(AF163)&gt;0,", "&amp;A163&amp;"-"&amp;AF$2,"")&amp;IF(N(AG163)&gt;0,", "&amp;A163&amp;"-"&amp;AG$2,"")&amp;IF(N(AH163)&gt;0,", "&amp;A163&amp;"-"&amp;AH$2,"")&amp;IF(N(AI163)&gt;0,", "&amp;A163&amp;"-"&amp;AI$2,"")&amp;IF(N(AJ163)&gt;0,", "&amp;A163&amp;"-"&amp;AJ$2,""),3,999))</f>
        <v/>
      </c>
      <c r="AN163" s="81"/>
      <c r="AO163" s="88"/>
      <c r="AP163" s="89" t="str">
        <f aca="false">IF(AO163="","",ROUND(AO163/(1+Справочники!$B$13),2))</f>
        <v/>
      </c>
      <c r="AQ163" s="90" t="str">
        <f aca="false" t="array" ref="AQ163:AQ163">IF(AP163="","",AP163*INDEX(Справочники!$B$4:$B$7,MATCH("RUB",Справочники!$A$4:$A$7,0)))</f>
        <v/>
      </c>
      <c r="AR163" s="90" t="str">
        <f aca="false">IF(AQ163="","",ROUND(AQ163*(1+Справочники!$B$12),0))</f>
        <v/>
      </c>
      <c r="AS163" s="90" t="str">
        <f aca="false">IF(AR163="","",ROUND(AR163*(1-Справочники!$B$11),0))</f>
        <v/>
      </c>
      <c r="AT163" s="88"/>
      <c r="AU163" s="90" t="str">
        <f aca="false">IF(AT163="","",ROUND(AT163/(1+Справочники!$B$12),0))</f>
        <v/>
      </c>
      <c r="AV163" s="90" t="str">
        <f aca="false">IF(AT163="","",ROUND(AT163*(1-Справочники!$B$15),0))</f>
        <v/>
      </c>
      <c r="AW163" s="90" t="str">
        <f aca="false">IF(AT163="","",ROUND(AT163*(1-Справочники!$B$16),0))</f>
        <v/>
      </c>
      <c r="AX163" s="90" t="str">
        <f aca="false">IF(AT163="","",ROUND(AT163*(1-Справочники!$B$17),0))</f>
        <v/>
      </c>
      <c r="AY163" s="90" t="str">
        <f aca="false">IF(AT163="","",ROUND(AT163*(1-Справочники!$B$18),0))</f>
        <v/>
      </c>
      <c r="AZ163" s="90" t="str">
        <f aca="false">IF(AT163="","",ROUND(AT163*(1-Справочники!$B$19),0))</f>
        <v/>
      </c>
      <c r="BA163" s="81"/>
      <c r="BB163" s="81"/>
      <c r="BC163" s="81"/>
      <c r="BD163" s="81"/>
      <c r="BE163" s="91"/>
      <c r="BF163" s="81" t="s">
        <v>103</v>
      </c>
      <c r="BG163" s="89" t="n">
        <f aca="false" t="array" ref="BG163:BG163">IF(BF163="","",IFERROR(INDEX(Справочники!$B$4:$B$7,MATCH(BF163,Справочники!$A$4:$A$7,0)),""))</f>
        <v>68.5</v>
      </c>
      <c r="BH163" s="90" t="str">
        <f aca="false">IF(N(BN163)&gt;0,ROUND(SUMIF(ЗАКАЗЫ!$F$3:$F$500,$A163,ЗАКАЗЫ!$Y$3:$Y$500)/BN163,0),IF(OR(BE163="",BG163=""),"",ROUND(BE163*BG163*(1+Справочники!$B$10),0)))</f>
        <v/>
      </c>
      <c r="BI163" s="92" t="str">
        <f aca="false">IF(OR(AU163="",BH163="",AU163=0),"",(AU163-BH163)/AU163)</f>
        <v/>
      </c>
      <c r="BJ163" s="81"/>
      <c r="BK163" s="83"/>
      <c r="BL163" s="43" t="str">
        <f aca="false">IFERROR(INDEX(ЗАКАЗЫ!$N$3:$N$500,MATCH($A163,ЗАКАЗЫ!$F$3:$F$500,0)),"")</f>
        <v/>
      </c>
      <c r="BM163" s="8" t="str">
        <f aca="false">IF(BL163="","",IFERROR(VLOOKUP(BL163,'ТН ВЭД'!$A$4:$C$40,3,0),""))</f>
        <v/>
      </c>
      <c r="BN163" s="7" t="str">
        <f aca="false">IF(COUNTIF(ЗАКАЗЫ!$F$3:$F$500,$A163)=0,"",SUMIF(ЗАКАЗЫ!$F$3:$F$500,$A163,ЗАКАЗЫ!$J$3:$J$500))</f>
        <v/>
      </c>
      <c r="BO163" s="7" t="str">
        <f aca="false">IF(BN163="","",SUMIF(ЗАКАЗЫ!$F$3:$F$500,$A163,ЗАКАЗЫ!$AL$3:$AL$500))</f>
        <v/>
      </c>
      <c r="BP163" s="7" t="str">
        <f aca="false">IF(BN163="","",BN163-BO163)</f>
        <v/>
      </c>
      <c r="BQ163" s="55" t="str">
        <f aca="false">IF(BN163="","",IF(BO163&gt;=BN163,"На складе",IF(BO163&gt;0,"Частично","Ждём")))</f>
        <v/>
      </c>
      <c r="BR163" s="43"/>
      <c r="BS163" s="47" t="str">
        <f aca="false">IF(BN163="","",IF(_xlfn.MAXIFS(ЗАКАЗЫ!$AK$3:$AK$500,ЗАКАЗЫ!$F$3:$F$500,$A163)=0,"",_xlfn.MAXIFS(ЗАКАЗЫ!$AK$3:$AK$500,ЗАКАЗЫ!$F$3:$F$500,$A163)))</f>
        <v/>
      </c>
    </row>
    <row r="164" customFormat="false" ht="15.75" hidden="false" customHeight="true" outlineLevel="0" collapsed="false">
      <c r="A164" s="80" t="s">
        <v>2704</v>
      </c>
      <c r="B164" s="81"/>
      <c r="C164" s="81"/>
      <c r="D164" s="81"/>
      <c r="E164" s="83"/>
      <c r="F164" s="81"/>
      <c r="G164" s="83"/>
      <c r="H164" s="83"/>
      <c r="I164" s="84" t="str">
        <f aca="false">IF(E164="","",A164&amp;"_1.jpg")</f>
        <v/>
      </c>
      <c r="J164" s="84" t="str">
        <f aca="false">IF(E164="","",A164&amp;"_2.jpg; "&amp;A164&amp;"_3.jpg")</f>
        <v/>
      </c>
      <c r="K164" s="84" t="str">
        <f aca="false">IF(E164="","",A164&amp;"_schema.jpg")</f>
        <v/>
      </c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 t="s">
        <v>96</v>
      </c>
      <c r="W164" s="81"/>
      <c r="X164" s="81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6" t="str">
        <f aca="false">IF(SUM(Y164:AJ164)=0,"",SUM(Y164:AJ164))</f>
        <v/>
      </c>
      <c r="AL164" s="84" t="str">
        <f aca="false">MID(IF(N(Y164)&gt;0,", "&amp;Y$2,"")&amp;IF(N(Z164)&gt;0,", "&amp;Z$2,"")&amp;IF(N(AA164)&gt;0,", "&amp;AA$2,"")&amp;IF(N(AB164)&gt;0,", "&amp;AB$2,"")&amp;IF(N(AC164)&gt;0,", "&amp;AC$2,"")&amp;IF(N(AD164)&gt;0,", "&amp;AD$2,"")&amp;IF(N(AE164)&gt;0,", "&amp;AE$2,"")&amp;IF(N(AF164)&gt;0,", "&amp;AF$2,"")&amp;IF(N(AG164)&gt;0,", "&amp;AG$2,"")&amp;IF(N(AH164)&gt;0,", "&amp;AH$2,"")&amp;IF(N(AI164)&gt;0,", "&amp;AI$2,"")&amp;IF(N(AJ164)&gt;0,", "&amp;AJ$2,""),3,999)</f>
        <v/>
      </c>
      <c r="AM164" s="87" t="str">
        <f aca="false">IF(E164="","",MID(IF(N(Y164)&gt;0,", "&amp;A164&amp;"-"&amp;Y$2,"")&amp;IF(N(Z164)&gt;0,", "&amp;A164&amp;"-"&amp;Z$2,"")&amp;IF(N(AA164)&gt;0,", "&amp;A164&amp;"-"&amp;AA$2,"")&amp;IF(N(AB164)&gt;0,", "&amp;A164&amp;"-"&amp;AB$2,"")&amp;IF(N(AC164)&gt;0,", "&amp;A164&amp;"-"&amp;AC$2,"")&amp;IF(N(AD164)&gt;0,", "&amp;A164&amp;"-"&amp;AD$2,"")&amp;IF(N(AE164)&gt;0,", "&amp;A164&amp;"-"&amp;AE$2,"")&amp;IF(N(AF164)&gt;0,", "&amp;A164&amp;"-"&amp;AF$2,"")&amp;IF(N(AG164)&gt;0,", "&amp;A164&amp;"-"&amp;AG$2,"")&amp;IF(N(AH164)&gt;0,", "&amp;A164&amp;"-"&amp;AH$2,"")&amp;IF(N(AI164)&gt;0,", "&amp;A164&amp;"-"&amp;AI$2,"")&amp;IF(N(AJ164)&gt;0,", "&amp;A164&amp;"-"&amp;AJ$2,""),3,999))</f>
        <v/>
      </c>
      <c r="AN164" s="81"/>
      <c r="AO164" s="88"/>
      <c r="AP164" s="89" t="str">
        <f aca="false">IF(AO164="","",ROUND(AO164/(1+Справочники!$B$13),2))</f>
        <v/>
      </c>
      <c r="AQ164" s="90" t="str">
        <f aca="false" t="array" ref="AQ164:AQ164">IF(AP164="","",AP164*INDEX(Справочники!$B$4:$B$7,MATCH("RUB",Справочники!$A$4:$A$7,0)))</f>
        <v/>
      </c>
      <c r="AR164" s="90" t="str">
        <f aca="false">IF(AQ164="","",ROUND(AQ164*(1+Справочники!$B$12),0))</f>
        <v/>
      </c>
      <c r="AS164" s="90" t="str">
        <f aca="false">IF(AR164="","",ROUND(AR164*(1-Справочники!$B$11),0))</f>
        <v/>
      </c>
      <c r="AT164" s="88"/>
      <c r="AU164" s="90" t="str">
        <f aca="false">IF(AT164="","",ROUND(AT164/(1+Справочники!$B$12),0))</f>
        <v/>
      </c>
      <c r="AV164" s="90" t="str">
        <f aca="false">IF(AT164="","",ROUND(AT164*(1-Справочники!$B$15),0))</f>
        <v/>
      </c>
      <c r="AW164" s="90" t="str">
        <f aca="false">IF(AT164="","",ROUND(AT164*(1-Справочники!$B$16),0))</f>
        <v/>
      </c>
      <c r="AX164" s="90" t="str">
        <f aca="false">IF(AT164="","",ROUND(AT164*(1-Справочники!$B$17),0))</f>
        <v/>
      </c>
      <c r="AY164" s="90" t="str">
        <f aca="false">IF(AT164="","",ROUND(AT164*(1-Справочники!$B$18),0))</f>
        <v/>
      </c>
      <c r="AZ164" s="90" t="str">
        <f aca="false">IF(AT164="","",ROUND(AT164*(1-Справочники!$B$19),0))</f>
        <v/>
      </c>
      <c r="BA164" s="81"/>
      <c r="BB164" s="81"/>
      <c r="BC164" s="81"/>
      <c r="BD164" s="81"/>
      <c r="BE164" s="91"/>
      <c r="BF164" s="81" t="s">
        <v>103</v>
      </c>
      <c r="BG164" s="89" t="n">
        <f aca="false" t="array" ref="BG164:BG164">IF(BF164="","",IFERROR(INDEX(Справочники!$B$4:$B$7,MATCH(BF164,Справочники!$A$4:$A$7,0)),""))</f>
        <v>68.5</v>
      </c>
      <c r="BH164" s="90" t="str">
        <f aca="false">IF(N(BN164)&gt;0,ROUND(SUMIF(ЗАКАЗЫ!$F$3:$F$500,$A164,ЗАКАЗЫ!$Y$3:$Y$500)/BN164,0),IF(OR(BE164="",BG164=""),"",ROUND(BE164*BG164*(1+Справочники!$B$10),0)))</f>
        <v/>
      </c>
      <c r="BI164" s="92" t="str">
        <f aca="false">IF(OR(AU164="",BH164="",AU164=0),"",(AU164-BH164)/AU164)</f>
        <v/>
      </c>
      <c r="BJ164" s="81"/>
      <c r="BK164" s="83"/>
      <c r="BL164" s="43" t="str">
        <f aca="false">IFERROR(INDEX(ЗАКАЗЫ!$N$3:$N$500,MATCH($A164,ЗАКАЗЫ!$F$3:$F$500,0)),"")</f>
        <v/>
      </c>
      <c r="BM164" s="8" t="str">
        <f aca="false">IF(BL164="","",IFERROR(VLOOKUP(BL164,'ТН ВЭД'!$A$4:$C$40,3,0),""))</f>
        <v/>
      </c>
      <c r="BN164" s="7" t="str">
        <f aca="false">IF(COUNTIF(ЗАКАЗЫ!$F$3:$F$500,$A164)=0,"",SUMIF(ЗАКАЗЫ!$F$3:$F$500,$A164,ЗАКАЗЫ!$J$3:$J$500))</f>
        <v/>
      </c>
      <c r="BO164" s="7" t="str">
        <f aca="false">IF(BN164="","",SUMIF(ЗАКАЗЫ!$F$3:$F$500,$A164,ЗАКАЗЫ!$AL$3:$AL$500))</f>
        <v/>
      </c>
      <c r="BP164" s="7" t="str">
        <f aca="false">IF(BN164="","",BN164-BO164)</f>
        <v/>
      </c>
      <c r="BQ164" s="55" t="str">
        <f aca="false">IF(BN164="","",IF(BO164&gt;=BN164,"На складе",IF(BO164&gt;0,"Частично","Ждём")))</f>
        <v/>
      </c>
      <c r="BR164" s="43"/>
      <c r="BS164" s="47" t="str">
        <f aca="false">IF(BN164="","",IF(_xlfn.MAXIFS(ЗАКАЗЫ!$AK$3:$AK$500,ЗАКАЗЫ!$F$3:$F$500,$A164)=0,"",_xlfn.MAXIFS(ЗАКАЗЫ!$AK$3:$AK$500,ЗАКАЗЫ!$F$3:$F$500,$A164)))</f>
        <v/>
      </c>
    </row>
    <row r="165" customFormat="false" ht="15.75" hidden="false" customHeight="true" outlineLevel="0" collapsed="false">
      <c r="A165" s="80" t="s">
        <v>2705</v>
      </c>
      <c r="B165" s="81"/>
      <c r="C165" s="81"/>
      <c r="D165" s="81"/>
      <c r="E165" s="83"/>
      <c r="F165" s="81"/>
      <c r="G165" s="83"/>
      <c r="H165" s="83"/>
      <c r="I165" s="84" t="str">
        <f aca="false">IF(E165="","",A165&amp;"_1.jpg")</f>
        <v/>
      </c>
      <c r="J165" s="84" t="str">
        <f aca="false">IF(E165="","",A165&amp;"_2.jpg; "&amp;A165&amp;"_3.jpg")</f>
        <v/>
      </c>
      <c r="K165" s="84" t="str">
        <f aca="false">IF(E165="","",A165&amp;"_schema.jpg")</f>
        <v/>
      </c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 t="s">
        <v>96</v>
      </c>
      <c r="W165" s="81"/>
      <c r="X165" s="81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6" t="str">
        <f aca="false">IF(SUM(Y165:AJ165)=0,"",SUM(Y165:AJ165))</f>
        <v/>
      </c>
      <c r="AL165" s="84" t="str">
        <f aca="false">MID(IF(N(Y165)&gt;0,", "&amp;Y$2,"")&amp;IF(N(Z165)&gt;0,", "&amp;Z$2,"")&amp;IF(N(AA165)&gt;0,", "&amp;AA$2,"")&amp;IF(N(AB165)&gt;0,", "&amp;AB$2,"")&amp;IF(N(AC165)&gt;0,", "&amp;AC$2,"")&amp;IF(N(AD165)&gt;0,", "&amp;AD$2,"")&amp;IF(N(AE165)&gt;0,", "&amp;AE$2,"")&amp;IF(N(AF165)&gt;0,", "&amp;AF$2,"")&amp;IF(N(AG165)&gt;0,", "&amp;AG$2,"")&amp;IF(N(AH165)&gt;0,", "&amp;AH$2,"")&amp;IF(N(AI165)&gt;0,", "&amp;AI$2,"")&amp;IF(N(AJ165)&gt;0,", "&amp;AJ$2,""),3,999)</f>
        <v/>
      </c>
      <c r="AM165" s="87" t="str">
        <f aca="false">IF(E165="","",MID(IF(N(Y165)&gt;0,", "&amp;A165&amp;"-"&amp;Y$2,"")&amp;IF(N(Z165)&gt;0,", "&amp;A165&amp;"-"&amp;Z$2,"")&amp;IF(N(AA165)&gt;0,", "&amp;A165&amp;"-"&amp;AA$2,"")&amp;IF(N(AB165)&gt;0,", "&amp;A165&amp;"-"&amp;AB$2,"")&amp;IF(N(AC165)&gt;0,", "&amp;A165&amp;"-"&amp;AC$2,"")&amp;IF(N(AD165)&gt;0,", "&amp;A165&amp;"-"&amp;AD$2,"")&amp;IF(N(AE165)&gt;0,", "&amp;A165&amp;"-"&amp;AE$2,"")&amp;IF(N(AF165)&gt;0,", "&amp;A165&amp;"-"&amp;AF$2,"")&amp;IF(N(AG165)&gt;0,", "&amp;A165&amp;"-"&amp;AG$2,"")&amp;IF(N(AH165)&gt;0,", "&amp;A165&amp;"-"&amp;AH$2,"")&amp;IF(N(AI165)&gt;0,", "&amp;A165&amp;"-"&amp;AI$2,"")&amp;IF(N(AJ165)&gt;0,", "&amp;A165&amp;"-"&amp;AJ$2,""),3,999))</f>
        <v/>
      </c>
      <c r="AN165" s="81"/>
      <c r="AO165" s="88"/>
      <c r="AP165" s="89" t="str">
        <f aca="false">IF(AO165="","",ROUND(AO165/(1+Справочники!$B$13),2))</f>
        <v/>
      </c>
      <c r="AQ165" s="90" t="str">
        <f aca="false" t="array" ref="AQ165:AQ165">IF(AP165="","",AP165*INDEX(Справочники!$B$4:$B$7,MATCH("RUB",Справочники!$A$4:$A$7,0)))</f>
        <v/>
      </c>
      <c r="AR165" s="90" t="str">
        <f aca="false">IF(AQ165="","",ROUND(AQ165*(1+Справочники!$B$12),0))</f>
        <v/>
      </c>
      <c r="AS165" s="90" t="str">
        <f aca="false">IF(AR165="","",ROUND(AR165*(1-Справочники!$B$11),0))</f>
        <v/>
      </c>
      <c r="AT165" s="88"/>
      <c r="AU165" s="90" t="str">
        <f aca="false">IF(AT165="","",ROUND(AT165/(1+Справочники!$B$12),0))</f>
        <v/>
      </c>
      <c r="AV165" s="90" t="str">
        <f aca="false">IF(AT165="","",ROUND(AT165*(1-Справочники!$B$15),0))</f>
        <v/>
      </c>
      <c r="AW165" s="90" t="str">
        <f aca="false">IF(AT165="","",ROUND(AT165*(1-Справочники!$B$16),0))</f>
        <v/>
      </c>
      <c r="AX165" s="90" t="str">
        <f aca="false">IF(AT165="","",ROUND(AT165*(1-Справочники!$B$17),0))</f>
        <v/>
      </c>
      <c r="AY165" s="90" t="str">
        <f aca="false">IF(AT165="","",ROUND(AT165*(1-Справочники!$B$18),0))</f>
        <v/>
      </c>
      <c r="AZ165" s="90" t="str">
        <f aca="false">IF(AT165="","",ROUND(AT165*(1-Справочники!$B$19),0))</f>
        <v/>
      </c>
      <c r="BA165" s="81"/>
      <c r="BB165" s="81"/>
      <c r="BC165" s="81"/>
      <c r="BD165" s="81"/>
      <c r="BE165" s="91"/>
      <c r="BF165" s="81" t="s">
        <v>103</v>
      </c>
      <c r="BG165" s="89" t="n">
        <f aca="false" t="array" ref="BG165:BG165">IF(BF165="","",IFERROR(INDEX(Справочники!$B$4:$B$7,MATCH(BF165,Справочники!$A$4:$A$7,0)),""))</f>
        <v>68.5</v>
      </c>
      <c r="BH165" s="90" t="str">
        <f aca="false">IF(N(BN165)&gt;0,ROUND(SUMIF(ЗАКАЗЫ!$F$3:$F$500,$A165,ЗАКАЗЫ!$Y$3:$Y$500)/BN165,0),IF(OR(BE165="",BG165=""),"",ROUND(BE165*BG165*(1+Справочники!$B$10),0)))</f>
        <v/>
      </c>
      <c r="BI165" s="92" t="str">
        <f aca="false">IF(OR(AU165="",BH165="",AU165=0),"",(AU165-BH165)/AU165)</f>
        <v/>
      </c>
      <c r="BJ165" s="81"/>
      <c r="BK165" s="83"/>
      <c r="BL165" s="43" t="str">
        <f aca="false">IFERROR(INDEX(ЗАКАЗЫ!$N$3:$N$500,MATCH($A165,ЗАКАЗЫ!$F$3:$F$500,0)),"")</f>
        <v/>
      </c>
      <c r="BM165" s="8" t="str">
        <f aca="false">IF(BL165="","",IFERROR(VLOOKUP(BL165,'ТН ВЭД'!$A$4:$C$40,3,0),""))</f>
        <v/>
      </c>
      <c r="BN165" s="7" t="str">
        <f aca="false">IF(COUNTIF(ЗАКАЗЫ!$F$3:$F$500,$A165)=0,"",SUMIF(ЗАКАЗЫ!$F$3:$F$500,$A165,ЗАКАЗЫ!$J$3:$J$500))</f>
        <v/>
      </c>
      <c r="BO165" s="7" t="str">
        <f aca="false">IF(BN165="","",SUMIF(ЗАКАЗЫ!$F$3:$F$500,$A165,ЗАКАЗЫ!$AL$3:$AL$500))</f>
        <v/>
      </c>
      <c r="BP165" s="7" t="str">
        <f aca="false">IF(BN165="","",BN165-BO165)</f>
        <v/>
      </c>
      <c r="BQ165" s="55" t="str">
        <f aca="false">IF(BN165="","",IF(BO165&gt;=BN165,"На складе",IF(BO165&gt;0,"Частично","Ждём")))</f>
        <v/>
      </c>
      <c r="BR165" s="43"/>
      <c r="BS165" s="47" t="str">
        <f aca="false">IF(BN165="","",IF(_xlfn.MAXIFS(ЗАКАЗЫ!$AK$3:$AK$500,ЗАКАЗЫ!$F$3:$F$500,$A165)=0,"",_xlfn.MAXIFS(ЗАКАЗЫ!$AK$3:$AK$500,ЗАКАЗЫ!$F$3:$F$500,$A165)))</f>
        <v/>
      </c>
    </row>
    <row r="166" customFormat="false" ht="15.75" hidden="false" customHeight="true" outlineLevel="0" collapsed="false">
      <c r="A166" s="80" t="s">
        <v>2706</v>
      </c>
      <c r="B166" s="81"/>
      <c r="C166" s="81"/>
      <c r="D166" s="81"/>
      <c r="E166" s="83"/>
      <c r="F166" s="81"/>
      <c r="G166" s="83"/>
      <c r="H166" s="83"/>
      <c r="I166" s="84" t="str">
        <f aca="false">IF(E166="","",A166&amp;"_1.jpg")</f>
        <v/>
      </c>
      <c r="J166" s="84" t="str">
        <f aca="false">IF(E166="","",A166&amp;"_2.jpg; "&amp;A166&amp;"_3.jpg")</f>
        <v/>
      </c>
      <c r="K166" s="84" t="str">
        <f aca="false">IF(E166="","",A166&amp;"_schema.jpg")</f>
        <v/>
      </c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 t="s">
        <v>96</v>
      </c>
      <c r="W166" s="81"/>
      <c r="X166" s="81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6" t="str">
        <f aca="false">IF(SUM(Y166:AJ166)=0,"",SUM(Y166:AJ166))</f>
        <v/>
      </c>
      <c r="AL166" s="84" t="str">
        <f aca="false">MID(IF(N(Y166)&gt;0,", "&amp;Y$2,"")&amp;IF(N(Z166)&gt;0,", "&amp;Z$2,"")&amp;IF(N(AA166)&gt;0,", "&amp;AA$2,"")&amp;IF(N(AB166)&gt;0,", "&amp;AB$2,"")&amp;IF(N(AC166)&gt;0,", "&amp;AC$2,"")&amp;IF(N(AD166)&gt;0,", "&amp;AD$2,"")&amp;IF(N(AE166)&gt;0,", "&amp;AE$2,"")&amp;IF(N(AF166)&gt;0,", "&amp;AF$2,"")&amp;IF(N(AG166)&gt;0,", "&amp;AG$2,"")&amp;IF(N(AH166)&gt;0,", "&amp;AH$2,"")&amp;IF(N(AI166)&gt;0,", "&amp;AI$2,"")&amp;IF(N(AJ166)&gt;0,", "&amp;AJ$2,""),3,999)</f>
        <v/>
      </c>
      <c r="AM166" s="87" t="str">
        <f aca="false">IF(E166="","",MID(IF(N(Y166)&gt;0,", "&amp;A166&amp;"-"&amp;Y$2,"")&amp;IF(N(Z166)&gt;0,", "&amp;A166&amp;"-"&amp;Z$2,"")&amp;IF(N(AA166)&gt;0,", "&amp;A166&amp;"-"&amp;AA$2,"")&amp;IF(N(AB166)&gt;0,", "&amp;A166&amp;"-"&amp;AB$2,"")&amp;IF(N(AC166)&gt;0,", "&amp;A166&amp;"-"&amp;AC$2,"")&amp;IF(N(AD166)&gt;0,", "&amp;A166&amp;"-"&amp;AD$2,"")&amp;IF(N(AE166)&gt;0,", "&amp;A166&amp;"-"&amp;AE$2,"")&amp;IF(N(AF166)&gt;0,", "&amp;A166&amp;"-"&amp;AF$2,"")&amp;IF(N(AG166)&gt;0,", "&amp;A166&amp;"-"&amp;AG$2,"")&amp;IF(N(AH166)&gt;0,", "&amp;A166&amp;"-"&amp;AH$2,"")&amp;IF(N(AI166)&gt;0,", "&amp;A166&amp;"-"&amp;AI$2,"")&amp;IF(N(AJ166)&gt;0,", "&amp;A166&amp;"-"&amp;AJ$2,""),3,999))</f>
        <v/>
      </c>
      <c r="AN166" s="81"/>
      <c r="AO166" s="88"/>
      <c r="AP166" s="89" t="str">
        <f aca="false">IF(AO166="","",ROUND(AO166/(1+Справочники!$B$13),2))</f>
        <v/>
      </c>
      <c r="AQ166" s="90" t="str">
        <f aca="false" t="array" ref="AQ166:AQ166">IF(AP166="","",AP166*INDEX(Справочники!$B$4:$B$7,MATCH("RUB",Справочники!$A$4:$A$7,0)))</f>
        <v/>
      </c>
      <c r="AR166" s="90" t="str">
        <f aca="false">IF(AQ166="","",ROUND(AQ166*(1+Справочники!$B$12),0))</f>
        <v/>
      </c>
      <c r="AS166" s="90" t="str">
        <f aca="false">IF(AR166="","",ROUND(AR166*(1-Справочники!$B$11),0))</f>
        <v/>
      </c>
      <c r="AT166" s="88"/>
      <c r="AU166" s="90" t="str">
        <f aca="false">IF(AT166="","",ROUND(AT166/(1+Справочники!$B$12),0))</f>
        <v/>
      </c>
      <c r="AV166" s="90" t="str">
        <f aca="false">IF(AT166="","",ROUND(AT166*(1-Справочники!$B$15),0))</f>
        <v/>
      </c>
      <c r="AW166" s="90" t="str">
        <f aca="false">IF(AT166="","",ROUND(AT166*(1-Справочники!$B$16),0))</f>
        <v/>
      </c>
      <c r="AX166" s="90" t="str">
        <f aca="false">IF(AT166="","",ROUND(AT166*(1-Справочники!$B$17),0))</f>
        <v/>
      </c>
      <c r="AY166" s="90" t="str">
        <f aca="false">IF(AT166="","",ROUND(AT166*(1-Справочники!$B$18),0))</f>
        <v/>
      </c>
      <c r="AZ166" s="90" t="str">
        <f aca="false">IF(AT166="","",ROUND(AT166*(1-Справочники!$B$19),0))</f>
        <v/>
      </c>
      <c r="BA166" s="81"/>
      <c r="BB166" s="81"/>
      <c r="BC166" s="81"/>
      <c r="BD166" s="81"/>
      <c r="BE166" s="91"/>
      <c r="BF166" s="81" t="s">
        <v>103</v>
      </c>
      <c r="BG166" s="89" t="n">
        <f aca="false" t="array" ref="BG166:BG166">IF(BF166="","",IFERROR(INDEX(Справочники!$B$4:$B$7,MATCH(BF166,Справочники!$A$4:$A$7,0)),""))</f>
        <v>68.5</v>
      </c>
      <c r="BH166" s="90" t="str">
        <f aca="false">IF(N(BN166)&gt;0,ROUND(SUMIF(ЗАКАЗЫ!$F$3:$F$500,$A166,ЗАКАЗЫ!$Y$3:$Y$500)/BN166,0),IF(OR(BE166="",BG166=""),"",ROUND(BE166*BG166*(1+Справочники!$B$10),0)))</f>
        <v/>
      </c>
      <c r="BI166" s="92" t="str">
        <f aca="false">IF(OR(AU166="",BH166="",AU166=0),"",(AU166-BH166)/AU166)</f>
        <v/>
      </c>
      <c r="BJ166" s="81"/>
      <c r="BK166" s="83"/>
      <c r="BL166" s="43" t="str">
        <f aca="false">IFERROR(INDEX(ЗАКАЗЫ!$N$3:$N$500,MATCH($A166,ЗАКАЗЫ!$F$3:$F$500,0)),"")</f>
        <v/>
      </c>
      <c r="BM166" s="8" t="str">
        <f aca="false">IF(BL166="","",IFERROR(VLOOKUP(BL166,'ТН ВЭД'!$A$4:$C$40,3,0),""))</f>
        <v/>
      </c>
      <c r="BN166" s="7" t="str">
        <f aca="false">IF(COUNTIF(ЗАКАЗЫ!$F$3:$F$500,$A166)=0,"",SUMIF(ЗАКАЗЫ!$F$3:$F$500,$A166,ЗАКАЗЫ!$J$3:$J$500))</f>
        <v/>
      </c>
      <c r="BO166" s="7" t="str">
        <f aca="false">IF(BN166="","",SUMIF(ЗАКАЗЫ!$F$3:$F$500,$A166,ЗАКАЗЫ!$AL$3:$AL$500))</f>
        <v/>
      </c>
      <c r="BP166" s="7" t="str">
        <f aca="false">IF(BN166="","",BN166-BO166)</f>
        <v/>
      </c>
      <c r="BQ166" s="55" t="str">
        <f aca="false">IF(BN166="","",IF(BO166&gt;=BN166,"На складе",IF(BO166&gt;0,"Частично","Ждём")))</f>
        <v/>
      </c>
      <c r="BR166" s="43"/>
      <c r="BS166" s="47" t="str">
        <f aca="false">IF(BN166="","",IF(_xlfn.MAXIFS(ЗАКАЗЫ!$AK$3:$AK$500,ЗАКАЗЫ!$F$3:$F$500,$A166)=0,"",_xlfn.MAXIFS(ЗАКАЗЫ!$AK$3:$AK$500,ЗАКАЗЫ!$F$3:$F$500,$A166)))</f>
        <v/>
      </c>
    </row>
    <row r="167" customFormat="false" ht="15.75" hidden="false" customHeight="true" outlineLevel="0" collapsed="false">
      <c r="A167" s="80" t="s">
        <v>2707</v>
      </c>
      <c r="B167" s="81"/>
      <c r="C167" s="81"/>
      <c r="D167" s="81"/>
      <c r="E167" s="83"/>
      <c r="F167" s="81"/>
      <c r="G167" s="83"/>
      <c r="H167" s="83"/>
      <c r="I167" s="84" t="str">
        <f aca="false">IF(E167="","",A167&amp;"_1.jpg")</f>
        <v/>
      </c>
      <c r="J167" s="84" t="str">
        <f aca="false">IF(E167="","",A167&amp;"_2.jpg; "&amp;A167&amp;"_3.jpg")</f>
        <v/>
      </c>
      <c r="K167" s="84" t="str">
        <f aca="false">IF(E167="","",A167&amp;"_schema.jpg")</f>
        <v/>
      </c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 t="s">
        <v>96</v>
      </c>
      <c r="W167" s="81"/>
      <c r="X167" s="81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6" t="str">
        <f aca="false">IF(SUM(Y167:AJ167)=0,"",SUM(Y167:AJ167))</f>
        <v/>
      </c>
      <c r="AL167" s="84" t="str">
        <f aca="false">MID(IF(N(Y167)&gt;0,", "&amp;Y$2,"")&amp;IF(N(Z167)&gt;0,", "&amp;Z$2,"")&amp;IF(N(AA167)&gt;0,", "&amp;AA$2,"")&amp;IF(N(AB167)&gt;0,", "&amp;AB$2,"")&amp;IF(N(AC167)&gt;0,", "&amp;AC$2,"")&amp;IF(N(AD167)&gt;0,", "&amp;AD$2,"")&amp;IF(N(AE167)&gt;0,", "&amp;AE$2,"")&amp;IF(N(AF167)&gt;0,", "&amp;AF$2,"")&amp;IF(N(AG167)&gt;0,", "&amp;AG$2,"")&amp;IF(N(AH167)&gt;0,", "&amp;AH$2,"")&amp;IF(N(AI167)&gt;0,", "&amp;AI$2,"")&amp;IF(N(AJ167)&gt;0,", "&amp;AJ$2,""),3,999)</f>
        <v/>
      </c>
      <c r="AM167" s="87" t="str">
        <f aca="false">IF(E167="","",MID(IF(N(Y167)&gt;0,", "&amp;A167&amp;"-"&amp;Y$2,"")&amp;IF(N(Z167)&gt;0,", "&amp;A167&amp;"-"&amp;Z$2,"")&amp;IF(N(AA167)&gt;0,", "&amp;A167&amp;"-"&amp;AA$2,"")&amp;IF(N(AB167)&gt;0,", "&amp;A167&amp;"-"&amp;AB$2,"")&amp;IF(N(AC167)&gt;0,", "&amp;A167&amp;"-"&amp;AC$2,"")&amp;IF(N(AD167)&gt;0,", "&amp;A167&amp;"-"&amp;AD$2,"")&amp;IF(N(AE167)&gt;0,", "&amp;A167&amp;"-"&amp;AE$2,"")&amp;IF(N(AF167)&gt;0,", "&amp;A167&amp;"-"&amp;AF$2,"")&amp;IF(N(AG167)&gt;0,", "&amp;A167&amp;"-"&amp;AG$2,"")&amp;IF(N(AH167)&gt;0,", "&amp;A167&amp;"-"&amp;AH$2,"")&amp;IF(N(AI167)&gt;0,", "&amp;A167&amp;"-"&amp;AI$2,"")&amp;IF(N(AJ167)&gt;0,", "&amp;A167&amp;"-"&amp;AJ$2,""),3,999))</f>
        <v/>
      </c>
      <c r="AN167" s="81"/>
      <c r="AO167" s="88"/>
      <c r="AP167" s="89" t="str">
        <f aca="false">IF(AO167="","",ROUND(AO167/(1+Справочники!$B$13),2))</f>
        <v/>
      </c>
      <c r="AQ167" s="90" t="str">
        <f aca="false" t="array" ref="AQ167:AQ167">IF(AP167="","",AP167*INDEX(Справочники!$B$4:$B$7,MATCH("RUB",Справочники!$A$4:$A$7,0)))</f>
        <v/>
      </c>
      <c r="AR167" s="90" t="str">
        <f aca="false">IF(AQ167="","",ROUND(AQ167*(1+Справочники!$B$12),0))</f>
        <v/>
      </c>
      <c r="AS167" s="90" t="str">
        <f aca="false">IF(AR167="","",ROUND(AR167*(1-Справочники!$B$11),0))</f>
        <v/>
      </c>
      <c r="AT167" s="88"/>
      <c r="AU167" s="90" t="str">
        <f aca="false">IF(AT167="","",ROUND(AT167/(1+Справочники!$B$12),0))</f>
        <v/>
      </c>
      <c r="AV167" s="90" t="str">
        <f aca="false">IF(AT167="","",ROUND(AT167*(1-Справочники!$B$15),0))</f>
        <v/>
      </c>
      <c r="AW167" s="90" t="str">
        <f aca="false">IF(AT167="","",ROUND(AT167*(1-Справочники!$B$16),0))</f>
        <v/>
      </c>
      <c r="AX167" s="90" t="str">
        <f aca="false">IF(AT167="","",ROUND(AT167*(1-Справочники!$B$17),0))</f>
        <v/>
      </c>
      <c r="AY167" s="90" t="str">
        <f aca="false">IF(AT167="","",ROUND(AT167*(1-Справочники!$B$18),0))</f>
        <v/>
      </c>
      <c r="AZ167" s="90" t="str">
        <f aca="false">IF(AT167="","",ROUND(AT167*(1-Справочники!$B$19),0))</f>
        <v/>
      </c>
      <c r="BA167" s="81"/>
      <c r="BB167" s="81"/>
      <c r="BC167" s="81"/>
      <c r="BD167" s="81"/>
      <c r="BE167" s="91"/>
      <c r="BF167" s="81" t="s">
        <v>103</v>
      </c>
      <c r="BG167" s="89" t="n">
        <f aca="false" t="array" ref="BG167:BG167">IF(BF167="","",IFERROR(INDEX(Справочники!$B$4:$B$7,MATCH(BF167,Справочники!$A$4:$A$7,0)),""))</f>
        <v>68.5</v>
      </c>
      <c r="BH167" s="90" t="str">
        <f aca="false">IF(N(BN167)&gt;0,ROUND(SUMIF(ЗАКАЗЫ!$F$3:$F$500,$A167,ЗАКАЗЫ!$Y$3:$Y$500)/BN167,0),IF(OR(BE167="",BG167=""),"",ROUND(BE167*BG167*(1+Справочники!$B$10),0)))</f>
        <v/>
      </c>
      <c r="BI167" s="92" t="str">
        <f aca="false">IF(OR(AU167="",BH167="",AU167=0),"",(AU167-BH167)/AU167)</f>
        <v/>
      </c>
      <c r="BJ167" s="81"/>
      <c r="BK167" s="83"/>
      <c r="BL167" s="43" t="str">
        <f aca="false">IFERROR(INDEX(ЗАКАЗЫ!$N$3:$N$500,MATCH($A167,ЗАКАЗЫ!$F$3:$F$500,0)),"")</f>
        <v/>
      </c>
      <c r="BM167" s="8" t="str">
        <f aca="false">IF(BL167="","",IFERROR(VLOOKUP(BL167,'ТН ВЭД'!$A$4:$C$40,3,0),""))</f>
        <v/>
      </c>
      <c r="BN167" s="7" t="str">
        <f aca="false">IF(COUNTIF(ЗАКАЗЫ!$F$3:$F$500,$A167)=0,"",SUMIF(ЗАКАЗЫ!$F$3:$F$500,$A167,ЗАКАЗЫ!$J$3:$J$500))</f>
        <v/>
      </c>
      <c r="BO167" s="7" t="str">
        <f aca="false">IF(BN167="","",SUMIF(ЗАКАЗЫ!$F$3:$F$500,$A167,ЗАКАЗЫ!$AL$3:$AL$500))</f>
        <v/>
      </c>
      <c r="BP167" s="7" t="str">
        <f aca="false">IF(BN167="","",BN167-BO167)</f>
        <v/>
      </c>
      <c r="BQ167" s="55" t="str">
        <f aca="false">IF(BN167="","",IF(BO167&gt;=BN167,"На складе",IF(BO167&gt;0,"Частично","Ждём")))</f>
        <v/>
      </c>
      <c r="BR167" s="43"/>
      <c r="BS167" s="47" t="str">
        <f aca="false">IF(BN167="","",IF(_xlfn.MAXIFS(ЗАКАЗЫ!$AK$3:$AK$500,ЗАКАЗЫ!$F$3:$F$500,$A167)=0,"",_xlfn.MAXIFS(ЗАКАЗЫ!$AK$3:$AK$500,ЗАКАЗЫ!$F$3:$F$500,$A167)))</f>
        <v/>
      </c>
    </row>
    <row r="168" customFormat="false" ht="15.75" hidden="false" customHeight="true" outlineLevel="0" collapsed="false">
      <c r="A168" s="80" t="s">
        <v>2708</v>
      </c>
      <c r="B168" s="81"/>
      <c r="C168" s="81"/>
      <c r="D168" s="81"/>
      <c r="E168" s="83"/>
      <c r="F168" s="81"/>
      <c r="G168" s="83"/>
      <c r="H168" s="83"/>
      <c r="I168" s="84" t="str">
        <f aca="false">IF(E168="","",A168&amp;"_1.jpg")</f>
        <v/>
      </c>
      <c r="J168" s="84" t="str">
        <f aca="false">IF(E168="","",A168&amp;"_2.jpg; "&amp;A168&amp;"_3.jpg")</f>
        <v/>
      </c>
      <c r="K168" s="84" t="str">
        <f aca="false">IF(E168="","",A168&amp;"_schema.jpg")</f>
        <v/>
      </c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 t="s">
        <v>96</v>
      </c>
      <c r="W168" s="81"/>
      <c r="X168" s="81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6" t="str">
        <f aca="false">IF(SUM(Y168:AJ168)=0,"",SUM(Y168:AJ168))</f>
        <v/>
      </c>
      <c r="AL168" s="84" t="str">
        <f aca="false">MID(IF(N(Y168)&gt;0,", "&amp;Y$2,"")&amp;IF(N(Z168)&gt;0,", "&amp;Z$2,"")&amp;IF(N(AA168)&gt;0,", "&amp;AA$2,"")&amp;IF(N(AB168)&gt;0,", "&amp;AB$2,"")&amp;IF(N(AC168)&gt;0,", "&amp;AC$2,"")&amp;IF(N(AD168)&gt;0,", "&amp;AD$2,"")&amp;IF(N(AE168)&gt;0,", "&amp;AE$2,"")&amp;IF(N(AF168)&gt;0,", "&amp;AF$2,"")&amp;IF(N(AG168)&gt;0,", "&amp;AG$2,"")&amp;IF(N(AH168)&gt;0,", "&amp;AH$2,"")&amp;IF(N(AI168)&gt;0,", "&amp;AI$2,"")&amp;IF(N(AJ168)&gt;0,", "&amp;AJ$2,""),3,999)</f>
        <v/>
      </c>
      <c r="AM168" s="87" t="str">
        <f aca="false">IF(E168="","",MID(IF(N(Y168)&gt;0,", "&amp;A168&amp;"-"&amp;Y$2,"")&amp;IF(N(Z168)&gt;0,", "&amp;A168&amp;"-"&amp;Z$2,"")&amp;IF(N(AA168)&gt;0,", "&amp;A168&amp;"-"&amp;AA$2,"")&amp;IF(N(AB168)&gt;0,", "&amp;A168&amp;"-"&amp;AB$2,"")&amp;IF(N(AC168)&gt;0,", "&amp;A168&amp;"-"&amp;AC$2,"")&amp;IF(N(AD168)&gt;0,", "&amp;A168&amp;"-"&amp;AD$2,"")&amp;IF(N(AE168)&gt;0,", "&amp;A168&amp;"-"&amp;AE$2,"")&amp;IF(N(AF168)&gt;0,", "&amp;A168&amp;"-"&amp;AF$2,"")&amp;IF(N(AG168)&gt;0,", "&amp;A168&amp;"-"&amp;AG$2,"")&amp;IF(N(AH168)&gt;0,", "&amp;A168&amp;"-"&amp;AH$2,"")&amp;IF(N(AI168)&gt;0,", "&amp;A168&amp;"-"&amp;AI$2,"")&amp;IF(N(AJ168)&gt;0,", "&amp;A168&amp;"-"&amp;AJ$2,""),3,999))</f>
        <v/>
      </c>
      <c r="AN168" s="81"/>
      <c r="AO168" s="88"/>
      <c r="AP168" s="89" t="str">
        <f aca="false">IF(AO168="","",ROUND(AO168/(1+Справочники!$B$13),2))</f>
        <v/>
      </c>
      <c r="AQ168" s="90" t="str">
        <f aca="false" t="array" ref="AQ168:AQ168">IF(AP168="","",AP168*INDEX(Справочники!$B$4:$B$7,MATCH("RUB",Справочники!$A$4:$A$7,0)))</f>
        <v/>
      </c>
      <c r="AR168" s="90" t="str">
        <f aca="false">IF(AQ168="","",ROUND(AQ168*(1+Справочники!$B$12),0))</f>
        <v/>
      </c>
      <c r="AS168" s="90" t="str">
        <f aca="false">IF(AR168="","",ROUND(AR168*(1-Справочники!$B$11),0))</f>
        <v/>
      </c>
      <c r="AT168" s="88"/>
      <c r="AU168" s="90" t="str">
        <f aca="false">IF(AT168="","",ROUND(AT168/(1+Справочники!$B$12),0))</f>
        <v/>
      </c>
      <c r="AV168" s="90" t="str">
        <f aca="false">IF(AT168="","",ROUND(AT168*(1-Справочники!$B$15),0))</f>
        <v/>
      </c>
      <c r="AW168" s="90" t="str">
        <f aca="false">IF(AT168="","",ROUND(AT168*(1-Справочники!$B$16),0))</f>
        <v/>
      </c>
      <c r="AX168" s="90" t="str">
        <f aca="false">IF(AT168="","",ROUND(AT168*(1-Справочники!$B$17),0))</f>
        <v/>
      </c>
      <c r="AY168" s="90" t="str">
        <f aca="false">IF(AT168="","",ROUND(AT168*(1-Справочники!$B$18),0))</f>
        <v/>
      </c>
      <c r="AZ168" s="90" t="str">
        <f aca="false">IF(AT168="","",ROUND(AT168*(1-Справочники!$B$19),0))</f>
        <v/>
      </c>
      <c r="BA168" s="81"/>
      <c r="BB168" s="81"/>
      <c r="BC168" s="81"/>
      <c r="BD168" s="81"/>
      <c r="BE168" s="91"/>
      <c r="BF168" s="81" t="s">
        <v>103</v>
      </c>
      <c r="BG168" s="89" t="n">
        <f aca="false" t="array" ref="BG168:BG168">IF(BF168="","",IFERROR(INDEX(Справочники!$B$4:$B$7,MATCH(BF168,Справочники!$A$4:$A$7,0)),""))</f>
        <v>68.5</v>
      </c>
      <c r="BH168" s="90" t="str">
        <f aca="false">IF(N(BN168)&gt;0,ROUND(SUMIF(ЗАКАЗЫ!$F$3:$F$500,$A168,ЗАКАЗЫ!$Y$3:$Y$500)/BN168,0),IF(OR(BE168="",BG168=""),"",ROUND(BE168*BG168*(1+Справочники!$B$10),0)))</f>
        <v/>
      </c>
      <c r="BI168" s="92" t="str">
        <f aca="false">IF(OR(AU168="",BH168="",AU168=0),"",(AU168-BH168)/AU168)</f>
        <v/>
      </c>
      <c r="BJ168" s="81"/>
      <c r="BK168" s="83"/>
      <c r="BL168" s="43" t="str">
        <f aca="false">IFERROR(INDEX(ЗАКАЗЫ!$N$3:$N$500,MATCH($A168,ЗАКАЗЫ!$F$3:$F$500,0)),"")</f>
        <v/>
      </c>
      <c r="BM168" s="8" t="str">
        <f aca="false">IF(BL168="","",IFERROR(VLOOKUP(BL168,'ТН ВЭД'!$A$4:$C$40,3,0),""))</f>
        <v/>
      </c>
      <c r="BN168" s="7" t="str">
        <f aca="false">IF(COUNTIF(ЗАКАЗЫ!$F$3:$F$500,$A168)=0,"",SUMIF(ЗАКАЗЫ!$F$3:$F$500,$A168,ЗАКАЗЫ!$J$3:$J$500))</f>
        <v/>
      </c>
      <c r="BO168" s="7" t="str">
        <f aca="false">IF(BN168="","",SUMIF(ЗАКАЗЫ!$F$3:$F$500,$A168,ЗАКАЗЫ!$AL$3:$AL$500))</f>
        <v/>
      </c>
      <c r="BP168" s="7" t="str">
        <f aca="false">IF(BN168="","",BN168-BO168)</f>
        <v/>
      </c>
      <c r="BQ168" s="55" t="str">
        <f aca="false">IF(BN168="","",IF(BO168&gt;=BN168,"На складе",IF(BO168&gt;0,"Частично","Ждём")))</f>
        <v/>
      </c>
      <c r="BR168" s="43"/>
      <c r="BS168" s="47" t="str">
        <f aca="false">IF(BN168="","",IF(_xlfn.MAXIFS(ЗАКАЗЫ!$AK$3:$AK$500,ЗАКАЗЫ!$F$3:$F$500,$A168)=0,"",_xlfn.MAXIFS(ЗАКАЗЫ!$AK$3:$AK$500,ЗАКАЗЫ!$F$3:$F$500,$A168)))</f>
        <v/>
      </c>
    </row>
    <row r="169" customFormat="false" ht="15.75" hidden="false" customHeight="true" outlineLevel="0" collapsed="false">
      <c r="A169" s="80" t="s">
        <v>2709</v>
      </c>
      <c r="B169" s="81"/>
      <c r="C169" s="81"/>
      <c r="D169" s="81"/>
      <c r="E169" s="83"/>
      <c r="F169" s="81"/>
      <c r="G169" s="83"/>
      <c r="H169" s="83"/>
      <c r="I169" s="84" t="str">
        <f aca="false">IF(E169="","",A169&amp;"_1.jpg")</f>
        <v/>
      </c>
      <c r="J169" s="84" t="str">
        <f aca="false">IF(E169="","",A169&amp;"_2.jpg; "&amp;A169&amp;"_3.jpg")</f>
        <v/>
      </c>
      <c r="K169" s="84" t="str">
        <f aca="false">IF(E169="","",A169&amp;"_schema.jpg")</f>
        <v/>
      </c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 t="s">
        <v>96</v>
      </c>
      <c r="W169" s="81"/>
      <c r="X169" s="81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6" t="str">
        <f aca="false">IF(SUM(Y169:AJ169)=0,"",SUM(Y169:AJ169))</f>
        <v/>
      </c>
      <c r="AL169" s="84" t="str">
        <f aca="false">MID(IF(N(Y169)&gt;0,", "&amp;Y$2,"")&amp;IF(N(Z169)&gt;0,", "&amp;Z$2,"")&amp;IF(N(AA169)&gt;0,", "&amp;AA$2,"")&amp;IF(N(AB169)&gt;0,", "&amp;AB$2,"")&amp;IF(N(AC169)&gt;0,", "&amp;AC$2,"")&amp;IF(N(AD169)&gt;0,", "&amp;AD$2,"")&amp;IF(N(AE169)&gt;0,", "&amp;AE$2,"")&amp;IF(N(AF169)&gt;0,", "&amp;AF$2,"")&amp;IF(N(AG169)&gt;0,", "&amp;AG$2,"")&amp;IF(N(AH169)&gt;0,", "&amp;AH$2,"")&amp;IF(N(AI169)&gt;0,", "&amp;AI$2,"")&amp;IF(N(AJ169)&gt;0,", "&amp;AJ$2,""),3,999)</f>
        <v/>
      </c>
      <c r="AM169" s="87" t="str">
        <f aca="false">IF(E169="","",MID(IF(N(Y169)&gt;0,", "&amp;A169&amp;"-"&amp;Y$2,"")&amp;IF(N(Z169)&gt;0,", "&amp;A169&amp;"-"&amp;Z$2,"")&amp;IF(N(AA169)&gt;0,", "&amp;A169&amp;"-"&amp;AA$2,"")&amp;IF(N(AB169)&gt;0,", "&amp;A169&amp;"-"&amp;AB$2,"")&amp;IF(N(AC169)&gt;0,", "&amp;A169&amp;"-"&amp;AC$2,"")&amp;IF(N(AD169)&gt;0,", "&amp;A169&amp;"-"&amp;AD$2,"")&amp;IF(N(AE169)&gt;0,", "&amp;A169&amp;"-"&amp;AE$2,"")&amp;IF(N(AF169)&gt;0,", "&amp;A169&amp;"-"&amp;AF$2,"")&amp;IF(N(AG169)&gt;0,", "&amp;A169&amp;"-"&amp;AG$2,"")&amp;IF(N(AH169)&gt;0,", "&amp;A169&amp;"-"&amp;AH$2,"")&amp;IF(N(AI169)&gt;0,", "&amp;A169&amp;"-"&amp;AI$2,"")&amp;IF(N(AJ169)&gt;0,", "&amp;A169&amp;"-"&amp;AJ$2,""),3,999))</f>
        <v/>
      </c>
      <c r="AN169" s="81"/>
      <c r="AO169" s="88"/>
      <c r="AP169" s="89" t="str">
        <f aca="false">IF(AO169="","",ROUND(AO169/(1+Справочники!$B$13),2))</f>
        <v/>
      </c>
      <c r="AQ169" s="90" t="str">
        <f aca="false" t="array" ref="AQ169:AQ169">IF(AP169="","",AP169*INDEX(Справочники!$B$4:$B$7,MATCH("RUB",Справочники!$A$4:$A$7,0)))</f>
        <v/>
      </c>
      <c r="AR169" s="90" t="str">
        <f aca="false">IF(AQ169="","",ROUND(AQ169*(1+Справочники!$B$12),0))</f>
        <v/>
      </c>
      <c r="AS169" s="90" t="str">
        <f aca="false">IF(AR169="","",ROUND(AR169*(1-Справочники!$B$11),0))</f>
        <v/>
      </c>
      <c r="AT169" s="88"/>
      <c r="AU169" s="90" t="str">
        <f aca="false">IF(AT169="","",ROUND(AT169/(1+Справочники!$B$12),0))</f>
        <v/>
      </c>
      <c r="AV169" s="90" t="str">
        <f aca="false">IF(AT169="","",ROUND(AT169*(1-Справочники!$B$15),0))</f>
        <v/>
      </c>
      <c r="AW169" s="90" t="str">
        <f aca="false">IF(AT169="","",ROUND(AT169*(1-Справочники!$B$16),0))</f>
        <v/>
      </c>
      <c r="AX169" s="90" t="str">
        <f aca="false">IF(AT169="","",ROUND(AT169*(1-Справочники!$B$17),0))</f>
        <v/>
      </c>
      <c r="AY169" s="90" t="str">
        <f aca="false">IF(AT169="","",ROUND(AT169*(1-Справочники!$B$18),0))</f>
        <v/>
      </c>
      <c r="AZ169" s="90" t="str">
        <f aca="false">IF(AT169="","",ROUND(AT169*(1-Справочники!$B$19),0))</f>
        <v/>
      </c>
      <c r="BA169" s="81"/>
      <c r="BB169" s="81"/>
      <c r="BC169" s="81"/>
      <c r="BD169" s="81"/>
      <c r="BE169" s="91"/>
      <c r="BF169" s="81" t="s">
        <v>103</v>
      </c>
      <c r="BG169" s="89" t="n">
        <f aca="false" t="array" ref="BG169:BG169">IF(BF169="","",IFERROR(INDEX(Справочники!$B$4:$B$7,MATCH(BF169,Справочники!$A$4:$A$7,0)),""))</f>
        <v>68.5</v>
      </c>
      <c r="BH169" s="90" t="str">
        <f aca="false">IF(N(BN169)&gt;0,ROUND(SUMIF(ЗАКАЗЫ!$F$3:$F$500,$A169,ЗАКАЗЫ!$Y$3:$Y$500)/BN169,0),IF(OR(BE169="",BG169=""),"",ROUND(BE169*BG169*(1+Справочники!$B$10),0)))</f>
        <v/>
      </c>
      <c r="BI169" s="92" t="str">
        <f aca="false">IF(OR(AU169="",BH169="",AU169=0),"",(AU169-BH169)/AU169)</f>
        <v/>
      </c>
      <c r="BJ169" s="81"/>
      <c r="BK169" s="83"/>
      <c r="BL169" s="43" t="str">
        <f aca="false">IFERROR(INDEX(ЗАКАЗЫ!$N$3:$N$500,MATCH($A169,ЗАКАЗЫ!$F$3:$F$500,0)),"")</f>
        <v/>
      </c>
      <c r="BM169" s="8" t="str">
        <f aca="false">IF(BL169="","",IFERROR(VLOOKUP(BL169,'ТН ВЭД'!$A$4:$C$40,3,0),""))</f>
        <v/>
      </c>
      <c r="BN169" s="7" t="str">
        <f aca="false">IF(COUNTIF(ЗАКАЗЫ!$F$3:$F$500,$A169)=0,"",SUMIF(ЗАКАЗЫ!$F$3:$F$500,$A169,ЗАКАЗЫ!$J$3:$J$500))</f>
        <v/>
      </c>
      <c r="BO169" s="7" t="str">
        <f aca="false">IF(BN169="","",SUMIF(ЗАКАЗЫ!$F$3:$F$500,$A169,ЗАКАЗЫ!$AL$3:$AL$500))</f>
        <v/>
      </c>
      <c r="BP169" s="7" t="str">
        <f aca="false">IF(BN169="","",BN169-BO169)</f>
        <v/>
      </c>
      <c r="BQ169" s="55" t="str">
        <f aca="false">IF(BN169="","",IF(BO169&gt;=BN169,"На складе",IF(BO169&gt;0,"Частично","Ждём")))</f>
        <v/>
      </c>
      <c r="BR169" s="43"/>
      <c r="BS169" s="47" t="str">
        <f aca="false">IF(BN169="","",IF(_xlfn.MAXIFS(ЗАКАЗЫ!$AK$3:$AK$500,ЗАКАЗЫ!$F$3:$F$500,$A169)=0,"",_xlfn.MAXIFS(ЗАКАЗЫ!$AK$3:$AK$500,ЗАКАЗЫ!$F$3:$F$500,$A169)))</f>
        <v/>
      </c>
    </row>
    <row r="170" customFormat="false" ht="15.75" hidden="false" customHeight="true" outlineLevel="0" collapsed="false">
      <c r="A170" s="80" t="s">
        <v>2710</v>
      </c>
      <c r="B170" s="81"/>
      <c r="C170" s="81"/>
      <c r="D170" s="81"/>
      <c r="E170" s="83"/>
      <c r="F170" s="81"/>
      <c r="G170" s="83"/>
      <c r="H170" s="83"/>
      <c r="I170" s="84" t="str">
        <f aca="false">IF(E170="","",A170&amp;"_1.jpg")</f>
        <v/>
      </c>
      <c r="J170" s="84" t="str">
        <f aca="false">IF(E170="","",A170&amp;"_2.jpg; "&amp;A170&amp;"_3.jpg")</f>
        <v/>
      </c>
      <c r="K170" s="84" t="str">
        <f aca="false">IF(E170="","",A170&amp;"_schema.jpg")</f>
        <v/>
      </c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 t="s">
        <v>96</v>
      </c>
      <c r="W170" s="81"/>
      <c r="X170" s="81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6" t="str">
        <f aca="false">IF(SUM(Y170:AJ170)=0,"",SUM(Y170:AJ170))</f>
        <v/>
      </c>
      <c r="AL170" s="84" t="str">
        <f aca="false">MID(IF(N(Y170)&gt;0,", "&amp;Y$2,"")&amp;IF(N(Z170)&gt;0,", "&amp;Z$2,"")&amp;IF(N(AA170)&gt;0,", "&amp;AA$2,"")&amp;IF(N(AB170)&gt;0,", "&amp;AB$2,"")&amp;IF(N(AC170)&gt;0,", "&amp;AC$2,"")&amp;IF(N(AD170)&gt;0,", "&amp;AD$2,"")&amp;IF(N(AE170)&gt;0,", "&amp;AE$2,"")&amp;IF(N(AF170)&gt;0,", "&amp;AF$2,"")&amp;IF(N(AG170)&gt;0,", "&amp;AG$2,"")&amp;IF(N(AH170)&gt;0,", "&amp;AH$2,"")&amp;IF(N(AI170)&gt;0,", "&amp;AI$2,"")&amp;IF(N(AJ170)&gt;0,", "&amp;AJ$2,""),3,999)</f>
        <v/>
      </c>
      <c r="AM170" s="87" t="str">
        <f aca="false">IF(E170="","",MID(IF(N(Y170)&gt;0,", "&amp;A170&amp;"-"&amp;Y$2,"")&amp;IF(N(Z170)&gt;0,", "&amp;A170&amp;"-"&amp;Z$2,"")&amp;IF(N(AA170)&gt;0,", "&amp;A170&amp;"-"&amp;AA$2,"")&amp;IF(N(AB170)&gt;0,", "&amp;A170&amp;"-"&amp;AB$2,"")&amp;IF(N(AC170)&gt;0,", "&amp;A170&amp;"-"&amp;AC$2,"")&amp;IF(N(AD170)&gt;0,", "&amp;A170&amp;"-"&amp;AD$2,"")&amp;IF(N(AE170)&gt;0,", "&amp;A170&amp;"-"&amp;AE$2,"")&amp;IF(N(AF170)&gt;0,", "&amp;A170&amp;"-"&amp;AF$2,"")&amp;IF(N(AG170)&gt;0,", "&amp;A170&amp;"-"&amp;AG$2,"")&amp;IF(N(AH170)&gt;0,", "&amp;A170&amp;"-"&amp;AH$2,"")&amp;IF(N(AI170)&gt;0,", "&amp;A170&amp;"-"&amp;AI$2,"")&amp;IF(N(AJ170)&gt;0,", "&amp;A170&amp;"-"&amp;AJ$2,""),3,999))</f>
        <v/>
      </c>
      <c r="AN170" s="81"/>
      <c r="AO170" s="88"/>
      <c r="AP170" s="89" t="str">
        <f aca="false">IF(AO170="","",ROUND(AO170/(1+Справочники!$B$13),2))</f>
        <v/>
      </c>
      <c r="AQ170" s="90" t="str">
        <f aca="false" t="array" ref="AQ170:AQ170">IF(AP170="","",AP170*INDEX(Справочники!$B$4:$B$7,MATCH("RUB",Справочники!$A$4:$A$7,0)))</f>
        <v/>
      </c>
      <c r="AR170" s="90" t="str">
        <f aca="false">IF(AQ170="","",ROUND(AQ170*(1+Справочники!$B$12),0))</f>
        <v/>
      </c>
      <c r="AS170" s="90" t="str">
        <f aca="false">IF(AR170="","",ROUND(AR170*(1-Справочники!$B$11),0))</f>
        <v/>
      </c>
      <c r="AT170" s="88"/>
      <c r="AU170" s="90" t="str">
        <f aca="false">IF(AT170="","",ROUND(AT170/(1+Справочники!$B$12),0))</f>
        <v/>
      </c>
      <c r="AV170" s="90" t="str">
        <f aca="false">IF(AT170="","",ROUND(AT170*(1-Справочники!$B$15),0))</f>
        <v/>
      </c>
      <c r="AW170" s="90" t="str">
        <f aca="false">IF(AT170="","",ROUND(AT170*(1-Справочники!$B$16),0))</f>
        <v/>
      </c>
      <c r="AX170" s="90" t="str">
        <f aca="false">IF(AT170="","",ROUND(AT170*(1-Справочники!$B$17),0))</f>
        <v/>
      </c>
      <c r="AY170" s="90" t="str">
        <f aca="false">IF(AT170="","",ROUND(AT170*(1-Справочники!$B$18),0))</f>
        <v/>
      </c>
      <c r="AZ170" s="90" t="str">
        <f aca="false">IF(AT170="","",ROUND(AT170*(1-Справочники!$B$19),0))</f>
        <v/>
      </c>
      <c r="BA170" s="81"/>
      <c r="BB170" s="81"/>
      <c r="BC170" s="81"/>
      <c r="BD170" s="81"/>
      <c r="BE170" s="91"/>
      <c r="BF170" s="81" t="s">
        <v>103</v>
      </c>
      <c r="BG170" s="89" t="n">
        <f aca="false" t="array" ref="BG170:BG170">IF(BF170="","",IFERROR(INDEX(Справочники!$B$4:$B$7,MATCH(BF170,Справочники!$A$4:$A$7,0)),""))</f>
        <v>68.5</v>
      </c>
      <c r="BH170" s="90" t="str">
        <f aca="false">IF(N(BN170)&gt;0,ROUND(SUMIF(ЗАКАЗЫ!$F$3:$F$500,$A170,ЗАКАЗЫ!$Y$3:$Y$500)/BN170,0),IF(OR(BE170="",BG170=""),"",ROUND(BE170*BG170*(1+Справочники!$B$10),0)))</f>
        <v/>
      </c>
      <c r="BI170" s="92" t="str">
        <f aca="false">IF(OR(AU170="",BH170="",AU170=0),"",(AU170-BH170)/AU170)</f>
        <v/>
      </c>
      <c r="BJ170" s="81"/>
      <c r="BK170" s="83"/>
      <c r="BL170" s="43" t="str">
        <f aca="false">IFERROR(INDEX(ЗАКАЗЫ!$N$3:$N$500,MATCH($A170,ЗАКАЗЫ!$F$3:$F$500,0)),"")</f>
        <v/>
      </c>
      <c r="BM170" s="8" t="str">
        <f aca="false">IF(BL170="","",IFERROR(VLOOKUP(BL170,'ТН ВЭД'!$A$4:$C$40,3,0),""))</f>
        <v/>
      </c>
      <c r="BN170" s="7" t="str">
        <f aca="false">IF(COUNTIF(ЗАКАЗЫ!$F$3:$F$500,$A170)=0,"",SUMIF(ЗАКАЗЫ!$F$3:$F$500,$A170,ЗАКАЗЫ!$J$3:$J$500))</f>
        <v/>
      </c>
      <c r="BO170" s="7" t="str">
        <f aca="false">IF(BN170="","",SUMIF(ЗАКАЗЫ!$F$3:$F$500,$A170,ЗАКАЗЫ!$AL$3:$AL$500))</f>
        <v/>
      </c>
      <c r="BP170" s="7" t="str">
        <f aca="false">IF(BN170="","",BN170-BO170)</f>
        <v/>
      </c>
      <c r="BQ170" s="55" t="str">
        <f aca="false">IF(BN170="","",IF(BO170&gt;=BN170,"На складе",IF(BO170&gt;0,"Частично","Ждём")))</f>
        <v/>
      </c>
      <c r="BR170" s="43"/>
      <c r="BS170" s="47" t="str">
        <f aca="false">IF(BN170="","",IF(_xlfn.MAXIFS(ЗАКАЗЫ!$AK$3:$AK$500,ЗАКАЗЫ!$F$3:$F$500,$A170)=0,"",_xlfn.MAXIFS(ЗАКАЗЫ!$AK$3:$AK$500,ЗАКАЗЫ!$F$3:$F$500,$A170)))</f>
        <v/>
      </c>
    </row>
    <row r="171" customFormat="false" ht="15.75" hidden="false" customHeight="true" outlineLevel="0" collapsed="false">
      <c r="A171" s="80" t="s">
        <v>2711</v>
      </c>
      <c r="B171" s="81"/>
      <c r="C171" s="81"/>
      <c r="D171" s="81"/>
      <c r="E171" s="83"/>
      <c r="F171" s="81"/>
      <c r="G171" s="83"/>
      <c r="H171" s="83"/>
      <c r="I171" s="84" t="str">
        <f aca="false">IF(E171="","",A171&amp;"_1.jpg")</f>
        <v/>
      </c>
      <c r="J171" s="84" t="str">
        <f aca="false">IF(E171="","",A171&amp;"_2.jpg; "&amp;A171&amp;"_3.jpg")</f>
        <v/>
      </c>
      <c r="K171" s="84" t="str">
        <f aca="false">IF(E171="","",A171&amp;"_schema.jpg")</f>
        <v/>
      </c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 t="s">
        <v>96</v>
      </c>
      <c r="W171" s="81"/>
      <c r="X171" s="81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6" t="str">
        <f aca="false">IF(SUM(Y171:AJ171)=0,"",SUM(Y171:AJ171))</f>
        <v/>
      </c>
      <c r="AL171" s="84" t="str">
        <f aca="false">MID(IF(N(Y171)&gt;0,", "&amp;Y$2,"")&amp;IF(N(Z171)&gt;0,", "&amp;Z$2,"")&amp;IF(N(AA171)&gt;0,", "&amp;AA$2,"")&amp;IF(N(AB171)&gt;0,", "&amp;AB$2,"")&amp;IF(N(AC171)&gt;0,", "&amp;AC$2,"")&amp;IF(N(AD171)&gt;0,", "&amp;AD$2,"")&amp;IF(N(AE171)&gt;0,", "&amp;AE$2,"")&amp;IF(N(AF171)&gt;0,", "&amp;AF$2,"")&amp;IF(N(AG171)&gt;0,", "&amp;AG$2,"")&amp;IF(N(AH171)&gt;0,", "&amp;AH$2,"")&amp;IF(N(AI171)&gt;0,", "&amp;AI$2,"")&amp;IF(N(AJ171)&gt;0,", "&amp;AJ$2,""),3,999)</f>
        <v/>
      </c>
      <c r="AM171" s="87" t="str">
        <f aca="false">IF(E171="","",MID(IF(N(Y171)&gt;0,", "&amp;A171&amp;"-"&amp;Y$2,"")&amp;IF(N(Z171)&gt;0,", "&amp;A171&amp;"-"&amp;Z$2,"")&amp;IF(N(AA171)&gt;0,", "&amp;A171&amp;"-"&amp;AA$2,"")&amp;IF(N(AB171)&gt;0,", "&amp;A171&amp;"-"&amp;AB$2,"")&amp;IF(N(AC171)&gt;0,", "&amp;A171&amp;"-"&amp;AC$2,"")&amp;IF(N(AD171)&gt;0,", "&amp;A171&amp;"-"&amp;AD$2,"")&amp;IF(N(AE171)&gt;0,", "&amp;A171&amp;"-"&amp;AE$2,"")&amp;IF(N(AF171)&gt;0,", "&amp;A171&amp;"-"&amp;AF$2,"")&amp;IF(N(AG171)&gt;0,", "&amp;A171&amp;"-"&amp;AG$2,"")&amp;IF(N(AH171)&gt;0,", "&amp;A171&amp;"-"&amp;AH$2,"")&amp;IF(N(AI171)&gt;0,", "&amp;A171&amp;"-"&amp;AI$2,"")&amp;IF(N(AJ171)&gt;0,", "&amp;A171&amp;"-"&amp;AJ$2,""),3,999))</f>
        <v/>
      </c>
      <c r="AN171" s="81"/>
      <c r="AO171" s="88"/>
      <c r="AP171" s="89" t="str">
        <f aca="false">IF(AO171="","",ROUND(AO171/(1+Справочники!$B$13),2))</f>
        <v/>
      </c>
      <c r="AQ171" s="90" t="str">
        <f aca="false" t="array" ref="AQ171:AQ171">IF(AP171="","",AP171*INDEX(Справочники!$B$4:$B$7,MATCH("RUB",Справочники!$A$4:$A$7,0)))</f>
        <v/>
      </c>
      <c r="AR171" s="90" t="str">
        <f aca="false">IF(AQ171="","",ROUND(AQ171*(1+Справочники!$B$12),0))</f>
        <v/>
      </c>
      <c r="AS171" s="90" t="str">
        <f aca="false">IF(AR171="","",ROUND(AR171*(1-Справочники!$B$11),0))</f>
        <v/>
      </c>
      <c r="AT171" s="88"/>
      <c r="AU171" s="90" t="str">
        <f aca="false">IF(AT171="","",ROUND(AT171/(1+Справочники!$B$12),0))</f>
        <v/>
      </c>
      <c r="AV171" s="90" t="str">
        <f aca="false">IF(AT171="","",ROUND(AT171*(1-Справочники!$B$15),0))</f>
        <v/>
      </c>
      <c r="AW171" s="90" t="str">
        <f aca="false">IF(AT171="","",ROUND(AT171*(1-Справочники!$B$16),0))</f>
        <v/>
      </c>
      <c r="AX171" s="90" t="str">
        <f aca="false">IF(AT171="","",ROUND(AT171*(1-Справочники!$B$17),0))</f>
        <v/>
      </c>
      <c r="AY171" s="90" t="str">
        <f aca="false">IF(AT171="","",ROUND(AT171*(1-Справочники!$B$18),0))</f>
        <v/>
      </c>
      <c r="AZ171" s="90" t="str">
        <f aca="false">IF(AT171="","",ROUND(AT171*(1-Справочники!$B$19),0))</f>
        <v/>
      </c>
      <c r="BA171" s="81"/>
      <c r="BB171" s="81"/>
      <c r="BC171" s="81"/>
      <c r="BD171" s="81"/>
      <c r="BE171" s="91"/>
      <c r="BF171" s="81" t="s">
        <v>103</v>
      </c>
      <c r="BG171" s="89" t="n">
        <f aca="false" t="array" ref="BG171:BG171">IF(BF171="","",IFERROR(INDEX(Справочники!$B$4:$B$7,MATCH(BF171,Справочники!$A$4:$A$7,0)),""))</f>
        <v>68.5</v>
      </c>
      <c r="BH171" s="90" t="str">
        <f aca="false">IF(N(BN171)&gt;0,ROUND(SUMIF(ЗАКАЗЫ!$F$3:$F$500,$A171,ЗАКАЗЫ!$Y$3:$Y$500)/BN171,0),IF(OR(BE171="",BG171=""),"",ROUND(BE171*BG171*(1+Справочники!$B$10),0)))</f>
        <v/>
      </c>
      <c r="BI171" s="92" t="str">
        <f aca="false">IF(OR(AU171="",BH171="",AU171=0),"",(AU171-BH171)/AU171)</f>
        <v/>
      </c>
      <c r="BJ171" s="81"/>
      <c r="BK171" s="83"/>
      <c r="BL171" s="43" t="str">
        <f aca="false">IFERROR(INDEX(ЗАКАЗЫ!$N$3:$N$500,MATCH($A171,ЗАКАЗЫ!$F$3:$F$500,0)),"")</f>
        <v/>
      </c>
      <c r="BM171" s="8" t="str">
        <f aca="false">IF(BL171="","",IFERROR(VLOOKUP(BL171,'ТН ВЭД'!$A$4:$C$40,3,0),""))</f>
        <v/>
      </c>
      <c r="BN171" s="7" t="str">
        <f aca="false">IF(COUNTIF(ЗАКАЗЫ!$F$3:$F$500,$A171)=0,"",SUMIF(ЗАКАЗЫ!$F$3:$F$500,$A171,ЗАКАЗЫ!$J$3:$J$500))</f>
        <v/>
      </c>
      <c r="BO171" s="7" t="str">
        <f aca="false">IF(BN171="","",SUMIF(ЗАКАЗЫ!$F$3:$F$500,$A171,ЗАКАЗЫ!$AL$3:$AL$500))</f>
        <v/>
      </c>
      <c r="BP171" s="7" t="str">
        <f aca="false">IF(BN171="","",BN171-BO171)</f>
        <v/>
      </c>
      <c r="BQ171" s="55" t="str">
        <f aca="false">IF(BN171="","",IF(BO171&gt;=BN171,"На складе",IF(BO171&gt;0,"Частично","Ждём")))</f>
        <v/>
      </c>
      <c r="BR171" s="43"/>
      <c r="BS171" s="47" t="str">
        <f aca="false">IF(BN171="","",IF(_xlfn.MAXIFS(ЗАКАЗЫ!$AK$3:$AK$500,ЗАКАЗЫ!$F$3:$F$500,$A171)=0,"",_xlfn.MAXIFS(ЗАКАЗЫ!$AK$3:$AK$500,ЗАКАЗЫ!$F$3:$F$500,$A171)))</f>
        <v/>
      </c>
    </row>
    <row r="172" customFormat="false" ht="15.75" hidden="false" customHeight="true" outlineLevel="0" collapsed="false">
      <c r="A172" s="80" t="s">
        <v>2712</v>
      </c>
      <c r="B172" s="81"/>
      <c r="C172" s="81"/>
      <c r="D172" s="81"/>
      <c r="E172" s="83"/>
      <c r="F172" s="81"/>
      <c r="G172" s="83"/>
      <c r="H172" s="83"/>
      <c r="I172" s="84" t="str">
        <f aca="false">IF(E172="","",A172&amp;"_1.jpg")</f>
        <v/>
      </c>
      <c r="J172" s="84" t="str">
        <f aca="false">IF(E172="","",A172&amp;"_2.jpg; "&amp;A172&amp;"_3.jpg")</f>
        <v/>
      </c>
      <c r="K172" s="84" t="str">
        <f aca="false">IF(E172="","",A172&amp;"_schema.jpg")</f>
        <v/>
      </c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 t="s">
        <v>96</v>
      </c>
      <c r="W172" s="81"/>
      <c r="X172" s="81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6" t="str">
        <f aca="false">IF(SUM(Y172:AJ172)=0,"",SUM(Y172:AJ172))</f>
        <v/>
      </c>
      <c r="AL172" s="84" t="str">
        <f aca="false">MID(IF(N(Y172)&gt;0,", "&amp;Y$2,"")&amp;IF(N(Z172)&gt;0,", "&amp;Z$2,"")&amp;IF(N(AA172)&gt;0,", "&amp;AA$2,"")&amp;IF(N(AB172)&gt;0,", "&amp;AB$2,"")&amp;IF(N(AC172)&gt;0,", "&amp;AC$2,"")&amp;IF(N(AD172)&gt;0,", "&amp;AD$2,"")&amp;IF(N(AE172)&gt;0,", "&amp;AE$2,"")&amp;IF(N(AF172)&gt;0,", "&amp;AF$2,"")&amp;IF(N(AG172)&gt;0,", "&amp;AG$2,"")&amp;IF(N(AH172)&gt;0,", "&amp;AH$2,"")&amp;IF(N(AI172)&gt;0,", "&amp;AI$2,"")&amp;IF(N(AJ172)&gt;0,", "&amp;AJ$2,""),3,999)</f>
        <v/>
      </c>
      <c r="AM172" s="87" t="str">
        <f aca="false">IF(E172="","",MID(IF(N(Y172)&gt;0,", "&amp;A172&amp;"-"&amp;Y$2,"")&amp;IF(N(Z172)&gt;0,", "&amp;A172&amp;"-"&amp;Z$2,"")&amp;IF(N(AA172)&gt;0,", "&amp;A172&amp;"-"&amp;AA$2,"")&amp;IF(N(AB172)&gt;0,", "&amp;A172&amp;"-"&amp;AB$2,"")&amp;IF(N(AC172)&gt;0,", "&amp;A172&amp;"-"&amp;AC$2,"")&amp;IF(N(AD172)&gt;0,", "&amp;A172&amp;"-"&amp;AD$2,"")&amp;IF(N(AE172)&gt;0,", "&amp;A172&amp;"-"&amp;AE$2,"")&amp;IF(N(AF172)&gt;0,", "&amp;A172&amp;"-"&amp;AF$2,"")&amp;IF(N(AG172)&gt;0,", "&amp;A172&amp;"-"&amp;AG$2,"")&amp;IF(N(AH172)&gt;0,", "&amp;A172&amp;"-"&amp;AH$2,"")&amp;IF(N(AI172)&gt;0,", "&amp;A172&amp;"-"&amp;AI$2,"")&amp;IF(N(AJ172)&gt;0,", "&amp;A172&amp;"-"&amp;AJ$2,""),3,999))</f>
        <v/>
      </c>
      <c r="AN172" s="81"/>
      <c r="AO172" s="88"/>
      <c r="AP172" s="89" t="str">
        <f aca="false">IF(AO172="","",ROUND(AO172/(1+Справочники!$B$13),2))</f>
        <v/>
      </c>
      <c r="AQ172" s="90" t="str">
        <f aca="false" t="array" ref="AQ172:AQ172">IF(AP172="","",AP172*INDEX(Справочники!$B$4:$B$7,MATCH("RUB",Справочники!$A$4:$A$7,0)))</f>
        <v/>
      </c>
      <c r="AR172" s="90" t="str">
        <f aca="false">IF(AQ172="","",ROUND(AQ172*(1+Справочники!$B$12),0))</f>
        <v/>
      </c>
      <c r="AS172" s="90" t="str">
        <f aca="false">IF(AR172="","",ROUND(AR172*(1-Справочники!$B$11),0))</f>
        <v/>
      </c>
      <c r="AT172" s="88"/>
      <c r="AU172" s="90" t="str">
        <f aca="false">IF(AT172="","",ROUND(AT172/(1+Справочники!$B$12),0))</f>
        <v/>
      </c>
      <c r="AV172" s="90" t="str">
        <f aca="false">IF(AT172="","",ROUND(AT172*(1-Справочники!$B$15),0))</f>
        <v/>
      </c>
      <c r="AW172" s="90" t="str">
        <f aca="false">IF(AT172="","",ROUND(AT172*(1-Справочники!$B$16),0))</f>
        <v/>
      </c>
      <c r="AX172" s="90" t="str">
        <f aca="false">IF(AT172="","",ROUND(AT172*(1-Справочники!$B$17),0))</f>
        <v/>
      </c>
      <c r="AY172" s="90" t="str">
        <f aca="false">IF(AT172="","",ROUND(AT172*(1-Справочники!$B$18),0))</f>
        <v/>
      </c>
      <c r="AZ172" s="90" t="str">
        <f aca="false">IF(AT172="","",ROUND(AT172*(1-Справочники!$B$19),0))</f>
        <v/>
      </c>
      <c r="BA172" s="81"/>
      <c r="BB172" s="81"/>
      <c r="BC172" s="81"/>
      <c r="BD172" s="81"/>
      <c r="BE172" s="91"/>
      <c r="BF172" s="81" t="s">
        <v>103</v>
      </c>
      <c r="BG172" s="89" t="n">
        <f aca="false" t="array" ref="BG172:BG172">IF(BF172="","",IFERROR(INDEX(Справочники!$B$4:$B$7,MATCH(BF172,Справочники!$A$4:$A$7,0)),""))</f>
        <v>68.5</v>
      </c>
      <c r="BH172" s="90" t="str">
        <f aca="false">IF(N(BN172)&gt;0,ROUND(SUMIF(ЗАКАЗЫ!$F$3:$F$500,$A172,ЗАКАЗЫ!$Y$3:$Y$500)/BN172,0),IF(OR(BE172="",BG172=""),"",ROUND(BE172*BG172*(1+Справочники!$B$10),0)))</f>
        <v/>
      </c>
      <c r="BI172" s="92" t="str">
        <f aca="false">IF(OR(AU172="",BH172="",AU172=0),"",(AU172-BH172)/AU172)</f>
        <v/>
      </c>
      <c r="BJ172" s="81"/>
      <c r="BK172" s="83"/>
      <c r="BL172" s="43" t="str">
        <f aca="false">IFERROR(INDEX(ЗАКАЗЫ!$N$3:$N$500,MATCH($A172,ЗАКАЗЫ!$F$3:$F$500,0)),"")</f>
        <v/>
      </c>
      <c r="BM172" s="8" t="str">
        <f aca="false">IF(BL172="","",IFERROR(VLOOKUP(BL172,'ТН ВЭД'!$A$4:$C$40,3,0),""))</f>
        <v/>
      </c>
      <c r="BN172" s="7" t="str">
        <f aca="false">IF(COUNTIF(ЗАКАЗЫ!$F$3:$F$500,$A172)=0,"",SUMIF(ЗАКАЗЫ!$F$3:$F$500,$A172,ЗАКАЗЫ!$J$3:$J$500))</f>
        <v/>
      </c>
      <c r="BO172" s="7" t="str">
        <f aca="false">IF(BN172="","",SUMIF(ЗАКАЗЫ!$F$3:$F$500,$A172,ЗАКАЗЫ!$AL$3:$AL$500))</f>
        <v/>
      </c>
      <c r="BP172" s="7" t="str">
        <f aca="false">IF(BN172="","",BN172-BO172)</f>
        <v/>
      </c>
      <c r="BQ172" s="55" t="str">
        <f aca="false">IF(BN172="","",IF(BO172&gt;=BN172,"На складе",IF(BO172&gt;0,"Частично","Ждём")))</f>
        <v/>
      </c>
      <c r="BR172" s="43"/>
      <c r="BS172" s="47" t="str">
        <f aca="false">IF(BN172="","",IF(_xlfn.MAXIFS(ЗАКАЗЫ!$AK$3:$AK$500,ЗАКАЗЫ!$F$3:$F$500,$A172)=0,"",_xlfn.MAXIFS(ЗАКАЗЫ!$AK$3:$AK$500,ЗАКАЗЫ!$F$3:$F$500,$A172)))</f>
        <v/>
      </c>
    </row>
    <row r="173" customFormat="false" ht="15.75" hidden="false" customHeight="true" outlineLevel="0" collapsed="false">
      <c r="A173" s="80" t="s">
        <v>2713</v>
      </c>
      <c r="B173" s="81"/>
      <c r="C173" s="81"/>
      <c r="D173" s="81"/>
      <c r="E173" s="83"/>
      <c r="F173" s="81"/>
      <c r="G173" s="83"/>
      <c r="H173" s="83"/>
      <c r="I173" s="84" t="str">
        <f aca="false">IF(E173="","",A173&amp;"_1.jpg")</f>
        <v/>
      </c>
      <c r="J173" s="84" t="str">
        <f aca="false">IF(E173="","",A173&amp;"_2.jpg; "&amp;A173&amp;"_3.jpg")</f>
        <v/>
      </c>
      <c r="K173" s="84" t="str">
        <f aca="false">IF(E173="","",A173&amp;"_schema.jpg")</f>
        <v/>
      </c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 t="s">
        <v>96</v>
      </c>
      <c r="W173" s="81"/>
      <c r="X173" s="81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6" t="str">
        <f aca="false">IF(SUM(Y173:AJ173)=0,"",SUM(Y173:AJ173))</f>
        <v/>
      </c>
      <c r="AL173" s="84" t="str">
        <f aca="false">MID(IF(N(Y173)&gt;0,", "&amp;Y$2,"")&amp;IF(N(Z173)&gt;0,", "&amp;Z$2,"")&amp;IF(N(AA173)&gt;0,", "&amp;AA$2,"")&amp;IF(N(AB173)&gt;0,", "&amp;AB$2,"")&amp;IF(N(AC173)&gt;0,", "&amp;AC$2,"")&amp;IF(N(AD173)&gt;0,", "&amp;AD$2,"")&amp;IF(N(AE173)&gt;0,", "&amp;AE$2,"")&amp;IF(N(AF173)&gt;0,", "&amp;AF$2,"")&amp;IF(N(AG173)&gt;0,", "&amp;AG$2,"")&amp;IF(N(AH173)&gt;0,", "&amp;AH$2,"")&amp;IF(N(AI173)&gt;0,", "&amp;AI$2,"")&amp;IF(N(AJ173)&gt;0,", "&amp;AJ$2,""),3,999)</f>
        <v/>
      </c>
      <c r="AM173" s="87" t="str">
        <f aca="false">IF(E173="","",MID(IF(N(Y173)&gt;0,", "&amp;A173&amp;"-"&amp;Y$2,"")&amp;IF(N(Z173)&gt;0,", "&amp;A173&amp;"-"&amp;Z$2,"")&amp;IF(N(AA173)&gt;0,", "&amp;A173&amp;"-"&amp;AA$2,"")&amp;IF(N(AB173)&gt;0,", "&amp;A173&amp;"-"&amp;AB$2,"")&amp;IF(N(AC173)&gt;0,", "&amp;A173&amp;"-"&amp;AC$2,"")&amp;IF(N(AD173)&gt;0,", "&amp;A173&amp;"-"&amp;AD$2,"")&amp;IF(N(AE173)&gt;0,", "&amp;A173&amp;"-"&amp;AE$2,"")&amp;IF(N(AF173)&gt;0,", "&amp;A173&amp;"-"&amp;AF$2,"")&amp;IF(N(AG173)&gt;0,", "&amp;A173&amp;"-"&amp;AG$2,"")&amp;IF(N(AH173)&gt;0,", "&amp;A173&amp;"-"&amp;AH$2,"")&amp;IF(N(AI173)&gt;0,", "&amp;A173&amp;"-"&amp;AI$2,"")&amp;IF(N(AJ173)&gt;0,", "&amp;A173&amp;"-"&amp;AJ$2,""),3,999))</f>
        <v/>
      </c>
      <c r="AN173" s="81"/>
      <c r="AO173" s="88"/>
      <c r="AP173" s="89" t="str">
        <f aca="false">IF(AO173="","",ROUND(AO173/(1+Справочники!$B$13),2))</f>
        <v/>
      </c>
      <c r="AQ173" s="90" t="str">
        <f aca="false" t="array" ref="AQ173:AQ173">IF(AP173="","",AP173*INDEX(Справочники!$B$4:$B$7,MATCH("RUB",Справочники!$A$4:$A$7,0)))</f>
        <v/>
      </c>
      <c r="AR173" s="90" t="str">
        <f aca="false">IF(AQ173="","",ROUND(AQ173*(1+Справочники!$B$12),0))</f>
        <v/>
      </c>
      <c r="AS173" s="90" t="str">
        <f aca="false">IF(AR173="","",ROUND(AR173*(1-Справочники!$B$11),0))</f>
        <v/>
      </c>
      <c r="AT173" s="88"/>
      <c r="AU173" s="90" t="str">
        <f aca="false">IF(AT173="","",ROUND(AT173/(1+Справочники!$B$12),0))</f>
        <v/>
      </c>
      <c r="AV173" s="90" t="str">
        <f aca="false">IF(AT173="","",ROUND(AT173*(1-Справочники!$B$15),0))</f>
        <v/>
      </c>
      <c r="AW173" s="90" t="str">
        <f aca="false">IF(AT173="","",ROUND(AT173*(1-Справочники!$B$16),0))</f>
        <v/>
      </c>
      <c r="AX173" s="90" t="str">
        <f aca="false">IF(AT173="","",ROUND(AT173*(1-Справочники!$B$17),0))</f>
        <v/>
      </c>
      <c r="AY173" s="90" t="str">
        <f aca="false">IF(AT173="","",ROUND(AT173*(1-Справочники!$B$18),0))</f>
        <v/>
      </c>
      <c r="AZ173" s="90" t="str">
        <f aca="false">IF(AT173="","",ROUND(AT173*(1-Справочники!$B$19),0))</f>
        <v/>
      </c>
      <c r="BA173" s="81"/>
      <c r="BB173" s="81"/>
      <c r="BC173" s="81"/>
      <c r="BD173" s="81"/>
      <c r="BE173" s="91"/>
      <c r="BF173" s="81" t="s">
        <v>103</v>
      </c>
      <c r="BG173" s="89" t="n">
        <f aca="false" t="array" ref="BG173:BG173">IF(BF173="","",IFERROR(INDEX(Справочники!$B$4:$B$7,MATCH(BF173,Справочники!$A$4:$A$7,0)),""))</f>
        <v>68.5</v>
      </c>
      <c r="BH173" s="90" t="str">
        <f aca="false">IF(N(BN173)&gt;0,ROUND(SUMIF(ЗАКАЗЫ!$F$3:$F$500,$A173,ЗАКАЗЫ!$Y$3:$Y$500)/BN173,0),IF(OR(BE173="",BG173=""),"",ROUND(BE173*BG173*(1+Справочники!$B$10),0)))</f>
        <v/>
      </c>
      <c r="BI173" s="92" t="str">
        <f aca="false">IF(OR(AU173="",BH173="",AU173=0),"",(AU173-BH173)/AU173)</f>
        <v/>
      </c>
      <c r="BJ173" s="81"/>
      <c r="BK173" s="83"/>
      <c r="BL173" s="43" t="str">
        <f aca="false">IFERROR(INDEX(ЗАКАЗЫ!$N$3:$N$500,MATCH($A173,ЗАКАЗЫ!$F$3:$F$500,0)),"")</f>
        <v/>
      </c>
      <c r="BM173" s="8" t="str">
        <f aca="false">IF(BL173="","",IFERROR(VLOOKUP(BL173,'ТН ВЭД'!$A$4:$C$40,3,0),""))</f>
        <v/>
      </c>
      <c r="BN173" s="7" t="str">
        <f aca="false">IF(COUNTIF(ЗАКАЗЫ!$F$3:$F$500,$A173)=0,"",SUMIF(ЗАКАЗЫ!$F$3:$F$500,$A173,ЗАКАЗЫ!$J$3:$J$500))</f>
        <v/>
      </c>
      <c r="BO173" s="7" t="str">
        <f aca="false">IF(BN173="","",SUMIF(ЗАКАЗЫ!$F$3:$F$500,$A173,ЗАКАЗЫ!$AL$3:$AL$500))</f>
        <v/>
      </c>
      <c r="BP173" s="7" t="str">
        <f aca="false">IF(BN173="","",BN173-BO173)</f>
        <v/>
      </c>
      <c r="BQ173" s="55" t="str">
        <f aca="false">IF(BN173="","",IF(BO173&gt;=BN173,"На складе",IF(BO173&gt;0,"Частично","Ждём")))</f>
        <v/>
      </c>
      <c r="BR173" s="43"/>
      <c r="BS173" s="47" t="str">
        <f aca="false">IF(BN173="","",IF(_xlfn.MAXIFS(ЗАКАЗЫ!$AK$3:$AK$500,ЗАКАЗЫ!$F$3:$F$500,$A173)=0,"",_xlfn.MAXIFS(ЗАКАЗЫ!$AK$3:$AK$500,ЗАКАЗЫ!$F$3:$F$500,$A173)))</f>
        <v/>
      </c>
    </row>
    <row r="174" customFormat="false" ht="15.75" hidden="false" customHeight="true" outlineLevel="0" collapsed="false">
      <c r="A174" s="80" t="s">
        <v>2714</v>
      </c>
      <c r="B174" s="81"/>
      <c r="C174" s="81"/>
      <c r="D174" s="81"/>
      <c r="E174" s="83"/>
      <c r="F174" s="81"/>
      <c r="G174" s="83"/>
      <c r="H174" s="83"/>
      <c r="I174" s="84" t="str">
        <f aca="false">IF(E174="","",A174&amp;"_1.jpg")</f>
        <v/>
      </c>
      <c r="J174" s="84" t="str">
        <f aca="false">IF(E174="","",A174&amp;"_2.jpg; "&amp;A174&amp;"_3.jpg")</f>
        <v/>
      </c>
      <c r="K174" s="84" t="str">
        <f aca="false">IF(E174="","",A174&amp;"_schema.jpg")</f>
        <v/>
      </c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 t="s">
        <v>96</v>
      </c>
      <c r="W174" s="81"/>
      <c r="X174" s="81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6" t="str">
        <f aca="false">IF(SUM(Y174:AJ174)=0,"",SUM(Y174:AJ174))</f>
        <v/>
      </c>
      <c r="AL174" s="84" t="str">
        <f aca="false">MID(IF(N(Y174)&gt;0,", "&amp;Y$2,"")&amp;IF(N(Z174)&gt;0,", "&amp;Z$2,"")&amp;IF(N(AA174)&gt;0,", "&amp;AA$2,"")&amp;IF(N(AB174)&gt;0,", "&amp;AB$2,"")&amp;IF(N(AC174)&gt;0,", "&amp;AC$2,"")&amp;IF(N(AD174)&gt;0,", "&amp;AD$2,"")&amp;IF(N(AE174)&gt;0,", "&amp;AE$2,"")&amp;IF(N(AF174)&gt;0,", "&amp;AF$2,"")&amp;IF(N(AG174)&gt;0,", "&amp;AG$2,"")&amp;IF(N(AH174)&gt;0,", "&amp;AH$2,"")&amp;IF(N(AI174)&gt;0,", "&amp;AI$2,"")&amp;IF(N(AJ174)&gt;0,", "&amp;AJ$2,""),3,999)</f>
        <v/>
      </c>
      <c r="AM174" s="87" t="str">
        <f aca="false">IF(E174="","",MID(IF(N(Y174)&gt;0,", "&amp;A174&amp;"-"&amp;Y$2,"")&amp;IF(N(Z174)&gt;0,", "&amp;A174&amp;"-"&amp;Z$2,"")&amp;IF(N(AA174)&gt;0,", "&amp;A174&amp;"-"&amp;AA$2,"")&amp;IF(N(AB174)&gt;0,", "&amp;A174&amp;"-"&amp;AB$2,"")&amp;IF(N(AC174)&gt;0,", "&amp;A174&amp;"-"&amp;AC$2,"")&amp;IF(N(AD174)&gt;0,", "&amp;A174&amp;"-"&amp;AD$2,"")&amp;IF(N(AE174)&gt;0,", "&amp;A174&amp;"-"&amp;AE$2,"")&amp;IF(N(AF174)&gt;0,", "&amp;A174&amp;"-"&amp;AF$2,"")&amp;IF(N(AG174)&gt;0,", "&amp;A174&amp;"-"&amp;AG$2,"")&amp;IF(N(AH174)&gt;0,", "&amp;A174&amp;"-"&amp;AH$2,"")&amp;IF(N(AI174)&gt;0,", "&amp;A174&amp;"-"&amp;AI$2,"")&amp;IF(N(AJ174)&gt;0,", "&amp;A174&amp;"-"&amp;AJ$2,""),3,999))</f>
        <v/>
      </c>
      <c r="AN174" s="81"/>
      <c r="AO174" s="88"/>
      <c r="AP174" s="89" t="str">
        <f aca="false">IF(AO174="","",ROUND(AO174/(1+Справочники!$B$13),2))</f>
        <v/>
      </c>
      <c r="AQ174" s="90" t="str">
        <f aca="false" t="array" ref="AQ174:AQ174">IF(AP174="","",AP174*INDEX(Справочники!$B$4:$B$7,MATCH("RUB",Справочники!$A$4:$A$7,0)))</f>
        <v/>
      </c>
      <c r="AR174" s="90" t="str">
        <f aca="false">IF(AQ174="","",ROUND(AQ174*(1+Справочники!$B$12),0))</f>
        <v/>
      </c>
      <c r="AS174" s="90" t="str">
        <f aca="false">IF(AR174="","",ROUND(AR174*(1-Справочники!$B$11),0))</f>
        <v/>
      </c>
      <c r="AT174" s="88"/>
      <c r="AU174" s="90" t="str">
        <f aca="false">IF(AT174="","",ROUND(AT174/(1+Справочники!$B$12),0))</f>
        <v/>
      </c>
      <c r="AV174" s="90" t="str">
        <f aca="false">IF(AT174="","",ROUND(AT174*(1-Справочники!$B$15),0))</f>
        <v/>
      </c>
      <c r="AW174" s="90" t="str">
        <f aca="false">IF(AT174="","",ROUND(AT174*(1-Справочники!$B$16),0))</f>
        <v/>
      </c>
      <c r="AX174" s="90" t="str">
        <f aca="false">IF(AT174="","",ROUND(AT174*(1-Справочники!$B$17),0))</f>
        <v/>
      </c>
      <c r="AY174" s="90" t="str">
        <f aca="false">IF(AT174="","",ROUND(AT174*(1-Справочники!$B$18),0))</f>
        <v/>
      </c>
      <c r="AZ174" s="90" t="str">
        <f aca="false">IF(AT174="","",ROUND(AT174*(1-Справочники!$B$19),0))</f>
        <v/>
      </c>
      <c r="BA174" s="81"/>
      <c r="BB174" s="81"/>
      <c r="BC174" s="81"/>
      <c r="BD174" s="81"/>
      <c r="BE174" s="91"/>
      <c r="BF174" s="81" t="s">
        <v>103</v>
      </c>
      <c r="BG174" s="89" t="n">
        <f aca="false" t="array" ref="BG174:BG174">IF(BF174="","",IFERROR(INDEX(Справочники!$B$4:$B$7,MATCH(BF174,Справочники!$A$4:$A$7,0)),""))</f>
        <v>68.5</v>
      </c>
      <c r="BH174" s="90" t="str">
        <f aca="false">IF(N(BN174)&gt;0,ROUND(SUMIF(ЗАКАЗЫ!$F$3:$F$500,$A174,ЗАКАЗЫ!$Y$3:$Y$500)/BN174,0),IF(OR(BE174="",BG174=""),"",ROUND(BE174*BG174*(1+Справочники!$B$10),0)))</f>
        <v/>
      </c>
      <c r="BI174" s="92" t="str">
        <f aca="false">IF(OR(AU174="",BH174="",AU174=0),"",(AU174-BH174)/AU174)</f>
        <v/>
      </c>
      <c r="BJ174" s="81"/>
      <c r="BK174" s="83"/>
      <c r="BL174" s="43" t="str">
        <f aca="false">IFERROR(INDEX(ЗАКАЗЫ!$N$3:$N$500,MATCH($A174,ЗАКАЗЫ!$F$3:$F$500,0)),"")</f>
        <v/>
      </c>
      <c r="BM174" s="8" t="str">
        <f aca="false">IF(BL174="","",IFERROR(VLOOKUP(BL174,'ТН ВЭД'!$A$4:$C$40,3,0),""))</f>
        <v/>
      </c>
      <c r="BN174" s="7" t="str">
        <f aca="false">IF(COUNTIF(ЗАКАЗЫ!$F$3:$F$500,$A174)=0,"",SUMIF(ЗАКАЗЫ!$F$3:$F$500,$A174,ЗАКАЗЫ!$J$3:$J$500))</f>
        <v/>
      </c>
      <c r="BO174" s="7" t="str">
        <f aca="false">IF(BN174="","",SUMIF(ЗАКАЗЫ!$F$3:$F$500,$A174,ЗАКАЗЫ!$AL$3:$AL$500))</f>
        <v/>
      </c>
      <c r="BP174" s="7" t="str">
        <f aca="false">IF(BN174="","",BN174-BO174)</f>
        <v/>
      </c>
      <c r="BQ174" s="55" t="str">
        <f aca="false">IF(BN174="","",IF(BO174&gt;=BN174,"На складе",IF(BO174&gt;0,"Частично","Ждём")))</f>
        <v/>
      </c>
      <c r="BR174" s="43"/>
      <c r="BS174" s="47" t="str">
        <f aca="false">IF(BN174="","",IF(_xlfn.MAXIFS(ЗАКАЗЫ!$AK$3:$AK$500,ЗАКАЗЫ!$F$3:$F$500,$A174)=0,"",_xlfn.MAXIFS(ЗАКАЗЫ!$AK$3:$AK$500,ЗАКАЗЫ!$F$3:$F$500,$A174)))</f>
        <v/>
      </c>
    </row>
    <row r="175" customFormat="false" ht="15.75" hidden="false" customHeight="true" outlineLevel="0" collapsed="false">
      <c r="A175" s="80" t="s">
        <v>2715</v>
      </c>
      <c r="B175" s="81"/>
      <c r="C175" s="81"/>
      <c r="D175" s="81"/>
      <c r="E175" s="83"/>
      <c r="F175" s="81"/>
      <c r="G175" s="83"/>
      <c r="H175" s="83"/>
      <c r="I175" s="84" t="str">
        <f aca="false">IF(E175="","",A175&amp;"_1.jpg")</f>
        <v/>
      </c>
      <c r="J175" s="84" t="str">
        <f aca="false">IF(E175="","",A175&amp;"_2.jpg; "&amp;A175&amp;"_3.jpg")</f>
        <v/>
      </c>
      <c r="K175" s="84" t="str">
        <f aca="false">IF(E175="","",A175&amp;"_schema.jpg")</f>
        <v/>
      </c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 t="s">
        <v>96</v>
      </c>
      <c r="W175" s="81"/>
      <c r="X175" s="81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6" t="str">
        <f aca="false">IF(SUM(Y175:AJ175)=0,"",SUM(Y175:AJ175))</f>
        <v/>
      </c>
      <c r="AL175" s="84" t="str">
        <f aca="false">MID(IF(N(Y175)&gt;0,", "&amp;Y$2,"")&amp;IF(N(Z175)&gt;0,", "&amp;Z$2,"")&amp;IF(N(AA175)&gt;0,", "&amp;AA$2,"")&amp;IF(N(AB175)&gt;0,", "&amp;AB$2,"")&amp;IF(N(AC175)&gt;0,", "&amp;AC$2,"")&amp;IF(N(AD175)&gt;0,", "&amp;AD$2,"")&amp;IF(N(AE175)&gt;0,", "&amp;AE$2,"")&amp;IF(N(AF175)&gt;0,", "&amp;AF$2,"")&amp;IF(N(AG175)&gt;0,", "&amp;AG$2,"")&amp;IF(N(AH175)&gt;0,", "&amp;AH$2,"")&amp;IF(N(AI175)&gt;0,", "&amp;AI$2,"")&amp;IF(N(AJ175)&gt;0,", "&amp;AJ$2,""),3,999)</f>
        <v/>
      </c>
      <c r="AM175" s="87" t="str">
        <f aca="false">IF(E175="","",MID(IF(N(Y175)&gt;0,", "&amp;A175&amp;"-"&amp;Y$2,"")&amp;IF(N(Z175)&gt;0,", "&amp;A175&amp;"-"&amp;Z$2,"")&amp;IF(N(AA175)&gt;0,", "&amp;A175&amp;"-"&amp;AA$2,"")&amp;IF(N(AB175)&gt;0,", "&amp;A175&amp;"-"&amp;AB$2,"")&amp;IF(N(AC175)&gt;0,", "&amp;A175&amp;"-"&amp;AC$2,"")&amp;IF(N(AD175)&gt;0,", "&amp;A175&amp;"-"&amp;AD$2,"")&amp;IF(N(AE175)&gt;0,", "&amp;A175&amp;"-"&amp;AE$2,"")&amp;IF(N(AF175)&gt;0,", "&amp;A175&amp;"-"&amp;AF$2,"")&amp;IF(N(AG175)&gt;0,", "&amp;A175&amp;"-"&amp;AG$2,"")&amp;IF(N(AH175)&gt;0,", "&amp;A175&amp;"-"&amp;AH$2,"")&amp;IF(N(AI175)&gt;0,", "&amp;A175&amp;"-"&amp;AI$2,"")&amp;IF(N(AJ175)&gt;0,", "&amp;A175&amp;"-"&amp;AJ$2,""),3,999))</f>
        <v/>
      </c>
      <c r="AN175" s="81"/>
      <c r="AO175" s="88"/>
      <c r="AP175" s="89" t="str">
        <f aca="false">IF(AO175="","",ROUND(AO175/(1+Справочники!$B$13),2))</f>
        <v/>
      </c>
      <c r="AQ175" s="90" t="str">
        <f aca="false" t="array" ref="AQ175:AQ175">IF(AP175="","",AP175*INDEX(Справочники!$B$4:$B$7,MATCH("RUB",Справочники!$A$4:$A$7,0)))</f>
        <v/>
      </c>
      <c r="AR175" s="90" t="str">
        <f aca="false">IF(AQ175="","",ROUND(AQ175*(1+Справочники!$B$12),0))</f>
        <v/>
      </c>
      <c r="AS175" s="90" t="str">
        <f aca="false">IF(AR175="","",ROUND(AR175*(1-Справочники!$B$11),0))</f>
        <v/>
      </c>
      <c r="AT175" s="88"/>
      <c r="AU175" s="90" t="str">
        <f aca="false">IF(AT175="","",ROUND(AT175/(1+Справочники!$B$12),0))</f>
        <v/>
      </c>
      <c r="AV175" s="90" t="str">
        <f aca="false">IF(AT175="","",ROUND(AT175*(1-Справочники!$B$15),0))</f>
        <v/>
      </c>
      <c r="AW175" s="90" t="str">
        <f aca="false">IF(AT175="","",ROUND(AT175*(1-Справочники!$B$16),0))</f>
        <v/>
      </c>
      <c r="AX175" s="90" t="str">
        <f aca="false">IF(AT175="","",ROUND(AT175*(1-Справочники!$B$17),0))</f>
        <v/>
      </c>
      <c r="AY175" s="90" t="str">
        <f aca="false">IF(AT175="","",ROUND(AT175*(1-Справочники!$B$18),0))</f>
        <v/>
      </c>
      <c r="AZ175" s="90" t="str">
        <f aca="false">IF(AT175="","",ROUND(AT175*(1-Справочники!$B$19),0))</f>
        <v/>
      </c>
      <c r="BA175" s="81"/>
      <c r="BB175" s="81"/>
      <c r="BC175" s="81"/>
      <c r="BD175" s="81"/>
      <c r="BE175" s="91"/>
      <c r="BF175" s="81" t="s">
        <v>103</v>
      </c>
      <c r="BG175" s="89" t="n">
        <f aca="false" t="array" ref="BG175:BG175">IF(BF175="","",IFERROR(INDEX(Справочники!$B$4:$B$7,MATCH(BF175,Справочники!$A$4:$A$7,0)),""))</f>
        <v>68.5</v>
      </c>
      <c r="BH175" s="90" t="str">
        <f aca="false">IF(N(BN175)&gt;0,ROUND(SUMIF(ЗАКАЗЫ!$F$3:$F$500,$A175,ЗАКАЗЫ!$Y$3:$Y$500)/BN175,0),IF(OR(BE175="",BG175=""),"",ROUND(BE175*BG175*(1+Справочники!$B$10),0)))</f>
        <v/>
      </c>
      <c r="BI175" s="92" t="str">
        <f aca="false">IF(OR(AU175="",BH175="",AU175=0),"",(AU175-BH175)/AU175)</f>
        <v/>
      </c>
      <c r="BJ175" s="81"/>
      <c r="BK175" s="83"/>
      <c r="BL175" s="43" t="str">
        <f aca="false">IFERROR(INDEX(ЗАКАЗЫ!$N$3:$N$500,MATCH($A175,ЗАКАЗЫ!$F$3:$F$500,0)),"")</f>
        <v/>
      </c>
      <c r="BM175" s="8" t="str">
        <f aca="false">IF(BL175="","",IFERROR(VLOOKUP(BL175,'ТН ВЭД'!$A$4:$C$40,3,0),""))</f>
        <v/>
      </c>
      <c r="BN175" s="7" t="str">
        <f aca="false">IF(COUNTIF(ЗАКАЗЫ!$F$3:$F$500,$A175)=0,"",SUMIF(ЗАКАЗЫ!$F$3:$F$500,$A175,ЗАКАЗЫ!$J$3:$J$500))</f>
        <v/>
      </c>
      <c r="BO175" s="7" t="str">
        <f aca="false">IF(BN175="","",SUMIF(ЗАКАЗЫ!$F$3:$F$500,$A175,ЗАКАЗЫ!$AL$3:$AL$500))</f>
        <v/>
      </c>
      <c r="BP175" s="7" t="str">
        <f aca="false">IF(BN175="","",BN175-BO175)</f>
        <v/>
      </c>
      <c r="BQ175" s="55" t="str">
        <f aca="false">IF(BN175="","",IF(BO175&gt;=BN175,"На складе",IF(BO175&gt;0,"Частично","Ждём")))</f>
        <v/>
      </c>
      <c r="BR175" s="43"/>
      <c r="BS175" s="47" t="str">
        <f aca="false">IF(BN175="","",IF(_xlfn.MAXIFS(ЗАКАЗЫ!$AK$3:$AK$500,ЗАКАЗЫ!$F$3:$F$500,$A175)=0,"",_xlfn.MAXIFS(ЗАКАЗЫ!$AK$3:$AK$500,ЗАКАЗЫ!$F$3:$F$500,$A175)))</f>
        <v/>
      </c>
    </row>
    <row r="176" customFormat="false" ht="15.75" hidden="false" customHeight="true" outlineLevel="0" collapsed="false">
      <c r="A176" s="80" t="s">
        <v>2716</v>
      </c>
      <c r="B176" s="81"/>
      <c r="C176" s="81"/>
      <c r="D176" s="81"/>
      <c r="E176" s="83"/>
      <c r="F176" s="81"/>
      <c r="G176" s="83"/>
      <c r="H176" s="83"/>
      <c r="I176" s="84" t="str">
        <f aca="false">IF(E176="","",A176&amp;"_1.jpg")</f>
        <v/>
      </c>
      <c r="J176" s="84" t="str">
        <f aca="false">IF(E176="","",A176&amp;"_2.jpg; "&amp;A176&amp;"_3.jpg")</f>
        <v/>
      </c>
      <c r="K176" s="84" t="str">
        <f aca="false">IF(E176="","",A176&amp;"_schema.jpg")</f>
        <v/>
      </c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 t="s">
        <v>96</v>
      </c>
      <c r="W176" s="81"/>
      <c r="X176" s="81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6" t="str">
        <f aca="false">IF(SUM(Y176:AJ176)=0,"",SUM(Y176:AJ176))</f>
        <v/>
      </c>
      <c r="AL176" s="84" t="str">
        <f aca="false">MID(IF(N(Y176)&gt;0,", "&amp;Y$2,"")&amp;IF(N(Z176)&gt;0,", "&amp;Z$2,"")&amp;IF(N(AA176)&gt;0,", "&amp;AA$2,"")&amp;IF(N(AB176)&gt;0,", "&amp;AB$2,"")&amp;IF(N(AC176)&gt;0,", "&amp;AC$2,"")&amp;IF(N(AD176)&gt;0,", "&amp;AD$2,"")&amp;IF(N(AE176)&gt;0,", "&amp;AE$2,"")&amp;IF(N(AF176)&gt;0,", "&amp;AF$2,"")&amp;IF(N(AG176)&gt;0,", "&amp;AG$2,"")&amp;IF(N(AH176)&gt;0,", "&amp;AH$2,"")&amp;IF(N(AI176)&gt;0,", "&amp;AI$2,"")&amp;IF(N(AJ176)&gt;0,", "&amp;AJ$2,""),3,999)</f>
        <v/>
      </c>
      <c r="AM176" s="87" t="str">
        <f aca="false">IF(E176="","",MID(IF(N(Y176)&gt;0,", "&amp;A176&amp;"-"&amp;Y$2,"")&amp;IF(N(Z176)&gt;0,", "&amp;A176&amp;"-"&amp;Z$2,"")&amp;IF(N(AA176)&gt;0,", "&amp;A176&amp;"-"&amp;AA$2,"")&amp;IF(N(AB176)&gt;0,", "&amp;A176&amp;"-"&amp;AB$2,"")&amp;IF(N(AC176)&gt;0,", "&amp;A176&amp;"-"&amp;AC$2,"")&amp;IF(N(AD176)&gt;0,", "&amp;A176&amp;"-"&amp;AD$2,"")&amp;IF(N(AE176)&gt;0,", "&amp;A176&amp;"-"&amp;AE$2,"")&amp;IF(N(AF176)&gt;0,", "&amp;A176&amp;"-"&amp;AF$2,"")&amp;IF(N(AG176)&gt;0,", "&amp;A176&amp;"-"&amp;AG$2,"")&amp;IF(N(AH176)&gt;0,", "&amp;A176&amp;"-"&amp;AH$2,"")&amp;IF(N(AI176)&gt;0,", "&amp;A176&amp;"-"&amp;AI$2,"")&amp;IF(N(AJ176)&gt;0,", "&amp;A176&amp;"-"&amp;AJ$2,""),3,999))</f>
        <v/>
      </c>
      <c r="AN176" s="81"/>
      <c r="AO176" s="88"/>
      <c r="AP176" s="89" t="str">
        <f aca="false">IF(AO176="","",ROUND(AO176/(1+Справочники!$B$13),2))</f>
        <v/>
      </c>
      <c r="AQ176" s="90" t="str">
        <f aca="false" t="array" ref="AQ176:AQ176">IF(AP176="","",AP176*INDEX(Справочники!$B$4:$B$7,MATCH("RUB",Справочники!$A$4:$A$7,0)))</f>
        <v/>
      </c>
      <c r="AR176" s="90" t="str">
        <f aca="false">IF(AQ176="","",ROUND(AQ176*(1+Справочники!$B$12),0))</f>
        <v/>
      </c>
      <c r="AS176" s="90" t="str">
        <f aca="false">IF(AR176="","",ROUND(AR176*(1-Справочники!$B$11),0))</f>
        <v/>
      </c>
      <c r="AT176" s="88"/>
      <c r="AU176" s="90" t="str">
        <f aca="false">IF(AT176="","",ROUND(AT176/(1+Справочники!$B$12),0))</f>
        <v/>
      </c>
      <c r="AV176" s="90" t="str">
        <f aca="false">IF(AT176="","",ROUND(AT176*(1-Справочники!$B$15),0))</f>
        <v/>
      </c>
      <c r="AW176" s="90" t="str">
        <f aca="false">IF(AT176="","",ROUND(AT176*(1-Справочники!$B$16),0))</f>
        <v/>
      </c>
      <c r="AX176" s="90" t="str">
        <f aca="false">IF(AT176="","",ROUND(AT176*(1-Справочники!$B$17),0))</f>
        <v/>
      </c>
      <c r="AY176" s="90" t="str">
        <f aca="false">IF(AT176="","",ROUND(AT176*(1-Справочники!$B$18),0))</f>
        <v/>
      </c>
      <c r="AZ176" s="90" t="str">
        <f aca="false">IF(AT176="","",ROUND(AT176*(1-Справочники!$B$19),0))</f>
        <v/>
      </c>
      <c r="BA176" s="81"/>
      <c r="BB176" s="81"/>
      <c r="BC176" s="81"/>
      <c r="BD176" s="81"/>
      <c r="BE176" s="91"/>
      <c r="BF176" s="81" t="s">
        <v>103</v>
      </c>
      <c r="BG176" s="89" t="n">
        <f aca="false" t="array" ref="BG176:BG176">IF(BF176="","",IFERROR(INDEX(Справочники!$B$4:$B$7,MATCH(BF176,Справочники!$A$4:$A$7,0)),""))</f>
        <v>68.5</v>
      </c>
      <c r="BH176" s="90" t="str">
        <f aca="false">IF(N(BN176)&gt;0,ROUND(SUMIF(ЗАКАЗЫ!$F$3:$F$500,$A176,ЗАКАЗЫ!$Y$3:$Y$500)/BN176,0),IF(OR(BE176="",BG176=""),"",ROUND(BE176*BG176*(1+Справочники!$B$10),0)))</f>
        <v/>
      </c>
      <c r="BI176" s="92" t="str">
        <f aca="false">IF(OR(AU176="",BH176="",AU176=0),"",(AU176-BH176)/AU176)</f>
        <v/>
      </c>
      <c r="BJ176" s="81"/>
      <c r="BK176" s="83"/>
      <c r="BL176" s="43" t="str">
        <f aca="false">IFERROR(INDEX(ЗАКАЗЫ!$N$3:$N$500,MATCH($A176,ЗАКАЗЫ!$F$3:$F$500,0)),"")</f>
        <v/>
      </c>
      <c r="BM176" s="8" t="str">
        <f aca="false">IF(BL176="","",IFERROR(VLOOKUP(BL176,'ТН ВЭД'!$A$4:$C$40,3,0),""))</f>
        <v/>
      </c>
      <c r="BN176" s="7" t="str">
        <f aca="false">IF(COUNTIF(ЗАКАЗЫ!$F$3:$F$500,$A176)=0,"",SUMIF(ЗАКАЗЫ!$F$3:$F$500,$A176,ЗАКАЗЫ!$J$3:$J$500))</f>
        <v/>
      </c>
      <c r="BO176" s="7" t="str">
        <f aca="false">IF(BN176="","",SUMIF(ЗАКАЗЫ!$F$3:$F$500,$A176,ЗАКАЗЫ!$AL$3:$AL$500))</f>
        <v/>
      </c>
      <c r="BP176" s="7" t="str">
        <f aca="false">IF(BN176="","",BN176-BO176)</f>
        <v/>
      </c>
      <c r="BQ176" s="55" t="str">
        <f aca="false">IF(BN176="","",IF(BO176&gt;=BN176,"На складе",IF(BO176&gt;0,"Частично","Ждём")))</f>
        <v/>
      </c>
      <c r="BR176" s="43"/>
      <c r="BS176" s="47" t="str">
        <f aca="false">IF(BN176="","",IF(_xlfn.MAXIFS(ЗАКАЗЫ!$AK$3:$AK$500,ЗАКАЗЫ!$F$3:$F$500,$A176)=0,"",_xlfn.MAXIFS(ЗАКАЗЫ!$AK$3:$AK$500,ЗАКАЗЫ!$F$3:$F$500,$A176)))</f>
        <v/>
      </c>
    </row>
    <row r="177" customFormat="false" ht="15.75" hidden="false" customHeight="true" outlineLevel="0" collapsed="false">
      <c r="A177" s="80" t="s">
        <v>2717</v>
      </c>
      <c r="B177" s="81"/>
      <c r="C177" s="81"/>
      <c r="D177" s="81"/>
      <c r="E177" s="83"/>
      <c r="F177" s="81"/>
      <c r="G177" s="83"/>
      <c r="H177" s="83"/>
      <c r="I177" s="84" t="str">
        <f aca="false">IF(E177="","",A177&amp;"_1.jpg")</f>
        <v/>
      </c>
      <c r="J177" s="84" t="str">
        <f aca="false">IF(E177="","",A177&amp;"_2.jpg; "&amp;A177&amp;"_3.jpg")</f>
        <v/>
      </c>
      <c r="K177" s="84" t="str">
        <f aca="false">IF(E177="","",A177&amp;"_schema.jpg")</f>
        <v/>
      </c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 t="s">
        <v>96</v>
      </c>
      <c r="W177" s="81"/>
      <c r="X177" s="81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6" t="str">
        <f aca="false">IF(SUM(Y177:AJ177)=0,"",SUM(Y177:AJ177))</f>
        <v/>
      </c>
      <c r="AL177" s="84" t="str">
        <f aca="false">MID(IF(N(Y177)&gt;0,", "&amp;Y$2,"")&amp;IF(N(Z177)&gt;0,", "&amp;Z$2,"")&amp;IF(N(AA177)&gt;0,", "&amp;AA$2,"")&amp;IF(N(AB177)&gt;0,", "&amp;AB$2,"")&amp;IF(N(AC177)&gt;0,", "&amp;AC$2,"")&amp;IF(N(AD177)&gt;0,", "&amp;AD$2,"")&amp;IF(N(AE177)&gt;0,", "&amp;AE$2,"")&amp;IF(N(AF177)&gt;0,", "&amp;AF$2,"")&amp;IF(N(AG177)&gt;0,", "&amp;AG$2,"")&amp;IF(N(AH177)&gt;0,", "&amp;AH$2,"")&amp;IF(N(AI177)&gt;0,", "&amp;AI$2,"")&amp;IF(N(AJ177)&gt;0,", "&amp;AJ$2,""),3,999)</f>
        <v/>
      </c>
      <c r="AM177" s="87" t="str">
        <f aca="false">IF(E177="","",MID(IF(N(Y177)&gt;0,", "&amp;A177&amp;"-"&amp;Y$2,"")&amp;IF(N(Z177)&gt;0,", "&amp;A177&amp;"-"&amp;Z$2,"")&amp;IF(N(AA177)&gt;0,", "&amp;A177&amp;"-"&amp;AA$2,"")&amp;IF(N(AB177)&gt;0,", "&amp;A177&amp;"-"&amp;AB$2,"")&amp;IF(N(AC177)&gt;0,", "&amp;A177&amp;"-"&amp;AC$2,"")&amp;IF(N(AD177)&gt;0,", "&amp;A177&amp;"-"&amp;AD$2,"")&amp;IF(N(AE177)&gt;0,", "&amp;A177&amp;"-"&amp;AE$2,"")&amp;IF(N(AF177)&gt;0,", "&amp;A177&amp;"-"&amp;AF$2,"")&amp;IF(N(AG177)&gt;0,", "&amp;A177&amp;"-"&amp;AG$2,"")&amp;IF(N(AH177)&gt;0,", "&amp;A177&amp;"-"&amp;AH$2,"")&amp;IF(N(AI177)&gt;0,", "&amp;A177&amp;"-"&amp;AI$2,"")&amp;IF(N(AJ177)&gt;0,", "&amp;A177&amp;"-"&amp;AJ$2,""),3,999))</f>
        <v/>
      </c>
      <c r="AN177" s="81"/>
      <c r="AO177" s="88"/>
      <c r="AP177" s="89" t="str">
        <f aca="false">IF(AO177="","",ROUND(AO177/(1+Справочники!$B$13),2))</f>
        <v/>
      </c>
      <c r="AQ177" s="90" t="str">
        <f aca="false" t="array" ref="AQ177:AQ177">IF(AP177="","",AP177*INDEX(Справочники!$B$4:$B$7,MATCH("RUB",Справочники!$A$4:$A$7,0)))</f>
        <v/>
      </c>
      <c r="AR177" s="90" t="str">
        <f aca="false">IF(AQ177="","",ROUND(AQ177*(1+Справочники!$B$12),0))</f>
        <v/>
      </c>
      <c r="AS177" s="90" t="str">
        <f aca="false">IF(AR177="","",ROUND(AR177*(1-Справочники!$B$11),0))</f>
        <v/>
      </c>
      <c r="AT177" s="88"/>
      <c r="AU177" s="90" t="str">
        <f aca="false">IF(AT177="","",ROUND(AT177/(1+Справочники!$B$12),0))</f>
        <v/>
      </c>
      <c r="AV177" s="90" t="str">
        <f aca="false">IF(AT177="","",ROUND(AT177*(1-Справочники!$B$15),0))</f>
        <v/>
      </c>
      <c r="AW177" s="90" t="str">
        <f aca="false">IF(AT177="","",ROUND(AT177*(1-Справочники!$B$16),0))</f>
        <v/>
      </c>
      <c r="AX177" s="90" t="str">
        <f aca="false">IF(AT177="","",ROUND(AT177*(1-Справочники!$B$17),0))</f>
        <v/>
      </c>
      <c r="AY177" s="90" t="str">
        <f aca="false">IF(AT177="","",ROUND(AT177*(1-Справочники!$B$18),0))</f>
        <v/>
      </c>
      <c r="AZ177" s="90" t="str">
        <f aca="false">IF(AT177="","",ROUND(AT177*(1-Справочники!$B$19),0))</f>
        <v/>
      </c>
      <c r="BA177" s="81"/>
      <c r="BB177" s="81"/>
      <c r="BC177" s="81"/>
      <c r="BD177" s="81"/>
      <c r="BE177" s="91"/>
      <c r="BF177" s="81" t="s">
        <v>103</v>
      </c>
      <c r="BG177" s="89" t="n">
        <f aca="false" t="array" ref="BG177:BG177">IF(BF177="","",IFERROR(INDEX(Справочники!$B$4:$B$7,MATCH(BF177,Справочники!$A$4:$A$7,0)),""))</f>
        <v>68.5</v>
      </c>
      <c r="BH177" s="90" t="str">
        <f aca="false">IF(N(BN177)&gt;0,ROUND(SUMIF(ЗАКАЗЫ!$F$3:$F$500,$A177,ЗАКАЗЫ!$Y$3:$Y$500)/BN177,0),IF(OR(BE177="",BG177=""),"",ROUND(BE177*BG177*(1+Справочники!$B$10),0)))</f>
        <v/>
      </c>
      <c r="BI177" s="92" t="str">
        <f aca="false">IF(OR(AU177="",BH177="",AU177=0),"",(AU177-BH177)/AU177)</f>
        <v/>
      </c>
      <c r="BJ177" s="81"/>
      <c r="BK177" s="83"/>
      <c r="BL177" s="43" t="str">
        <f aca="false">IFERROR(INDEX(ЗАКАЗЫ!$N$3:$N$500,MATCH($A177,ЗАКАЗЫ!$F$3:$F$500,0)),"")</f>
        <v/>
      </c>
      <c r="BM177" s="8" t="str">
        <f aca="false">IF(BL177="","",IFERROR(VLOOKUP(BL177,'ТН ВЭД'!$A$4:$C$40,3,0),""))</f>
        <v/>
      </c>
      <c r="BN177" s="7" t="str">
        <f aca="false">IF(COUNTIF(ЗАКАЗЫ!$F$3:$F$500,$A177)=0,"",SUMIF(ЗАКАЗЫ!$F$3:$F$500,$A177,ЗАКАЗЫ!$J$3:$J$500))</f>
        <v/>
      </c>
      <c r="BO177" s="7" t="str">
        <f aca="false">IF(BN177="","",SUMIF(ЗАКАЗЫ!$F$3:$F$500,$A177,ЗАКАЗЫ!$AL$3:$AL$500))</f>
        <v/>
      </c>
      <c r="BP177" s="7" t="str">
        <f aca="false">IF(BN177="","",BN177-BO177)</f>
        <v/>
      </c>
      <c r="BQ177" s="55" t="str">
        <f aca="false">IF(BN177="","",IF(BO177&gt;=BN177,"На складе",IF(BO177&gt;0,"Частично","Ждём")))</f>
        <v/>
      </c>
      <c r="BR177" s="43"/>
      <c r="BS177" s="47" t="str">
        <f aca="false">IF(BN177="","",IF(_xlfn.MAXIFS(ЗАКАЗЫ!$AK$3:$AK$500,ЗАКАЗЫ!$F$3:$F$500,$A177)=0,"",_xlfn.MAXIFS(ЗАКАЗЫ!$AK$3:$AK$500,ЗАКАЗЫ!$F$3:$F$500,$A177)))</f>
        <v/>
      </c>
    </row>
    <row r="178" customFormat="false" ht="15.75" hidden="false" customHeight="true" outlineLevel="0" collapsed="false">
      <c r="A178" s="80" t="s">
        <v>2718</v>
      </c>
      <c r="B178" s="81"/>
      <c r="C178" s="81"/>
      <c r="D178" s="81"/>
      <c r="E178" s="83"/>
      <c r="F178" s="81"/>
      <c r="G178" s="83"/>
      <c r="H178" s="83"/>
      <c r="I178" s="84" t="str">
        <f aca="false">IF(E178="","",A178&amp;"_1.jpg")</f>
        <v/>
      </c>
      <c r="J178" s="84" t="str">
        <f aca="false">IF(E178="","",A178&amp;"_2.jpg; "&amp;A178&amp;"_3.jpg")</f>
        <v/>
      </c>
      <c r="K178" s="84" t="str">
        <f aca="false">IF(E178="","",A178&amp;"_schema.jpg")</f>
        <v/>
      </c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 t="s">
        <v>96</v>
      </c>
      <c r="W178" s="81"/>
      <c r="X178" s="81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6" t="str">
        <f aca="false">IF(SUM(Y178:AJ178)=0,"",SUM(Y178:AJ178))</f>
        <v/>
      </c>
      <c r="AL178" s="84" t="str">
        <f aca="false">MID(IF(N(Y178)&gt;0,", "&amp;Y$2,"")&amp;IF(N(Z178)&gt;0,", "&amp;Z$2,"")&amp;IF(N(AA178)&gt;0,", "&amp;AA$2,"")&amp;IF(N(AB178)&gt;0,", "&amp;AB$2,"")&amp;IF(N(AC178)&gt;0,", "&amp;AC$2,"")&amp;IF(N(AD178)&gt;0,", "&amp;AD$2,"")&amp;IF(N(AE178)&gt;0,", "&amp;AE$2,"")&amp;IF(N(AF178)&gt;0,", "&amp;AF$2,"")&amp;IF(N(AG178)&gt;0,", "&amp;AG$2,"")&amp;IF(N(AH178)&gt;0,", "&amp;AH$2,"")&amp;IF(N(AI178)&gt;0,", "&amp;AI$2,"")&amp;IF(N(AJ178)&gt;0,", "&amp;AJ$2,""),3,999)</f>
        <v/>
      </c>
      <c r="AM178" s="87" t="str">
        <f aca="false">IF(E178="","",MID(IF(N(Y178)&gt;0,", "&amp;A178&amp;"-"&amp;Y$2,"")&amp;IF(N(Z178)&gt;0,", "&amp;A178&amp;"-"&amp;Z$2,"")&amp;IF(N(AA178)&gt;0,", "&amp;A178&amp;"-"&amp;AA$2,"")&amp;IF(N(AB178)&gt;0,", "&amp;A178&amp;"-"&amp;AB$2,"")&amp;IF(N(AC178)&gt;0,", "&amp;A178&amp;"-"&amp;AC$2,"")&amp;IF(N(AD178)&gt;0,", "&amp;A178&amp;"-"&amp;AD$2,"")&amp;IF(N(AE178)&gt;0,", "&amp;A178&amp;"-"&amp;AE$2,"")&amp;IF(N(AF178)&gt;0,", "&amp;A178&amp;"-"&amp;AF$2,"")&amp;IF(N(AG178)&gt;0,", "&amp;A178&amp;"-"&amp;AG$2,"")&amp;IF(N(AH178)&gt;0,", "&amp;A178&amp;"-"&amp;AH$2,"")&amp;IF(N(AI178)&gt;0,", "&amp;A178&amp;"-"&amp;AI$2,"")&amp;IF(N(AJ178)&gt;0,", "&amp;A178&amp;"-"&amp;AJ$2,""),3,999))</f>
        <v/>
      </c>
      <c r="AN178" s="81"/>
      <c r="AO178" s="88"/>
      <c r="AP178" s="89" t="str">
        <f aca="false">IF(AO178="","",ROUND(AO178/(1+Справочники!$B$13),2))</f>
        <v/>
      </c>
      <c r="AQ178" s="90" t="str">
        <f aca="false" t="array" ref="AQ178:AQ178">IF(AP178="","",AP178*INDEX(Справочники!$B$4:$B$7,MATCH("RUB",Справочники!$A$4:$A$7,0)))</f>
        <v/>
      </c>
      <c r="AR178" s="90" t="str">
        <f aca="false">IF(AQ178="","",ROUND(AQ178*(1+Справочники!$B$12),0))</f>
        <v/>
      </c>
      <c r="AS178" s="90" t="str">
        <f aca="false">IF(AR178="","",ROUND(AR178*(1-Справочники!$B$11),0))</f>
        <v/>
      </c>
      <c r="AT178" s="88"/>
      <c r="AU178" s="90" t="str">
        <f aca="false">IF(AT178="","",ROUND(AT178/(1+Справочники!$B$12),0))</f>
        <v/>
      </c>
      <c r="AV178" s="90" t="str">
        <f aca="false">IF(AT178="","",ROUND(AT178*(1-Справочники!$B$15),0))</f>
        <v/>
      </c>
      <c r="AW178" s="90" t="str">
        <f aca="false">IF(AT178="","",ROUND(AT178*(1-Справочники!$B$16),0))</f>
        <v/>
      </c>
      <c r="AX178" s="90" t="str">
        <f aca="false">IF(AT178="","",ROUND(AT178*(1-Справочники!$B$17),0))</f>
        <v/>
      </c>
      <c r="AY178" s="90" t="str">
        <f aca="false">IF(AT178="","",ROUND(AT178*(1-Справочники!$B$18),0))</f>
        <v/>
      </c>
      <c r="AZ178" s="90" t="str">
        <f aca="false">IF(AT178="","",ROUND(AT178*(1-Справочники!$B$19),0))</f>
        <v/>
      </c>
      <c r="BA178" s="81"/>
      <c r="BB178" s="81"/>
      <c r="BC178" s="81"/>
      <c r="BD178" s="81"/>
      <c r="BE178" s="91"/>
      <c r="BF178" s="81" t="s">
        <v>103</v>
      </c>
      <c r="BG178" s="89" t="n">
        <f aca="false" t="array" ref="BG178:BG178">IF(BF178="","",IFERROR(INDEX(Справочники!$B$4:$B$7,MATCH(BF178,Справочники!$A$4:$A$7,0)),""))</f>
        <v>68.5</v>
      </c>
      <c r="BH178" s="90" t="str">
        <f aca="false">IF(N(BN178)&gt;0,ROUND(SUMIF(ЗАКАЗЫ!$F$3:$F$500,$A178,ЗАКАЗЫ!$Y$3:$Y$500)/BN178,0),IF(OR(BE178="",BG178=""),"",ROUND(BE178*BG178*(1+Справочники!$B$10),0)))</f>
        <v/>
      </c>
      <c r="BI178" s="92" t="str">
        <f aca="false">IF(OR(AU178="",BH178="",AU178=0),"",(AU178-BH178)/AU178)</f>
        <v/>
      </c>
      <c r="BJ178" s="81"/>
      <c r="BK178" s="83"/>
      <c r="BL178" s="43" t="str">
        <f aca="false">IFERROR(INDEX(ЗАКАЗЫ!$N$3:$N$500,MATCH($A178,ЗАКАЗЫ!$F$3:$F$500,0)),"")</f>
        <v/>
      </c>
      <c r="BM178" s="8" t="str">
        <f aca="false">IF(BL178="","",IFERROR(VLOOKUP(BL178,'ТН ВЭД'!$A$4:$C$40,3,0),""))</f>
        <v/>
      </c>
      <c r="BN178" s="7" t="str">
        <f aca="false">IF(COUNTIF(ЗАКАЗЫ!$F$3:$F$500,$A178)=0,"",SUMIF(ЗАКАЗЫ!$F$3:$F$500,$A178,ЗАКАЗЫ!$J$3:$J$500))</f>
        <v/>
      </c>
      <c r="BO178" s="7" t="str">
        <f aca="false">IF(BN178="","",SUMIF(ЗАКАЗЫ!$F$3:$F$500,$A178,ЗАКАЗЫ!$AL$3:$AL$500))</f>
        <v/>
      </c>
      <c r="BP178" s="7" t="str">
        <f aca="false">IF(BN178="","",BN178-BO178)</f>
        <v/>
      </c>
      <c r="BQ178" s="55" t="str">
        <f aca="false">IF(BN178="","",IF(BO178&gt;=BN178,"На складе",IF(BO178&gt;0,"Частично","Ждём")))</f>
        <v/>
      </c>
      <c r="BR178" s="43"/>
      <c r="BS178" s="47" t="str">
        <f aca="false">IF(BN178="","",IF(_xlfn.MAXIFS(ЗАКАЗЫ!$AK$3:$AK$500,ЗАКАЗЫ!$F$3:$F$500,$A178)=0,"",_xlfn.MAXIFS(ЗАКАЗЫ!$AK$3:$AK$500,ЗАКАЗЫ!$F$3:$F$500,$A178)))</f>
        <v/>
      </c>
    </row>
    <row r="179" customFormat="false" ht="15.75" hidden="false" customHeight="true" outlineLevel="0" collapsed="false">
      <c r="A179" s="80" t="s">
        <v>2719</v>
      </c>
      <c r="B179" s="81"/>
      <c r="C179" s="81"/>
      <c r="D179" s="81"/>
      <c r="E179" s="83"/>
      <c r="F179" s="81"/>
      <c r="G179" s="83"/>
      <c r="H179" s="83"/>
      <c r="I179" s="84" t="str">
        <f aca="false">IF(E179="","",A179&amp;"_1.jpg")</f>
        <v/>
      </c>
      <c r="J179" s="84" t="str">
        <f aca="false">IF(E179="","",A179&amp;"_2.jpg; "&amp;A179&amp;"_3.jpg")</f>
        <v/>
      </c>
      <c r="K179" s="84" t="str">
        <f aca="false">IF(E179="","",A179&amp;"_schema.jpg")</f>
        <v/>
      </c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 t="s">
        <v>96</v>
      </c>
      <c r="W179" s="81"/>
      <c r="X179" s="81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6" t="str">
        <f aca="false">IF(SUM(Y179:AJ179)=0,"",SUM(Y179:AJ179))</f>
        <v/>
      </c>
      <c r="AL179" s="84" t="str">
        <f aca="false">MID(IF(N(Y179)&gt;0,", "&amp;Y$2,"")&amp;IF(N(Z179)&gt;0,", "&amp;Z$2,"")&amp;IF(N(AA179)&gt;0,", "&amp;AA$2,"")&amp;IF(N(AB179)&gt;0,", "&amp;AB$2,"")&amp;IF(N(AC179)&gt;0,", "&amp;AC$2,"")&amp;IF(N(AD179)&gt;0,", "&amp;AD$2,"")&amp;IF(N(AE179)&gt;0,", "&amp;AE$2,"")&amp;IF(N(AF179)&gt;0,", "&amp;AF$2,"")&amp;IF(N(AG179)&gt;0,", "&amp;AG$2,"")&amp;IF(N(AH179)&gt;0,", "&amp;AH$2,"")&amp;IF(N(AI179)&gt;0,", "&amp;AI$2,"")&amp;IF(N(AJ179)&gt;0,", "&amp;AJ$2,""),3,999)</f>
        <v/>
      </c>
      <c r="AM179" s="87" t="str">
        <f aca="false">IF(E179="","",MID(IF(N(Y179)&gt;0,", "&amp;A179&amp;"-"&amp;Y$2,"")&amp;IF(N(Z179)&gt;0,", "&amp;A179&amp;"-"&amp;Z$2,"")&amp;IF(N(AA179)&gt;0,", "&amp;A179&amp;"-"&amp;AA$2,"")&amp;IF(N(AB179)&gt;0,", "&amp;A179&amp;"-"&amp;AB$2,"")&amp;IF(N(AC179)&gt;0,", "&amp;A179&amp;"-"&amp;AC$2,"")&amp;IF(N(AD179)&gt;0,", "&amp;A179&amp;"-"&amp;AD$2,"")&amp;IF(N(AE179)&gt;0,", "&amp;A179&amp;"-"&amp;AE$2,"")&amp;IF(N(AF179)&gt;0,", "&amp;A179&amp;"-"&amp;AF$2,"")&amp;IF(N(AG179)&gt;0,", "&amp;A179&amp;"-"&amp;AG$2,"")&amp;IF(N(AH179)&gt;0,", "&amp;A179&amp;"-"&amp;AH$2,"")&amp;IF(N(AI179)&gt;0,", "&amp;A179&amp;"-"&amp;AI$2,"")&amp;IF(N(AJ179)&gt;0,", "&amp;A179&amp;"-"&amp;AJ$2,""),3,999))</f>
        <v/>
      </c>
      <c r="AN179" s="81"/>
      <c r="AO179" s="88"/>
      <c r="AP179" s="89" t="str">
        <f aca="false">IF(AO179="","",ROUND(AO179/(1+Справочники!$B$13),2))</f>
        <v/>
      </c>
      <c r="AQ179" s="90" t="str">
        <f aca="false" t="array" ref="AQ179:AQ179">IF(AP179="","",AP179*INDEX(Справочники!$B$4:$B$7,MATCH("RUB",Справочники!$A$4:$A$7,0)))</f>
        <v/>
      </c>
      <c r="AR179" s="90" t="str">
        <f aca="false">IF(AQ179="","",ROUND(AQ179*(1+Справочники!$B$12),0))</f>
        <v/>
      </c>
      <c r="AS179" s="90" t="str">
        <f aca="false">IF(AR179="","",ROUND(AR179*(1-Справочники!$B$11),0))</f>
        <v/>
      </c>
      <c r="AT179" s="88"/>
      <c r="AU179" s="90" t="str">
        <f aca="false">IF(AT179="","",ROUND(AT179/(1+Справочники!$B$12),0))</f>
        <v/>
      </c>
      <c r="AV179" s="90" t="str">
        <f aca="false">IF(AT179="","",ROUND(AT179*(1-Справочники!$B$15),0))</f>
        <v/>
      </c>
      <c r="AW179" s="90" t="str">
        <f aca="false">IF(AT179="","",ROUND(AT179*(1-Справочники!$B$16),0))</f>
        <v/>
      </c>
      <c r="AX179" s="90" t="str">
        <f aca="false">IF(AT179="","",ROUND(AT179*(1-Справочники!$B$17),0))</f>
        <v/>
      </c>
      <c r="AY179" s="90" t="str">
        <f aca="false">IF(AT179="","",ROUND(AT179*(1-Справочники!$B$18),0))</f>
        <v/>
      </c>
      <c r="AZ179" s="90" t="str">
        <f aca="false">IF(AT179="","",ROUND(AT179*(1-Справочники!$B$19),0))</f>
        <v/>
      </c>
      <c r="BA179" s="81"/>
      <c r="BB179" s="81"/>
      <c r="BC179" s="81"/>
      <c r="BD179" s="81"/>
      <c r="BE179" s="91"/>
      <c r="BF179" s="81" t="s">
        <v>103</v>
      </c>
      <c r="BG179" s="89" t="n">
        <f aca="false" t="array" ref="BG179:BG179">IF(BF179="","",IFERROR(INDEX(Справочники!$B$4:$B$7,MATCH(BF179,Справочники!$A$4:$A$7,0)),""))</f>
        <v>68.5</v>
      </c>
      <c r="BH179" s="90" t="str">
        <f aca="false">IF(N(BN179)&gt;0,ROUND(SUMIF(ЗАКАЗЫ!$F$3:$F$500,$A179,ЗАКАЗЫ!$Y$3:$Y$500)/BN179,0),IF(OR(BE179="",BG179=""),"",ROUND(BE179*BG179*(1+Справочники!$B$10),0)))</f>
        <v/>
      </c>
      <c r="BI179" s="92" t="str">
        <f aca="false">IF(OR(AU179="",BH179="",AU179=0),"",(AU179-BH179)/AU179)</f>
        <v/>
      </c>
      <c r="BJ179" s="81"/>
      <c r="BK179" s="83"/>
      <c r="BL179" s="43" t="str">
        <f aca="false">IFERROR(INDEX(ЗАКАЗЫ!$N$3:$N$500,MATCH($A179,ЗАКАЗЫ!$F$3:$F$500,0)),"")</f>
        <v/>
      </c>
      <c r="BM179" s="8" t="str">
        <f aca="false">IF(BL179="","",IFERROR(VLOOKUP(BL179,'ТН ВЭД'!$A$4:$C$40,3,0),""))</f>
        <v/>
      </c>
      <c r="BN179" s="7" t="str">
        <f aca="false">IF(COUNTIF(ЗАКАЗЫ!$F$3:$F$500,$A179)=0,"",SUMIF(ЗАКАЗЫ!$F$3:$F$500,$A179,ЗАКАЗЫ!$J$3:$J$500))</f>
        <v/>
      </c>
      <c r="BO179" s="7" t="str">
        <f aca="false">IF(BN179="","",SUMIF(ЗАКАЗЫ!$F$3:$F$500,$A179,ЗАКАЗЫ!$AL$3:$AL$500))</f>
        <v/>
      </c>
      <c r="BP179" s="7" t="str">
        <f aca="false">IF(BN179="","",BN179-BO179)</f>
        <v/>
      </c>
      <c r="BQ179" s="55" t="str">
        <f aca="false">IF(BN179="","",IF(BO179&gt;=BN179,"На складе",IF(BO179&gt;0,"Частично","Ждём")))</f>
        <v/>
      </c>
      <c r="BR179" s="43"/>
      <c r="BS179" s="47" t="str">
        <f aca="false">IF(BN179="","",IF(_xlfn.MAXIFS(ЗАКАЗЫ!$AK$3:$AK$500,ЗАКАЗЫ!$F$3:$F$500,$A179)=0,"",_xlfn.MAXIFS(ЗАКАЗЫ!$AK$3:$AK$500,ЗАКАЗЫ!$F$3:$F$500,$A179)))</f>
        <v/>
      </c>
    </row>
    <row r="180" customFormat="false" ht="15.75" hidden="false" customHeight="true" outlineLevel="0" collapsed="false">
      <c r="A180" s="80" t="s">
        <v>2720</v>
      </c>
      <c r="B180" s="81"/>
      <c r="C180" s="81"/>
      <c r="D180" s="81"/>
      <c r="E180" s="83"/>
      <c r="F180" s="81"/>
      <c r="G180" s="83"/>
      <c r="H180" s="83"/>
      <c r="I180" s="84" t="str">
        <f aca="false">IF(E180="","",A180&amp;"_1.jpg")</f>
        <v/>
      </c>
      <c r="J180" s="84" t="str">
        <f aca="false">IF(E180="","",A180&amp;"_2.jpg; "&amp;A180&amp;"_3.jpg")</f>
        <v/>
      </c>
      <c r="K180" s="84" t="str">
        <f aca="false">IF(E180="","",A180&amp;"_schema.jpg")</f>
        <v/>
      </c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 t="s">
        <v>96</v>
      </c>
      <c r="W180" s="81"/>
      <c r="X180" s="81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6" t="str">
        <f aca="false">IF(SUM(Y180:AJ180)=0,"",SUM(Y180:AJ180))</f>
        <v/>
      </c>
      <c r="AL180" s="84" t="str">
        <f aca="false">MID(IF(N(Y180)&gt;0,", "&amp;Y$2,"")&amp;IF(N(Z180)&gt;0,", "&amp;Z$2,"")&amp;IF(N(AA180)&gt;0,", "&amp;AA$2,"")&amp;IF(N(AB180)&gt;0,", "&amp;AB$2,"")&amp;IF(N(AC180)&gt;0,", "&amp;AC$2,"")&amp;IF(N(AD180)&gt;0,", "&amp;AD$2,"")&amp;IF(N(AE180)&gt;0,", "&amp;AE$2,"")&amp;IF(N(AF180)&gt;0,", "&amp;AF$2,"")&amp;IF(N(AG180)&gt;0,", "&amp;AG$2,"")&amp;IF(N(AH180)&gt;0,", "&amp;AH$2,"")&amp;IF(N(AI180)&gt;0,", "&amp;AI$2,"")&amp;IF(N(AJ180)&gt;0,", "&amp;AJ$2,""),3,999)</f>
        <v/>
      </c>
      <c r="AM180" s="87" t="str">
        <f aca="false">IF(E180="","",MID(IF(N(Y180)&gt;0,", "&amp;A180&amp;"-"&amp;Y$2,"")&amp;IF(N(Z180)&gt;0,", "&amp;A180&amp;"-"&amp;Z$2,"")&amp;IF(N(AA180)&gt;0,", "&amp;A180&amp;"-"&amp;AA$2,"")&amp;IF(N(AB180)&gt;0,", "&amp;A180&amp;"-"&amp;AB$2,"")&amp;IF(N(AC180)&gt;0,", "&amp;A180&amp;"-"&amp;AC$2,"")&amp;IF(N(AD180)&gt;0,", "&amp;A180&amp;"-"&amp;AD$2,"")&amp;IF(N(AE180)&gt;0,", "&amp;A180&amp;"-"&amp;AE$2,"")&amp;IF(N(AF180)&gt;0,", "&amp;A180&amp;"-"&amp;AF$2,"")&amp;IF(N(AG180)&gt;0,", "&amp;A180&amp;"-"&amp;AG$2,"")&amp;IF(N(AH180)&gt;0,", "&amp;A180&amp;"-"&amp;AH$2,"")&amp;IF(N(AI180)&gt;0,", "&amp;A180&amp;"-"&amp;AI$2,"")&amp;IF(N(AJ180)&gt;0,", "&amp;A180&amp;"-"&amp;AJ$2,""),3,999))</f>
        <v/>
      </c>
      <c r="AN180" s="81"/>
      <c r="AO180" s="88"/>
      <c r="AP180" s="89" t="str">
        <f aca="false">IF(AO180="","",ROUND(AO180/(1+Справочники!$B$13),2))</f>
        <v/>
      </c>
      <c r="AQ180" s="90" t="str">
        <f aca="false" t="array" ref="AQ180:AQ180">IF(AP180="","",AP180*INDEX(Справочники!$B$4:$B$7,MATCH("RUB",Справочники!$A$4:$A$7,0)))</f>
        <v/>
      </c>
      <c r="AR180" s="90" t="str">
        <f aca="false">IF(AQ180="","",ROUND(AQ180*(1+Справочники!$B$12),0))</f>
        <v/>
      </c>
      <c r="AS180" s="90" t="str">
        <f aca="false">IF(AR180="","",ROUND(AR180*(1-Справочники!$B$11),0))</f>
        <v/>
      </c>
      <c r="AT180" s="88"/>
      <c r="AU180" s="90" t="str">
        <f aca="false">IF(AT180="","",ROUND(AT180/(1+Справочники!$B$12),0))</f>
        <v/>
      </c>
      <c r="AV180" s="90" t="str">
        <f aca="false">IF(AT180="","",ROUND(AT180*(1-Справочники!$B$15),0))</f>
        <v/>
      </c>
      <c r="AW180" s="90" t="str">
        <f aca="false">IF(AT180="","",ROUND(AT180*(1-Справочники!$B$16),0))</f>
        <v/>
      </c>
      <c r="AX180" s="90" t="str">
        <f aca="false">IF(AT180="","",ROUND(AT180*(1-Справочники!$B$17),0))</f>
        <v/>
      </c>
      <c r="AY180" s="90" t="str">
        <f aca="false">IF(AT180="","",ROUND(AT180*(1-Справочники!$B$18),0))</f>
        <v/>
      </c>
      <c r="AZ180" s="90" t="str">
        <f aca="false">IF(AT180="","",ROUND(AT180*(1-Справочники!$B$19),0))</f>
        <v/>
      </c>
      <c r="BA180" s="81"/>
      <c r="BB180" s="81"/>
      <c r="BC180" s="81"/>
      <c r="BD180" s="81"/>
      <c r="BE180" s="91"/>
      <c r="BF180" s="81" t="s">
        <v>103</v>
      </c>
      <c r="BG180" s="89" t="n">
        <f aca="false" t="array" ref="BG180:BG180">IF(BF180="","",IFERROR(INDEX(Справочники!$B$4:$B$7,MATCH(BF180,Справочники!$A$4:$A$7,0)),""))</f>
        <v>68.5</v>
      </c>
      <c r="BH180" s="90" t="str">
        <f aca="false">IF(N(BN180)&gt;0,ROUND(SUMIF(ЗАКАЗЫ!$F$3:$F$500,$A180,ЗАКАЗЫ!$Y$3:$Y$500)/BN180,0),IF(OR(BE180="",BG180=""),"",ROUND(BE180*BG180*(1+Справочники!$B$10),0)))</f>
        <v/>
      </c>
      <c r="BI180" s="92" t="str">
        <f aca="false">IF(OR(AU180="",BH180="",AU180=0),"",(AU180-BH180)/AU180)</f>
        <v/>
      </c>
      <c r="BJ180" s="81"/>
      <c r="BK180" s="83"/>
      <c r="BL180" s="43" t="str">
        <f aca="false">IFERROR(INDEX(ЗАКАЗЫ!$N$3:$N$500,MATCH($A180,ЗАКАЗЫ!$F$3:$F$500,0)),"")</f>
        <v/>
      </c>
      <c r="BM180" s="8" t="str">
        <f aca="false">IF(BL180="","",IFERROR(VLOOKUP(BL180,'ТН ВЭД'!$A$4:$C$40,3,0),""))</f>
        <v/>
      </c>
      <c r="BN180" s="7" t="str">
        <f aca="false">IF(COUNTIF(ЗАКАЗЫ!$F$3:$F$500,$A180)=0,"",SUMIF(ЗАКАЗЫ!$F$3:$F$500,$A180,ЗАКАЗЫ!$J$3:$J$500))</f>
        <v/>
      </c>
      <c r="BO180" s="7" t="str">
        <f aca="false">IF(BN180="","",SUMIF(ЗАКАЗЫ!$F$3:$F$500,$A180,ЗАКАЗЫ!$AL$3:$AL$500))</f>
        <v/>
      </c>
      <c r="BP180" s="7" t="str">
        <f aca="false">IF(BN180="","",BN180-BO180)</f>
        <v/>
      </c>
      <c r="BQ180" s="55" t="str">
        <f aca="false">IF(BN180="","",IF(BO180&gt;=BN180,"На складе",IF(BO180&gt;0,"Частично","Ждём")))</f>
        <v/>
      </c>
      <c r="BR180" s="43"/>
      <c r="BS180" s="47" t="str">
        <f aca="false">IF(BN180="","",IF(_xlfn.MAXIFS(ЗАКАЗЫ!$AK$3:$AK$500,ЗАКАЗЫ!$F$3:$F$500,$A180)=0,"",_xlfn.MAXIFS(ЗАКАЗЫ!$AK$3:$AK$500,ЗАКАЗЫ!$F$3:$F$500,$A180)))</f>
        <v/>
      </c>
    </row>
    <row r="181" customFormat="false" ht="15.75" hidden="false" customHeight="true" outlineLevel="0" collapsed="false">
      <c r="A181" s="80" t="s">
        <v>2721</v>
      </c>
      <c r="B181" s="81"/>
      <c r="C181" s="81"/>
      <c r="D181" s="81"/>
      <c r="E181" s="83"/>
      <c r="F181" s="81"/>
      <c r="G181" s="83"/>
      <c r="H181" s="83"/>
      <c r="I181" s="84" t="str">
        <f aca="false">IF(E181="","",A181&amp;"_1.jpg")</f>
        <v/>
      </c>
      <c r="J181" s="84" t="str">
        <f aca="false">IF(E181="","",A181&amp;"_2.jpg; "&amp;A181&amp;"_3.jpg")</f>
        <v/>
      </c>
      <c r="K181" s="84" t="str">
        <f aca="false">IF(E181="","",A181&amp;"_schema.jpg")</f>
        <v/>
      </c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 t="s">
        <v>96</v>
      </c>
      <c r="W181" s="81"/>
      <c r="X181" s="81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6" t="str">
        <f aca="false">IF(SUM(Y181:AJ181)=0,"",SUM(Y181:AJ181))</f>
        <v/>
      </c>
      <c r="AL181" s="84" t="str">
        <f aca="false">MID(IF(N(Y181)&gt;0,", "&amp;Y$2,"")&amp;IF(N(Z181)&gt;0,", "&amp;Z$2,"")&amp;IF(N(AA181)&gt;0,", "&amp;AA$2,"")&amp;IF(N(AB181)&gt;0,", "&amp;AB$2,"")&amp;IF(N(AC181)&gt;0,", "&amp;AC$2,"")&amp;IF(N(AD181)&gt;0,", "&amp;AD$2,"")&amp;IF(N(AE181)&gt;0,", "&amp;AE$2,"")&amp;IF(N(AF181)&gt;0,", "&amp;AF$2,"")&amp;IF(N(AG181)&gt;0,", "&amp;AG$2,"")&amp;IF(N(AH181)&gt;0,", "&amp;AH$2,"")&amp;IF(N(AI181)&gt;0,", "&amp;AI$2,"")&amp;IF(N(AJ181)&gt;0,", "&amp;AJ$2,""),3,999)</f>
        <v/>
      </c>
      <c r="AM181" s="87" t="str">
        <f aca="false">IF(E181="","",MID(IF(N(Y181)&gt;0,", "&amp;A181&amp;"-"&amp;Y$2,"")&amp;IF(N(Z181)&gt;0,", "&amp;A181&amp;"-"&amp;Z$2,"")&amp;IF(N(AA181)&gt;0,", "&amp;A181&amp;"-"&amp;AA$2,"")&amp;IF(N(AB181)&gt;0,", "&amp;A181&amp;"-"&amp;AB$2,"")&amp;IF(N(AC181)&gt;0,", "&amp;A181&amp;"-"&amp;AC$2,"")&amp;IF(N(AD181)&gt;0,", "&amp;A181&amp;"-"&amp;AD$2,"")&amp;IF(N(AE181)&gt;0,", "&amp;A181&amp;"-"&amp;AE$2,"")&amp;IF(N(AF181)&gt;0,", "&amp;A181&amp;"-"&amp;AF$2,"")&amp;IF(N(AG181)&gt;0,", "&amp;A181&amp;"-"&amp;AG$2,"")&amp;IF(N(AH181)&gt;0,", "&amp;A181&amp;"-"&amp;AH$2,"")&amp;IF(N(AI181)&gt;0,", "&amp;A181&amp;"-"&amp;AI$2,"")&amp;IF(N(AJ181)&gt;0,", "&amp;A181&amp;"-"&amp;AJ$2,""),3,999))</f>
        <v/>
      </c>
      <c r="AN181" s="81"/>
      <c r="AO181" s="88"/>
      <c r="AP181" s="89" t="str">
        <f aca="false">IF(AO181="","",ROUND(AO181/(1+Справочники!$B$13),2))</f>
        <v/>
      </c>
      <c r="AQ181" s="90" t="str">
        <f aca="false" t="array" ref="AQ181:AQ181">IF(AP181="","",AP181*INDEX(Справочники!$B$4:$B$7,MATCH("RUB",Справочники!$A$4:$A$7,0)))</f>
        <v/>
      </c>
      <c r="AR181" s="90" t="str">
        <f aca="false">IF(AQ181="","",ROUND(AQ181*(1+Справочники!$B$12),0))</f>
        <v/>
      </c>
      <c r="AS181" s="90" t="str">
        <f aca="false">IF(AR181="","",ROUND(AR181*(1-Справочники!$B$11),0))</f>
        <v/>
      </c>
      <c r="AT181" s="88"/>
      <c r="AU181" s="90" t="str">
        <f aca="false">IF(AT181="","",ROUND(AT181/(1+Справочники!$B$12),0))</f>
        <v/>
      </c>
      <c r="AV181" s="90" t="str">
        <f aca="false">IF(AT181="","",ROUND(AT181*(1-Справочники!$B$15),0))</f>
        <v/>
      </c>
      <c r="AW181" s="90" t="str">
        <f aca="false">IF(AT181="","",ROUND(AT181*(1-Справочники!$B$16),0))</f>
        <v/>
      </c>
      <c r="AX181" s="90" t="str">
        <f aca="false">IF(AT181="","",ROUND(AT181*(1-Справочники!$B$17),0))</f>
        <v/>
      </c>
      <c r="AY181" s="90" t="str">
        <f aca="false">IF(AT181="","",ROUND(AT181*(1-Справочники!$B$18),0))</f>
        <v/>
      </c>
      <c r="AZ181" s="90" t="str">
        <f aca="false">IF(AT181="","",ROUND(AT181*(1-Справочники!$B$19),0))</f>
        <v/>
      </c>
      <c r="BA181" s="81"/>
      <c r="BB181" s="81"/>
      <c r="BC181" s="81"/>
      <c r="BD181" s="81"/>
      <c r="BE181" s="91"/>
      <c r="BF181" s="81" t="s">
        <v>103</v>
      </c>
      <c r="BG181" s="89" t="n">
        <f aca="false" t="array" ref="BG181:BG181">IF(BF181="","",IFERROR(INDEX(Справочники!$B$4:$B$7,MATCH(BF181,Справочники!$A$4:$A$7,0)),""))</f>
        <v>68.5</v>
      </c>
      <c r="BH181" s="90" t="str">
        <f aca="false">IF(N(BN181)&gt;0,ROUND(SUMIF(ЗАКАЗЫ!$F$3:$F$500,$A181,ЗАКАЗЫ!$Y$3:$Y$500)/BN181,0),IF(OR(BE181="",BG181=""),"",ROUND(BE181*BG181*(1+Справочники!$B$10),0)))</f>
        <v/>
      </c>
      <c r="BI181" s="92" t="str">
        <f aca="false">IF(OR(AU181="",BH181="",AU181=0),"",(AU181-BH181)/AU181)</f>
        <v/>
      </c>
      <c r="BJ181" s="81"/>
      <c r="BK181" s="83"/>
      <c r="BL181" s="43" t="str">
        <f aca="false">IFERROR(INDEX(ЗАКАЗЫ!$N$3:$N$500,MATCH($A181,ЗАКАЗЫ!$F$3:$F$500,0)),"")</f>
        <v/>
      </c>
      <c r="BM181" s="8" t="str">
        <f aca="false">IF(BL181="","",IFERROR(VLOOKUP(BL181,'ТН ВЭД'!$A$4:$C$40,3,0),""))</f>
        <v/>
      </c>
      <c r="BN181" s="7" t="str">
        <f aca="false">IF(COUNTIF(ЗАКАЗЫ!$F$3:$F$500,$A181)=0,"",SUMIF(ЗАКАЗЫ!$F$3:$F$500,$A181,ЗАКАЗЫ!$J$3:$J$500))</f>
        <v/>
      </c>
      <c r="BO181" s="7" t="str">
        <f aca="false">IF(BN181="","",SUMIF(ЗАКАЗЫ!$F$3:$F$500,$A181,ЗАКАЗЫ!$AL$3:$AL$500))</f>
        <v/>
      </c>
      <c r="BP181" s="7" t="str">
        <f aca="false">IF(BN181="","",BN181-BO181)</f>
        <v/>
      </c>
      <c r="BQ181" s="55" t="str">
        <f aca="false">IF(BN181="","",IF(BO181&gt;=BN181,"На складе",IF(BO181&gt;0,"Частично","Ждём")))</f>
        <v/>
      </c>
      <c r="BR181" s="43"/>
      <c r="BS181" s="47" t="str">
        <f aca="false">IF(BN181="","",IF(_xlfn.MAXIFS(ЗАКАЗЫ!$AK$3:$AK$500,ЗАКАЗЫ!$F$3:$F$500,$A181)=0,"",_xlfn.MAXIFS(ЗАКАЗЫ!$AK$3:$AK$500,ЗАКАЗЫ!$F$3:$F$500,$A181)))</f>
        <v/>
      </c>
    </row>
    <row r="182" customFormat="false" ht="15.75" hidden="false" customHeight="true" outlineLevel="0" collapsed="false">
      <c r="A182" s="80" t="s">
        <v>2722</v>
      </c>
      <c r="B182" s="81"/>
      <c r="C182" s="81"/>
      <c r="D182" s="81"/>
      <c r="E182" s="83"/>
      <c r="F182" s="81"/>
      <c r="G182" s="83"/>
      <c r="H182" s="83"/>
      <c r="I182" s="84" t="str">
        <f aca="false">IF(E182="","",A182&amp;"_1.jpg")</f>
        <v/>
      </c>
      <c r="J182" s="84" t="str">
        <f aca="false">IF(E182="","",A182&amp;"_2.jpg; "&amp;A182&amp;"_3.jpg")</f>
        <v/>
      </c>
      <c r="K182" s="84" t="str">
        <f aca="false">IF(E182="","",A182&amp;"_schema.jpg")</f>
        <v/>
      </c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 t="s">
        <v>96</v>
      </c>
      <c r="W182" s="81"/>
      <c r="X182" s="81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6" t="str">
        <f aca="false">IF(SUM(Y182:AJ182)=0,"",SUM(Y182:AJ182))</f>
        <v/>
      </c>
      <c r="AL182" s="84" t="str">
        <f aca="false">MID(IF(N(Y182)&gt;0,", "&amp;Y$2,"")&amp;IF(N(Z182)&gt;0,", "&amp;Z$2,"")&amp;IF(N(AA182)&gt;0,", "&amp;AA$2,"")&amp;IF(N(AB182)&gt;0,", "&amp;AB$2,"")&amp;IF(N(AC182)&gt;0,", "&amp;AC$2,"")&amp;IF(N(AD182)&gt;0,", "&amp;AD$2,"")&amp;IF(N(AE182)&gt;0,", "&amp;AE$2,"")&amp;IF(N(AF182)&gt;0,", "&amp;AF$2,"")&amp;IF(N(AG182)&gt;0,", "&amp;AG$2,"")&amp;IF(N(AH182)&gt;0,", "&amp;AH$2,"")&amp;IF(N(AI182)&gt;0,", "&amp;AI$2,"")&amp;IF(N(AJ182)&gt;0,", "&amp;AJ$2,""),3,999)</f>
        <v/>
      </c>
      <c r="AM182" s="87" t="str">
        <f aca="false">IF(E182="","",MID(IF(N(Y182)&gt;0,", "&amp;A182&amp;"-"&amp;Y$2,"")&amp;IF(N(Z182)&gt;0,", "&amp;A182&amp;"-"&amp;Z$2,"")&amp;IF(N(AA182)&gt;0,", "&amp;A182&amp;"-"&amp;AA$2,"")&amp;IF(N(AB182)&gt;0,", "&amp;A182&amp;"-"&amp;AB$2,"")&amp;IF(N(AC182)&gt;0,", "&amp;A182&amp;"-"&amp;AC$2,"")&amp;IF(N(AD182)&gt;0,", "&amp;A182&amp;"-"&amp;AD$2,"")&amp;IF(N(AE182)&gt;0,", "&amp;A182&amp;"-"&amp;AE$2,"")&amp;IF(N(AF182)&gt;0,", "&amp;A182&amp;"-"&amp;AF$2,"")&amp;IF(N(AG182)&gt;0,", "&amp;A182&amp;"-"&amp;AG$2,"")&amp;IF(N(AH182)&gt;0,", "&amp;A182&amp;"-"&amp;AH$2,"")&amp;IF(N(AI182)&gt;0,", "&amp;A182&amp;"-"&amp;AI$2,"")&amp;IF(N(AJ182)&gt;0,", "&amp;A182&amp;"-"&amp;AJ$2,""),3,999))</f>
        <v/>
      </c>
      <c r="AN182" s="81"/>
      <c r="AO182" s="88"/>
      <c r="AP182" s="89" t="str">
        <f aca="false">IF(AO182="","",ROUND(AO182/(1+Справочники!$B$13),2))</f>
        <v/>
      </c>
      <c r="AQ182" s="90" t="str">
        <f aca="false" t="array" ref="AQ182:AQ182">IF(AP182="","",AP182*INDEX(Справочники!$B$4:$B$7,MATCH("RUB",Справочники!$A$4:$A$7,0)))</f>
        <v/>
      </c>
      <c r="AR182" s="90" t="str">
        <f aca="false">IF(AQ182="","",ROUND(AQ182*(1+Справочники!$B$12),0))</f>
        <v/>
      </c>
      <c r="AS182" s="90" t="str">
        <f aca="false">IF(AR182="","",ROUND(AR182*(1-Справочники!$B$11),0))</f>
        <v/>
      </c>
      <c r="AT182" s="88"/>
      <c r="AU182" s="90" t="str">
        <f aca="false">IF(AT182="","",ROUND(AT182/(1+Справочники!$B$12),0))</f>
        <v/>
      </c>
      <c r="AV182" s="90" t="str">
        <f aca="false">IF(AT182="","",ROUND(AT182*(1-Справочники!$B$15),0))</f>
        <v/>
      </c>
      <c r="AW182" s="90" t="str">
        <f aca="false">IF(AT182="","",ROUND(AT182*(1-Справочники!$B$16),0))</f>
        <v/>
      </c>
      <c r="AX182" s="90" t="str">
        <f aca="false">IF(AT182="","",ROUND(AT182*(1-Справочники!$B$17),0))</f>
        <v/>
      </c>
      <c r="AY182" s="90" t="str">
        <f aca="false">IF(AT182="","",ROUND(AT182*(1-Справочники!$B$18),0))</f>
        <v/>
      </c>
      <c r="AZ182" s="90" t="str">
        <f aca="false">IF(AT182="","",ROUND(AT182*(1-Справочники!$B$19),0))</f>
        <v/>
      </c>
      <c r="BA182" s="81"/>
      <c r="BB182" s="81"/>
      <c r="BC182" s="81"/>
      <c r="BD182" s="81"/>
      <c r="BE182" s="91"/>
      <c r="BF182" s="81" t="s">
        <v>103</v>
      </c>
      <c r="BG182" s="89" t="n">
        <f aca="false" t="array" ref="BG182:BG182">IF(BF182="","",IFERROR(INDEX(Справочники!$B$4:$B$7,MATCH(BF182,Справочники!$A$4:$A$7,0)),""))</f>
        <v>68.5</v>
      </c>
      <c r="BH182" s="90" t="str">
        <f aca="false">IF(N(BN182)&gt;0,ROUND(SUMIF(ЗАКАЗЫ!$F$3:$F$500,$A182,ЗАКАЗЫ!$Y$3:$Y$500)/BN182,0),IF(OR(BE182="",BG182=""),"",ROUND(BE182*BG182*(1+Справочники!$B$10),0)))</f>
        <v/>
      </c>
      <c r="BI182" s="92" t="str">
        <f aca="false">IF(OR(AU182="",BH182="",AU182=0),"",(AU182-BH182)/AU182)</f>
        <v/>
      </c>
      <c r="BJ182" s="81"/>
      <c r="BK182" s="83"/>
      <c r="BL182" s="43" t="str">
        <f aca="false">IFERROR(INDEX(ЗАКАЗЫ!$N$3:$N$500,MATCH($A182,ЗАКАЗЫ!$F$3:$F$500,0)),"")</f>
        <v/>
      </c>
      <c r="BM182" s="8" t="str">
        <f aca="false">IF(BL182="","",IFERROR(VLOOKUP(BL182,'ТН ВЭД'!$A$4:$C$40,3,0),""))</f>
        <v/>
      </c>
      <c r="BN182" s="7" t="str">
        <f aca="false">IF(COUNTIF(ЗАКАЗЫ!$F$3:$F$500,$A182)=0,"",SUMIF(ЗАКАЗЫ!$F$3:$F$500,$A182,ЗАКАЗЫ!$J$3:$J$500))</f>
        <v/>
      </c>
      <c r="BO182" s="7" t="str">
        <f aca="false">IF(BN182="","",SUMIF(ЗАКАЗЫ!$F$3:$F$500,$A182,ЗАКАЗЫ!$AL$3:$AL$500))</f>
        <v/>
      </c>
      <c r="BP182" s="7" t="str">
        <f aca="false">IF(BN182="","",BN182-BO182)</f>
        <v/>
      </c>
      <c r="BQ182" s="55" t="str">
        <f aca="false">IF(BN182="","",IF(BO182&gt;=BN182,"На складе",IF(BO182&gt;0,"Частично","Ждём")))</f>
        <v/>
      </c>
      <c r="BR182" s="43"/>
      <c r="BS182" s="47" t="str">
        <f aca="false">IF(BN182="","",IF(_xlfn.MAXIFS(ЗАКАЗЫ!$AK$3:$AK$500,ЗАКАЗЫ!$F$3:$F$500,$A182)=0,"",_xlfn.MAXIFS(ЗАКАЗЫ!$AK$3:$AK$500,ЗАКАЗЫ!$F$3:$F$500,$A182)))</f>
        <v/>
      </c>
    </row>
    <row r="183" customFormat="false" ht="15.75" hidden="false" customHeight="true" outlineLevel="0" collapsed="false">
      <c r="A183" s="80" t="s">
        <v>2723</v>
      </c>
      <c r="B183" s="81"/>
      <c r="C183" s="81"/>
      <c r="D183" s="81"/>
      <c r="E183" s="83"/>
      <c r="F183" s="81"/>
      <c r="G183" s="83"/>
      <c r="H183" s="83"/>
      <c r="I183" s="84" t="str">
        <f aca="false">IF(E183="","",A183&amp;"_1.jpg")</f>
        <v/>
      </c>
      <c r="J183" s="84" t="str">
        <f aca="false">IF(E183="","",A183&amp;"_2.jpg; "&amp;A183&amp;"_3.jpg")</f>
        <v/>
      </c>
      <c r="K183" s="84" t="str">
        <f aca="false">IF(E183="","",A183&amp;"_schema.jpg")</f>
        <v/>
      </c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 t="s">
        <v>96</v>
      </c>
      <c r="W183" s="81"/>
      <c r="X183" s="81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6" t="str">
        <f aca="false">IF(SUM(Y183:AJ183)=0,"",SUM(Y183:AJ183))</f>
        <v/>
      </c>
      <c r="AL183" s="84" t="str">
        <f aca="false">MID(IF(N(Y183)&gt;0,", "&amp;Y$2,"")&amp;IF(N(Z183)&gt;0,", "&amp;Z$2,"")&amp;IF(N(AA183)&gt;0,", "&amp;AA$2,"")&amp;IF(N(AB183)&gt;0,", "&amp;AB$2,"")&amp;IF(N(AC183)&gt;0,", "&amp;AC$2,"")&amp;IF(N(AD183)&gt;0,", "&amp;AD$2,"")&amp;IF(N(AE183)&gt;0,", "&amp;AE$2,"")&amp;IF(N(AF183)&gt;0,", "&amp;AF$2,"")&amp;IF(N(AG183)&gt;0,", "&amp;AG$2,"")&amp;IF(N(AH183)&gt;0,", "&amp;AH$2,"")&amp;IF(N(AI183)&gt;0,", "&amp;AI$2,"")&amp;IF(N(AJ183)&gt;0,", "&amp;AJ$2,""),3,999)</f>
        <v/>
      </c>
      <c r="AM183" s="87" t="str">
        <f aca="false">IF(E183="","",MID(IF(N(Y183)&gt;0,", "&amp;A183&amp;"-"&amp;Y$2,"")&amp;IF(N(Z183)&gt;0,", "&amp;A183&amp;"-"&amp;Z$2,"")&amp;IF(N(AA183)&gt;0,", "&amp;A183&amp;"-"&amp;AA$2,"")&amp;IF(N(AB183)&gt;0,", "&amp;A183&amp;"-"&amp;AB$2,"")&amp;IF(N(AC183)&gt;0,", "&amp;A183&amp;"-"&amp;AC$2,"")&amp;IF(N(AD183)&gt;0,", "&amp;A183&amp;"-"&amp;AD$2,"")&amp;IF(N(AE183)&gt;0,", "&amp;A183&amp;"-"&amp;AE$2,"")&amp;IF(N(AF183)&gt;0,", "&amp;A183&amp;"-"&amp;AF$2,"")&amp;IF(N(AG183)&gt;0,", "&amp;A183&amp;"-"&amp;AG$2,"")&amp;IF(N(AH183)&gt;0,", "&amp;A183&amp;"-"&amp;AH$2,"")&amp;IF(N(AI183)&gt;0,", "&amp;A183&amp;"-"&amp;AI$2,"")&amp;IF(N(AJ183)&gt;0,", "&amp;A183&amp;"-"&amp;AJ$2,""),3,999))</f>
        <v/>
      </c>
      <c r="AN183" s="81"/>
      <c r="AO183" s="88"/>
      <c r="AP183" s="89" t="str">
        <f aca="false">IF(AO183="","",ROUND(AO183/(1+Справочники!$B$13),2))</f>
        <v/>
      </c>
      <c r="AQ183" s="90" t="str">
        <f aca="false" t="array" ref="AQ183:AQ183">IF(AP183="","",AP183*INDEX(Справочники!$B$4:$B$7,MATCH("RUB",Справочники!$A$4:$A$7,0)))</f>
        <v/>
      </c>
      <c r="AR183" s="90" t="str">
        <f aca="false">IF(AQ183="","",ROUND(AQ183*(1+Справочники!$B$12),0))</f>
        <v/>
      </c>
      <c r="AS183" s="90" t="str">
        <f aca="false">IF(AR183="","",ROUND(AR183*(1-Справочники!$B$11),0))</f>
        <v/>
      </c>
      <c r="AT183" s="88"/>
      <c r="AU183" s="90" t="str">
        <f aca="false">IF(AT183="","",ROUND(AT183/(1+Справочники!$B$12),0))</f>
        <v/>
      </c>
      <c r="AV183" s="90" t="str">
        <f aca="false">IF(AT183="","",ROUND(AT183*(1-Справочники!$B$15),0))</f>
        <v/>
      </c>
      <c r="AW183" s="90" t="str">
        <f aca="false">IF(AT183="","",ROUND(AT183*(1-Справочники!$B$16),0))</f>
        <v/>
      </c>
      <c r="AX183" s="90" t="str">
        <f aca="false">IF(AT183="","",ROUND(AT183*(1-Справочники!$B$17),0))</f>
        <v/>
      </c>
      <c r="AY183" s="90" t="str">
        <f aca="false">IF(AT183="","",ROUND(AT183*(1-Справочники!$B$18),0))</f>
        <v/>
      </c>
      <c r="AZ183" s="90" t="str">
        <f aca="false">IF(AT183="","",ROUND(AT183*(1-Справочники!$B$19),0))</f>
        <v/>
      </c>
      <c r="BA183" s="81"/>
      <c r="BB183" s="81"/>
      <c r="BC183" s="81"/>
      <c r="BD183" s="81"/>
      <c r="BE183" s="91"/>
      <c r="BF183" s="81" t="s">
        <v>103</v>
      </c>
      <c r="BG183" s="89" t="n">
        <f aca="false" t="array" ref="BG183:BG183">IF(BF183="","",IFERROR(INDEX(Справочники!$B$4:$B$7,MATCH(BF183,Справочники!$A$4:$A$7,0)),""))</f>
        <v>68.5</v>
      </c>
      <c r="BH183" s="90" t="str">
        <f aca="false">IF(N(BN183)&gt;0,ROUND(SUMIF(ЗАКАЗЫ!$F$3:$F$500,$A183,ЗАКАЗЫ!$Y$3:$Y$500)/BN183,0),IF(OR(BE183="",BG183=""),"",ROUND(BE183*BG183*(1+Справочники!$B$10),0)))</f>
        <v/>
      </c>
      <c r="BI183" s="92" t="str">
        <f aca="false">IF(OR(AU183="",BH183="",AU183=0),"",(AU183-BH183)/AU183)</f>
        <v/>
      </c>
      <c r="BJ183" s="81"/>
      <c r="BK183" s="83"/>
      <c r="BL183" s="43" t="str">
        <f aca="false">IFERROR(INDEX(ЗАКАЗЫ!$N$3:$N$500,MATCH($A183,ЗАКАЗЫ!$F$3:$F$500,0)),"")</f>
        <v/>
      </c>
      <c r="BM183" s="8" t="str">
        <f aca="false">IF(BL183="","",IFERROR(VLOOKUP(BL183,'ТН ВЭД'!$A$4:$C$40,3,0),""))</f>
        <v/>
      </c>
      <c r="BN183" s="7" t="str">
        <f aca="false">IF(COUNTIF(ЗАКАЗЫ!$F$3:$F$500,$A183)=0,"",SUMIF(ЗАКАЗЫ!$F$3:$F$500,$A183,ЗАКАЗЫ!$J$3:$J$500))</f>
        <v/>
      </c>
      <c r="BO183" s="7" t="str">
        <f aca="false">IF(BN183="","",SUMIF(ЗАКАЗЫ!$F$3:$F$500,$A183,ЗАКАЗЫ!$AL$3:$AL$500))</f>
        <v/>
      </c>
      <c r="BP183" s="7" t="str">
        <f aca="false">IF(BN183="","",BN183-BO183)</f>
        <v/>
      </c>
      <c r="BQ183" s="55" t="str">
        <f aca="false">IF(BN183="","",IF(BO183&gt;=BN183,"На складе",IF(BO183&gt;0,"Частично","Ждём")))</f>
        <v/>
      </c>
      <c r="BR183" s="43"/>
      <c r="BS183" s="47" t="str">
        <f aca="false">IF(BN183="","",IF(_xlfn.MAXIFS(ЗАКАЗЫ!$AK$3:$AK$500,ЗАКАЗЫ!$F$3:$F$500,$A183)=0,"",_xlfn.MAXIFS(ЗАКАЗЫ!$AK$3:$AK$500,ЗАКАЗЫ!$F$3:$F$500,$A183)))</f>
        <v/>
      </c>
    </row>
    <row r="184" customFormat="false" ht="15.75" hidden="false" customHeight="true" outlineLevel="0" collapsed="false">
      <c r="A184" s="80" t="s">
        <v>2724</v>
      </c>
      <c r="B184" s="81"/>
      <c r="C184" s="81"/>
      <c r="D184" s="81"/>
      <c r="E184" s="83"/>
      <c r="F184" s="81"/>
      <c r="G184" s="83"/>
      <c r="H184" s="83"/>
      <c r="I184" s="84" t="str">
        <f aca="false">IF(E184="","",A184&amp;"_1.jpg")</f>
        <v/>
      </c>
      <c r="J184" s="84" t="str">
        <f aca="false">IF(E184="","",A184&amp;"_2.jpg; "&amp;A184&amp;"_3.jpg")</f>
        <v/>
      </c>
      <c r="K184" s="84" t="str">
        <f aca="false">IF(E184="","",A184&amp;"_schema.jpg")</f>
        <v/>
      </c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 t="s">
        <v>96</v>
      </c>
      <c r="W184" s="81"/>
      <c r="X184" s="81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6" t="str">
        <f aca="false">IF(SUM(Y184:AJ184)=0,"",SUM(Y184:AJ184))</f>
        <v/>
      </c>
      <c r="AL184" s="84" t="str">
        <f aca="false">MID(IF(N(Y184)&gt;0,", "&amp;Y$2,"")&amp;IF(N(Z184)&gt;0,", "&amp;Z$2,"")&amp;IF(N(AA184)&gt;0,", "&amp;AA$2,"")&amp;IF(N(AB184)&gt;0,", "&amp;AB$2,"")&amp;IF(N(AC184)&gt;0,", "&amp;AC$2,"")&amp;IF(N(AD184)&gt;0,", "&amp;AD$2,"")&amp;IF(N(AE184)&gt;0,", "&amp;AE$2,"")&amp;IF(N(AF184)&gt;0,", "&amp;AF$2,"")&amp;IF(N(AG184)&gt;0,", "&amp;AG$2,"")&amp;IF(N(AH184)&gt;0,", "&amp;AH$2,"")&amp;IF(N(AI184)&gt;0,", "&amp;AI$2,"")&amp;IF(N(AJ184)&gt;0,", "&amp;AJ$2,""),3,999)</f>
        <v/>
      </c>
      <c r="AM184" s="87" t="str">
        <f aca="false">IF(E184="","",MID(IF(N(Y184)&gt;0,", "&amp;A184&amp;"-"&amp;Y$2,"")&amp;IF(N(Z184)&gt;0,", "&amp;A184&amp;"-"&amp;Z$2,"")&amp;IF(N(AA184)&gt;0,", "&amp;A184&amp;"-"&amp;AA$2,"")&amp;IF(N(AB184)&gt;0,", "&amp;A184&amp;"-"&amp;AB$2,"")&amp;IF(N(AC184)&gt;0,", "&amp;A184&amp;"-"&amp;AC$2,"")&amp;IF(N(AD184)&gt;0,", "&amp;A184&amp;"-"&amp;AD$2,"")&amp;IF(N(AE184)&gt;0,", "&amp;A184&amp;"-"&amp;AE$2,"")&amp;IF(N(AF184)&gt;0,", "&amp;A184&amp;"-"&amp;AF$2,"")&amp;IF(N(AG184)&gt;0,", "&amp;A184&amp;"-"&amp;AG$2,"")&amp;IF(N(AH184)&gt;0,", "&amp;A184&amp;"-"&amp;AH$2,"")&amp;IF(N(AI184)&gt;0,", "&amp;A184&amp;"-"&amp;AI$2,"")&amp;IF(N(AJ184)&gt;0,", "&amp;A184&amp;"-"&amp;AJ$2,""),3,999))</f>
        <v/>
      </c>
      <c r="AN184" s="81"/>
      <c r="AO184" s="88"/>
      <c r="AP184" s="89" t="str">
        <f aca="false">IF(AO184="","",ROUND(AO184/(1+Справочники!$B$13),2))</f>
        <v/>
      </c>
      <c r="AQ184" s="90" t="str">
        <f aca="false" t="array" ref="AQ184:AQ184">IF(AP184="","",AP184*INDEX(Справочники!$B$4:$B$7,MATCH("RUB",Справочники!$A$4:$A$7,0)))</f>
        <v/>
      </c>
      <c r="AR184" s="90" t="str">
        <f aca="false">IF(AQ184="","",ROUND(AQ184*(1+Справочники!$B$12),0))</f>
        <v/>
      </c>
      <c r="AS184" s="90" t="str">
        <f aca="false">IF(AR184="","",ROUND(AR184*(1-Справочники!$B$11),0))</f>
        <v/>
      </c>
      <c r="AT184" s="88"/>
      <c r="AU184" s="90" t="str">
        <f aca="false">IF(AT184="","",ROUND(AT184/(1+Справочники!$B$12),0))</f>
        <v/>
      </c>
      <c r="AV184" s="90" t="str">
        <f aca="false">IF(AT184="","",ROUND(AT184*(1-Справочники!$B$15),0))</f>
        <v/>
      </c>
      <c r="AW184" s="90" t="str">
        <f aca="false">IF(AT184="","",ROUND(AT184*(1-Справочники!$B$16),0))</f>
        <v/>
      </c>
      <c r="AX184" s="90" t="str">
        <f aca="false">IF(AT184="","",ROUND(AT184*(1-Справочники!$B$17),0))</f>
        <v/>
      </c>
      <c r="AY184" s="90" t="str">
        <f aca="false">IF(AT184="","",ROUND(AT184*(1-Справочники!$B$18),0))</f>
        <v/>
      </c>
      <c r="AZ184" s="90" t="str">
        <f aca="false">IF(AT184="","",ROUND(AT184*(1-Справочники!$B$19),0))</f>
        <v/>
      </c>
      <c r="BA184" s="81"/>
      <c r="BB184" s="81"/>
      <c r="BC184" s="81"/>
      <c r="BD184" s="81"/>
      <c r="BE184" s="91"/>
      <c r="BF184" s="81" t="s">
        <v>103</v>
      </c>
      <c r="BG184" s="89" t="n">
        <f aca="false" t="array" ref="BG184:BG184">IF(BF184="","",IFERROR(INDEX(Справочники!$B$4:$B$7,MATCH(BF184,Справочники!$A$4:$A$7,0)),""))</f>
        <v>68.5</v>
      </c>
      <c r="BH184" s="90" t="str">
        <f aca="false">IF(N(BN184)&gt;0,ROUND(SUMIF(ЗАКАЗЫ!$F$3:$F$500,$A184,ЗАКАЗЫ!$Y$3:$Y$500)/BN184,0),IF(OR(BE184="",BG184=""),"",ROUND(BE184*BG184*(1+Справочники!$B$10),0)))</f>
        <v/>
      </c>
      <c r="BI184" s="92" t="str">
        <f aca="false">IF(OR(AU184="",BH184="",AU184=0),"",(AU184-BH184)/AU184)</f>
        <v/>
      </c>
      <c r="BJ184" s="81"/>
      <c r="BK184" s="83"/>
      <c r="BL184" s="43" t="str">
        <f aca="false">IFERROR(INDEX(ЗАКАЗЫ!$N$3:$N$500,MATCH($A184,ЗАКАЗЫ!$F$3:$F$500,0)),"")</f>
        <v/>
      </c>
      <c r="BM184" s="8" t="str">
        <f aca="false">IF(BL184="","",IFERROR(VLOOKUP(BL184,'ТН ВЭД'!$A$4:$C$40,3,0),""))</f>
        <v/>
      </c>
      <c r="BN184" s="7" t="str">
        <f aca="false">IF(COUNTIF(ЗАКАЗЫ!$F$3:$F$500,$A184)=0,"",SUMIF(ЗАКАЗЫ!$F$3:$F$500,$A184,ЗАКАЗЫ!$J$3:$J$500))</f>
        <v/>
      </c>
      <c r="BO184" s="7" t="str">
        <f aca="false">IF(BN184="","",SUMIF(ЗАКАЗЫ!$F$3:$F$500,$A184,ЗАКАЗЫ!$AL$3:$AL$500))</f>
        <v/>
      </c>
      <c r="BP184" s="7" t="str">
        <f aca="false">IF(BN184="","",BN184-BO184)</f>
        <v/>
      </c>
      <c r="BQ184" s="55" t="str">
        <f aca="false">IF(BN184="","",IF(BO184&gt;=BN184,"На складе",IF(BO184&gt;0,"Частично","Ждём")))</f>
        <v/>
      </c>
      <c r="BR184" s="43"/>
      <c r="BS184" s="47" t="str">
        <f aca="false">IF(BN184="","",IF(_xlfn.MAXIFS(ЗАКАЗЫ!$AK$3:$AK$500,ЗАКАЗЫ!$F$3:$F$500,$A184)=0,"",_xlfn.MAXIFS(ЗАКАЗЫ!$AK$3:$AK$500,ЗАКАЗЫ!$F$3:$F$500,$A184)))</f>
        <v/>
      </c>
    </row>
    <row r="185" customFormat="false" ht="15.75" hidden="false" customHeight="true" outlineLevel="0" collapsed="false">
      <c r="A185" s="80" t="s">
        <v>2725</v>
      </c>
      <c r="B185" s="81"/>
      <c r="C185" s="81"/>
      <c r="D185" s="81"/>
      <c r="E185" s="83"/>
      <c r="F185" s="81"/>
      <c r="G185" s="83"/>
      <c r="H185" s="83"/>
      <c r="I185" s="84" t="str">
        <f aca="false">IF(E185="","",A185&amp;"_1.jpg")</f>
        <v/>
      </c>
      <c r="J185" s="84" t="str">
        <f aca="false">IF(E185="","",A185&amp;"_2.jpg; "&amp;A185&amp;"_3.jpg")</f>
        <v/>
      </c>
      <c r="K185" s="84" t="str">
        <f aca="false">IF(E185="","",A185&amp;"_schema.jpg")</f>
        <v/>
      </c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 t="s">
        <v>96</v>
      </c>
      <c r="W185" s="81"/>
      <c r="X185" s="81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6" t="str">
        <f aca="false">IF(SUM(Y185:AJ185)=0,"",SUM(Y185:AJ185))</f>
        <v/>
      </c>
      <c r="AL185" s="84" t="str">
        <f aca="false">MID(IF(N(Y185)&gt;0,", "&amp;Y$2,"")&amp;IF(N(Z185)&gt;0,", "&amp;Z$2,"")&amp;IF(N(AA185)&gt;0,", "&amp;AA$2,"")&amp;IF(N(AB185)&gt;0,", "&amp;AB$2,"")&amp;IF(N(AC185)&gt;0,", "&amp;AC$2,"")&amp;IF(N(AD185)&gt;0,", "&amp;AD$2,"")&amp;IF(N(AE185)&gt;0,", "&amp;AE$2,"")&amp;IF(N(AF185)&gt;0,", "&amp;AF$2,"")&amp;IF(N(AG185)&gt;0,", "&amp;AG$2,"")&amp;IF(N(AH185)&gt;0,", "&amp;AH$2,"")&amp;IF(N(AI185)&gt;0,", "&amp;AI$2,"")&amp;IF(N(AJ185)&gt;0,", "&amp;AJ$2,""),3,999)</f>
        <v/>
      </c>
      <c r="AM185" s="87" t="str">
        <f aca="false">IF(E185="","",MID(IF(N(Y185)&gt;0,", "&amp;A185&amp;"-"&amp;Y$2,"")&amp;IF(N(Z185)&gt;0,", "&amp;A185&amp;"-"&amp;Z$2,"")&amp;IF(N(AA185)&gt;0,", "&amp;A185&amp;"-"&amp;AA$2,"")&amp;IF(N(AB185)&gt;0,", "&amp;A185&amp;"-"&amp;AB$2,"")&amp;IF(N(AC185)&gt;0,", "&amp;A185&amp;"-"&amp;AC$2,"")&amp;IF(N(AD185)&gt;0,", "&amp;A185&amp;"-"&amp;AD$2,"")&amp;IF(N(AE185)&gt;0,", "&amp;A185&amp;"-"&amp;AE$2,"")&amp;IF(N(AF185)&gt;0,", "&amp;A185&amp;"-"&amp;AF$2,"")&amp;IF(N(AG185)&gt;0,", "&amp;A185&amp;"-"&amp;AG$2,"")&amp;IF(N(AH185)&gt;0,", "&amp;A185&amp;"-"&amp;AH$2,"")&amp;IF(N(AI185)&gt;0,", "&amp;A185&amp;"-"&amp;AI$2,"")&amp;IF(N(AJ185)&gt;0,", "&amp;A185&amp;"-"&amp;AJ$2,""),3,999))</f>
        <v/>
      </c>
      <c r="AN185" s="81"/>
      <c r="AO185" s="88"/>
      <c r="AP185" s="89" t="str">
        <f aca="false">IF(AO185="","",ROUND(AO185/(1+Справочники!$B$13),2))</f>
        <v/>
      </c>
      <c r="AQ185" s="90" t="str">
        <f aca="false" t="array" ref="AQ185:AQ185">IF(AP185="","",AP185*INDEX(Справочники!$B$4:$B$7,MATCH("RUB",Справочники!$A$4:$A$7,0)))</f>
        <v/>
      </c>
      <c r="AR185" s="90" t="str">
        <f aca="false">IF(AQ185="","",ROUND(AQ185*(1+Справочники!$B$12),0))</f>
        <v/>
      </c>
      <c r="AS185" s="90" t="str">
        <f aca="false">IF(AR185="","",ROUND(AR185*(1-Справочники!$B$11),0))</f>
        <v/>
      </c>
      <c r="AT185" s="88"/>
      <c r="AU185" s="90" t="str">
        <f aca="false">IF(AT185="","",ROUND(AT185/(1+Справочники!$B$12),0))</f>
        <v/>
      </c>
      <c r="AV185" s="90" t="str">
        <f aca="false">IF(AT185="","",ROUND(AT185*(1-Справочники!$B$15),0))</f>
        <v/>
      </c>
      <c r="AW185" s="90" t="str">
        <f aca="false">IF(AT185="","",ROUND(AT185*(1-Справочники!$B$16),0))</f>
        <v/>
      </c>
      <c r="AX185" s="90" t="str">
        <f aca="false">IF(AT185="","",ROUND(AT185*(1-Справочники!$B$17),0))</f>
        <v/>
      </c>
      <c r="AY185" s="90" t="str">
        <f aca="false">IF(AT185="","",ROUND(AT185*(1-Справочники!$B$18),0))</f>
        <v/>
      </c>
      <c r="AZ185" s="90" t="str">
        <f aca="false">IF(AT185="","",ROUND(AT185*(1-Справочники!$B$19),0))</f>
        <v/>
      </c>
      <c r="BA185" s="81"/>
      <c r="BB185" s="81"/>
      <c r="BC185" s="81"/>
      <c r="BD185" s="81"/>
      <c r="BE185" s="91"/>
      <c r="BF185" s="81" t="s">
        <v>103</v>
      </c>
      <c r="BG185" s="89" t="n">
        <f aca="false" t="array" ref="BG185:BG185">IF(BF185="","",IFERROR(INDEX(Справочники!$B$4:$B$7,MATCH(BF185,Справочники!$A$4:$A$7,0)),""))</f>
        <v>68.5</v>
      </c>
      <c r="BH185" s="90" t="str">
        <f aca="false">IF(N(BN185)&gt;0,ROUND(SUMIF(ЗАКАЗЫ!$F$3:$F$500,$A185,ЗАКАЗЫ!$Y$3:$Y$500)/BN185,0),IF(OR(BE185="",BG185=""),"",ROUND(BE185*BG185*(1+Справочники!$B$10),0)))</f>
        <v/>
      </c>
      <c r="BI185" s="92" t="str">
        <f aca="false">IF(OR(AU185="",BH185="",AU185=0),"",(AU185-BH185)/AU185)</f>
        <v/>
      </c>
      <c r="BJ185" s="81"/>
      <c r="BK185" s="83"/>
      <c r="BL185" s="43" t="str">
        <f aca="false">IFERROR(INDEX(ЗАКАЗЫ!$N$3:$N$500,MATCH($A185,ЗАКАЗЫ!$F$3:$F$500,0)),"")</f>
        <v/>
      </c>
      <c r="BM185" s="8" t="str">
        <f aca="false">IF(BL185="","",IFERROR(VLOOKUP(BL185,'ТН ВЭД'!$A$4:$C$40,3,0),""))</f>
        <v/>
      </c>
      <c r="BN185" s="7" t="str">
        <f aca="false">IF(COUNTIF(ЗАКАЗЫ!$F$3:$F$500,$A185)=0,"",SUMIF(ЗАКАЗЫ!$F$3:$F$500,$A185,ЗАКАЗЫ!$J$3:$J$500))</f>
        <v/>
      </c>
      <c r="BO185" s="7" t="str">
        <f aca="false">IF(BN185="","",SUMIF(ЗАКАЗЫ!$F$3:$F$500,$A185,ЗАКАЗЫ!$AL$3:$AL$500))</f>
        <v/>
      </c>
      <c r="BP185" s="7" t="str">
        <f aca="false">IF(BN185="","",BN185-BO185)</f>
        <v/>
      </c>
      <c r="BQ185" s="55" t="str">
        <f aca="false">IF(BN185="","",IF(BO185&gt;=BN185,"На складе",IF(BO185&gt;0,"Частично","Ждём")))</f>
        <v/>
      </c>
      <c r="BR185" s="43"/>
      <c r="BS185" s="47" t="str">
        <f aca="false">IF(BN185="","",IF(_xlfn.MAXIFS(ЗАКАЗЫ!$AK$3:$AK$500,ЗАКАЗЫ!$F$3:$F$500,$A185)=0,"",_xlfn.MAXIFS(ЗАКАЗЫ!$AK$3:$AK$500,ЗАКАЗЫ!$F$3:$F$500,$A185)))</f>
        <v/>
      </c>
    </row>
    <row r="186" customFormat="false" ht="15.75" hidden="false" customHeight="true" outlineLevel="0" collapsed="false">
      <c r="A186" s="80" t="s">
        <v>2726</v>
      </c>
      <c r="B186" s="81"/>
      <c r="C186" s="81"/>
      <c r="D186" s="81"/>
      <c r="E186" s="83"/>
      <c r="F186" s="81"/>
      <c r="G186" s="83"/>
      <c r="H186" s="83"/>
      <c r="I186" s="84" t="str">
        <f aca="false">IF(E186="","",A186&amp;"_1.jpg")</f>
        <v/>
      </c>
      <c r="J186" s="84" t="str">
        <f aca="false">IF(E186="","",A186&amp;"_2.jpg; "&amp;A186&amp;"_3.jpg")</f>
        <v/>
      </c>
      <c r="K186" s="84" t="str">
        <f aca="false">IF(E186="","",A186&amp;"_schema.jpg")</f>
        <v/>
      </c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 t="s">
        <v>96</v>
      </c>
      <c r="W186" s="81"/>
      <c r="X186" s="81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6" t="str">
        <f aca="false">IF(SUM(Y186:AJ186)=0,"",SUM(Y186:AJ186))</f>
        <v/>
      </c>
      <c r="AL186" s="84" t="str">
        <f aca="false">MID(IF(N(Y186)&gt;0,", "&amp;Y$2,"")&amp;IF(N(Z186)&gt;0,", "&amp;Z$2,"")&amp;IF(N(AA186)&gt;0,", "&amp;AA$2,"")&amp;IF(N(AB186)&gt;0,", "&amp;AB$2,"")&amp;IF(N(AC186)&gt;0,", "&amp;AC$2,"")&amp;IF(N(AD186)&gt;0,", "&amp;AD$2,"")&amp;IF(N(AE186)&gt;0,", "&amp;AE$2,"")&amp;IF(N(AF186)&gt;0,", "&amp;AF$2,"")&amp;IF(N(AG186)&gt;0,", "&amp;AG$2,"")&amp;IF(N(AH186)&gt;0,", "&amp;AH$2,"")&amp;IF(N(AI186)&gt;0,", "&amp;AI$2,"")&amp;IF(N(AJ186)&gt;0,", "&amp;AJ$2,""),3,999)</f>
        <v/>
      </c>
      <c r="AM186" s="87" t="str">
        <f aca="false">IF(E186="","",MID(IF(N(Y186)&gt;0,", "&amp;A186&amp;"-"&amp;Y$2,"")&amp;IF(N(Z186)&gt;0,", "&amp;A186&amp;"-"&amp;Z$2,"")&amp;IF(N(AA186)&gt;0,", "&amp;A186&amp;"-"&amp;AA$2,"")&amp;IF(N(AB186)&gt;0,", "&amp;A186&amp;"-"&amp;AB$2,"")&amp;IF(N(AC186)&gt;0,", "&amp;A186&amp;"-"&amp;AC$2,"")&amp;IF(N(AD186)&gt;0,", "&amp;A186&amp;"-"&amp;AD$2,"")&amp;IF(N(AE186)&gt;0,", "&amp;A186&amp;"-"&amp;AE$2,"")&amp;IF(N(AF186)&gt;0,", "&amp;A186&amp;"-"&amp;AF$2,"")&amp;IF(N(AG186)&gt;0,", "&amp;A186&amp;"-"&amp;AG$2,"")&amp;IF(N(AH186)&gt;0,", "&amp;A186&amp;"-"&amp;AH$2,"")&amp;IF(N(AI186)&gt;0,", "&amp;A186&amp;"-"&amp;AI$2,"")&amp;IF(N(AJ186)&gt;0,", "&amp;A186&amp;"-"&amp;AJ$2,""),3,999))</f>
        <v/>
      </c>
      <c r="AN186" s="81"/>
      <c r="AO186" s="88"/>
      <c r="AP186" s="89" t="str">
        <f aca="false">IF(AO186="","",ROUND(AO186/(1+Справочники!$B$13),2))</f>
        <v/>
      </c>
      <c r="AQ186" s="90" t="str">
        <f aca="false" t="array" ref="AQ186:AQ186">IF(AP186="","",AP186*INDEX(Справочники!$B$4:$B$7,MATCH("RUB",Справочники!$A$4:$A$7,0)))</f>
        <v/>
      </c>
      <c r="AR186" s="90" t="str">
        <f aca="false">IF(AQ186="","",ROUND(AQ186*(1+Справочники!$B$12),0))</f>
        <v/>
      </c>
      <c r="AS186" s="90" t="str">
        <f aca="false">IF(AR186="","",ROUND(AR186*(1-Справочники!$B$11),0))</f>
        <v/>
      </c>
      <c r="AT186" s="88"/>
      <c r="AU186" s="90" t="str">
        <f aca="false">IF(AT186="","",ROUND(AT186/(1+Справочники!$B$12),0))</f>
        <v/>
      </c>
      <c r="AV186" s="90" t="str">
        <f aca="false">IF(AT186="","",ROUND(AT186*(1-Справочники!$B$15),0))</f>
        <v/>
      </c>
      <c r="AW186" s="90" t="str">
        <f aca="false">IF(AT186="","",ROUND(AT186*(1-Справочники!$B$16),0))</f>
        <v/>
      </c>
      <c r="AX186" s="90" t="str">
        <f aca="false">IF(AT186="","",ROUND(AT186*(1-Справочники!$B$17),0))</f>
        <v/>
      </c>
      <c r="AY186" s="90" t="str">
        <f aca="false">IF(AT186="","",ROUND(AT186*(1-Справочники!$B$18),0))</f>
        <v/>
      </c>
      <c r="AZ186" s="90" t="str">
        <f aca="false">IF(AT186="","",ROUND(AT186*(1-Справочники!$B$19),0))</f>
        <v/>
      </c>
      <c r="BA186" s="81"/>
      <c r="BB186" s="81"/>
      <c r="BC186" s="81"/>
      <c r="BD186" s="81"/>
      <c r="BE186" s="91"/>
      <c r="BF186" s="81" t="s">
        <v>103</v>
      </c>
      <c r="BG186" s="89" t="n">
        <f aca="false" t="array" ref="BG186:BG186">IF(BF186="","",IFERROR(INDEX(Справочники!$B$4:$B$7,MATCH(BF186,Справочники!$A$4:$A$7,0)),""))</f>
        <v>68.5</v>
      </c>
      <c r="BH186" s="90" t="str">
        <f aca="false">IF(N(BN186)&gt;0,ROUND(SUMIF(ЗАКАЗЫ!$F$3:$F$500,$A186,ЗАКАЗЫ!$Y$3:$Y$500)/BN186,0),IF(OR(BE186="",BG186=""),"",ROUND(BE186*BG186*(1+Справочники!$B$10),0)))</f>
        <v/>
      </c>
      <c r="BI186" s="92" t="str">
        <f aca="false">IF(OR(AU186="",BH186="",AU186=0),"",(AU186-BH186)/AU186)</f>
        <v/>
      </c>
      <c r="BJ186" s="81"/>
      <c r="BK186" s="83"/>
      <c r="BL186" s="43" t="str">
        <f aca="false">IFERROR(INDEX(ЗАКАЗЫ!$N$3:$N$500,MATCH($A186,ЗАКАЗЫ!$F$3:$F$500,0)),"")</f>
        <v/>
      </c>
      <c r="BM186" s="8" t="str">
        <f aca="false">IF(BL186="","",IFERROR(VLOOKUP(BL186,'ТН ВЭД'!$A$4:$C$40,3,0),""))</f>
        <v/>
      </c>
      <c r="BN186" s="7" t="str">
        <f aca="false">IF(COUNTIF(ЗАКАЗЫ!$F$3:$F$500,$A186)=0,"",SUMIF(ЗАКАЗЫ!$F$3:$F$500,$A186,ЗАКАЗЫ!$J$3:$J$500))</f>
        <v/>
      </c>
      <c r="BO186" s="7" t="str">
        <f aca="false">IF(BN186="","",SUMIF(ЗАКАЗЫ!$F$3:$F$500,$A186,ЗАКАЗЫ!$AL$3:$AL$500))</f>
        <v/>
      </c>
      <c r="BP186" s="7" t="str">
        <f aca="false">IF(BN186="","",BN186-BO186)</f>
        <v/>
      </c>
      <c r="BQ186" s="55" t="str">
        <f aca="false">IF(BN186="","",IF(BO186&gt;=BN186,"На складе",IF(BO186&gt;0,"Частично","Ждём")))</f>
        <v/>
      </c>
      <c r="BR186" s="43"/>
      <c r="BS186" s="47" t="str">
        <f aca="false">IF(BN186="","",IF(_xlfn.MAXIFS(ЗАКАЗЫ!$AK$3:$AK$500,ЗАКАЗЫ!$F$3:$F$500,$A186)=0,"",_xlfn.MAXIFS(ЗАКАЗЫ!$AK$3:$AK$500,ЗАКАЗЫ!$F$3:$F$500,$A186)))</f>
        <v/>
      </c>
    </row>
    <row r="187" customFormat="false" ht="15.75" hidden="false" customHeight="true" outlineLevel="0" collapsed="false">
      <c r="A187" s="80" t="s">
        <v>2727</v>
      </c>
      <c r="B187" s="81"/>
      <c r="C187" s="81"/>
      <c r="D187" s="81"/>
      <c r="E187" s="83"/>
      <c r="F187" s="81"/>
      <c r="G187" s="83"/>
      <c r="H187" s="83"/>
      <c r="I187" s="84" t="str">
        <f aca="false">IF(E187="","",A187&amp;"_1.jpg")</f>
        <v/>
      </c>
      <c r="J187" s="84" t="str">
        <f aca="false">IF(E187="","",A187&amp;"_2.jpg; "&amp;A187&amp;"_3.jpg")</f>
        <v/>
      </c>
      <c r="K187" s="84" t="str">
        <f aca="false">IF(E187="","",A187&amp;"_schema.jpg")</f>
        <v/>
      </c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 t="s">
        <v>96</v>
      </c>
      <c r="W187" s="81"/>
      <c r="X187" s="81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6" t="str">
        <f aca="false">IF(SUM(Y187:AJ187)=0,"",SUM(Y187:AJ187))</f>
        <v/>
      </c>
      <c r="AL187" s="84" t="str">
        <f aca="false">MID(IF(N(Y187)&gt;0,", "&amp;Y$2,"")&amp;IF(N(Z187)&gt;0,", "&amp;Z$2,"")&amp;IF(N(AA187)&gt;0,", "&amp;AA$2,"")&amp;IF(N(AB187)&gt;0,", "&amp;AB$2,"")&amp;IF(N(AC187)&gt;0,", "&amp;AC$2,"")&amp;IF(N(AD187)&gt;0,", "&amp;AD$2,"")&amp;IF(N(AE187)&gt;0,", "&amp;AE$2,"")&amp;IF(N(AF187)&gt;0,", "&amp;AF$2,"")&amp;IF(N(AG187)&gt;0,", "&amp;AG$2,"")&amp;IF(N(AH187)&gt;0,", "&amp;AH$2,"")&amp;IF(N(AI187)&gt;0,", "&amp;AI$2,"")&amp;IF(N(AJ187)&gt;0,", "&amp;AJ$2,""),3,999)</f>
        <v/>
      </c>
      <c r="AM187" s="87" t="str">
        <f aca="false">IF(E187="","",MID(IF(N(Y187)&gt;0,", "&amp;A187&amp;"-"&amp;Y$2,"")&amp;IF(N(Z187)&gt;0,", "&amp;A187&amp;"-"&amp;Z$2,"")&amp;IF(N(AA187)&gt;0,", "&amp;A187&amp;"-"&amp;AA$2,"")&amp;IF(N(AB187)&gt;0,", "&amp;A187&amp;"-"&amp;AB$2,"")&amp;IF(N(AC187)&gt;0,", "&amp;A187&amp;"-"&amp;AC$2,"")&amp;IF(N(AD187)&gt;0,", "&amp;A187&amp;"-"&amp;AD$2,"")&amp;IF(N(AE187)&gt;0,", "&amp;A187&amp;"-"&amp;AE$2,"")&amp;IF(N(AF187)&gt;0,", "&amp;A187&amp;"-"&amp;AF$2,"")&amp;IF(N(AG187)&gt;0,", "&amp;A187&amp;"-"&amp;AG$2,"")&amp;IF(N(AH187)&gt;0,", "&amp;A187&amp;"-"&amp;AH$2,"")&amp;IF(N(AI187)&gt;0,", "&amp;A187&amp;"-"&amp;AI$2,"")&amp;IF(N(AJ187)&gt;0,", "&amp;A187&amp;"-"&amp;AJ$2,""),3,999))</f>
        <v/>
      </c>
      <c r="AN187" s="81"/>
      <c r="AO187" s="88"/>
      <c r="AP187" s="89" t="str">
        <f aca="false">IF(AO187="","",ROUND(AO187/(1+Справочники!$B$13),2))</f>
        <v/>
      </c>
      <c r="AQ187" s="90" t="str">
        <f aca="false" t="array" ref="AQ187:AQ187">IF(AP187="","",AP187*INDEX(Справочники!$B$4:$B$7,MATCH("RUB",Справочники!$A$4:$A$7,0)))</f>
        <v/>
      </c>
      <c r="AR187" s="90" t="str">
        <f aca="false">IF(AQ187="","",ROUND(AQ187*(1+Справочники!$B$12),0))</f>
        <v/>
      </c>
      <c r="AS187" s="90" t="str">
        <f aca="false">IF(AR187="","",ROUND(AR187*(1-Справочники!$B$11),0))</f>
        <v/>
      </c>
      <c r="AT187" s="88"/>
      <c r="AU187" s="90" t="str">
        <f aca="false">IF(AT187="","",ROUND(AT187/(1+Справочники!$B$12),0))</f>
        <v/>
      </c>
      <c r="AV187" s="90" t="str">
        <f aca="false">IF(AT187="","",ROUND(AT187*(1-Справочники!$B$15),0))</f>
        <v/>
      </c>
      <c r="AW187" s="90" t="str">
        <f aca="false">IF(AT187="","",ROUND(AT187*(1-Справочники!$B$16),0))</f>
        <v/>
      </c>
      <c r="AX187" s="90" t="str">
        <f aca="false">IF(AT187="","",ROUND(AT187*(1-Справочники!$B$17),0))</f>
        <v/>
      </c>
      <c r="AY187" s="90" t="str">
        <f aca="false">IF(AT187="","",ROUND(AT187*(1-Справочники!$B$18),0))</f>
        <v/>
      </c>
      <c r="AZ187" s="90" t="str">
        <f aca="false">IF(AT187="","",ROUND(AT187*(1-Справочники!$B$19),0))</f>
        <v/>
      </c>
      <c r="BA187" s="81"/>
      <c r="BB187" s="81"/>
      <c r="BC187" s="81"/>
      <c r="BD187" s="81"/>
      <c r="BE187" s="91"/>
      <c r="BF187" s="81" t="s">
        <v>103</v>
      </c>
      <c r="BG187" s="89" t="n">
        <f aca="false" t="array" ref="BG187:BG187">IF(BF187="","",IFERROR(INDEX(Справочники!$B$4:$B$7,MATCH(BF187,Справочники!$A$4:$A$7,0)),""))</f>
        <v>68.5</v>
      </c>
      <c r="BH187" s="90" t="str">
        <f aca="false">IF(N(BN187)&gt;0,ROUND(SUMIF(ЗАКАЗЫ!$F$3:$F$500,$A187,ЗАКАЗЫ!$Y$3:$Y$500)/BN187,0),IF(OR(BE187="",BG187=""),"",ROUND(BE187*BG187*(1+Справочники!$B$10),0)))</f>
        <v/>
      </c>
      <c r="BI187" s="92" t="str">
        <f aca="false">IF(OR(AU187="",BH187="",AU187=0),"",(AU187-BH187)/AU187)</f>
        <v/>
      </c>
      <c r="BJ187" s="81"/>
      <c r="BK187" s="83"/>
      <c r="BL187" s="43" t="str">
        <f aca="false">IFERROR(INDEX(ЗАКАЗЫ!$N$3:$N$500,MATCH($A187,ЗАКАЗЫ!$F$3:$F$500,0)),"")</f>
        <v/>
      </c>
      <c r="BM187" s="8" t="str">
        <f aca="false">IF(BL187="","",IFERROR(VLOOKUP(BL187,'ТН ВЭД'!$A$4:$C$40,3,0),""))</f>
        <v/>
      </c>
      <c r="BN187" s="7" t="str">
        <f aca="false">IF(COUNTIF(ЗАКАЗЫ!$F$3:$F$500,$A187)=0,"",SUMIF(ЗАКАЗЫ!$F$3:$F$500,$A187,ЗАКАЗЫ!$J$3:$J$500))</f>
        <v/>
      </c>
      <c r="BO187" s="7" t="str">
        <f aca="false">IF(BN187="","",SUMIF(ЗАКАЗЫ!$F$3:$F$500,$A187,ЗАКАЗЫ!$AL$3:$AL$500))</f>
        <v/>
      </c>
      <c r="BP187" s="7" t="str">
        <f aca="false">IF(BN187="","",BN187-BO187)</f>
        <v/>
      </c>
      <c r="BQ187" s="55" t="str">
        <f aca="false">IF(BN187="","",IF(BO187&gt;=BN187,"На складе",IF(BO187&gt;0,"Частично","Ждём")))</f>
        <v/>
      </c>
      <c r="BR187" s="43"/>
      <c r="BS187" s="47" t="str">
        <f aca="false">IF(BN187="","",IF(_xlfn.MAXIFS(ЗАКАЗЫ!$AK$3:$AK$500,ЗАКАЗЫ!$F$3:$F$500,$A187)=0,"",_xlfn.MAXIFS(ЗАКАЗЫ!$AK$3:$AK$500,ЗАКАЗЫ!$F$3:$F$500,$A187)))</f>
        <v/>
      </c>
    </row>
    <row r="188" customFormat="false" ht="15.75" hidden="false" customHeight="true" outlineLevel="0" collapsed="false">
      <c r="A188" s="80" t="s">
        <v>2728</v>
      </c>
      <c r="B188" s="81"/>
      <c r="C188" s="81"/>
      <c r="D188" s="81"/>
      <c r="E188" s="83"/>
      <c r="F188" s="81"/>
      <c r="G188" s="83"/>
      <c r="H188" s="83"/>
      <c r="I188" s="84" t="str">
        <f aca="false">IF(E188="","",A188&amp;"_1.jpg")</f>
        <v/>
      </c>
      <c r="J188" s="84" t="str">
        <f aca="false">IF(E188="","",A188&amp;"_2.jpg; "&amp;A188&amp;"_3.jpg")</f>
        <v/>
      </c>
      <c r="K188" s="84" t="str">
        <f aca="false">IF(E188="","",A188&amp;"_schema.jpg")</f>
        <v/>
      </c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 t="s">
        <v>96</v>
      </c>
      <c r="W188" s="81"/>
      <c r="X188" s="81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6" t="str">
        <f aca="false">IF(SUM(Y188:AJ188)=0,"",SUM(Y188:AJ188))</f>
        <v/>
      </c>
      <c r="AL188" s="84" t="str">
        <f aca="false">MID(IF(N(Y188)&gt;0,", "&amp;Y$2,"")&amp;IF(N(Z188)&gt;0,", "&amp;Z$2,"")&amp;IF(N(AA188)&gt;0,", "&amp;AA$2,"")&amp;IF(N(AB188)&gt;0,", "&amp;AB$2,"")&amp;IF(N(AC188)&gt;0,", "&amp;AC$2,"")&amp;IF(N(AD188)&gt;0,", "&amp;AD$2,"")&amp;IF(N(AE188)&gt;0,", "&amp;AE$2,"")&amp;IF(N(AF188)&gt;0,", "&amp;AF$2,"")&amp;IF(N(AG188)&gt;0,", "&amp;AG$2,"")&amp;IF(N(AH188)&gt;0,", "&amp;AH$2,"")&amp;IF(N(AI188)&gt;0,", "&amp;AI$2,"")&amp;IF(N(AJ188)&gt;0,", "&amp;AJ$2,""),3,999)</f>
        <v/>
      </c>
      <c r="AM188" s="87" t="str">
        <f aca="false">IF(E188="","",MID(IF(N(Y188)&gt;0,", "&amp;A188&amp;"-"&amp;Y$2,"")&amp;IF(N(Z188)&gt;0,", "&amp;A188&amp;"-"&amp;Z$2,"")&amp;IF(N(AA188)&gt;0,", "&amp;A188&amp;"-"&amp;AA$2,"")&amp;IF(N(AB188)&gt;0,", "&amp;A188&amp;"-"&amp;AB$2,"")&amp;IF(N(AC188)&gt;0,", "&amp;A188&amp;"-"&amp;AC$2,"")&amp;IF(N(AD188)&gt;0,", "&amp;A188&amp;"-"&amp;AD$2,"")&amp;IF(N(AE188)&gt;0,", "&amp;A188&amp;"-"&amp;AE$2,"")&amp;IF(N(AF188)&gt;0,", "&amp;A188&amp;"-"&amp;AF$2,"")&amp;IF(N(AG188)&gt;0,", "&amp;A188&amp;"-"&amp;AG$2,"")&amp;IF(N(AH188)&gt;0,", "&amp;A188&amp;"-"&amp;AH$2,"")&amp;IF(N(AI188)&gt;0,", "&amp;A188&amp;"-"&amp;AI$2,"")&amp;IF(N(AJ188)&gt;0,", "&amp;A188&amp;"-"&amp;AJ$2,""),3,999))</f>
        <v/>
      </c>
      <c r="AN188" s="81"/>
      <c r="AO188" s="88"/>
      <c r="AP188" s="89" t="str">
        <f aca="false">IF(AO188="","",ROUND(AO188/(1+Справочники!$B$13),2))</f>
        <v/>
      </c>
      <c r="AQ188" s="90" t="str">
        <f aca="false" t="array" ref="AQ188:AQ188">IF(AP188="","",AP188*INDEX(Справочники!$B$4:$B$7,MATCH("RUB",Справочники!$A$4:$A$7,0)))</f>
        <v/>
      </c>
      <c r="AR188" s="90" t="str">
        <f aca="false">IF(AQ188="","",ROUND(AQ188*(1+Справочники!$B$12),0))</f>
        <v/>
      </c>
      <c r="AS188" s="90" t="str">
        <f aca="false">IF(AR188="","",ROUND(AR188*(1-Справочники!$B$11),0))</f>
        <v/>
      </c>
      <c r="AT188" s="88"/>
      <c r="AU188" s="90" t="str">
        <f aca="false">IF(AT188="","",ROUND(AT188/(1+Справочники!$B$12),0))</f>
        <v/>
      </c>
      <c r="AV188" s="90" t="str">
        <f aca="false">IF(AT188="","",ROUND(AT188*(1-Справочники!$B$15),0))</f>
        <v/>
      </c>
      <c r="AW188" s="90" t="str">
        <f aca="false">IF(AT188="","",ROUND(AT188*(1-Справочники!$B$16),0))</f>
        <v/>
      </c>
      <c r="AX188" s="90" t="str">
        <f aca="false">IF(AT188="","",ROUND(AT188*(1-Справочники!$B$17),0))</f>
        <v/>
      </c>
      <c r="AY188" s="90" t="str">
        <f aca="false">IF(AT188="","",ROUND(AT188*(1-Справочники!$B$18),0))</f>
        <v/>
      </c>
      <c r="AZ188" s="90" t="str">
        <f aca="false">IF(AT188="","",ROUND(AT188*(1-Справочники!$B$19),0))</f>
        <v/>
      </c>
      <c r="BA188" s="81"/>
      <c r="BB188" s="81"/>
      <c r="BC188" s="81"/>
      <c r="BD188" s="81"/>
      <c r="BE188" s="91"/>
      <c r="BF188" s="81" t="s">
        <v>103</v>
      </c>
      <c r="BG188" s="89" t="n">
        <f aca="false" t="array" ref="BG188:BG188">IF(BF188="","",IFERROR(INDEX(Справочники!$B$4:$B$7,MATCH(BF188,Справочники!$A$4:$A$7,0)),""))</f>
        <v>68.5</v>
      </c>
      <c r="BH188" s="90" t="str">
        <f aca="false">IF(N(BN188)&gt;0,ROUND(SUMIF(ЗАКАЗЫ!$F$3:$F$500,$A188,ЗАКАЗЫ!$Y$3:$Y$500)/BN188,0),IF(OR(BE188="",BG188=""),"",ROUND(BE188*BG188*(1+Справочники!$B$10),0)))</f>
        <v/>
      </c>
      <c r="BI188" s="92" t="str">
        <f aca="false">IF(OR(AU188="",BH188="",AU188=0),"",(AU188-BH188)/AU188)</f>
        <v/>
      </c>
      <c r="BJ188" s="81"/>
      <c r="BK188" s="83"/>
      <c r="BL188" s="43" t="str">
        <f aca="false">IFERROR(INDEX(ЗАКАЗЫ!$N$3:$N$500,MATCH($A188,ЗАКАЗЫ!$F$3:$F$500,0)),"")</f>
        <v/>
      </c>
      <c r="BM188" s="8" t="str">
        <f aca="false">IF(BL188="","",IFERROR(VLOOKUP(BL188,'ТН ВЭД'!$A$4:$C$40,3,0),""))</f>
        <v/>
      </c>
      <c r="BN188" s="7" t="str">
        <f aca="false">IF(COUNTIF(ЗАКАЗЫ!$F$3:$F$500,$A188)=0,"",SUMIF(ЗАКАЗЫ!$F$3:$F$500,$A188,ЗАКАЗЫ!$J$3:$J$500))</f>
        <v/>
      </c>
      <c r="BO188" s="7" t="str">
        <f aca="false">IF(BN188="","",SUMIF(ЗАКАЗЫ!$F$3:$F$500,$A188,ЗАКАЗЫ!$AL$3:$AL$500))</f>
        <v/>
      </c>
      <c r="BP188" s="7" t="str">
        <f aca="false">IF(BN188="","",BN188-BO188)</f>
        <v/>
      </c>
      <c r="BQ188" s="55" t="str">
        <f aca="false">IF(BN188="","",IF(BO188&gt;=BN188,"На складе",IF(BO188&gt;0,"Частично","Ждём")))</f>
        <v/>
      </c>
      <c r="BR188" s="43"/>
      <c r="BS188" s="47" t="str">
        <f aca="false">IF(BN188="","",IF(_xlfn.MAXIFS(ЗАКАЗЫ!$AK$3:$AK$500,ЗАКАЗЫ!$F$3:$F$500,$A188)=0,"",_xlfn.MAXIFS(ЗАКАЗЫ!$AK$3:$AK$500,ЗАКАЗЫ!$F$3:$F$500,$A188)))</f>
        <v/>
      </c>
    </row>
    <row r="189" customFormat="false" ht="15.75" hidden="false" customHeight="true" outlineLevel="0" collapsed="false">
      <c r="A189" s="80" t="s">
        <v>2729</v>
      </c>
      <c r="B189" s="81"/>
      <c r="C189" s="81"/>
      <c r="D189" s="81"/>
      <c r="E189" s="83"/>
      <c r="F189" s="81"/>
      <c r="G189" s="83"/>
      <c r="H189" s="83"/>
      <c r="I189" s="84" t="str">
        <f aca="false">IF(E189="","",A189&amp;"_1.jpg")</f>
        <v/>
      </c>
      <c r="J189" s="84" t="str">
        <f aca="false">IF(E189="","",A189&amp;"_2.jpg; "&amp;A189&amp;"_3.jpg")</f>
        <v/>
      </c>
      <c r="K189" s="84" t="str">
        <f aca="false">IF(E189="","",A189&amp;"_schema.jpg")</f>
        <v/>
      </c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 t="s">
        <v>96</v>
      </c>
      <c r="W189" s="81"/>
      <c r="X189" s="81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6" t="str">
        <f aca="false">IF(SUM(Y189:AJ189)=0,"",SUM(Y189:AJ189))</f>
        <v/>
      </c>
      <c r="AL189" s="84" t="str">
        <f aca="false">MID(IF(N(Y189)&gt;0,", "&amp;Y$2,"")&amp;IF(N(Z189)&gt;0,", "&amp;Z$2,"")&amp;IF(N(AA189)&gt;0,", "&amp;AA$2,"")&amp;IF(N(AB189)&gt;0,", "&amp;AB$2,"")&amp;IF(N(AC189)&gt;0,", "&amp;AC$2,"")&amp;IF(N(AD189)&gt;0,", "&amp;AD$2,"")&amp;IF(N(AE189)&gt;0,", "&amp;AE$2,"")&amp;IF(N(AF189)&gt;0,", "&amp;AF$2,"")&amp;IF(N(AG189)&gt;0,", "&amp;AG$2,"")&amp;IF(N(AH189)&gt;0,", "&amp;AH$2,"")&amp;IF(N(AI189)&gt;0,", "&amp;AI$2,"")&amp;IF(N(AJ189)&gt;0,", "&amp;AJ$2,""),3,999)</f>
        <v/>
      </c>
      <c r="AM189" s="87" t="str">
        <f aca="false">IF(E189="","",MID(IF(N(Y189)&gt;0,", "&amp;A189&amp;"-"&amp;Y$2,"")&amp;IF(N(Z189)&gt;0,", "&amp;A189&amp;"-"&amp;Z$2,"")&amp;IF(N(AA189)&gt;0,", "&amp;A189&amp;"-"&amp;AA$2,"")&amp;IF(N(AB189)&gt;0,", "&amp;A189&amp;"-"&amp;AB$2,"")&amp;IF(N(AC189)&gt;0,", "&amp;A189&amp;"-"&amp;AC$2,"")&amp;IF(N(AD189)&gt;0,", "&amp;A189&amp;"-"&amp;AD$2,"")&amp;IF(N(AE189)&gt;0,", "&amp;A189&amp;"-"&amp;AE$2,"")&amp;IF(N(AF189)&gt;0,", "&amp;A189&amp;"-"&amp;AF$2,"")&amp;IF(N(AG189)&gt;0,", "&amp;A189&amp;"-"&amp;AG$2,"")&amp;IF(N(AH189)&gt;0,", "&amp;A189&amp;"-"&amp;AH$2,"")&amp;IF(N(AI189)&gt;0,", "&amp;A189&amp;"-"&amp;AI$2,"")&amp;IF(N(AJ189)&gt;0,", "&amp;A189&amp;"-"&amp;AJ$2,""),3,999))</f>
        <v/>
      </c>
      <c r="AN189" s="81"/>
      <c r="AO189" s="88"/>
      <c r="AP189" s="89" t="str">
        <f aca="false">IF(AO189="","",ROUND(AO189/(1+Справочники!$B$13),2))</f>
        <v/>
      </c>
      <c r="AQ189" s="90" t="str">
        <f aca="false" t="array" ref="AQ189:AQ189">IF(AP189="","",AP189*INDEX(Справочники!$B$4:$B$7,MATCH("RUB",Справочники!$A$4:$A$7,0)))</f>
        <v/>
      </c>
      <c r="AR189" s="90" t="str">
        <f aca="false">IF(AQ189="","",ROUND(AQ189*(1+Справочники!$B$12),0))</f>
        <v/>
      </c>
      <c r="AS189" s="90" t="str">
        <f aca="false">IF(AR189="","",ROUND(AR189*(1-Справочники!$B$11),0))</f>
        <v/>
      </c>
      <c r="AT189" s="88"/>
      <c r="AU189" s="90" t="str">
        <f aca="false">IF(AT189="","",ROUND(AT189/(1+Справочники!$B$12),0))</f>
        <v/>
      </c>
      <c r="AV189" s="90" t="str">
        <f aca="false">IF(AT189="","",ROUND(AT189*(1-Справочники!$B$15),0))</f>
        <v/>
      </c>
      <c r="AW189" s="90" t="str">
        <f aca="false">IF(AT189="","",ROUND(AT189*(1-Справочники!$B$16),0))</f>
        <v/>
      </c>
      <c r="AX189" s="90" t="str">
        <f aca="false">IF(AT189="","",ROUND(AT189*(1-Справочники!$B$17),0))</f>
        <v/>
      </c>
      <c r="AY189" s="90" t="str">
        <f aca="false">IF(AT189="","",ROUND(AT189*(1-Справочники!$B$18),0))</f>
        <v/>
      </c>
      <c r="AZ189" s="90" t="str">
        <f aca="false">IF(AT189="","",ROUND(AT189*(1-Справочники!$B$19),0))</f>
        <v/>
      </c>
      <c r="BA189" s="81"/>
      <c r="BB189" s="81"/>
      <c r="BC189" s="81"/>
      <c r="BD189" s="81"/>
      <c r="BE189" s="91"/>
      <c r="BF189" s="81" t="s">
        <v>103</v>
      </c>
      <c r="BG189" s="89" t="n">
        <f aca="false" t="array" ref="BG189:BG189">IF(BF189="","",IFERROR(INDEX(Справочники!$B$4:$B$7,MATCH(BF189,Справочники!$A$4:$A$7,0)),""))</f>
        <v>68.5</v>
      </c>
      <c r="BH189" s="90" t="str">
        <f aca="false">IF(N(BN189)&gt;0,ROUND(SUMIF(ЗАКАЗЫ!$F$3:$F$500,$A189,ЗАКАЗЫ!$Y$3:$Y$500)/BN189,0),IF(OR(BE189="",BG189=""),"",ROUND(BE189*BG189*(1+Справочники!$B$10),0)))</f>
        <v/>
      </c>
      <c r="BI189" s="92" t="str">
        <f aca="false">IF(OR(AU189="",BH189="",AU189=0),"",(AU189-BH189)/AU189)</f>
        <v/>
      </c>
      <c r="BJ189" s="81"/>
      <c r="BK189" s="83"/>
      <c r="BL189" s="43" t="str">
        <f aca="false">IFERROR(INDEX(ЗАКАЗЫ!$N$3:$N$500,MATCH($A189,ЗАКАЗЫ!$F$3:$F$500,0)),"")</f>
        <v/>
      </c>
      <c r="BM189" s="8" t="str">
        <f aca="false">IF(BL189="","",IFERROR(VLOOKUP(BL189,'ТН ВЭД'!$A$4:$C$40,3,0),""))</f>
        <v/>
      </c>
      <c r="BN189" s="7" t="str">
        <f aca="false">IF(COUNTIF(ЗАКАЗЫ!$F$3:$F$500,$A189)=0,"",SUMIF(ЗАКАЗЫ!$F$3:$F$500,$A189,ЗАКАЗЫ!$J$3:$J$500))</f>
        <v/>
      </c>
      <c r="BO189" s="7" t="str">
        <f aca="false">IF(BN189="","",SUMIF(ЗАКАЗЫ!$F$3:$F$500,$A189,ЗАКАЗЫ!$AL$3:$AL$500))</f>
        <v/>
      </c>
      <c r="BP189" s="7" t="str">
        <f aca="false">IF(BN189="","",BN189-BO189)</f>
        <v/>
      </c>
      <c r="BQ189" s="55" t="str">
        <f aca="false">IF(BN189="","",IF(BO189&gt;=BN189,"На складе",IF(BO189&gt;0,"Частично","Ждём")))</f>
        <v/>
      </c>
      <c r="BR189" s="43"/>
      <c r="BS189" s="47" t="str">
        <f aca="false">IF(BN189="","",IF(_xlfn.MAXIFS(ЗАКАЗЫ!$AK$3:$AK$500,ЗАКАЗЫ!$F$3:$F$500,$A189)=0,"",_xlfn.MAXIFS(ЗАКАЗЫ!$AK$3:$AK$500,ЗАКАЗЫ!$F$3:$F$500,$A189)))</f>
        <v/>
      </c>
    </row>
    <row r="190" customFormat="false" ht="15.75" hidden="false" customHeight="true" outlineLevel="0" collapsed="false">
      <c r="A190" s="80" t="s">
        <v>2730</v>
      </c>
      <c r="B190" s="81"/>
      <c r="C190" s="81"/>
      <c r="D190" s="81"/>
      <c r="E190" s="83"/>
      <c r="F190" s="81"/>
      <c r="G190" s="83"/>
      <c r="H190" s="83"/>
      <c r="I190" s="84" t="str">
        <f aca="false">IF(E190="","",A190&amp;"_1.jpg")</f>
        <v/>
      </c>
      <c r="J190" s="84" t="str">
        <f aca="false">IF(E190="","",A190&amp;"_2.jpg; "&amp;A190&amp;"_3.jpg")</f>
        <v/>
      </c>
      <c r="K190" s="84" t="str">
        <f aca="false">IF(E190="","",A190&amp;"_schema.jpg")</f>
        <v/>
      </c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 t="s">
        <v>96</v>
      </c>
      <c r="W190" s="81"/>
      <c r="X190" s="81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6" t="str">
        <f aca="false">IF(SUM(Y190:AJ190)=0,"",SUM(Y190:AJ190))</f>
        <v/>
      </c>
      <c r="AL190" s="84" t="str">
        <f aca="false">MID(IF(N(Y190)&gt;0,", "&amp;Y$2,"")&amp;IF(N(Z190)&gt;0,", "&amp;Z$2,"")&amp;IF(N(AA190)&gt;0,", "&amp;AA$2,"")&amp;IF(N(AB190)&gt;0,", "&amp;AB$2,"")&amp;IF(N(AC190)&gt;0,", "&amp;AC$2,"")&amp;IF(N(AD190)&gt;0,", "&amp;AD$2,"")&amp;IF(N(AE190)&gt;0,", "&amp;AE$2,"")&amp;IF(N(AF190)&gt;0,", "&amp;AF$2,"")&amp;IF(N(AG190)&gt;0,", "&amp;AG$2,"")&amp;IF(N(AH190)&gt;0,", "&amp;AH$2,"")&amp;IF(N(AI190)&gt;0,", "&amp;AI$2,"")&amp;IF(N(AJ190)&gt;0,", "&amp;AJ$2,""),3,999)</f>
        <v/>
      </c>
      <c r="AM190" s="87" t="str">
        <f aca="false">IF(E190="","",MID(IF(N(Y190)&gt;0,", "&amp;A190&amp;"-"&amp;Y$2,"")&amp;IF(N(Z190)&gt;0,", "&amp;A190&amp;"-"&amp;Z$2,"")&amp;IF(N(AA190)&gt;0,", "&amp;A190&amp;"-"&amp;AA$2,"")&amp;IF(N(AB190)&gt;0,", "&amp;A190&amp;"-"&amp;AB$2,"")&amp;IF(N(AC190)&gt;0,", "&amp;A190&amp;"-"&amp;AC$2,"")&amp;IF(N(AD190)&gt;0,", "&amp;A190&amp;"-"&amp;AD$2,"")&amp;IF(N(AE190)&gt;0,", "&amp;A190&amp;"-"&amp;AE$2,"")&amp;IF(N(AF190)&gt;0,", "&amp;A190&amp;"-"&amp;AF$2,"")&amp;IF(N(AG190)&gt;0,", "&amp;A190&amp;"-"&amp;AG$2,"")&amp;IF(N(AH190)&gt;0,", "&amp;A190&amp;"-"&amp;AH$2,"")&amp;IF(N(AI190)&gt;0,", "&amp;A190&amp;"-"&amp;AI$2,"")&amp;IF(N(AJ190)&gt;0,", "&amp;A190&amp;"-"&amp;AJ$2,""),3,999))</f>
        <v/>
      </c>
      <c r="AN190" s="81"/>
      <c r="AO190" s="88"/>
      <c r="AP190" s="89" t="str">
        <f aca="false">IF(AO190="","",ROUND(AO190/(1+Справочники!$B$13),2))</f>
        <v/>
      </c>
      <c r="AQ190" s="90" t="str">
        <f aca="false" t="array" ref="AQ190:AQ190">IF(AP190="","",AP190*INDEX(Справочники!$B$4:$B$7,MATCH("RUB",Справочники!$A$4:$A$7,0)))</f>
        <v/>
      </c>
      <c r="AR190" s="90" t="str">
        <f aca="false">IF(AQ190="","",ROUND(AQ190*(1+Справочники!$B$12),0))</f>
        <v/>
      </c>
      <c r="AS190" s="90" t="str">
        <f aca="false">IF(AR190="","",ROUND(AR190*(1-Справочники!$B$11),0))</f>
        <v/>
      </c>
      <c r="AT190" s="88"/>
      <c r="AU190" s="90" t="str">
        <f aca="false">IF(AT190="","",ROUND(AT190/(1+Справочники!$B$12),0))</f>
        <v/>
      </c>
      <c r="AV190" s="90" t="str">
        <f aca="false">IF(AT190="","",ROUND(AT190*(1-Справочники!$B$15),0))</f>
        <v/>
      </c>
      <c r="AW190" s="90" t="str">
        <f aca="false">IF(AT190="","",ROUND(AT190*(1-Справочники!$B$16),0))</f>
        <v/>
      </c>
      <c r="AX190" s="90" t="str">
        <f aca="false">IF(AT190="","",ROUND(AT190*(1-Справочники!$B$17),0))</f>
        <v/>
      </c>
      <c r="AY190" s="90" t="str">
        <f aca="false">IF(AT190="","",ROUND(AT190*(1-Справочники!$B$18),0))</f>
        <v/>
      </c>
      <c r="AZ190" s="90" t="str">
        <f aca="false">IF(AT190="","",ROUND(AT190*(1-Справочники!$B$19),0))</f>
        <v/>
      </c>
      <c r="BA190" s="81"/>
      <c r="BB190" s="81"/>
      <c r="BC190" s="81"/>
      <c r="BD190" s="81"/>
      <c r="BE190" s="91"/>
      <c r="BF190" s="81" t="s">
        <v>103</v>
      </c>
      <c r="BG190" s="89" t="n">
        <f aca="false" t="array" ref="BG190:BG190">IF(BF190="","",IFERROR(INDEX(Справочники!$B$4:$B$7,MATCH(BF190,Справочники!$A$4:$A$7,0)),""))</f>
        <v>68.5</v>
      </c>
      <c r="BH190" s="90" t="str">
        <f aca="false">IF(N(BN190)&gt;0,ROUND(SUMIF(ЗАКАЗЫ!$F$3:$F$500,$A190,ЗАКАЗЫ!$Y$3:$Y$500)/BN190,0),IF(OR(BE190="",BG190=""),"",ROUND(BE190*BG190*(1+Справочники!$B$10),0)))</f>
        <v/>
      </c>
      <c r="BI190" s="92" t="str">
        <f aca="false">IF(OR(AU190="",BH190="",AU190=0),"",(AU190-BH190)/AU190)</f>
        <v/>
      </c>
      <c r="BJ190" s="81"/>
      <c r="BK190" s="83"/>
      <c r="BL190" s="43" t="str">
        <f aca="false">IFERROR(INDEX(ЗАКАЗЫ!$N$3:$N$500,MATCH($A190,ЗАКАЗЫ!$F$3:$F$500,0)),"")</f>
        <v/>
      </c>
      <c r="BM190" s="8" t="str">
        <f aca="false">IF(BL190="","",IFERROR(VLOOKUP(BL190,'ТН ВЭД'!$A$4:$C$40,3,0),""))</f>
        <v/>
      </c>
      <c r="BN190" s="7" t="str">
        <f aca="false">IF(COUNTIF(ЗАКАЗЫ!$F$3:$F$500,$A190)=0,"",SUMIF(ЗАКАЗЫ!$F$3:$F$500,$A190,ЗАКАЗЫ!$J$3:$J$500))</f>
        <v/>
      </c>
      <c r="BO190" s="7" t="str">
        <f aca="false">IF(BN190="","",SUMIF(ЗАКАЗЫ!$F$3:$F$500,$A190,ЗАКАЗЫ!$AL$3:$AL$500))</f>
        <v/>
      </c>
      <c r="BP190" s="7" t="str">
        <f aca="false">IF(BN190="","",BN190-BO190)</f>
        <v/>
      </c>
      <c r="BQ190" s="55" t="str">
        <f aca="false">IF(BN190="","",IF(BO190&gt;=BN190,"На складе",IF(BO190&gt;0,"Частично","Ждём")))</f>
        <v/>
      </c>
      <c r="BR190" s="43"/>
      <c r="BS190" s="47" t="str">
        <f aca="false">IF(BN190="","",IF(_xlfn.MAXIFS(ЗАКАЗЫ!$AK$3:$AK$500,ЗАКАЗЫ!$F$3:$F$500,$A190)=0,"",_xlfn.MAXIFS(ЗАКАЗЫ!$AK$3:$AK$500,ЗАКАЗЫ!$F$3:$F$500,$A190)))</f>
        <v/>
      </c>
    </row>
    <row r="191" customFormat="false" ht="15.75" hidden="false" customHeight="true" outlineLevel="0" collapsed="false">
      <c r="A191" s="80" t="s">
        <v>2731</v>
      </c>
      <c r="B191" s="81"/>
      <c r="C191" s="81"/>
      <c r="D191" s="81"/>
      <c r="E191" s="83"/>
      <c r="F191" s="81"/>
      <c r="G191" s="83"/>
      <c r="H191" s="83"/>
      <c r="I191" s="84" t="str">
        <f aca="false">IF(E191="","",A191&amp;"_1.jpg")</f>
        <v/>
      </c>
      <c r="J191" s="84" t="str">
        <f aca="false">IF(E191="","",A191&amp;"_2.jpg; "&amp;A191&amp;"_3.jpg")</f>
        <v/>
      </c>
      <c r="K191" s="84" t="str">
        <f aca="false">IF(E191="","",A191&amp;"_schema.jpg")</f>
        <v/>
      </c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 t="s">
        <v>96</v>
      </c>
      <c r="W191" s="81"/>
      <c r="X191" s="81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6" t="str">
        <f aca="false">IF(SUM(Y191:AJ191)=0,"",SUM(Y191:AJ191))</f>
        <v/>
      </c>
      <c r="AL191" s="84" t="str">
        <f aca="false">MID(IF(N(Y191)&gt;0,", "&amp;Y$2,"")&amp;IF(N(Z191)&gt;0,", "&amp;Z$2,"")&amp;IF(N(AA191)&gt;0,", "&amp;AA$2,"")&amp;IF(N(AB191)&gt;0,", "&amp;AB$2,"")&amp;IF(N(AC191)&gt;0,", "&amp;AC$2,"")&amp;IF(N(AD191)&gt;0,", "&amp;AD$2,"")&amp;IF(N(AE191)&gt;0,", "&amp;AE$2,"")&amp;IF(N(AF191)&gt;0,", "&amp;AF$2,"")&amp;IF(N(AG191)&gt;0,", "&amp;AG$2,"")&amp;IF(N(AH191)&gt;0,", "&amp;AH$2,"")&amp;IF(N(AI191)&gt;0,", "&amp;AI$2,"")&amp;IF(N(AJ191)&gt;0,", "&amp;AJ$2,""),3,999)</f>
        <v/>
      </c>
      <c r="AM191" s="87" t="str">
        <f aca="false">IF(E191="","",MID(IF(N(Y191)&gt;0,", "&amp;A191&amp;"-"&amp;Y$2,"")&amp;IF(N(Z191)&gt;0,", "&amp;A191&amp;"-"&amp;Z$2,"")&amp;IF(N(AA191)&gt;0,", "&amp;A191&amp;"-"&amp;AA$2,"")&amp;IF(N(AB191)&gt;0,", "&amp;A191&amp;"-"&amp;AB$2,"")&amp;IF(N(AC191)&gt;0,", "&amp;A191&amp;"-"&amp;AC$2,"")&amp;IF(N(AD191)&gt;0,", "&amp;A191&amp;"-"&amp;AD$2,"")&amp;IF(N(AE191)&gt;0,", "&amp;A191&amp;"-"&amp;AE$2,"")&amp;IF(N(AF191)&gt;0,", "&amp;A191&amp;"-"&amp;AF$2,"")&amp;IF(N(AG191)&gt;0,", "&amp;A191&amp;"-"&amp;AG$2,"")&amp;IF(N(AH191)&gt;0,", "&amp;A191&amp;"-"&amp;AH$2,"")&amp;IF(N(AI191)&gt;0,", "&amp;A191&amp;"-"&amp;AI$2,"")&amp;IF(N(AJ191)&gt;0,", "&amp;A191&amp;"-"&amp;AJ$2,""),3,999))</f>
        <v/>
      </c>
      <c r="AN191" s="81"/>
      <c r="AO191" s="88"/>
      <c r="AP191" s="89" t="str">
        <f aca="false">IF(AO191="","",ROUND(AO191/(1+Справочники!$B$13),2))</f>
        <v/>
      </c>
      <c r="AQ191" s="90" t="str">
        <f aca="false" t="array" ref="AQ191:AQ191">IF(AP191="","",AP191*INDEX(Справочники!$B$4:$B$7,MATCH("RUB",Справочники!$A$4:$A$7,0)))</f>
        <v/>
      </c>
      <c r="AR191" s="90" t="str">
        <f aca="false">IF(AQ191="","",ROUND(AQ191*(1+Справочники!$B$12),0))</f>
        <v/>
      </c>
      <c r="AS191" s="90" t="str">
        <f aca="false">IF(AR191="","",ROUND(AR191*(1-Справочники!$B$11),0))</f>
        <v/>
      </c>
      <c r="AT191" s="88"/>
      <c r="AU191" s="90" t="str">
        <f aca="false">IF(AT191="","",ROUND(AT191/(1+Справочники!$B$12),0))</f>
        <v/>
      </c>
      <c r="AV191" s="90" t="str">
        <f aca="false">IF(AT191="","",ROUND(AT191*(1-Справочники!$B$15),0))</f>
        <v/>
      </c>
      <c r="AW191" s="90" t="str">
        <f aca="false">IF(AT191="","",ROUND(AT191*(1-Справочники!$B$16),0))</f>
        <v/>
      </c>
      <c r="AX191" s="90" t="str">
        <f aca="false">IF(AT191="","",ROUND(AT191*(1-Справочники!$B$17),0))</f>
        <v/>
      </c>
      <c r="AY191" s="90" t="str">
        <f aca="false">IF(AT191="","",ROUND(AT191*(1-Справочники!$B$18),0))</f>
        <v/>
      </c>
      <c r="AZ191" s="90" t="str">
        <f aca="false">IF(AT191="","",ROUND(AT191*(1-Справочники!$B$19),0))</f>
        <v/>
      </c>
      <c r="BA191" s="81"/>
      <c r="BB191" s="81"/>
      <c r="BC191" s="81"/>
      <c r="BD191" s="81"/>
      <c r="BE191" s="91"/>
      <c r="BF191" s="81" t="s">
        <v>103</v>
      </c>
      <c r="BG191" s="89" t="n">
        <f aca="false" t="array" ref="BG191:BG191">IF(BF191="","",IFERROR(INDEX(Справочники!$B$4:$B$7,MATCH(BF191,Справочники!$A$4:$A$7,0)),""))</f>
        <v>68.5</v>
      </c>
      <c r="BH191" s="90" t="str">
        <f aca="false">IF(N(BN191)&gt;0,ROUND(SUMIF(ЗАКАЗЫ!$F$3:$F$500,$A191,ЗАКАЗЫ!$Y$3:$Y$500)/BN191,0),IF(OR(BE191="",BG191=""),"",ROUND(BE191*BG191*(1+Справочники!$B$10),0)))</f>
        <v/>
      </c>
      <c r="BI191" s="92" t="str">
        <f aca="false">IF(OR(AU191="",BH191="",AU191=0),"",(AU191-BH191)/AU191)</f>
        <v/>
      </c>
      <c r="BJ191" s="81"/>
      <c r="BK191" s="83"/>
      <c r="BL191" s="43" t="str">
        <f aca="false">IFERROR(INDEX(ЗАКАЗЫ!$N$3:$N$500,MATCH($A191,ЗАКАЗЫ!$F$3:$F$500,0)),"")</f>
        <v/>
      </c>
      <c r="BM191" s="8" t="str">
        <f aca="false">IF(BL191="","",IFERROR(VLOOKUP(BL191,'ТН ВЭД'!$A$4:$C$40,3,0),""))</f>
        <v/>
      </c>
      <c r="BN191" s="7" t="str">
        <f aca="false">IF(COUNTIF(ЗАКАЗЫ!$F$3:$F$500,$A191)=0,"",SUMIF(ЗАКАЗЫ!$F$3:$F$500,$A191,ЗАКАЗЫ!$J$3:$J$500))</f>
        <v/>
      </c>
      <c r="BO191" s="7" t="str">
        <f aca="false">IF(BN191="","",SUMIF(ЗАКАЗЫ!$F$3:$F$500,$A191,ЗАКАЗЫ!$AL$3:$AL$500))</f>
        <v/>
      </c>
      <c r="BP191" s="7" t="str">
        <f aca="false">IF(BN191="","",BN191-BO191)</f>
        <v/>
      </c>
      <c r="BQ191" s="55" t="str">
        <f aca="false">IF(BN191="","",IF(BO191&gt;=BN191,"На складе",IF(BO191&gt;0,"Частично","Ждём")))</f>
        <v/>
      </c>
      <c r="BR191" s="43"/>
      <c r="BS191" s="47" t="str">
        <f aca="false">IF(BN191="","",IF(_xlfn.MAXIFS(ЗАКАЗЫ!$AK$3:$AK$500,ЗАКАЗЫ!$F$3:$F$500,$A191)=0,"",_xlfn.MAXIFS(ЗАКАЗЫ!$AK$3:$AK$500,ЗАКАЗЫ!$F$3:$F$500,$A191)))</f>
        <v/>
      </c>
    </row>
    <row r="192" customFormat="false" ht="15.75" hidden="false" customHeight="true" outlineLevel="0" collapsed="false">
      <c r="A192" s="80" t="s">
        <v>2732</v>
      </c>
      <c r="B192" s="81"/>
      <c r="C192" s="81"/>
      <c r="D192" s="81"/>
      <c r="E192" s="83"/>
      <c r="F192" s="81"/>
      <c r="G192" s="83"/>
      <c r="H192" s="83"/>
      <c r="I192" s="84" t="str">
        <f aca="false">IF(E192="","",A192&amp;"_1.jpg")</f>
        <v/>
      </c>
      <c r="J192" s="84" t="str">
        <f aca="false">IF(E192="","",A192&amp;"_2.jpg; "&amp;A192&amp;"_3.jpg")</f>
        <v/>
      </c>
      <c r="K192" s="84" t="str">
        <f aca="false">IF(E192="","",A192&amp;"_schema.jpg")</f>
        <v/>
      </c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 t="s">
        <v>96</v>
      </c>
      <c r="W192" s="81"/>
      <c r="X192" s="81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6" t="str">
        <f aca="false">IF(SUM(Y192:AJ192)=0,"",SUM(Y192:AJ192))</f>
        <v/>
      </c>
      <c r="AL192" s="84" t="str">
        <f aca="false">MID(IF(N(Y192)&gt;0,", "&amp;Y$2,"")&amp;IF(N(Z192)&gt;0,", "&amp;Z$2,"")&amp;IF(N(AA192)&gt;0,", "&amp;AA$2,"")&amp;IF(N(AB192)&gt;0,", "&amp;AB$2,"")&amp;IF(N(AC192)&gt;0,", "&amp;AC$2,"")&amp;IF(N(AD192)&gt;0,", "&amp;AD$2,"")&amp;IF(N(AE192)&gt;0,", "&amp;AE$2,"")&amp;IF(N(AF192)&gt;0,", "&amp;AF$2,"")&amp;IF(N(AG192)&gt;0,", "&amp;AG$2,"")&amp;IF(N(AH192)&gt;0,", "&amp;AH$2,"")&amp;IF(N(AI192)&gt;0,", "&amp;AI$2,"")&amp;IF(N(AJ192)&gt;0,", "&amp;AJ$2,""),3,999)</f>
        <v/>
      </c>
      <c r="AM192" s="87" t="str">
        <f aca="false">IF(E192="","",MID(IF(N(Y192)&gt;0,", "&amp;A192&amp;"-"&amp;Y$2,"")&amp;IF(N(Z192)&gt;0,", "&amp;A192&amp;"-"&amp;Z$2,"")&amp;IF(N(AA192)&gt;0,", "&amp;A192&amp;"-"&amp;AA$2,"")&amp;IF(N(AB192)&gt;0,", "&amp;A192&amp;"-"&amp;AB$2,"")&amp;IF(N(AC192)&gt;0,", "&amp;A192&amp;"-"&amp;AC$2,"")&amp;IF(N(AD192)&gt;0,", "&amp;A192&amp;"-"&amp;AD$2,"")&amp;IF(N(AE192)&gt;0,", "&amp;A192&amp;"-"&amp;AE$2,"")&amp;IF(N(AF192)&gt;0,", "&amp;A192&amp;"-"&amp;AF$2,"")&amp;IF(N(AG192)&gt;0,", "&amp;A192&amp;"-"&amp;AG$2,"")&amp;IF(N(AH192)&gt;0,", "&amp;A192&amp;"-"&amp;AH$2,"")&amp;IF(N(AI192)&gt;0,", "&amp;A192&amp;"-"&amp;AI$2,"")&amp;IF(N(AJ192)&gt;0,", "&amp;A192&amp;"-"&amp;AJ$2,""),3,999))</f>
        <v/>
      </c>
      <c r="AN192" s="81"/>
      <c r="AO192" s="88"/>
      <c r="AP192" s="89" t="str">
        <f aca="false">IF(AO192="","",ROUND(AO192/(1+Справочники!$B$13),2))</f>
        <v/>
      </c>
      <c r="AQ192" s="90" t="str">
        <f aca="false" t="array" ref="AQ192:AQ192">IF(AP192="","",AP192*INDEX(Справочники!$B$4:$B$7,MATCH("RUB",Справочники!$A$4:$A$7,0)))</f>
        <v/>
      </c>
      <c r="AR192" s="90" t="str">
        <f aca="false">IF(AQ192="","",ROUND(AQ192*(1+Справочники!$B$12),0))</f>
        <v/>
      </c>
      <c r="AS192" s="90" t="str">
        <f aca="false">IF(AR192="","",ROUND(AR192*(1-Справочники!$B$11),0))</f>
        <v/>
      </c>
      <c r="AT192" s="88"/>
      <c r="AU192" s="90" t="str">
        <f aca="false">IF(AT192="","",ROUND(AT192/(1+Справочники!$B$12),0))</f>
        <v/>
      </c>
      <c r="AV192" s="90" t="str">
        <f aca="false">IF(AT192="","",ROUND(AT192*(1-Справочники!$B$15),0))</f>
        <v/>
      </c>
      <c r="AW192" s="90" t="str">
        <f aca="false">IF(AT192="","",ROUND(AT192*(1-Справочники!$B$16),0))</f>
        <v/>
      </c>
      <c r="AX192" s="90" t="str">
        <f aca="false">IF(AT192="","",ROUND(AT192*(1-Справочники!$B$17),0))</f>
        <v/>
      </c>
      <c r="AY192" s="90" t="str">
        <f aca="false">IF(AT192="","",ROUND(AT192*(1-Справочники!$B$18),0))</f>
        <v/>
      </c>
      <c r="AZ192" s="90" t="str">
        <f aca="false">IF(AT192="","",ROUND(AT192*(1-Справочники!$B$19),0))</f>
        <v/>
      </c>
      <c r="BA192" s="81"/>
      <c r="BB192" s="81"/>
      <c r="BC192" s="81"/>
      <c r="BD192" s="81"/>
      <c r="BE192" s="91"/>
      <c r="BF192" s="81" t="s">
        <v>103</v>
      </c>
      <c r="BG192" s="89" t="n">
        <f aca="false" t="array" ref="BG192:BG192">IF(BF192="","",IFERROR(INDEX(Справочники!$B$4:$B$7,MATCH(BF192,Справочники!$A$4:$A$7,0)),""))</f>
        <v>68.5</v>
      </c>
      <c r="BH192" s="90" t="str">
        <f aca="false">IF(N(BN192)&gt;0,ROUND(SUMIF(ЗАКАЗЫ!$F$3:$F$500,$A192,ЗАКАЗЫ!$Y$3:$Y$500)/BN192,0),IF(OR(BE192="",BG192=""),"",ROUND(BE192*BG192*(1+Справочники!$B$10),0)))</f>
        <v/>
      </c>
      <c r="BI192" s="92" t="str">
        <f aca="false">IF(OR(AU192="",BH192="",AU192=0),"",(AU192-BH192)/AU192)</f>
        <v/>
      </c>
      <c r="BJ192" s="81"/>
      <c r="BK192" s="83"/>
      <c r="BL192" s="43" t="str">
        <f aca="false">IFERROR(INDEX(ЗАКАЗЫ!$N$3:$N$500,MATCH($A192,ЗАКАЗЫ!$F$3:$F$500,0)),"")</f>
        <v/>
      </c>
      <c r="BM192" s="8" t="str">
        <f aca="false">IF(BL192="","",IFERROR(VLOOKUP(BL192,'ТН ВЭД'!$A$4:$C$40,3,0),""))</f>
        <v/>
      </c>
      <c r="BN192" s="7" t="str">
        <f aca="false">IF(COUNTIF(ЗАКАЗЫ!$F$3:$F$500,$A192)=0,"",SUMIF(ЗАКАЗЫ!$F$3:$F$500,$A192,ЗАКАЗЫ!$J$3:$J$500))</f>
        <v/>
      </c>
      <c r="BO192" s="7" t="str">
        <f aca="false">IF(BN192="","",SUMIF(ЗАКАЗЫ!$F$3:$F$500,$A192,ЗАКАЗЫ!$AL$3:$AL$500))</f>
        <v/>
      </c>
      <c r="BP192" s="7" t="str">
        <f aca="false">IF(BN192="","",BN192-BO192)</f>
        <v/>
      </c>
      <c r="BQ192" s="55" t="str">
        <f aca="false">IF(BN192="","",IF(BO192&gt;=BN192,"На складе",IF(BO192&gt;0,"Частично","Ждём")))</f>
        <v/>
      </c>
      <c r="BR192" s="43"/>
      <c r="BS192" s="47" t="str">
        <f aca="false">IF(BN192="","",IF(_xlfn.MAXIFS(ЗАКАЗЫ!$AK$3:$AK$500,ЗАКАЗЫ!$F$3:$F$500,$A192)=0,"",_xlfn.MAXIFS(ЗАКАЗЫ!$AK$3:$AK$500,ЗАКАЗЫ!$F$3:$F$500,$A192)))</f>
        <v/>
      </c>
    </row>
    <row r="193" customFormat="false" ht="15.75" hidden="false" customHeight="true" outlineLevel="0" collapsed="false">
      <c r="A193" s="80" t="s">
        <v>2733</v>
      </c>
      <c r="B193" s="81"/>
      <c r="C193" s="81"/>
      <c r="D193" s="81"/>
      <c r="E193" s="83"/>
      <c r="F193" s="81"/>
      <c r="G193" s="83"/>
      <c r="H193" s="83"/>
      <c r="I193" s="84" t="str">
        <f aca="false">IF(E193="","",A193&amp;"_1.jpg")</f>
        <v/>
      </c>
      <c r="J193" s="84" t="str">
        <f aca="false">IF(E193="","",A193&amp;"_2.jpg; "&amp;A193&amp;"_3.jpg")</f>
        <v/>
      </c>
      <c r="K193" s="84" t="str">
        <f aca="false">IF(E193="","",A193&amp;"_schema.jpg")</f>
        <v/>
      </c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 t="s">
        <v>96</v>
      </c>
      <c r="W193" s="81"/>
      <c r="X193" s="81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6" t="str">
        <f aca="false">IF(SUM(Y193:AJ193)=0,"",SUM(Y193:AJ193))</f>
        <v/>
      </c>
      <c r="AL193" s="84" t="str">
        <f aca="false">MID(IF(N(Y193)&gt;0,", "&amp;Y$2,"")&amp;IF(N(Z193)&gt;0,", "&amp;Z$2,"")&amp;IF(N(AA193)&gt;0,", "&amp;AA$2,"")&amp;IF(N(AB193)&gt;0,", "&amp;AB$2,"")&amp;IF(N(AC193)&gt;0,", "&amp;AC$2,"")&amp;IF(N(AD193)&gt;0,", "&amp;AD$2,"")&amp;IF(N(AE193)&gt;0,", "&amp;AE$2,"")&amp;IF(N(AF193)&gt;0,", "&amp;AF$2,"")&amp;IF(N(AG193)&gt;0,", "&amp;AG$2,"")&amp;IF(N(AH193)&gt;0,", "&amp;AH$2,"")&amp;IF(N(AI193)&gt;0,", "&amp;AI$2,"")&amp;IF(N(AJ193)&gt;0,", "&amp;AJ$2,""),3,999)</f>
        <v/>
      </c>
      <c r="AM193" s="87" t="str">
        <f aca="false">IF(E193="","",MID(IF(N(Y193)&gt;0,", "&amp;A193&amp;"-"&amp;Y$2,"")&amp;IF(N(Z193)&gt;0,", "&amp;A193&amp;"-"&amp;Z$2,"")&amp;IF(N(AA193)&gt;0,", "&amp;A193&amp;"-"&amp;AA$2,"")&amp;IF(N(AB193)&gt;0,", "&amp;A193&amp;"-"&amp;AB$2,"")&amp;IF(N(AC193)&gt;0,", "&amp;A193&amp;"-"&amp;AC$2,"")&amp;IF(N(AD193)&gt;0,", "&amp;A193&amp;"-"&amp;AD$2,"")&amp;IF(N(AE193)&gt;0,", "&amp;A193&amp;"-"&amp;AE$2,"")&amp;IF(N(AF193)&gt;0,", "&amp;A193&amp;"-"&amp;AF$2,"")&amp;IF(N(AG193)&gt;0,", "&amp;A193&amp;"-"&amp;AG$2,"")&amp;IF(N(AH193)&gt;0,", "&amp;A193&amp;"-"&amp;AH$2,"")&amp;IF(N(AI193)&gt;0,", "&amp;A193&amp;"-"&amp;AI$2,"")&amp;IF(N(AJ193)&gt;0,", "&amp;A193&amp;"-"&amp;AJ$2,""),3,999))</f>
        <v/>
      </c>
      <c r="AN193" s="81"/>
      <c r="AO193" s="88"/>
      <c r="AP193" s="89" t="str">
        <f aca="false">IF(AO193="","",ROUND(AO193/(1+Справочники!$B$13),2))</f>
        <v/>
      </c>
      <c r="AQ193" s="90" t="str">
        <f aca="false" t="array" ref="AQ193:AQ193">IF(AP193="","",AP193*INDEX(Справочники!$B$4:$B$7,MATCH("RUB",Справочники!$A$4:$A$7,0)))</f>
        <v/>
      </c>
      <c r="AR193" s="90" t="str">
        <f aca="false">IF(AQ193="","",ROUND(AQ193*(1+Справочники!$B$12),0))</f>
        <v/>
      </c>
      <c r="AS193" s="90" t="str">
        <f aca="false">IF(AR193="","",ROUND(AR193*(1-Справочники!$B$11),0))</f>
        <v/>
      </c>
      <c r="AT193" s="88"/>
      <c r="AU193" s="90" t="str">
        <f aca="false">IF(AT193="","",ROUND(AT193/(1+Справочники!$B$12),0))</f>
        <v/>
      </c>
      <c r="AV193" s="90" t="str">
        <f aca="false">IF(AT193="","",ROUND(AT193*(1-Справочники!$B$15),0))</f>
        <v/>
      </c>
      <c r="AW193" s="90" t="str">
        <f aca="false">IF(AT193="","",ROUND(AT193*(1-Справочники!$B$16),0))</f>
        <v/>
      </c>
      <c r="AX193" s="90" t="str">
        <f aca="false">IF(AT193="","",ROUND(AT193*(1-Справочники!$B$17),0))</f>
        <v/>
      </c>
      <c r="AY193" s="90" t="str">
        <f aca="false">IF(AT193="","",ROUND(AT193*(1-Справочники!$B$18),0))</f>
        <v/>
      </c>
      <c r="AZ193" s="90" t="str">
        <f aca="false">IF(AT193="","",ROUND(AT193*(1-Справочники!$B$19),0))</f>
        <v/>
      </c>
      <c r="BA193" s="81"/>
      <c r="BB193" s="81"/>
      <c r="BC193" s="81"/>
      <c r="BD193" s="81"/>
      <c r="BE193" s="91"/>
      <c r="BF193" s="81" t="s">
        <v>103</v>
      </c>
      <c r="BG193" s="89" t="n">
        <f aca="false" t="array" ref="BG193:BG193">IF(BF193="","",IFERROR(INDEX(Справочники!$B$4:$B$7,MATCH(BF193,Справочники!$A$4:$A$7,0)),""))</f>
        <v>68.5</v>
      </c>
      <c r="BH193" s="90" t="str">
        <f aca="false">IF(N(BN193)&gt;0,ROUND(SUMIF(ЗАКАЗЫ!$F$3:$F$500,$A193,ЗАКАЗЫ!$Y$3:$Y$500)/BN193,0),IF(OR(BE193="",BG193=""),"",ROUND(BE193*BG193*(1+Справочники!$B$10),0)))</f>
        <v/>
      </c>
      <c r="BI193" s="92" t="str">
        <f aca="false">IF(OR(AU193="",BH193="",AU193=0),"",(AU193-BH193)/AU193)</f>
        <v/>
      </c>
      <c r="BJ193" s="81"/>
      <c r="BK193" s="83"/>
      <c r="BL193" s="43" t="str">
        <f aca="false">IFERROR(INDEX(ЗАКАЗЫ!$N$3:$N$500,MATCH($A193,ЗАКАЗЫ!$F$3:$F$500,0)),"")</f>
        <v/>
      </c>
      <c r="BM193" s="8" t="str">
        <f aca="false">IF(BL193="","",IFERROR(VLOOKUP(BL193,'ТН ВЭД'!$A$4:$C$40,3,0),""))</f>
        <v/>
      </c>
      <c r="BN193" s="7" t="str">
        <f aca="false">IF(COUNTIF(ЗАКАЗЫ!$F$3:$F$500,$A193)=0,"",SUMIF(ЗАКАЗЫ!$F$3:$F$500,$A193,ЗАКАЗЫ!$J$3:$J$500))</f>
        <v/>
      </c>
      <c r="BO193" s="7" t="str">
        <f aca="false">IF(BN193="","",SUMIF(ЗАКАЗЫ!$F$3:$F$500,$A193,ЗАКАЗЫ!$AL$3:$AL$500))</f>
        <v/>
      </c>
      <c r="BP193" s="7" t="str">
        <f aca="false">IF(BN193="","",BN193-BO193)</f>
        <v/>
      </c>
      <c r="BQ193" s="55" t="str">
        <f aca="false">IF(BN193="","",IF(BO193&gt;=BN193,"На складе",IF(BO193&gt;0,"Частично","Ждём")))</f>
        <v/>
      </c>
      <c r="BR193" s="43"/>
      <c r="BS193" s="47" t="str">
        <f aca="false">IF(BN193="","",IF(_xlfn.MAXIFS(ЗАКАЗЫ!$AK$3:$AK$500,ЗАКАЗЫ!$F$3:$F$500,$A193)=0,"",_xlfn.MAXIFS(ЗАКАЗЫ!$AK$3:$AK$500,ЗАКАЗЫ!$F$3:$F$500,$A193)))</f>
        <v/>
      </c>
    </row>
    <row r="194" customFormat="false" ht="15.75" hidden="false" customHeight="true" outlineLevel="0" collapsed="false">
      <c r="A194" s="80" t="s">
        <v>2734</v>
      </c>
      <c r="B194" s="81"/>
      <c r="C194" s="81"/>
      <c r="D194" s="81"/>
      <c r="E194" s="83"/>
      <c r="F194" s="81"/>
      <c r="G194" s="83"/>
      <c r="H194" s="83"/>
      <c r="I194" s="84" t="str">
        <f aca="false">IF(E194="","",A194&amp;"_1.jpg")</f>
        <v/>
      </c>
      <c r="J194" s="84" t="str">
        <f aca="false">IF(E194="","",A194&amp;"_2.jpg; "&amp;A194&amp;"_3.jpg")</f>
        <v/>
      </c>
      <c r="K194" s="84" t="str">
        <f aca="false">IF(E194="","",A194&amp;"_schema.jpg")</f>
        <v/>
      </c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 t="s">
        <v>96</v>
      </c>
      <c r="W194" s="81"/>
      <c r="X194" s="81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6" t="str">
        <f aca="false">IF(SUM(Y194:AJ194)=0,"",SUM(Y194:AJ194))</f>
        <v/>
      </c>
      <c r="AL194" s="84" t="str">
        <f aca="false">MID(IF(N(Y194)&gt;0,", "&amp;Y$2,"")&amp;IF(N(Z194)&gt;0,", "&amp;Z$2,"")&amp;IF(N(AA194)&gt;0,", "&amp;AA$2,"")&amp;IF(N(AB194)&gt;0,", "&amp;AB$2,"")&amp;IF(N(AC194)&gt;0,", "&amp;AC$2,"")&amp;IF(N(AD194)&gt;0,", "&amp;AD$2,"")&amp;IF(N(AE194)&gt;0,", "&amp;AE$2,"")&amp;IF(N(AF194)&gt;0,", "&amp;AF$2,"")&amp;IF(N(AG194)&gt;0,", "&amp;AG$2,"")&amp;IF(N(AH194)&gt;0,", "&amp;AH$2,"")&amp;IF(N(AI194)&gt;0,", "&amp;AI$2,"")&amp;IF(N(AJ194)&gt;0,", "&amp;AJ$2,""),3,999)</f>
        <v/>
      </c>
      <c r="AM194" s="87" t="str">
        <f aca="false">IF(E194="","",MID(IF(N(Y194)&gt;0,", "&amp;A194&amp;"-"&amp;Y$2,"")&amp;IF(N(Z194)&gt;0,", "&amp;A194&amp;"-"&amp;Z$2,"")&amp;IF(N(AA194)&gt;0,", "&amp;A194&amp;"-"&amp;AA$2,"")&amp;IF(N(AB194)&gt;0,", "&amp;A194&amp;"-"&amp;AB$2,"")&amp;IF(N(AC194)&gt;0,", "&amp;A194&amp;"-"&amp;AC$2,"")&amp;IF(N(AD194)&gt;0,", "&amp;A194&amp;"-"&amp;AD$2,"")&amp;IF(N(AE194)&gt;0,", "&amp;A194&amp;"-"&amp;AE$2,"")&amp;IF(N(AF194)&gt;0,", "&amp;A194&amp;"-"&amp;AF$2,"")&amp;IF(N(AG194)&gt;0,", "&amp;A194&amp;"-"&amp;AG$2,"")&amp;IF(N(AH194)&gt;0,", "&amp;A194&amp;"-"&amp;AH$2,"")&amp;IF(N(AI194)&gt;0,", "&amp;A194&amp;"-"&amp;AI$2,"")&amp;IF(N(AJ194)&gt;0,", "&amp;A194&amp;"-"&amp;AJ$2,""),3,999))</f>
        <v/>
      </c>
      <c r="AN194" s="81"/>
      <c r="AO194" s="88"/>
      <c r="AP194" s="89" t="str">
        <f aca="false">IF(AO194="","",ROUND(AO194/(1+Справочники!$B$13),2))</f>
        <v/>
      </c>
      <c r="AQ194" s="90" t="str">
        <f aca="false" t="array" ref="AQ194:AQ194">IF(AP194="","",AP194*INDEX(Справочники!$B$4:$B$7,MATCH("RUB",Справочники!$A$4:$A$7,0)))</f>
        <v/>
      </c>
      <c r="AR194" s="90" t="str">
        <f aca="false">IF(AQ194="","",ROUND(AQ194*(1+Справочники!$B$12),0))</f>
        <v/>
      </c>
      <c r="AS194" s="90" t="str">
        <f aca="false">IF(AR194="","",ROUND(AR194*(1-Справочники!$B$11),0))</f>
        <v/>
      </c>
      <c r="AT194" s="88"/>
      <c r="AU194" s="90" t="str">
        <f aca="false">IF(AT194="","",ROUND(AT194/(1+Справочники!$B$12),0))</f>
        <v/>
      </c>
      <c r="AV194" s="90" t="str">
        <f aca="false">IF(AT194="","",ROUND(AT194*(1-Справочники!$B$15),0))</f>
        <v/>
      </c>
      <c r="AW194" s="90" t="str">
        <f aca="false">IF(AT194="","",ROUND(AT194*(1-Справочники!$B$16),0))</f>
        <v/>
      </c>
      <c r="AX194" s="90" t="str">
        <f aca="false">IF(AT194="","",ROUND(AT194*(1-Справочники!$B$17),0))</f>
        <v/>
      </c>
      <c r="AY194" s="90" t="str">
        <f aca="false">IF(AT194="","",ROUND(AT194*(1-Справочники!$B$18),0))</f>
        <v/>
      </c>
      <c r="AZ194" s="90" t="str">
        <f aca="false">IF(AT194="","",ROUND(AT194*(1-Справочники!$B$19),0))</f>
        <v/>
      </c>
      <c r="BA194" s="81"/>
      <c r="BB194" s="81"/>
      <c r="BC194" s="81"/>
      <c r="BD194" s="81"/>
      <c r="BE194" s="91"/>
      <c r="BF194" s="81" t="s">
        <v>103</v>
      </c>
      <c r="BG194" s="89" t="n">
        <f aca="false" t="array" ref="BG194:BG194">IF(BF194="","",IFERROR(INDEX(Справочники!$B$4:$B$7,MATCH(BF194,Справочники!$A$4:$A$7,0)),""))</f>
        <v>68.5</v>
      </c>
      <c r="BH194" s="90" t="str">
        <f aca="false">IF(N(BN194)&gt;0,ROUND(SUMIF(ЗАКАЗЫ!$F$3:$F$500,$A194,ЗАКАЗЫ!$Y$3:$Y$500)/BN194,0),IF(OR(BE194="",BG194=""),"",ROUND(BE194*BG194*(1+Справочники!$B$10),0)))</f>
        <v/>
      </c>
      <c r="BI194" s="92" t="str">
        <f aca="false">IF(OR(AU194="",BH194="",AU194=0),"",(AU194-BH194)/AU194)</f>
        <v/>
      </c>
      <c r="BJ194" s="81"/>
      <c r="BK194" s="83"/>
      <c r="BL194" s="43" t="str">
        <f aca="false">IFERROR(INDEX(ЗАКАЗЫ!$N$3:$N$500,MATCH($A194,ЗАКАЗЫ!$F$3:$F$500,0)),"")</f>
        <v/>
      </c>
      <c r="BM194" s="8" t="str">
        <f aca="false">IF(BL194="","",IFERROR(VLOOKUP(BL194,'ТН ВЭД'!$A$4:$C$40,3,0),""))</f>
        <v/>
      </c>
      <c r="BN194" s="7" t="str">
        <f aca="false">IF(COUNTIF(ЗАКАЗЫ!$F$3:$F$500,$A194)=0,"",SUMIF(ЗАКАЗЫ!$F$3:$F$500,$A194,ЗАКАЗЫ!$J$3:$J$500))</f>
        <v/>
      </c>
      <c r="BO194" s="7" t="str">
        <f aca="false">IF(BN194="","",SUMIF(ЗАКАЗЫ!$F$3:$F$500,$A194,ЗАКАЗЫ!$AL$3:$AL$500))</f>
        <v/>
      </c>
      <c r="BP194" s="7" t="str">
        <f aca="false">IF(BN194="","",BN194-BO194)</f>
        <v/>
      </c>
      <c r="BQ194" s="55" t="str">
        <f aca="false">IF(BN194="","",IF(BO194&gt;=BN194,"На складе",IF(BO194&gt;0,"Частично","Ждём")))</f>
        <v/>
      </c>
      <c r="BR194" s="43"/>
      <c r="BS194" s="47" t="str">
        <f aca="false">IF(BN194="","",IF(_xlfn.MAXIFS(ЗАКАЗЫ!$AK$3:$AK$500,ЗАКАЗЫ!$F$3:$F$500,$A194)=0,"",_xlfn.MAXIFS(ЗАКАЗЫ!$AK$3:$AK$500,ЗАКАЗЫ!$F$3:$F$500,$A194)))</f>
        <v/>
      </c>
    </row>
    <row r="195" customFormat="false" ht="15.75" hidden="false" customHeight="true" outlineLevel="0" collapsed="false">
      <c r="A195" s="80" t="s">
        <v>2735</v>
      </c>
      <c r="B195" s="81"/>
      <c r="C195" s="81"/>
      <c r="D195" s="81"/>
      <c r="E195" s="83"/>
      <c r="F195" s="81"/>
      <c r="G195" s="83"/>
      <c r="H195" s="83"/>
      <c r="I195" s="84" t="str">
        <f aca="false">IF(E195="","",A195&amp;"_1.jpg")</f>
        <v/>
      </c>
      <c r="J195" s="84" t="str">
        <f aca="false">IF(E195="","",A195&amp;"_2.jpg; "&amp;A195&amp;"_3.jpg")</f>
        <v/>
      </c>
      <c r="K195" s="84" t="str">
        <f aca="false">IF(E195="","",A195&amp;"_schema.jpg")</f>
        <v/>
      </c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 t="s">
        <v>96</v>
      </c>
      <c r="W195" s="81"/>
      <c r="X195" s="81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6" t="str">
        <f aca="false">IF(SUM(Y195:AJ195)=0,"",SUM(Y195:AJ195))</f>
        <v/>
      </c>
      <c r="AL195" s="84" t="str">
        <f aca="false">MID(IF(N(Y195)&gt;0,", "&amp;Y$2,"")&amp;IF(N(Z195)&gt;0,", "&amp;Z$2,"")&amp;IF(N(AA195)&gt;0,", "&amp;AA$2,"")&amp;IF(N(AB195)&gt;0,", "&amp;AB$2,"")&amp;IF(N(AC195)&gt;0,", "&amp;AC$2,"")&amp;IF(N(AD195)&gt;0,", "&amp;AD$2,"")&amp;IF(N(AE195)&gt;0,", "&amp;AE$2,"")&amp;IF(N(AF195)&gt;0,", "&amp;AF$2,"")&amp;IF(N(AG195)&gt;0,", "&amp;AG$2,"")&amp;IF(N(AH195)&gt;0,", "&amp;AH$2,"")&amp;IF(N(AI195)&gt;0,", "&amp;AI$2,"")&amp;IF(N(AJ195)&gt;0,", "&amp;AJ$2,""),3,999)</f>
        <v/>
      </c>
      <c r="AM195" s="87" t="str">
        <f aca="false">IF(E195="","",MID(IF(N(Y195)&gt;0,", "&amp;A195&amp;"-"&amp;Y$2,"")&amp;IF(N(Z195)&gt;0,", "&amp;A195&amp;"-"&amp;Z$2,"")&amp;IF(N(AA195)&gt;0,", "&amp;A195&amp;"-"&amp;AA$2,"")&amp;IF(N(AB195)&gt;0,", "&amp;A195&amp;"-"&amp;AB$2,"")&amp;IF(N(AC195)&gt;0,", "&amp;A195&amp;"-"&amp;AC$2,"")&amp;IF(N(AD195)&gt;0,", "&amp;A195&amp;"-"&amp;AD$2,"")&amp;IF(N(AE195)&gt;0,", "&amp;A195&amp;"-"&amp;AE$2,"")&amp;IF(N(AF195)&gt;0,", "&amp;A195&amp;"-"&amp;AF$2,"")&amp;IF(N(AG195)&gt;0,", "&amp;A195&amp;"-"&amp;AG$2,"")&amp;IF(N(AH195)&gt;0,", "&amp;A195&amp;"-"&amp;AH$2,"")&amp;IF(N(AI195)&gt;0,", "&amp;A195&amp;"-"&amp;AI$2,"")&amp;IF(N(AJ195)&gt;0,", "&amp;A195&amp;"-"&amp;AJ$2,""),3,999))</f>
        <v/>
      </c>
      <c r="AN195" s="81"/>
      <c r="AO195" s="88"/>
      <c r="AP195" s="89" t="str">
        <f aca="false">IF(AO195="","",ROUND(AO195/(1+Справочники!$B$13),2))</f>
        <v/>
      </c>
      <c r="AQ195" s="90" t="str">
        <f aca="false" t="array" ref="AQ195:AQ195">IF(AP195="","",AP195*INDEX(Справочники!$B$4:$B$7,MATCH("RUB",Справочники!$A$4:$A$7,0)))</f>
        <v/>
      </c>
      <c r="AR195" s="90" t="str">
        <f aca="false">IF(AQ195="","",ROUND(AQ195*(1+Справочники!$B$12),0))</f>
        <v/>
      </c>
      <c r="AS195" s="90" t="str">
        <f aca="false">IF(AR195="","",ROUND(AR195*(1-Справочники!$B$11),0))</f>
        <v/>
      </c>
      <c r="AT195" s="88"/>
      <c r="AU195" s="90" t="str">
        <f aca="false">IF(AT195="","",ROUND(AT195/(1+Справочники!$B$12),0))</f>
        <v/>
      </c>
      <c r="AV195" s="90" t="str">
        <f aca="false">IF(AT195="","",ROUND(AT195*(1-Справочники!$B$15),0))</f>
        <v/>
      </c>
      <c r="AW195" s="90" t="str">
        <f aca="false">IF(AT195="","",ROUND(AT195*(1-Справочники!$B$16),0))</f>
        <v/>
      </c>
      <c r="AX195" s="90" t="str">
        <f aca="false">IF(AT195="","",ROUND(AT195*(1-Справочники!$B$17),0))</f>
        <v/>
      </c>
      <c r="AY195" s="90" t="str">
        <f aca="false">IF(AT195="","",ROUND(AT195*(1-Справочники!$B$18),0))</f>
        <v/>
      </c>
      <c r="AZ195" s="90" t="str">
        <f aca="false">IF(AT195="","",ROUND(AT195*(1-Справочники!$B$19),0))</f>
        <v/>
      </c>
      <c r="BA195" s="81"/>
      <c r="BB195" s="81"/>
      <c r="BC195" s="81"/>
      <c r="BD195" s="81"/>
      <c r="BE195" s="91"/>
      <c r="BF195" s="81" t="s">
        <v>103</v>
      </c>
      <c r="BG195" s="89" t="n">
        <f aca="false" t="array" ref="BG195:BG195">IF(BF195="","",IFERROR(INDEX(Справочники!$B$4:$B$7,MATCH(BF195,Справочники!$A$4:$A$7,0)),""))</f>
        <v>68.5</v>
      </c>
      <c r="BH195" s="90" t="str">
        <f aca="false">IF(N(BN195)&gt;0,ROUND(SUMIF(ЗАКАЗЫ!$F$3:$F$500,$A195,ЗАКАЗЫ!$Y$3:$Y$500)/BN195,0),IF(OR(BE195="",BG195=""),"",ROUND(BE195*BG195*(1+Справочники!$B$10),0)))</f>
        <v/>
      </c>
      <c r="BI195" s="92" t="str">
        <f aca="false">IF(OR(AU195="",BH195="",AU195=0),"",(AU195-BH195)/AU195)</f>
        <v/>
      </c>
      <c r="BJ195" s="81"/>
      <c r="BK195" s="83"/>
      <c r="BL195" s="43" t="str">
        <f aca="false">IFERROR(INDEX(ЗАКАЗЫ!$N$3:$N$500,MATCH($A195,ЗАКАЗЫ!$F$3:$F$500,0)),"")</f>
        <v/>
      </c>
      <c r="BM195" s="8" t="str">
        <f aca="false">IF(BL195="","",IFERROR(VLOOKUP(BL195,'ТН ВЭД'!$A$4:$C$40,3,0),""))</f>
        <v/>
      </c>
      <c r="BN195" s="7" t="str">
        <f aca="false">IF(COUNTIF(ЗАКАЗЫ!$F$3:$F$500,$A195)=0,"",SUMIF(ЗАКАЗЫ!$F$3:$F$500,$A195,ЗАКАЗЫ!$J$3:$J$500))</f>
        <v/>
      </c>
      <c r="BO195" s="7" t="str">
        <f aca="false">IF(BN195="","",SUMIF(ЗАКАЗЫ!$F$3:$F$500,$A195,ЗАКАЗЫ!$AL$3:$AL$500))</f>
        <v/>
      </c>
      <c r="BP195" s="7" t="str">
        <f aca="false">IF(BN195="","",BN195-BO195)</f>
        <v/>
      </c>
      <c r="BQ195" s="55" t="str">
        <f aca="false">IF(BN195="","",IF(BO195&gt;=BN195,"На складе",IF(BO195&gt;0,"Частично","Ждём")))</f>
        <v/>
      </c>
      <c r="BR195" s="43"/>
      <c r="BS195" s="47" t="str">
        <f aca="false">IF(BN195="","",IF(_xlfn.MAXIFS(ЗАКАЗЫ!$AK$3:$AK$500,ЗАКАЗЫ!$F$3:$F$500,$A195)=0,"",_xlfn.MAXIFS(ЗАКАЗЫ!$AK$3:$AK$500,ЗАКАЗЫ!$F$3:$F$500,$A195)))</f>
        <v/>
      </c>
    </row>
    <row r="196" customFormat="false" ht="15.75" hidden="false" customHeight="true" outlineLevel="0" collapsed="false">
      <c r="A196" s="80" t="s">
        <v>2736</v>
      </c>
      <c r="B196" s="81"/>
      <c r="C196" s="81"/>
      <c r="D196" s="81"/>
      <c r="E196" s="83"/>
      <c r="F196" s="81"/>
      <c r="G196" s="83"/>
      <c r="H196" s="83"/>
      <c r="I196" s="84" t="str">
        <f aca="false">IF(E196="","",A196&amp;"_1.jpg")</f>
        <v/>
      </c>
      <c r="J196" s="84" t="str">
        <f aca="false">IF(E196="","",A196&amp;"_2.jpg; "&amp;A196&amp;"_3.jpg")</f>
        <v/>
      </c>
      <c r="K196" s="84" t="str">
        <f aca="false">IF(E196="","",A196&amp;"_schema.jpg")</f>
        <v/>
      </c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 t="s">
        <v>96</v>
      </c>
      <c r="W196" s="81"/>
      <c r="X196" s="81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6" t="str">
        <f aca="false">IF(SUM(Y196:AJ196)=0,"",SUM(Y196:AJ196))</f>
        <v/>
      </c>
      <c r="AL196" s="84" t="str">
        <f aca="false">MID(IF(N(Y196)&gt;0,", "&amp;Y$2,"")&amp;IF(N(Z196)&gt;0,", "&amp;Z$2,"")&amp;IF(N(AA196)&gt;0,", "&amp;AA$2,"")&amp;IF(N(AB196)&gt;0,", "&amp;AB$2,"")&amp;IF(N(AC196)&gt;0,", "&amp;AC$2,"")&amp;IF(N(AD196)&gt;0,", "&amp;AD$2,"")&amp;IF(N(AE196)&gt;0,", "&amp;AE$2,"")&amp;IF(N(AF196)&gt;0,", "&amp;AF$2,"")&amp;IF(N(AG196)&gt;0,", "&amp;AG$2,"")&amp;IF(N(AH196)&gt;0,", "&amp;AH$2,"")&amp;IF(N(AI196)&gt;0,", "&amp;AI$2,"")&amp;IF(N(AJ196)&gt;0,", "&amp;AJ$2,""),3,999)</f>
        <v/>
      </c>
      <c r="AM196" s="87" t="str">
        <f aca="false">IF(E196="","",MID(IF(N(Y196)&gt;0,", "&amp;A196&amp;"-"&amp;Y$2,"")&amp;IF(N(Z196)&gt;0,", "&amp;A196&amp;"-"&amp;Z$2,"")&amp;IF(N(AA196)&gt;0,", "&amp;A196&amp;"-"&amp;AA$2,"")&amp;IF(N(AB196)&gt;0,", "&amp;A196&amp;"-"&amp;AB$2,"")&amp;IF(N(AC196)&gt;0,", "&amp;A196&amp;"-"&amp;AC$2,"")&amp;IF(N(AD196)&gt;0,", "&amp;A196&amp;"-"&amp;AD$2,"")&amp;IF(N(AE196)&gt;0,", "&amp;A196&amp;"-"&amp;AE$2,"")&amp;IF(N(AF196)&gt;0,", "&amp;A196&amp;"-"&amp;AF$2,"")&amp;IF(N(AG196)&gt;0,", "&amp;A196&amp;"-"&amp;AG$2,"")&amp;IF(N(AH196)&gt;0,", "&amp;A196&amp;"-"&amp;AH$2,"")&amp;IF(N(AI196)&gt;0,", "&amp;A196&amp;"-"&amp;AI$2,"")&amp;IF(N(AJ196)&gt;0,", "&amp;A196&amp;"-"&amp;AJ$2,""),3,999))</f>
        <v/>
      </c>
      <c r="AN196" s="81"/>
      <c r="AO196" s="88"/>
      <c r="AP196" s="89" t="str">
        <f aca="false">IF(AO196="","",ROUND(AO196/(1+Справочники!$B$13),2))</f>
        <v/>
      </c>
      <c r="AQ196" s="90" t="str">
        <f aca="false" t="array" ref="AQ196:AQ196">IF(AP196="","",AP196*INDEX(Справочники!$B$4:$B$7,MATCH("RUB",Справочники!$A$4:$A$7,0)))</f>
        <v/>
      </c>
      <c r="AR196" s="90" t="str">
        <f aca="false">IF(AQ196="","",ROUND(AQ196*(1+Справочники!$B$12),0))</f>
        <v/>
      </c>
      <c r="AS196" s="90" t="str">
        <f aca="false">IF(AR196="","",ROUND(AR196*(1-Справочники!$B$11),0))</f>
        <v/>
      </c>
      <c r="AT196" s="88"/>
      <c r="AU196" s="90" t="str">
        <f aca="false">IF(AT196="","",ROUND(AT196/(1+Справочники!$B$12),0))</f>
        <v/>
      </c>
      <c r="AV196" s="90" t="str">
        <f aca="false">IF(AT196="","",ROUND(AT196*(1-Справочники!$B$15),0))</f>
        <v/>
      </c>
      <c r="AW196" s="90" t="str">
        <f aca="false">IF(AT196="","",ROUND(AT196*(1-Справочники!$B$16),0))</f>
        <v/>
      </c>
      <c r="AX196" s="90" t="str">
        <f aca="false">IF(AT196="","",ROUND(AT196*(1-Справочники!$B$17),0))</f>
        <v/>
      </c>
      <c r="AY196" s="90" t="str">
        <f aca="false">IF(AT196="","",ROUND(AT196*(1-Справочники!$B$18),0))</f>
        <v/>
      </c>
      <c r="AZ196" s="90" t="str">
        <f aca="false">IF(AT196="","",ROUND(AT196*(1-Справочники!$B$19),0))</f>
        <v/>
      </c>
      <c r="BA196" s="81"/>
      <c r="BB196" s="81"/>
      <c r="BC196" s="81"/>
      <c r="BD196" s="81"/>
      <c r="BE196" s="91"/>
      <c r="BF196" s="81" t="s">
        <v>103</v>
      </c>
      <c r="BG196" s="89" t="n">
        <f aca="false" t="array" ref="BG196:BG196">IF(BF196="","",IFERROR(INDEX(Справочники!$B$4:$B$7,MATCH(BF196,Справочники!$A$4:$A$7,0)),""))</f>
        <v>68.5</v>
      </c>
      <c r="BH196" s="90" t="str">
        <f aca="false">IF(N(BN196)&gt;0,ROUND(SUMIF(ЗАКАЗЫ!$F$3:$F$500,$A196,ЗАКАЗЫ!$Y$3:$Y$500)/BN196,0),IF(OR(BE196="",BG196=""),"",ROUND(BE196*BG196*(1+Справочники!$B$10),0)))</f>
        <v/>
      </c>
      <c r="BI196" s="92" t="str">
        <f aca="false">IF(OR(AU196="",BH196="",AU196=0),"",(AU196-BH196)/AU196)</f>
        <v/>
      </c>
      <c r="BJ196" s="81"/>
      <c r="BK196" s="83"/>
      <c r="BL196" s="43" t="str">
        <f aca="false">IFERROR(INDEX(ЗАКАЗЫ!$N$3:$N$500,MATCH($A196,ЗАКАЗЫ!$F$3:$F$500,0)),"")</f>
        <v/>
      </c>
      <c r="BM196" s="8" t="str">
        <f aca="false">IF(BL196="","",IFERROR(VLOOKUP(BL196,'ТН ВЭД'!$A$4:$C$40,3,0),""))</f>
        <v/>
      </c>
      <c r="BN196" s="7" t="str">
        <f aca="false">IF(COUNTIF(ЗАКАЗЫ!$F$3:$F$500,$A196)=0,"",SUMIF(ЗАКАЗЫ!$F$3:$F$500,$A196,ЗАКАЗЫ!$J$3:$J$500))</f>
        <v/>
      </c>
      <c r="BO196" s="7" t="str">
        <f aca="false">IF(BN196="","",SUMIF(ЗАКАЗЫ!$F$3:$F$500,$A196,ЗАКАЗЫ!$AL$3:$AL$500))</f>
        <v/>
      </c>
      <c r="BP196" s="7" t="str">
        <f aca="false">IF(BN196="","",BN196-BO196)</f>
        <v/>
      </c>
      <c r="BQ196" s="55" t="str">
        <f aca="false">IF(BN196="","",IF(BO196&gt;=BN196,"На складе",IF(BO196&gt;0,"Частично","Ждём")))</f>
        <v/>
      </c>
      <c r="BR196" s="43"/>
      <c r="BS196" s="47" t="str">
        <f aca="false">IF(BN196="","",IF(_xlfn.MAXIFS(ЗАКАЗЫ!$AK$3:$AK$500,ЗАКАЗЫ!$F$3:$F$500,$A196)=0,"",_xlfn.MAXIFS(ЗАКАЗЫ!$AK$3:$AK$500,ЗАКАЗЫ!$F$3:$F$500,$A196)))</f>
        <v/>
      </c>
    </row>
    <row r="197" customFormat="false" ht="15.75" hidden="false" customHeight="true" outlineLevel="0" collapsed="false">
      <c r="A197" s="80" t="s">
        <v>2737</v>
      </c>
      <c r="B197" s="81"/>
      <c r="C197" s="81"/>
      <c r="D197" s="81"/>
      <c r="E197" s="83"/>
      <c r="F197" s="81"/>
      <c r="G197" s="83"/>
      <c r="H197" s="83"/>
      <c r="I197" s="84" t="str">
        <f aca="false">IF(E197="","",A197&amp;"_1.jpg")</f>
        <v/>
      </c>
      <c r="J197" s="84" t="str">
        <f aca="false">IF(E197="","",A197&amp;"_2.jpg; "&amp;A197&amp;"_3.jpg")</f>
        <v/>
      </c>
      <c r="K197" s="84" t="str">
        <f aca="false">IF(E197="","",A197&amp;"_schema.jpg")</f>
        <v/>
      </c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 t="s">
        <v>96</v>
      </c>
      <c r="W197" s="81"/>
      <c r="X197" s="81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6" t="str">
        <f aca="false">IF(SUM(Y197:AJ197)=0,"",SUM(Y197:AJ197))</f>
        <v/>
      </c>
      <c r="AL197" s="84" t="str">
        <f aca="false">MID(IF(N(Y197)&gt;0,", "&amp;Y$2,"")&amp;IF(N(Z197)&gt;0,", "&amp;Z$2,"")&amp;IF(N(AA197)&gt;0,", "&amp;AA$2,"")&amp;IF(N(AB197)&gt;0,", "&amp;AB$2,"")&amp;IF(N(AC197)&gt;0,", "&amp;AC$2,"")&amp;IF(N(AD197)&gt;0,", "&amp;AD$2,"")&amp;IF(N(AE197)&gt;0,", "&amp;AE$2,"")&amp;IF(N(AF197)&gt;0,", "&amp;AF$2,"")&amp;IF(N(AG197)&gt;0,", "&amp;AG$2,"")&amp;IF(N(AH197)&gt;0,", "&amp;AH$2,"")&amp;IF(N(AI197)&gt;0,", "&amp;AI$2,"")&amp;IF(N(AJ197)&gt;0,", "&amp;AJ$2,""),3,999)</f>
        <v/>
      </c>
      <c r="AM197" s="87" t="str">
        <f aca="false">IF(E197="","",MID(IF(N(Y197)&gt;0,", "&amp;A197&amp;"-"&amp;Y$2,"")&amp;IF(N(Z197)&gt;0,", "&amp;A197&amp;"-"&amp;Z$2,"")&amp;IF(N(AA197)&gt;0,", "&amp;A197&amp;"-"&amp;AA$2,"")&amp;IF(N(AB197)&gt;0,", "&amp;A197&amp;"-"&amp;AB$2,"")&amp;IF(N(AC197)&gt;0,", "&amp;A197&amp;"-"&amp;AC$2,"")&amp;IF(N(AD197)&gt;0,", "&amp;A197&amp;"-"&amp;AD$2,"")&amp;IF(N(AE197)&gt;0,", "&amp;A197&amp;"-"&amp;AE$2,"")&amp;IF(N(AF197)&gt;0,", "&amp;A197&amp;"-"&amp;AF$2,"")&amp;IF(N(AG197)&gt;0,", "&amp;A197&amp;"-"&amp;AG$2,"")&amp;IF(N(AH197)&gt;0,", "&amp;A197&amp;"-"&amp;AH$2,"")&amp;IF(N(AI197)&gt;0,", "&amp;A197&amp;"-"&amp;AI$2,"")&amp;IF(N(AJ197)&gt;0,", "&amp;A197&amp;"-"&amp;AJ$2,""),3,999))</f>
        <v/>
      </c>
      <c r="AN197" s="81"/>
      <c r="AO197" s="88"/>
      <c r="AP197" s="89" t="str">
        <f aca="false">IF(AO197="","",ROUND(AO197/(1+Справочники!$B$13),2))</f>
        <v/>
      </c>
      <c r="AQ197" s="90" t="str">
        <f aca="false" t="array" ref="AQ197:AQ197">IF(AP197="","",AP197*INDEX(Справочники!$B$4:$B$7,MATCH("RUB",Справочники!$A$4:$A$7,0)))</f>
        <v/>
      </c>
      <c r="AR197" s="90" t="str">
        <f aca="false">IF(AQ197="","",ROUND(AQ197*(1+Справочники!$B$12),0))</f>
        <v/>
      </c>
      <c r="AS197" s="90" t="str">
        <f aca="false">IF(AR197="","",ROUND(AR197*(1-Справочники!$B$11),0))</f>
        <v/>
      </c>
      <c r="AT197" s="88"/>
      <c r="AU197" s="90" t="str">
        <f aca="false">IF(AT197="","",ROUND(AT197/(1+Справочники!$B$12),0))</f>
        <v/>
      </c>
      <c r="AV197" s="90" t="str">
        <f aca="false">IF(AT197="","",ROUND(AT197*(1-Справочники!$B$15),0))</f>
        <v/>
      </c>
      <c r="AW197" s="90" t="str">
        <f aca="false">IF(AT197="","",ROUND(AT197*(1-Справочники!$B$16),0))</f>
        <v/>
      </c>
      <c r="AX197" s="90" t="str">
        <f aca="false">IF(AT197="","",ROUND(AT197*(1-Справочники!$B$17),0))</f>
        <v/>
      </c>
      <c r="AY197" s="90" t="str">
        <f aca="false">IF(AT197="","",ROUND(AT197*(1-Справочники!$B$18),0))</f>
        <v/>
      </c>
      <c r="AZ197" s="90" t="str">
        <f aca="false">IF(AT197="","",ROUND(AT197*(1-Справочники!$B$19),0))</f>
        <v/>
      </c>
      <c r="BA197" s="81"/>
      <c r="BB197" s="81"/>
      <c r="BC197" s="81"/>
      <c r="BD197" s="81"/>
      <c r="BE197" s="91"/>
      <c r="BF197" s="81" t="s">
        <v>103</v>
      </c>
      <c r="BG197" s="89" t="n">
        <f aca="false" t="array" ref="BG197:BG197">IF(BF197="","",IFERROR(INDEX(Справочники!$B$4:$B$7,MATCH(BF197,Справочники!$A$4:$A$7,0)),""))</f>
        <v>68.5</v>
      </c>
      <c r="BH197" s="90" t="str">
        <f aca="false">IF(N(BN197)&gt;0,ROUND(SUMIF(ЗАКАЗЫ!$F$3:$F$500,$A197,ЗАКАЗЫ!$Y$3:$Y$500)/BN197,0),IF(OR(BE197="",BG197=""),"",ROUND(BE197*BG197*(1+Справочники!$B$10),0)))</f>
        <v/>
      </c>
      <c r="BI197" s="92" t="str">
        <f aca="false">IF(OR(AU197="",BH197="",AU197=0),"",(AU197-BH197)/AU197)</f>
        <v/>
      </c>
      <c r="BJ197" s="81"/>
      <c r="BK197" s="83"/>
      <c r="BL197" s="43" t="str">
        <f aca="false">IFERROR(INDEX(ЗАКАЗЫ!$N$3:$N$500,MATCH($A197,ЗАКАЗЫ!$F$3:$F$500,0)),"")</f>
        <v/>
      </c>
      <c r="BM197" s="8" t="str">
        <f aca="false">IF(BL197="","",IFERROR(VLOOKUP(BL197,'ТН ВЭД'!$A$4:$C$40,3,0),""))</f>
        <v/>
      </c>
      <c r="BN197" s="7" t="str">
        <f aca="false">IF(COUNTIF(ЗАКАЗЫ!$F$3:$F$500,$A197)=0,"",SUMIF(ЗАКАЗЫ!$F$3:$F$500,$A197,ЗАКАЗЫ!$J$3:$J$500))</f>
        <v/>
      </c>
      <c r="BO197" s="7" t="str">
        <f aca="false">IF(BN197="","",SUMIF(ЗАКАЗЫ!$F$3:$F$500,$A197,ЗАКАЗЫ!$AL$3:$AL$500))</f>
        <v/>
      </c>
      <c r="BP197" s="7" t="str">
        <f aca="false">IF(BN197="","",BN197-BO197)</f>
        <v/>
      </c>
      <c r="BQ197" s="55" t="str">
        <f aca="false">IF(BN197="","",IF(BO197&gt;=BN197,"На складе",IF(BO197&gt;0,"Частично","Ждём")))</f>
        <v/>
      </c>
      <c r="BR197" s="43"/>
      <c r="BS197" s="47" t="str">
        <f aca="false">IF(BN197="","",IF(_xlfn.MAXIFS(ЗАКАЗЫ!$AK$3:$AK$500,ЗАКАЗЫ!$F$3:$F$500,$A197)=0,"",_xlfn.MAXIFS(ЗАКАЗЫ!$AK$3:$AK$500,ЗАКАЗЫ!$F$3:$F$500,$A197)))</f>
        <v/>
      </c>
    </row>
    <row r="198" customFormat="false" ht="15.75" hidden="false" customHeight="true" outlineLevel="0" collapsed="false">
      <c r="A198" s="80" t="s">
        <v>2738</v>
      </c>
      <c r="B198" s="81"/>
      <c r="C198" s="81"/>
      <c r="D198" s="81"/>
      <c r="E198" s="83"/>
      <c r="F198" s="81"/>
      <c r="G198" s="83"/>
      <c r="H198" s="83"/>
      <c r="I198" s="84" t="str">
        <f aca="false">IF(E198="","",A198&amp;"_1.jpg")</f>
        <v/>
      </c>
      <c r="J198" s="84" t="str">
        <f aca="false">IF(E198="","",A198&amp;"_2.jpg; "&amp;A198&amp;"_3.jpg")</f>
        <v/>
      </c>
      <c r="K198" s="84" t="str">
        <f aca="false">IF(E198="","",A198&amp;"_schema.jpg")</f>
        <v/>
      </c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 t="s">
        <v>96</v>
      </c>
      <c r="W198" s="81"/>
      <c r="X198" s="81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6" t="str">
        <f aca="false">IF(SUM(Y198:AJ198)=0,"",SUM(Y198:AJ198))</f>
        <v/>
      </c>
      <c r="AL198" s="84" t="str">
        <f aca="false">MID(IF(N(Y198)&gt;0,", "&amp;Y$2,"")&amp;IF(N(Z198)&gt;0,", "&amp;Z$2,"")&amp;IF(N(AA198)&gt;0,", "&amp;AA$2,"")&amp;IF(N(AB198)&gt;0,", "&amp;AB$2,"")&amp;IF(N(AC198)&gt;0,", "&amp;AC$2,"")&amp;IF(N(AD198)&gt;0,", "&amp;AD$2,"")&amp;IF(N(AE198)&gt;0,", "&amp;AE$2,"")&amp;IF(N(AF198)&gt;0,", "&amp;AF$2,"")&amp;IF(N(AG198)&gt;0,", "&amp;AG$2,"")&amp;IF(N(AH198)&gt;0,", "&amp;AH$2,"")&amp;IF(N(AI198)&gt;0,", "&amp;AI$2,"")&amp;IF(N(AJ198)&gt;0,", "&amp;AJ$2,""),3,999)</f>
        <v/>
      </c>
      <c r="AM198" s="87" t="str">
        <f aca="false">IF(E198="","",MID(IF(N(Y198)&gt;0,", "&amp;A198&amp;"-"&amp;Y$2,"")&amp;IF(N(Z198)&gt;0,", "&amp;A198&amp;"-"&amp;Z$2,"")&amp;IF(N(AA198)&gt;0,", "&amp;A198&amp;"-"&amp;AA$2,"")&amp;IF(N(AB198)&gt;0,", "&amp;A198&amp;"-"&amp;AB$2,"")&amp;IF(N(AC198)&gt;0,", "&amp;A198&amp;"-"&amp;AC$2,"")&amp;IF(N(AD198)&gt;0,", "&amp;A198&amp;"-"&amp;AD$2,"")&amp;IF(N(AE198)&gt;0,", "&amp;A198&amp;"-"&amp;AE$2,"")&amp;IF(N(AF198)&gt;0,", "&amp;A198&amp;"-"&amp;AF$2,"")&amp;IF(N(AG198)&gt;0,", "&amp;A198&amp;"-"&amp;AG$2,"")&amp;IF(N(AH198)&gt;0,", "&amp;A198&amp;"-"&amp;AH$2,"")&amp;IF(N(AI198)&gt;0,", "&amp;A198&amp;"-"&amp;AI$2,"")&amp;IF(N(AJ198)&gt;0,", "&amp;A198&amp;"-"&amp;AJ$2,""),3,999))</f>
        <v/>
      </c>
      <c r="AN198" s="81"/>
      <c r="AO198" s="88"/>
      <c r="AP198" s="89" t="str">
        <f aca="false">IF(AO198="","",ROUND(AO198/(1+Справочники!$B$13),2))</f>
        <v/>
      </c>
      <c r="AQ198" s="90" t="str">
        <f aca="false" t="array" ref="AQ198:AQ198">IF(AP198="","",AP198*INDEX(Справочники!$B$4:$B$7,MATCH("RUB",Справочники!$A$4:$A$7,0)))</f>
        <v/>
      </c>
      <c r="AR198" s="90" t="str">
        <f aca="false">IF(AQ198="","",ROUND(AQ198*(1+Справочники!$B$12),0))</f>
        <v/>
      </c>
      <c r="AS198" s="90" t="str">
        <f aca="false">IF(AR198="","",ROUND(AR198*(1-Справочники!$B$11),0))</f>
        <v/>
      </c>
      <c r="AT198" s="88"/>
      <c r="AU198" s="90" t="str">
        <f aca="false">IF(AT198="","",ROUND(AT198/(1+Справочники!$B$12),0))</f>
        <v/>
      </c>
      <c r="AV198" s="90" t="str">
        <f aca="false">IF(AT198="","",ROUND(AT198*(1-Справочники!$B$15),0))</f>
        <v/>
      </c>
      <c r="AW198" s="90" t="str">
        <f aca="false">IF(AT198="","",ROUND(AT198*(1-Справочники!$B$16),0))</f>
        <v/>
      </c>
      <c r="AX198" s="90" t="str">
        <f aca="false">IF(AT198="","",ROUND(AT198*(1-Справочники!$B$17),0))</f>
        <v/>
      </c>
      <c r="AY198" s="90" t="str">
        <f aca="false">IF(AT198="","",ROUND(AT198*(1-Справочники!$B$18),0))</f>
        <v/>
      </c>
      <c r="AZ198" s="90" t="str">
        <f aca="false">IF(AT198="","",ROUND(AT198*(1-Справочники!$B$19),0))</f>
        <v/>
      </c>
      <c r="BA198" s="81"/>
      <c r="BB198" s="81"/>
      <c r="BC198" s="81"/>
      <c r="BD198" s="81"/>
      <c r="BE198" s="91"/>
      <c r="BF198" s="81" t="s">
        <v>103</v>
      </c>
      <c r="BG198" s="89" t="n">
        <f aca="false" t="array" ref="BG198:BG198">IF(BF198="","",IFERROR(INDEX(Справочники!$B$4:$B$7,MATCH(BF198,Справочники!$A$4:$A$7,0)),""))</f>
        <v>68.5</v>
      </c>
      <c r="BH198" s="90" t="str">
        <f aca="false">IF(N(BN198)&gt;0,ROUND(SUMIF(ЗАКАЗЫ!$F$3:$F$500,$A198,ЗАКАЗЫ!$Y$3:$Y$500)/BN198,0),IF(OR(BE198="",BG198=""),"",ROUND(BE198*BG198*(1+Справочники!$B$10),0)))</f>
        <v/>
      </c>
      <c r="BI198" s="92" t="str">
        <f aca="false">IF(OR(AU198="",BH198="",AU198=0),"",(AU198-BH198)/AU198)</f>
        <v/>
      </c>
      <c r="BJ198" s="81"/>
      <c r="BK198" s="83"/>
      <c r="BL198" s="43" t="str">
        <f aca="false">IFERROR(INDEX(ЗАКАЗЫ!$N$3:$N$500,MATCH($A198,ЗАКАЗЫ!$F$3:$F$500,0)),"")</f>
        <v/>
      </c>
      <c r="BM198" s="8" t="str">
        <f aca="false">IF(BL198="","",IFERROR(VLOOKUP(BL198,'ТН ВЭД'!$A$4:$C$40,3,0),""))</f>
        <v/>
      </c>
      <c r="BN198" s="7" t="str">
        <f aca="false">IF(COUNTIF(ЗАКАЗЫ!$F$3:$F$500,$A198)=0,"",SUMIF(ЗАКАЗЫ!$F$3:$F$500,$A198,ЗАКАЗЫ!$J$3:$J$500))</f>
        <v/>
      </c>
      <c r="BO198" s="7" t="str">
        <f aca="false">IF(BN198="","",SUMIF(ЗАКАЗЫ!$F$3:$F$500,$A198,ЗАКАЗЫ!$AL$3:$AL$500))</f>
        <v/>
      </c>
      <c r="BP198" s="7" t="str">
        <f aca="false">IF(BN198="","",BN198-BO198)</f>
        <v/>
      </c>
      <c r="BQ198" s="55" t="str">
        <f aca="false">IF(BN198="","",IF(BO198&gt;=BN198,"На складе",IF(BO198&gt;0,"Частично","Ждём")))</f>
        <v/>
      </c>
      <c r="BR198" s="43"/>
      <c r="BS198" s="47" t="str">
        <f aca="false">IF(BN198="","",IF(_xlfn.MAXIFS(ЗАКАЗЫ!$AK$3:$AK$500,ЗАКАЗЫ!$F$3:$F$500,$A198)=0,"",_xlfn.MAXIFS(ЗАКАЗЫ!$AK$3:$AK$500,ЗАКАЗЫ!$F$3:$F$500,$A198)))</f>
        <v/>
      </c>
    </row>
    <row r="199" customFormat="false" ht="15.75" hidden="false" customHeight="true" outlineLevel="0" collapsed="false">
      <c r="A199" s="80" t="s">
        <v>2739</v>
      </c>
      <c r="B199" s="81"/>
      <c r="C199" s="81"/>
      <c r="D199" s="81"/>
      <c r="E199" s="83"/>
      <c r="F199" s="81"/>
      <c r="G199" s="83"/>
      <c r="H199" s="83"/>
      <c r="I199" s="84" t="str">
        <f aca="false">IF(E199="","",A199&amp;"_1.jpg")</f>
        <v/>
      </c>
      <c r="J199" s="84" t="str">
        <f aca="false">IF(E199="","",A199&amp;"_2.jpg; "&amp;A199&amp;"_3.jpg")</f>
        <v/>
      </c>
      <c r="K199" s="84" t="str">
        <f aca="false">IF(E199="","",A199&amp;"_schema.jpg")</f>
        <v/>
      </c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 t="s">
        <v>96</v>
      </c>
      <c r="W199" s="81"/>
      <c r="X199" s="81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6" t="str">
        <f aca="false">IF(SUM(Y199:AJ199)=0,"",SUM(Y199:AJ199))</f>
        <v/>
      </c>
      <c r="AL199" s="84" t="str">
        <f aca="false">MID(IF(N(Y199)&gt;0,", "&amp;Y$2,"")&amp;IF(N(Z199)&gt;0,", "&amp;Z$2,"")&amp;IF(N(AA199)&gt;0,", "&amp;AA$2,"")&amp;IF(N(AB199)&gt;0,", "&amp;AB$2,"")&amp;IF(N(AC199)&gt;0,", "&amp;AC$2,"")&amp;IF(N(AD199)&gt;0,", "&amp;AD$2,"")&amp;IF(N(AE199)&gt;0,", "&amp;AE$2,"")&amp;IF(N(AF199)&gt;0,", "&amp;AF$2,"")&amp;IF(N(AG199)&gt;0,", "&amp;AG$2,"")&amp;IF(N(AH199)&gt;0,", "&amp;AH$2,"")&amp;IF(N(AI199)&gt;0,", "&amp;AI$2,"")&amp;IF(N(AJ199)&gt;0,", "&amp;AJ$2,""),3,999)</f>
        <v/>
      </c>
      <c r="AM199" s="87" t="str">
        <f aca="false">IF(E199="","",MID(IF(N(Y199)&gt;0,", "&amp;A199&amp;"-"&amp;Y$2,"")&amp;IF(N(Z199)&gt;0,", "&amp;A199&amp;"-"&amp;Z$2,"")&amp;IF(N(AA199)&gt;0,", "&amp;A199&amp;"-"&amp;AA$2,"")&amp;IF(N(AB199)&gt;0,", "&amp;A199&amp;"-"&amp;AB$2,"")&amp;IF(N(AC199)&gt;0,", "&amp;A199&amp;"-"&amp;AC$2,"")&amp;IF(N(AD199)&gt;0,", "&amp;A199&amp;"-"&amp;AD$2,"")&amp;IF(N(AE199)&gt;0,", "&amp;A199&amp;"-"&amp;AE$2,"")&amp;IF(N(AF199)&gt;0,", "&amp;A199&amp;"-"&amp;AF$2,"")&amp;IF(N(AG199)&gt;0,", "&amp;A199&amp;"-"&amp;AG$2,"")&amp;IF(N(AH199)&gt;0,", "&amp;A199&amp;"-"&amp;AH$2,"")&amp;IF(N(AI199)&gt;0,", "&amp;A199&amp;"-"&amp;AI$2,"")&amp;IF(N(AJ199)&gt;0,", "&amp;A199&amp;"-"&amp;AJ$2,""),3,999))</f>
        <v/>
      </c>
      <c r="AN199" s="81"/>
      <c r="AO199" s="88"/>
      <c r="AP199" s="89" t="str">
        <f aca="false">IF(AO199="","",ROUND(AO199/(1+Справочники!$B$13),2))</f>
        <v/>
      </c>
      <c r="AQ199" s="90" t="str">
        <f aca="false" t="array" ref="AQ199:AQ199">IF(AP199="","",AP199*INDEX(Справочники!$B$4:$B$7,MATCH("RUB",Справочники!$A$4:$A$7,0)))</f>
        <v/>
      </c>
      <c r="AR199" s="90" t="str">
        <f aca="false">IF(AQ199="","",ROUND(AQ199*(1+Справочники!$B$12),0))</f>
        <v/>
      </c>
      <c r="AS199" s="90" t="str">
        <f aca="false">IF(AR199="","",ROUND(AR199*(1-Справочники!$B$11),0))</f>
        <v/>
      </c>
      <c r="AT199" s="88"/>
      <c r="AU199" s="90" t="str">
        <f aca="false">IF(AT199="","",ROUND(AT199/(1+Справочники!$B$12),0))</f>
        <v/>
      </c>
      <c r="AV199" s="90" t="str">
        <f aca="false">IF(AT199="","",ROUND(AT199*(1-Справочники!$B$15),0))</f>
        <v/>
      </c>
      <c r="AW199" s="90" t="str">
        <f aca="false">IF(AT199="","",ROUND(AT199*(1-Справочники!$B$16),0))</f>
        <v/>
      </c>
      <c r="AX199" s="90" t="str">
        <f aca="false">IF(AT199="","",ROUND(AT199*(1-Справочники!$B$17),0))</f>
        <v/>
      </c>
      <c r="AY199" s="90" t="str">
        <f aca="false">IF(AT199="","",ROUND(AT199*(1-Справочники!$B$18),0))</f>
        <v/>
      </c>
      <c r="AZ199" s="90" t="str">
        <f aca="false">IF(AT199="","",ROUND(AT199*(1-Справочники!$B$19),0))</f>
        <v/>
      </c>
      <c r="BA199" s="81"/>
      <c r="BB199" s="81"/>
      <c r="BC199" s="81"/>
      <c r="BD199" s="81"/>
      <c r="BE199" s="91"/>
      <c r="BF199" s="81" t="s">
        <v>103</v>
      </c>
      <c r="BG199" s="89" t="n">
        <f aca="false" t="array" ref="BG199:BG199">IF(BF199="","",IFERROR(INDEX(Справочники!$B$4:$B$7,MATCH(BF199,Справочники!$A$4:$A$7,0)),""))</f>
        <v>68.5</v>
      </c>
      <c r="BH199" s="90" t="str">
        <f aca="false">IF(N(BN199)&gt;0,ROUND(SUMIF(ЗАКАЗЫ!$F$3:$F$500,$A199,ЗАКАЗЫ!$Y$3:$Y$500)/BN199,0),IF(OR(BE199="",BG199=""),"",ROUND(BE199*BG199*(1+Справочники!$B$10),0)))</f>
        <v/>
      </c>
      <c r="BI199" s="92" t="str">
        <f aca="false">IF(OR(AU199="",BH199="",AU199=0),"",(AU199-BH199)/AU199)</f>
        <v/>
      </c>
      <c r="BJ199" s="81"/>
      <c r="BK199" s="83"/>
      <c r="BL199" s="43" t="str">
        <f aca="false">IFERROR(INDEX(ЗАКАЗЫ!$N$3:$N$500,MATCH($A199,ЗАКАЗЫ!$F$3:$F$500,0)),"")</f>
        <v/>
      </c>
      <c r="BM199" s="8" t="str">
        <f aca="false">IF(BL199="","",IFERROR(VLOOKUP(BL199,'ТН ВЭД'!$A$4:$C$40,3,0),""))</f>
        <v/>
      </c>
      <c r="BN199" s="7" t="str">
        <f aca="false">IF(COUNTIF(ЗАКАЗЫ!$F$3:$F$500,$A199)=0,"",SUMIF(ЗАКАЗЫ!$F$3:$F$500,$A199,ЗАКАЗЫ!$J$3:$J$500))</f>
        <v/>
      </c>
      <c r="BO199" s="7" t="str">
        <f aca="false">IF(BN199="","",SUMIF(ЗАКАЗЫ!$F$3:$F$500,$A199,ЗАКАЗЫ!$AL$3:$AL$500))</f>
        <v/>
      </c>
      <c r="BP199" s="7" t="str">
        <f aca="false">IF(BN199="","",BN199-BO199)</f>
        <v/>
      </c>
      <c r="BQ199" s="55" t="str">
        <f aca="false">IF(BN199="","",IF(BO199&gt;=BN199,"На складе",IF(BO199&gt;0,"Частично","Ждём")))</f>
        <v/>
      </c>
      <c r="BR199" s="43"/>
      <c r="BS199" s="47" t="str">
        <f aca="false">IF(BN199="","",IF(_xlfn.MAXIFS(ЗАКАЗЫ!$AK$3:$AK$500,ЗАКАЗЫ!$F$3:$F$500,$A199)=0,"",_xlfn.MAXIFS(ЗАКАЗЫ!$AK$3:$AK$500,ЗАКАЗЫ!$F$3:$F$500,$A199)))</f>
        <v/>
      </c>
    </row>
    <row r="200" customFormat="false" ht="15.75" hidden="false" customHeight="true" outlineLevel="0" collapsed="false">
      <c r="A200" s="80" t="s">
        <v>2740</v>
      </c>
      <c r="B200" s="81"/>
      <c r="C200" s="81"/>
      <c r="D200" s="81"/>
      <c r="E200" s="83"/>
      <c r="F200" s="81"/>
      <c r="G200" s="83"/>
      <c r="H200" s="83"/>
      <c r="I200" s="84" t="str">
        <f aca="false">IF(E200="","",A200&amp;"_1.jpg")</f>
        <v/>
      </c>
      <c r="J200" s="84" t="str">
        <f aca="false">IF(E200="","",A200&amp;"_2.jpg; "&amp;A200&amp;"_3.jpg")</f>
        <v/>
      </c>
      <c r="K200" s="84" t="str">
        <f aca="false">IF(E200="","",A200&amp;"_schema.jpg")</f>
        <v/>
      </c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 t="s">
        <v>96</v>
      </c>
      <c r="W200" s="81"/>
      <c r="X200" s="81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6" t="str">
        <f aca="false">IF(SUM(Y200:AJ200)=0,"",SUM(Y200:AJ200))</f>
        <v/>
      </c>
      <c r="AL200" s="84" t="str">
        <f aca="false">MID(IF(N(Y200)&gt;0,", "&amp;Y$2,"")&amp;IF(N(Z200)&gt;0,", "&amp;Z$2,"")&amp;IF(N(AA200)&gt;0,", "&amp;AA$2,"")&amp;IF(N(AB200)&gt;0,", "&amp;AB$2,"")&amp;IF(N(AC200)&gt;0,", "&amp;AC$2,"")&amp;IF(N(AD200)&gt;0,", "&amp;AD$2,"")&amp;IF(N(AE200)&gt;0,", "&amp;AE$2,"")&amp;IF(N(AF200)&gt;0,", "&amp;AF$2,"")&amp;IF(N(AG200)&gt;0,", "&amp;AG$2,"")&amp;IF(N(AH200)&gt;0,", "&amp;AH$2,"")&amp;IF(N(AI200)&gt;0,", "&amp;AI$2,"")&amp;IF(N(AJ200)&gt;0,", "&amp;AJ$2,""),3,999)</f>
        <v/>
      </c>
      <c r="AM200" s="87" t="str">
        <f aca="false">IF(E200="","",MID(IF(N(Y200)&gt;0,", "&amp;A200&amp;"-"&amp;Y$2,"")&amp;IF(N(Z200)&gt;0,", "&amp;A200&amp;"-"&amp;Z$2,"")&amp;IF(N(AA200)&gt;0,", "&amp;A200&amp;"-"&amp;AA$2,"")&amp;IF(N(AB200)&gt;0,", "&amp;A200&amp;"-"&amp;AB$2,"")&amp;IF(N(AC200)&gt;0,", "&amp;A200&amp;"-"&amp;AC$2,"")&amp;IF(N(AD200)&gt;0,", "&amp;A200&amp;"-"&amp;AD$2,"")&amp;IF(N(AE200)&gt;0,", "&amp;A200&amp;"-"&amp;AE$2,"")&amp;IF(N(AF200)&gt;0,", "&amp;A200&amp;"-"&amp;AF$2,"")&amp;IF(N(AG200)&gt;0,", "&amp;A200&amp;"-"&amp;AG$2,"")&amp;IF(N(AH200)&gt;0,", "&amp;A200&amp;"-"&amp;AH$2,"")&amp;IF(N(AI200)&gt;0,", "&amp;A200&amp;"-"&amp;AI$2,"")&amp;IF(N(AJ200)&gt;0,", "&amp;A200&amp;"-"&amp;AJ$2,""),3,999))</f>
        <v/>
      </c>
      <c r="AN200" s="81"/>
      <c r="AO200" s="88"/>
      <c r="AP200" s="89" t="str">
        <f aca="false">IF(AO200="","",ROUND(AO200/(1+Справочники!$B$13),2))</f>
        <v/>
      </c>
      <c r="AQ200" s="90" t="str">
        <f aca="false" t="array" ref="AQ200:AQ200">IF(AP200="","",AP200*INDEX(Справочники!$B$4:$B$7,MATCH("RUB",Справочники!$A$4:$A$7,0)))</f>
        <v/>
      </c>
      <c r="AR200" s="90" t="str">
        <f aca="false">IF(AQ200="","",ROUND(AQ200*(1+Справочники!$B$12),0))</f>
        <v/>
      </c>
      <c r="AS200" s="90" t="str">
        <f aca="false">IF(AR200="","",ROUND(AR200*(1-Справочники!$B$11),0))</f>
        <v/>
      </c>
      <c r="AT200" s="88"/>
      <c r="AU200" s="90" t="str">
        <f aca="false">IF(AT200="","",ROUND(AT200/(1+Справочники!$B$12),0))</f>
        <v/>
      </c>
      <c r="AV200" s="90" t="str">
        <f aca="false">IF(AT200="","",ROUND(AT200*(1-Справочники!$B$15),0))</f>
        <v/>
      </c>
      <c r="AW200" s="90" t="str">
        <f aca="false">IF(AT200="","",ROUND(AT200*(1-Справочники!$B$16),0))</f>
        <v/>
      </c>
      <c r="AX200" s="90" t="str">
        <f aca="false">IF(AT200="","",ROUND(AT200*(1-Справочники!$B$17),0))</f>
        <v/>
      </c>
      <c r="AY200" s="90" t="str">
        <f aca="false">IF(AT200="","",ROUND(AT200*(1-Справочники!$B$18),0))</f>
        <v/>
      </c>
      <c r="AZ200" s="90" t="str">
        <f aca="false">IF(AT200="","",ROUND(AT200*(1-Справочники!$B$19),0))</f>
        <v/>
      </c>
      <c r="BA200" s="81"/>
      <c r="BB200" s="81"/>
      <c r="BC200" s="81"/>
      <c r="BD200" s="81"/>
      <c r="BE200" s="91"/>
      <c r="BF200" s="81" t="s">
        <v>103</v>
      </c>
      <c r="BG200" s="89" t="n">
        <f aca="false" t="array" ref="BG200:BG200">IF(BF200="","",IFERROR(INDEX(Справочники!$B$4:$B$7,MATCH(BF200,Справочники!$A$4:$A$7,0)),""))</f>
        <v>68.5</v>
      </c>
      <c r="BH200" s="90" t="str">
        <f aca="false">IF(N(BN200)&gt;0,ROUND(SUMIF(ЗАКАЗЫ!$F$3:$F$500,$A200,ЗАКАЗЫ!$Y$3:$Y$500)/BN200,0),IF(OR(BE200="",BG200=""),"",ROUND(BE200*BG200*(1+Справочники!$B$10),0)))</f>
        <v/>
      </c>
      <c r="BI200" s="92" t="str">
        <f aca="false">IF(OR(AU200="",BH200="",AU200=0),"",(AU200-BH200)/AU200)</f>
        <v/>
      </c>
      <c r="BJ200" s="81"/>
      <c r="BK200" s="83"/>
      <c r="BL200" s="43" t="str">
        <f aca="false">IFERROR(INDEX(ЗАКАЗЫ!$N$3:$N$500,MATCH($A200,ЗАКАЗЫ!$F$3:$F$500,0)),"")</f>
        <v/>
      </c>
      <c r="BM200" s="8" t="str">
        <f aca="false">IF(BL200="","",IFERROR(VLOOKUP(BL200,'ТН ВЭД'!$A$4:$C$40,3,0),""))</f>
        <v/>
      </c>
      <c r="BN200" s="7" t="str">
        <f aca="false">IF(COUNTIF(ЗАКАЗЫ!$F$3:$F$500,$A200)=0,"",SUMIF(ЗАКАЗЫ!$F$3:$F$500,$A200,ЗАКАЗЫ!$J$3:$J$500))</f>
        <v/>
      </c>
      <c r="BO200" s="7" t="str">
        <f aca="false">IF(BN200="","",SUMIF(ЗАКАЗЫ!$F$3:$F$500,$A200,ЗАКАЗЫ!$AL$3:$AL$500))</f>
        <v/>
      </c>
      <c r="BP200" s="7" t="str">
        <f aca="false">IF(BN200="","",BN200-BO200)</f>
        <v/>
      </c>
      <c r="BQ200" s="55" t="str">
        <f aca="false">IF(BN200="","",IF(BO200&gt;=BN200,"На складе",IF(BO200&gt;0,"Частично","Ждём")))</f>
        <v/>
      </c>
      <c r="BR200" s="43"/>
      <c r="BS200" s="47" t="str">
        <f aca="false">IF(BN200="","",IF(_xlfn.MAXIFS(ЗАКАЗЫ!$AK$3:$AK$500,ЗАКАЗЫ!$F$3:$F$500,$A200)=0,"",_xlfn.MAXIFS(ЗАКАЗЫ!$AK$3:$AK$500,ЗАКАЗЫ!$F$3:$F$500,$A200)))</f>
        <v/>
      </c>
    </row>
    <row r="201" customFormat="false" ht="15.75" hidden="false" customHeight="true" outlineLevel="0" collapsed="false">
      <c r="A201" s="80" t="s">
        <v>2741</v>
      </c>
      <c r="B201" s="81"/>
      <c r="C201" s="81"/>
      <c r="D201" s="81"/>
      <c r="E201" s="83"/>
      <c r="F201" s="81"/>
      <c r="G201" s="83"/>
      <c r="H201" s="83"/>
      <c r="I201" s="84" t="str">
        <f aca="false">IF(E201="","",A201&amp;"_1.jpg")</f>
        <v/>
      </c>
      <c r="J201" s="84" t="str">
        <f aca="false">IF(E201="","",A201&amp;"_2.jpg; "&amp;A201&amp;"_3.jpg")</f>
        <v/>
      </c>
      <c r="K201" s="84" t="str">
        <f aca="false">IF(E201="","",A201&amp;"_schema.jpg")</f>
        <v/>
      </c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 t="s">
        <v>96</v>
      </c>
      <c r="W201" s="81"/>
      <c r="X201" s="81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6" t="str">
        <f aca="false">IF(SUM(Y201:AJ201)=0,"",SUM(Y201:AJ201))</f>
        <v/>
      </c>
      <c r="AL201" s="84" t="str">
        <f aca="false">MID(IF(N(Y201)&gt;0,", "&amp;Y$2,"")&amp;IF(N(Z201)&gt;0,", "&amp;Z$2,"")&amp;IF(N(AA201)&gt;0,", "&amp;AA$2,"")&amp;IF(N(AB201)&gt;0,", "&amp;AB$2,"")&amp;IF(N(AC201)&gt;0,", "&amp;AC$2,"")&amp;IF(N(AD201)&gt;0,", "&amp;AD$2,"")&amp;IF(N(AE201)&gt;0,", "&amp;AE$2,"")&amp;IF(N(AF201)&gt;0,", "&amp;AF$2,"")&amp;IF(N(AG201)&gt;0,", "&amp;AG$2,"")&amp;IF(N(AH201)&gt;0,", "&amp;AH$2,"")&amp;IF(N(AI201)&gt;0,", "&amp;AI$2,"")&amp;IF(N(AJ201)&gt;0,", "&amp;AJ$2,""),3,999)</f>
        <v/>
      </c>
      <c r="AM201" s="87" t="str">
        <f aca="false">IF(E201="","",MID(IF(N(Y201)&gt;0,", "&amp;A201&amp;"-"&amp;Y$2,"")&amp;IF(N(Z201)&gt;0,", "&amp;A201&amp;"-"&amp;Z$2,"")&amp;IF(N(AA201)&gt;0,", "&amp;A201&amp;"-"&amp;AA$2,"")&amp;IF(N(AB201)&gt;0,", "&amp;A201&amp;"-"&amp;AB$2,"")&amp;IF(N(AC201)&gt;0,", "&amp;A201&amp;"-"&amp;AC$2,"")&amp;IF(N(AD201)&gt;0,", "&amp;A201&amp;"-"&amp;AD$2,"")&amp;IF(N(AE201)&gt;0,", "&amp;A201&amp;"-"&amp;AE$2,"")&amp;IF(N(AF201)&gt;0,", "&amp;A201&amp;"-"&amp;AF$2,"")&amp;IF(N(AG201)&gt;0,", "&amp;A201&amp;"-"&amp;AG$2,"")&amp;IF(N(AH201)&gt;0,", "&amp;A201&amp;"-"&amp;AH$2,"")&amp;IF(N(AI201)&gt;0,", "&amp;A201&amp;"-"&amp;AI$2,"")&amp;IF(N(AJ201)&gt;0,", "&amp;A201&amp;"-"&amp;AJ$2,""),3,999))</f>
        <v/>
      </c>
      <c r="AN201" s="81"/>
      <c r="AO201" s="88"/>
      <c r="AP201" s="89" t="str">
        <f aca="false">IF(AO201="","",ROUND(AO201/(1+Справочники!$B$13),2))</f>
        <v/>
      </c>
      <c r="AQ201" s="90" t="str">
        <f aca="false" t="array" ref="AQ201:AQ201">IF(AP201="","",AP201*INDEX(Справочники!$B$4:$B$7,MATCH("RUB",Справочники!$A$4:$A$7,0)))</f>
        <v/>
      </c>
      <c r="AR201" s="90" t="str">
        <f aca="false">IF(AQ201="","",ROUND(AQ201*(1+Справочники!$B$12),0))</f>
        <v/>
      </c>
      <c r="AS201" s="90" t="str">
        <f aca="false">IF(AR201="","",ROUND(AR201*(1-Справочники!$B$11),0))</f>
        <v/>
      </c>
      <c r="AT201" s="88"/>
      <c r="AU201" s="90" t="str">
        <f aca="false">IF(AT201="","",ROUND(AT201/(1+Справочники!$B$12),0))</f>
        <v/>
      </c>
      <c r="AV201" s="90" t="str">
        <f aca="false">IF(AT201="","",ROUND(AT201*(1-Справочники!$B$15),0))</f>
        <v/>
      </c>
      <c r="AW201" s="90" t="str">
        <f aca="false">IF(AT201="","",ROUND(AT201*(1-Справочники!$B$16),0))</f>
        <v/>
      </c>
      <c r="AX201" s="90" t="str">
        <f aca="false">IF(AT201="","",ROUND(AT201*(1-Справочники!$B$17),0))</f>
        <v/>
      </c>
      <c r="AY201" s="90" t="str">
        <f aca="false">IF(AT201="","",ROUND(AT201*(1-Справочники!$B$18),0))</f>
        <v/>
      </c>
      <c r="AZ201" s="90" t="str">
        <f aca="false">IF(AT201="","",ROUND(AT201*(1-Справочники!$B$19),0))</f>
        <v/>
      </c>
      <c r="BA201" s="81"/>
      <c r="BB201" s="81"/>
      <c r="BC201" s="81"/>
      <c r="BD201" s="81"/>
      <c r="BE201" s="91"/>
      <c r="BF201" s="81" t="s">
        <v>103</v>
      </c>
      <c r="BG201" s="89" t="n">
        <f aca="false" t="array" ref="BG201:BG201">IF(BF201="","",IFERROR(INDEX(Справочники!$B$4:$B$7,MATCH(BF201,Справочники!$A$4:$A$7,0)),""))</f>
        <v>68.5</v>
      </c>
      <c r="BH201" s="90" t="str">
        <f aca="false">IF(N(BN201)&gt;0,ROUND(SUMIF(ЗАКАЗЫ!$F$3:$F$500,$A201,ЗАКАЗЫ!$Y$3:$Y$500)/BN201,0),IF(OR(BE201="",BG201=""),"",ROUND(BE201*BG201*(1+Справочники!$B$10),0)))</f>
        <v/>
      </c>
      <c r="BI201" s="92" t="str">
        <f aca="false">IF(OR(AU201="",BH201="",AU201=0),"",(AU201-BH201)/AU201)</f>
        <v/>
      </c>
      <c r="BJ201" s="81"/>
      <c r="BK201" s="83"/>
      <c r="BL201" s="43" t="str">
        <f aca="false">IFERROR(INDEX(ЗАКАЗЫ!$N$3:$N$500,MATCH($A201,ЗАКАЗЫ!$F$3:$F$500,0)),"")</f>
        <v/>
      </c>
      <c r="BM201" s="8" t="str">
        <f aca="false">IF(BL201="","",IFERROR(VLOOKUP(BL201,'ТН ВЭД'!$A$4:$C$40,3,0),""))</f>
        <v/>
      </c>
      <c r="BN201" s="7" t="str">
        <f aca="false">IF(COUNTIF(ЗАКАЗЫ!$F$3:$F$500,$A201)=0,"",SUMIF(ЗАКАЗЫ!$F$3:$F$500,$A201,ЗАКАЗЫ!$J$3:$J$500))</f>
        <v/>
      </c>
      <c r="BO201" s="7" t="str">
        <f aca="false">IF(BN201="","",SUMIF(ЗАКАЗЫ!$F$3:$F$500,$A201,ЗАКАЗЫ!$AL$3:$AL$500))</f>
        <v/>
      </c>
      <c r="BP201" s="7" t="str">
        <f aca="false">IF(BN201="","",BN201-BO201)</f>
        <v/>
      </c>
      <c r="BQ201" s="55" t="str">
        <f aca="false">IF(BN201="","",IF(BO201&gt;=BN201,"На складе",IF(BO201&gt;0,"Частично","Ждём")))</f>
        <v/>
      </c>
      <c r="BR201" s="43"/>
      <c r="BS201" s="47" t="str">
        <f aca="false">IF(BN201="","",IF(_xlfn.MAXIFS(ЗАКАЗЫ!$AK$3:$AK$500,ЗАКАЗЫ!$F$3:$F$500,$A201)=0,"",_xlfn.MAXIFS(ЗАКАЗЫ!$AK$3:$AK$500,ЗАКАЗЫ!$F$3:$F$500,$A201)))</f>
        <v/>
      </c>
    </row>
    <row r="202" customFormat="false" ht="15.75" hidden="false" customHeight="true" outlineLevel="0" collapsed="false">
      <c r="A202" s="80" t="s">
        <v>2742</v>
      </c>
      <c r="B202" s="81"/>
      <c r="C202" s="81"/>
      <c r="D202" s="81"/>
      <c r="E202" s="83"/>
      <c r="F202" s="81"/>
      <c r="G202" s="83"/>
      <c r="H202" s="83"/>
      <c r="I202" s="84" t="str">
        <f aca="false">IF(E202="","",A202&amp;"_1.jpg")</f>
        <v/>
      </c>
      <c r="J202" s="84" t="str">
        <f aca="false">IF(E202="","",A202&amp;"_2.jpg; "&amp;A202&amp;"_3.jpg")</f>
        <v/>
      </c>
      <c r="K202" s="84" t="str">
        <f aca="false">IF(E202="","",A202&amp;"_schema.jpg")</f>
        <v/>
      </c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 t="s">
        <v>96</v>
      </c>
      <c r="W202" s="81"/>
      <c r="X202" s="81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6" t="str">
        <f aca="false">IF(SUM(Y202:AJ202)=0,"",SUM(Y202:AJ202))</f>
        <v/>
      </c>
      <c r="AL202" s="84" t="str">
        <f aca="false">MID(IF(N(Y202)&gt;0,", "&amp;Y$2,"")&amp;IF(N(Z202)&gt;0,", "&amp;Z$2,"")&amp;IF(N(AA202)&gt;0,", "&amp;AA$2,"")&amp;IF(N(AB202)&gt;0,", "&amp;AB$2,"")&amp;IF(N(AC202)&gt;0,", "&amp;AC$2,"")&amp;IF(N(AD202)&gt;0,", "&amp;AD$2,"")&amp;IF(N(AE202)&gt;0,", "&amp;AE$2,"")&amp;IF(N(AF202)&gt;0,", "&amp;AF$2,"")&amp;IF(N(AG202)&gt;0,", "&amp;AG$2,"")&amp;IF(N(AH202)&gt;0,", "&amp;AH$2,"")&amp;IF(N(AI202)&gt;0,", "&amp;AI$2,"")&amp;IF(N(AJ202)&gt;0,", "&amp;AJ$2,""),3,999)</f>
        <v/>
      </c>
      <c r="AM202" s="87" t="str">
        <f aca="false">IF(E202="","",MID(IF(N(Y202)&gt;0,", "&amp;A202&amp;"-"&amp;Y$2,"")&amp;IF(N(Z202)&gt;0,", "&amp;A202&amp;"-"&amp;Z$2,"")&amp;IF(N(AA202)&gt;0,", "&amp;A202&amp;"-"&amp;AA$2,"")&amp;IF(N(AB202)&gt;0,", "&amp;A202&amp;"-"&amp;AB$2,"")&amp;IF(N(AC202)&gt;0,", "&amp;A202&amp;"-"&amp;AC$2,"")&amp;IF(N(AD202)&gt;0,", "&amp;A202&amp;"-"&amp;AD$2,"")&amp;IF(N(AE202)&gt;0,", "&amp;A202&amp;"-"&amp;AE$2,"")&amp;IF(N(AF202)&gt;0,", "&amp;A202&amp;"-"&amp;AF$2,"")&amp;IF(N(AG202)&gt;0,", "&amp;A202&amp;"-"&amp;AG$2,"")&amp;IF(N(AH202)&gt;0,", "&amp;A202&amp;"-"&amp;AH$2,"")&amp;IF(N(AI202)&gt;0,", "&amp;A202&amp;"-"&amp;AI$2,"")&amp;IF(N(AJ202)&gt;0,", "&amp;A202&amp;"-"&amp;AJ$2,""),3,999))</f>
        <v/>
      </c>
      <c r="AN202" s="81"/>
      <c r="AO202" s="88"/>
      <c r="AP202" s="89" t="str">
        <f aca="false">IF(AO202="","",ROUND(AO202/(1+Справочники!$B$13),2))</f>
        <v/>
      </c>
      <c r="AQ202" s="90" t="str">
        <f aca="false" t="array" ref="AQ202:AQ202">IF(AP202="","",AP202*INDEX(Справочники!$B$4:$B$7,MATCH("RUB",Справочники!$A$4:$A$7,0)))</f>
        <v/>
      </c>
      <c r="AR202" s="90" t="str">
        <f aca="false">IF(AQ202="","",ROUND(AQ202*(1+Справочники!$B$12),0))</f>
        <v/>
      </c>
      <c r="AS202" s="90" t="str">
        <f aca="false">IF(AR202="","",ROUND(AR202*(1-Справочники!$B$11),0))</f>
        <v/>
      </c>
      <c r="AT202" s="88"/>
      <c r="AU202" s="90" t="str">
        <f aca="false">IF(AT202="","",ROUND(AT202/(1+Справочники!$B$12),0))</f>
        <v/>
      </c>
      <c r="AV202" s="90" t="str">
        <f aca="false">IF(AT202="","",ROUND(AT202*(1-Справочники!$B$15),0))</f>
        <v/>
      </c>
      <c r="AW202" s="90" t="str">
        <f aca="false">IF(AT202="","",ROUND(AT202*(1-Справочники!$B$16),0))</f>
        <v/>
      </c>
      <c r="AX202" s="90" t="str">
        <f aca="false">IF(AT202="","",ROUND(AT202*(1-Справочники!$B$17),0))</f>
        <v/>
      </c>
      <c r="AY202" s="90" t="str">
        <f aca="false">IF(AT202="","",ROUND(AT202*(1-Справочники!$B$18),0))</f>
        <v/>
      </c>
      <c r="AZ202" s="90" t="str">
        <f aca="false">IF(AT202="","",ROUND(AT202*(1-Справочники!$B$19),0))</f>
        <v/>
      </c>
      <c r="BA202" s="81"/>
      <c r="BB202" s="81"/>
      <c r="BC202" s="81"/>
      <c r="BD202" s="81"/>
      <c r="BE202" s="91"/>
      <c r="BF202" s="81" t="s">
        <v>103</v>
      </c>
      <c r="BG202" s="89" t="n">
        <f aca="false" t="array" ref="BG202:BG202">IF(BF202="","",IFERROR(INDEX(Справочники!$B$4:$B$7,MATCH(BF202,Справочники!$A$4:$A$7,0)),""))</f>
        <v>68.5</v>
      </c>
      <c r="BH202" s="90" t="str">
        <f aca="false">IF(N(BN202)&gt;0,ROUND(SUMIF(ЗАКАЗЫ!$F$3:$F$500,$A202,ЗАКАЗЫ!$Y$3:$Y$500)/BN202,0),IF(OR(BE202="",BG202=""),"",ROUND(BE202*BG202*(1+Справочники!$B$10),0)))</f>
        <v/>
      </c>
      <c r="BI202" s="92" t="str">
        <f aca="false">IF(OR(AU202="",BH202="",AU202=0),"",(AU202-BH202)/AU202)</f>
        <v/>
      </c>
      <c r="BJ202" s="81"/>
      <c r="BK202" s="83"/>
      <c r="BL202" s="43" t="str">
        <f aca="false">IFERROR(INDEX(ЗАКАЗЫ!$N$3:$N$500,MATCH($A202,ЗАКАЗЫ!$F$3:$F$500,0)),"")</f>
        <v/>
      </c>
      <c r="BM202" s="8" t="str">
        <f aca="false">IF(BL202="","",IFERROR(VLOOKUP(BL202,'ТН ВЭД'!$A$4:$C$40,3,0),""))</f>
        <v/>
      </c>
      <c r="BN202" s="7" t="str">
        <f aca="false">IF(COUNTIF(ЗАКАЗЫ!$F$3:$F$500,$A202)=0,"",SUMIF(ЗАКАЗЫ!$F$3:$F$500,$A202,ЗАКАЗЫ!$J$3:$J$500))</f>
        <v/>
      </c>
      <c r="BO202" s="7" t="str">
        <f aca="false">IF(BN202="","",SUMIF(ЗАКАЗЫ!$F$3:$F$500,$A202,ЗАКАЗЫ!$AL$3:$AL$500))</f>
        <v/>
      </c>
      <c r="BP202" s="7" t="str">
        <f aca="false">IF(BN202="","",BN202-BO202)</f>
        <v/>
      </c>
      <c r="BQ202" s="55" t="str">
        <f aca="false">IF(BN202="","",IF(BO202&gt;=BN202,"На складе",IF(BO202&gt;0,"Частично","Ждём")))</f>
        <v/>
      </c>
      <c r="BR202" s="43"/>
      <c r="BS202" s="47" t="str">
        <f aca="false">IF(BN202="","",IF(_xlfn.MAXIFS(ЗАКАЗЫ!$AK$3:$AK$500,ЗАКАЗЫ!$F$3:$F$500,$A202)=0,"",_xlfn.MAXIFS(ЗАКАЗЫ!$AK$3:$AK$500,ЗАКАЗЫ!$F$3:$F$500,$A202)))</f>
        <v/>
      </c>
    </row>
    <row r="203" customFormat="false" ht="15.75" hidden="false" customHeight="true" outlineLevel="0" collapsed="false">
      <c r="A203" s="80" t="s">
        <v>2743</v>
      </c>
      <c r="B203" s="81"/>
      <c r="C203" s="81"/>
      <c r="D203" s="81"/>
      <c r="E203" s="83"/>
      <c r="F203" s="81"/>
      <c r="G203" s="83"/>
      <c r="H203" s="83"/>
      <c r="I203" s="84" t="str">
        <f aca="false">IF(E203="","",A203&amp;"_1.jpg")</f>
        <v/>
      </c>
      <c r="J203" s="84" t="str">
        <f aca="false">IF(E203="","",A203&amp;"_2.jpg; "&amp;A203&amp;"_3.jpg")</f>
        <v/>
      </c>
      <c r="K203" s="84" t="str">
        <f aca="false">IF(E203="","",A203&amp;"_schema.jpg")</f>
        <v/>
      </c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 t="s">
        <v>96</v>
      </c>
      <c r="W203" s="81"/>
      <c r="X203" s="81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6" t="str">
        <f aca="false">IF(SUM(Y203:AJ203)=0,"",SUM(Y203:AJ203))</f>
        <v/>
      </c>
      <c r="AL203" s="84" t="str">
        <f aca="false">MID(IF(N(Y203)&gt;0,", "&amp;Y$2,"")&amp;IF(N(Z203)&gt;0,", "&amp;Z$2,"")&amp;IF(N(AA203)&gt;0,", "&amp;AA$2,"")&amp;IF(N(AB203)&gt;0,", "&amp;AB$2,"")&amp;IF(N(AC203)&gt;0,", "&amp;AC$2,"")&amp;IF(N(AD203)&gt;0,", "&amp;AD$2,"")&amp;IF(N(AE203)&gt;0,", "&amp;AE$2,"")&amp;IF(N(AF203)&gt;0,", "&amp;AF$2,"")&amp;IF(N(AG203)&gt;0,", "&amp;AG$2,"")&amp;IF(N(AH203)&gt;0,", "&amp;AH$2,"")&amp;IF(N(AI203)&gt;0,", "&amp;AI$2,"")&amp;IF(N(AJ203)&gt;0,", "&amp;AJ$2,""),3,999)</f>
        <v/>
      </c>
      <c r="AM203" s="87" t="str">
        <f aca="false">IF(E203="","",MID(IF(N(Y203)&gt;0,", "&amp;A203&amp;"-"&amp;Y$2,"")&amp;IF(N(Z203)&gt;0,", "&amp;A203&amp;"-"&amp;Z$2,"")&amp;IF(N(AA203)&gt;0,", "&amp;A203&amp;"-"&amp;AA$2,"")&amp;IF(N(AB203)&gt;0,", "&amp;A203&amp;"-"&amp;AB$2,"")&amp;IF(N(AC203)&gt;0,", "&amp;A203&amp;"-"&amp;AC$2,"")&amp;IF(N(AD203)&gt;0,", "&amp;A203&amp;"-"&amp;AD$2,"")&amp;IF(N(AE203)&gt;0,", "&amp;A203&amp;"-"&amp;AE$2,"")&amp;IF(N(AF203)&gt;0,", "&amp;A203&amp;"-"&amp;AF$2,"")&amp;IF(N(AG203)&gt;0,", "&amp;A203&amp;"-"&amp;AG$2,"")&amp;IF(N(AH203)&gt;0,", "&amp;A203&amp;"-"&amp;AH$2,"")&amp;IF(N(AI203)&gt;0,", "&amp;A203&amp;"-"&amp;AI$2,"")&amp;IF(N(AJ203)&gt;0,", "&amp;A203&amp;"-"&amp;AJ$2,""),3,999))</f>
        <v/>
      </c>
      <c r="AN203" s="81"/>
      <c r="AO203" s="88"/>
      <c r="AP203" s="89" t="str">
        <f aca="false">IF(AO203="","",ROUND(AO203/(1+Справочники!$B$13),2))</f>
        <v/>
      </c>
      <c r="AQ203" s="90" t="str">
        <f aca="false" t="array" ref="AQ203:AQ203">IF(AP203="","",AP203*INDEX(Справочники!$B$4:$B$7,MATCH("RUB",Справочники!$A$4:$A$7,0)))</f>
        <v/>
      </c>
      <c r="AR203" s="90" t="str">
        <f aca="false">IF(AQ203="","",ROUND(AQ203*(1+Справочники!$B$12),0))</f>
        <v/>
      </c>
      <c r="AS203" s="90" t="str">
        <f aca="false">IF(AR203="","",ROUND(AR203*(1-Справочники!$B$11),0))</f>
        <v/>
      </c>
      <c r="AT203" s="88"/>
      <c r="AU203" s="90" t="str">
        <f aca="false">IF(AT203="","",ROUND(AT203/(1+Справочники!$B$12),0))</f>
        <v/>
      </c>
      <c r="AV203" s="90" t="str">
        <f aca="false">IF(AT203="","",ROUND(AT203*(1-Справочники!$B$15),0))</f>
        <v/>
      </c>
      <c r="AW203" s="90" t="str">
        <f aca="false">IF(AT203="","",ROUND(AT203*(1-Справочники!$B$16),0))</f>
        <v/>
      </c>
      <c r="AX203" s="90" t="str">
        <f aca="false">IF(AT203="","",ROUND(AT203*(1-Справочники!$B$17),0))</f>
        <v/>
      </c>
      <c r="AY203" s="90" t="str">
        <f aca="false">IF(AT203="","",ROUND(AT203*(1-Справочники!$B$18),0))</f>
        <v/>
      </c>
      <c r="AZ203" s="90" t="str">
        <f aca="false">IF(AT203="","",ROUND(AT203*(1-Справочники!$B$19),0))</f>
        <v/>
      </c>
      <c r="BA203" s="81"/>
      <c r="BB203" s="81"/>
      <c r="BC203" s="81"/>
      <c r="BD203" s="81"/>
      <c r="BE203" s="91"/>
      <c r="BF203" s="81" t="s">
        <v>103</v>
      </c>
      <c r="BG203" s="89" t="n">
        <f aca="false" t="array" ref="BG203:BG203">IF(BF203="","",IFERROR(INDEX(Справочники!$B$4:$B$7,MATCH(BF203,Справочники!$A$4:$A$7,0)),""))</f>
        <v>68.5</v>
      </c>
      <c r="BH203" s="90" t="str">
        <f aca="false">IF(N(BN203)&gt;0,ROUND(SUMIF(ЗАКАЗЫ!$F$3:$F$500,$A203,ЗАКАЗЫ!$Y$3:$Y$500)/BN203,0),IF(OR(BE203="",BG203=""),"",ROUND(BE203*BG203*(1+Справочники!$B$10),0)))</f>
        <v/>
      </c>
      <c r="BI203" s="92" t="str">
        <f aca="false">IF(OR(AU203="",BH203="",AU203=0),"",(AU203-BH203)/AU203)</f>
        <v/>
      </c>
      <c r="BJ203" s="81"/>
      <c r="BK203" s="83"/>
      <c r="BL203" s="43" t="str">
        <f aca="false">IFERROR(INDEX(ЗАКАЗЫ!$N$3:$N$500,MATCH($A203,ЗАКАЗЫ!$F$3:$F$500,0)),"")</f>
        <v/>
      </c>
      <c r="BM203" s="8" t="str">
        <f aca="false">IF(BL203="","",IFERROR(VLOOKUP(BL203,'ТН ВЭД'!$A$4:$C$40,3,0),""))</f>
        <v/>
      </c>
      <c r="BN203" s="7" t="str">
        <f aca="false">IF(COUNTIF(ЗАКАЗЫ!$F$3:$F$500,$A203)=0,"",SUMIF(ЗАКАЗЫ!$F$3:$F$500,$A203,ЗАКАЗЫ!$J$3:$J$500))</f>
        <v/>
      </c>
      <c r="BO203" s="7" t="str">
        <f aca="false">IF(BN203="","",SUMIF(ЗАКАЗЫ!$F$3:$F$500,$A203,ЗАКАЗЫ!$AL$3:$AL$500))</f>
        <v/>
      </c>
      <c r="BP203" s="7" t="str">
        <f aca="false">IF(BN203="","",BN203-BO203)</f>
        <v/>
      </c>
      <c r="BQ203" s="55" t="str">
        <f aca="false">IF(BN203="","",IF(BO203&gt;=BN203,"На складе",IF(BO203&gt;0,"Частично","Ждём")))</f>
        <v/>
      </c>
      <c r="BR203" s="43"/>
      <c r="BS203" s="47" t="str">
        <f aca="false">IF(BN203="","",IF(_xlfn.MAXIFS(ЗАКАЗЫ!$AK$3:$AK$500,ЗАКАЗЫ!$F$3:$F$500,$A203)=0,"",_xlfn.MAXIFS(ЗАКАЗЫ!$AK$3:$AK$500,ЗАКАЗЫ!$F$3:$F$500,$A203)))</f>
        <v/>
      </c>
    </row>
    <row r="204" customFormat="false" ht="15.75" hidden="false" customHeight="true" outlineLevel="0" collapsed="false">
      <c r="A204" s="80" t="s">
        <v>2744</v>
      </c>
      <c r="B204" s="81"/>
      <c r="C204" s="81"/>
      <c r="D204" s="81"/>
      <c r="E204" s="83"/>
      <c r="F204" s="81"/>
      <c r="G204" s="83"/>
      <c r="H204" s="83"/>
      <c r="I204" s="84" t="str">
        <f aca="false">IF(E204="","",A204&amp;"_1.jpg")</f>
        <v/>
      </c>
      <c r="J204" s="84" t="str">
        <f aca="false">IF(E204="","",A204&amp;"_2.jpg; "&amp;A204&amp;"_3.jpg")</f>
        <v/>
      </c>
      <c r="K204" s="84" t="str">
        <f aca="false">IF(E204="","",A204&amp;"_schema.jpg")</f>
        <v/>
      </c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 t="s">
        <v>96</v>
      </c>
      <c r="W204" s="81"/>
      <c r="X204" s="81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6" t="str">
        <f aca="false">IF(SUM(Y204:AJ204)=0,"",SUM(Y204:AJ204))</f>
        <v/>
      </c>
      <c r="AL204" s="84" t="str">
        <f aca="false">MID(IF(N(Y204)&gt;0,", "&amp;Y$2,"")&amp;IF(N(Z204)&gt;0,", "&amp;Z$2,"")&amp;IF(N(AA204)&gt;0,", "&amp;AA$2,"")&amp;IF(N(AB204)&gt;0,", "&amp;AB$2,"")&amp;IF(N(AC204)&gt;0,", "&amp;AC$2,"")&amp;IF(N(AD204)&gt;0,", "&amp;AD$2,"")&amp;IF(N(AE204)&gt;0,", "&amp;AE$2,"")&amp;IF(N(AF204)&gt;0,", "&amp;AF$2,"")&amp;IF(N(AG204)&gt;0,", "&amp;AG$2,"")&amp;IF(N(AH204)&gt;0,", "&amp;AH$2,"")&amp;IF(N(AI204)&gt;0,", "&amp;AI$2,"")&amp;IF(N(AJ204)&gt;0,", "&amp;AJ$2,""),3,999)</f>
        <v/>
      </c>
      <c r="AM204" s="87" t="str">
        <f aca="false">IF(E204="","",MID(IF(N(Y204)&gt;0,", "&amp;A204&amp;"-"&amp;Y$2,"")&amp;IF(N(Z204)&gt;0,", "&amp;A204&amp;"-"&amp;Z$2,"")&amp;IF(N(AA204)&gt;0,", "&amp;A204&amp;"-"&amp;AA$2,"")&amp;IF(N(AB204)&gt;0,", "&amp;A204&amp;"-"&amp;AB$2,"")&amp;IF(N(AC204)&gt;0,", "&amp;A204&amp;"-"&amp;AC$2,"")&amp;IF(N(AD204)&gt;0,", "&amp;A204&amp;"-"&amp;AD$2,"")&amp;IF(N(AE204)&gt;0,", "&amp;A204&amp;"-"&amp;AE$2,"")&amp;IF(N(AF204)&gt;0,", "&amp;A204&amp;"-"&amp;AF$2,"")&amp;IF(N(AG204)&gt;0,", "&amp;A204&amp;"-"&amp;AG$2,"")&amp;IF(N(AH204)&gt;0,", "&amp;A204&amp;"-"&amp;AH$2,"")&amp;IF(N(AI204)&gt;0,", "&amp;A204&amp;"-"&amp;AI$2,"")&amp;IF(N(AJ204)&gt;0,", "&amp;A204&amp;"-"&amp;AJ$2,""),3,999))</f>
        <v/>
      </c>
      <c r="AN204" s="81"/>
      <c r="AO204" s="88"/>
      <c r="AP204" s="89" t="str">
        <f aca="false">IF(AO204="","",ROUND(AO204/(1+Справочники!$B$13),2))</f>
        <v/>
      </c>
      <c r="AQ204" s="90" t="str">
        <f aca="false" t="array" ref="AQ204:AQ204">IF(AP204="","",AP204*INDEX(Справочники!$B$4:$B$7,MATCH("RUB",Справочники!$A$4:$A$7,0)))</f>
        <v/>
      </c>
      <c r="AR204" s="90" t="str">
        <f aca="false">IF(AQ204="","",ROUND(AQ204*(1+Справочники!$B$12),0))</f>
        <v/>
      </c>
      <c r="AS204" s="90" t="str">
        <f aca="false">IF(AR204="","",ROUND(AR204*(1-Справочники!$B$11),0))</f>
        <v/>
      </c>
      <c r="AT204" s="88"/>
      <c r="AU204" s="90" t="str">
        <f aca="false">IF(AT204="","",ROUND(AT204/(1+Справочники!$B$12),0))</f>
        <v/>
      </c>
      <c r="AV204" s="90" t="str">
        <f aca="false">IF(AT204="","",ROUND(AT204*(1-Справочники!$B$15),0))</f>
        <v/>
      </c>
      <c r="AW204" s="90" t="str">
        <f aca="false">IF(AT204="","",ROUND(AT204*(1-Справочники!$B$16),0))</f>
        <v/>
      </c>
      <c r="AX204" s="90" t="str">
        <f aca="false">IF(AT204="","",ROUND(AT204*(1-Справочники!$B$17),0))</f>
        <v/>
      </c>
      <c r="AY204" s="90" t="str">
        <f aca="false">IF(AT204="","",ROUND(AT204*(1-Справочники!$B$18),0))</f>
        <v/>
      </c>
      <c r="AZ204" s="90" t="str">
        <f aca="false">IF(AT204="","",ROUND(AT204*(1-Справочники!$B$19),0))</f>
        <v/>
      </c>
      <c r="BA204" s="81"/>
      <c r="BB204" s="81"/>
      <c r="BC204" s="81"/>
      <c r="BD204" s="81"/>
      <c r="BE204" s="91"/>
      <c r="BF204" s="81" t="s">
        <v>103</v>
      </c>
      <c r="BG204" s="89" t="n">
        <f aca="false" t="array" ref="BG204:BG204">IF(BF204="","",IFERROR(INDEX(Справочники!$B$4:$B$7,MATCH(BF204,Справочники!$A$4:$A$7,0)),""))</f>
        <v>68.5</v>
      </c>
      <c r="BH204" s="90" t="str">
        <f aca="false">IF(N(BN204)&gt;0,ROUND(SUMIF(ЗАКАЗЫ!$F$3:$F$500,$A204,ЗАКАЗЫ!$Y$3:$Y$500)/BN204,0),IF(OR(BE204="",BG204=""),"",ROUND(BE204*BG204*(1+Справочники!$B$10),0)))</f>
        <v/>
      </c>
      <c r="BI204" s="92" t="str">
        <f aca="false">IF(OR(AU204="",BH204="",AU204=0),"",(AU204-BH204)/AU204)</f>
        <v/>
      </c>
      <c r="BJ204" s="81"/>
      <c r="BK204" s="83"/>
      <c r="BL204" s="43" t="str">
        <f aca="false">IFERROR(INDEX(ЗАКАЗЫ!$N$3:$N$500,MATCH($A204,ЗАКАЗЫ!$F$3:$F$500,0)),"")</f>
        <v/>
      </c>
      <c r="BM204" s="8" t="str">
        <f aca="false">IF(BL204="","",IFERROR(VLOOKUP(BL204,'ТН ВЭД'!$A$4:$C$40,3,0),""))</f>
        <v/>
      </c>
      <c r="BN204" s="7" t="str">
        <f aca="false">IF(COUNTIF(ЗАКАЗЫ!$F$3:$F$500,$A204)=0,"",SUMIF(ЗАКАЗЫ!$F$3:$F$500,$A204,ЗАКАЗЫ!$J$3:$J$500))</f>
        <v/>
      </c>
      <c r="BO204" s="7" t="str">
        <f aca="false">IF(BN204="","",SUMIF(ЗАКАЗЫ!$F$3:$F$500,$A204,ЗАКАЗЫ!$AL$3:$AL$500))</f>
        <v/>
      </c>
      <c r="BP204" s="7" t="str">
        <f aca="false">IF(BN204="","",BN204-BO204)</f>
        <v/>
      </c>
      <c r="BQ204" s="55" t="str">
        <f aca="false">IF(BN204="","",IF(BO204&gt;=BN204,"На складе",IF(BO204&gt;0,"Частично","Ждём")))</f>
        <v/>
      </c>
      <c r="BR204" s="43"/>
      <c r="BS204" s="47" t="str">
        <f aca="false">IF(BN204="","",IF(_xlfn.MAXIFS(ЗАКАЗЫ!$AK$3:$AK$500,ЗАКАЗЫ!$F$3:$F$500,$A204)=0,"",_xlfn.MAXIFS(ЗАКАЗЫ!$AK$3:$AK$500,ЗАКАЗЫ!$F$3:$F$500,$A204)))</f>
        <v/>
      </c>
    </row>
    <row r="205" customFormat="false" ht="15.75" hidden="false" customHeight="true" outlineLevel="0" collapsed="false">
      <c r="A205" s="80" t="s">
        <v>2745</v>
      </c>
      <c r="B205" s="81"/>
      <c r="C205" s="81"/>
      <c r="D205" s="81"/>
      <c r="E205" s="83"/>
      <c r="F205" s="81"/>
      <c r="G205" s="83"/>
      <c r="H205" s="83"/>
      <c r="I205" s="84" t="str">
        <f aca="false">IF(E205="","",A205&amp;"_1.jpg")</f>
        <v/>
      </c>
      <c r="J205" s="84" t="str">
        <f aca="false">IF(E205="","",A205&amp;"_2.jpg; "&amp;A205&amp;"_3.jpg")</f>
        <v/>
      </c>
      <c r="K205" s="84" t="str">
        <f aca="false">IF(E205="","",A205&amp;"_schema.jpg")</f>
        <v/>
      </c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 t="s">
        <v>96</v>
      </c>
      <c r="W205" s="81"/>
      <c r="X205" s="81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6" t="str">
        <f aca="false">IF(SUM(Y205:AJ205)=0,"",SUM(Y205:AJ205))</f>
        <v/>
      </c>
      <c r="AL205" s="84" t="str">
        <f aca="false">MID(IF(N(Y205)&gt;0,", "&amp;Y$2,"")&amp;IF(N(Z205)&gt;0,", "&amp;Z$2,"")&amp;IF(N(AA205)&gt;0,", "&amp;AA$2,"")&amp;IF(N(AB205)&gt;0,", "&amp;AB$2,"")&amp;IF(N(AC205)&gt;0,", "&amp;AC$2,"")&amp;IF(N(AD205)&gt;0,", "&amp;AD$2,"")&amp;IF(N(AE205)&gt;0,", "&amp;AE$2,"")&amp;IF(N(AF205)&gt;0,", "&amp;AF$2,"")&amp;IF(N(AG205)&gt;0,", "&amp;AG$2,"")&amp;IF(N(AH205)&gt;0,", "&amp;AH$2,"")&amp;IF(N(AI205)&gt;0,", "&amp;AI$2,"")&amp;IF(N(AJ205)&gt;0,", "&amp;AJ$2,""),3,999)</f>
        <v/>
      </c>
      <c r="AM205" s="87" t="str">
        <f aca="false">IF(E205="","",MID(IF(N(Y205)&gt;0,", "&amp;A205&amp;"-"&amp;Y$2,"")&amp;IF(N(Z205)&gt;0,", "&amp;A205&amp;"-"&amp;Z$2,"")&amp;IF(N(AA205)&gt;0,", "&amp;A205&amp;"-"&amp;AA$2,"")&amp;IF(N(AB205)&gt;0,", "&amp;A205&amp;"-"&amp;AB$2,"")&amp;IF(N(AC205)&gt;0,", "&amp;A205&amp;"-"&amp;AC$2,"")&amp;IF(N(AD205)&gt;0,", "&amp;A205&amp;"-"&amp;AD$2,"")&amp;IF(N(AE205)&gt;0,", "&amp;A205&amp;"-"&amp;AE$2,"")&amp;IF(N(AF205)&gt;0,", "&amp;A205&amp;"-"&amp;AF$2,"")&amp;IF(N(AG205)&gt;0,", "&amp;A205&amp;"-"&amp;AG$2,"")&amp;IF(N(AH205)&gt;0,", "&amp;A205&amp;"-"&amp;AH$2,"")&amp;IF(N(AI205)&gt;0,", "&amp;A205&amp;"-"&amp;AI$2,"")&amp;IF(N(AJ205)&gt;0,", "&amp;A205&amp;"-"&amp;AJ$2,""),3,999))</f>
        <v/>
      </c>
      <c r="AN205" s="81"/>
      <c r="AO205" s="88"/>
      <c r="AP205" s="89" t="str">
        <f aca="false">IF(AO205="","",ROUND(AO205/(1+Справочники!$B$13),2))</f>
        <v/>
      </c>
      <c r="AQ205" s="90" t="str">
        <f aca="false" t="array" ref="AQ205:AQ205">IF(AP205="","",AP205*INDEX(Справочники!$B$4:$B$7,MATCH("RUB",Справочники!$A$4:$A$7,0)))</f>
        <v/>
      </c>
      <c r="AR205" s="90" t="str">
        <f aca="false">IF(AQ205="","",ROUND(AQ205*(1+Справочники!$B$12),0))</f>
        <v/>
      </c>
      <c r="AS205" s="90" t="str">
        <f aca="false">IF(AR205="","",ROUND(AR205*(1-Справочники!$B$11),0))</f>
        <v/>
      </c>
      <c r="AT205" s="88"/>
      <c r="AU205" s="90" t="str">
        <f aca="false">IF(AT205="","",ROUND(AT205/(1+Справочники!$B$12),0))</f>
        <v/>
      </c>
      <c r="AV205" s="90" t="str">
        <f aca="false">IF(AT205="","",ROUND(AT205*(1-Справочники!$B$15),0))</f>
        <v/>
      </c>
      <c r="AW205" s="90" t="str">
        <f aca="false">IF(AT205="","",ROUND(AT205*(1-Справочники!$B$16),0))</f>
        <v/>
      </c>
      <c r="AX205" s="90" t="str">
        <f aca="false">IF(AT205="","",ROUND(AT205*(1-Справочники!$B$17),0))</f>
        <v/>
      </c>
      <c r="AY205" s="90" t="str">
        <f aca="false">IF(AT205="","",ROUND(AT205*(1-Справочники!$B$18),0))</f>
        <v/>
      </c>
      <c r="AZ205" s="90" t="str">
        <f aca="false">IF(AT205="","",ROUND(AT205*(1-Справочники!$B$19),0))</f>
        <v/>
      </c>
      <c r="BA205" s="81"/>
      <c r="BB205" s="81"/>
      <c r="BC205" s="81"/>
      <c r="BD205" s="81"/>
      <c r="BE205" s="91"/>
      <c r="BF205" s="81" t="s">
        <v>103</v>
      </c>
      <c r="BG205" s="89" t="n">
        <f aca="false" t="array" ref="BG205:BG205">IF(BF205="","",IFERROR(INDEX(Справочники!$B$4:$B$7,MATCH(BF205,Справочники!$A$4:$A$7,0)),""))</f>
        <v>68.5</v>
      </c>
      <c r="BH205" s="90" t="str">
        <f aca="false">IF(N(BN205)&gt;0,ROUND(SUMIF(ЗАКАЗЫ!$F$3:$F$500,$A205,ЗАКАЗЫ!$Y$3:$Y$500)/BN205,0),IF(OR(BE205="",BG205=""),"",ROUND(BE205*BG205*(1+Справочники!$B$10),0)))</f>
        <v/>
      </c>
      <c r="BI205" s="92" t="str">
        <f aca="false">IF(OR(AU205="",BH205="",AU205=0),"",(AU205-BH205)/AU205)</f>
        <v/>
      </c>
      <c r="BJ205" s="81"/>
      <c r="BK205" s="83"/>
      <c r="BL205" s="43" t="str">
        <f aca="false">IFERROR(INDEX(ЗАКАЗЫ!$N$3:$N$500,MATCH($A205,ЗАКАЗЫ!$F$3:$F$500,0)),"")</f>
        <v/>
      </c>
      <c r="BM205" s="8" t="str">
        <f aca="false">IF(BL205="","",IFERROR(VLOOKUP(BL205,'ТН ВЭД'!$A$4:$C$40,3,0),""))</f>
        <v/>
      </c>
      <c r="BN205" s="7" t="str">
        <f aca="false">IF(COUNTIF(ЗАКАЗЫ!$F$3:$F$500,$A205)=0,"",SUMIF(ЗАКАЗЫ!$F$3:$F$500,$A205,ЗАКАЗЫ!$J$3:$J$500))</f>
        <v/>
      </c>
      <c r="BO205" s="7" t="str">
        <f aca="false">IF(BN205="","",SUMIF(ЗАКАЗЫ!$F$3:$F$500,$A205,ЗАКАЗЫ!$AL$3:$AL$500))</f>
        <v/>
      </c>
      <c r="BP205" s="7" t="str">
        <f aca="false">IF(BN205="","",BN205-BO205)</f>
        <v/>
      </c>
      <c r="BQ205" s="55" t="str">
        <f aca="false">IF(BN205="","",IF(BO205&gt;=BN205,"На складе",IF(BO205&gt;0,"Частично","Ждём")))</f>
        <v/>
      </c>
      <c r="BR205" s="43"/>
      <c r="BS205" s="47" t="str">
        <f aca="false">IF(BN205="","",IF(_xlfn.MAXIFS(ЗАКАЗЫ!$AK$3:$AK$500,ЗАКАЗЫ!$F$3:$F$500,$A205)=0,"",_xlfn.MAXIFS(ЗАКАЗЫ!$AK$3:$AK$500,ЗАКАЗЫ!$F$3:$F$500,$A205)))</f>
        <v/>
      </c>
    </row>
    <row r="206" customFormat="false" ht="15.75" hidden="false" customHeight="true" outlineLevel="0" collapsed="false">
      <c r="A206" s="80" t="s">
        <v>2746</v>
      </c>
      <c r="B206" s="81"/>
      <c r="C206" s="81"/>
      <c r="D206" s="81"/>
      <c r="E206" s="83"/>
      <c r="F206" s="81"/>
      <c r="G206" s="83"/>
      <c r="H206" s="83"/>
      <c r="I206" s="84" t="str">
        <f aca="false">IF(E206="","",A206&amp;"_1.jpg")</f>
        <v/>
      </c>
      <c r="J206" s="84" t="str">
        <f aca="false">IF(E206="","",A206&amp;"_2.jpg; "&amp;A206&amp;"_3.jpg")</f>
        <v/>
      </c>
      <c r="K206" s="84" t="str">
        <f aca="false">IF(E206="","",A206&amp;"_schema.jpg")</f>
        <v/>
      </c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 t="s">
        <v>96</v>
      </c>
      <c r="W206" s="81"/>
      <c r="X206" s="81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6" t="str">
        <f aca="false">IF(SUM(Y206:AJ206)=0,"",SUM(Y206:AJ206))</f>
        <v/>
      </c>
      <c r="AL206" s="84" t="str">
        <f aca="false">MID(IF(N(Y206)&gt;0,", "&amp;Y$2,"")&amp;IF(N(Z206)&gt;0,", "&amp;Z$2,"")&amp;IF(N(AA206)&gt;0,", "&amp;AA$2,"")&amp;IF(N(AB206)&gt;0,", "&amp;AB$2,"")&amp;IF(N(AC206)&gt;0,", "&amp;AC$2,"")&amp;IF(N(AD206)&gt;0,", "&amp;AD$2,"")&amp;IF(N(AE206)&gt;0,", "&amp;AE$2,"")&amp;IF(N(AF206)&gt;0,", "&amp;AF$2,"")&amp;IF(N(AG206)&gt;0,", "&amp;AG$2,"")&amp;IF(N(AH206)&gt;0,", "&amp;AH$2,"")&amp;IF(N(AI206)&gt;0,", "&amp;AI$2,"")&amp;IF(N(AJ206)&gt;0,", "&amp;AJ$2,""),3,999)</f>
        <v/>
      </c>
      <c r="AM206" s="87" t="str">
        <f aca="false">IF(E206="","",MID(IF(N(Y206)&gt;0,", "&amp;A206&amp;"-"&amp;Y$2,"")&amp;IF(N(Z206)&gt;0,", "&amp;A206&amp;"-"&amp;Z$2,"")&amp;IF(N(AA206)&gt;0,", "&amp;A206&amp;"-"&amp;AA$2,"")&amp;IF(N(AB206)&gt;0,", "&amp;A206&amp;"-"&amp;AB$2,"")&amp;IF(N(AC206)&gt;0,", "&amp;A206&amp;"-"&amp;AC$2,"")&amp;IF(N(AD206)&gt;0,", "&amp;A206&amp;"-"&amp;AD$2,"")&amp;IF(N(AE206)&gt;0,", "&amp;A206&amp;"-"&amp;AE$2,"")&amp;IF(N(AF206)&gt;0,", "&amp;A206&amp;"-"&amp;AF$2,"")&amp;IF(N(AG206)&gt;0,", "&amp;A206&amp;"-"&amp;AG$2,"")&amp;IF(N(AH206)&gt;0,", "&amp;A206&amp;"-"&amp;AH$2,"")&amp;IF(N(AI206)&gt;0,", "&amp;A206&amp;"-"&amp;AI$2,"")&amp;IF(N(AJ206)&gt;0,", "&amp;A206&amp;"-"&amp;AJ$2,""),3,999))</f>
        <v/>
      </c>
      <c r="AN206" s="81"/>
      <c r="AO206" s="88"/>
      <c r="AP206" s="89" t="str">
        <f aca="false">IF(AO206="","",ROUND(AO206/(1+Справочники!$B$13),2))</f>
        <v/>
      </c>
      <c r="AQ206" s="90" t="str">
        <f aca="false" t="array" ref="AQ206:AQ206">IF(AP206="","",AP206*INDEX(Справочники!$B$4:$B$7,MATCH("RUB",Справочники!$A$4:$A$7,0)))</f>
        <v/>
      </c>
      <c r="AR206" s="90" t="str">
        <f aca="false">IF(AQ206="","",ROUND(AQ206*(1+Справочники!$B$12),0))</f>
        <v/>
      </c>
      <c r="AS206" s="90" t="str">
        <f aca="false">IF(AR206="","",ROUND(AR206*(1-Справочники!$B$11),0))</f>
        <v/>
      </c>
      <c r="AT206" s="88"/>
      <c r="AU206" s="90" t="str">
        <f aca="false">IF(AT206="","",ROUND(AT206/(1+Справочники!$B$12),0))</f>
        <v/>
      </c>
      <c r="AV206" s="90" t="str">
        <f aca="false">IF(AT206="","",ROUND(AT206*(1-Справочники!$B$15),0))</f>
        <v/>
      </c>
      <c r="AW206" s="90" t="str">
        <f aca="false">IF(AT206="","",ROUND(AT206*(1-Справочники!$B$16),0))</f>
        <v/>
      </c>
      <c r="AX206" s="90" t="str">
        <f aca="false">IF(AT206="","",ROUND(AT206*(1-Справочники!$B$17),0))</f>
        <v/>
      </c>
      <c r="AY206" s="90" t="str">
        <f aca="false">IF(AT206="","",ROUND(AT206*(1-Справочники!$B$18),0))</f>
        <v/>
      </c>
      <c r="AZ206" s="90" t="str">
        <f aca="false">IF(AT206="","",ROUND(AT206*(1-Справочники!$B$19),0))</f>
        <v/>
      </c>
      <c r="BA206" s="81"/>
      <c r="BB206" s="81"/>
      <c r="BC206" s="81"/>
      <c r="BD206" s="81"/>
      <c r="BE206" s="91"/>
      <c r="BF206" s="81" t="s">
        <v>103</v>
      </c>
      <c r="BG206" s="89" t="n">
        <f aca="false" t="array" ref="BG206:BG206">IF(BF206="","",IFERROR(INDEX(Справочники!$B$4:$B$7,MATCH(BF206,Справочники!$A$4:$A$7,0)),""))</f>
        <v>68.5</v>
      </c>
      <c r="BH206" s="90" t="str">
        <f aca="false">IF(N(BN206)&gt;0,ROUND(SUMIF(ЗАКАЗЫ!$F$3:$F$500,$A206,ЗАКАЗЫ!$Y$3:$Y$500)/BN206,0),IF(OR(BE206="",BG206=""),"",ROUND(BE206*BG206*(1+Справочники!$B$10),0)))</f>
        <v/>
      </c>
      <c r="BI206" s="92" t="str">
        <f aca="false">IF(OR(AU206="",BH206="",AU206=0),"",(AU206-BH206)/AU206)</f>
        <v/>
      </c>
      <c r="BJ206" s="81"/>
      <c r="BK206" s="83"/>
      <c r="BL206" s="43" t="str">
        <f aca="false">IFERROR(INDEX(ЗАКАЗЫ!$N$3:$N$500,MATCH($A206,ЗАКАЗЫ!$F$3:$F$500,0)),"")</f>
        <v/>
      </c>
      <c r="BM206" s="8" t="str">
        <f aca="false">IF(BL206="","",IFERROR(VLOOKUP(BL206,'ТН ВЭД'!$A$4:$C$40,3,0),""))</f>
        <v/>
      </c>
      <c r="BN206" s="7" t="str">
        <f aca="false">IF(COUNTIF(ЗАКАЗЫ!$F$3:$F$500,$A206)=0,"",SUMIF(ЗАКАЗЫ!$F$3:$F$500,$A206,ЗАКАЗЫ!$J$3:$J$500))</f>
        <v/>
      </c>
      <c r="BO206" s="7" t="str">
        <f aca="false">IF(BN206="","",SUMIF(ЗАКАЗЫ!$F$3:$F$500,$A206,ЗАКАЗЫ!$AL$3:$AL$500))</f>
        <v/>
      </c>
      <c r="BP206" s="7" t="str">
        <f aca="false">IF(BN206="","",BN206-BO206)</f>
        <v/>
      </c>
      <c r="BQ206" s="55" t="str">
        <f aca="false">IF(BN206="","",IF(BO206&gt;=BN206,"На складе",IF(BO206&gt;0,"Частично","Ждём")))</f>
        <v/>
      </c>
      <c r="BR206" s="43"/>
      <c r="BS206" s="47" t="str">
        <f aca="false">IF(BN206="","",IF(_xlfn.MAXIFS(ЗАКАЗЫ!$AK$3:$AK$500,ЗАКАЗЫ!$F$3:$F$500,$A206)=0,"",_xlfn.MAXIFS(ЗАКАЗЫ!$AK$3:$AK$500,ЗАКАЗЫ!$F$3:$F$500,$A206)))</f>
        <v/>
      </c>
    </row>
    <row r="207" customFormat="false" ht="15.75" hidden="false" customHeight="true" outlineLevel="0" collapsed="false">
      <c r="A207" s="80" t="s">
        <v>2747</v>
      </c>
      <c r="B207" s="81"/>
      <c r="C207" s="81"/>
      <c r="D207" s="81"/>
      <c r="E207" s="83"/>
      <c r="F207" s="81"/>
      <c r="G207" s="83"/>
      <c r="H207" s="83"/>
      <c r="I207" s="84" t="str">
        <f aca="false">IF(E207="","",A207&amp;"_1.jpg")</f>
        <v/>
      </c>
      <c r="J207" s="84" t="str">
        <f aca="false">IF(E207="","",A207&amp;"_2.jpg; "&amp;A207&amp;"_3.jpg")</f>
        <v/>
      </c>
      <c r="K207" s="84" t="str">
        <f aca="false">IF(E207="","",A207&amp;"_schema.jpg")</f>
        <v/>
      </c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 t="s">
        <v>96</v>
      </c>
      <c r="W207" s="81"/>
      <c r="X207" s="81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6" t="str">
        <f aca="false">IF(SUM(Y207:AJ207)=0,"",SUM(Y207:AJ207))</f>
        <v/>
      </c>
      <c r="AL207" s="84" t="str">
        <f aca="false">MID(IF(N(Y207)&gt;0,", "&amp;Y$2,"")&amp;IF(N(Z207)&gt;0,", "&amp;Z$2,"")&amp;IF(N(AA207)&gt;0,", "&amp;AA$2,"")&amp;IF(N(AB207)&gt;0,", "&amp;AB$2,"")&amp;IF(N(AC207)&gt;0,", "&amp;AC$2,"")&amp;IF(N(AD207)&gt;0,", "&amp;AD$2,"")&amp;IF(N(AE207)&gt;0,", "&amp;AE$2,"")&amp;IF(N(AF207)&gt;0,", "&amp;AF$2,"")&amp;IF(N(AG207)&gt;0,", "&amp;AG$2,"")&amp;IF(N(AH207)&gt;0,", "&amp;AH$2,"")&amp;IF(N(AI207)&gt;0,", "&amp;AI$2,"")&amp;IF(N(AJ207)&gt;0,", "&amp;AJ$2,""),3,999)</f>
        <v/>
      </c>
      <c r="AM207" s="87" t="str">
        <f aca="false">IF(E207="","",MID(IF(N(Y207)&gt;0,", "&amp;A207&amp;"-"&amp;Y$2,"")&amp;IF(N(Z207)&gt;0,", "&amp;A207&amp;"-"&amp;Z$2,"")&amp;IF(N(AA207)&gt;0,", "&amp;A207&amp;"-"&amp;AA$2,"")&amp;IF(N(AB207)&gt;0,", "&amp;A207&amp;"-"&amp;AB$2,"")&amp;IF(N(AC207)&gt;0,", "&amp;A207&amp;"-"&amp;AC$2,"")&amp;IF(N(AD207)&gt;0,", "&amp;A207&amp;"-"&amp;AD$2,"")&amp;IF(N(AE207)&gt;0,", "&amp;A207&amp;"-"&amp;AE$2,"")&amp;IF(N(AF207)&gt;0,", "&amp;A207&amp;"-"&amp;AF$2,"")&amp;IF(N(AG207)&gt;0,", "&amp;A207&amp;"-"&amp;AG$2,"")&amp;IF(N(AH207)&gt;0,", "&amp;A207&amp;"-"&amp;AH$2,"")&amp;IF(N(AI207)&gt;0,", "&amp;A207&amp;"-"&amp;AI$2,"")&amp;IF(N(AJ207)&gt;0,", "&amp;A207&amp;"-"&amp;AJ$2,""),3,999))</f>
        <v/>
      </c>
      <c r="AN207" s="81"/>
      <c r="AO207" s="88"/>
      <c r="AP207" s="89" t="str">
        <f aca="false">IF(AO207="","",ROUND(AO207/(1+Справочники!$B$13),2))</f>
        <v/>
      </c>
      <c r="AQ207" s="90" t="str">
        <f aca="false" t="array" ref="AQ207:AQ207">IF(AP207="","",AP207*INDEX(Справочники!$B$4:$B$7,MATCH("RUB",Справочники!$A$4:$A$7,0)))</f>
        <v/>
      </c>
      <c r="AR207" s="90" t="str">
        <f aca="false">IF(AQ207="","",ROUND(AQ207*(1+Справочники!$B$12),0))</f>
        <v/>
      </c>
      <c r="AS207" s="90" t="str">
        <f aca="false">IF(AR207="","",ROUND(AR207*(1-Справочники!$B$11),0))</f>
        <v/>
      </c>
      <c r="AT207" s="88"/>
      <c r="AU207" s="90" t="str">
        <f aca="false">IF(AT207="","",ROUND(AT207/(1+Справочники!$B$12),0))</f>
        <v/>
      </c>
      <c r="AV207" s="90" t="str">
        <f aca="false">IF(AT207="","",ROUND(AT207*(1-Справочники!$B$15),0))</f>
        <v/>
      </c>
      <c r="AW207" s="90" t="str">
        <f aca="false">IF(AT207="","",ROUND(AT207*(1-Справочники!$B$16),0))</f>
        <v/>
      </c>
      <c r="AX207" s="90" t="str">
        <f aca="false">IF(AT207="","",ROUND(AT207*(1-Справочники!$B$17),0))</f>
        <v/>
      </c>
      <c r="AY207" s="90" t="str">
        <f aca="false">IF(AT207="","",ROUND(AT207*(1-Справочники!$B$18),0))</f>
        <v/>
      </c>
      <c r="AZ207" s="90" t="str">
        <f aca="false">IF(AT207="","",ROUND(AT207*(1-Справочники!$B$19),0))</f>
        <v/>
      </c>
      <c r="BA207" s="81"/>
      <c r="BB207" s="81"/>
      <c r="BC207" s="81"/>
      <c r="BD207" s="81"/>
      <c r="BE207" s="91"/>
      <c r="BF207" s="81" t="s">
        <v>103</v>
      </c>
      <c r="BG207" s="89" t="n">
        <f aca="false" t="array" ref="BG207:BG207">IF(BF207="","",IFERROR(INDEX(Справочники!$B$4:$B$7,MATCH(BF207,Справочники!$A$4:$A$7,0)),""))</f>
        <v>68.5</v>
      </c>
      <c r="BH207" s="90" t="str">
        <f aca="false">IF(N(BN207)&gt;0,ROUND(SUMIF(ЗАКАЗЫ!$F$3:$F$500,$A207,ЗАКАЗЫ!$Y$3:$Y$500)/BN207,0),IF(OR(BE207="",BG207=""),"",ROUND(BE207*BG207*(1+Справочники!$B$10),0)))</f>
        <v/>
      </c>
      <c r="BI207" s="92" t="str">
        <f aca="false">IF(OR(AU207="",BH207="",AU207=0),"",(AU207-BH207)/AU207)</f>
        <v/>
      </c>
      <c r="BJ207" s="81"/>
      <c r="BK207" s="83"/>
      <c r="BL207" s="43" t="str">
        <f aca="false">IFERROR(INDEX(ЗАКАЗЫ!$N$3:$N$500,MATCH($A207,ЗАКАЗЫ!$F$3:$F$500,0)),"")</f>
        <v/>
      </c>
      <c r="BM207" s="8" t="str">
        <f aca="false">IF(BL207="","",IFERROR(VLOOKUP(BL207,'ТН ВЭД'!$A$4:$C$40,3,0),""))</f>
        <v/>
      </c>
      <c r="BN207" s="7" t="str">
        <f aca="false">IF(COUNTIF(ЗАКАЗЫ!$F$3:$F$500,$A207)=0,"",SUMIF(ЗАКАЗЫ!$F$3:$F$500,$A207,ЗАКАЗЫ!$J$3:$J$500))</f>
        <v/>
      </c>
      <c r="BO207" s="7" t="str">
        <f aca="false">IF(BN207="","",SUMIF(ЗАКАЗЫ!$F$3:$F$500,$A207,ЗАКАЗЫ!$AL$3:$AL$500))</f>
        <v/>
      </c>
      <c r="BP207" s="7" t="str">
        <f aca="false">IF(BN207="","",BN207-BO207)</f>
        <v/>
      </c>
      <c r="BQ207" s="55" t="str">
        <f aca="false">IF(BN207="","",IF(BO207&gt;=BN207,"На складе",IF(BO207&gt;0,"Частично","Ждём")))</f>
        <v/>
      </c>
      <c r="BR207" s="43"/>
      <c r="BS207" s="47" t="str">
        <f aca="false">IF(BN207="","",IF(_xlfn.MAXIFS(ЗАКАЗЫ!$AK$3:$AK$500,ЗАКАЗЫ!$F$3:$F$500,$A207)=0,"",_xlfn.MAXIFS(ЗАКАЗЫ!$AK$3:$AK$500,ЗАКАЗЫ!$F$3:$F$500,$A207)))</f>
        <v/>
      </c>
    </row>
    <row r="208" customFormat="false" ht="15.75" hidden="false" customHeight="true" outlineLevel="0" collapsed="false">
      <c r="A208" s="80" t="s">
        <v>2748</v>
      </c>
      <c r="B208" s="81"/>
      <c r="C208" s="81"/>
      <c r="D208" s="81"/>
      <c r="E208" s="83"/>
      <c r="F208" s="81"/>
      <c r="G208" s="83"/>
      <c r="H208" s="83"/>
      <c r="I208" s="84" t="str">
        <f aca="false">IF(E208="","",A208&amp;"_1.jpg")</f>
        <v/>
      </c>
      <c r="J208" s="84" t="str">
        <f aca="false">IF(E208="","",A208&amp;"_2.jpg; "&amp;A208&amp;"_3.jpg")</f>
        <v/>
      </c>
      <c r="K208" s="84" t="str">
        <f aca="false">IF(E208="","",A208&amp;"_schema.jpg")</f>
        <v/>
      </c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 t="s">
        <v>96</v>
      </c>
      <c r="W208" s="81"/>
      <c r="X208" s="81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6" t="str">
        <f aca="false">IF(SUM(Y208:AJ208)=0,"",SUM(Y208:AJ208))</f>
        <v/>
      </c>
      <c r="AL208" s="84" t="str">
        <f aca="false">MID(IF(N(Y208)&gt;0,", "&amp;Y$2,"")&amp;IF(N(Z208)&gt;0,", "&amp;Z$2,"")&amp;IF(N(AA208)&gt;0,", "&amp;AA$2,"")&amp;IF(N(AB208)&gt;0,", "&amp;AB$2,"")&amp;IF(N(AC208)&gt;0,", "&amp;AC$2,"")&amp;IF(N(AD208)&gt;0,", "&amp;AD$2,"")&amp;IF(N(AE208)&gt;0,", "&amp;AE$2,"")&amp;IF(N(AF208)&gt;0,", "&amp;AF$2,"")&amp;IF(N(AG208)&gt;0,", "&amp;AG$2,"")&amp;IF(N(AH208)&gt;0,", "&amp;AH$2,"")&amp;IF(N(AI208)&gt;0,", "&amp;AI$2,"")&amp;IF(N(AJ208)&gt;0,", "&amp;AJ$2,""),3,999)</f>
        <v/>
      </c>
      <c r="AM208" s="87" t="str">
        <f aca="false">IF(E208="","",MID(IF(N(Y208)&gt;0,", "&amp;A208&amp;"-"&amp;Y$2,"")&amp;IF(N(Z208)&gt;0,", "&amp;A208&amp;"-"&amp;Z$2,"")&amp;IF(N(AA208)&gt;0,", "&amp;A208&amp;"-"&amp;AA$2,"")&amp;IF(N(AB208)&gt;0,", "&amp;A208&amp;"-"&amp;AB$2,"")&amp;IF(N(AC208)&gt;0,", "&amp;A208&amp;"-"&amp;AC$2,"")&amp;IF(N(AD208)&gt;0,", "&amp;A208&amp;"-"&amp;AD$2,"")&amp;IF(N(AE208)&gt;0,", "&amp;A208&amp;"-"&amp;AE$2,"")&amp;IF(N(AF208)&gt;0,", "&amp;A208&amp;"-"&amp;AF$2,"")&amp;IF(N(AG208)&gt;0,", "&amp;A208&amp;"-"&amp;AG$2,"")&amp;IF(N(AH208)&gt;0,", "&amp;A208&amp;"-"&amp;AH$2,"")&amp;IF(N(AI208)&gt;0,", "&amp;A208&amp;"-"&amp;AI$2,"")&amp;IF(N(AJ208)&gt;0,", "&amp;A208&amp;"-"&amp;AJ$2,""),3,999))</f>
        <v/>
      </c>
      <c r="AN208" s="81"/>
      <c r="AO208" s="88"/>
      <c r="AP208" s="89" t="str">
        <f aca="false">IF(AO208="","",ROUND(AO208/(1+Справочники!$B$13),2))</f>
        <v/>
      </c>
      <c r="AQ208" s="90" t="str">
        <f aca="false" t="array" ref="AQ208:AQ208">IF(AP208="","",AP208*INDEX(Справочники!$B$4:$B$7,MATCH("RUB",Справочники!$A$4:$A$7,0)))</f>
        <v/>
      </c>
      <c r="AR208" s="90" t="str">
        <f aca="false">IF(AQ208="","",ROUND(AQ208*(1+Справочники!$B$12),0))</f>
        <v/>
      </c>
      <c r="AS208" s="90" t="str">
        <f aca="false">IF(AR208="","",ROUND(AR208*(1-Справочники!$B$11),0))</f>
        <v/>
      </c>
      <c r="AT208" s="88"/>
      <c r="AU208" s="90" t="str">
        <f aca="false">IF(AT208="","",ROUND(AT208/(1+Справочники!$B$12),0))</f>
        <v/>
      </c>
      <c r="AV208" s="90" t="str">
        <f aca="false">IF(AT208="","",ROUND(AT208*(1-Справочники!$B$15),0))</f>
        <v/>
      </c>
      <c r="AW208" s="90" t="str">
        <f aca="false">IF(AT208="","",ROUND(AT208*(1-Справочники!$B$16),0))</f>
        <v/>
      </c>
      <c r="AX208" s="90" t="str">
        <f aca="false">IF(AT208="","",ROUND(AT208*(1-Справочники!$B$17),0))</f>
        <v/>
      </c>
      <c r="AY208" s="90" t="str">
        <f aca="false">IF(AT208="","",ROUND(AT208*(1-Справочники!$B$18),0))</f>
        <v/>
      </c>
      <c r="AZ208" s="90" t="str">
        <f aca="false">IF(AT208="","",ROUND(AT208*(1-Справочники!$B$19),0))</f>
        <v/>
      </c>
      <c r="BA208" s="81"/>
      <c r="BB208" s="81"/>
      <c r="BC208" s="81"/>
      <c r="BD208" s="81"/>
      <c r="BE208" s="91"/>
      <c r="BF208" s="81" t="s">
        <v>103</v>
      </c>
      <c r="BG208" s="89" t="n">
        <f aca="false" t="array" ref="BG208:BG208">IF(BF208="","",IFERROR(INDEX(Справочники!$B$4:$B$7,MATCH(BF208,Справочники!$A$4:$A$7,0)),""))</f>
        <v>68.5</v>
      </c>
      <c r="BH208" s="90" t="str">
        <f aca="false">IF(N(BN208)&gt;0,ROUND(SUMIF(ЗАКАЗЫ!$F$3:$F$500,$A208,ЗАКАЗЫ!$Y$3:$Y$500)/BN208,0),IF(OR(BE208="",BG208=""),"",ROUND(BE208*BG208*(1+Справочники!$B$10),0)))</f>
        <v/>
      </c>
      <c r="BI208" s="92" t="str">
        <f aca="false">IF(OR(AU208="",BH208="",AU208=0),"",(AU208-BH208)/AU208)</f>
        <v/>
      </c>
      <c r="BJ208" s="81"/>
      <c r="BK208" s="83"/>
      <c r="BL208" s="43" t="str">
        <f aca="false">IFERROR(INDEX(ЗАКАЗЫ!$N$3:$N$500,MATCH($A208,ЗАКАЗЫ!$F$3:$F$500,0)),"")</f>
        <v/>
      </c>
      <c r="BM208" s="8" t="str">
        <f aca="false">IF(BL208="","",IFERROR(VLOOKUP(BL208,'ТН ВЭД'!$A$4:$C$40,3,0),""))</f>
        <v/>
      </c>
      <c r="BN208" s="7" t="str">
        <f aca="false">IF(COUNTIF(ЗАКАЗЫ!$F$3:$F$500,$A208)=0,"",SUMIF(ЗАКАЗЫ!$F$3:$F$500,$A208,ЗАКАЗЫ!$J$3:$J$500))</f>
        <v/>
      </c>
      <c r="BO208" s="7" t="str">
        <f aca="false">IF(BN208="","",SUMIF(ЗАКАЗЫ!$F$3:$F$500,$A208,ЗАКАЗЫ!$AL$3:$AL$500))</f>
        <v/>
      </c>
      <c r="BP208" s="7" t="str">
        <f aca="false">IF(BN208="","",BN208-BO208)</f>
        <v/>
      </c>
      <c r="BQ208" s="55" t="str">
        <f aca="false">IF(BN208="","",IF(BO208&gt;=BN208,"На складе",IF(BO208&gt;0,"Частично","Ждём")))</f>
        <v/>
      </c>
      <c r="BR208" s="43"/>
      <c r="BS208" s="47" t="str">
        <f aca="false">IF(BN208="","",IF(_xlfn.MAXIFS(ЗАКАЗЫ!$AK$3:$AK$500,ЗАКАЗЫ!$F$3:$F$500,$A208)=0,"",_xlfn.MAXIFS(ЗАКАЗЫ!$AK$3:$AK$500,ЗАКАЗЫ!$F$3:$F$500,$A208)))</f>
        <v/>
      </c>
    </row>
    <row r="209" customFormat="false" ht="15.75" hidden="false" customHeight="true" outlineLevel="0" collapsed="false">
      <c r="A209" s="80" t="s">
        <v>2749</v>
      </c>
      <c r="B209" s="81"/>
      <c r="C209" s="81"/>
      <c r="D209" s="81"/>
      <c r="E209" s="83"/>
      <c r="F209" s="81"/>
      <c r="G209" s="83"/>
      <c r="H209" s="83"/>
      <c r="I209" s="84" t="str">
        <f aca="false">IF(E209="","",A209&amp;"_1.jpg")</f>
        <v/>
      </c>
      <c r="J209" s="84" t="str">
        <f aca="false">IF(E209="","",A209&amp;"_2.jpg; "&amp;A209&amp;"_3.jpg")</f>
        <v/>
      </c>
      <c r="K209" s="84" t="str">
        <f aca="false">IF(E209="","",A209&amp;"_schema.jpg")</f>
        <v/>
      </c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 t="s">
        <v>96</v>
      </c>
      <c r="W209" s="81"/>
      <c r="X209" s="81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6" t="str">
        <f aca="false">IF(SUM(Y209:AJ209)=0,"",SUM(Y209:AJ209))</f>
        <v/>
      </c>
      <c r="AL209" s="84" t="str">
        <f aca="false">MID(IF(N(Y209)&gt;0,", "&amp;Y$2,"")&amp;IF(N(Z209)&gt;0,", "&amp;Z$2,"")&amp;IF(N(AA209)&gt;0,", "&amp;AA$2,"")&amp;IF(N(AB209)&gt;0,", "&amp;AB$2,"")&amp;IF(N(AC209)&gt;0,", "&amp;AC$2,"")&amp;IF(N(AD209)&gt;0,", "&amp;AD$2,"")&amp;IF(N(AE209)&gt;0,", "&amp;AE$2,"")&amp;IF(N(AF209)&gt;0,", "&amp;AF$2,"")&amp;IF(N(AG209)&gt;0,", "&amp;AG$2,"")&amp;IF(N(AH209)&gt;0,", "&amp;AH$2,"")&amp;IF(N(AI209)&gt;0,", "&amp;AI$2,"")&amp;IF(N(AJ209)&gt;0,", "&amp;AJ$2,""),3,999)</f>
        <v/>
      </c>
      <c r="AM209" s="87" t="str">
        <f aca="false">IF(E209="","",MID(IF(N(Y209)&gt;0,", "&amp;A209&amp;"-"&amp;Y$2,"")&amp;IF(N(Z209)&gt;0,", "&amp;A209&amp;"-"&amp;Z$2,"")&amp;IF(N(AA209)&gt;0,", "&amp;A209&amp;"-"&amp;AA$2,"")&amp;IF(N(AB209)&gt;0,", "&amp;A209&amp;"-"&amp;AB$2,"")&amp;IF(N(AC209)&gt;0,", "&amp;A209&amp;"-"&amp;AC$2,"")&amp;IF(N(AD209)&gt;0,", "&amp;A209&amp;"-"&amp;AD$2,"")&amp;IF(N(AE209)&gt;0,", "&amp;A209&amp;"-"&amp;AE$2,"")&amp;IF(N(AF209)&gt;0,", "&amp;A209&amp;"-"&amp;AF$2,"")&amp;IF(N(AG209)&gt;0,", "&amp;A209&amp;"-"&amp;AG$2,"")&amp;IF(N(AH209)&gt;0,", "&amp;A209&amp;"-"&amp;AH$2,"")&amp;IF(N(AI209)&gt;0,", "&amp;A209&amp;"-"&amp;AI$2,"")&amp;IF(N(AJ209)&gt;0,", "&amp;A209&amp;"-"&amp;AJ$2,""),3,999))</f>
        <v/>
      </c>
      <c r="AN209" s="81"/>
      <c r="AO209" s="88"/>
      <c r="AP209" s="89" t="str">
        <f aca="false">IF(AO209="","",ROUND(AO209/(1+Справочники!$B$13),2))</f>
        <v/>
      </c>
      <c r="AQ209" s="90" t="str">
        <f aca="false" t="array" ref="AQ209:AQ209">IF(AP209="","",AP209*INDEX(Справочники!$B$4:$B$7,MATCH("RUB",Справочники!$A$4:$A$7,0)))</f>
        <v/>
      </c>
      <c r="AR209" s="90" t="str">
        <f aca="false">IF(AQ209="","",ROUND(AQ209*(1+Справочники!$B$12),0))</f>
        <v/>
      </c>
      <c r="AS209" s="90" t="str">
        <f aca="false">IF(AR209="","",ROUND(AR209*(1-Справочники!$B$11),0))</f>
        <v/>
      </c>
      <c r="AT209" s="88"/>
      <c r="AU209" s="90" t="str">
        <f aca="false">IF(AT209="","",ROUND(AT209/(1+Справочники!$B$12),0))</f>
        <v/>
      </c>
      <c r="AV209" s="90" t="str">
        <f aca="false">IF(AT209="","",ROUND(AT209*(1-Справочники!$B$15),0))</f>
        <v/>
      </c>
      <c r="AW209" s="90" t="str">
        <f aca="false">IF(AT209="","",ROUND(AT209*(1-Справочники!$B$16),0))</f>
        <v/>
      </c>
      <c r="AX209" s="90" t="str">
        <f aca="false">IF(AT209="","",ROUND(AT209*(1-Справочники!$B$17),0))</f>
        <v/>
      </c>
      <c r="AY209" s="90" t="str">
        <f aca="false">IF(AT209="","",ROUND(AT209*(1-Справочники!$B$18),0))</f>
        <v/>
      </c>
      <c r="AZ209" s="90" t="str">
        <f aca="false">IF(AT209="","",ROUND(AT209*(1-Справочники!$B$19),0))</f>
        <v/>
      </c>
      <c r="BA209" s="81"/>
      <c r="BB209" s="81"/>
      <c r="BC209" s="81"/>
      <c r="BD209" s="81"/>
      <c r="BE209" s="91"/>
      <c r="BF209" s="81" t="s">
        <v>103</v>
      </c>
      <c r="BG209" s="89" t="n">
        <f aca="false" t="array" ref="BG209:BG209">IF(BF209="","",IFERROR(INDEX(Справочники!$B$4:$B$7,MATCH(BF209,Справочники!$A$4:$A$7,0)),""))</f>
        <v>68.5</v>
      </c>
      <c r="BH209" s="90" t="str">
        <f aca="false">IF(N(BN209)&gt;0,ROUND(SUMIF(ЗАКАЗЫ!$F$3:$F$500,$A209,ЗАКАЗЫ!$Y$3:$Y$500)/BN209,0),IF(OR(BE209="",BG209=""),"",ROUND(BE209*BG209*(1+Справочники!$B$10),0)))</f>
        <v/>
      </c>
      <c r="BI209" s="92" t="str">
        <f aca="false">IF(OR(AU209="",BH209="",AU209=0),"",(AU209-BH209)/AU209)</f>
        <v/>
      </c>
      <c r="BJ209" s="81"/>
      <c r="BK209" s="83"/>
      <c r="BL209" s="43" t="str">
        <f aca="false">IFERROR(INDEX(ЗАКАЗЫ!$N$3:$N$500,MATCH($A209,ЗАКАЗЫ!$F$3:$F$500,0)),"")</f>
        <v/>
      </c>
      <c r="BM209" s="8" t="str">
        <f aca="false">IF(BL209="","",IFERROR(VLOOKUP(BL209,'ТН ВЭД'!$A$4:$C$40,3,0),""))</f>
        <v/>
      </c>
      <c r="BN209" s="7" t="str">
        <f aca="false">IF(COUNTIF(ЗАКАЗЫ!$F$3:$F$500,$A209)=0,"",SUMIF(ЗАКАЗЫ!$F$3:$F$500,$A209,ЗАКАЗЫ!$J$3:$J$500))</f>
        <v/>
      </c>
      <c r="BO209" s="7" t="str">
        <f aca="false">IF(BN209="","",SUMIF(ЗАКАЗЫ!$F$3:$F$500,$A209,ЗАКАЗЫ!$AL$3:$AL$500))</f>
        <v/>
      </c>
      <c r="BP209" s="7" t="str">
        <f aca="false">IF(BN209="","",BN209-BO209)</f>
        <v/>
      </c>
      <c r="BQ209" s="55" t="str">
        <f aca="false">IF(BN209="","",IF(BO209&gt;=BN209,"На складе",IF(BO209&gt;0,"Частично","Ждём")))</f>
        <v/>
      </c>
      <c r="BR209" s="43"/>
      <c r="BS209" s="47" t="str">
        <f aca="false">IF(BN209="","",IF(_xlfn.MAXIFS(ЗАКАЗЫ!$AK$3:$AK$500,ЗАКАЗЫ!$F$3:$F$500,$A209)=0,"",_xlfn.MAXIFS(ЗАКАЗЫ!$AK$3:$AK$500,ЗАКАЗЫ!$F$3:$F$500,$A209)))</f>
        <v/>
      </c>
    </row>
    <row r="210" customFormat="false" ht="15.75" hidden="false" customHeight="true" outlineLevel="0" collapsed="false">
      <c r="A210" s="80" t="s">
        <v>2750</v>
      </c>
      <c r="B210" s="81"/>
      <c r="C210" s="81"/>
      <c r="D210" s="81"/>
      <c r="E210" s="83"/>
      <c r="F210" s="81"/>
      <c r="G210" s="83"/>
      <c r="H210" s="83"/>
      <c r="I210" s="84" t="str">
        <f aca="false">IF(E210="","",A210&amp;"_1.jpg")</f>
        <v/>
      </c>
      <c r="J210" s="84" t="str">
        <f aca="false">IF(E210="","",A210&amp;"_2.jpg; "&amp;A210&amp;"_3.jpg")</f>
        <v/>
      </c>
      <c r="K210" s="84" t="str">
        <f aca="false">IF(E210="","",A210&amp;"_schema.jpg")</f>
        <v/>
      </c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 t="s">
        <v>96</v>
      </c>
      <c r="W210" s="81"/>
      <c r="X210" s="81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6" t="str">
        <f aca="false">IF(SUM(Y210:AJ210)=0,"",SUM(Y210:AJ210))</f>
        <v/>
      </c>
      <c r="AL210" s="84" t="str">
        <f aca="false">MID(IF(N(Y210)&gt;0,", "&amp;Y$2,"")&amp;IF(N(Z210)&gt;0,", "&amp;Z$2,"")&amp;IF(N(AA210)&gt;0,", "&amp;AA$2,"")&amp;IF(N(AB210)&gt;0,", "&amp;AB$2,"")&amp;IF(N(AC210)&gt;0,", "&amp;AC$2,"")&amp;IF(N(AD210)&gt;0,", "&amp;AD$2,"")&amp;IF(N(AE210)&gt;0,", "&amp;AE$2,"")&amp;IF(N(AF210)&gt;0,", "&amp;AF$2,"")&amp;IF(N(AG210)&gt;0,", "&amp;AG$2,"")&amp;IF(N(AH210)&gt;0,", "&amp;AH$2,"")&amp;IF(N(AI210)&gt;0,", "&amp;AI$2,"")&amp;IF(N(AJ210)&gt;0,", "&amp;AJ$2,""),3,999)</f>
        <v/>
      </c>
      <c r="AM210" s="87" t="str">
        <f aca="false">IF(E210="","",MID(IF(N(Y210)&gt;0,", "&amp;A210&amp;"-"&amp;Y$2,"")&amp;IF(N(Z210)&gt;0,", "&amp;A210&amp;"-"&amp;Z$2,"")&amp;IF(N(AA210)&gt;0,", "&amp;A210&amp;"-"&amp;AA$2,"")&amp;IF(N(AB210)&gt;0,", "&amp;A210&amp;"-"&amp;AB$2,"")&amp;IF(N(AC210)&gt;0,", "&amp;A210&amp;"-"&amp;AC$2,"")&amp;IF(N(AD210)&gt;0,", "&amp;A210&amp;"-"&amp;AD$2,"")&amp;IF(N(AE210)&gt;0,", "&amp;A210&amp;"-"&amp;AE$2,"")&amp;IF(N(AF210)&gt;0,", "&amp;A210&amp;"-"&amp;AF$2,"")&amp;IF(N(AG210)&gt;0,", "&amp;A210&amp;"-"&amp;AG$2,"")&amp;IF(N(AH210)&gt;0,", "&amp;A210&amp;"-"&amp;AH$2,"")&amp;IF(N(AI210)&gt;0,", "&amp;A210&amp;"-"&amp;AI$2,"")&amp;IF(N(AJ210)&gt;0,", "&amp;A210&amp;"-"&amp;AJ$2,""),3,999))</f>
        <v/>
      </c>
      <c r="AN210" s="81"/>
      <c r="AO210" s="88"/>
      <c r="AP210" s="89" t="str">
        <f aca="false">IF(AO210="","",ROUND(AO210/(1+Справочники!$B$13),2))</f>
        <v/>
      </c>
      <c r="AQ210" s="90" t="str">
        <f aca="false" t="array" ref="AQ210:AQ210">IF(AP210="","",AP210*INDEX(Справочники!$B$4:$B$7,MATCH("RUB",Справочники!$A$4:$A$7,0)))</f>
        <v/>
      </c>
      <c r="AR210" s="90" t="str">
        <f aca="false">IF(AQ210="","",ROUND(AQ210*(1+Справочники!$B$12),0))</f>
        <v/>
      </c>
      <c r="AS210" s="90" t="str">
        <f aca="false">IF(AR210="","",ROUND(AR210*(1-Справочники!$B$11),0))</f>
        <v/>
      </c>
      <c r="AT210" s="88"/>
      <c r="AU210" s="90" t="str">
        <f aca="false">IF(AT210="","",ROUND(AT210/(1+Справочники!$B$12),0))</f>
        <v/>
      </c>
      <c r="AV210" s="90" t="str">
        <f aca="false">IF(AT210="","",ROUND(AT210*(1-Справочники!$B$15),0))</f>
        <v/>
      </c>
      <c r="AW210" s="90" t="str">
        <f aca="false">IF(AT210="","",ROUND(AT210*(1-Справочники!$B$16),0))</f>
        <v/>
      </c>
      <c r="AX210" s="90" t="str">
        <f aca="false">IF(AT210="","",ROUND(AT210*(1-Справочники!$B$17),0))</f>
        <v/>
      </c>
      <c r="AY210" s="90" t="str">
        <f aca="false">IF(AT210="","",ROUND(AT210*(1-Справочники!$B$18),0))</f>
        <v/>
      </c>
      <c r="AZ210" s="90" t="str">
        <f aca="false">IF(AT210="","",ROUND(AT210*(1-Справочники!$B$19),0))</f>
        <v/>
      </c>
      <c r="BA210" s="81"/>
      <c r="BB210" s="81"/>
      <c r="BC210" s="81"/>
      <c r="BD210" s="81"/>
      <c r="BE210" s="91"/>
      <c r="BF210" s="81" t="s">
        <v>103</v>
      </c>
      <c r="BG210" s="89" t="n">
        <f aca="false" t="array" ref="BG210:BG210">IF(BF210="","",IFERROR(INDEX(Справочники!$B$4:$B$7,MATCH(BF210,Справочники!$A$4:$A$7,0)),""))</f>
        <v>68.5</v>
      </c>
      <c r="BH210" s="90" t="str">
        <f aca="false">IF(N(BN210)&gt;0,ROUND(SUMIF(ЗАКАЗЫ!$F$3:$F$500,$A210,ЗАКАЗЫ!$Y$3:$Y$500)/BN210,0),IF(OR(BE210="",BG210=""),"",ROUND(BE210*BG210*(1+Справочники!$B$10),0)))</f>
        <v/>
      </c>
      <c r="BI210" s="92" t="str">
        <f aca="false">IF(OR(AU210="",BH210="",AU210=0),"",(AU210-BH210)/AU210)</f>
        <v/>
      </c>
      <c r="BJ210" s="81"/>
      <c r="BK210" s="83"/>
      <c r="BL210" s="43" t="str">
        <f aca="false">IFERROR(INDEX(ЗАКАЗЫ!$N$3:$N$500,MATCH($A210,ЗАКАЗЫ!$F$3:$F$500,0)),"")</f>
        <v/>
      </c>
      <c r="BM210" s="8" t="str">
        <f aca="false">IF(BL210="","",IFERROR(VLOOKUP(BL210,'ТН ВЭД'!$A$4:$C$40,3,0),""))</f>
        <v/>
      </c>
      <c r="BN210" s="7" t="str">
        <f aca="false">IF(COUNTIF(ЗАКАЗЫ!$F$3:$F$500,$A210)=0,"",SUMIF(ЗАКАЗЫ!$F$3:$F$500,$A210,ЗАКАЗЫ!$J$3:$J$500))</f>
        <v/>
      </c>
      <c r="BO210" s="7" t="str">
        <f aca="false">IF(BN210="","",SUMIF(ЗАКАЗЫ!$F$3:$F$500,$A210,ЗАКАЗЫ!$AL$3:$AL$500))</f>
        <v/>
      </c>
      <c r="BP210" s="7" t="str">
        <f aca="false">IF(BN210="","",BN210-BO210)</f>
        <v/>
      </c>
      <c r="BQ210" s="55" t="str">
        <f aca="false">IF(BN210="","",IF(BO210&gt;=BN210,"На складе",IF(BO210&gt;0,"Частично","Ждём")))</f>
        <v/>
      </c>
      <c r="BR210" s="43"/>
      <c r="BS210" s="47" t="str">
        <f aca="false">IF(BN210="","",IF(_xlfn.MAXIFS(ЗАКАЗЫ!$AK$3:$AK$500,ЗАКАЗЫ!$F$3:$F$500,$A210)=0,"",_xlfn.MAXIFS(ЗАКАЗЫ!$AK$3:$AK$500,ЗАКАЗЫ!$F$3:$F$500,$A210)))</f>
        <v/>
      </c>
    </row>
    <row r="211" customFormat="false" ht="15.75" hidden="false" customHeight="true" outlineLevel="0" collapsed="false">
      <c r="A211" s="80" t="s">
        <v>2751</v>
      </c>
      <c r="B211" s="81"/>
      <c r="C211" s="81"/>
      <c r="D211" s="81"/>
      <c r="E211" s="83"/>
      <c r="F211" s="81"/>
      <c r="G211" s="83"/>
      <c r="H211" s="83"/>
      <c r="I211" s="84" t="str">
        <f aca="false">IF(E211="","",A211&amp;"_1.jpg")</f>
        <v/>
      </c>
      <c r="J211" s="84" t="str">
        <f aca="false">IF(E211="","",A211&amp;"_2.jpg; "&amp;A211&amp;"_3.jpg")</f>
        <v/>
      </c>
      <c r="K211" s="84" t="str">
        <f aca="false">IF(E211="","",A211&amp;"_schema.jpg")</f>
        <v/>
      </c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 t="s">
        <v>96</v>
      </c>
      <c r="W211" s="81"/>
      <c r="X211" s="81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6" t="str">
        <f aca="false">IF(SUM(Y211:AJ211)=0,"",SUM(Y211:AJ211))</f>
        <v/>
      </c>
      <c r="AL211" s="84" t="str">
        <f aca="false">MID(IF(N(Y211)&gt;0,", "&amp;Y$2,"")&amp;IF(N(Z211)&gt;0,", "&amp;Z$2,"")&amp;IF(N(AA211)&gt;0,", "&amp;AA$2,"")&amp;IF(N(AB211)&gt;0,", "&amp;AB$2,"")&amp;IF(N(AC211)&gt;0,", "&amp;AC$2,"")&amp;IF(N(AD211)&gt;0,", "&amp;AD$2,"")&amp;IF(N(AE211)&gt;0,", "&amp;AE$2,"")&amp;IF(N(AF211)&gt;0,", "&amp;AF$2,"")&amp;IF(N(AG211)&gt;0,", "&amp;AG$2,"")&amp;IF(N(AH211)&gt;0,", "&amp;AH$2,"")&amp;IF(N(AI211)&gt;0,", "&amp;AI$2,"")&amp;IF(N(AJ211)&gt;0,", "&amp;AJ$2,""),3,999)</f>
        <v/>
      </c>
      <c r="AM211" s="87" t="str">
        <f aca="false">IF(E211="","",MID(IF(N(Y211)&gt;0,", "&amp;A211&amp;"-"&amp;Y$2,"")&amp;IF(N(Z211)&gt;0,", "&amp;A211&amp;"-"&amp;Z$2,"")&amp;IF(N(AA211)&gt;0,", "&amp;A211&amp;"-"&amp;AA$2,"")&amp;IF(N(AB211)&gt;0,", "&amp;A211&amp;"-"&amp;AB$2,"")&amp;IF(N(AC211)&gt;0,", "&amp;A211&amp;"-"&amp;AC$2,"")&amp;IF(N(AD211)&gt;0,", "&amp;A211&amp;"-"&amp;AD$2,"")&amp;IF(N(AE211)&gt;0,", "&amp;A211&amp;"-"&amp;AE$2,"")&amp;IF(N(AF211)&gt;0,", "&amp;A211&amp;"-"&amp;AF$2,"")&amp;IF(N(AG211)&gt;0,", "&amp;A211&amp;"-"&amp;AG$2,"")&amp;IF(N(AH211)&gt;0,", "&amp;A211&amp;"-"&amp;AH$2,"")&amp;IF(N(AI211)&gt;0,", "&amp;A211&amp;"-"&amp;AI$2,"")&amp;IF(N(AJ211)&gt;0,", "&amp;A211&amp;"-"&amp;AJ$2,""),3,999))</f>
        <v/>
      </c>
      <c r="AN211" s="81"/>
      <c r="AO211" s="88"/>
      <c r="AP211" s="89" t="str">
        <f aca="false">IF(AO211="","",ROUND(AO211/(1+Справочники!$B$13),2))</f>
        <v/>
      </c>
      <c r="AQ211" s="90" t="str">
        <f aca="false" t="array" ref="AQ211:AQ211">IF(AP211="","",AP211*INDEX(Справочники!$B$4:$B$7,MATCH("RUB",Справочники!$A$4:$A$7,0)))</f>
        <v/>
      </c>
      <c r="AR211" s="90" t="str">
        <f aca="false">IF(AQ211="","",ROUND(AQ211*(1+Справочники!$B$12),0))</f>
        <v/>
      </c>
      <c r="AS211" s="90" t="str">
        <f aca="false">IF(AR211="","",ROUND(AR211*(1-Справочники!$B$11),0))</f>
        <v/>
      </c>
      <c r="AT211" s="88"/>
      <c r="AU211" s="90" t="str">
        <f aca="false">IF(AT211="","",ROUND(AT211/(1+Справочники!$B$12),0))</f>
        <v/>
      </c>
      <c r="AV211" s="90" t="str">
        <f aca="false">IF(AT211="","",ROUND(AT211*(1-Справочники!$B$15),0))</f>
        <v/>
      </c>
      <c r="AW211" s="90" t="str">
        <f aca="false">IF(AT211="","",ROUND(AT211*(1-Справочники!$B$16),0))</f>
        <v/>
      </c>
      <c r="AX211" s="90" t="str">
        <f aca="false">IF(AT211="","",ROUND(AT211*(1-Справочники!$B$17),0))</f>
        <v/>
      </c>
      <c r="AY211" s="90" t="str">
        <f aca="false">IF(AT211="","",ROUND(AT211*(1-Справочники!$B$18),0))</f>
        <v/>
      </c>
      <c r="AZ211" s="90" t="str">
        <f aca="false">IF(AT211="","",ROUND(AT211*(1-Справочники!$B$19),0))</f>
        <v/>
      </c>
      <c r="BA211" s="81"/>
      <c r="BB211" s="81"/>
      <c r="BC211" s="81"/>
      <c r="BD211" s="81"/>
      <c r="BE211" s="91"/>
      <c r="BF211" s="81" t="s">
        <v>103</v>
      </c>
      <c r="BG211" s="89" t="n">
        <f aca="false" t="array" ref="BG211:BG211">IF(BF211="","",IFERROR(INDEX(Справочники!$B$4:$B$7,MATCH(BF211,Справочники!$A$4:$A$7,0)),""))</f>
        <v>68.5</v>
      </c>
      <c r="BH211" s="90" t="str">
        <f aca="false">IF(N(BN211)&gt;0,ROUND(SUMIF(ЗАКАЗЫ!$F$3:$F$500,$A211,ЗАКАЗЫ!$Y$3:$Y$500)/BN211,0),IF(OR(BE211="",BG211=""),"",ROUND(BE211*BG211*(1+Справочники!$B$10),0)))</f>
        <v/>
      </c>
      <c r="BI211" s="92" t="str">
        <f aca="false">IF(OR(AU211="",BH211="",AU211=0),"",(AU211-BH211)/AU211)</f>
        <v/>
      </c>
      <c r="BJ211" s="81"/>
      <c r="BK211" s="83"/>
      <c r="BL211" s="43" t="str">
        <f aca="false">IFERROR(INDEX(ЗАКАЗЫ!$N$3:$N$500,MATCH($A211,ЗАКАЗЫ!$F$3:$F$500,0)),"")</f>
        <v/>
      </c>
      <c r="BM211" s="8" t="str">
        <f aca="false">IF(BL211="","",IFERROR(VLOOKUP(BL211,'ТН ВЭД'!$A$4:$C$40,3,0),""))</f>
        <v/>
      </c>
      <c r="BN211" s="7" t="str">
        <f aca="false">IF(COUNTIF(ЗАКАЗЫ!$F$3:$F$500,$A211)=0,"",SUMIF(ЗАКАЗЫ!$F$3:$F$500,$A211,ЗАКАЗЫ!$J$3:$J$500))</f>
        <v/>
      </c>
      <c r="BO211" s="7" t="str">
        <f aca="false">IF(BN211="","",SUMIF(ЗАКАЗЫ!$F$3:$F$500,$A211,ЗАКАЗЫ!$AL$3:$AL$500))</f>
        <v/>
      </c>
      <c r="BP211" s="7" t="str">
        <f aca="false">IF(BN211="","",BN211-BO211)</f>
        <v/>
      </c>
      <c r="BQ211" s="55" t="str">
        <f aca="false">IF(BN211="","",IF(BO211&gt;=BN211,"На складе",IF(BO211&gt;0,"Частично","Ждём")))</f>
        <v/>
      </c>
      <c r="BR211" s="43"/>
      <c r="BS211" s="47" t="str">
        <f aca="false">IF(BN211="","",IF(_xlfn.MAXIFS(ЗАКАЗЫ!$AK$3:$AK$500,ЗАКАЗЫ!$F$3:$F$500,$A211)=0,"",_xlfn.MAXIFS(ЗАКАЗЫ!$AK$3:$AK$500,ЗАКАЗЫ!$F$3:$F$500,$A211)))</f>
        <v/>
      </c>
    </row>
    <row r="212" customFormat="false" ht="15.75" hidden="false" customHeight="true" outlineLevel="0" collapsed="false">
      <c r="A212" s="80" t="s">
        <v>2752</v>
      </c>
      <c r="B212" s="81"/>
      <c r="C212" s="81"/>
      <c r="D212" s="81"/>
      <c r="E212" s="83"/>
      <c r="F212" s="81"/>
      <c r="G212" s="83"/>
      <c r="H212" s="83"/>
      <c r="I212" s="84" t="str">
        <f aca="false">IF(E212="","",A212&amp;"_1.jpg")</f>
        <v/>
      </c>
      <c r="J212" s="84" t="str">
        <f aca="false">IF(E212="","",A212&amp;"_2.jpg; "&amp;A212&amp;"_3.jpg")</f>
        <v/>
      </c>
      <c r="K212" s="84" t="str">
        <f aca="false">IF(E212="","",A212&amp;"_schema.jpg")</f>
        <v/>
      </c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 t="s">
        <v>96</v>
      </c>
      <c r="W212" s="81"/>
      <c r="X212" s="81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6" t="str">
        <f aca="false">IF(SUM(Y212:AJ212)=0,"",SUM(Y212:AJ212))</f>
        <v/>
      </c>
      <c r="AL212" s="84" t="str">
        <f aca="false">MID(IF(N(Y212)&gt;0,", "&amp;Y$2,"")&amp;IF(N(Z212)&gt;0,", "&amp;Z$2,"")&amp;IF(N(AA212)&gt;0,", "&amp;AA$2,"")&amp;IF(N(AB212)&gt;0,", "&amp;AB$2,"")&amp;IF(N(AC212)&gt;0,", "&amp;AC$2,"")&amp;IF(N(AD212)&gt;0,", "&amp;AD$2,"")&amp;IF(N(AE212)&gt;0,", "&amp;AE$2,"")&amp;IF(N(AF212)&gt;0,", "&amp;AF$2,"")&amp;IF(N(AG212)&gt;0,", "&amp;AG$2,"")&amp;IF(N(AH212)&gt;0,", "&amp;AH$2,"")&amp;IF(N(AI212)&gt;0,", "&amp;AI$2,"")&amp;IF(N(AJ212)&gt;0,", "&amp;AJ$2,""),3,999)</f>
        <v/>
      </c>
      <c r="AM212" s="87" t="str">
        <f aca="false">IF(E212="","",MID(IF(N(Y212)&gt;0,", "&amp;A212&amp;"-"&amp;Y$2,"")&amp;IF(N(Z212)&gt;0,", "&amp;A212&amp;"-"&amp;Z$2,"")&amp;IF(N(AA212)&gt;0,", "&amp;A212&amp;"-"&amp;AA$2,"")&amp;IF(N(AB212)&gt;0,", "&amp;A212&amp;"-"&amp;AB$2,"")&amp;IF(N(AC212)&gt;0,", "&amp;A212&amp;"-"&amp;AC$2,"")&amp;IF(N(AD212)&gt;0,", "&amp;A212&amp;"-"&amp;AD$2,"")&amp;IF(N(AE212)&gt;0,", "&amp;A212&amp;"-"&amp;AE$2,"")&amp;IF(N(AF212)&gt;0,", "&amp;A212&amp;"-"&amp;AF$2,"")&amp;IF(N(AG212)&gt;0,", "&amp;A212&amp;"-"&amp;AG$2,"")&amp;IF(N(AH212)&gt;0,", "&amp;A212&amp;"-"&amp;AH$2,"")&amp;IF(N(AI212)&gt;0,", "&amp;A212&amp;"-"&amp;AI$2,"")&amp;IF(N(AJ212)&gt;0,", "&amp;A212&amp;"-"&amp;AJ$2,""),3,999))</f>
        <v/>
      </c>
      <c r="AN212" s="81"/>
      <c r="AO212" s="88"/>
      <c r="AP212" s="89" t="str">
        <f aca="false">IF(AO212="","",ROUND(AO212/(1+Справочники!$B$13),2))</f>
        <v/>
      </c>
      <c r="AQ212" s="90" t="str">
        <f aca="false" t="array" ref="AQ212:AQ212">IF(AP212="","",AP212*INDEX(Справочники!$B$4:$B$7,MATCH("RUB",Справочники!$A$4:$A$7,0)))</f>
        <v/>
      </c>
      <c r="AR212" s="90" t="str">
        <f aca="false">IF(AQ212="","",ROUND(AQ212*(1+Справочники!$B$12),0))</f>
        <v/>
      </c>
      <c r="AS212" s="90" t="str">
        <f aca="false">IF(AR212="","",ROUND(AR212*(1-Справочники!$B$11),0))</f>
        <v/>
      </c>
      <c r="AT212" s="88"/>
      <c r="AU212" s="90" t="str">
        <f aca="false">IF(AT212="","",ROUND(AT212/(1+Справочники!$B$12),0))</f>
        <v/>
      </c>
      <c r="AV212" s="90" t="str">
        <f aca="false">IF(AT212="","",ROUND(AT212*(1-Справочники!$B$15),0))</f>
        <v/>
      </c>
      <c r="AW212" s="90" t="str">
        <f aca="false">IF(AT212="","",ROUND(AT212*(1-Справочники!$B$16),0))</f>
        <v/>
      </c>
      <c r="AX212" s="90" t="str">
        <f aca="false">IF(AT212="","",ROUND(AT212*(1-Справочники!$B$17),0))</f>
        <v/>
      </c>
      <c r="AY212" s="90" t="str">
        <f aca="false">IF(AT212="","",ROUND(AT212*(1-Справочники!$B$18),0))</f>
        <v/>
      </c>
      <c r="AZ212" s="90" t="str">
        <f aca="false">IF(AT212="","",ROUND(AT212*(1-Справочники!$B$19),0))</f>
        <v/>
      </c>
      <c r="BA212" s="81"/>
      <c r="BB212" s="81"/>
      <c r="BC212" s="81"/>
      <c r="BD212" s="81"/>
      <c r="BE212" s="91"/>
      <c r="BF212" s="81" t="s">
        <v>103</v>
      </c>
      <c r="BG212" s="89" t="n">
        <f aca="false" t="array" ref="BG212:BG212">IF(BF212="","",IFERROR(INDEX(Справочники!$B$4:$B$7,MATCH(BF212,Справочники!$A$4:$A$7,0)),""))</f>
        <v>68.5</v>
      </c>
      <c r="BH212" s="90" t="str">
        <f aca="false">IF(N(BN212)&gt;0,ROUND(SUMIF(ЗАКАЗЫ!$F$3:$F$500,$A212,ЗАКАЗЫ!$Y$3:$Y$500)/BN212,0),IF(OR(BE212="",BG212=""),"",ROUND(BE212*BG212*(1+Справочники!$B$10),0)))</f>
        <v/>
      </c>
      <c r="BI212" s="92" t="str">
        <f aca="false">IF(OR(AU212="",BH212="",AU212=0),"",(AU212-BH212)/AU212)</f>
        <v/>
      </c>
      <c r="BJ212" s="81"/>
      <c r="BK212" s="83"/>
      <c r="BL212" s="43" t="str">
        <f aca="false">IFERROR(INDEX(ЗАКАЗЫ!$N$3:$N$500,MATCH($A212,ЗАКАЗЫ!$F$3:$F$500,0)),"")</f>
        <v/>
      </c>
      <c r="BM212" s="8" t="str">
        <f aca="false">IF(BL212="","",IFERROR(VLOOKUP(BL212,'ТН ВЭД'!$A$4:$C$40,3,0),""))</f>
        <v/>
      </c>
      <c r="BN212" s="7" t="str">
        <f aca="false">IF(COUNTIF(ЗАКАЗЫ!$F$3:$F$500,$A212)=0,"",SUMIF(ЗАКАЗЫ!$F$3:$F$500,$A212,ЗАКАЗЫ!$J$3:$J$500))</f>
        <v/>
      </c>
      <c r="BO212" s="7" t="str">
        <f aca="false">IF(BN212="","",SUMIF(ЗАКАЗЫ!$F$3:$F$500,$A212,ЗАКАЗЫ!$AL$3:$AL$500))</f>
        <v/>
      </c>
      <c r="BP212" s="7" t="str">
        <f aca="false">IF(BN212="","",BN212-BO212)</f>
        <v/>
      </c>
      <c r="BQ212" s="55" t="str">
        <f aca="false">IF(BN212="","",IF(BO212&gt;=BN212,"На складе",IF(BO212&gt;0,"Частично","Ждём")))</f>
        <v/>
      </c>
      <c r="BR212" s="43"/>
      <c r="BS212" s="47" t="str">
        <f aca="false">IF(BN212="","",IF(_xlfn.MAXIFS(ЗАКАЗЫ!$AK$3:$AK$500,ЗАКАЗЫ!$F$3:$F$500,$A212)=0,"",_xlfn.MAXIFS(ЗАКАЗЫ!$AK$3:$AK$500,ЗАКАЗЫ!$F$3:$F$500,$A212)))</f>
        <v/>
      </c>
    </row>
    <row r="213" customFormat="false" ht="15.75" hidden="false" customHeight="true" outlineLevel="0" collapsed="false">
      <c r="A213" s="80" t="s">
        <v>2753</v>
      </c>
      <c r="B213" s="81"/>
      <c r="C213" s="81"/>
      <c r="D213" s="81"/>
      <c r="E213" s="83"/>
      <c r="F213" s="81"/>
      <c r="G213" s="83"/>
      <c r="H213" s="83"/>
      <c r="I213" s="84" t="str">
        <f aca="false">IF(E213="","",A213&amp;"_1.jpg")</f>
        <v/>
      </c>
      <c r="J213" s="84" t="str">
        <f aca="false">IF(E213="","",A213&amp;"_2.jpg; "&amp;A213&amp;"_3.jpg")</f>
        <v/>
      </c>
      <c r="K213" s="84" t="str">
        <f aca="false">IF(E213="","",A213&amp;"_schema.jpg")</f>
        <v/>
      </c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 t="s">
        <v>96</v>
      </c>
      <c r="W213" s="81"/>
      <c r="X213" s="81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6" t="str">
        <f aca="false">IF(SUM(Y213:AJ213)=0,"",SUM(Y213:AJ213))</f>
        <v/>
      </c>
      <c r="AL213" s="84" t="str">
        <f aca="false">MID(IF(N(Y213)&gt;0,", "&amp;Y$2,"")&amp;IF(N(Z213)&gt;0,", "&amp;Z$2,"")&amp;IF(N(AA213)&gt;0,", "&amp;AA$2,"")&amp;IF(N(AB213)&gt;0,", "&amp;AB$2,"")&amp;IF(N(AC213)&gt;0,", "&amp;AC$2,"")&amp;IF(N(AD213)&gt;0,", "&amp;AD$2,"")&amp;IF(N(AE213)&gt;0,", "&amp;AE$2,"")&amp;IF(N(AF213)&gt;0,", "&amp;AF$2,"")&amp;IF(N(AG213)&gt;0,", "&amp;AG$2,"")&amp;IF(N(AH213)&gt;0,", "&amp;AH$2,"")&amp;IF(N(AI213)&gt;0,", "&amp;AI$2,"")&amp;IF(N(AJ213)&gt;0,", "&amp;AJ$2,""),3,999)</f>
        <v/>
      </c>
      <c r="AM213" s="87" t="str">
        <f aca="false">IF(E213="","",MID(IF(N(Y213)&gt;0,", "&amp;A213&amp;"-"&amp;Y$2,"")&amp;IF(N(Z213)&gt;0,", "&amp;A213&amp;"-"&amp;Z$2,"")&amp;IF(N(AA213)&gt;0,", "&amp;A213&amp;"-"&amp;AA$2,"")&amp;IF(N(AB213)&gt;0,", "&amp;A213&amp;"-"&amp;AB$2,"")&amp;IF(N(AC213)&gt;0,", "&amp;A213&amp;"-"&amp;AC$2,"")&amp;IF(N(AD213)&gt;0,", "&amp;A213&amp;"-"&amp;AD$2,"")&amp;IF(N(AE213)&gt;0,", "&amp;A213&amp;"-"&amp;AE$2,"")&amp;IF(N(AF213)&gt;0,", "&amp;A213&amp;"-"&amp;AF$2,"")&amp;IF(N(AG213)&gt;0,", "&amp;A213&amp;"-"&amp;AG$2,"")&amp;IF(N(AH213)&gt;0,", "&amp;A213&amp;"-"&amp;AH$2,"")&amp;IF(N(AI213)&gt;0,", "&amp;A213&amp;"-"&amp;AI$2,"")&amp;IF(N(AJ213)&gt;0,", "&amp;A213&amp;"-"&amp;AJ$2,""),3,999))</f>
        <v/>
      </c>
      <c r="AN213" s="81"/>
      <c r="AO213" s="88"/>
      <c r="AP213" s="89" t="str">
        <f aca="false">IF(AO213="","",ROUND(AO213/(1+Справочники!$B$13),2))</f>
        <v/>
      </c>
      <c r="AQ213" s="90" t="str">
        <f aca="false" t="array" ref="AQ213:AQ213">IF(AP213="","",AP213*INDEX(Справочники!$B$4:$B$7,MATCH("RUB",Справочники!$A$4:$A$7,0)))</f>
        <v/>
      </c>
      <c r="AR213" s="90" t="str">
        <f aca="false">IF(AQ213="","",ROUND(AQ213*(1+Справочники!$B$12),0))</f>
        <v/>
      </c>
      <c r="AS213" s="90" t="str">
        <f aca="false">IF(AR213="","",ROUND(AR213*(1-Справочники!$B$11),0))</f>
        <v/>
      </c>
      <c r="AT213" s="88"/>
      <c r="AU213" s="90" t="str">
        <f aca="false">IF(AT213="","",ROUND(AT213/(1+Справочники!$B$12),0))</f>
        <v/>
      </c>
      <c r="AV213" s="90" t="str">
        <f aca="false">IF(AT213="","",ROUND(AT213*(1-Справочники!$B$15),0))</f>
        <v/>
      </c>
      <c r="AW213" s="90" t="str">
        <f aca="false">IF(AT213="","",ROUND(AT213*(1-Справочники!$B$16),0))</f>
        <v/>
      </c>
      <c r="AX213" s="90" t="str">
        <f aca="false">IF(AT213="","",ROUND(AT213*(1-Справочники!$B$17),0))</f>
        <v/>
      </c>
      <c r="AY213" s="90" t="str">
        <f aca="false">IF(AT213="","",ROUND(AT213*(1-Справочники!$B$18),0))</f>
        <v/>
      </c>
      <c r="AZ213" s="90" t="str">
        <f aca="false">IF(AT213="","",ROUND(AT213*(1-Справочники!$B$19),0))</f>
        <v/>
      </c>
      <c r="BA213" s="81"/>
      <c r="BB213" s="81"/>
      <c r="BC213" s="81"/>
      <c r="BD213" s="81"/>
      <c r="BE213" s="91"/>
      <c r="BF213" s="81" t="s">
        <v>103</v>
      </c>
      <c r="BG213" s="89" t="n">
        <f aca="false" t="array" ref="BG213:BG213">IF(BF213="","",IFERROR(INDEX(Справочники!$B$4:$B$7,MATCH(BF213,Справочники!$A$4:$A$7,0)),""))</f>
        <v>68.5</v>
      </c>
      <c r="BH213" s="90" t="str">
        <f aca="false">IF(N(BN213)&gt;0,ROUND(SUMIF(ЗАКАЗЫ!$F$3:$F$500,$A213,ЗАКАЗЫ!$Y$3:$Y$500)/BN213,0),IF(OR(BE213="",BG213=""),"",ROUND(BE213*BG213*(1+Справочники!$B$10),0)))</f>
        <v/>
      </c>
      <c r="BI213" s="92" t="str">
        <f aca="false">IF(OR(AU213="",BH213="",AU213=0),"",(AU213-BH213)/AU213)</f>
        <v/>
      </c>
      <c r="BJ213" s="81"/>
      <c r="BK213" s="83"/>
      <c r="BL213" s="43" t="str">
        <f aca="false">IFERROR(INDEX(ЗАКАЗЫ!$N$3:$N$500,MATCH($A213,ЗАКАЗЫ!$F$3:$F$500,0)),"")</f>
        <v/>
      </c>
      <c r="BM213" s="8" t="str">
        <f aca="false">IF(BL213="","",IFERROR(VLOOKUP(BL213,'ТН ВЭД'!$A$4:$C$40,3,0),""))</f>
        <v/>
      </c>
      <c r="BN213" s="7" t="str">
        <f aca="false">IF(COUNTIF(ЗАКАЗЫ!$F$3:$F$500,$A213)=0,"",SUMIF(ЗАКАЗЫ!$F$3:$F$500,$A213,ЗАКАЗЫ!$J$3:$J$500))</f>
        <v/>
      </c>
      <c r="BO213" s="7" t="str">
        <f aca="false">IF(BN213="","",SUMIF(ЗАКАЗЫ!$F$3:$F$500,$A213,ЗАКАЗЫ!$AL$3:$AL$500))</f>
        <v/>
      </c>
      <c r="BP213" s="7" t="str">
        <f aca="false">IF(BN213="","",BN213-BO213)</f>
        <v/>
      </c>
      <c r="BQ213" s="55" t="str">
        <f aca="false">IF(BN213="","",IF(BO213&gt;=BN213,"На складе",IF(BO213&gt;0,"Частично","Ждём")))</f>
        <v/>
      </c>
      <c r="BR213" s="43"/>
      <c r="BS213" s="47" t="str">
        <f aca="false">IF(BN213="","",IF(_xlfn.MAXIFS(ЗАКАЗЫ!$AK$3:$AK$500,ЗАКАЗЫ!$F$3:$F$500,$A213)=0,"",_xlfn.MAXIFS(ЗАКАЗЫ!$AK$3:$AK$500,ЗАКАЗЫ!$F$3:$F$500,$A213)))</f>
        <v/>
      </c>
    </row>
    <row r="214" customFormat="false" ht="15.75" hidden="false" customHeight="true" outlineLevel="0" collapsed="false">
      <c r="A214" s="80" t="s">
        <v>2754</v>
      </c>
      <c r="B214" s="81"/>
      <c r="C214" s="81"/>
      <c r="D214" s="81"/>
      <c r="E214" s="83"/>
      <c r="F214" s="81"/>
      <c r="G214" s="83"/>
      <c r="H214" s="83"/>
      <c r="I214" s="84" t="str">
        <f aca="false">IF(E214="","",A214&amp;"_1.jpg")</f>
        <v/>
      </c>
      <c r="J214" s="84" t="str">
        <f aca="false">IF(E214="","",A214&amp;"_2.jpg; "&amp;A214&amp;"_3.jpg")</f>
        <v/>
      </c>
      <c r="K214" s="84" t="str">
        <f aca="false">IF(E214="","",A214&amp;"_schema.jpg")</f>
        <v/>
      </c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 t="s">
        <v>96</v>
      </c>
      <c r="W214" s="81"/>
      <c r="X214" s="81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6" t="str">
        <f aca="false">IF(SUM(Y214:AJ214)=0,"",SUM(Y214:AJ214))</f>
        <v/>
      </c>
      <c r="AL214" s="84" t="str">
        <f aca="false">MID(IF(N(Y214)&gt;0,", "&amp;Y$2,"")&amp;IF(N(Z214)&gt;0,", "&amp;Z$2,"")&amp;IF(N(AA214)&gt;0,", "&amp;AA$2,"")&amp;IF(N(AB214)&gt;0,", "&amp;AB$2,"")&amp;IF(N(AC214)&gt;0,", "&amp;AC$2,"")&amp;IF(N(AD214)&gt;0,", "&amp;AD$2,"")&amp;IF(N(AE214)&gt;0,", "&amp;AE$2,"")&amp;IF(N(AF214)&gt;0,", "&amp;AF$2,"")&amp;IF(N(AG214)&gt;0,", "&amp;AG$2,"")&amp;IF(N(AH214)&gt;0,", "&amp;AH$2,"")&amp;IF(N(AI214)&gt;0,", "&amp;AI$2,"")&amp;IF(N(AJ214)&gt;0,", "&amp;AJ$2,""),3,999)</f>
        <v/>
      </c>
      <c r="AM214" s="87" t="str">
        <f aca="false">IF(E214="","",MID(IF(N(Y214)&gt;0,", "&amp;A214&amp;"-"&amp;Y$2,"")&amp;IF(N(Z214)&gt;0,", "&amp;A214&amp;"-"&amp;Z$2,"")&amp;IF(N(AA214)&gt;0,", "&amp;A214&amp;"-"&amp;AA$2,"")&amp;IF(N(AB214)&gt;0,", "&amp;A214&amp;"-"&amp;AB$2,"")&amp;IF(N(AC214)&gt;0,", "&amp;A214&amp;"-"&amp;AC$2,"")&amp;IF(N(AD214)&gt;0,", "&amp;A214&amp;"-"&amp;AD$2,"")&amp;IF(N(AE214)&gt;0,", "&amp;A214&amp;"-"&amp;AE$2,"")&amp;IF(N(AF214)&gt;0,", "&amp;A214&amp;"-"&amp;AF$2,"")&amp;IF(N(AG214)&gt;0,", "&amp;A214&amp;"-"&amp;AG$2,"")&amp;IF(N(AH214)&gt;0,", "&amp;A214&amp;"-"&amp;AH$2,"")&amp;IF(N(AI214)&gt;0,", "&amp;A214&amp;"-"&amp;AI$2,"")&amp;IF(N(AJ214)&gt;0,", "&amp;A214&amp;"-"&amp;AJ$2,""),3,999))</f>
        <v/>
      </c>
      <c r="AN214" s="81"/>
      <c r="AO214" s="88"/>
      <c r="AP214" s="89" t="str">
        <f aca="false">IF(AO214="","",ROUND(AO214/(1+Справочники!$B$13),2))</f>
        <v/>
      </c>
      <c r="AQ214" s="90" t="str">
        <f aca="false" t="array" ref="AQ214:AQ214">IF(AP214="","",AP214*INDEX(Справочники!$B$4:$B$7,MATCH("RUB",Справочники!$A$4:$A$7,0)))</f>
        <v/>
      </c>
      <c r="AR214" s="90" t="str">
        <f aca="false">IF(AQ214="","",ROUND(AQ214*(1+Справочники!$B$12),0))</f>
        <v/>
      </c>
      <c r="AS214" s="90" t="str">
        <f aca="false">IF(AR214="","",ROUND(AR214*(1-Справочники!$B$11),0))</f>
        <v/>
      </c>
      <c r="AT214" s="88"/>
      <c r="AU214" s="90" t="str">
        <f aca="false">IF(AT214="","",ROUND(AT214/(1+Справочники!$B$12),0))</f>
        <v/>
      </c>
      <c r="AV214" s="90" t="str">
        <f aca="false">IF(AT214="","",ROUND(AT214*(1-Справочники!$B$15),0))</f>
        <v/>
      </c>
      <c r="AW214" s="90" t="str">
        <f aca="false">IF(AT214="","",ROUND(AT214*(1-Справочники!$B$16),0))</f>
        <v/>
      </c>
      <c r="AX214" s="90" t="str">
        <f aca="false">IF(AT214="","",ROUND(AT214*(1-Справочники!$B$17),0))</f>
        <v/>
      </c>
      <c r="AY214" s="90" t="str">
        <f aca="false">IF(AT214="","",ROUND(AT214*(1-Справочники!$B$18),0))</f>
        <v/>
      </c>
      <c r="AZ214" s="90" t="str">
        <f aca="false">IF(AT214="","",ROUND(AT214*(1-Справочники!$B$19),0))</f>
        <v/>
      </c>
      <c r="BA214" s="81"/>
      <c r="BB214" s="81"/>
      <c r="BC214" s="81"/>
      <c r="BD214" s="81"/>
      <c r="BE214" s="91"/>
      <c r="BF214" s="81" t="s">
        <v>103</v>
      </c>
      <c r="BG214" s="89" t="n">
        <f aca="false" t="array" ref="BG214:BG214">IF(BF214="","",IFERROR(INDEX(Справочники!$B$4:$B$7,MATCH(BF214,Справочники!$A$4:$A$7,0)),""))</f>
        <v>68.5</v>
      </c>
      <c r="BH214" s="90" t="str">
        <f aca="false">IF(N(BN214)&gt;0,ROUND(SUMIF(ЗАКАЗЫ!$F$3:$F$500,$A214,ЗАКАЗЫ!$Y$3:$Y$500)/BN214,0),IF(OR(BE214="",BG214=""),"",ROUND(BE214*BG214*(1+Справочники!$B$10),0)))</f>
        <v/>
      </c>
      <c r="BI214" s="92" t="str">
        <f aca="false">IF(OR(AU214="",BH214="",AU214=0),"",(AU214-BH214)/AU214)</f>
        <v/>
      </c>
      <c r="BJ214" s="81"/>
      <c r="BK214" s="83"/>
      <c r="BL214" s="43" t="str">
        <f aca="false">IFERROR(INDEX(ЗАКАЗЫ!$N$3:$N$500,MATCH($A214,ЗАКАЗЫ!$F$3:$F$500,0)),"")</f>
        <v/>
      </c>
      <c r="BM214" s="8" t="str">
        <f aca="false">IF(BL214="","",IFERROR(VLOOKUP(BL214,'ТН ВЭД'!$A$4:$C$40,3,0),""))</f>
        <v/>
      </c>
      <c r="BN214" s="7" t="str">
        <f aca="false">IF(COUNTIF(ЗАКАЗЫ!$F$3:$F$500,$A214)=0,"",SUMIF(ЗАКАЗЫ!$F$3:$F$500,$A214,ЗАКАЗЫ!$J$3:$J$500))</f>
        <v/>
      </c>
      <c r="BO214" s="7" t="str">
        <f aca="false">IF(BN214="","",SUMIF(ЗАКАЗЫ!$F$3:$F$500,$A214,ЗАКАЗЫ!$AL$3:$AL$500))</f>
        <v/>
      </c>
      <c r="BP214" s="7" t="str">
        <f aca="false">IF(BN214="","",BN214-BO214)</f>
        <v/>
      </c>
      <c r="BQ214" s="55" t="str">
        <f aca="false">IF(BN214="","",IF(BO214&gt;=BN214,"На складе",IF(BO214&gt;0,"Частично","Ждём")))</f>
        <v/>
      </c>
      <c r="BR214" s="43"/>
      <c r="BS214" s="47" t="str">
        <f aca="false">IF(BN214="","",IF(_xlfn.MAXIFS(ЗАКАЗЫ!$AK$3:$AK$500,ЗАКАЗЫ!$F$3:$F$500,$A214)=0,"",_xlfn.MAXIFS(ЗАКАЗЫ!$AK$3:$AK$500,ЗАКАЗЫ!$F$3:$F$500,$A214)))</f>
        <v/>
      </c>
    </row>
    <row r="215" customFormat="false" ht="15.75" hidden="false" customHeight="true" outlineLevel="0" collapsed="false">
      <c r="A215" s="80" t="s">
        <v>2755</v>
      </c>
      <c r="B215" s="81"/>
      <c r="C215" s="81"/>
      <c r="D215" s="81"/>
      <c r="E215" s="83"/>
      <c r="F215" s="81"/>
      <c r="G215" s="83"/>
      <c r="H215" s="83"/>
      <c r="I215" s="84" t="str">
        <f aca="false">IF(E215="","",A215&amp;"_1.jpg")</f>
        <v/>
      </c>
      <c r="J215" s="84" t="str">
        <f aca="false">IF(E215="","",A215&amp;"_2.jpg; "&amp;A215&amp;"_3.jpg")</f>
        <v/>
      </c>
      <c r="K215" s="84" t="str">
        <f aca="false">IF(E215="","",A215&amp;"_schema.jpg")</f>
        <v/>
      </c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 t="s">
        <v>96</v>
      </c>
      <c r="W215" s="81"/>
      <c r="X215" s="81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6" t="str">
        <f aca="false">IF(SUM(Y215:AJ215)=0,"",SUM(Y215:AJ215))</f>
        <v/>
      </c>
      <c r="AL215" s="84" t="str">
        <f aca="false">MID(IF(N(Y215)&gt;0,", "&amp;Y$2,"")&amp;IF(N(Z215)&gt;0,", "&amp;Z$2,"")&amp;IF(N(AA215)&gt;0,", "&amp;AA$2,"")&amp;IF(N(AB215)&gt;0,", "&amp;AB$2,"")&amp;IF(N(AC215)&gt;0,", "&amp;AC$2,"")&amp;IF(N(AD215)&gt;0,", "&amp;AD$2,"")&amp;IF(N(AE215)&gt;0,", "&amp;AE$2,"")&amp;IF(N(AF215)&gt;0,", "&amp;AF$2,"")&amp;IF(N(AG215)&gt;0,", "&amp;AG$2,"")&amp;IF(N(AH215)&gt;0,", "&amp;AH$2,"")&amp;IF(N(AI215)&gt;0,", "&amp;AI$2,"")&amp;IF(N(AJ215)&gt;0,", "&amp;AJ$2,""),3,999)</f>
        <v/>
      </c>
      <c r="AM215" s="87" t="str">
        <f aca="false">IF(E215="","",MID(IF(N(Y215)&gt;0,", "&amp;A215&amp;"-"&amp;Y$2,"")&amp;IF(N(Z215)&gt;0,", "&amp;A215&amp;"-"&amp;Z$2,"")&amp;IF(N(AA215)&gt;0,", "&amp;A215&amp;"-"&amp;AA$2,"")&amp;IF(N(AB215)&gt;0,", "&amp;A215&amp;"-"&amp;AB$2,"")&amp;IF(N(AC215)&gt;0,", "&amp;A215&amp;"-"&amp;AC$2,"")&amp;IF(N(AD215)&gt;0,", "&amp;A215&amp;"-"&amp;AD$2,"")&amp;IF(N(AE215)&gt;0,", "&amp;A215&amp;"-"&amp;AE$2,"")&amp;IF(N(AF215)&gt;0,", "&amp;A215&amp;"-"&amp;AF$2,"")&amp;IF(N(AG215)&gt;0,", "&amp;A215&amp;"-"&amp;AG$2,"")&amp;IF(N(AH215)&gt;0,", "&amp;A215&amp;"-"&amp;AH$2,"")&amp;IF(N(AI215)&gt;0,", "&amp;A215&amp;"-"&amp;AI$2,"")&amp;IF(N(AJ215)&gt;0,", "&amp;A215&amp;"-"&amp;AJ$2,""),3,999))</f>
        <v/>
      </c>
      <c r="AN215" s="81"/>
      <c r="AO215" s="88"/>
      <c r="AP215" s="89" t="str">
        <f aca="false">IF(AO215="","",ROUND(AO215/(1+Справочники!$B$13),2))</f>
        <v/>
      </c>
      <c r="AQ215" s="90" t="str">
        <f aca="false" t="array" ref="AQ215:AQ215">IF(AP215="","",AP215*INDEX(Справочники!$B$4:$B$7,MATCH("RUB",Справочники!$A$4:$A$7,0)))</f>
        <v/>
      </c>
      <c r="AR215" s="90" t="str">
        <f aca="false">IF(AQ215="","",ROUND(AQ215*(1+Справочники!$B$12),0))</f>
        <v/>
      </c>
      <c r="AS215" s="90" t="str">
        <f aca="false">IF(AR215="","",ROUND(AR215*(1-Справочники!$B$11),0))</f>
        <v/>
      </c>
      <c r="AT215" s="88"/>
      <c r="AU215" s="90" t="str">
        <f aca="false">IF(AT215="","",ROUND(AT215/(1+Справочники!$B$12),0))</f>
        <v/>
      </c>
      <c r="AV215" s="90" t="str">
        <f aca="false">IF(AT215="","",ROUND(AT215*(1-Справочники!$B$15),0))</f>
        <v/>
      </c>
      <c r="AW215" s="90" t="str">
        <f aca="false">IF(AT215="","",ROUND(AT215*(1-Справочники!$B$16),0))</f>
        <v/>
      </c>
      <c r="AX215" s="90" t="str">
        <f aca="false">IF(AT215="","",ROUND(AT215*(1-Справочники!$B$17),0))</f>
        <v/>
      </c>
      <c r="AY215" s="90" t="str">
        <f aca="false">IF(AT215="","",ROUND(AT215*(1-Справочники!$B$18),0))</f>
        <v/>
      </c>
      <c r="AZ215" s="90" t="str">
        <f aca="false">IF(AT215="","",ROUND(AT215*(1-Справочники!$B$19),0))</f>
        <v/>
      </c>
      <c r="BA215" s="81"/>
      <c r="BB215" s="81"/>
      <c r="BC215" s="81"/>
      <c r="BD215" s="81"/>
      <c r="BE215" s="91"/>
      <c r="BF215" s="81" t="s">
        <v>103</v>
      </c>
      <c r="BG215" s="89" t="n">
        <f aca="false" t="array" ref="BG215:BG215">IF(BF215="","",IFERROR(INDEX(Справочники!$B$4:$B$7,MATCH(BF215,Справочники!$A$4:$A$7,0)),""))</f>
        <v>68.5</v>
      </c>
      <c r="BH215" s="90" t="str">
        <f aca="false">IF(N(BN215)&gt;0,ROUND(SUMIF(ЗАКАЗЫ!$F$3:$F$500,$A215,ЗАКАЗЫ!$Y$3:$Y$500)/BN215,0),IF(OR(BE215="",BG215=""),"",ROUND(BE215*BG215*(1+Справочники!$B$10),0)))</f>
        <v/>
      </c>
      <c r="BI215" s="92" t="str">
        <f aca="false">IF(OR(AU215="",BH215="",AU215=0),"",(AU215-BH215)/AU215)</f>
        <v/>
      </c>
      <c r="BJ215" s="81"/>
      <c r="BK215" s="83"/>
      <c r="BL215" s="43" t="str">
        <f aca="false">IFERROR(INDEX(ЗАКАЗЫ!$N$3:$N$500,MATCH($A215,ЗАКАЗЫ!$F$3:$F$500,0)),"")</f>
        <v/>
      </c>
      <c r="BM215" s="8" t="str">
        <f aca="false">IF(BL215="","",IFERROR(VLOOKUP(BL215,'ТН ВЭД'!$A$4:$C$40,3,0),""))</f>
        <v/>
      </c>
      <c r="BN215" s="7" t="str">
        <f aca="false">IF(COUNTIF(ЗАКАЗЫ!$F$3:$F$500,$A215)=0,"",SUMIF(ЗАКАЗЫ!$F$3:$F$500,$A215,ЗАКАЗЫ!$J$3:$J$500))</f>
        <v/>
      </c>
      <c r="BO215" s="7" t="str">
        <f aca="false">IF(BN215="","",SUMIF(ЗАКАЗЫ!$F$3:$F$500,$A215,ЗАКАЗЫ!$AL$3:$AL$500))</f>
        <v/>
      </c>
      <c r="BP215" s="7" t="str">
        <f aca="false">IF(BN215="","",BN215-BO215)</f>
        <v/>
      </c>
      <c r="BQ215" s="55" t="str">
        <f aca="false">IF(BN215="","",IF(BO215&gt;=BN215,"На складе",IF(BO215&gt;0,"Частично","Ждём")))</f>
        <v/>
      </c>
      <c r="BR215" s="43"/>
      <c r="BS215" s="47" t="str">
        <f aca="false">IF(BN215="","",IF(_xlfn.MAXIFS(ЗАКАЗЫ!$AK$3:$AK$500,ЗАКАЗЫ!$F$3:$F$500,$A215)=0,"",_xlfn.MAXIFS(ЗАКАЗЫ!$AK$3:$AK$500,ЗАКАЗЫ!$F$3:$F$500,$A215)))</f>
        <v/>
      </c>
    </row>
    <row r="216" customFormat="false" ht="15.75" hidden="false" customHeight="true" outlineLevel="0" collapsed="false">
      <c r="A216" s="80" t="s">
        <v>2756</v>
      </c>
      <c r="B216" s="81"/>
      <c r="C216" s="81"/>
      <c r="D216" s="81"/>
      <c r="E216" s="83"/>
      <c r="F216" s="81"/>
      <c r="G216" s="83"/>
      <c r="H216" s="83"/>
      <c r="I216" s="84" t="str">
        <f aca="false">IF(E216="","",A216&amp;"_1.jpg")</f>
        <v/>
      </c>
      <c r="J216" s="84" t="str">
        <f aca="false">IF(E216="","",A216&amp;"_2.jpg; "&amp;A216&amp;"_3.jpg")</f>
        <v/>
      </c>
      <c r="K216" s="84" t="str">
        <f aca="false">IF(E216="","",A216&amp;"_schema.jpg")</f>
        <v/>
      </c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 t="s">
        <v>96</v>
      </c>
      <c r="W216" s="81"/>
      <c r="X216" s="81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6" t="str">
        <f aca="false">IF(SUM(Y216:AJ216)=0,"",SUM(Y216:AJ216))</f>
        <v/>
      </c>
      <c r="AL216" s="84" t="str">
        <f aca="false">MID(IF(N(Y216)&gt;0,", "&amp;Y$2,"")&amp;IF(N(Z216)&gt;0,", "&amp;Z$2,"")&amp;IF(N(AA216)&gt;0,", "&amp;AA$2,"")&amp;IF(N(AB216)&gt;0,", "&amp;AB$2,"")&amp;IF(N(AC216)&gt;0,", "&amp;AC$2,"")&amp;IF(N(AD216)&gt;0,", "&amp;AD$2,"")&amp;IF(N(AE216)&gt;0,", "&amp;AE$2,"")&amp;IF(N(AF216)&gt;0,", "&amp;AF$2,"")&amp;IF(N(AG216)&gt;0,", "&amp;AG$2,"")&amp;IF(N(AH216)&gt;0,", "&amp;AH$2,"")&amp;IF(N(AI216)&gt;0,", "&amp;AI$2,"")&amp;IF(N(AJ216)&gt;0,", "&amp;AJ$2,""),3,999)</f>
        <v/>
      </c>
      <c r="AM216" s="87" t="str">
        <f aca="false">IF(E216="","",MID(IF(N(Y216)&gt;0,", "&amp;A216&amp;"-"&amp;Y$2,"")&amp;IF(N(Z216)&gt;0,", "&amp;A216&amp;"-"&amp;Z$2,"")&amp;IF(N(AA216)&gt;0,", "&amp;A216&amp;"-"&amp;AA$2,"")&amp;IF(N(AB216)&gt;0,", "&amp;A216&amp;"-"&amp;AB$2,"")&amp;IF(N(AC216)&gt;0,", "&amp;A216&amp;"-"&amp;AC$2,"")&amp;IF(N(AD216)&gt;0,", "&amp;A216&amp;"-"&amp;AD$2,"")&amp;IF(N(AE216)&gt;0,", "&amp;A216&amp;"-"&amp;AE$2,"")&amp;IF(N(AF216)&gt;0,", "&amp;A216&amp;"-"&amp;AF$2,"")&amp;IF(N(AG216)&gt;0,", "&amp;A216&amp;"-"&amp;AG$2,"")&amp;IF(N(AH216)&gt;0,", "&amp;A216&amp;"-"&amp;AH$2,"")&amp;IF(N(AI216)&gt;0,", "&amp;A216&amp;"-"&amp;AI$2,"")&amp;IF(N(AJ216)&gt;0,", "&amp;A216&amp;"-"&amp;AJ$2,""),3,999))</f>
        <v/>
      </c>
      <c r="AN216" s="81"/>
      <c r="AO216" s="88"/>
      <c r="AP216" s="89" t="str">
        <f aca="false">IF(AO216="","",ROUND(AO216/(1+Справочники!$B$13),2))</f>
        <v/>
      </c>
      <c r="AQ216" s="90" t="str">
        <f aca="false" t="array" ref="AQ216:AQ216">IF(AP216="","",AP216*INDEX(Справочники!$B$4:$B$7,MATCH("RUB",Справочники!$A$4:$A$7,0)))</f>
        <v/>
      </c>
      <c r="AR216" s="90" t="str">
        <f aca="false">IF(AQ216="","",ROUND(AQ216*(1+Справочники!$B$12),0))</f>
        <v/>
      </c>
      <c r="AS216" s="90" t="str">
        <f aca="false">IF(AR216="","",ROUND(AR216*(1-Справочники!$B$11),0))</f>
        <v/>
      </c>
      <c r="AT216" s="88"/>
      <c r="AU216" s="90" t="str">
        <f aca="false">IF(AT216="","",ROUND(AT216/(1+Справочники!$B$12),0))</f>
        <v/>
      </c>
      <c r="AV216" s="90" t="str">
        <f aca="false">IF(AT216="","",ROUND(AT216*(1-Справочники!$B$15),0))</f>
        <v/>
      </c>
      <c r="AW216" s="90" t="str">
        <f aca="false">IF(AT216="","",ROUND(AT216*(1-Справочники!$B$16),0))</f>
        <v/>
      </c>
      <c r="AX216" s="90" t="str">
        <f aca="false">IF(AT216="","",ROUND(AT216*(1-Справочники!$B$17),0))</f>
        <v/>
      </c>
      <c r="AY216" s="90" t="str">
        <f aca="false">IF(AT216="","",ROUND(AT216*(1-Справочники!$B$18),0))</f>
        <v/>
      </c>
      <c r="AZ216" s="90" t="str">
        <f aca="false">IF(AT216="","",ROUND(AT216*(1-Справочники!$B$19),0))</f>
        <v/>
      </c>
      <c r="BA216" s="81"/>
      <c r="BB216" s="81"/>
      <c r="BC216" s="81"/>
      <c r="BD216" s="81"/>
      <c r="BE216" s="91"/>
      <c r="BF216" s="81" t="s">
        <v>103</v>
      </c>
      <c r="BG216" s="89" t="n">
        <f aca="false" t="array" ref="BG216:BG216">IF(BF216="","",IFERROR(INDEX(Справочники!$B$4:$B$7,MATCH(BF216,Справочники!$A$4:$A$7,0)),""))</f>
        <v>68.5</v>
      </c>
      <c r="BH216" s="90" t="str">
        <f aca="false">IF(N(BN216)&gt;0,ROUND(SUMIF(ЗАКАЗЫ!$F$3:$F$500,$A216,ЗАКАЗЫ!$Y$3:$Y$500)/BN216,0),IF(OR(BE216="",BG216=""),"",ROUND(BE216*BG216*(1+Справочники!$B$10),0)))</f>
        <v/>
      </c>
      <c r="BI216" s="92" t="str">
        <f aca="false">IF(OR(AU216="",BH216="",AU216=0),"",(AU216-BH216)/AU216)</f>
        <v/>
      </c>
      <c r="BJ216" s="81"/>
      <c r="BK216" s="83"/>
      <c r="BL216" s="43" t="str">
        <f aca="false">IFERROR(INDEX(ЗАКАЗЫ!$N$3:$N$500,MATCH($A216,ЗАКАЗЫ!$F$3:$F$500,0)),"")</f>
        <v/>
      </c>
      <c r="BM216" s="8" t="str">
        <f aca="false">IF(BL216="","",IFERROR(VLOOKUP(BL216,'ТН ВЭД'!$A$4:$C$40,3,0),""))</f>
        <v/>
      </c>
      <c r="BN216" s="7" t="str">
        <f aca="false">IF(COUNTIF(ЗАКАЗЫ!$F$3:$F$500,$A216)=0,"",SUMIF(ЗАКАЗЫ!$F$3:$F$500,$A216,ЗАКАЗЫ!$J$3:$J$500))</f>
        <v/>
      </c>
      <c r="BO216" s="7" t="str">
        <f aca="false">IF(BN216="","",SUMIF(ЗАКАЗЫ!$F$3:$F$500,$A216,ЗАКАЗЫ!$AL$3:$AL$500))</f>
        <v/>
      </c>
      <c r="BP216" s="7" t="str">
        <f aca="false">IF(BN216="","",BN216-BO216)</f>
        <v/>
      </c>
      <c r="BQ216" s="55" t="str">
        <f aca="false">IF(BN216="","",IF(BO216&gt;=BN216,"На складе",IF(BO216&gt;0,"Частично","Ждём")))</f>
        <v/>
      </c>
      <c r="BR216" s="43"/>
      <c r="BS216" s="47" t="str">
        <f aca="false">IF(BN216="","",IF(_xlfn.MAXIFS(ЗАКАЗЫ!$AK$3:$AK$500,ЗАКАЗЫ!$F$3:$F$500,$A216)=0,"",_xlfn.MAXIFS(ЗАКАЗЫ!$AK$3:$AK$500,ЗАКАЗЫ!$F$3:$F$500,$A216)))</f>
        <v/>
      </c>
    </row>
    <row r="217" customFormat="false" ht="15.75" hidden="false" customHeight="true" outlineLevel="0" collapsed="false">
      <c r="A217" s="80" t="s">
        <v>2757</v>
      </c>
      <c r="B217" s="81"/>
      <c r="C217" s="81"/>
      <c r="D217" s="81"/>
      <c r="E217" s="83"/>
      <c r="F217" s="81"/>
      <c r="G217" s="83"/>
      <c r="H217" s="83"/>
      <c r="I217" s="84" t="str">
        <f aca="false">IF(E217="","",A217&amp;"_1.jpg")</f>
        <v/>
      </c>
      <c r="J217" s="84" t="str">
        <f aca="false">IF(E217="","",A217&amp;"_2.jpg; "&amp;A217&amp;"_3.jpg")</f>
        <v/>
      </c>
      <c r="K217" s="84" t="str">
        <f aca="false">IF(E217="","",A217&amp;"_schema.jpg")</f>
        <v/>
      </c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 t="s">
        <v>96</v>
      </c>
      <c r="W217" s="81"/>
      <c r="X217" s="81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6" t="str">
        <f aca="false">IF(SUM(Y217:AJ217)=0,"",SUM(Y217:AJ217))</f>
        <v/>
      </c>
      <c r="AL217" s="84" t="str">
        <f aca="false">MID(IF(N(Y217)&gt;0,", "&amp;Y$2,"")&amp;IF(N(Z217)&gt;0,", "&amp;Z$2,"")&amp;IF(N(AA217)&gt;0,", "&amp;AA$2,"")&amp;IF(N(AB217)&gt;0,", "&amp;AB$2,"")&amp;IF(N(AC217)&gt;0,", "&amp;AC$2,"")&amp;IF(N(AD217)&gt;0,", "&amp;AD$2,"")&amp;IF(N(AE217)&gt;0,", "&amp;AE$2,"")&amp;IF(N(AF217)&gt;0,", "&amp;AF$2,"")&amp;IF(N(AG217)&gt;0,", "&amp;AG$2,"")&amp;IF(N(AH217)&gt;0,", "&amp;AH$2,"")&amp;IF(N(AI217)&gt;0,", "&amp;AI$2,"")&amp;IF(N(AJ217)&gt;0,", "&amp;AJ$2,""),3,999)</f>
        <v/>
      </c>
      <c r="AM217" s="87" t="str">
        <f aca="false">IF(E217="","",MID(IF(N(Y217)&gt;0,", "&amp;A217&amp;"-"&amp;Y$2,"")&amp;IF(N(Z217)&gt;0,", "&amp;A217&amp;"-"&amp;Z$2,"")&amp;IF(N(AA217)&gt;0,", "&amp;A217&amp;"-"&amp;AA$2,"")&amp;IF(N(AB217)&gt;0,", "&amp;A217&amp;"-"&amp;AB$2,"")&amp;IF(N(AC217)&gt;0,", "&amp;A217&amp;"-"&amp;AC$2,"")&amp;IF(N(AD217)&gt;0,", "&amp;A217&amp;"-"&amp;AD$2,"")&amp;IF(N(AE217)&gt;0,", "&amp;A217&amp;"-"&amp;AE$2,"")&amp;IF(N(AF217)&gt;0,", "&amp;A217&amp;"-"&amp;AF$2,"")&amp;IF(N(AG217)&gt;0,", "&amp;A217&amp;"-"&amp;AG$2,"")&amp;IF(N(AH217)&gt;0,", "&amp;A217&amp;"-"&amp;AH$2,"")&amp;IF(N(AI217)&gt;0,", "&amp;A217&amp;"-"&amp;AI$2,"")&amp;IF(N(AJ217)&gt;0,", "&amp;A217&amp;"-"&amp;AJ$2,""),3,999))</f>
        <v/>
      </c>
      <c r="AN217" s="81"/>
      <c r="AO217" s="88"/>
      <c r="AP217" s="89" t="str">
        <f aca="false">IF(AO217="","",ROUND(AO217/(1+Справочники!$B$13),2))</f>
        <v/>
      </c>
      <c r="AQ217" s="90" t="str">
        <f aca="false" t="array" ref="AQ217:AQ217">IF(AP217="","",AP217*INDEX(Справочники!$B$4:$B$7,MATCH("RUB",Справочники!$A$4:$A$7,0)))</f>
        <v/>
      </c>
      <c r="AR217" s="90" t="str">
        <f aca="false">IF(AQ217="","",ROUND(AQ217*(1+Справочники!$B$12),0))</f>
        <v/>
      </c>
      <c r="AS217" s="90" t="str">
        <f aca="false">IF(AR217="","",ROUND(AR217*(1-Справочники!$B$11),0))</f>
        <v/>
      </c>
      <c r="AT217" s="88"/>
      <c r="AU217" s="90" t="str">
        <f aca="false">IF(AT217="","",ROUND(AT217/(1+Справочники!$B$12),0))</f>
        <v/>
      </c>
      <c r="AV217" s="90" t="str">
        <f aca="false">IF(AT217="","",ROUND(AT217*(1-Справочники!$B$15),0))</f>
        <v/>
      </c>
      <c r="AW217" s="90" t="str">
        <f aca="false">IF(AT217="","",ROUND(AT217*(1-Справочники!$B$16),0))</f>
        <v/>
      </c>
      <c r="AX217" s="90" t="str">
        <f aca="false">IF(AT217="","",ROUND(AT217*(1-Справочники!$B$17),0))</f>
        <v/>
      </c>
      <c r="AY217" s="90" t="str">
        <f aca="false">IF(AT217="","",ROUND(AT217*(1-Справочники!$B$18),0))</f>
        <v/>
      </c>
      <c r="AZ217" s="90" t="str">
        <f aca="false">IF(AT217="","",ROUND(AT217*(1-Справочники!$B$19),0))</f>
        <v/>
      </c>
      <c r="BA217" s="81"/>
      <c r="BB217" s="81"/>
      <c r="BC217" s="81"/>
      <c r="BD217" s="81"/>
      <c r="BE217" s="91"/>
      <c r="BF217" s="81" t="s">
        <v>103</v>
      </c>
      <c r="BG217" s="89" t="n">
        <f aca="false" t="array" ref="BG217:BG217">IF(BF217="","",IFERROR(INDEX(Справочники!$B$4:$B$7,MATCH(BF217,Справочники!$A$4:$A$7,0)),""))</f>
        <v>68.5</v>
      </c>
      <c r="BH217" s="90" t="str">
        <f aca="false">IF(N(BN217)&gt;0,ROUND(SUMIF(ЗАКАЗЫ!$F$3:$F$500,$A217,ЗАКАЗЫ!$Y$3:$Y$500)/BN217,0),IF(OR(BE217="",BG217=""),"",ROUND(BE217*BG217*(1+Справочники!$B$10),0)))</f>
        <v/>
      </c>
      <c r="BI217" s="92" t="str">
        <f aca="false">IF(OR(AU217="",BH217="",AU217=0),"",(AU217-BH217)/AU217)</f>
        <v/>
      </c>
      <c r="BJ217" s="81"/>
      <c r="BK217" s="83"/>
      <c r="BL217" s="43" t="str">
        <f aca="false">IFERROR(INDEX(ЗАКАЗЫ!$N$3:$N$500,MATCH($A217,ЗАКАЗЫ!$F$3:$F$500,0)),"")</f>
        <v/>
      </c>
      <c r="BM217" s="8" t="str">
        <f aca="false">IF(BL217="","",IFERROR(VLOOKUP(BL217,'ТН ВЭД'!$A$4:$C$40,3,0),""))</f>
        <v/>
      </c>
      <c r="BN217" s="7" t="str">
        <f aca="false">IF(COUNTIF(ЗАКАЗЫ!$F$3:$F$500,$A217)=0,"",SUMIF(ЗАКАЗЫ!$F$3:$F$500,$A217,ЗАКАЗЫ!$J$3:$J$500))</f>
        <v/>
      </c>
      <c r="BO217" s="7" t="str">
        <f aca="false">IF(BN217="","",SUMIF(ЗАКАЗЫ!$F$3:$F$500,$A217,ЗАКАЗЫ!$AL$3:$AL$500))</f>
        <v/>
      </c>
      <c r="BP217" s="7" t="str">
        <f aca="false">IF(BN217="","",BN217-BO217)</f>
        <v/>
      </c>
      <c r="BQ217" s="55" t="str">
        <f aca="false">IF(BN217="","",IF(BO217&gt;=BN217,"На складе",IF(BO217&gt;0,"Частично","Ждём")))</f>
        <v/>
      </c>
      <c r="BR217" s="43"/>
      <c r="BS217" s="47" t="str">
        <f aca="false">IF(BN217="","",IF(_xlfn.MAXIFS(ЗАКАЗЫ!$AK$3:$AK$500,ЗАКАЗЫ!$F$3:$F$500,$A217)=0,"",_xlfn.MAXIFS(ЗАКАЗЫ!$AK$3:$AK$500,ЗАКАЗЫ!$F$3:$F$500,$A217)))</f>
        <v/>
      </c>
    </row>
    <row r="218" customFormat="false" ht="15.75" hidden="false" customHeight="true" outlineLevel="0" collapsed="false">
      <c r="A218" s="80" t="s">
        <v>2758</v>
      </c>
      <c r="B218" s="81"/>
      <c r="C218" s="81"/>
      <c r="D218" s="81"/>
      <c r="E218" s="83"/>
      <c r="F218" s="81"/>
      <c r="G218" s="83"/>
      <c r="H218" s="83"/>
      <c r="I218" s="84" t="str">
        <f aca="false">IF(E218="","",A218&amp;"_1.jpg")</f>
        <v/>
      </c>
      <c r="J218" s="84" t="str">
        <f aca="false">IF(E218="","",A218&amp;"_2.jpg; "&amp;A218&amp;"_3.jpg")</f>
        <v/>
      </c>
      <c r="K218" s="84" t="str">
        <f aca="false">IF(E218="","",A218&amp;"_schema.jpg")</f>
        <v/>
      </c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 t="s">
        <v>96</v>
      </c>
      <c r="W218" s="81"/>
      <c r="X218" s="81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6" t="str">
        <f aca="false">IF(SUM(Y218:AJ218)=0,"",SUM(Y218:AJ218))</f>
        <v/>
      </c>
      <c r="AL218" s="84" t="str">
        <f aca="false">MID(IF(N(Y218)&gt;0,", "&amp;Y$2,"")&amp;IF(N(Z218)&gt;0,", "&amp;Z$2,"")&amp;IF(N(AA218)&gt;0,", "&amp;AA$2,"")&amp;IF(N(AB218)&gt;0,", "&amp;AB$2,"")&amp;IF(N(AC218)&gt;0,", "&amp;AC$2,"")&amp;IF(N(AD218)&gt;0,", "&amp;AD$2,"")&amp;IF(N(AE218)&gt;0,", "&amp;AE$2,"")&amp;IF(N(AF218)&gt;0,", "&amp;AF$2,"")&amp;IF(N(AG218)&gt;0,", "&amp;AG$2,"")&amp;IF(N(AH218)&gt;0,", "&amp;AH$2,"")&amp;IF(N(AI218)&gt;0,", "&amp;AI$2,"")&amp;IF(N(AJ218)&gt;0,", "&amp;AJ$2,""),3,999)</f>
        <v/>
      </c>
      <c r="AM218" s="87" t="str">
        <f aca="false">IF(E218="","",MID(IF(N(Y218)&gt;0,", "&amp;A218&amp;"-"&amp;Y$2,"")&amp;IF(N(Z218)&gt;0,", "&amp;A218&amp;"-"&amp;Z$2,"")&amp;IF(N(AA218)&gt;0,", "&amp;A218&amp;"-"&amp;AA$2,"")&amp;IF(N(AB218)&gt;0,", "&amp;A218&amp;"-"&amp;AB$2,"")&amp;IF(N(AC218)&gt;0,", "&amp;A218&amp;"-"&amp;AC$2,"")&amp;IF(N(AD218)&gt;0,", "&amp;A218&amp;"-"&amp;AD$2,"")&amp;IF(N(AE218)&gt;0,", "&amp;A218&amp;"-"&amp;AE$2,"")&amp;IF(N(AF218)&gt;0,", "&amp;A218&amp;"-"&amp;AF$2,"")&amp;IF(N(AG218)&gt;0,", "&amp;A218&amp;"-"&amp;AG$2,"")&amp;IF(N(AH218)&gt;0,", "&amp;A218&amp;"-"&amp;AH$2,"")&amp;IF(N(AI218)&gt;0,", "&amp;A218&amp;"-"&amp;AI$2,"")&amp;IF(N(AJ218)&gt;0,", "&amp;A218&amp;"-"&amp;AJ$2,""),3,999))</f>
        <v/>
      </c>
      <c r="AN218" s="81"/>
      <c r="AO218" s="88"/>
      <c r="AP218" s="89" t="str">
        <f aca="false">IF(AO218="","",ROUND(AO218/(1+Справочники!$B$13),2))</f>
        <v/>
      </c>
      <c r="AQ218" s="90" t="str">
        <f aca="false" t="array" ref="AQ218:AQ218">IF(AP218="","",AP218*INDEX(Справочники!$B$4:$B$7,MATCH("RUB",Справочники!$A$4:$A$7,0)))</f>
        <v/>
      </c>
      <c r="AR218" s="90" t="str">
        <f aca="false">IF(AQ218="","",ROUND(AQ218*(1+Справочники!$B$12),0))</f>
        <v/>
      </c>
      <c r="AS218" s="90" t="str">
        <f aca="false">IF(AR218="","",ROUND(AR218*(1-Справочники!$B$11),0))</f>
        <v/>
      </c>
      <c r="AT218" s="88"/>
      <c r="AU218" s="90" t="str">
        <f aca="false">IF(AT218="","",ROUND(AT218/(1+Справочники!$B$12),0))</f>
        <v/>
      </c>
      <c r="AV218" s="90" t="str">
        <f aca="false">IF(AT218="","",ROUND(AT218*(1-Справочники!$B$15),0))</f>
        <v/>
      </c>
      <c r="AW218" s="90" t="str">
        <f aca="false">IF(AT218="","",ROUND(AT218*(1-Справочники!$B$16),0))</f>
        <v/>
      </c>
      <c r="AX218" s="90" t="str">
        <f aca="false">IF(AT218="","",ROUND(AT218*(1-Справочники!$B$17),0))</f>
        <v/>
      </c>
      <c r="AY218" s="90" t="str">
        <f aca="false">IF(AT218="","",ROUND(AT218*(1-Справочники!$B$18),0))</f>
        <v/>
      </c>
      <c r="AZ218" s="90" t="str">
        <f aca="false">IF(AT218="","",ROUND(AT218*(1-Справочники!$B$19),0))</f>
        <v/>
      </c>
      <c r="BA218" s="81"/>
      <c r="BB218" s="81"/>
      <c r="BC218" s="81"/>
      <c r="BD218" s="81"/>
      <c r="BE218" s="91"/>
      <c r="BF218" s="81" t="s">
        <v>103</v>
      </c>
      <c r="BG218" s="89" t="n">
        <f aca="false" t="array" ref="BG218:BG218">IF(BF218="","",IFERROR(INDEX(Справочники!$B$4:$B$7,MATCH(BF218,Справочники!$A$4:$A$7,0)),""))</f>
        <v>68.5</v>
      </c>
      <c r="BH218" s="90" t="str">
        <f aca="false">IF(N(BN218)&gt;0,ROUND(SUMIF(ЗАКАЗЫ!$F$3:$F$500,$A218,ЗАКАЗЫ!$Y$3:$Y$500)/BN218,0),IF(OR(BE218="",BG218=""),"",ROUND(BE218*BG218*(1+Справочники!$B$10),0)))</f>
        <v/>
      </c>
      <c r="BI218" s="92" t="str">
        <f aca="false">IF(OR(AU218="",BH218="",AU218=0),"",(AU218-BH218)/AU218)</f>
        <v/>
      </c>
      <c r="BJ218" s="81"/>
      <c r="BK218" s="83"/>
      <c r="BL218" s="43" t="str">
        <f aca="false">IFERROR(INDEX(ЗАКАЗЫ!$N$3:$N$500,MATCH($A218,ЗАКАЗЫ!$F$3:$F$500,0)),"")</f>
        <v/>
      </c>
      <c r="BM218" s="8" t="str">
        <f aca="false">IF(BL218="","",IFERROR(VLOOKUP(BL218,'ТН ВЭД'!$A$4:$C$40,3,0),""))</f>
        <v/>
      </c>
      <c r="BN218" s="7" t="str">
        <f aca="false">IF(COUNTIF(ЗАКАЗЫ!$F$3:$F$500,$A218)=0,"",SUMIF(ЗАКАЗЫ!$F$3:$F$500,$A218,ЗАКАЗЫ!$J$3:$J$500))</f>
        <v/>
      </c>
      <c r="BO218" s="7" t="str">
        <f aca="false">IF(BN218="","",SUMIF(ЗАКАЗЫ!$F$3:$F$500,$A218,ЗАКАЗЫ!$AL$3:$AL$500))</f>
        <v/>
      </c>
      <c r="BP218" s="7" t="str">
        <f aca="false">IF(BN218="","",BN218-BO218)</f>
        <v/>
      </c>
      <c r="BQ218" s="55" t="str">
        <f aca="false">IF(BN218="","",IF(BO218&gt;=BN218,"На складе",IF(BO218&gt;0,"Частично","Ждём")))</f>
        <v/>
      </c>
      <c r="BR218" s="43"/>
      <c r="BS218" s="47" t="str">
        <f aca="false">IF(BN218="","",IF(_xlfn.MAXIFS(ЗАКАЗЫ!$AK$3:$AK$500,ЗАКАЗЫ!$F$3:$F$500,$A218)=0,"",_xlfn.MAXIFS(ЗАКАЗЫ!$AK$3:$AK$500,ЗАКАЗЫ!$F$3:$F$500,$A218)))</f>
        <v/>
      </c>
    </row>
    <row r="219" customFormat="false" ht="15.75" hidden="false" customHeight="true" outlineLevel="0" collapsed="false">
      <c r="A219" s="80" t="s">
        <v>2759</v>
      </c>
      <c r="B219" s="81"/>
      <c r="C219" s="81"/>
      <c r="D219" s="81"/>
      <c r="E219" s="83"/>
      <c r="F219" s="81"/>
      <c r="G219" s="83"/>
      <c r="H219" s="83"/>
      <c r="I219" s="84" t="str">
        <f aca="false">IF(E219="","",A219&amp;"_1.jpg")</f>
        <v/>
      </c>
      <c r="J219" s="84" t="str">
        <f aca="false">IF(E219="","",A219&amp;"_2.jpg; "&amp;A219&amp;"_3.jpg")</f>
        <v/>
      </c>
      <c r="K219" s="84" t="str">
        <f aca="false">IF(E219="","",A219&amp;"_schema.jpg")</f>
        <v/>
      </c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 t="s">
        <v>96</v>
      </c>
      <c r="W219" s="81"/>
      <c r="X219" s="81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6" t="str">
        <f aca="false">IF(SUM(Y219:AJ219)=0,"",SUM(Y219:AJ219))</f>
        <v/>
      </c>
      <c r="AL219" s="84" t="str">
        <f aca="false">MID(IF(N(Y219)&gt;0,", "&amp;Y$2,"")&amp;IF(N(Z219)&gt;0,", "&amp;Z$2,"")&amp;IF(N(AA219)&gt;0,", "&amp;AA$2,"")&amp;IF(N(AB219)&gt;0,", "&amp;AB$2,"")&amp;IF(N(AC219)&gt;0,", "&amp;AC$2,"")&amp;IF(N(AD219)&gt;0,", "&amp;AD$2,"")&amp;IF(N(AE219)&gt;0,", "&amp;AE$2,"")&amp;IF(N(AF219)&gt;0,", "&amp;AF$2,"")&amp;IF(N(AG219)&gt;0,", "&amp;AG$2,"")&amp;IF(N(AH219)&gt;0,", "&amp;AH$2,"")&amp;IF(N(AI219)&gt;0,", "&amp;AI$2,"")&amp;IF(N(AJ219)&gt;0,", "&amp;AJ$2,""),3,999)</f>
        <v/>
      </c>
      <c r="AM219" s="87" t="str">
        <f aca="false">IF(E219="","",MID(IF(N(Y219)&gt;0,", "&amp;A219&amp;"-"&amp;Y$2,"")&amp;IF(N(Z219)&gt;0,", "&amp;A219&amp;"-"&amp;Z$2,"")&amp;IF(N(AA219)&gt;0,", "&amp;A219&amp;"-"&amp;AA$2,"")&amp;IF(N(AB219)&gt;0,", "&amp;A219&amp;"-"&amp;AB$2,"")&amp;IF(N(AC219)&gt;0,", "&amp;A219&amp;"-"&amp;AC$2,"")&amp;IF(N(AD219)&gt;0,", "&amp;A219&amp;"-"&amp;AD$2,"")&amp;IF(N(AE219)&gt;0,", "&amp;A219&amp;"-"&amp;AE$2,"")&amp;IF(N(AF219)&gt;0,", "&amp;A219&amp;"-"&amp;AF$2,"")&amp;IF(N(AG219)&gt;0,", "&amp;A219&amp;"-"&amp;AG$2,"")&amp;IF(N(AH219)&gt;0,", "&amp;A219&amp;"-"&amp;AH$2,"")&amp;IF(N(AI219)&gt;0,", "&amp;A219&amp;"-"&amp;AI$2,"")&amp;IF(N(AJ219)&gt;0,", "&amp;A219&amp;"-"&amp;AJ$2,""),3,999))</f>
        <v/>
      </c>
      <c r="AN219" s="81"/>
      <c r="AO219" s="88"/>
      <c r="AP219" s="89" t="str">
        <f aca="false">IF(AO219="","",ROUND(AO219/(1+Справочники!$B$13),2))</f>
        <v/>
      </c>
      <c r="AQ219" s="90" t="str">
        <f aca="false" t="array" ref="AQ219:AQ219">IF(AP219="","",AP219*INDEX(Справочники!$B$4:$B$7,MATCH("RUB",Справочники!$A$4:$A$7,0)))</f>
        <v/>
      </c>
      <c r="AR219" s="90" t="str">
        <f aca="false">IF(AQ219="","",ROUND(AQ219*(1+Справочники!$B$12),0))</f>
        <v/>
      </c>
      <c r="AS219" s="90" t="str">
        <f aca="false">IF(AR219="","",ROUND(AR219*(1-Справочники!$B$11),0))</f>
        <v/>
      </c>
      <c r="AT219" s="88"/>
      <c r="AU219" s="90" t="str">
        <f aca="false">IF(AT219="","",ROUND(AT219/(1+Справочники!$B$12),0))</f>
        <v/>
      </c>
      <c r="AV219" s="90" t="str">
        <f aca="false">IF(AT219="","",ROUND(AT219*(1-Справочники!$B$15),0))</f>
        <v/>
      </c>
      <c r="AW219" s="90" t="str">
        <f aca="false">IF(AT219="","",ROUND(AT219*(1-Справочники!$B$16),0))</f>
        <v/>
      </c>
      <c r="AX219" s="90" t="str">
        <f aca="false">IF(AT219="","",ROUND(AT219*(1-Справочники!$B$17),0))</f>
        <v/>
      </c>
      <c r="AY219" s="90" t="str">
        <f aca="false">IF(AT219="","",ROUND(AT219*(1-Справочники!$B$18),0))</f>
        <v/>
      </c>
      <c r="AZ219" s="90" t="str">
        <f aca="false">IF(AT219="","",ROUND(AT219*(1-Справочники!$B$19),0))</f>
        <v/>
      </c>
      <c r="BA219" s="81"/>
      <c r="BB219" s="81"/>
      <c r="BC219" s="81"/>
      <c r="BD219" s="81"/>
      <c r="BE219" s="91"/>
      <c r="BF219" s="81" t="s">
        <v>103</v>
      </c>
      <c r="BG219" s="89" t="n">
        <f aca="false" t="array" ref="BG219:BG219">IF(BF219="","",IFERROR(INDEX(Справочники!$B$4:$B$7,MATCH(BF219,Справочники!$A$4:$A$7,0)),""))</f>
        <v>68.5</v>
      </c>
      <c r="BH219" s="90" t="str">
        <f aca="false">IF(N(BN219)&gt;0,ROUND(SUMIF(ЗАКАЗЫ!$F$3:$F$500,$A219,ЗАКАЗЫ!$Y$3:$Y$500)/BN219,0),IF(OR(BE219="",BG219=""),"",ROUND(BE219*BG219*(1+Справочники!$B$10),0)))</f>
        <v/>
      </c>
      <c r="BI219" s="92" t="str">
        <f aca="false">IF(OR(AU219="",BH219="",AU219=0),"",(AU219-BH219)/AU219)</f>
        <v/>
      </c>
      <c r="BJ219" s="81"/>
      <c r="BK219" s="83"/>
      <c r="BL219" s="43" t="str">
        <f aca="false">IFERROR(INDEX(ЗАКАЗЫ!$N$3:$N$500,MATCH($A219,ЗАКАЗЫ!$F$3:$F$500,0)),"")</f>
        <v/>
      </c>
      <c r="BM219" s="8" t="str">
        <f aca="false">IF(BL219="","",IFERROR(VLOOKUP(BL219,'ТН ВЭД'!$A$4:$C$40,3,0),""))</f>
        <v/>
      </c>
      <c r="BN219" s="7" t="str">
        <f aca="false">IF(COUNTIF(ЗАКАЗЫ!$F$3:$F$500,$A219)=0,"",SUMIF(ЗАКАЗЫ!$F$3:$F$500,$A219,ЗАКАЗЫ!$J$3:$J$500))</f>
        <v/>
      </c>
      <c r="BO219" s="7" t="str">
        <f aca="false">IF(BN219="","",SUMIF(ЗАКАЗЫ!$F$3:$F$500,$A219,ЗАКАЗЫ!$AL$3:$AL$500))</f>
        <v/>
      </c>
      <c r="BP219" s="7" t="str">
        <f aca="false">IF(BN219="","",BN219-BO219)</f>
        <v/>
      </c>
      <c r="BQ219" s="55" t="str">
        <f aca="false">IF(BN219="","",IF(BO219&gt;=BN219,"На складе",IF(BO219&gt;0,"Частично","Ждём")))</f>
        <v/>
      </c>
      <c r="BR219" s="43"/>
      <c r="BS219" s="47" t="str">
        <f aca="false">IF(BN219="","",IF(_xlfn.MAXIFS(ЗАКАЗЫ!$AK$3:$AK$500,ЗАКАЗЫ!$F$3:$F$500,$A219)=0,"",_xlfn.MAXIFS(ЗАКАЗЫ!$AK$3:$AK$500,ЗАКАЗЫ!$F$3:$F$500,$A219)))</f>
        <v/>
      </c>
    </row>
    <row r="220" customFormat="false" ht="15.75" hidden="false" customHeight="true" outlineLevel="0" collapsed="false">
      <c r="A220" s="80" t="s">
        <v>2760</v>
      </c>
      <c r="B220" s="81"/>
      <c r="C220" s="81"/>
      <c r="D220" s="81"/>
      <c r="E220" s="83"/>
      <c r="F220" s="81"/>
      <c r="G220" s="83"/>
      <c r="H220" s="83"/>
      <c r="I220" s="84" t="str">
        <f aca="false">IF(E220="","",A220&amp;"_1.jpg")</f>
        <v/>
      </c>
      <c r="J220" s="84" t="str">
        <f aca="false">IF(E220="","",A220&amp;"_2.jpg; "&amp;A220&amp;"_3.jpg")</f>
        <v/>
      </c>
      <c r="K220" s="84" t="str">
        <f aca="false">IF(E220="","",A220&amp;"_schema.jpg")</f>
        <v/>
      </c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 t="s">
        <v>96</v>
      </c>
      <c r="W220" s="81"/>
      <c r="X220" s="81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6" t="str">
        <f aca="false">IF(SUM(Y220:AJ220)=0,"",SUM(Y220:AJ220))</f>
        <v/>
      </c>
      <c r="AL220" s="84" t="str">
        <f aca="false">MID(IF(N(Y220)&gt;0,", "&amp;Y$2,"")&amp;IF(N(Z220)&gt;0,", "&amp;Z$2,"")&amp;IF(N(AA220)&gt;0,", "&amp;AA$2,"")&amp;IF(N(AB220)&gt;0,", "&amp;AB$2,"")&amp;IF(N(AC220)&gt;0,", "&amp;AC$2,"")&amp;IF(N(AD220)&gt;0,", "&amp;AD$2,"")&amp;IF(N(AE220)&gt;0,", "&amp;AE$2,"")&amp;IF(N(AF220)&gt;0,", "&amp;AF$2,"")&amp;IF(N(AG220)&gt;0,", "&amp;AG$2,"")&amp;IF(N(AH220)&gt;0,", "&amp;AH$2,"")&amp;IF(N(AI220)&gt;0,", "&amp;AI$2,"")&amp;IF(N(AJ220)&gt;0,", "&amp;AJ$2,""),3,999)</f>
        <v/>
      </c>
      <c r="AM220" s="87" t="str">
        <f aca="false">IF(E220="","",MID(IF(N(Y220)&gt;0,", "&amp;A220&amp;"-"&amp;Y$2,"")&amp;IF(N(Z220)&gt;0,", "&amp;A220&amp;"-"&amp;Z$2,"")&amp;IF(N(AA220)&gt;0,", "&amp;A220&amp;"-"&amp;AA$2,"")&amp;IF(N(AB220)&gt;0,", "&amp;A220&amp;"-"&amp;AB$2,"")&amp;IF(N(AC220)&gt;0,", "&amp;A220&amp;"-"&amp;AC$2,"")&amp;IF(N(AD220)&gt;0,", "&amp;A220&amp;"-"&amp;AD$2,"")&amp;IF(N(AE220)&gt;0,", "&amp;A220&amp;"-"&amp;AE$2,"")&amp;IF(N(AF220)&gt;0,", "&amp;A220&amp;"-"&amp;AF$2,"")&amp;IF(N(AG220)&gt;0,", "&amp;A220&amp;"-"&amp;AG$2,"")&amp;IF(N(AH220)&gt;0,", "&amp;A220&amp;"-"&amp;AH$2,"")&amp;IF(N(AI220)&gt;0,", "&amp;A220&amp;"-"&amp;AI$2,"")&amp;IF(N(AJ220)&gt;0,", "&amp;A220&amp;"-"&amp;AJ$2,""),3,999))</f>
        <v/>
      </c>
      <c r="AN220" s="81"/>
      <c r="AO220" s="88"/>
      <c r="AP220" s="89" t="str">
        <f aca="false">IF(AO220="","",ROUND(AO220/(1+Справочники!$B$13),2))</f>
        <v/>
      </c>
      <c r="AQ220" s="90" t="str">
        <f aca="false" t="array" ref="AQ220:AQ220">IF(AP220="","",AP220*INDEX(Справочники!$B$4:$B$7,MATCH("RUB",Справочники!$A$4:$A$7,0)))</f>
        <v/>
      </c>
      <c r="AR220" s="90" t="str">
        <f aca="false">IF(AQ220="","",ROUND(AQ220*(1+Справочники!$B$12),0))</f>
        <v/>
      </c>
      <c r="AS220" s="90" t="str">
        <f aca="false">IF(AR220="","",ROUND(AR220*(1-Справочники!$B$11),0))</f>
        <v/>
      </c>
      <c r="AT220" s="88"/>
      <c r="AU220" s="90" t="str">
        <f aca="false">IF(AT220="","",ROUND(AT220/(1+Справочники!$B$12),0))</f>
        <v/>
      </c>
      <c r="AV220" s="90" t="str">
        <f aca="false">IF(AT220="","",ROUND(AT220*(1-Справочники!$B$15),0))</f>
        <v/>
      </c>
      <c r="AW220" s="90" t="str">
        <f aca="false">IF(AT220="","",ROUND(AT220*(1-Справочники!$B$16),0))</f>
        <v/>
      </c>
      <c r="AX220" s="90" t="str">
        <f aca="false">IF(AT220="","",ROUND(AT220*(1-Справочники!$B$17),0))</f>
        <v/>
      </c>
      <c r="AY220" s="90" t="str">
        <f aca="false">IF(AT220="","",ROUND(AT220*(1-Справочники!$B$18),0))</f>
        <v/>
      </c>
      <c r="AZ220" s="90" t="str">
        <f aca="false">IF(AT220="","",ROUND(AT220*(1-Справочники!$B$19),0))</f>
        <v/>
      </c>
      <c r="BA220" s="81"/>
      <c r="BB220" s="81"/>
      <c r="BC220" s="81"/>
      <c r="BD220" s="81"/>
      <c r="BE220" s="91"/>
      <c r="BF220" s="81" t="s">
        <v>103</v>
      </c>
      <c r="BG220" s="89" t="n">
        <f aca="false" t="array" ref="BG220:BG220">IF(BF220="","",IFERROR(INDEX(Справочники!$B$4:$B$7,MATCH(BF220,Справочники!$A$4:$A$7,0)),""))</f>
        <v>68.5</v>
      </c>
      <c r="BH220" s="90" t="str">
        <f aca="false">IF(N(BN220)&gt;0,ROUND(SUMIF(ЗАКАЗЫ!$F$3:$F$500,$A220,ЗАКАЗЫ!$Y$3:$Y$500)/BN220,0),IF(OR(BE220="",BG220=""),"",ROUND(BE220*BG220*(1+Справочники!$B$10),0)))</f>
        <v/>
      </c>
      <c r="BI220" s="92" t="str">
        <f aca="false">IF(OR(AU220="",BH220="",AU220=0),"",(AU220-BH220)/AU220)</f>
        <v/>
      </c>
      <c r="BJ220" s="81"/>
      <c r="BK220" s="83"/>
      <c r="BL220" s="43" t="str">
        <f aca="false">IFERROR(INDEX(ЗАКАЗЫ!$N$3:$N$500,MATCH($A220,ЗАКАЗЫ!$F$3:$F$500,0)),"")</f>
        <v/>
      </c>
      <c r="BM220" s="8" t="str">
        <f aca="false">IF(BL220="","",IFERROR(VLOOKUP(BL220,'ТН ВЭД'!$A$4:$C$40,3,0),""))</f>
        <v/>
      </c>
      <c r="BN220" s="7" t="str">
        <f aca="false">IF(COUNTIF(ЗАКАЗЫ!$F$3:$F$500,$A220)=0,"",SUMIF(ЗАКАЗЫ!$F$3:$F$500,$A220,ЗАКАЗЫ!$J$3:$J$500))</f>
        <v/>
      </c>
      <c r="BO220" s="7" t="str">
        <f aca="false">IF(BN220="","",SUMIF(ЗАКАЗЫ!$F$3:$F$500,$A220,ЗАКАЗЫ!$AL$3:$AL$500))</f>
        <v/>
      </c>
      <c r="BP220" s="7" t="str">
        <f aca="false">IF(BN220="","",BN220-BO220)</f>
        <v/>
      </c>
      <c r="BQ220" s="55" t="str">
        <f aca="false">IF(BN220="","",IF(BO220&gt;=BN220,"На складе",IF(BO220&gt;0,"Частично","Ждём")))</f>
        <v/>
      </c>
      <c r="BR220" s="43"/>
      <c r="BS220" s="47" t="str">
        <f aca="false">IF(BN220="","",IF(_xlfn.MAXIFS(ЗАКАЗЫ!$AK$3:$AK$500,ЗАКАЗЫ!$F$3:$F$500,$A220)=0,"",_xlfn.MAXIFS(ЗАКАЗЫ!$AK$3:$AK$500,ЗАКАЗЫ!$F$3:$F$500,$A220)))</f>
        <v/>
      </c>
    </row>
    <row r="221" customFormat="false" ht="15.75" hidden="false" customHeight="true" outlineLevel="0" collapsed="false">
      <c r="A221" s="80" t="s">
        <v>2761</v>
      </c>
      <c r="B221" s="81"/>
      <c r="C221" s="81"/>
      <c r="D221" s="81"/>
      <c r="E221" s="83"/>
      <c r="F221" s="81"/>
      <c r="G221" s="83"/>
      <c r="H221" s="83"/>
      <c r="I221" s="84" t="str">
        <f aca="false">IF(E221="","",A221&amp;"_1.jpg")</f>
        <v/>
      </c>
      <c r="J221" s="84" t="str">
        <f aca="false">IF(E221="","",A221&amp;"_2.jpg; "&amp;A221&amp;"_3.jpg")</f>
        <v/>
      </c>
      <c r="K221" s="84" t="str">
        <f aca="false">IF(E221="","",A221&amp;"_schema.jpg")</f>
        <v/>
      </c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 t="s">
        <v>96</v>
      </c>
      <c r="W221" s="81"/>
      <c r="X221" s="81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6" t="str">
        <f aca="false">IF(SUM(Y221:AJ221)=0,"",SUM(Y221:AJ221))</f>
        <v/>
      </c>
      <c r="AL221" s="84" t="str">
        <f aca="false">MID(IF(N(Y221)&gt;0,", "&amp;Y$2,"")&amp;IF(N(Z221)&gt;0,", "&amp;Z$2,"")&amp;IF(N(AA221)&gt;0,", "&amp;AA$2,"")&amp;IF(N(AB221)&gt;0,", "&amp;AB$2,"")&amp;IF(N(AC221)&gt;0,", "&amp;AC$2,"")&amp;IF(N(AD221)&gt;0,", "&amp;AD$2,"")&amp;IF(N(AE221)&gt;0,", "&amp;AE$2,"")&amp;IF(N(AF221)&gt;0,", "&amp;AF$2,"")&amp;IF(N(AG221)&gt;0,", "&amp;AG$2,"")&amp;IF(N(AH221)&gt;0,", "&amp;AH$2,"")&amp;IF(N(AI221)&gt;0,", "&amp;AI$2,"")&amp;IF(N(AJ221)&gt;0,", "&amp;AJ$2,""),3,999)</f>
        <v/>
      </c>
      <c r="AM221" s="87" t="str">
        <f aca="false">IF(E221="","",MID(IF(N(Y221)&gt;0,", "&amp;A221&amp;"-"&amp;Y$2,"")&amp;IF(N(Z221)&gt;0,", "&amp;A221&amp;"-"&amp;Z$2,"")&amp;IF(N(AA221)&gt;0,", "&amp;A221&amp;"-"&amp;AA$2,"")&amp;IF(N(AB221)&gt;0,", "&amp;A221&amp;"-"&amp;AB$2,"")&amp;IF(N(AC221)&gt;0,", "&amp;A221&amp;"-"&amp;AC$2,"")&amp;IF(N(AD221)&gt;0,", "&amp;A221&amp;"-"&amp;AD$2,"")&amp;IF(N(AE221)&gt;0,", "&amp;A221&amp;"-"&amp;AE$2,"")&amp;IF(N(AF221)&gt;0,", "&amp;A221&amp;"-"&amp;AF$2,"")&amp;IF(N(AG221)&gt;0,", "&amp;A221&amp;"-"&amp;AG$2,"")&amp;IF(N(AH221)&gt;0,", "&amp;A221&amp;"-"&amp;AH$2,"")&amp;IF(N(AI221)&gt;0,", "&amp;A221&amp;"-"&amp;AI$2,"")&amp;IF(N(AJ221)&gt;0,", "&amp;A221&amp;"-"&amp;AJ$2,""),3,999))</f>
        <v/>
      </c>
      <c r="AN221" s="81"/>
      <c r="AO221" s="88"/>
      <c r="AP221" s="89" t="str">
        <f aca="false">IF(AO221="","",ROUND(AO221/(1+Справочники!$B$13),2))</f>
        <v/>
      </c>
      <c r="AQ221" s="90" t="str">
        <f aca="false" t="array" ref="AQ221:AQ221">IF(AP221="","",AP221*INDEX(Справочники!$B$4:$B$7,MATCH("RUB",Справочники!$A$4:$A$7,0)))</f>
        <v/>
      </c>
      <c r="AR221" s="90" t="str">
        <f aca="false">IF(AQ221="","",ROUND(AQ221*(1+Справочники!$B$12),0))</f>
        <v/>
      </c>
      <c r="AS221" s="90" t="str">
        <f aca="false">IF(AR221="","",ROUND(AR221*(1-Справочники!$B$11),0))</f>
        <v/>
      </c>
      <c r="AT221" s="88"/>
      <c r="AU221" s="90" t="str">
        <f aca="false">IF(AT221="","",ROUND(AT221/(1+Справочники!$B$12),0))</f>
        <v/>
      </c>
      <c r="AV221" s="90" t="str">
        <f aca="false">IF(AT221="","",ROUND(AT221*(1-Справочники!$B$15),0))</f>
        <v/>
      </c>
      <c r="AW221" s="90" t="str">
        <f aca="false">IF(AT221="","",ROUND(AT221*(1-Справочники!$B$16),0))</f>
        <v/>
      </c>
      <c r="AX221" s="90" t="str">
        <f aca="false">IF(AT221="","",ROUND(AT221*(1-Справочники!$B$17),0))</f>
        <v/>
      </c>
      <c r="AY221" s="90" t="str">
        <f aca="false">IF(AT221="","",ROUND(AT221*(1-Справочники!$B$18),0))</f>
        <v/>
      </c>
      <c r="AZ221" s="90" t="str">
        <f aca="false">IF(AT221="","",ROUND(AT221*(1-Справочники!$B$19),0))</f>
        <v/>
      </c>
      <c r="BA221" s="81"/>
      <c r="BB221" s="81"/>
      <c r="BC221" s="81"/>
      <c r="BD221" s="81"/>
      <c r="BE221" s="91"/>
      <c r="BF221" s="81" t="s">
        <v>103</v>
      </c>
      <c r="BG221" s="89" t="n">
        <f aca="false" t="array" ref="BG221:BG221">IF(BF221="","",IFERROR(INDEX(Справочники!$B$4:$B$7,MATCH(BF221,Справочники!$A$4:$A$7,0)),""))</f>
        <v>68.5</v>
      </c>
      <c r="BH221" s="90" t="str">
        <f aca="false">IF(N(BN221)&gt;0,ROUND(SUMIF(ЗАКАЗЫ!$F$3:$F$500,$A221,ЗАКАЗЫ!$Y$3:$Y$500)/BN221,0),IF(OR(BE221="",BG221=""),"",ROUND(BE221*BG221*(1+Справочники!$B$10),0)))</f>
        <v/>
      </c>
      <c r="BI221" s="92" t="str">
        <f aca="false">IF(OR(AU221="",BH221="",AU221=0),"",(AU221-BH221)/AU221)</f>
        <v/>
      </c>
      <c r="BJ221" s="81"/>
      <c r="BK221" s="83"/>
      <c r="BL221" s="43" t="str">
        <f aca="false">IFERROR(INDEX(ЗАКАЗЫ!$N$3:$N$500,MATCH($A221,ЗАКАЗЫ!$F$3:$F$500,0)),"")</f>
        <v/>
      </c>
      <c r="BM221" s="8" t="str">
        <f aca="false">IF(BL221="","",IFERROR(VLOOKUP(BL221,'ТН ВЭД'!$A$4:$C$40,3,0),""))</f>
        <v/>
      </c>
      <c r="BN221" s="7" t="str">
        <f aca="false">IF(COUNTIF(ЗАКАЗЫ!$F$3:$F$500,$A221)=0,"",SUMIF(ЗАКАЗЫ!$F$3:$F$500,$A221,ЗАКАЗЫ!$J$3:$J$500))</f>
        <v/>
      </c>
      <c r="BO221" s="7" t="str">
        <f aca="false">IF(BN221="","",SUMIF(ЗАКАЗЫ!$F$3:$F$500,$A221,ЗАКАЗЫ!$AL$3:$AL$500))</f>
        <v/>
      </c>
      <c r="BP221" s="7" t="str">
        <f aca="false">IF(BN221="","",BN221-BO221)</f>
        <v/>
      </c>
      <c r="BQ221" s="55" t="str">
        <f aca="false">IF(BN221="","",IF(BO221&gt;=BN221,"На складе",IF(BO221&gt;0,"Частично","Ждём")))</f>
        <v/>
      </c>
      <c r="BR221" s="43"/>
      <c r="BS221" s="47" t="str">
        <f aca="false">IF(BN221="","",IF(_xlfn.MAXIFS(ЗАКАЗЫ!$AK$3:$AK$500,ЗАКАЗЫ!$F$3:$F$500,$A221)=0,"",_xlfn.MAXIFS(ЗАКАЗЫ!$AK$3:$AK$500,ЗАКАЗЫ!$F$3:$F$500,$A221)))</f>
        <v/>
      </c>
    </row>
    <row r="222" customFormat="false" ht="15.75" hidden="false" customHeight="true" outlineLevel="0" collapsed="false">
      <c r="A222" s="80" t="s">
        <v>2762</v>
      </c>
      <c r="B222" s="81"/>
      <c r="C222" s="81"/>
      <c r="D222" s="81"/>
      <c r="E222" s="83"/>
      <c r="F222" s="81"/>
      <c r="G222" s="83"/>
      <c r="H222" s="83"/>
      <c r="I222" s="84" t="str">
        <f aca="false">IF(E222="","",A222&amp;"_1.jpg")</f>
        <v/>
      </c>
      <c r="J222" s="84" t="str">
        <f aca="false">IF(E222="","",A222&amp;"_2.jpg; "&amp;A222&amp;"_3.jpg")</f>
        <v/>
      </c>
      <c r="K222" s="84" t="str">
        <f aca="false">IF(E222="","",A222&amp;"_schema.jpg")</f>
        <v/>
      </c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 t="s">
        <v>96</v>
      </c>
      <c r="W222" s="81"/>
      <c r="X222" s="81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6" t="str">
        <f aca="false">IF(SUM(Y222:AJ222)=0,"",SUM(Y222:AJ222))</f>
        <v/>
      </c>
      <c r="AL222" s="84" t="str">
        <f aca="false">MID(IF(N(Y222)&gt;0,", "&amp;Y$2,"")&amp;IF(N(Z222)&gt;0,", "&amp;Z$2,"")&amp;IF(N(AA222)&gt;0,", "&amp;AA$2,"")&amp;IF(N(AB222)&gt;0,", "&amp;AB$2,"")&amp;IF(N(AC222)&gt;0,", "&amp;AC$2,"")&amp;IF(N(AD222)&gt;0,", "&amp;AD$2,"")&amp;IF(N(AE222)&gt;0,", "&amp;AE$2,"")&amp;IF(N(AF222)&gt;0,", "&amp;AF$2,"")&amp;IF(N(AG222)&gt;0,", "&amp;AG$2,"")&amp;IF(N(AH222)&gt;0,", "&amp;AH$2,"")&amp;IF(N(AI222)&gt;0,", "&amp;AI$2,"")&amp;IF(N(AJ222)&gt;0,", "&amp;AJ$2,""),3,999)</f>
        <v/>
      </c>
      <c r="AM222" s="87" t="str">
        <f aca="false">IF(E222="","",MID(IF(N(Y222)&gt;0,", "&amp;A222&amp;"-"&amp;Y$2,"")&amp;IF(N(Z222)&gt;0,", "&amp;A222&amp;"-"&amp;Z$2,"")&amp;IF(N(AA222)&gt;0,", "&amp;A222&amp;"-"&amp;AA$2,"")&amp;IF(N(AB222)&gt;0,", "&amp;A222&amp;"-"&amp;AB$2,"")&amp;IF(N(AC222)&gt;0,", "&amp;A222&amp;"-"&amp;AC$2,"")&amp;IF(N(AD222)&gt;0,", "&amp;A222&amp;"-"&amp;AD$2,"")&amp;IF(N(AE222)&gt;0,", "&amp;A222&amp;"-"&amp;AE$2,"")&amp;IF(N(AF222)&gt;0,", "&amp;A222&amp;"-"&amp;AF$2,"")&amp;IF(N(AG222)&gt;0,", "&amp;A222&amp;"-"&amp;AG$2,"")&amp;IF(N(AH222)&gt;0,", "&amp;A222&amp;"-"&amp;AH$2,"")&amp;IF(N(AI222)&gt;0,", "&amp;A222&amp;"-"&amp;AI$2,"")&amp;IF(N(AJ222)&gt;0,", "&amp;A222&amp;"-"&amp;AJ$2,""),3,999))</f>
        <v/>
      </c>
      <c r="AN222" s="81"/>
      <c r="AO222" s="88"/>
      <c r="AP222" s="89" t="str">
        <f aca="false">IF(AO222="","",ROUND(AO222/(1+Справочники!$B$13),2))</f>
        <v/>
      </c>
      <c r="AQ222" s="90" t="str">
        <f aca="false" t="array" ref="AQ222:AQ222">IF(AP222="","",AP222*INDEX(Справочники!$B$4:$B$7,MATCH("RUB",Справочники!$A$4:$A$7,0)))</f>
        <v/>
      </c>
      <c r="AR222" s="90" t="str">
        <f aca="false">IF(AQ222="","",ROUND(AQ222*(1+Справочники!$B$12),0))</f>
        <v/>
      </c>
      <c r="AS222" s="90" t="str">
        <f aca="false">IF(AR222="","",ROUND(AR222*(1-Справочники!$B$11),0))</f>
        <v/>
      </c>
      <c r="AT222" s="88"/>
      <c r="AU222" s="90" t="str">
        <f aca="false">IF(AT222="","",ROUND(AT222/(1+Справочники!$B$12),0))</f>
        <v/>
      </c>
      <c r="AV222" s="90" t="str">
        <f aca="false">IF(AT222="","",ROUND(AT222*(1-Справочники!$B$15),0))</f>
        <v/>
      </c>
      <c r="AW222" s="90" t="str">
        <f aca="false">IF(AT222="","",ROUND(AT222*(1-Справочники!$B$16),0))</f>
        <v/>
      </c>
      <c r="AX222" s="90" t="str">
        <f aca="false">IF(AT222="","",ROUND(AT222*(1-Справочники!$B$17),0))</f>
        <v/>
      </c>
      <c r="AY222" s="90" t="str">
        <f aca="false">IF(AT222="","",ROUND(AT222*(1-Справочники!$B$18),0))</f>
        <v/>
      </c>
      <c r="AZ222" s="90" t="str">
        <f aca="false">IF(AT222="","",ROUND(AT222*(1-Справочники!$B$19),0))</f>
        <v/>
      </c>
      <c r="BA222" s="81"/>
      <c r="BB222" s="81"/>
      <c r="BC222" s="81"/>
      <c r="BD222" s="81"/>
      <c r="BE222" s="91"/>
      <c r="BF222" s="81" t="s">
        <v>103</v>
      </c>
      <c r="BG222" s="89" t="n">
        <f aca="false" t="array" ref="BG222:BG222">IF(BF222="","",IFERROR(INDEX(Справочники!$B$4:$B$7,MATCH(BF222,Справочники!$A$4:$A$7,0)),""))</f>
        <v>68.5</v>
      </c>
      <c r="BH222" s="90" t="str">
        <f aca="false">IF(N(BN222)&gt;0,ROUND(SUMIF(ЗАКАЗЫ!$F$3:$F$500,$A222,ЗАКАЗЫ!$Y$3:$Y$500)/BN222,0),IF(OR(BE222="",BG222=""),"",ROUND(BE222*BG222*(1+Справочники!$B$10),0)))</f>
        <v/>
      </c>
      <c r="BI222" s="92" t="str">
        <f aca="false">IF(OR(AU222="",BH222="",AU222=0),"",(AU222-BH222)/AU222)</f>
        <v/>
      </c>
      <c r="BJ222" s="81"/>
      <c r="BK222" s="83"/>
      <c r="BL222" s="43" t="str">
        <f aca="false">IFERROR(INDEX(ЗАКАЗЫ!$N$3:$N$500,MATCH($A222,ЗАКАЗЫ!$F$3:$F$500,0)),"")</f>
        <v/>
      </c>
      <c r="BM222" s="8" t="str">
        <f aca="false">IF(BL222="","",IFERROR(VLOOKUP(BL222,'ТН ВЭД'!$A$4:$C$40,3,0),""))</f>
        <v/>
      </c>
      <c r="BN222" s="7" t="str">
        <f aca="false">IF(COUNTIF(ЗАКАЗЫ!$F$3:$F$500,$A222)=0,"",SUMIF(ЗАКАЗЫ!$F$3:$F$500,$A222,ЗАКАЗЫ!$J$3:$J$500))</f>
        <v/>
      </c>
      <c r="BO222" s="7" t="str">
        <f aca="false">IF(BN222="","",SUMIF(ЗАКАЗЫ!$F$3:$F$500,$A222,ЗАКАЗЫ!$AL$3:$AL$500))</f>
        <v/>
      </c>
      <c r="BP222" s="7" t="str">
        <f aca="false">IF(BN222="","",BN222-BO222)</f>
        <v/>
      </c>
      <c r="BQ222" s="55" t="str">
        <f aca="false">IF(BN222="","",IF(BO222&gt;=BN222,"На складе",IF(BO222&gt;0,"Частично","Ждём")))</f>
        <v/>
      </c>
      <c r="BR222" s="43"/>
      <c r="BS222" s="47" t="str">
        <f aca="false">IF(BN222="","",IF(_xlfn.MAXIFS(ЗАКАЗЫ!$AK$3:$AK$500,ЗАКАЗЫ!$F$3:$F$500,$A222)=0,"",_xlfn.MAXIFS(ЗАКАЗЫ!$AK$3:$AK$500,ЗАКАЗЫ!$F$3:$F$500,$A222)))</f>
        <v/>
      </c>
    </row>
    <row r="223" customFormat="false" ht="15.75" hidden="false" customHeight="true" outlineLevel="0" collapsed="false">
      <c r="A223" s="80" t="s">
        <v>2763</v>
      </c>
      <c r="B223" s="81"/>
      <c r="C223" s="81"/>
      <c r="D223" s="81"/>
      <c r="E223" s="83"/>
      <c r="F223" s="81"/>
      <c r="G223" s="83"/>
      <c r="H223" s="83"/>
      <c r="I223" s="84" t="str">
        <f aca="false">IF(E223="","",A223&amp;"_1.jpg")</f>
        <v/>
      </c>
      <c r="J223" s="84" t="str">
        <f aca="false">IF(E223="","",A223&amp;"_2.jpg; "&amp;A223&amp;"_3.jpg")</f>
        <v/>
      </c>
      <c r="K223" s="84" t="str">
        <f aca="false">IF(E223="","",A223&amp;"_schema.jpg")</f>
        <v/>
      </c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 t="s">
        <v>96</v>
      </c>
      <c r="W223" s="81"/>
      <c r="X223" s="81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6" t="str">
        <f aca="false">IF(SUM(Y223:AJ223)=0,"",SUM(Y223:AJ223))</f>
        <v/>
      </c>
      <c r="AL223" s="84" t="str">
        <f aca="false">MID(IF(N(Y223)&gt;0,", "&amp;Y$2,"")&amp;IF(N(Z223)&gt;0,", "&amp;Z$2,"")&amp;IF(N(AA223)&gt;0,", "&amp;AA$2,"")&amp;IF(N(AB223)&gt;0,", "&amp;AB$2,"")&amp;IF(N(AC223)&gt;0,", "&amp;AC$2,"")&amp;IF(N(AD223)&gt;0,", "&amp;AD$2,"")&amp;IF(N(AE223)&gt;0,", "&amp;AE$2,"")&amp;IF(N(AF223)&gt;0,", "&amp;AF$2,"")&amp;IF(N(AG223)&gt;0,", "&amp;AG$2,"")&amp;IF(N(AH223)&gt;0,", "&amp;AH$2,"")&amp;IF(N(AI223)&gt;0,", "&amp;AI$2,"")&amp;IF(N(AJ223)&gt;0,", "&amp;AJ$2,""),3,999)</f>
        <v/>
      </c>
      <c r="AM223" s="87" t="str">
        <f aca="false">IF(E223="","",MID(IF(N(Y223)&gt;0,", "&amp;A223&amp;"-"&amp;Y$2,"")&amp;IF(N(Z223)&gt;0,", "&amp;A223&amp;"-"&amp;Z$2,"")&amp;IF(N(AA223)&gt;0,", "&amp;A223&amp;"-"&amp;AA$2,"")&amp;IF(N(AB223)&gt;0,", "&amp;A223&amp;"-"&amp;AB$2,"")&amp;IF(N(AC223)&gt;0,", "&amp;A223&amp;"-"&amp;AC$2,"")&amp;IF(N(AD223)&gt;0,", "&amp;A223&amp;"-"&amp;AD$2,"")&amp;IF(N(AE223)&gt;0,", "&amp;A223&amp;"-"&amp;AE$2,"")&amp;IF(N(AF223)&gt;0,", "&amp;A223&amp;"-"&amp;AF$2,"")&amp;IF(N(AG223)&gt;0,", "&amp;A223&amp;"-"&amp;AG$2,"")&amp;IF(N(AH223)&gt;0,", "&amp;A223&amp;"-"&amp;AH$2,"")&amp;IF(N(AI223)&gt;0,", "&amp;A223&amp;"-"&amp;AI$2,"")&amp;IF(N(AJ223)&gt;0,", "&amp;A223&amp;"-"&amp;AJ$2,""),3,999))</f>
        <v/>
      </c>
      <c r="AN223" s="81"/>
      <c r="AO223" s="88"/>
      <c r="AP223" s="89" t="str">
        <f aca="false">IF(AO223="","",ROUND(AO223/(1+Справочники!$B$13),2))</f>
        <v/>
      </c>
      <c r="AQ223" s="90" t="str">
        <f aca="false" t="array" ref="AQ223:AQ223">IF(AP223="","",AP223*INDEX(Справочники!$B$4:$B$7,MATCH("RUB",Справочники!$A$4:$A$7,0)))</f>
        <v/>
      </c>
      <c r="AR223" s="90" t="str">
        <f aca="false">IF(AQ223="","",ROUND(AQ223*(1+Справочники!$B$12),0))</f>
        <v/>
      </c>
      <c r="AS223" s="90" t="str">
        <f aca="false">IF(AR223="","",ROUND(AR223*(1-Справочники!$B$11),0))</f>
        <v/>
      </c>
      <c r="AT223" s="88"/>
      <c r="AU223" s="90" t="str">
        <f aca="false">IF(AT223="","",ROUND(AT223/(1+Справочники!$B$12),0))</f>
        <v/>
      </c>
      <c r="AV223" s="90" t="str">
        <f aca="false">IF(AT223="","",ROUND(AT223*(1-Справочники!$B$15),0))</f>
        <v/>
      </c>
      <c r="AW223" s="90" t="str">
        <f aca="false">IF(AT223="","",ROUND(AT223*(1-Справочники!$B$16),0))</f>
        <v/>
      </c>
      <c r="AX223" s="90" t="str">
        <f aca="false">IF(AT223="","",ROUND(AT223*(1-Справочники!$B$17),0))</f>
        <v/>
      </c>
      <c r="AY223" s="90" t="str">
        <f aca="false">IF(AT223="","",ROUND(AT223*(1-Справочники!$B$18),0))</f>
        <v/>
      </c>
      <c r="AZ223" s="90" t="str">
        <f aca="false">IF(AT223="","",ROUND(AT223*(1-Справочники!$B$19),0))</f>
        <v/>
      </c>
      <c r="BA223" s="81"/>
      <c r="BB223" s="81"/>
      <c r="BC223" s="81"/>
      <c r="BD223" s="81"/>
      <c r="BE223" s="91"/>
      <c r="BF223" s="81" t="s">
        <v>103</v>
      </c>
      <c r="BG223" s="89" t="n">
        <f aca="false" t="array" ref="BG223:BG223">IF(BF223="","",IFERROR(INDEX(Справочники!$B$4:$B$7,MATCH(BF223,Справочники!$A$4:$A$7,0)),""))</f>
        <v>68.5</v>
      </c>
      <c r="BH223" s="90" t="str">
        <f aca="false">IF(N(BN223)&gt;0,ROUND(SUMIF(ЗАКАЗЫ!$F$3:$F$500,$A223,ЗАКАЗЫ!$Y$3:$Y$500)/BN223,0),IF(OR(BE223="",BG223=""),"",ROUND(BE223*BG223*(1+Справочники!$B$10),0)))</f>
        <v/>
      </c>
      <c r="BI223" s="92" t="str">
        <f aca="false">IF(OR(AU223="",BH223="",AU223=0),"",(AU223-BH223)/AU223)</f>
        <v/>
      </c>
      <c r="BJ223" s="81"/>
      <c r="BK223" s="83"/>
      <c r="BL223" s="43" t="str">
        <f aca="false">IFERROR(INDEX(ЗАКАЗЫ!$N$3:$N$500,MATCH($A223,ЗАКАЗЫ!$F$3:$F$500,0)),"")</f>
        <v/>
      </c>
      <c r="BM223" s="8" t="str">
        <f aca="false">IF(BL223="","",IFERROR(VLOOKUP(BL223,'ТН ВЭД'!$A$4:$C$40,3,0),""))</f>
        <v/>
      </c>
      <c r="BN223" s="7" t="str">
        <f aca="false">IF(COUNTIF(ЗАКАЗЫ!$F$3:$F$500,$A223)=0,"",SUMIF(ЗАКАЗЫ!$F$3:$F$500,$A223,ЗАКАЗЫ!$J$3:$J$500))</f>
        <v/>
      </c>
      <c r="BO223" s="7" t="str">
        <f aca="false">IF(BN223="","",SUMIF(ЗАКАЗЫ!$F$3:$F$500,$A223,ЗАКАЗЫ!$AL$3:$AL$500))</f>
        <v/>
      </c>
      <c r="BP223" s="7" t="str">
        <f aca="false">IF(BN223="","",BN223-BO223)</f>
        <v/>
      </c>
      <c r="BQ223" s="55" t="str">
        <f aca="false">IF(BN223="","",IF(BO223&gt;=BN223,"На складе",IF(BO223&gt;0,"Частично","Ждём")))</f>
        <v/>
      </c>
      <c r="BR223" s="43"/>
      <c r="BS223" s="47" t="str">
        <f aca="false">IF(BN223="","",IF(_xlfn.MAXIFS(ЗАКАЗЫ!$AK$3:$AK$500,ЗАКАЗЫ!$F$3:$F$500,$A223)=0,"",_xlfn.MAXIFS(ЗАКАЗЫ!$AK$3:$AK$500,ЗАКАЗЫ!$F$3:$F$500,$A223)))</f>
        <v/>
      </c>
    </row>
    <row r="224" customFormat="false" ht="15.75" hidden="false" customHeight="true" outlineLevel="0" collapsed="false">
      <c r="A224" s="80" t="s">
        <v>2764</v>
      </c>
      <c r="B224" s="81"/>
      <c r="C224" s="81"/>
      <c r="D224" s="81"/>
      <c r="E224" s="83"/>
      <c r="F224" s="81"/>
      <c r="G224" s="83"/>
      <c r="H224" s="83"/>
      <c r="I224" s="84" t="str">
        <f aca="false">IF(E224="","",A224&amp;"_1.jpg")</f>
        <v/>
      </c>
      <c r="J224" s="84" t="str">
        <f aca="false">IF(E224="","",A224&amp;"_2.jpg; "&amp;A224&amp;"_3.jpg")</f>
        <v/>
      </c>
      <c r="K224" s="84" t="str">
        <f aca="false">IF(E224="","",A224&amp;"_schema.jpg")</f>
        <v/>
      </c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 t="s">
        <v>96</v>
      </c>
      <c r="W224" s="81"/>
      <c r="X224" s="81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6" t="str">
        <f aca="false">IF(SUM(Y224:AJ224)=0,"",SUM(Y224:AJ224))</f>
        <v/>
      </c>
      <c r="AL224" s="84" t="str">
        <f aca="false">MID(IF(N(Y224)&gt;0,", "&amp;Y$2,"")&amp;IF(N(Z224)&gt;0,", "&amp;Z$2,"")&amp;IF(N(AA224)&gt;0,", "&amp;AA$2,"")&amp;IF(N(AB224)&gt;0,", "&amp;AB$2,"")&amp;IF(N(AC224)&gt;0,", "&amp;AC$2,"")&amp;IF(N(AD224)&gt;0,", "&amp;AD$2,"")&amp;IF(N(AE224)&gt;0,", "&amp;AE$2,"")&amp;IF(N(AF224)&gt;0,", "&amp;AF$2,"")&amp;IF(N(AG224)&gt;0,", "&amp;AG$2,"")&amp;IF(N(AH224)&gt;0,", "&amp;AH$2,"")&amp;IF(N(AI224)&gt;0,", "&amp;AI$2,"")&amp;IF(N(AJ224)&gt;0,", "&amp;AJ$2,""),3,999)</f>
        <v/>
      </c>
      <c r="AM224" s="87" t="str">
        <f aca="false">IF(E224="","",MID(IF(N(Y224)&gt;0,", "&amp;A224&amp;"-"&amp;Y$2,"")&amp;IF(N(Z224)&gt;0,", "&amp;A224&amp;"-"&amp;Z$2,"")&amp;IF(N(AA224)&gt;0,", "&amp;A224&amp;"-"&amp;AA$2,"")&amp;IF(N(AB224)&gt;0,", "&amp;A224&amp;"-"&amp;AB$2,"")&amp;IF(N(AC224)&gt;0,", "&amp;A224&amp;"-"&amp;AC$2,"")&amp;IF(N(AD224)&gt;0,", "&amp;A224&amp;"-"&amp;AD$2,"")&amp;IF(N(AE224)&gt;0,", "&amp;A224&amp;"-"&amp;AE$2,"")&amp;IF(N(AF224)&gt;0,", "&amp;A224&amp;"-"&amp;AF$2,"")&amp;IF(N(AG224)&gt;0,", "&amp;A224&amp;"-"&amp;AG$2,"")&amp;IF(N(AH224)&gt;0,", "&amp;A224&amp;"-"&amp;AH$2,"")&amp;IF(N(AI224)&gt;0,", "&amp;A224&amp;"-"&amp;AI$2,"")&amp;IF(N(AJ224)&gt;0,", "&amp;A224&amp;"-"&amp;AJ$2,""),3,999))</f>
        <v/>
      </c>
      <c r="AN224" s="81"/>
      <c r="AO224" s="88"/>
      <c r="AP224" s="89" t="str">
        <f aca="false">IF(AO224="","",ROUND(AO224/(1+Справочники!$B$13),2))</f>
        <v/>
      </c>
      <c r="AQ224" s="90" t="str">
        <f aca="false" t="array" ref="AQ224:AQ224">IF(AP224="","",AP224*INDEX(Справочники!$B$4:$B$7,MATCH("RUB",Справочники!$A$4:$A$7,0)))</f>
        <v/>
      </c>
      <c r="AR224" s="90" t="str">
        <f aca="false">IF(AQ224="","",ROUND(AQ224*(1+Справочники!$B$12),0))</f>
        <v/>
      </c>
      <c r="AS224" s="90" t="str">
        <f aca="false">IF(AR224="","",ROUND(AR224*(1-Справочники!$B$11),0))</f>
        <v/>
      </c>
      <c r="AT224" s="88"/>
      <c r="AU224" s="90" t="str">
        <f aca="false">IF(AT224="","",ROUND(AT224/(1+Справочники!$B$12),0))</f>
        <v/>
      </c>
      <c r="AV224" s="90" t="str">
        <f aca="false">IF(AT224="","",ROUND(AT224*(1-Справочники!$B$15),0))</f>
        <v/>
      </c>
      <c r="AW224" s="90" t="str">
        <f aca="false">IF(AT224="","",ROUND(AT224*(1-Справочники!$B$16),0))</f>
        <v/>
      </c>
      <c r="AX224" s="90" t="str">
        <f aca="false">IF(AT224="","",ROUND(AT224*(1-Справочники!$B$17),0))</f>
        <v/>
      </c>
      <c r="AY224" s="90" t="str">
        <f aca="false">IF(AT224="","",ROUND(AT224*(1-Справочники!$B$18),0))</f>
        <v/>
      </c>
      <c r="AZ224" s="90" t="str">
        <f aca="false">IF(AT224="","",ROUND(AT224*(1-Справочники!$B$19),0))</f>
        <v/>
      </c>
      <c r="BA224" s="81"/>
      <c r="BB224" s="81"/>
      <c r="BC224" s="81"/>
      <c r="BD224" s="81"/>
      <c r="BE224" s="91"/>
      <c r="BF224" s="81" t="s">
        <v>103</v>
      </c>
      <c r="BG224" s="89" t="n">
        <f aca="false" t="array" ref="BG224:BG224">IF(BF224="","",IFERROR(INDEX(Справочники!$B$4:$B$7,MATCH(BF224,Справочники!$A$4:$A$7,0)),""))</f>
        <v>68.5</v>
      </c>
      <c r="BH224" s="90" t="str">
        <f aca="false">IF(N(BN224)&gt;0,ROUND(SUMIF(ЗАКАЗЫ!$F$3:$F$500,$A224,ЗАКАЗЫ!$Y$3:$Y$500)/BN224,0),IF(OR(BE224="",BG224=""),"",ROUND(BE224*BG224*(1+Справочники!$B$10),0)))</f>
        <v/>
      </c>
      <c r="BI224" s="92" t="str">
        <f aca="false">IF(OR(AU224="",BH224="",AU224=0),"",(AU224-BH224)/AU224)</f>
        <v/>
      </c>
      <c r="BJ224" s="81"/>
      <c r="BK224" s="83"/>
      <c r="BL224" s="43" t="str">
        <f aca="false">IFERROR(INDEX(ЗАКАЗЫ!$N$3:$N$500,MATCH($A224,ЗАКАЗЫ!$F$3:$F$500,0)),"")</f>
        <v/>
      </c>
      <c r="BM224" s="8" t="str">
        <f aca="false">IF(BL224="","",IFERROR(VLOOKUP(BL224,'ТН ВЭД'!$A$4:$C$40,3,0),""))</f>
        <v/>
      </c>
      <c r="BN224" s="7" t="str">
        <f aca="false">IF(COUNTIF(ЗАКАЗЫ!$F$3:$F$500,$A224)=0,"",SUMIF(ЗАКАЗЫ!$F$3:$F$500,$A224,ЗАКАЗЫ!$J$3:$J$500))</f>
        <v/>
      </c>
      <c r="BO224" s="7" t="str">
        <f aca="false">IF(BN224="","",SUMIF(ЗАКАЗЫ!$F$3:$F$500,$A224,ЗАКАЗЫ!$AL$3:$AL$500))</f>
        <v/>
      </c>
      <c r="BP224" s="7" t="str">
        <f aca="false">IF(BN224="","",BN224-BO224)</f>
        <v/>
      </c>
      <c r="BQ224" s="55" t="str">
        <f aca="false">IF(BN224="","",IF(BO224&gt;=BN224,"На складе",IF(BO224&gt;0,"Частично","Ждём")))</f>
        <v/>
      </c>
      <c r="BR224" s="43"/>
      <c r="BS224" s="47" t="str">
        <f aca="false">IF(BN224="","",IF(_xlfn.MAXIFS(ЗАКАЗЫ!$AK$3:$AK$500,ЗАКАЗЫ!$F$3:$F$500,$A224)=0,"",_xlfn.MAXIFS(ЗАКАЗЫ!$AK$3:$AK$500,ЗАКАЗЫ!$F$3:$F$500,$A224)))</f>
        <v/>
      </c>
    </row>
    <row r="225" customFormat="false" ht="15.75" hidden="false" customHeight="true" outlineLevel="0" collapsed="false">
      <c r="A225" s="80" t="s">
        <v>2765</v>
      </c>
      <c r="B225" s="81"/>
      <c r="C225" s="81"/>
      <c r="D225" s="81"/>
      <c r="E225" s="83"/>
      <c r="F225" s="81"/>
      <c r="G225" s="83"/>
      <c r="H225" s="83"/>
      <c r="I225" s="84" t="str">
        <f aca="false">IF(E225="","",A225&amp;"_1.jpg")</f>
        <v/>
      </c>
      <c r="J225" s="84" t="str">
        <f aca="false">IF(E225="","",A225&amp;"_2.jpg; "&amp;A225&amp;"_3.jpg")</f>
        <v/>
      </c>
      <c r="K225" s="84" t="str">
        <f aca="false">IF(E225="","",A225&amp;"_schema.jpg")</f>
        <v/>
      </c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 t="s">
        <v>96</v>
      </c>
      <c r="W225" s="81"/>
      <c r="X225" s="81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6" t="str">
        <f aca="false">IF(SUM(Y225:AJ225)=0,"",SUM(Y225:AJ225))</f>
        <v/>
      </c>
      <c r="AL225" s="84" t="str">
        <f aca="false">MID(IF(N(Y225)&gt;0,", "&amp;Y$2,"")&amp;IF(N(Z225)&gt;0,", "&amp;Z$2,"")&amp;IF(N(AA225)&gt;0,", "&amp;AA$2,"")&amp;IF(N(AB225)&gt;0,", "&amp;AB$2,"")&amp;IF(N(AC225)&gt;0,", "&amp;AC$2,"")&amp;IF(N(AD225)&gt;0,", "&amp;AD$2,"")&amp;IF(N(AE225)&gt;0,", "&amp;AE$2,"")&amp;IF(N(AF225)&gt;0,", "&amp;AF$2,"")&amp;IF(N(AG225)&gt;0,", "&amp;AG$2,"")&amp;IF(N(AH225)&gt;0,", "&amp;AH$2,"")&amp;IF(N(AI225)&gt;0,", "&amp;AI$2,"")&amp;IF(N(AJ225)&gt;0,", "&amp;AJ$2,""),3,999)</f>
        <v/>
      </c>
      <c r="AM225" s="87" t="str">
        <f aca="false">IF(E225="","",MID(IF(N(Y225)&gt;0,", "&amp;A225&amp;"-"&amp;Y$2,"")&amp;IF(N(Z225)&gt;0,", "&amp;A225&amp;"-"&amp;Z$2,"")&amp;IF(N(AA225)&gt;0,", "&amp;A225&amp;"-"&amp;AA$2,"")&amp;IF(N(AB225)&gt;0,", "&amp;A225&amp;"-"&amp;AB$2,"")&amp;IF(N(AC225)&gt;0,", "&amp;A225&amp;"-"&amp;AC$2,"")&amp;IF(N(AD225)&gt;0,", "&amp;A225&amp;"-"&amp;AD$2,"")&amp;IF(N(AE225)&gt;0,", "&amp;A225&amp;"-"&amp;AE$2,"")&amp;IF(N(AF225)&gt;0,", "&amp;A225&amp;"-"&amp;AF$2,"")&amp;IF(N(AG225)&gt;0,", "&amp;A225&amp;"-"&amp;AG$2,"")&amp;IF(N(AH225)&gt;0,", "&amp;A225&amp;"-"&amp;AH$2,"")&amp;IF(N(AI225)&gt;0,", "&amp;A225&amp;"-"&amp;AI$2,"")&amp;IF(N(AJ225)&gt;0,", "&amp;A225&amp;"-"&amp;AJ$2,""),3,999))</f>
        <v/>
      </c>
      <c r="AN225" s="81"/>
      <c r="AO225" s="88"/>
      <c r="AP225" s="89" t="str">
        <f aca="false">IF(AO225="","",ROUND(AO225/(1+Справочники!$B$13),2))</f>
        <v/>
      </c>
      <c r="AQ225" s="90" t="str">
        <f aca="false" t="array" ref="AQ225:AQ225">IF(AP225="","",AP225*INDEX(Справочники!$B$4:$B$7,MATCH("RUB",Справочники!$A$4:$A$7,0)))</f>
        <v/>
      </c>
      <c r="AR225" s="90" t="str">
        <f aca="false">IF(AQ225="","",ROUND(AQ225*(1+Справочники!$B$12),0))</f>
        <v/>
      </c>
      <c r="AS225" s="90" t="str">
        <f aca="false">IF(AR225="","",ROUND(AR225*(1-Справочники!$B$11),0))</f>
        <v/>
      </c>
      <c r="AT225" s="88"/>
      <c r="AU225" s="90" t="str">
        <f aca="false">IF(AT225="","",ROUND(AT225/(1+Справочники!$B$12),0))</f>
        <v/>
      </c>
      <c r="AV225" s="90" t="str">
        <f aca="false">IF(AT225="","",ROUND(AT225*(1-Справочники!$B$15),0))</f>
        <v/>
      </c>
      <c r="AW225" s="90" t="str">
        <f aca="false">IF(AT225="","",ROUND(AT225*(1-Справочники!$B$16),0))</f>
        <v/>
      </c>
      <c r="AX225" s="90" t="str">
        <f aca="false">IF(AT225="","",ROUND(AT225*(1-Справочники!$B$17),0))</f>
        <v/>
      </c>
      <c r="AY225" s="90" t="str">
        <f aca="false">IF(AT225="","",ROUND(AT225*(1-Справочники!$B$18),0))</f>
        <v/>
      </c>
      <c r="AZ225" s="90" t="str">
        <f aca="false">IF(AT225="","",ROUND(AT225*(1-Справочники!$B$19),0))</f>
        <v/>
      </c>
      <c r="BA225" s="81"/>
      <c r="BB225" s="81"/>
      <c r="BC225" s="81"/>
      <c r="BD225" s="81"/>
      <c r="BE225" s="91"/>
      <c r="BF225" s="81" t="s">
        <v>103</v>
      </c>
      <c r="BG225" s="89" t="n">
        <f aca="false" t="array" ref="BG225:BG225">IF(BF225="","",IFERROR(INDEX(Справочники!$B$4:$B$7,MATCH(BF225,Справочники!$A$4:$A$7,0)),""))</f>
        <v>68.5</v>
      </c>
      <c r="BH225" s="90" t="str">
        <f aca="false">IF(N(BN225)&gt;0,ROUND(SUMIF(ЗАКАЗЫ!$F$3:$F$500,$A225,ЗАКАЗЫ!$Y$3:$Y$500)/BN225,0),IF(OR(BE225="",BG225=""),"",ROUND(BE225*BG225*(1+Справочники!$B$10),0)))</f>
        <v/>
      </c>
      <c r="BI225" s="92" t="str">
        <f aca="false">IF(OR(AU225="",BH225="",AU225=0),"",(AU225-BH225)/AU225)</f>
        <v/>
      </c>
      <c r="BJ225" s="81"/>
      <c r="BK225" s="83"/>
      <c r="BL225" s="43" t="str">
        <f aca="false">IFERROR(INDEX(ЗАКАЗЫ!$N$3:$N$500,MATCH($A225,ЗАКАЗЫ!$F$3:$F$500,0)),"")</f>
        <v/>
      </c>
      <c r="BM225" s="8" t="str">
        <f aca="false">IF(BL225="","",IFERROR(VLOOKUP(BL225,'ТН ВЭД'!$A$4:$C$40,3,0),""))</f>
        <v/>
      </c>
      <c r="BN225" s="7" t="str">
        <f aca="false">IF(COUNTIF(ЗАКАЗЫ!$F$3:$F$500,$A225)=0,"",SUMIF(ЗАКАЗЫ!$F$3:$F$500,$A225,ЗАКАЗЫ!$J$3:$J$500))</f>
        <v/>
      </c>
      <c r="BO225" s="7" t="str">
        <f aca="false">IF(BN225="","",SUMIF(ЗАКАЗЫ!$F$3:$F$500,$A225,ЗАКАЗЫ!$AL$3:$AL$500))</f>
        <v/>
      </c>
      <c r="BP225" s="7" t="str">
        <f aca="false">IF(BN225="","",BN225-BO225)</f>
        <v/>
      </c>
      <c r="BQ225" s="55" t="str">
        <f aca="false">IF(BN225="","",IF(BO225&gt;=BN225,"На складе",IF(BO225&gt;0,"Частично","Ждём")))</f>
        <v/>
      </c>
      <c r="BR225" s="43"/>
      <c r="BS225" s="47" t="str">
        <f aca="false">IF(BN225="","",IF(_xlfn.MAXIFS(ЗАКАЗЫ!$AK$3:$AK$500,ЗАКАЗЫ!$F$3:$F$500,$A225)=0,"",_xlfn.MAXIFS(ЗАКАЗЫ!$AK$3:$AK$500,ЗАКАЗЫ!$F$3:$F$500,$A225)))</f>
        <v/>
      </c>
    </row>
    <row r="226" customFormat="false" ht="15.75" hidden="false" customHeight="true" outlineLevel="0" collapsed="false">
      <c r="A226" s="80" t="s">
        <v>2766</v>
      </c>
      <c r="B226" s="81"/>
      <c r="C226" s="81"/>
      <c r="D226" s="81"/>
      <c r="E226" s="83"/>
      <c r="F226" s="81"/>
      <c r="G226" s="83"/>
      <c r="H226" s="83"/>
      <c r="I226" s="84" t="str">
        <f aca="false">IF(E226="","",A226&amp;"_1.jpg")</f>
        <v/>
      </c>
      <c r="J226" s="84" t="str">
        <f aca="false">IF(E226="","",A226&amp;"_2.jpg; "&amp;A226&amp;"_3.jpg")</f>
        <v/>
      </c>
      <c r="K226" s="84" t="str">
        <f aca="false">IF(E226="","",A226&amp;"_schema.jpg")</f>
        <v/>
      </c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 t="s">
        <v>96</v>
      </c>
      <c r="W226" s="81"/>
      <c r="X226" s="81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6" t="str">
        <f aca="false">IF(SUM(Y226:AJ226)=0,"",SUM(Y226:AJ226))</f>
        <v/>
      </c>
      <c r="AL226" s="84" t="str">
        <f aca="false">MID(IF(N(Y226)&gt;0,", "&amp;Y$2,"")&amp;IF(N(Z226)&gt;0,", "&amp;Z$2,"")&amp;IF(N(AA226)&gt;0,", "&amp;AA$2,"")&amp;IF(N(AB226)&gt;0,", "&amp;AB$2,"")&amp;IF(N(AC226)&gt;0,", "&amp;AC$2,"")&amp;IF(N(AD226)&gt;0,", "&amp;AD$2,"")&amp;IF(N(AE226)&gt;0,", "&amp;AE$2,"")&amp;IF(N(AF226)&gt;0,", "&amp;AF$2,"")&amp;IF(N(AG226)&gt;0,", "&amp;AG$2,"")&amp;IF(N(AH226)&gt;0,", "&amp;AH$2,"")&amp;IF(N(AI226)&gt;0,", "&amp;AI$2,"")&amp;IF(N(AJ226)&gt;0,", "&amp;AJ$2,""),3,999)</f>
        <v/>
      </c>
      <c r="AM226" s="87" t="str">
        <f aca="false">IF(E226="","",MID(IF(N(Y226)&gt;0,", "&amp;A226&amp;"-"&amp;Y$2,"")&amp;IF(N(Z226)&gt;0,", "&amp;A226&amp;"-"&amp;Z$2,"")&amp;IF(N(AA226)&gt;0,", "&amp;A226&amp;"-"&amp;AA$2,"")&amp;IF(N(AB226)&gt;0,", "&amp;A226&amp;"-"&amp;AB$2,"")&amp;IF(N(AC226)&gt;0,", "&amp;A226&amp;"-"&amp;AC$2,"")&amp;IF(N(AD226)&gt;0,", "&amp;A226&amp;"-"&amp;AD$2,"")&amp;IF(N(AE226)&gt;0,", "&amp;A226&amp;"-"&amp;AE$2,"")&amp;IF(N(AF226)&gt;0,", "&amp;A226&amp;"-"&amp;AF$2,"")&amp;IF(N(AG226)&gt;0,", "&amp;A226&amp;"-"&amp;AG$2,"")&amp;IF(N(AH226)&gt;0,", "&amp;A226&amp;"-"&amp;AH$2,"")&amp;IF(N(AI226)&gt;0,", "&amp;A226&amp;"-"&amp;AI$2,"")&amp;IF(N(AJ226)&gt;0,", "&amp;A226&amp;"-"&amp;AJ$2,""),3,999))</f>
        <v/>
      </c>
      <c r="AN226" s="81"/>
      <c r="AO226" s="88"/>
      <c r="AP226" s="89" t="str">
        <f aca="false">IF(AO226="","",ROUND(AO226/(1+Справочники!$B$13),2))</f>
        <v/>
      </c>
      <c r="AQ226" s="90" t="str">
        <f aca="false" t="array" ref="AQ226:AQ226">IF(AP226="","",AP226*INDEX(Справочники!$B$4:$B$7,MATCH("RUB",Справочники!$A$4:$A$7,0)))</f>
        <v/>
      </c>
      <c r="AR226" s="90" t="str">
        <f aca="false">IF(AQ226="","",ROUND(AQ226*(1+Справочники!$B$12),0))</f>
        <v/>
      </c>
      <c r="AS226" s="90" t="str">
        <f aca="false">IF(AR226="","",ROUND(AR226*(1-Справочники!$B$11),0))</f>
        <v/>
      </c>
      <c r="AT226" s="88"/>
      <c r="AU226" s="90" t="str">
        <f aca="false">IF(AT226="","",ROUND(AT226/(1+Справочники!$B$12),0))</f>
        <v/>
      </c>
      <c r="AV226" s="90" t="str">
        <f aca="false">IF(AT226="","",ROUND(AT226*(1-Справочники!$B$15),0))</f>
        <v/>
      </c>
      <c r="AW226" s="90" t="str">
        <f aca="false">IF(AT226="","",ROUND(AT226*(1-Справочники!$B$16),0))</f>
        <v/>
      </c>
      <c r="AX226" s="90" t="str">
        <f aca="false">IF(AT226="","",ROUND(AT226*(1-Справочники!$B$17),0))</f>
        <v/>
      </c>
      <c r="AY226" s="90" t="str">
        <f aca="false">IF(AT226="","",ROUND(AT226*(1-Справочники!$B$18),0))</f>
        <v/>
      </c>
      <c r="AZ226" s="90" t="str">
        <f aca="false">IF(AT226="","",ROUND(AT226*(1-Справочники!$B$19),0))</f>
        <v/>
      </c>
      <c r="BA226" s="81"/>
      <c r="BB226" s="81"/>
      <c r="BC226" s="81"/>
      <c r="BD226" s="81"/>
      <c r="BE226" s="91"/>
      <c r="BF226" s="81" t="s">
        <v>103</v>
      </c>
      <c r="BG226" s="89" t="n">
        <f aca="false" t="array" ref="BG226:BG226">IF(BF226="","",IFERROR(INDEX(Справочники!$B$4:$B$7,MATCH(BF226,Справочники!$A$4:$A$7,0)),""))</f>
        <v>68.5</v>
      </c>
      <c r="BH226" s="90" t="str">
        <f aca="false">IF(N(BN226)&gt;0,ROUND(SUMIF(ЗАКАЗЫ!$F$3:$F$500,$A226,ЗАКАЗЫ!$Y$3:$Y$500)/BN226,0),IF(OR(BE226="",BG226=""),"",ROUND(BE226*BG226*(1+Справочники!$B$10),0)))</f>
        <v/>
      </c>
      <c r="BI226" s="92" t="str">
        <f aca="false">IF(OR(AU226="",BH226="",AU226=0),"",(AU226-BH226)/AU226)</f>
        <v/>
      </c>
      <c r="BJ226" s="81"/>
      <c r="BK226" s="83"/>
      <c r="BL226" s="43" t="str">
        <f aca="false">IFERROR(INDEX(ЗАКАЗЫ!$N$3:$N$500,MATCH($A226,ЗАКАЗЫ!$F$3:$F$500,0)),"")</f>
        <v/>
      </c>
      <c r="BM226" s="8" t="str">
        <f aca="false">IF(BL226="","",IFERROR(VLOOKUP(BL226,'ТН ВЭД'!$A$4:$C$40,3,0),""))</f>
        <v/>
      </c>
      <c r="BN226" s="7" t="str">
        <f aca="false">IF(COUNTIF(ЗАКАЗЫ!$F$3:$F$500,$A226)=0,"",SUMIF(ЗАКАЗЫ!$F$3:$F$500,$A226,ЗАКАЗЫ!$J$3:$J$500))</f>
        <v/>
      </c>
      <c r="BO226" s="7" t="str">
        <f aca="false">IF(BN226="","",SUMIF(ЗАКАЗЫ!$F$3:$F$500,$A226,ЗАКАЗЫ!$AL$3:$AL$500))</f>
        <v/>
      </c>
      <c r="BP226" s="7" t="str">
        <f aca="false">IF(BN226="","",BN226-BO226)</f>
        <v/>
      </c>
      <c r="BQ226" s="55" t="str">
        <f aca="false">IF(BN226="","",IF(BO226&gt;=BN226,"На складе",IF(BO226&gt;0,"Частично","Ждём")))</f>
        <v/>
      </c>
      <c r="BR226" s="43"/>
      <c r="BS226" s="47" t="str">
        <f aca="false">IF(BN226="","",IF(_xlfn.MAXIFS(ЗАКАЗЫ!$AK$3:$AK$500,ЗАКАЗЫ!$F$3:$F$500,$A226)=0,"",_xlfn.MAXIFS(ЗАКАЗЫ!$AK$3:$AK$500,ЗАКАЗЫ!$F$3:$F$500,$A226)))</f>
        <v/>
      </c>
    </row>
    <row r="227" customFormat="false" ht="15.75" hidden="false" customHeight="true" outlineLevel="0" collapsed="false">
      <c r="A227" s="80" t="s">
        <v>2767</v>
      </c>
      <c r="B227" s="81"/>
      <c r="C227" s="81"/>
      <c r="D227" s="81"/>
      <c r="E227" s="83"/>
      <c r="F227" s="81"/>
      <c r="G227" s="83"/>
      <c r="H227" s="83"/>
      <c r="I227" s="84" t="str">
        <f aca="false">IF(E227="","",A227&amp;"_1.jpg")</f>
        <v/>
      </c>
      <c r="J227" s="84" t="str">
        <f aca="false">IF(E227="","",A227&amp;"_2.jpg; "&amp;A227&amp;"_3.jpg")</f>
        <v/>
      </c>
      <c r="K227" s="84" t="str">
        <f aca="false">IF(E227="","",A227&amp;"_schema.jpg")</f>
        <v/>
      </c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 t="s">
        <v>96</v>
      </c>
      <c r="W227" s="81"/>
      <c r="X227" s="81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6" t="str">
        <f aca="false">IF(SUM(Y227:AJ227)=0,"",SUM(Y227:AJ227))</f>
        <v/>
      </c>
      <c r="AL227" s="84" t="str">
        <f aca="false">MID(IF(N(Y227)&gt;0,", "&amp;Y$2,"")&amp;IF(N(Z227)&gt;0,", "&amp;Z$2,"")&amp;IF(N(AA227)&gt;0,", "&amp;AA$2,"")&amp;IF(N(AB227)&gt;0,", "&amp;AB$2,"")&amp;IF(N(AC227)&gt;0,", "&amp;AC$2,"")&amp;IF(N(AD227)&gt;0,", "&amp;AD$2,"")&amp;IF(N(AE227)&gt;0,", "&amp;AE$2,"")&amp;IF(N(AF227)&gt;0,", "&amp;AF$2,"")&amp;IF(N(AG227)&gt;0,", "&amp;AG$2,"")&amp;IF(N(AH227)&gt;0,", "&amp;AH$2,"")&amp;IF(N(AI227)&gt;0,", "&amp;AI$2,"")&amp;IF(N(AJ227)&gt;0,", "&amp;AJ$2,""),3,999)</f>
        <v/>
      </c>
      <c r="AM227" s="87" t="str">
        <f aca="false">IF(E227="","",MID(IF(N(Y227)&gt;0,", "&amp;A227&amp;"-"&amp;Y$2,"")&amp;IF(N(Z227)&gt;0,", "&amp;A227&amp;"-"&amp;Z$2,"")&amp;IF(N(AA227)&gt;0,", "&amp;A227&amp;"-"&amp;AA$2,"")&amp;IF(N(AB227)&gt;0,", "&amp;A227&amp;"-"&amp;AB$2,"")&amp;IF(N(AC227)&gt;0,", "&amp;A227&amp;"-"&amp;AC$2,"")&amp;IF(N(AD227)&gt;0,", "&amp;A227&amp;"-"&amp;AD$2,"")&amp;IF(N(AE227)&gt;0,", "&amp;A227&amp;"-"&amp;AE$2,"")&amp;IF(N(AF227)&gt;0,", "&amp;A227&amp;"-"&amp;AF$2,"")&amp;IF(N(AG227)&gt;0,", "&amp;A227&amp;"-"&amp;AG$2,"")&amp;IF(N(AH227)&gt;0,", "&amp;A227&amp;"-"&amp;AH$2,"")&amp;IF(N(AI227)&gt;0,", "&amp;A227&amp;"-"&amp;AI$2,"")&amp;IF(N(AJ227)&gt;0,", "&amp;A227&amp;"-"&amp;AJ$2,""),3,999))</f>
        <v/>
      </c>
      <c r="AN227" s="81"/>
      <c r="AO227" s="88"/>
      <c r="AP227" s="89" t="str">
        <f aca="false">IF(AO227="","",ROUND(AO227/(1+Справочники!$B$13),2))</f>
        <v/>
      </c>
      <c r="AQ227" s="90" t="str">
        <f aca="false" t="array" ref="AQ227:AQ227">IF(AP227="","",AP227*INDEX(Справочники!$B$4:$B$7,MATCH("RUB",Справочники!$A$4:$A$7,0)))</f>
        <v/>
      </c>
      <c r="AR227" s="90" t="str">
        <f aca="false">IF(AQ227="","",ROUND(AQ227*(1+Справочники!$B$12),0))</f>
        <v/>
      </c>
      <c r="AS227" s="90" t="str">
        <f aca="false">IF(AR227="","",ROUND(AR227*(1-Справочники!$B$11),0))</f>
        <v/>
      </c>
      <c r="AT227" s="88"/>
      <c r="AU227" s="90" t="str">
        <f aca="false">IF(AT227="","",ROUND(AT227/(1+Справочники!$B$12),0))</f>
        <v/>
      </c>
      <c r="AV227" s="90" t="str">
        <f aca="false">IF(AT227="","",ROUND(AT227*(1-Справочники!$B$15),0))</f>
        <v/>
      </c>
      <c r="AW227" s="90" t="str">
        <f aca="false">IF(AT227="","",ROUND(AT227*(1-Справочники!$B$16),0))</f>
        <v/>
      </c>
      <c r="AX227" s="90" t="str">
        <f aca="false">IF(AT227="","",ROUND(AT227*(1-Справочники!$B$17),0))</f>
        <v/>
      </c>
      <c r="AY227" s="90" t="str">
        <f aca="false">IF(AT227="","",ROUND(AT227*(1-Справочники!$B$18),0))</f>
        <v/>
      </c>
      <c r="AZ227" s="90" t="str">
        <f aca="false">IF(AT227="","",ROUND(AT227*(1-Справочники!$B$19),0))</f>
        <v/>
      </c>
      <c r="BA227" s="81"/>
      <c r="BB227" s="81"/>
      <c r="BC227" s="81"/>
      <c r="BD227" s="81"/>
      <c r="BE227" s="91"/>
      <c r="BF227" s="81" t="s">
        <v>103</v>
      </c>
      <c r="BG227" s="89" t="n">
        <f aca="false" t="array" ref="BG227:BG227">IF(BF227="","",IFERROR(INDEX(Справочники!$B$4:$B$7,MATCH(BF227,Справочники!$A$4:$A$7,0)),""))</f>
        <v>68.5</v>
      </c>
      <c r="BH227" s="90" t="str">
        <f aca="false">IF(N(BN227)&gt;0,ROUND(SUMIF(ЗАКАЗЫ!$F$3:$F$500,$A227,ЗАКАЗЫ!$Y$3:$Y$500)/BN227,0),IF(OR(BE227="",BG227=""),"",ROUND(BE227*BG227*(1+Справочники!$B$10),0)))</f>
        <v/>
      </c>
      <c r="BI227" s="92" t="str">
        <f aca="false">IF(OR(AU227="",BH227="",AU227=0),"",(AU227-BH227)/AU227)</f>
        <v/>
      </c>
      <c r="BJ227" s="81"/>
      <c r="BK227" s="83"/>
      <c r="BL227" s="43" t="str">
        <f aca="false">IFERROR(INDEX(ЗАКАЗЫ!$N$3:$N$500,MATCH($A227,ЗАКАЗЫ!$F$3:$F$500,0)),"")</f>
        <v/>
      </c>
      <c r="BM227" s="8" t="str">
        <f aca="false">IF(BL227="","",IFERROR(VLOOKUP(BL227,'ТН ВЭД'!$A$4:$C$40,3,0),""))</f>
        <v/>
      </c>
      <c r="BN227" s="7" t="str">
        <f aca="false">IF(COUNTIF(ЗАКАЗЫ!$F$3:$F$500,$A227)=0,"",SUMIF(ЗАКАЗЫ!$F$3:$F$500,$A227,ЗАКАЗЫ!$J$3:$J$500))</f>
        <v/>
      </c>
      <c r="BO227" s="7" t="str">
        <f aca="false">IF(BN227="","",SUMIF(ЗАКАЗЫ!$F$3:$F$500,$A227,ЗАКАЗЫ!$AL$3:$AL$500))</f>
        <v/>
      </c>
      <c r="BP227" s="7" t="str">
        <f aca="false">IF(BN227="","",BN227-BO227)</f>
        <v/>
      </c>
      <c r="BQ227" s="55" t="str">
        <f aca="false">IF(BN227="","",IF(BO227&gt;=BN227,"На складе",IF(BO227&gt;0,"Частично","Ждём")))</f>
        <v/>
      </c>
      <c r="BR227" s="43"/>
      <c r="BS227" s="47" t="str">
        <f aca="false">IF(BN227="","",IF(_xlfn.MAXIFS(ЗАКАЗЫ!$AK$3:$AK$500,ЗАКАЗЫ!$F$3:$F$500,$A227)=0,"",_xlfn.MAXIFS(ЗАКАЗЫ!$AK$3:$AK$500,ЗАКАЗЫ!$F$3:$F$500,$A227)))</f>
        <v/>
      </c>
    </row>
    <row r="228" customFormat="false" ht="15.75" hidden="false" customHeight="true" outlineLevel="0" collapsed="false">
      <c r="A228" s="80" t="s">
        <v>2768</v>
      </c>
      <c r="B228" s="81"/>
      <c r="C228" s="81"/>
      <c r="D228" s="81"/>
      <c r="E228" s="83"/>
      <c r="F228" s="81"/>
      <c r="G228" s="83"/>
      <c r="H228" s="83"/>
      <c r="I228" s="84" t="str">
        <f aca="false">IF(E228="","",A228&amp;"_1.jpg")</f>
        <v/>
      </c>
      <c r="J228" s="84" t="str">
        <f aca="false">IF(E228="","",A228&amp;"_2.jpg; "&amp;A228&amp;"_3.jpg")</f>
        <v/>
      </c>
      <c r="K228" s="84" t="str">
        <f aca="false">IF(E228="","",A228&amp;"_schema.jpg")</f>
        <v/>
      </c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 t="s">
        <v>96</v>
      </c>
      <c r="W228" s="81"/>
      <c r="X228" s="81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6" t="str">
        <f aca="false">IF(SUM(Y228:AJ228)=0,"",SUM(Y228:AJ228))</f>
        <v/>
      </c>
      <c r="AL228" s="84" t="str">
        <f aca="false">MID(IF(N(Y228)&gt;0,", "&amp;Y$2,"")&amp;IF(N(Z228)&gt;0,", "&amp;Z$2,"")&amp;IF(N(AA228)&gt;0,", "&amp;AA$2,"")&amp;IF(N(AB228)&gt;0,", "&amp;AB$2,"")&amp;IF(N(AC228)&gt;0,", "&amp;AC$2,"")&amp;IF(N(AD228)&gt;0,", "&amp;AD$2,"")&amp;IF(N(AE228)&gt;0,", "&amp;AE$2,"")&amp;IF(N(AF228)&gt;0,", "&amp;AF$2,"")&amp;IF(N(AG228)&gt;0,", "&amp;AG$2,"")&amp;IF(N(AH228)&gt;0,", "&amp;AH$2,"")&amp;IF(N(AI228)&gt;0,", "&amp;AI$2,"")&amp;IF(N(AJ228)&gt;0,", "&amp;AJ$2,""),3,999)</f>
        <v/>
      </c>
      <c r="AM228" s="87" t="str">
        <f aca="false">IF(E228="","",MID(IF(N(Y228)&gt;0,", "&amp;A228&amp;"-"&amp;Y$2,"")&amp;IF(N(Z228)&gt;0,", "&amp;A228&amp;"-"&amp;Z$2,"")&amp;IF(N(AA228)&gt;0,", "&amp;A228&amp;"-"&amp;AA$2,"")&amp;IF(N(AB228)&gt;0,", "&amp;A228&amp;"-"&amp;AB$2,"")&amp;IF(N(AC228)&gt;0,", "&amp;A228&amp;"-"&amp;AC$2,"")&amp;IF(N(AD228)&gt;0,", "&amp;A228&amp;"-"&amp;AD$2,"")&amp;IF(N(AE228)&gt;0,", "&amp;A228&amp;"-"&amp;AE$2,"")&amp;IF(N(AF228)&gt;0,", "&amp;A228&amp;"-"&amp;AF$2,"")&amp;IF(N(AG228)&gt;0,", "&amp;A228&amp;"-"&amp;AG$2,"")&amp;IF(N(AH228)&gt;0,", "&amp;A228&amp;"-"&amp;AH$2,"")&amp;IF(N(AI228)&gt;0,", "&amp;A228&amp;"-"&amp;AI$2,"")&amp;IF(N(AJ228)&gt;0,", "&amp;A228&amp;"-"&amp;AJ$2,""),3,999))</f>
        <v/>
      </c>
      <c r="AN228" s="81"/>
      <c r="AO228" s="88"/>
      <c r="AP228" s="89" t="str">
        <f aca="false">IF(AO228="","",ROUND(AO228/(1+Справочники!$B$13),2))</f>
        <v/>
      </c>
      <c r="AQ228" s="90" t="str">
        <f aca="false" t="array" ref="AQ228:AQ228">IF(AP228="","",AP228*INDEX(Справочники!$B$4:$B$7,MATCH("RUB",Справочники!$A$4:$A$7,0)))</f>
        <v/>
      </c>
      <c r="AR228" s="90" t="str">
        <f aca="false">IF(AQ228="","",ROUND(AQ228*(1+Справочники!$B$12),0))</f>
        <v/>
      </c>
      <c r="AS228" s="90" t="str">
        <f aca="false">IF(AR228="","",ROUND(AR228*(1-Справочники!$B$11),0))</f>
        <v/>
      </c>
      <c r="AT228" s="88"/>
      <c r="AU228" s="90" t="str">
        <f aca="false">IF(AT228="","",ROUND(AT228/(1+Справочники!$B$12),0))</f>
        <v/>
      </c>
      <c r="AV228" s="90" t="str">
        <f aca="false">IF(AT228="","",ROUND(AT228*(1-Справочники!$B$15),0))</f>
        <v/>
      </c>
      <c r="AW228" s="90" t="str">
        <f aca="false">IF(AT228="","",ROUND(AT228*(1-Справочники!$B$16),0))</f>
        <v/>
      </c>
      <c r="AX228" s="90" t="str">
        <f aca="false">IF(AT228="","",ROUND(AT228*(1-Справочники!$B$17),0))</f>
        <v/>
      </c>
      <c r="AY228" s="90" t="str">
        <f aca="false">IF(AT228="","",ROUND(AT228*(1-Справочники!$B$18),0))</f>
        <v/>
      </c>
      <c r="AZ228" s="90" t="str">
        <f aca="false">IF(AT228="","",ROUND(AT228*(1-Справочники!$B$19),0))</f>
        <v/>
      </c>
      <c r="BA228" s="81"/>
      <c r="BB228" s="81"/>
      <c r="BC228" s="81"/>
      <c r="BD228" s="81"/>
      <c r="BE228" s="91"/>
      <c r="BF228" s="81" t="s">
        <v>103</v>
      </c>
      <c r="BG228" s="89" t="n">
        <f aca="false" t="array" ref="BG228:BG228">IF(BF228="","",IFERROR(INDEX(Справочники!$B$4:$B$7,MATCH(BF228,Справочники!$A$4:$A$7,0)),""))</f>
        <v>68.5</v>
      </c>
      <c r="BH228" s="90" t="str">
        <f aca="false">IF(N(BN228)&gt;0,ROUND(SUMIF(ЗАКАЗЫ!$F$3:$F$500,$A228,ЗАКАЗЫ!$Y$3:$Y$500)/BN228,0),IF(OR(BE228="",BG228=""),"",ROUND(BE228*BG228*(1+Справочники!$B$10),0)))</f>
        <v/>
      </c>
      <c r="BI228" s="92" t="str">
        <f aca="false">IF(OR(AU228="",BH228="",AU228=0),"",(AU228-BH228)/AU228)</f>
        <v/>
      </c>
      <c r="BJ228" s="81"/>
      <c r="BK228" s="83"/>
      <c r="BL228" s="43" t="str">
        <f aca="false">IFERROR(INDEX(ЗАКАЗЫ!$N$3:$N$500,MATCH($A228,ЗАКАЗЫ!$F$3:$F$500,0)),"")</f>
        <v/>
      </c>
      <c r="BM228" s="8" t="str">
        <f aca="false">IF(BL228="","",IFERROR(VLOOKUP(BL228,'ТН ВЭД'!$A$4:$C$40,3,0),""))</f>
        <v/>
      </c>
      <c r="BN228" s="7" t="str">
        <f aca="false">IF(COUNTIF(ЗАКАЗЫ!$F$3:$F$500,$A228)=0,"",SUMIF(ЗАКАЗЫ!$F$3:$F$500,$A228,ЗАКАЗЫ!$J$3:$J$500))</f>
        <v/>
      </c>
      <c r="BO228" s="7" t="str">
        <f aca="false">IF(BN228="","",SUMIF(ЗАКАЗЫ!$F$3:$F$500,$A228,ЗАКАЗЫ!$AL$3:$AL$500))</f>
        <v/>
      </c>
      <c r="BP228" s="7" t="str">
        <f aca="false">IF(BN228="","",BN228-BO228)</f>
        <v/>
      </c>
      <c r="BQ228" s="55" t="str">
        <f aca="false">IF(BN228="","",IF(BO228&gt;=BN228,"На складе",IF(BO228&gt;0,"Частично","Ждём")))</f>
        <v/>
      </c>
      <c r="BR228" s="43"/>
      <c r="BS228" s="47" t="str">
        <f aca="false">IF(BN228="","",IF(_xlfn.MAXIFS(ЗАКАЗЫ!$AK$3:$AK$500,ЗАКАЗЫ!$F$3:$F$500,$A228)=0,"",_xlfn.MAXIFS(ЗАКАЗЫ!$AK$3:$AK$500,ЗАКАЗЫ!$F$3:$F$500,$A228)))</f>
        <v/>
      </c>
    </row>
    <row r="229" customFormat="false" ht="15.75" hidden="false" customHeight="true" outlineLevel="0" collapsed="false">
      <c r="A229" s="80" t="s">
        <v>2769</v>
      </c>
      <c r="B229" s="81"/>
      <c r="C229" s="81"/>
      <c r="D229" s="81"/>
      <c r="E229" s="83"/>
      <c r="F229" s="81"/>
      <c r="G229" s="83"/>
      <c r="H229" s="83"/>
      <c r="I229" s="84" t="str">
        <f aca="false">IF(E229="","",A229&amp;"_1.jpg")</f>
        <v/>
      </c>
      <c r="J229" s="84" t="str">
        <f aca="false">IF(E229="","",A229&amp;"_2.jpg; "&amp;A229&amp;"_3.jpg")</f>
        <v/>
      </c>
      <c r="K229" s="84" t="str">
        <f aca="false">IF(E229="","",A229&amp;"_schema.jpg")</f>
        <v/>
      </c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 t="s">
        <v>96</v>
      </c>
      <c r="W229" s="81"/>
      <c r="X229" s="81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6" t="str">
        <f aca="false">IF(SUM(Y229:AJ229)=0,"",SUM(Y229:AJ229))</f>
        <v/>
      </c>
      <c r="AL229" s="84" t="str">
        <f aca="false">MID(IF(N(Y229)&gt;0,", "&amp;Y$2,"")&amp;IF(N(Z229)&gt;0,", "&amp;Z$2,"")&amp;IF(N(AA229)&gt;0,", "&amp;AA$2,"")&amp;IF(N(AB229)&gt;0,", "&amp;AB$2,"")&amp;IF(N(AC229)&gt;0,", "&amp;AC$2,"")&amp;IF(N(AD229)&gt;0,", "&amp;AD$2,"")&amp;IF(N(AE229)&gt;0,", "&amp;AE$2,"")&amp;IF(N(AF229)&gt;0,", "&amp;AF$2,"")&amp;IF(N(AG229)&gt;0,", "&amp;AG$2,"")&amp;IF(N(AH229)&gt;0,", "&amp;AH$2,"")&amp;IF(N(AI229)&gt;0,", "&amp;AI$2,"")&amp;IF(N(AJ229)&gt;0,", "&amp;AJ$2,""),3,999)</f>
        <v/>
      </c>
      <c r="AM229" s="87" t="str">
        <f aca="false">IF(E229="","",MID(IF(N(Y229)&gt;0,", "&amp;A229&amp;"-"&amp;Y$2,"")&amp;IF(N(Z229)&gt;0,", "&amp;A229&amp;"-"&amp;Z$2,"")&amp;IF(N(AA229)&gt;0,", "&amp;A229&amp;"-"&amp;AA$2,"")&amp;IF(N(AB229)&gt;0,", "&amp;A229&amp;"-"&amp;AB$2,"")&amp;IF(N(AC229)&gt;0,", "&amp;A229&amp;"-"&amp;AC$2,"")&amp;IF(N(AD229)&gt;0,", "&amp;A229&amp;"-"&amp;AD$2,"")&amp;IF(N(AE229)&gt;0,", "&amp;A229&amp;"-"&amp;AE$2,"")&amp;IF(N(AF229)&gt;0,", "&amp;A229&amp;"-"&amp;AF$2,"")&amp;IF(N(AG229)&gt;0,", "&amp;A229&amp;"-"&amp;AG$2,"")&amp;IF(N(AH229)&gt;0,", "&amp;A229&amp;"-"&amp;AH$2,"")&amp;IF(N(AI229)&gt;0,", "&amp;A229&amp;"-"&amp;AI$2,"")&amp;IF(N(AJ229)&gt;0,", "&amp;A229&amp;"-"&amp;AJ$2,""),3,999))</f>
        <v/>
      </c>
      <c r="AN229" s="81"/>
      <c r="AO229" s="88"/>
      <c r="AP229" s="89" t="str">
        <f aca="false">IF(AO229="","",ROUND(AO229/(1+Справочники!$B$13),2))</f>
        <v/>
      </c>
      <c r="AQ229" s="90" t="str">
        <f aca="false" t="array" ref="AQ229:AQ229">IF(AP229="","",AP229*INDEX(Справочники!$B$4:$B$7,MATCH("RUB",Справочники!$A$4:$A$7,0)))</f>
        <v/>
      </c>
      <c r="AR229" s="90" t="str">
        <f aca="false">IF(AQ229="","",ROUND(AQ229*(1+Справочники!$B$12),0))</f>
        <v/>
      </c>
      <c r="AS229" s="90" t="str">
        <f aca="false">IF(AR229="","",ROUND(AR229*(1-Справочники!$B$11),0))</f>
        <v/>
      </c>
      <c r="AT229" s="88"/>
      <c r="AU229" s="90" t="str">
        <f aca="false">IF(AT229="","",ROUND(AT229/(1+Справочники!$B$12),0))</f>
        <v/>
      </c>
      <c r="AV229" s="90" t="str">
        <f aca="false">IF(AT229="","",ROUND(AT229*(1-Справочники!$B$15),0))</f>
        <v/>
      </c>
      <c r="AW229" s="90" t="str">
        <f aca="false">IF(AT229="","",ROUND(AT229*(1-Справочники!$B$16),0))</f>
        <v/>
      </c>
      <c r="AX229" s="90" t="str">
        <f aca="false">IF(AT229="","",ROUND(AT229*(1-Справочники!$B$17),0))</f>
        <v/>
      </c>
      <c r="AY229" s="90" t="str">
        <f aca="false">IF(AT229="","",ROUND(AT229*(1-Справочники!$B$18),0))</f>
        <v/>
      </c>
      <c r="AZ229" s="90" t="str">
        <f aca="false">IF(AT229="","",ROUND(AT229*(1-Справочники!$B$19),0))</f>
        <v/>
      </c>
      <c r="BA229" s="81"/>
      <c r="BB229" s="81"/>
      <c r="BC229" s="81"/>
      <c r="BD229" s="81"/>
      <c r="BE229" s="91"/>
      <c r="BF229" s="81" t="s">
        <v>103</v>
      </c>
      <c r="BG229" s="89" t="n">
        <f aca="false" t="array" ref="BG229:BG229">IF(BF229="","",IFERROR(INDEX(Справочники!$B$4:$B$7,MATCH(BF229,Справочники!$A$4:$A$7,0)),""))</f>
        <v>68.5</v>
      </c>
      <c r="BH229" s="90" t="str">
        <f aca="false">IF(N(BN229)&gt;0,ROUND(SUMIF(ЗАКАЗЫ!$F$3:$F$500,$A229,ЗАКАЗЫ!$Y$3:$Y$500)/BN229,0),IF(OR(BE229="",BG229=""),"",ROUND(BE229*BG229*(1+Справочники!$B$10),0)))</f>
        <v/>
      </c>
      <c r="BI229" s="92" t="str">
        <f aca="false">IF(OR(AU229="",BH229="",AU229=0),"",(AU229-BH229)/AU229)</f>
        <v/>
      </c>
      <c r="BJ229" s="81"/>
      <c r="BK229" s="83"/>
      <c r="BL229" s="43" t="str">
        <f aca="false">IFERROR(INDEX(ЗАКАЗЫ!$N$3:$N$500,MATCH($A229,ЗАКАЗЫ!$F$3:$F$500,0)),"")</f>
        <v/>
      </c>
      <c r="BM229" s="8" t="str">
        <f aca="false">IF(BL229="","",IFERROR(VLOOKUP(BL229,'ТН ВЭД'!$A$4:$C$40,3,0),""))</f>
        <v/>
      </c>
      <c r="BN229" s="7" t="str">
        <f aca="false">IF(COUNTIF(ЗАКАЗЫ!$F$3:$F$500,$A229)=0,"",SUMIF(ЗАКАЗЫ!$F$3:$F$500,$A229,ЗАКАЗЫ!$J$3:$J$500))</f>
        <v/>
      </c>
      <c r="BO229" s="7" t="str">
        <f aca="false">IF(BN229="","",SUMIF(ЗАКАЗЫ!$F$3:$F$500,$A229,ЗАКАЗЫ!$AL$3:$AL$500))</f>
        <v/>
      </c>
      <c r="BP229" s="7" t="str">
        <f aca="false">IF(BN229="","",BN229-BO229)</f>
        <v/>
      </c>
      <c r="BQ229" s="55" t="str">
        <f aca="false">IF(BN229="","",IF(BO229&gt;=BN229,"На складе",IF(BO229&gt;0,"Частично","Ждём")))</f>
        <v/>
      </c>
      <c r="BR229" s="43"/>
      <c r="BS229" s="47" t="str">
        <f aca="false">IF(BN229="","",IF(_xlfn.MAXIFS(ЗАКАЗЫ!$AK$3:$AK$500,ЗАКАЗЫ!$F$3:$F$500,$A229)=0,"",_xlfn.MAXIFS(ЗАКАЗЫ!$AK$3:$AK$500,ЗАКАЗЫ!$F$3:$F$500,$A229)))</f>
        <v/>
      </c>
    </row>
    <row r="230" customFormat="false" ht="15.75" hidden="false" customHeight="true" outlineLevel="0" collapsed="false">
      <c r="A230" s="80" t="s">
        <v>2770</v>
      </c>
      <c r="B230" s="81"/>
      <c r="C230" s="81"/>
      <c r="D230" s="81"/>
      <c r="E230" s="83"/>
      <c r="F230" s="81"/>
      <c r="G230" s="83"/>
      <c r="H230" s="83"/>
      <c r="I230" s="84" t="str">
        <f aca="false">IF(E230="","",A230&amp;"_1.jpg")</f>
        <v/>
      </c>
      <c r="J230" s="84" t="str">
        <f aca="false">IF(E230="","",A230&amp;"_2.jpg; "&amp;A230&amp;"_3.jpg")</f>
        <v/>
      </c>
      <c r="K230" s="84" t="str">
        <f aca="false">IF(E230="","",A230&amp;"_schema.jpg")</f>
        <v/>
      </c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 t="s">
        <v>96</v>
      </c>
      <c r="W230" s="81"/>
      <c r="X230" s="81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6" t="str">
        <f aca="false">IF(SUM(Y230:AJ230)=0,"",SUM(Y230:AJ230))</f>
        <v/>
      </c>
      <c r="AL230" s="84" t="str">
        <f aca="false">MID(IF(N(Y230)&gt;0,", "&amp;Y$2,"")&amp;IF(N(Z230)&gt;0,", "&amp;Z$2,"")&amp;IF(N(AA230)&gt;0,", "&amp;AA$2,"")&amp;IF(N(AB230)&gt;0,", "&amp;AB$2,"")&amp;IF(N(AC230)&gt;0,", "&amp;AC$2,"")&amp;IF(N(AD230)&gt;0,", "&amp;AD$2,"")&amp;IF(N(AE230)&gt;0,", "&amp;AE$2,"")&amp;IF(N(AF230)&gt;0,", "&amp;AF$2,"")&amp;IF(N(AG230)&gt;0,", "&amp;AG$2,"")&amp;IF(N(AH230)&gt;0,", "&amp;AH$2,"")&amp;IF(N(AI230)&gt;0,", "&amp;AI$2,"")&amp;IF(N(AJ230)&gt;0,", "&amp;AJ$2,""),3,999)</f>
        <v/>
      </c>
      <c r="AM230" s="87" t="str">
        <f aca="false">IF(E230="","",MID(IF(N(Y230)&gt;0,", "&amp;A230&amp;"-"&amp;Y$2,"")&amp;IF(N(Z230)&gt;0,", "&amp;A230&amp;"-"&amp;Z$2,"")&amp;IF(N(AA230)&gt;0,", "&amp;A230&amp;"-"&amp;AA$2,"")&amp;IF(N(AB230)&gt;0,", "&amp;A230&amp;"-"&amp;AB$2,"")&amp;IF(N(AC230)&gt;0,", "&amp;A230&amp;"-"&amp;AC$2,"")&amp;IF(N(AD230)&gt;0,", "&amp;A230&amp;"-"&amp;AD$2,"")&amp;IF(N(AE230)&gt;0,", "&amp;A230&amp;"-"&amp;AE$2,"")&amp;IF(N(AF230)&gt;0,", "&amp;A230&amp;"-"&amp;AF$2,"")&amp;IF(N(AG230)&gt;0,", "&amp;A230&amp;"-"&amp;AG$2,"")&amp;IF(N(AH230)&gt;0,", "&amp;A230&amp;"-"&amp;AH$2,"")&amp;IF(N(AI230)&gt;0,", "&amp;A230&amp;"-"&amp;AI$2,"")&amp;IF(N(AJ230)&gt;0,", "&amp;A230&amp;"-"&amp;AJ$2,""),3,999))</f>
        <v/>
      </c>
      <c r="AN230" s="81"/>
      <c r="AO230" s="88"/>
      <c r="AP230" s="89" t="str">
        <f aca="false">IF(AO230="","",ROUND(AO230/(1+Справочники!$B$13),2))</f>
        <v/>
      </c>
      <c r="AQ230" s="90" t="str">
        <f aca="false" t="array" ref="AQ230:AQ230">IF(AP230="","",AP230*INDEX(Справочники!$B$4:$B$7,MATCH("RUB",Справочники!$A$4:$A$7,0)))</f>
        <v/>
      </c>
      <c r="AR230" s="90" t="str">
        <f aca="false">IF(AQ230="","",ROUND(AQ230*(1+Справочники!$B$12),0))</f>
        <v/>
      </c>
      <c r="AS230" s="90" t="str">
        <f aca="false">IF(AR230="","",ROUND(AR230*(1-Справочники!$B$11),0))</f>
        <v/>
      </c>
      <c r="AT230" s="88"/>
      <c r="AU230" s="90" t="str">
        <f aca="false">IF(AT230="","",ROUND(AT230/(1+Справочники!$B$12),0))</f>
        <v/>
      </c>
      <c r="AV230" s="90" t="str">
        <f aca="false">IF(AT230="","",ROUND(AT230*(1-Справочники!$B$15),0))</f>
        <v/>
      </c>
      <c r="AW230" s="90" t="str">
        <f aca="false">IF(AT230="","",ROUND(AT230*(1-Справочники!$B$16),0))</f>
        <v/>
      </c>
      <c r="AX230" s="90" t="str">
        <f aca="false">IF(AT230="","",ROUND(AT230*(1-Справочники!$B$17),0))</f>
        <v/>
      </c>
      <c r="AY230" s="90" t="str">
        <f aca="false">IF(AT230="","",ROUND(AT230*(1-Справочники!$B$18),0))</f>
        <v/>
      </c>
      <c r="AZ230" s="90" t="str">
        <f aca="false">IF(AT230="","",ROUND(AT230*(1-Справочники!$B$19),0))</f>
        <v/>
      </c>
      <c r="BA230" s="81"/>
      <c r="BB230" s="81"/>
      <c r="BC230" s="81"/>
      <c r="BD230" s="81"/>
      <c r="BE230" s="91"/>
      <c r="BF230" s="81" t="s">
        <v>103</v>
      </c>
      <c r="BG230" s="89" t="n">
        <f aca="false" t="array" ref="BG230:BG230">IF(BF230="","",IFERROR(INDEX(Справочники!$B$4:$B$7,MATCH(BF230,Справочники!$A$4:$A$7,0)),""))</f>
        <v>68.5</v>
      </c>
      <c r="BH230" s="90" t="str">
        <f aca="false">IF(N(BN230)&gt;0,ROUND(SUMIF(ЗАКАЗЫ!$F$3:$F$500,$A230,ЗАКАЗЫ!$Y$3:$Y$500)/BN230,0),IF(OR(BE230="",BG230=""),"",ROUND(BE230*BG230*(1+Справочники!$B$10),0)))</f>
        <v/>
      </c>
      <c r="BI230" s="92" t="str">
        <f aca="false">IF(OR(AU230="",BH230="",AU230=0),"",(AU230-BH230)/AU230)</f>
        <v/>
      </c>
      <c r="BJ230" s="81"/>
      <c r="BK230" s="83"/>
      <c r="BL230" s="43" t="str">
        <f aca="false">IFERROR(INDEX(ЗАКАЗЫ!$N$3:$N$500,MATCH($A230,ЗАКАЗЫ!$F$3:$F$500,0)),"")</f>
        <v/>
      </c>
      <c r="BM230" s="8" t="str">
        <f aca="false">IF(BL230="","",IFERROR(VLOOKUP(BL230,'ТН ВЭД'!$A$4:$C$40,3,0),""))</f>
        <v/>
      </c>
      <c r="BN230" s="7" t="str">
        <f aca="false">IF(COUNTIF(ЗАКАЗЫ!$F$3:$F$500,$A230)=0,"",SUMIF(ЗАКАЗЫ!$F$3:$F$500,$A230,ЗАКАЗЫ!$J$3:$J$500))</f>
        <v/>
      </c>
      <c r="BO230" s="7" t="str">
        <f aca="false">IF(BN230="","",SUMIF(ЗАКАЗЫ!$F$3:$F$500,$A230,ЗАКАЗЫ!$AL$3:$AL$500))</f>
        <v/>
      </c>
      <c r="BP230" s="7" t="str">
        <f aca="false">IF(BN230="","",BN230-BO230)</f>
        <v/>
      </c>
      <c r="BQ230" s="55" t="str">
        <f aca="false">IF(BN230="","",IF(BO230&gt;=BN230,"На складе",IF(BO230&gt;0,"Частично","Ждём")))</f>
        <v/>
      </c>
      <c r="BR230" s="43"/>
      <c r="BS230" s="47" t="str">
        <f aca="false">IF(BN230="","",IF(_xlfn.MAXIFS(ЗАКАЗЫ!$AK$3:$AK$500,ЗАКАЗЫ!$F$3:$F$500,$A230)=0,"",_xlfn.MAXIFS(ЗАКАЗЫ!$AK$3:$AK$500,ЗАКАЗЫ!$F$3:$F$500,$A230)))</f>
        <v/>
      </c>
    </row>
    <row r="231" customFormat="false" ht="15.75" hidden="false" customHeight="true" outlineLevel="0" collapsed="false">
      <c r="A231" s="80" t="s">
        <v>2771</v>
      </c>
      <c r="B231" s="81"/>
      <c r="C231" s="81"/>
      <c r="D231" s="81"/>
      <c r="E231" s="83"/>
      <c r="F231" s="81"/>
      <c r="G231" s="83"/>
      <c r="H231" s="83"/>
      <c r="I231" s="84" t="str">
        <f aca="false">IF(E231="","",A231&amp;"_1.jpg")</f>
        <v/>
      </c>
      <c r="J231" s="84" t="str">
        <f aca="false">IF(E231="","",A231&amp;"_2.jpg; "&amp;A231&amp;"_3.jpg")</f>
        <v/>
      </c>
      <c r="K231" s="84" t="str">
        <f aca="false">IF(E231="","",A231&amp;"_schema.jpg")</f>
        <v/>
      </c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 t="s">
        <v>96</v>
      </c>
      <c r="W231" s="81"/>
      <c r="X231" s="81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6" t="str">
        <f aca="false">IF(SUM(Y231:AJ231)=0,"",SUM(Y231:AJ231))</f>
        <v/>
      </c>
      <c r="AL231" s="84" t="str">
        <f aca="false">MID(IF(N(Y231)&gt;0,", "&amp;Y$2,"")&amp;IF(N(Z231)&gt;0,", "&amp;Z$2,"")&amp;IF(N(AA231)&gt;0,", "&amp;AA$2,"")&amp;IF(N(AB231)&gt;0,", "&amp;AB$2,"")&amp;IF(N(AC231)&gt;0,", "&amp;AC$2,"")&amp;IF(N(AD231)&gt;0,", "&amp;AD$2,"")&amp;IF(N(AE231)&gt;0,", "&amp;AE$2,"")&amp;IF(N(AF231)&gt;0,", "&amp;AF$2,"")&amp;IF(N(AG231)&gt;0,", "&amp;AG$2,"")&amp;IF(N(AH231)&gt;0,", "&amp;AH$2,"")&amp;IF(N(AI231)&gt;0,", "&amp;AI$2,"")&amp;IF(N(AJ231)&gt;0,", "&amp;AJ$2,""),3,999)</f>
        <v/>
      </c>
      <c r="AM231" s="87" t="str">
        <f aca="false">IF(E231="","",MID(IF(N(Y231)&gt;0,", "&amp;A231&amp;"-"&amp;Y$2,"")&amp;IF(N(Z231)&gt;0,", "&amp;A231&amp;"-"&amp;Z$2,"")&amp;IF(N(AA231)&gt;0,", "&amp;A231&amp;"-"&amp;AA$2,"")&amp;IF(N(AB231)&gt;0,", "&amp;A231&amp;"-"&amp;AB$2,"")&amp;IF(N(AC231)&gt;0,", "&amp;A231&amp;"-"&amp;AC$2,"")&amp;IF(N(AD231)&gt;0,", "&amp;A231&amp;"-"&amp;AD$2,"")&amp;IF(N(AE231)&gt;0,", "&amp;A231&amp;"-"&amp;AE$2,"")&amp;IF(N(AF231)&gt;0,", "&amp;A231&amp;"-"&amp;AF$2,"")&amp;IF(N(AG231)&gt;0,", "&amp;A231&amp;"-"&amp;AG$2,"")&amp;IF(N(AH231)&gt;0,", "&amp;A231&amp;"-"&amp;AH$2,"")&amp;IF(N(AI231)&gt;0,", "&amp;A231&amp;"-"&amp;AI$2,"")&amp;IF(N(AJ231)&gt;0,", "&amp;A231&amp;"-"&amp;AJ$2,""),3,999))</f>
        <v/>
      </c>
      <c r="AN231" s="81"/>
      <c r="AO231" s="88"/>
      <c r="AP231" s="89" t="str">
        <f aca="false">IF(AO231="","",ROUND(AO231/(1+Справочники!$B$13),2))</f>
        <v/>
      </c>
      <c r="AQ231" s="90" t="str">
        <f aca="false" t="array" ref="AQ231:AQ231">IF(AP231="","",AP231*INDEX(Справочники!$B$4:$B$7,MATCH("RUB",Справочники!$A$4:$A$7,0)))</f>
        <v/>
      </c>
      <c r="AR231" s="90" t="str">
        <f aca="false">IF(AQ231="","",ROUND(AQ231*(1+Справочники!$B$12),0))</f>
        <v/>
      </c>
      <c r="AS231" s="90" t="str">
        <f aca="false">IF(AR231="","",ROUND(AR231*(1-Справочники!$B$11),0))</f>
        <v/>
      </c>
      <c r="AT231" s="88"/>
      <c r="AU231" s="90" t="str">
        <f aca="false">IF(AT231="","",ROUND(AT231/(1+Справочники!$B$12),0))</f>
        <v/>
      </c>
      <c r="AV231" s="90" t="str">
        <f aca="false">IF(AT231="","",ROUND(AT231*(1-Справочники!$B$15),0))</f>
        <v/>
      </c>
      <c r="AW231" s="90" t="str">
        <f aca="false">IF(AT231="","",ROUND(AT231*(1-Справочники!$B$16),0))</f>
        <v/>
      </c>
      <c r="AX231" s="90" t="str">
        <f aca="false">IF(AT231="","",ROUND(AT231*(1-Справочники!$B$17),0))</f>
        <v/>
      </c>
      <c r="AY231" s="90" t="str">
        <f aca="false">IF(AT231="","",ROUND(AT231*(1-Справочники!$B$18),0))</f>
        <v/>
      </c>
      <c r="AZ231" s="90" t="str">
        <f aca="false">IF(AT231="","",ROUND(AT231*(1-Справочники!$B$19),0))</f>
        <v/>
      </c>
      <c r="BA231" s="81"/>
      <c r="BB231" s="81"/>
      <c r="BC231" s="81"/>
      <c r="BD231" s="81"/>
      <c r="BE231" s="91"/>
      <c r="BF231" s="81" t="s">
        <v>103</v>
      </c>
      <c r="BG231" s="89" t="n">
        <f aca="false" t="array" ref="BG231:BG231">IF(BF231="","",IFERROR(INDEX(Справочники!$B$4:$B$7,MATCH(BF231,Справочники!$A$4:$A$7,0)),""))</f>
        <v>68.5</v>
      </c>
      <c r="BH231" s="90" t="str">
        <f aca="false">IF(N(BN231)&gt;0,ROUND(SUMIF(ЗАКАЗЫ!$F$3:$F$500,$A231,ЗАКАЗЫ!$Y$3:$Y$500)/BN231,0),IF(OR(BE231="",BG231=""),"",ROUND(BE231*BG231*(1+Справочники!$B$10),0)))</f>
        <v/>
      </c>
      <c r="BI231" s="92" t="str">
        <f aca="false">IF(OR(AU231="",BH231="",AU231=0),"",(AU231-BH231)/AU231)</f>
        <v/>
      </c>
      <c r="BJ231" s="81"/>
      <c r="BK231" s="83"/>
      <c r="BL231" s="43" t="str">
        <f aca="false">IFERROR(INDEX(ЗАКАЗЫ!$N$3:$N$500,MATCH($A231,ЗАКАЗЫ!$F$3:$F$500,0)),"")</f>
        <v/>
      </c>
      <c r="BM231" s="8" t="str">
        <f aca="false">IF(BL231="","",IFERROR(VLOOKUP(BL231,'ТН ВЭД'!$A$4:$C$40,3,0),""))</f>
        <v/>
      </c>
      <c r="BN231" s="7" t="str">
        <f aca="false">IF(COUNTIF(ЗАКАЗЫ!$F$3:$F$500,$A231)=0,"",SUMIF(ЗАКАЗЫ!$F$3:$F$500,$A231,ЗАКАЗЫ!$J$3:$J$500))</f>
        <v/>
      </c>
      <c r="BO231" s="7" t="str">
        <f aca="false">IF(BN231="","",SUMIF(ЗАКАЗЫ!$F$3:$F$500,$A231,ЗАКАЗЫ!$AL$3:$AL$500))</f>
        <v/>
      </c>
      <c r="BP231" s="7" t="str">
        <f aca="false">IF(BN231="","",BN231-BO231)</f>
        <v/>
      </c>
      <c r="BQ231" s="55" t="str">
        <f aca="false">IF(BN231="","",IF(BO231&gt;=BN231,"На складе",IF(BO231&gt;0,"Частично","Ждём")))</f>
        <v/>
      </c>
      <c r="BR231" s="43"/>
      <c r="BS231" s="47" t="str">
        <f aca="false">IF(BN231="","",IF(_xlfn.MAXIFS(ЗАКАЗЫ!$AK$3:$AK$500,ЗАКАЗЫ!$F$3:$F$500,$A231)=0,"",_xlfn.MAXIFS(ЗАКАЗЫ!$AK$3:$AK$500,ЗАКАЗЫ!$F$3:$F$500,$A231)))</f>
        <v/>
      </c>
    </row>
    <row r="232" customFormat="false" ht="15.75" hidden="false" customHeight="true" outlineLevel="0" collapsed="false">
      <c r="A232" s="80" t="s">
        <v>2772</v>
      </c>
      <c r="B232" s="81"/>
      <c r="C232" s="81"/>
      <c r="D232" s="81"/>
      <c r="E232" s="83"/>
      <c r="F232" s="81"/>
      <c r="G232" s="83"/>
      <c r="H232" s="83"/>
      <c r="I232" s="84" t="str">
        <f aca="false">IF(E232="","",A232&amp;"_1.jpg")</f>
        <v/>
      </c>
      <c r="J232" s="84" t="str">
        <f aca="false">IF(E232="","",A232&amp;"_2.jpg; "&amp;A232&amp;"_3.jpg")</f>
        <v/>
      </c>
      <c r="K232" s="84" t="str">
        <f aca="false">IF(E232="","",A232&amp;"_schema.jpg")</f>
        <v/>
      </c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 t="s">
        <v>96</v>
      </c>
      <c r="W232" s="81"/>
      <c r="X232" s="81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6" t="str">
        <f aca="false">IF(SUM(Y232:AJ232)=0,"",SUM(Y232:AJ232))</f>
        <v/>
      </c>
      <c r="AL232" s="84" t="str">
        <f aca="false">MID(IF(N(Y232)&gt;0,", "&amp;Y$2,"")&amp;IF(N(Z232)&gt;0,", "&amp;Z$2,"")&amp;IF(N(AA232)&gt;0,", "&amp;AA$2,"")&amp;IF(N(AB232)&gt;0,", "&amp;AB$2,"")&amp;IF(N(AC232)&gt;0,", "&amp;AC$2,"")&amp;IF(N(AD232)&gt;0,", "&amp;AD$2,"")&amp;IF(N(AE232)&gt;0,", "&amp;AE$2,"")&amp;IF(N(AF232)&gt;0,", "&amp;AF$2,"")&amp;IF(N(AG232)&gt;0,", "&amp;AG$2,"")&amp;IF(N(AH232)&gt;0,", "&amp;AH$2,"")&amp;IF(N(AI232)&gt;0,", "&amp;AI$2,"")&amp;IF(N(AJ232)&gt;0,", "&amp;AJ$2,""),3,999)</f>
        <v/>
      </c>
      <c r="AM232" s="87" t="str">
        <f aca="false">IF(E232="","",MID(IF(N(Y232)&gt;0,", "&amp;A232&amp;"-"&amp;Y$2,"")&amp;IF(N(Z232)&gt;0,", "&amp;A232&amp;"-"&amp;Z$2,"")&amp;IF(N(AA232)&gt;0,", "&amp;A232&amp;"-"&amp;AA$2,"")&amp;IF(N(AB232)&gt;0,", "&amp;A232&amp;"-"&amp;AB$2,"")&amp;IF(N(AC232)&gt;0,", "&amp;A232&amp;"-"&amp;AC$2,"")&amp;IF(N(AD232)&gt;0,", "&amp;A232&amp;"-"&amp;AD$2,"")&amp;IF(N(AE232)&gt;0,", "&amp;A232&amp;"-"&amp;AE$2,"")&amp;IF(N(AF232)&gt;0,", "&amp;A232&amp;"-"&amp;AF$2,"")&amp;IF(N(AG232)&gt;0,", "&amp;A232&amp;"-"&amp;AG$2,"")&amp;IF(N(AH232)&gt;0,", "&amp;A232&amp;"-"&amp;AH$2,"")&amp;IF(N(AI232)&gt;0,", "&amp;A232&amp;"-"&amp;AI$2,"")&amp;IF(N(AJ232)&gt;0,", "&amp;A232&amp;"-"&amp;AJ$2,""),3,999))</f>
        <v/>
      </c>
      <c r="AN232" s="81"/>
      <c r="AO232" s="88"/>
      <c r="AP232" s="89" t="str">
        <f aca="false">IF(AO232="","",ROUND(AO232/(1+Справочники!$B$13),2))</f>
        <v/>
      </c>
      <c r="AQ232" s="90" t="str">
        <f aca="false" t="array" ref="AQ232:AQ232">IF(AP232="","",AP232*INDEX(Справочники!$B$4:$B$7,MATCH("RUB",Справочники!$A$4:$A$7,0)))</f>
        <v/>
      </c>
      <c r="AR232" s="90" t="str">
        <f aca="false">IF(AQ232="","",ROUND(AQ232*(1+Справочники!$B$12),0))</f>
        <v/>
      </c>
      <c r="AS232" s="90" t="str">
        <f aca="false">IF(AR232="","",ROUND(AR232*(1-Справочники!$B$11),0))</f>
        <v/>
      </c>
      <c r="AT232" s="88"/>
      <c r="AU232" s="90" t="str">
        <f aca="false">IF(AT232="","",ROUND(AT232/(1+Справочники!$B$12),0))</f>
        <v/>
      </c>
      <c r="AV232" s="90" t="str">
        <f aca="false">IF(AT232="","",ROUND(AT232*(1-Справочники!$B$15),0))</f>
        <v/>
      </c>
      <c r="AW232" s="90" t="str">
        <f aca="false">IF(AT232="","",ROUND(AT232*(1-Справочники!$B$16),0))</f>
        <v/>
      </c>
      <c r="AX232" s="90" t="str">
        <f aca="false">IF(AT232="","",ROUND(AT232*(1-Справочники!$B$17),0))</f>
        <v/>
      </c>
      <c r="AY232" s="90" t="str">
        <f aca="false">IF(AT232="","",ROUND(AT232*(1-Справочники!$B$18),0))</f>
        <v/>
      </c>
      <c r="AZ232" s="90" t="str">
        <f aca="false">IF(AT232="","",ROUND(AT232*(1-Справочники!$B$19),0))</f>
        <v/>
      </c>
      <c r="BA232" s="81"/>
      <c r="BB232" s="81"/>
      <c r="BC232" s="81"/>
      <c r="BD232" s="81"/>
      <c r="BE232" s="91"/>
      <c r="BF232" s="81" t="s">
        <v>103</v>
      </c>
      <c r="BG232" s="89" t="n">
        <f aca="false" t="array" ref="BG232:BG232">IF(BF232="","",IFERROR(INDEX(Справочники!$B$4:$B$7,MATCH(BF232,Справочники!$A$4:$A$7,0)),""))</f>
        <v>68.5</v>
      </c>
      <c r="BH232" s="90" t="str">
        <f aca="false">IF(N(BN232)&gt;0,ROUND(SUMIF(ЗАКАЗЫ!$F$3:$F$500,$A232,ЗАКАЗЫ!$Y$3:$Y$500)/BN232,0),IF(OR(BE232="",BG232=""),"",ROUND(BE232*BG232*(1+Справочники!$B$10),0)))</f>
        <v/>
      </c>
      <c r="BI232" s="92" t="str">
        <f aca="false">IF(OR(AU232="",BH232="",AU232=0),"",(AU232-BH232)/AU232)</f>
        <v/>
      </c>
      <c r="BJ232" s="81"/>
      <c r="BK232" s="83"/>
      <c r="BL232" s="43" t="str">
        <f aca="false">IFERROR(INDEX(ЗАКАЗЫ!$N$3:$N$500,MATCH($A232,ЗАКАЗЫ!$F$3:$F$500,0)),"")</f>
        <v/>
      </c>
      <c r="BM232" s="8" t="str">
        <f aca="false">IF(BL232="","",IFERROR(VLOOKUP(BL232,'ТН ВЭД'!$A$4:$C$40,3,0),""))</f>
        <v/>
      </c>
      <c r="BN232" s="7" t="str">
        <f aca="false">IF(COUNTIF(ЗАКАЗЫ!$F$3:$F$500,$A232)=0,"",SUMIF(ЗАКАЗЫ!$F$3:$F$500,$A232,ЗАКАЗЫ!$J$3:$J$500))</f>
        <v/>
      </c>
      <c r="BO232" s="7" t="str">
        <f aca="false">IF(BN232="","",SUMIF(ЗАКАЗЫ!$F$3:$F$500,$A232,ЗАКАЗЫ!$AL$3:$AL$500))</f>
        <v/>
      </c>
      <c r="BP232" s="7" t="str">
        <f aca="false">IF(BN232="","",BN232-BO232)</f>
        <v/>
      </c>
      <c r="BQ232" s="55" t="str">
        <f aca="false">IF(BN232="","",IF(BO232&gt;=BN232,"На складе",IF(BO232&gt;0,"Частично","Ждём")))</f>
        <v/>
      </c>
      <c r="BR232" s="43"/>
      <c r="BS232" s="47" t="str">
        <f aca="false">IF(BN232="","",IF(_xlfn.MAXIFS(ЗАКАЗЫ!$AK$3:$AK$500,ЗАКАЗЫ!$F$3:$F$500,$A232)=0,"",_xlfn.MAXIFS(ЗАКАЗЫ!$AK$3:$AK$500,ЗАКАЗЫ!$F$3:$F$500,$A232)))</f>
        <v/>
      </c>
    </row>
    <row r="233" customFormat="false" ht="15.75" hidden="false" customHeight="true" outlineLevel="0" collapsed="false">
      <c r="A233" s="80" t="s">
        <v>2773</v>
      </c>
      <c r="B233" s="81"/>
      <c r="C233" s="81"/>
      <c r="D233" s="81"/>
      <c r="E233" s="83"/>
      <c r="F233" s="81"/>
      <c r="G233" s="83"/>
      <c r="H233" s="83"/>
      <c r="I233" s="84" t="str">
        <f aca="false">IF(E233="","",A233&amp;"_1.jpg")</f>
        <v/>
      </c>
      <c r="J233" s="84" t="str">
        <f aca="false">IF(E233="","",A233&amp;"_2.jpg; "&amp;A233&amp;"_3.jpg")</f>
        <v/>
      </c>
      <c r="K233" s="84" t="str">
        <f aca="false">IF(E233="","",A233&amp;"_schema.jpg")</f>
        <v/>
      </c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 t="s">
        <v>96</v>
      </c>
      <c r="W233" s="81"/>
      <c r="X233" s="81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6" t="str">
        <f aca="false">IF(SUM(Y233:AJ233)=0,"",SUM(Y233:AJ233))</f>
        <v/>
      </c>
      <c r="AL233" s="84" t="str">
        <f aca="false">MID(IF(N(Y233)&gt;0,", "&amp;Y$2,"")&amp;IF(N(Z233)&gt;0,", "&amp;Z$2,"")&amp;IF(N(AA233)&gt;0,", "&amp;AA$2,"")&amp;IF(N(AB233)&gt;0,", "&amp;AB$2,"")&amp;IF(N(AC233)&gt;0,", "&amp;AC$2,"")&amp;IF(N(AD233)&gt;0,", "&amp;AD$2,"")&amp;IF(N(AE233)&gt;0,", "&amp;AE$2,"")&amp;IF(N(AF233)&gt;0,", "&amp;AF$2,"")&amp;IF(N(AG233)&gt;0,", "&amp;AG$2,"")&amp;IF(N(AH233)&gt;0,", "&amp;AH$2,"")&amp;IF(N(AI233)&gt;0,", "&amp;AI$2,"")&amp;IF(N(AJ233)&gt;0,", "&amp;AJ$2,""),3,999)</f>
        <v/>
      </c>
      <c r="AM233" s="87" t="str">
        <f aca="false">IF(E233="","",MID(IF(N(Y233)&gt;0,", "&amp;A233&amp;"-"&amp;Y$2,"")&amp;IF(N(Z233)&gt;0,", "&amp;A233&amp;"-"&amp;Z$2,"")&amp;IF(N(AA233)&gt;0,", "&amp;A233&amp;"-"&amp;AA$2,"")&amp;IF(N(AB233)&gt;0,", "&amp;A233&amp;"-"&amp;AB$2,"")&amp;IF(N(AC233)&gt;0,", "&amp;A233&amp;"-"&amp;AC$2,"")&amp;IF(N(AD233)&gt;0,", "&amp;A233&amp;"-"&amp;AD$2,"")&amp;IF(N(AE233)&gt;0,", "&amp;A233&amp;"-"&amp;AE$2,"")&amp;IF(N(AF233)&gt;0,", "&amp;A233&amp;"-"&amp;AF$2,"")&amp;IF(N(AG233)&gt;0,", "&amp;A233&amp;"-"&amp;AG$2,"")&amp;IF(N(AH233)&gt;0,", "&amp;A233&amp;"-"&amp;AH$2,"")&amp;IF(N(AI233)&gt;0,", "&amp;A233&amp;"-"&amp;AI$2,"")&amp;IF(N(AJ233)&gt;0,", "&amp;A233&amp;"-"&amp;AJ$2,""),3,999))</f>
        <v/>
      </c>
      <c r="AN233" s="81"/>
      <c r="AO233" s="88"/>
      <c r="AP233" s="89" t="str">
        <f aca="false">IF(AO233="","",ROUND(AO233/(1+Справочники!$B$13),2))</f>
        <v/>
      </c>
      <c r="AQ233" s="90" t="str">
        <f aca="false" t="array" ref="AQ233:AQ233">IF(AP233="","",AP233*INDEX(Справочники!$B$4:$B$7,MATCH("RUB",Справочники!$A$4:$A$7,0)))</f>
        <v/>
      </c>
      <c r="AR233" s="90" t="str">
        <f aca="false">IF(AQ233="","",ROUND(AQ233*(1+Справочники!$B$12),0))</f>
        <v/>
      </c>
      <c r="AS233" s="90" t="str">
        <f aca="false">IF(AR233="","",ROUND(AR233*(1-Справочники!$B$11),0))</f>
        <v/>
      </c>
      <c r="AT233" s="88"/>
      <c r="AU233" s="90" t="str">
        <f aca="false">IF(AT233="","",ROUND(AT233/(1+Справочники!$B$12),0))</f>
        <v/>
      </c>
      <c r="AV233" s="90" t="str">
        <f aca="false">IF(AT233="","",ROUND(AT233*(1-Справочники!$B$15),0))</f>
        <v/>
      </c>
      <c r="AW233" s="90" t="str">
        <f aca="false">IF(AT233="","",ROUND(AT233*(1-Справочники!$B$16),0))</f>
        <v/>
      </c>
      <c r="AX233" s="90" t="str">
        <f aca="false">IF(AT233="","",ROUND(AT233*(1-Справочники!$B$17),0))</f>
        <v/>
      </c>
      <c r="AY233" s="90" t="str">
        <f aca="false">IF(AT233="","",ROUND(AT233*(1-Справочники!$B$18),0))</f>
        <v/>
      </c>
      <c r="AZ233" s="90" t="str">
        <f aca="false">IF(AT233="","",ROUND(AT233*(1-Справочники!$B$19),0))</f>
        <v/>
      </c>
      <c r="BA233" s="81"/>
      <c r="BB233" s="81"/>
      <c r="BC233" s="81"/>
      <c r="BD233" s="81"/>
      <c r="BE233" s="91"/>
      <c r="BF233" s="81" t="s">
        <v>103</v>
      </c>
      <c r="BG233" s="89" t="n">
        <f aca="false" t="array" ref="BG233:BG233">IF(BF233="","",IFERROR(INDEX(Справочники!$B$4:$B$7,MATCH(BF233,Справочники!$A$4:$A$7,0)),""))</f>
        <v>68.5</v>
      </c>
      <c r="BH233" s="90" t="str">
        <f aca="false">IF(N(BN233)&gt;0,ROUND(SUMIF(ЗАКАЗЫ!$F$3:$F$500,$A233,ЗАКАЗЫ!$Y$3:$Y$500)/BN233,0),IF(OR(BE233="",BG233=""),"",ROUND(BE233*BG233*(1+Справочники!$B$10),0)))</f>
        <v/>
      </c>
      <c r="BI233" s="92" t="str">
        <f aca="false">IF(OR(AU233="",BH233="",AU233=0),"",(AU233-BH233)/AU233)</f>
        <v/>
      </c>
      <c r="BJ233" s="81"/>
      <c r="BK233" s="83"/>
      <c r="BL233" s="43" t="str">
        <f aca="false">IFERROR(INDEX(ЗАКАЗЫ!$N$3:$N$500,MATCH($A233,ЗАКАЗЫ!$F$3:$F$500,0)),"")</f>
        <v/>
      </c>
      <c r="BM233" s="8" t="str">
        <f aca="false">IF(BL233="","",IFERROR(VLOOKUP(BL233,'ТН ВЭД'!$A$4:$C$40,3,0),""))</f>
        <v/>
      </c>
      <c r="BN233" s="7" t="str">
        <f aca="false">IF(COUNTIF(ЗАКАЗЫ!$F$3:$F$500,$A233)=0,"",SUMIF(ЗАКАЗЫ!$F$3:$F$500,$A233,ЗАКАЗЫ!$J$3:$J$500))</f>
        <v/>
      </c>
      <c r="BO233" s="7" t="str">
        <f aca="false">IF(BN233="","",SUMIF(ЗАКАЗЫ!$F$3:$F$500,$A233,ЗАКАЗЫ!$AL$3:$AL$500))</f>
        <v/>
      </c>
      <c r="BP233" s="7" t="str">
        <f aca="false">IF(BN233="","",BN233-BO233)</f>
        <v/>
      </c>
      <c r="BQ233" s="55" t="str">
        <f aca="false">IF(BN233="","",IF(BO233&gt;=BN233,"На складе",IF(BO233&gt;0,"Частично","Ждём")))</f>
        <v/>
      </c>
      <c r="BR233" s="43"/>
      <c r="BS233" s="47" t="str">
        <f aca="false">IF(BN233="","",IF(_xlfn.MAXIFS(ЗАКАЗЫ!$AK$3:$AK$500,ЗАКАЗЫ!$F$3:$F$500,$A233)=0,"",_xlfn.MAXIFS(ЗАКАЗЫ!$AK$3:$AK$500,ЗАКАЗЫ!$F$3:$F$500,$A233)))</f>
        <v/>
      </c>
    </row>
    <row r="234" customFormat="false" ht="15.75" hidden="false" customHeight="true" outlineLevel="0" collapsed="false">
      <c r="A234" s="80" t="s">
        <v>2774</v>
      </c>
      <c r="B234" s="81"/>
      <c r="C234" s="81"/>
      <c r="D234" s="81"/>
      <c r="E234" s="83"/>
      <c r="F234" s="81"/>
      <c r="G234" s="83"/>
      <c r="H234" s="83"/>
      <c r="I234" s="84" t="str">
        <f aca="false">IF(E234="","",A234&amp;"_1.jpg")</f>
        <v/>
      </c>
      <c r="J234" s="84" t="str">
        <f aca="false">IF(E234="","",A234&amp;"_2.jpg; "&amp;A234&amp;"_3.jpg")</f>
        <v/>
      </c>
      <c r="K234" s="84" t="str">
        <f aca="false">IF(E234="","",A234&amp;"_schema.jpg")</f>
        <v/>
      </c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 t="s">
        <v>96</v>
      </c>
      <c r="W234" s="81"/>
      <c r="X234" s="81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6" t="str">
        <f aca="false">IF(SUM(Y234:AJ234)=0,"",SUM(Y234:AJ234))</f>
        <v/>
      </c>
      <c r="AL234" s="84" t="str">
        <f aca="false">MID(IF(N(Y234)&gt;0,", "&amp;Y$2,"")&amp;IF(N(Z234)&gt;0,", "&amp;Z$2,"")&amp;IF(N(AA234)&gt;0,", "&amp;AA$2,"")&amp;IF(N(AB234)&gt;0,", "&amp;AB$2,"")&amp;IF(N(AC234)&gt;0,", "&amp;AC$2,"")&amp;IF(N(AD234)&gt;0,", "&amp;AD$2,"")&amp;IF(N(AE234)&gt;0,", "&amp;AE$2,"")&amp;IF(N(AF234)&gt;0,", "&amp;AF$2,"")&amp;IF(N(AG234)&gt;0,", "&amp;AG$2,"")&amp;IF(N(AH234)&gt;0,", "&amp;AH$2,"")&amp;IF(N(AI234)&gt;0,", "&amp;AI$2,"")&amp;IF(N(AJ234)&gt;0,", "&amp;AJ$2,""),3,999)</f>
        <v/>
      </c>
      <c r="AM234" s="87" t="str">
        <f aca="false">IF(E234="","",MID(IF(N(Y234)&gt;0,", "&amp;A234&amp;"-"&amp;Y$2,"")&amp;IF(N(Z234)&gt;0,", "&amp;A234&amp;"-"&amp;Z$2,"")&amp;IF(N(AA234)&gt;0,", "&amp;A234&amp;"-"&amp;AA$2,"")&amp;IF(N(AB234)&gt;0,", "&amp;A234&amp;"-"&amp;AB$2,"")&amp;IF(N(AC234)&gt;0,", "&amp;A234&amp;"-"&amp;AC$2,"")&amp;IF(N(AD234)&gt;0,", "&amp;A234&amp;"-"&amp;AD$2,"")&amp;IF(N(AE234)&gt;0,", "&amp;A234&amp;"-"&amp;AE$2,"")&amp;IF(N(AF234)&gt;0,", "&amp;A234&amp;"-"&amp;AF$2,"")&amp;IF(N(AG234)&gt;0,", "&amp;A234&amp;"-"&amp;AG$2,"")&amp;IF(N(AH234)&gt;0,", "&amp;A234&amp;"-"&amp;AH$2,"")&amp;IF(N(AI234)&gt;0,", "&amp;A234&amp;"-"&amp;AI$2,"")&amp;IF(N(AJ234)&gt;0,", "&amp;A234&amp;"-"&amp;AJ$2,""),3,999))</f>
        <v/>
      </c>
      <c r="AN234" s="81"/>
      <c r="AO234" s="88"/>
      <c r="AP234" s="89" t="str">
        <f aca="false">IF(AO234="","",ROUND(AO234/(1+Справочники!$B$13),2))</f>
        <v/>
      </c>
      <c r="AQ234" s="90" t="str">
        <f aca="false" t="array" ref="AQ234:AQ234">IF(AP234="","",AP234*INDEX(Справочники!$B$4:$B$7,MATCH("RUB",Справочники!$A$4:$A$7,0)))</f>
        <v/>
      </c>
      <c r="AR234" s="90" t="str">
        <f aca="false">IF(AQ234="","",ROUND(AQ234*(1+Справочники!$B$12),0))</f>
        <v/>
      </c>
      <c r="AS234" s="90" t="str">
        <f aca="false">IF(AR234="","",ROUND(AR234*(1-Справочники!$B$11),0))</f>
        <v/>
      </c>
      <c r="AT234" s="88"/>
      <c r="AU234" s="90" t="str">
        <f aca="false">IF(AT234="","",ROUND(AT234/(1+Справочники!$B$12),0))</f>
        <v/>
      </c>
      <c r="AV234" s="90" t="str">
        <f aca="false">IF(AT234="","",ROUND(AT234*(1-Справочники!$B$15),0))</f>
        <v/>
      </c>
      <c r="AW234" s="90" t="str">
        <f aca="false">IF(AT234="","",ROUND(AT234*(1-Справочники!$B$16),0))</f>
        <v/>
      </c>
      <c r="AX234" s="90" t="str">
        <f aca="false">IF(AT234="","",ROUND(AT234*(1-Справочники!$B$17),0))</f>
        <v/>
      </c>
      <c r="AY234" s="90" t="str">
        <f aca="false">IF(AT234="","",ROUND(AT234*(1-Справочники!$B$18),0))</f>
        <v/>
      </c>
      <c r="AZ234" s="90" t="str">
        <f aca="false">IF(AT234="","",ROUND(AT234*(1-Справочники!$B$19),0))</f>
        <v/>
      </c>
      <c r="BA234" s="81"/>
      <c r="BB234" s="81"/>
      <c r="BC234" s="81"/>
      <c r="BD234" s="81"/>
      <c r="BE234" s="91"/>
      <c r="BF234" s="81" t="s">
        <v>103</v>
      </c>
      <c r="BG234" s="89" t="n">
        <f aca="false" t="array" ref="BG234:BG234">IF(BF234="","",IFERROR(INDEX(Справочники!$B$4:$B$7,MATCH(BF234,Справочники!$A$4:$A$7,0)),""))</f>
        <v>68.5</v>
      </c>
      <c r="BH234" s="90" t="str">
        <f aca="false">IF(N(BN234)&gt;0,ROUND(SUMIF(ЗАКАЗЫ!$F$3:$F$500,$A234,ЗАКАЗЫ!$Y$3:$Y$500)/BN234,0),IF(OR(BE234="",BG234=""),"",ROUND(BE234*BG234*(1+Справочники!$B$10),0)))</f>
        <v/>
      </c>
      <c r="BI234" s="92" t="str">
        <f aca="false">IF(OR(AU234="",BH234="",AU234=0),"",(AU234-BH234)/AU234)</f>
        <v/>
      </c>
      <c r="BJ234" s="81"/>
      <c r="BK234" s="83"/>
      <c r="BL234" s="43" t="str">
        <f aca="false">IFERROR(INDEX(ЗАКАЗЫ!$N$3:$N$500,MATCH($A234,ЗАКАЗЫ!$F$3:$F$500,0)),"")</f>
        <v/>
      </c>
      <c r="BM234" s="8" t="str">
        <f aca="false">IF(BL234="","",IFERROR(VLOOKUP(BL234,'ТН ВЭД'!$A$4:$C$40,3,0),""))</f>
        <v/>
      </c>
      <c r="BN234" s="7" t="str">
        <f aca="false">IF(COUNTIF(ЗАКАЗЫ!$F$3:$F$500,$A234)=0,"",SUMIF(ЗАКАЗЫ!$F$3:$F$500,$A234,ЗАКАЗЫ!$J$3:$J$500))</f>
        <v/>
      </c>
      <c r="BO234" s="7" t="str">
        <f aca="false">IF(BN234="","",SUMIF(ЗАКАЗЫ!$F$3:$F$500,$A234,ЗАКАЗЫ!$AL$3:$AL$500))</f>
        <v/>
      </c>
      <c r="BP234" s="7" t="str">
        <f aca="false">IF(BN234="","",BN234-BO234)</f>
        <v/>
      </c>
      <c r="BQ234" s="55" t="str">
        <f aca="false">IF(BN234="","",IF(BO234&gt;=BN234,"На складе",IF(BO234&gt;0,"Частично","Ждём")))</f>
        <v/>
      </c>
      <c r="BR234" s="43"/>
      <c r="BS234" s="47" t="str">
        <f aca="false">IF(BN234="","",IF(_xlfn.MAXIFS(ЗАКАЗЫ!$AK$3:$AK$500,ЗАКАЗЫ!$F$3:$F$500,$A234)=0,"",_xlfn.MAXIFS(ЗАКАЗЫ!$AK$3:$AK$500,ЗАКАЗЫ!$F$3:$F$500,$A234)))</f>
        <v/>
      </c>
    </row>
    <row r="235" customFormat="false" ht="15.75" hidden="false" customHeight="true" outlineLevel="0" collapsed="false">
      <c r="A235" s="80" t="s">
        <v>2775</v>
      </c>
      <c r="B235" s="81"/>
      <c r="C235" s="81"/>
      <c r="D235" s="81"/>
      <c r="E235" s="83"/>
      <c r="F235" s="81"/>
      <c r="G235" s="83"/>
      <c r="H235" s="83"/>
      <c r="I235" s="84" t="str">
        <f aca="false">IF(E235="","",A235&amp;"_1.jpg")</f>
        <v/>
      </c>
      <c r="J235" s="84" t="str">
        <f aca="false">IF(E235="","",A235&amp;"_2.jpg; "&amp;A235&amp;"_3.jpg")</f>
        <v/>
      </c>
      <c r="K235" s="84" t="str">
        <f aca="false">IF(E235="","",A235&amp;"_schema.jpg")</f>
        <v/>
      </c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 t="s">
        <v>96</v>
      </c>
      <c r="W235" s="81"/>
      <c r="X235" s="81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6" t="str">
        <f aca="false">IF(SUM(Y235:AJ235)=0,"",SUM(Y235:AJ235))</f>
        <v/>
      </c>
      <c r="AL235" s="84" t="str">
        <f aca="false">MID(IF(N(Y235)&gt;0,", "&amp;Y$2,"")&amp;IF(N(Z235)&gt;0,", "&amp;Z$2,"")&amp;IF(N(AA235)&gt;0,", "&amp;AA$2,"")&amp;IF(N(AB235)&gt;0,", "&amp;AB$2,"")&amp;IF(N(AC235)&gt;0,", "&amp;AC$2,"")&amp;IF(N(AD235)&gt;0,", "&amp;AD$2,"")&amp;IF(N(AE235)&gt;0,", "&amp;AE$2,"")&amp;IF(N(AF235)&gt;0,", "&amp;AF$2,"")&amp;IF(N(AG235)&gt;0,", "&amp;AG$2,"")&amp;IF(N(AH235)&gt;0,", "&amp;AH$2,"")&amp;IF(N(AI235)&gt;0,", "&amp;AI$2,"")&amp;IF(N(AJ235)&gt;0,", "&amp;AJ$2,""),3,999)</f>
        <v/>
      </c>
      <c r="AM235" s="87" t="str">
        <f aca="false">IF(E235="","",MID(IF(N(Y235)&gt;0,", "&amp;A235&amp;"-"&amp;Y$2,"")&amp;IF(N(Z235)&gt;0,", "&amp;A235&amp;"-"&amp;Z$2,"")&amp;IF(N(AA235)&gt;0,", "&amp;A235&amp;"-"&amp;AA$2,"")&amp;IF(N(AB235)&gt;0,", "&amp;A235&amp;"-"&amp;AB$2,"")&amp;IF(N(AC235)&gt;0,", "&amp;A235&amp;"-"&amp;AC$2,"")&amp;IF(N(AD235)&gt;0,", "&amp;A235&amp;"-"&amp;AD$2,"")&amp;IF(N(AE235)&gt;0,", "&amp;A235&amp;"-"&amp;AE$2,"")&amp;IF(N(AF235)&gt;0,", "&amp;A235&amp;"-"&amp;AF$2,"")&amp;IF(N(AG235)&gt;0,", "&amp;A235&amp;"-"&amp;AG$2,"")&amp;IF(N(AH235)&gt;0,", "&amp;A235&amp;"-"&amp;AH$2,"")&amp;IF(N(AI235)&gt;0,", "&amp;A235&amp;"-"&amp;AI$2,"")&amp;IF(N(AJ235)&gt;0,", "&amp;A235&amp;"-"&amp;AJ$2,""),3,999))</f>
        <v/>
      </c>
      <c r="AN235" s="81"/>
      <c r="AO235" s="88"/>
      <c r="AP235" s="89" t="str">
        <f aca="false">IF(AO235="","",ROUND(AO235/(1+Справочники!$B$13),2))</f>
        <v/>
      </c>
      <c r="AQ235" s="90" t="str">
        <f aca="false" t="array" ref="AQ235:AQ235">IF(AP235="","",AP235*INDEX(Справочники!$B$4:$B$7,MATCH("RUB",Справочники!$A$4:$A$7,0)))</f>
        <v/>
      </c>
      <c r="AR235" s="90" t="str">
        <f aca="false">IF(AQ235="","",ROUND(AQ235*(1+Справочники!$B$12),0))</f>
        <v/>
      </c>
      <c r="AS235" s="90" t="str">
        <f aca="false">IF(AR235="","",ROUND(AR235*(1-Справочники!$B$11),0))</f>
        <v/>
      </c>
      <c r="AT235" s="88"/>
      <c r="AU235" s="90" t="str">
        <f aca="false">IF(AT235="","",ROUND(AT235/(1+Справочники!$B$12),0))</f>
        <v/>
      </c>
      <c r="AV235" s="90" t="str">
        <f aca="false">IF(AT235="","",ROUND(AT235*(1-Справочники!$B$15),0))</f>
        <v/>
      </c>
      <c r="AW235" s="90" t="str">
        <f aca="false">IF(AT235="","",ROUND(AT235*(1-Справочники!$B$16),0))</f>
        <v/>
      </c>
      <c r="AX235" s="90" t="str">
        <f aca="false">IF(AT235="","",ROUND(AT235*(1-Справочники!$B$17),0))</f>
        <v/>
      </c>
      <c r="AY235" s="90" t="str">
        <f aca="false">IF(AT235="","",ROUND(AT235*(1-Справочники!$B$18),0))</f>
        <v/>
      </c>
      <c r="AZ235" s="90" t="str">
        <f aca="false">IF(AT235="","",ROUND(AT235*(1-Справочники!$B$19),0))</f>
        <v/>
      </c>
      <c r="BA235" s="81"/>
      <c r="BB235" s="81"/>
      <c r="BC235" s="81"/>
      <c r="BD235" s="81"/>
      <c r="BE235" s="91"/>
      <c r="BF235" s="81" t="s">
        <v>103</v>
      </c>
      <c r="BG235" s="89" t="n">
        <f aca="false" t="array" ref="BG235:BG235">IF(BF235="","",IFERROR(INDEX(Справочники!$B$4:$B$7,MATCH(BF235,Справочники!$A$4:$A$7,0)),""))</f>
        <v>68.5</v>
      </c>
      <c r="BH235" s="90" t="str">
        <f aca="false">IF(N(BN235)&gt;0,ROUND(SUMIF(ЗАКАЗЫ!$F$3:$F$500,$A235,ЗАКАЗЫ!$Y$3:$Y$500)/BN235,0),IF(OR(BE235="",BG235=""),"",ROUND(BE235*BG235*(1+Справочники!$B$10),0)))</f>
        <v/>
      </c>
      <c r="BI235" s="92" t="str">
        <f aca="false">IF(OR(AU235="",BH235="",AU235=0),"",(AU235-BH235)/AU235)</f>
        <v/>
      </c>
      <c r="BJ235" s="81"/>
      <c r="BK235" s="83"/>
      <c r="BL235" s="43" t="str">
        <f aca="false">IFERROR(INDEX(ЗАКАЗЫ!$N$3:$N$500,MATCH($A235,ЗАКАЗЫ!$F$3:$F$500,0)),"")</f>
        <v/>
      </c>
      <c r="BM235" s="8" t="str">
        <f aca="false">IF(BL235="","",IFERROR(VLOOKUP(BL235,'ТН ВЭД'!$A$4:$C$40,3,0),""))</f>
        <v/>
      </c>
      <c r="BN235" s="7" t="str">
        <f aca="false">IF(COUNTIF(ЗАКАЗЫ!$F$3:$F$500,$A235)=0,"",SUMIF(ЗАКАЗЫ!$F$3:$F$500,$A235,ЗАКАЗЫ!$J$3:$J$500))</f>
        <v/>
      </c>
      <c r="BO235" s="7" t="str">
        <f aca="false">IF(BN235="","",SUMIF(ЗАКАЗЫ!$F$3:$F$500,$A235,ЗАКАЗЫ!$AL$3:$AL$500))</f>
        <v/>
      </c>
      <c r="BP235" s="7" t="str">
        <f aca="false">IF(BN235="","",BN235-BO235)</f>
        <v/>
      </c>
      <c r="BQ235" s="55" t="str">
        <f aca="false">IF(BN235="","",IF(BO235&gt;=BN235,"На складе",IF(BO235&gt;0,"Частично","Ждём")))</f>
        <v/>
      </c>
      <c r="BR235" s="43"/>
      <c r="BS235" s="47" t="str">
        <f aca="false">IF(BN235="","",IF(_xlfn.MAXIFS(ЗАКАЗЫ!$AK$3:$AK$500,ЗАКАЗЫ!$F$3:$F$500,$A235)=0,"",_xlfn.MAXIFS(ЗАКАЗЫ!$AK$3:$AK$500,ЗАКАЗЫ!$F$3:$F$500,$A235)))</f>
        <v/>
      </c>
    </row>
    <row r="236" customFormat="false" ht="15.75" hidden="false" customHeight="true" outlineLevel="0" collapsed="false">
      <c r="A236" s="80" t="s">
        <v>2776</v>
      </c>
      <c r="B236" s="81"/>
      <c r="C236" s="81"/>
      <c r="D236" s="81"/>
      <c r="E236" s="83"/>
      <c r="F236" s="81"/>
      <c r="G236" s="83"/>
      <c r="H236" s="83"/>
      <c r="I236" s="84" t="str">
        <f aca="false">IF(E236="","",A236&amp;"_1.jpg")</f>
        <v/>
      </c>
      <c r="J236" s="84" t="str">
        <f aca="false">IF(E236="","",A236&amp;"_2.jpg; "&amp;A236&amp;"_3.jpg")</f>
        <v/>
      </c>
      <c r="K236" s="84" t="str">
        <f aca="false">IF(E236="","",A236&amp;"_schema.jpg")</f>
        <v/>
      </c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 t="s">
        <v>96</v>
      </c>
      <c r="W236" s="81"/>
      <c r="X236" s="81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6" t="str">
        <f aca="false">IF(SUM(Y236:AJ236)=0,"",SUM(Y236:AJ236))</f>
        <v/>
      </c>
      <c r="AL236" s="84" t="str">
        <f aca="false">MID(IF(N(Y236)&gt;0,", "&amp;Y$2,"")&amp;IF(N(Z236)&gt;0,", "&amp;Z$2,"")&amp;IF(N(AA236)&gt;0,", "&amp;AA$2,"")&amp;IF(N(AB236)&gt;0,", "&amp;AB$2,"")&amp;IF(N(AC236)&gt;0,", "&amp;AC$2,"")&amp;IF(N(AD236)&gt;0,", "&amp;AD$2,"")&amp;IF(N(AE236)&gt;0,", "&amp;AE$2,"")&amp;IF(N(AF236)&gt;0,", "&amp;AF$2,"")&amp;IF(N(AG236)&gt;0,", "&amp;AG$2,"")&amp;IF(N(AH236)&gt;0,", "&amp;AH$2,"")&amp;IF(N(AI236)&gt;0,", "&amp;AI$2,"")&amp;IF(N(AJ236)&gt;0,", "&amp;AJ$2,""),3,999)</f>
        <v/>
      </c>
      <c r="AM236" s="87" t="str">
        <f aca="false">IF(E236="","",MID(IF(N(Y236)&gt;0,", "&amp;A236&amp;"-"&amp;Y$2,"")&amp;IF(N(Z236)&gt;0,", "&amp;A236&amp;"-"&amp;Z$2,"")&amp;IF(N(AA236)&gt;0,", "&amp;A236&amp;"-"&amp;AA$2,"")&amp;IF(N(AB236)&gt;0,", "&amp;A236&amp;"-"&amp;AB$2,"")&amp;IF(N(AC236)&gt;0,", "&amp;A236&amp;"-"&amp;AC$2,"")&amp;IF(N(AD236)&gt;0,", "&amp;A236&amp;"-"&amp;AD$2,"")&amp;IF(N(AE236)&gt;0,", "&amp;A236&amp;"-"&amp;AE$2,"")&amp;IF(N(AF236)&gt;0,", "&amp;A236&amp;"-"&amp;AF$2,"")&amp;IF(N(AG236)&gt;0,", "&amp;A236&amp;"-"&amp;AG$2,"")&amp;IF(N(AH236)&gt;0,", "&amp;A236&amp;"-"&amp;AH$2,"")&amp;IF(N(AI236)&gt;0,", "&amp;A236&amp;"-"&amp;AI$2,"")&amp;IF(N(AJ236)&gt;0,", "&amp;A236&amp;"-"&amp;AJ$2,""),3,999))</f>
        <v/>
      </c>
      <c r="AN236" s="81"/>
      <c r="AO236" s="88"/>
      <c r="AP236" s="89" t="str">
        <f aca="false">IF(AO236="","",ROUND(AO236/(1+Справочники!$B$13),2))</f>
        <v/>
      </c>
      <c r="AQ236" s="90" t="str">
        <f aca="false" t="array" ref="AQ236:AQ236">IF(AP236="","",AP236*INDEX(Справочники!$B$4:$B$7,MATCH("RUB",Справочники!$A$4:$A$7,0)))</f>
        <v/>
      </c>
      <c r="AR236" s="90" t="str">
        <f aca="false">IF(AQ236="","",ROUND(AQ236*(1+Справочники!$B$12),0))</f>
        <v/>
      </c>
      <c r="AS236" s="90" t="str">
        <f aca="false">IF(AR236="","",ROUND(AR236*(1-Справочники!$B$11),0))</f>
        <v/>
      </c>
      <c r="AT236" s="88"/>
      <c r="AU236" s="90" t="str">
        <f aca="false">IF(AT236="","",ROUND(AT236/(1+Справочники!$B$12),0))</f>
        <v/>
      </c>
      <c r="AV236" s="90" t="str">
        <f aca="false">IF(AT236="","",ROUND(AT236*(1-Справочники!$B$15),0))</f>
        <v/>
      </c>
      <c r="AW236" s="90" t="str">
        <f aca="false">IF(AT236="","",ROUND(AT236*(1-Справочники!$B$16),0))</f>
        <v/>
      </c>
      <c r="AX236" s="90" t="str">
        <f aca="false">IF(AT236="","",ROUND(AT236*(1-Справочники!$B$17),0))</f>
        <v/>
      </c>
      <c r="AY236" s="90" t="str">
        <f aca="false">IF(AT236="","",ROUND(AT236*(1-Справочники!$B$18),0))</f>
        <v/>
      </c>
      <c r="AZ236" s="90" t="str">
        <f aca="false">IF(AT236="","",ROUND(AT236*(1-Справочники!$B$19),0))</f>
        <v/>
      </c>
      <c r="BA236" s="81"/>
      <c r="BB236" s="81"/>
      <c r="BC236" s="81"/>
      <c r="BD236" s="81"/>
      <c r="BE236" s="91"/>
      <c r="BF236" s="81" t="s">
        <v>103</v>
      </c>
      <c r="BG236" s="89" t="n">
        <f aca="false" t="array" ref="BG236:BG236">IF(BF236="","",IFERROR(INDEX(Справочники!$B$4:$B$7,MATCH(BF236,Справочники!$A$4:$A$7,0)),""))</f>
        <v>68.5</v>
      </c>
      <c r="BH236" s="90" t="str">
        <f aca="false">IF(N(BN236)&gt;0,ROUND(SUMIF(ЗАКАЗЫ!$F$3:$F$500,$A236,ЗАКАЗЫ!$Y$3:$Y$500)/BN236,0),IF(OR(BE236="",BG236=""),"",ROUND(BE236*BG236*(1+Справочники!$B$10),0)))</f>
        <v/>
      </c>
      <c r="BI236" s="92" t="str">
        <f aca="false">IF(OR(AU236="",BH236="",AU236=0),"",(AU236-BH236)/AU236)</f>
        <v/>
      </c>
      <c r="BJ236" s="81"/>
      <c r="BK236" s="83"/>
      <c r="BL236" s="43" t="str">
        <f aca="false">IFERROR(INDEX(ЗАКАЗЫ!$N$3:$N$500,MATCH($A236,ЗАКАЗЫ!$F$3:$F$500,0)),"")</f>
        <v/>
      </c>
      <c r="BM236" s="8" t="str">
        <f aca="false">IF(BL236="","",IFERROR(VLOOKUP(BL236,'ТН ВЭД'!$A$4:$C$40,3,0),""))</f>
        <v/>
      </c>
      <c r="BN236" s="7" t="str">
        <f aca="false">IF(COUNTIF(ЗАКАЗЫ!$F$3:$F$500,$A236)=0,"",SUMIF(ЗАКАЗЫ!$F$3:$F$500,$A236,ЗАКАЗЫ!$J$3:$J$500))</f>
        <v/>
      </c>
      <c r="BO236" s="7" t="str">
        <f aca="false">IF(BN236="","",SUMIF(ЗАКАЗЫ!$F$3:$F$500,$A236,ЗАКАЗЫ!$AL$3:$AL$500))</f>
        <v/>
      </c>
      <c r="BP236" s="7" t="str">
        <f aca="false">IF(BN236="","",BN236-BO236)</f>
        <v/>
      </c>
      <c r="BQ236" s="55" t="str">
        <f aca="false">IF(BN236="","",IF(BO236&gt;=BN236,"На складе",IF(BO236&gt;0,"Частично","Ждём")))</f>
        <v/>
      </c>
      <c r="BR236" s="43"/>
      <c r="BS236" s="47" t="str">
        <f aca="false">IF(BN236="","",IF(_xlfn.MAXIFS(ЗАКАЗЫ!$AK$3:$AK$500,ЗАКАЗЫ!$F$3:$F$500,$A236)=0,"",_xlfn.MAXIFS(ЗАКАЗЫ!$AK$3:$AK$500,ЗАКАЗЫ!$F$3:$F$500,$A236)))</f>
        <v/>
      </c>
    </row>
    <row r="237" customFormat="false" ht="15.75" hidden="false" customHeight="true" outlineLevel="0" collapsed="false">
      <c r="A237" s="80" t="s">
        <v>2777</v>
      </c>
      <c r="B237" s="81"/>
      <c r="C237" s="81"/>
      <c r="D237" s="81"/>
      <c r="E237" s="83"/>
      <c r="F237" s="81"/>
      <c r="G237" s="83"/>
      <c r="H237" s="83"/>
      <c r="I237" s="84" t="str">
        <f aca="false">IF(E237="","",A237&amp;"_1.jpg")</f>
        <v/>
      </c>
      <c r="J237" s="84" t="str">
        <f aca="false">IF(E237="","",A237&amp;"_2.jpg; "&amp;A237&amp;"_3.jpg")</f>
        <v/>
      </c>
      <c r="K237" s="84" t="str">
        <f aca="false">IF(E237="","",A237&amp;"_schema.jpg")</f>
        <v/>
      </c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 t="s">
        <v>96</v>
      </c>
      <c r="W237" s="81"/>
      <c r="X237" s="81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6" t="str">
        <f aca="false">IF(SUM(Y237:AJ237)=0,"",SUM(Y237:AJ237))</f>
        <v/>
      </c>
      <c r="AL237" s="84" t="str">
        <f aca="false">MID(IF(N(Y237)&gt;0,", "&amp;Y$2,"")&amp;IF(N(Z237)&gt;0,", "&amp;Z$2,"")&amp;IF(N(AA237)&gt;0,", "&amp;AA$2,"")&amp;IF(N(AB237)&gt;0,", "&amp;AB$2,"")&amp;IF(N(AC237)&gt;0,", "&amp;AC$2,"")&amp;IF(N(AD237)&gt;0,", "&amp;AD$2,"")&amp;IF(N(AE237)&gt;0,", "&amp;AE$2,"")&amp;IF(N(AF237)&gt;0,", "&amp;AF$2,"")&amp;IF(N(AG237)&gt;0,", "&amp;AG$2,"")&amp;IF(N(AH237)&gt;0,", "&amp;AH$2,"")&amp;IF(N(AI237)&gt;0,", "&amp;AI$2,"")&amp;IF(N(AJ237)&gt;0,", "&amp;AJ$2,""),3,999)</f>
        <v/>
      </c>
      <c r="AM237" s="87" t="str">
        <f aca="false">IF(E237="","",MID(IF(N(Y237)&gt;0,", "&amp;A237&amp;"-"&amp;Y$2,"")&amp;IF(N(Z237)&gt;0,", "&amp;A237&amp;"-"&amp;Z$2,"")&amp;IF(N(AA237)&gt;0,", "&amp;A237&amp;"-"&amp;AA$2,"")&amp;IF(N(AB237)&gt;0,", "&amp;A237&amp;"-"&amp;AB$2,"")&amp;IF(N(AC237)&gt;0,", "&amp;A237&amp;"-"&amp;AC$2,"")&amp;IF(N(AD237)&gt;0,", "&amp;A237&amp;"-"&amp;AD$2,"")&amp;IF(N(AE237)&gt;0,", "&amp;A237&amp;"-"&amp;AE$2,"")&amp;IF(N(AF237)&gt;0,", "&amp;A237&amp;"-"&amp;AF$2,"")&amp;IF(N(AG237)&gt;0,", "&amp;A237&amp;"-"&amp;AG$2,"")&amp;IF(N(AH237)&gt;0,", "&amp;A237&amp;"-"&amp;AH$2,"")&amp;IF(N(AI237)&gt;0,", "&amp;A237&amp;"-"&amp;AI$2,"")&amp;IF(N(AJ237)&gt;0,", "&amp;A237&amp;"-"&amp;AJ$2,""),3,999))</f>
        <v/>
      </c>
      <c r="AN237" s="81"/>
      <c r="AO237" s="88"/>
      <c r="AP237" s="89" t="str">
        <f aca="false">IF(AO237="","",ROUND(AO237/(1+Справочники!$B$13),2))</f>
        <v/>
      </c>
      <c r="AQ237" s="90" t="str">
        <f aca="false" t="array" ref="AQ237:AQ237">IF(AP237="","",AP237*INDEX(Справочники!$B$4:$B$7,MATCH("RUB",Справочники!$A$4:$A$7,0)))</f>
        <v/>
      </c>
      <c r="AR237" s="90" t="str">
        <f aca="false">IF(AQ237="","",ROUND(AQ237*(1+Справочники!$B$12),0))</f>
        <v/>
      </c>
      <c r="AS237" s="90" t="str">
        <f aca="false">IF(AR237="","",ROUND(AR237*(1-Справочники!$B$11),0))</f>
        <v/>
      </c>
      <c r="AT237" s="88"/>
      <c r="AU237" s="90" t="str">
        <f aca="false">IF(AT237="","",ROUND(AT237/(1+Справочники!$B$12),0))</f>
        <v/>
      </c>
      <c r="AV237" s="90" t="str">
        <f aca="false">IF(AT237="","",ROUND(AT237*(1-Справочники!$B$15),0))</f>
        <v/>
      </c>
      <c r="AW237" s="90" t="str">
        <f aca="false">IF(AT237="","",ROUND(AT237*(1-Справочники!$B$16),0))</f>
        <v/>
      </c>
      <c r="AX237" s="90" t="str">
        <f aca="false">IF(AT237="","",ROUND(AT237*(1-Справочники!$B$17),0))</f>
        <v/>
      </c>
      <c r="AY237" s="90" t="str">
        <f aca="false">IF(AT237="","",ROUND(AT237*(1-Справочники!$B$18),0))</f>
        <v/>
      </c>
      <c r="AZ237" s="90" t="str">
        <f aca="false">IF(AT237="","",ROUND(AT237*(1-Справочники!$B$19),0))</f>
        <v/>
      </c>
      <c r="BA237" s="81"/>
      <c r="BB237" s="81"/>
      <c r="BC237" s="81"/>
      <c r="BD237" s="81"/>
      <c r="BE237" s="91"/>
      <c r="BF237" s="81" t="s">
        <v>103</v>
      </c>
      <c r="BG237" s="89" t="n">
        <f aca="false" t="array" ref="BG237:BG237">IF(BF237="","",IFERROR(INDEX(Справочники!$B$4:$B$7,MATCH(BF237,Справочники!$A$4:$A$7,0)),""))</f>
        <v>68.5</v>
      </c>
      <c r="BH237" s="90" t="str">
        <f aca="false">IF(N(BN237)&gt;0,ROUND(SUMIF(ЗАКАЗЫ!$F$3:$F$500,$A237,ЗАКАЗЫ!$Y$3:$Y$500)/BN237,0),IF(OR(BE237="",BG237=""),"",ROUND(BE237*BG237*(1+Справочники!$B$10),0)))</f>
        <v/>
      </c>
      <c r="BI237" s="92" t="str">
        <f aca="false">IF(OR(AU237="",BH237="",AU237=0),"",(AU237-BH237)/AU237)</f>
        <v/>
      </c>
      <c r="BJ237" s="81"/>
      <c r="BK237" s="83"/>
      <c r="BL237" s="43" t="str">
        <f aca="false">IFERROR(INDEX(ЗАКАЗЫ!$N$3:$N$500,MATCH($A237,ЗАКАЗЫ!$F$3:$F$500,0)),"")</f>
        <v/>
      </c>
      <c r="BM237" s="8" t="str">
        <f aca="false">IF(BL237="","",IFERROR(VLOOKUP(BL237,'ТН ВЭД'!$A$4:$C$40,3,0),""))</f>
        <v/>
      </c>
      <c r="BN237" s="7" t="str">
        <f aca="false">IF(COUNTIF(ЗАКАЗЫ!$F$3:$F$500,$A237)=0,"",SUMIF(ЗАКАЗЫ!$F$3:$F$500,$A237,ЗАКАЗЫ!$J$3:$J$500))</f>
        <v/>
      </c>
      <c r="BO237" s="7" t="str">
        <f aca="false">IF(BN237="","",SUMIF(ЗАКАЗЫ!$F$3:$F$500,$A237,ЗАКАЗЫ!$AL$3:$AL$500))</f>
        <v/>
      </c>
      <c r="BP237" s="7" t="str">
        <f aca="false">IF(BN237="","",BN237-BO237)</f>
        <v/>
      </c>
      <c r="BQ237" s="55" t="str">
        <f aca="false">IF(BN237="","",IF(BO237&gt;=BN237,"На складе",IF(BO237&gt;0,"Частично","Ждём")))</f>
        <v/>
      </c>
      <c r="BR237" s="43"/>
      <c r="BS237" s="47" t="str">
        <f aca="false">IF(BN237="","",IF(_xlfn.MAXIFS(ЗАКАЗЫ!$AK$3:$AK$500,ЗАКАЗЫ!$F$3:$F$500,$A237)=0,"",_xlfn.MAXIFS(ЗАКАЗЫ!$AK$3:$AK$500,ЗАКАЗЫ!$F$3:$F$500,$A237)))</f>
        <v/>
      </c>
    </row>
    <row r="238" customFormat="false" ht="15.75" hidden="false" customHeight="true" outlineLevel="0" collapsed="false">
      <c r="A238" s="80" t="s">
        <v>2778</v>
      </c>
      <c r="B238" s="81"/>
      <c r="C238" s="81"/>
      <c r="D238" s="81"/>
      <c r="E238" s="83"/>
      <c r="F238" s="81"/>
      <c r="G238" s="83"/>
      <c r="H238" s="83"/>
      <c r="I238" s="84" t="str">
        <f aca="false">IF(E238="","",A238&amp;"_1.jpg")</f>
        <v/>
      </c>
      <c r="J238" s="84" t="str">
        <f aca="false">IF(E238="","",A238&amp;"_2.jpg; "&amp;A238&amp;"_3.jpg")</f>
        <v/>
      </c>
      <c r="K238" s="84" t="str">
        <f aca="false">IF(E238="","",A238&amp;"_schema.jpg")</f>
        <v/>
      </c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 t="s">
        <v>96</v>
      </c>
      <c r="W238" s="81"/>
      <c r="X238" s="81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6" t="str">
        <f aca="false">IF(SUM(Y238:AJ238)=0,"",SUM(Y238:AJ238))</f>
        <v/>
      </c>
      <c r="AL238" s="84" t="str">
        <f aca="false">MID(IF(N(Y238)&gt;0,", "&amp;Y$2,"")&amp;IF(N(Z238)&gt;0,", "&amp;Z$2,"")&amp;IF(N(AA238)&gt;0,", "&amp;AA$2,"")&amp;IF(N(AB238)&gt;0,", "&amp;AB$2,"")&amp;IF(N(AC238)&gt;0,", "&amp;AC$2,"")&amp;IF(N(AD238)&gt;0,", "&amp;AD$2,"")&amp;IF(N(AE238)&gt;0,", "&amp;AE$2,"")&amp;IF(N(AF238)&gt;0,", "&amp;AF$2,"")&amp;IF(N(AG238)&gt;0,", "&amp;AG$2,"")&amp;IF(N(AH238)&gt;0,", "&amp;AH$2,"")&amp;IF(N(AI238)&gt;0,", "&amp;AI$2,"")&amp;IF(N(AJ238)&gt;0,", "&amp;AJ$2,""),3,999)</f>
        <v/>
      </c>
      <c r="AM238" s="87" t="str">
        <f aca="false">IF(E238="","",MID(IF(N(Y238)&gt;0,", "&amp;A238&amp;"-"&amp;Y$2,"")&amp;IF(N(Z238)&gt;0,", "&amp;A238&amp;"-"&amp;Z$2,"")&amp;IF(N(AA238)&gt;0,", "&amp;A238&amp;"-"&amp;AA$2,"")&amp;IF(N(AB238)&gt;0,", "&amp;A238&amp;"-"&amp;AB$2,"")&amp;IF(N(AC238)&gt;0,", "&amp;A238&amp;"-"&amp;AC$2,"")&amp;IF(N(AD238)&gt;0,", "&amp;A238&amp;"-"&amp;AD$2,"")&amp;IF(N(AE238)&gt;0,", "&amp;A238&amp;"-"&amp;AE$2,"")&amp;IF(N(AF238)&gt;0,", "&amp;A238&amp;"-"&amp;AF$2,"")&amp;IF(N(AG238)&gt;0,", "&amp;A238&amp;"-"&amp;AG$2,"")&amp;IF(N(AH238)&gt;0,", "&amp;A238&amp;"-"&amp;AH$2,"")&amp;IF(N(AI238)&gt;0,", "&amp;A238&amp;"-"&amp;AI$2,"")&amp;IF(N(AJ238)&gt;0,", "&amp;A238&amp;"-"&amp;AJ$2,""),3,999))</f>
        <v/>
      </c>
      <c r="AN238" s="81"/>
      <c r="AO238" s="88"/>
      <c r="AP238" s="89" t="str">
        <f aca="false">IF(AO238="","",ROUND(AO238/(1+Справочники!$B$13),2))</f>
        <v/>
      </c>
      <c r="AQ238" s="90" t="str">
        <f aca="false" t="array" ref="AQ238:AQ238">IF(AP238="","",AP238*INDEX(Справочники!$B$4:$B$7,MATCH("RUB",Справочники!$A$4:$A$7,0)))</f>
        <v/>
      </c>
      <c r="AR238" s="90" t="str">
        <f aca="false">IF(AQ238="","",ROUND(AQ238*(1+Справочники!$B$12),0))</f>
        <v/>
      </c>
      <c r="AS238" s="90" t="str">
        <f aca="false">IF(AR238="","",ROUND(AR238*(1-Справочники!$B$11),0))</f>
        <v/>
      </c>
      <c r="AT238" s="88"/>
      <c r="AU238" s="90" t="str">
        <f aca="false">IF(AT238="","",ROUND(AT238/(1+Справочники!$B$12),0))</f>
        <v/>
      </c>
      <c r="AV238" s="90" t="str">
        <f aca="false">IF(AT238="","",ROUND(AT238*(1-Справочники!$B$15),0))</f>
        <v/>
      </c>
      <c r="AW238" s="90" t="str">
        <f aca="false">IF(AT238="","",ROUND(AT238*(1-Справочники!$B$16),0))</f>
        <v/>
      </c>
      <c r="AX238" s="90" t="str">
        <f aca="false">IF(AT238="","",ROUND(AT238*(1-Справочники!$B$17),0))</f>
        <v/>
      </c>
      <c r="AY238" s="90" t="str">
        <f aca="false">IF(AT238="","",ROUND(AT238*(1-Справочники!$B$18),0))</f>
        <v/>
      </c>
      <c r="AZ238" s="90" t="str">
        <f aca="false">IF(AT238="","",ROUND(AT238*(1-Справочники!$B$19),0))</f>
        <v/>
      </c>
      <c r="BA238" s="81"/>
      <c r="BB238" s="81"/>
      <c r="BC238" s="81"/>
      <c r="BD238" s="81"/>
      <c r="BE238" s="91"/>
      <c r="BF238" s="81" t="s">
        <v>103</v>
      </c>
      <c r="BG238" s="89" t="n">
        <f aca="false" t="array" ref="BG238:BG238">IF(BF238="","",IFERROR(INDEX(Справочники!$B$4:$B$7,MATCH(BF238,Справочники!$A$4:$A$7,0)),""))</f>
        <v>68.5</v>
      </c>
      <c r="BH238" s="90" t="str">
        <f aca="false">IF(N(BN238)&gt;0,ROUND(SUMIF(ЗАКАЗЫ!$F$3:$F$500,$A238,ЗАКАЗЫ!$Y$3:$Y$500)/BN238,0),IF(OR(BE238="",BG238=""),"",ROUND(BE238*BG238*(1+Справочники!$B$10),0)))</f>
        <v/>
      </c>
      <c r="BI238" s="92" t="str">
        <f aca="false">IF(OR(AU238="",BH238="",AU238=0),"",(AU238-BH238)/AU238)</f>
        <v/>
      </c>
      <c r="BJ238" s="81"/>
      <c r="BK238" s="83"/>
      <c r="BL238" s="43" t="str">
        <f aca="false">IFERROR(INDEX(ЗАКАЗЫ!$N$3:$N$500,MATCH($A238,ЗАКАЗЫ!$F$3:$F$500,0)),"")</f>
        <v/>
      </c>
      <c r="BM238" s="8" t="str">
        <f aca="false">IF(BL238="","",IFERROR(VLOOKUP(BL238,'ТН ВЭД'!$A$4:$C$40,3,0),""))</f>
        <v/>
      </c>
      <c r="BN238" s="7" t="str">
        <f aca="false">IF(COUNTIF(ЗАКАЗЫ!$F$3:$F$500,$A238)=0,"",SUMIF(ЗАКАЗЫ!$F$3:$F$500,$A238,ЗАКАЗЫ!$J$3:$J$500))</f>
        <v/>
      </c>
      <c r="BO238" s="7" t="str">
        <f aca="false">IF(BN238="","",SUMIF(ЗАКАЗЫ!$F$3:$F$500,$A238,ЗАКАЗЫ!$AL$3:$AL$500))</f>
        <v/>
      </c>
      <c r="BP238" s="7" t="str">
        <f aca="false">IF(BN238="","",BN238-BO238)</f>
        <v/>
      </c>
      <c r="BQ238" s="55" t="str">
        <f aca="false">IF(BN238="","",IF(BO238&gt;=BN238,"На складе",IF(BO238&gt;0,"Частично","Ждём")))</f>
        <v/>
      </c>
      <c r="BR238" s="43"/>
      <c r="BS238" s="47" t="str">
        <f aca="false">IF(BN238="","",IF(_xlfn.MAXIFS(ЗАКАЗЫ!$AK$3:$AK$500,ЗАКАЗЫ!$F$3:$F$500,$A238)=0,"",_xlfn.MAXIFS(ЗАКАЗЫ!$AK$3:$AK$500,ЗАКАЗЫ!$F$3:$F$500,$A238)))</f>
        <v/>
      </c>
    </row>
    <row r="239" customFormat="false" ht="15.75" hidden="false" customHeight="true" outlineLevel="0" collapsed="false">
      <c r="A239" s="80" t="s">
        <v>2779</v>
      </c>
      <c r="B239" s="81"/>
      <c r="C239" s="81"/>
      <c r="D239" s="81"/>
      <c r="E239" s="83"/>
      <c r="F239" s="81"/>
      <c r="G239" s="83"/>
      <c r="H239" s="83"/>
      <c r="I239" s="84" t="str">
        <f aca="false">IF(E239="","",A239&amp;"_1.jpg")</f>
        <v/>
      </c>
      <c r="J239" s="84" t="str">
        <f aca="false">IF(E239="","",A239&amp;"_2.jpg; "&amp;A239&amp;"_3.jpg")</f>
        <v/>
      </c>
      <c r="K239" s="84" t="str">
        <f aca="false">IF(E239="","",A239&amp;"_schema.jpg")</f>
        <v/>
      </c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 t="s">
        <v>96</v>
      </c>
      <c r="W239" s="81"/>
      <c r="X239" s="81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6" t="str">
        <f aca="false">IF(SUM(Y239:AJ239)=0,"",SUM(Y239:AJ239))</f>
        <v/>
      </c>
      <c r="AL239" s="84" t="str">
        <f aca="false">MID(IF(N(Y239)&gt;0,", "&amp;Y$2,"")&amp;IF(N(Z239)&gt;0,", "&amp;Z$2,"")&amp;IF(N(AA239)&gt;0,", "&amp;AA$2,"")&amp;IF(N(AB239)&gt;0,", "&amp;AB$2,"")&amp;IF(N(AC239)&gt;0,", "&amp;AC$2,"")&amp;IF(N(AD239)&gt;0,", "&amp;AD$2,"")&amp;IF(N(AE239)&gt;0,", "&amp;AE$2,"")&amp;IF(N(AF239)&gt;0,", "&amp;AF$2,"")&amp;IF(N(AG239)&gt;0,", "&amp;AG$2,"")&amp;IF(N(AH239)&gt;0,", "&amp;AH$2,"")&amp;IF(N(AI239)&gt;0,", "&amp;AI$2,"")&amp;IF(N(AJ239)&gt;0,", "&amp;AJ$2,""),3,999)</f>
        <v/>
      </c>
      <c r="AM239" s="87" t="str">
        <f aca="false">IF(E239="","",MID(IF(N(Y239)&gt;0,", "&amp;A239&amp;"-"&amp;Y$2,"")&amp;IF(N(Z239)&gt;0,", "&amp;A239&amp;"-"&amp;Z$2,"")&amp;IF(N(AA239)&gt;0,", "&amp;A239&amp;"-"&amp;AA$2,"")&amp;IF(N(AB239)&gt;0,", "&amp;A239&amp;"-"&amp;AB$2,"")&amp;IF(N(AC239)&gt;0,", "&amp;A239&amp;"-"&amp;AC$2,"")&amp;IF(N(AD239)&gt;0,", "&amp;A239&amp;"-"&amp;AD$2,"")&amp;IF(N(AE239)&gt;0,", "&amp;A239&amp;"-"&amp;AE$2,"")&amp;IF(N(AF239)&gt;0,", "&amp;A239&amp;"-"&amp;AF$2,"")&amp;IF(N(AG239)&gt;0,", "&amp;A239&amp;"-"&amp;AG$2,"")&amp;IF(N(AH239)&gt;0,", "&amp;A239&amp;"-"&amp;AH$2,"")&amp;IF(N(AI239)&gt;0,", "&amp;A239&amp;"-"&amp;AI$2,"")&amp;IF(N(AJ239)&gt;0,", "&amp;A239&amp;"-"&amp;AJ$2,""),3,999))</f>
        <v/>
      </c>
      <c r="AN239" s="81"/>
      <c r="AO239" s="88"/>
      <c r="AP239" s="89" t="str">
        <f aca="false">IF(AO239="","",ROUND(AO239/(1+Справочники!$B$13),2))</f>
        <v/>
      </c>
      <c r="AQ239" s="90" t="str">
        <f aca="false" t="array" ref="AQ239:AQ239">IF(AP239="","",AP239*INDEX(Справочники!$B$4:$B$7,MATCH("RUB",Справочники!$A$4:$A$7,0)))</f>
        <v/>
      </c>
      <c r="AR239" s="90" t="str">
        <f aca="false">IF(AQ239="","",ROUND(AQ239*(1+Справочники!$B$12),0))</f>
        <v/>
      </c>
      <c r="AS239" s="90" t="str">
        <f aca="false">IF(AR239="","",ROUND(AR239*(1-Справочники!$B$11),0))</f>
        <v/>
      </c>
      <c r="AT239" s="88"/>
      <c r="AU239" s="90" t="str">
        <f aca="false">IF(AT239="","",ROUND(AT239/(1+Справочники!$B$12),0))</f>
        <v/>
      </c>
      <c r="AV239" s="90" t="str">
        <f aca="false">IF(AT239="","",ROUND(AT239*(1-Справочники!$B$15),0))</f>
        <v/>
      </c>
      <c r="AW239" s="90" t="str">
        <f aca="false">IF(AT239="","",ROUND(AT239*(1-Справочники!$B$16),0))</f>
        <v/>
      </c>
      <c r="AX239" s="90" t="str">
        <f aca="false">IF(AT239="","",ROUND(AT239*(1-Справочники!$B$17),0))</f>
        <v/>
      </c>
      <c r="AY239" s="90" t="str">
        <f aca="false">IF(AT239="","",ROUND(AT239*(1-Справочники!$B$18),0))</f>
        <v/>
      </c>
      <c r="AZ239" s="90" t="str">
        <f aca="false">IF(AT239="","",ROUND(AT239*(1-Справочники!$B$19),0))</f>
        <v/>
      </c>
      <c r="BA239" s="81"/>
      <c r="BB239" s="81"/>
      <c r="BC239" s="81"/>
      <c r="BD239" s="81"/>
      <c r="BE239" s="91"/>
      <c r="BF239" s="81" t="s">
        <v>103</v>
      </c>
      <c r="BG239" s="89" t="n">
        <f aca="false" t="array" ref="BG239:BG239">IF(BF239="","",IFERROR(INDEX(Справочники!$B$4:$B$7,MATCH(BF239,Справочники!$A$4:$A$7,0)),""))</f>
        <v>68.5</v>
      </c>
      <c r="BH239" s="90" t="str">
        <f aca="false">IF(N(BN239)&gt;0,ROUND(SUMIF(ЗАКАЗЫ!$F$3:$F$500,$A239,ЗАКАЗЫ!$Y$3:$Y$500)/BN239,0),IF(OR(BE239="",BG239=""),"",ROUND(BE239*BG239*(1+Справочники!$B$10),0)))</f>
        <v/>
      </c>
      <c r="BI239" s="92" t="str">
        <f aca="false">IF(OR(AU239="",BH239="",AU239=0),"",(AU239-BH239)/AU239)</f>
        <v/>
      </c>
      <c r="BJ239" s="81"/>
      <c r="BK239" s="83"/>
      <c r="BL239" s="43" t="str">
        <f aca="false">IFERROR(INDEX(ЗАКАЗЫ!$N$3:$N$500,MATCH($A239,ЗАКАЗЫ!$F$3:$F$500,0)),"")</f>
        <v/>
      </c>
      <c r="BM239" s="8" t="str">
        <f aca="false">IF(BL239="","",IFERROR(VLOOKUP(BL239,'ТН ВЭД'!$A$4:$C$40,3,0),""))</f>
        <v/>
      </c>
      <c r="BN239" s="7" t="str">
        <f aca="false">IF(COUNTIF(ЗАКАЗЫ!$F$3:$F$500,$A239)=0,"",SUMIF(ЗАКАЗЫ!$F$3:$F$500,$A239,ЗАКАЗЫ!$J$3:$J$500))</f>
        <v/>
      </c>
      <c r="BO239" s="7" t="str">
        <f aca="false">IF(BN239="","",SUMIF(ЗАКАЗЫ!$F$3:$F$500,$A239,ЗАКАЗЫ!$AL$3:$AL$500))</f>
        <v/>
      </c>
      <c r="BP239" s="7" t="str">
        <f aca="false">IF(BN239="","",BN239-BO239)</f>
        <v/>
      </c>
      <c r="BQ239" s="55" t="str">
        <f aca="false">IF(BN239="","",IF(BO239&gt;=BN239,"На складе",IF(BO239&gt;0,"Частично","Ждём")))</f>
        <v/>
      </c>
      <c r="BR239" s="43"/>
      <c r="BS239" s="47" t="str">
        <f aca="false">IF(BN239="","",IF(_xlfn.MAXIFS(ЗАКАЗЫ!$AK$3:$AK$500,ЗАКАЗЫ!$F$3:$F$500,$A239)=0,"",_xlfn.MAXIFS(ЗАКАЗЫ!$AK$3:$AK$500,ЗАКАЗЫ!$F$3:$F$500,$A239)))</f>
        <v/>
      </c>
    </row>
    <row r="240" customFormat="false" ht="15.75" hidden="false" customHeight="true" outlineLevel="0" collapsed="false">
      <c r="A240" s="80" t="s">
        <v>2780</v>
      </c>
      <c r="B240" s="81"/>
      <c r="C240" s="81"/>
      <c r="D240" s="81"/>
      <c r="E240" s="83"/>
      <c r="F240" s="81"/>
      <c r="G240" s="83"/>
      <c r="H240" s="83"/>
      <c r="I240" s="84" t="str">
        <f aca="false">IF(E240="","",A240&amp;"_1.jpg")</f>
        <v/>
      </c>
      <c r="J240" s="84" t="str">
        <f aca="false">IF(E240="","",A240&amp;"_2.jpg; "&amp;A240&amp;"_3.jpg")</f>
        <v/>
      </c>
      <c r="K240" s="84" t="str">
        <f aca="false">IF(E240="","",A240&amp;"_schema.jpg")</f>
        <v/>
      </c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 t="s">
        <v>96</v>
      </c>
      <c r="W240" s="81"/>
      <c r="X240" s="81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6" t="str">
        <f aca="false">IF(SUM(Y240:AJ240)=0,"",SUM(Y240:AJ240))</f>
        <v/>
      </c>
      <c r="AL240" s="84" t="str">
        <f aca="false">MID(IF(N(Y240)&gt;0,", "&amp;Y$2,"")&amp;IF(N(Z240)&gt;0,", "&amp;Z$2,"")&amp;IF(N(AA240)&gt;0,", "&amp;AA$2,"")&amp;IF(N(AB240)&gt;0,", "&amp;AB$2,"")&amp;IF(N(AC240)&gt;0,", "&amp;AC$2,"")&amp;IF(N(AD240)&gt;0,", "&amp;AD$2,"")&amp;IF(N(AE240)&gt;0,", "&amp;AE$2,"")&amp;IF(N(AF240)&gt;0,", "&amp;AF$2,"")&amp;IF(N(AG240)&gt;0,", "&amp;AG$2,"")&amp;IF(N(AH240)&gt;0,", "&amp;AH$2,"")&amp;IF(N(AI240)&gt;0,", "&amp;AI$2,"")&amp;IF(N(AJ240)&gt;0,", "&amp;AJ$2,""),3,999)</f>
        <v/>
      </c>
      <c r="AM240" s="87" t="str">
        <f aca="false">IF(E240="","",MID(IF(N(Y240)&gt;0,", "&amp;A240&amp;"-"&amp;Y$2,"")&amp;IF(N(Z240)&gt;0,", "&amp;A240&amp;"-"&amp;Z$2,"")&amp;IF(N(AA240)&gt;0,", "&amp;A240&amp;"-"&amp;AA$2,"")&amp;IF(N(AB240)&gt;0,", "&amp;A240&amp;"-"&amp;AB$2,"")&amp;IF(N(AC240)&gt;0,", "&amp;A240&amp;"-"&amp;AC$2,"")&amp;IF(N(AD240)&gt;0,", "&amp;A240&amp;"-"&amp;AD$2,"")&amp;IF(N(AE240)&gt;0,", "&amp;A240&amp;"-"&amp;AE$2,"")&amp;IF(N(AF240)&gt;0,", "&amp;A240&amp;"-"&amp;AF$2,"")&amp;IF(N(AG240)&gt;0,", "&amp;A240&amp;"-"&amp;AG$2,"")&amp;IF(N(AH240)&gt;0,", "&amp;A240&amp;"-"&amp;AH$2,"")&amp;IF(N(AI240)&gt;0,", "&amp;A240&amp;"-"&amp;AI$2,"")&amp;IF(N(AJ240)&gt;0,", "&amp;A240&amp;"-"&amp;AJ$2,""),3,999))</f>
        <v/>
      </c>
      <c r="AN240" s="81"/>
      <c r="AO240" s="88"/>
      <c r="AP240" s="89" t="str">
        <f aca="false">IF(AO240="","",ROUND(AO240/(1+Справочники!$B$13),2))</f>
        <v/>
      </c>
      <c r="AQ240" s="90" t="str">
        <f aca="false" t="array" ref="AQ240:AQ240">IF(AP240="","",AP240*INDEX(Справочники!$B$4:$B$7,MATCH("RUB",Справочники!$A$4:$A$7,0)))</f>
        <v/>
      </c>
      <c r="AR240" s="90" t="str">
        <f aca="false">IF(AQ240="","",ROUND(AQ240*(1+Справочники!$B$12),0))</f>
        <v/>
      </c>
      <c r="AS240" s="90" t="str">
        <f aca="false">IF(AR240="","",ROUND(AR240*(1-Справочники!$B$11),0))</f>
        <v/>
      </c>
      <c r="AT240" s="88"/>
      <c r="AU240" s="90" t="str">
        <f aca="false">IF(AT240="","",ROUND(AT240/(1+Справочники!$B$12),0))</f>
        <v/>
      </c>
      <c r="AV240" s="90" t="str">
        <f aca="false">IF(AT240="","",ROUND(AT240*(1-Справочники!$B$15),0))</f>
        <v/>
      </c>
      <c r="AW240" s="90" t="str">
        <f aca="false">IF(AT240="","",ROUND(AT240*(1-Справочники!$B$16),0))</f>
        <v/>
      </c>
      <c r="AX240" s="90" t="str">
        <f aca="false">IF(AT240="","",ROUND(AT240*(1-Справочники!$B$17),0))</f>
        <v/>
      </c>
      <c r="AY240" s="90" t="str">
        <f aca="false">IF(AT240="","",ROUND(AT240*(1-Справочники!$B$18),0))</f>
        <v/>
      </c>
      <c r="AZ240" s="90" t="str">
        <f aca="false">IF(AT240="","",ROUND(AT240*(1-Справочники!$B$19),0))</f>
        <v/>
      </c>
      <c r="BA240" s="81"/>
      <c r="BB240" s="81"/>
      <c r="BC240" s="81"/>
      <c r="BD240" s="81"/>
      <c r="BE240" s="91"/>
      <c r="BF240" s="81" t="s">
        <v>103</v>
      </c>
      <c r="BG240" s="89" t="n">
        <f aca="false" t="array" ref="BG240:BG240">IF(BF240="","",IFERROR(INDEX(Справочники!$B$4:$B$7,MATCH(BF240,Справочники!$A$4:$A$7,0)),""))</f>
        <v>68.5</v>
      </c>
      <c r="BH240" s="90" t="str">
        <f aca="false">IF(N(BN240)&gt;0,ROUND(SUMIF(ЗАКАЗЫ!$F$3:$F$500,$A240,ЗАКАЗЫ!$Y$3:$Y$500)/BN240,0),IF(OR(BE240="",BG240=""),"",ROUND(BE240*BG240*(1+Справочники!$B$10),0)))</f>
        <v/>
      </c>
      <c r="BI240" s="92" t="str">
        <f aca="false">IF(OR(AU240="",BH240="",AU240=0),"",(AU240-BH240)/AU240)</f>
        <v/>
      </c>
      <c r="BJ240" s="81"/>
      <c r="BK240" s="83"/>
      <c r="BL240" s="43" t="str">
        <f aca="false">IFERROR(INDEX(ЗАКАЗЫ!$N$3:$N$500,MATCH($A240,ЗАКАЗЫ!$F$3:$F$500,0)),"")</f>
        <v/>
      </c>
      <c r="BM240" s="8" t="str">
        <f aca="false">IF(BL240="","",IFERROR(VLOOKUP(BL240,'ТН ВЭД'!$A$4:$C$40,3,0),""))</f>
        <v/>
      </c>
      <c r="BN240" s="7" t="str">
        <f aca="false">IF(COUNTIF(ЗАКАЗЫ!$F$3:$F$500,$A240)=0,"",SUMIF(ЗАКАЗЫ!$F$3:$F$500,$A240,ЗАКАЗЫ!$J$3:$J$500))</f>
        <v/>
      </c>
      <c r="BO240" s="7" t="str">
        <f aca="false">IF(BN240="","",SUMIF(ЗАКАЗЫ!$F$3:$F$500,$A240,ЗАКАЗЫ!$AL$3:$AL$500))</f>
        <v/>
      </c>
      <c r="BP240" s="7" t="str">
        <f aca="false">IF(BN240="","",BN240-BO240)</f>
        <v/>
      </c>
      <c r="BQ240" s="55" t="str">
        <f aca="false">IF(BN240="","",IF(BO240&gt;=BN240,"На складе",IF(BO240&gt;0,"Частично","Ждём")))</f>
        <v/>
      </c>
      <c r="BR240" s="43"/>
      <c r="BS240" s="47" t="str">
        <f aca="false">IF(BN240="","",IF(_xlfn.MAXIFS(ЗАКАЗЫ!$AK$3:$AK$500,ЗАКАЗЫ!$F$3:$F$500,$A240)=0,"",_xlfn.MAXIFS(ЗАКАЗЫ!$AK$3:$AK$500,ЗАКАЗЫ!$F$3:$F$500,$A240)))</f>
        <v/>
      </c>
    </row>
    <row r="241" customFormat="false" ht="15.75" hidden="false" customHeight="true" outlineLevel="0" collapsed="false">
      <c r="A241" s="80" t="s">
        <v>2781</v>
      </c>
      <c r="B241" s="81"/>
      <c r="C241" s="81"/>
      <c r="D241" s="81"/>
      <c r="E241" s="83"/>
      <c r="F241" s="81"/>
      <c r="G241" s="83"/>
      <c r="H241" s="83"/>
      <c r="I241" s="84" t="str">
        <f aca="false">IF(E241="","",A241&amp;"_1.jpg")</f>
        <v/>
      </c>
      <c r="J241" s="84" t="str">
        <f aca="false">IF(E241="","",A241&amp;"_2.jpg; "&amp;A241&amp;"_3.jpg")</f>
        <v/>
      </c>
      <c r="K241" s="84" t="str">
        <f aca="false">IF(E241="","",A241&amp;"_schema.jpg")</f>
        <v/>
      </c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 t="s">
        <v>96</v>
      </c>
      <c r="W241" s="81"/>
      <c r="X241" s="81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6" t="str">
        <f aca="false">IF(SUM(Y241:AJ241)=0,"",SUM(Y241:AJ241))</f>
        <v/>
      </c>
      <c r="AL241" s="84" t="str">
        <f aca="false">MID(IF(N(Y241)&gt;0,", "&amp;Y$2,"")&amp;IF(N(Z241)&gt;0,", "&amp;Z$2,"")&amp;IF(N(AA241)&gt;0,", "&amp;AA$2,"")&amp;IF(N(AB241)&gt;0,", "&amp;AB$2,"")&amp;IF(N(AC241)&gt;0,", "&amp;AC$2,"")&amp;IF(N(AD241)&gt;0,", "&amp;AD$2,"")&amp;IF(N(AE241)&gt;0,", "&amp;AE$2,"")&amp;IF(N(AF241)&gt;0,", "&amp;AF$2,"")&amp;IF(N(AG241)&gt;0,", "&amp;AG$2,"")&amp;IF(N(AH241)&gt;0,", "&amp;AH$2,"")&amp;IF(N(AI241)&gt;0,", "&amp;AI$2,"")&amp;IF(N(AJ241)&gt;0,", "&amp;AJ$2,""),3,999)</f>
        <v/>
      </c>
      <c r="AM241" s="87" t="str">
        <f aca="false">IF(E241="","",MID(IF(N(Y241)&gt;0,", "&amp;A241&amp;"-"&amp;Y$2,"")&amp;IF(N(Z241)&gt;0,", "&amp;A241&amp;"-"&amp;Z$2,"")&amp;IF(N(AA241)&gt;0,", "&amp;A241&amp;"-"&amp;AA$2,"")&amp;IF(N(AB241)&gt;0,", "&amp;A241&amp;"-"&amp;AB$2,"")&amp;IF(N(AC241)&gt;0,", "&amp;A241&amp;"-"&amp;AC$2,"")&amp;IF(N(AD241)&gt;0,", "&amp;A241&amp;"-"&amp;AD$2,"")&amp;IF(N(AE241)&gt;0,", "&amp;A241&amp;"-"&amp;AE$2,"")&amp;IF(N(AF241)&gt;0,", "&amp;A241&amp;"-"&amp;AF$2,"")&amp;IF(N(AG241)&gt;0,", "&amp;A241&amp;"-"&amp;AG$2,"")&amp;IF(N(AH241)&gt;0,", "&amp;A241&amp;"-"&amp;AH$2,"")&amp;IF(N(AI241)&gt;0,", "&amp;A241&amp;"-"&amp;AI$2,"")&amp;IF(N(AJ241)&gt;0,", "&amp;A241&amp;"-"&amp;AJ$2,""),3,999))</f>
        <v/>
      </c>
      <c r="AN241" s="81"/>
      <c r="AO241" s="88"/>
      <c r="AP241" s="89" t="str">
        <f aca="false">IF(AO241="","",ROUND(AO241/(1+Справочники!$B$13),2))</f>
        <v/>
      </c>
      <c r="AQ241" s="90" t="str">
        <f aca="false" t="array" ref="AQ241:AQ241">IF(AP241="","",AP241*INDEX(Справочники!$B$4:$B$7,MATCH("RUB",Справочники!$A$4:$A$7,0)))</f>
        <v/>
      </c>
      <c r="AR241" s="90" t="str">
        <f aca="false">IF(AQ241="","",ROUND(AQ241*(1+Справочники!$B$12),0))</f>
        <v/>
      </c>
      <c r="AS241" s="90" t="str">
        <f aca="false">IF(AR241="","",ROUND(AR241*(1-Справочники!$B$11),0))</f>
        <v/>
      </c>
      <c r="AT241" s="88"/>
      <c r="AU241" s="90" t="str">
        <f aca="false">IF(AT241="","",ROUND(AT241/(1+Справочники!$B$12),0))</f>
        <v/>
      </c>
      <c r="AV241" s="90" t="str">
        <f aca="false">IF(AT241="","",ROUND(AT241*(1-Справочники!$B$15),0))</f>
        <v/>
      </c>
      <c r="AW241" s="90" t="str">
        <f aca="false">IF(AT241="","",ROUND(AT241*(1-Справочники!$B$16),0))</f>
        <v/>
      </c>
      <c r="AX241" s="90" t="str">
        <f aca="false">IF(AT241="","",ROUND(AT241*(1-Справочники!$B$17),0))</f>
        <v/>
      </c>
      <c r="AY241" s="90" t="str">
        <f aca="false">IF(AT241="","",ROUND(AT241*(1-Справочники!$B$18),0))</f>
        <v/>
      </c>
      <c r="AZ241" s="90" t="str">
        <f aca="false">IF(AT241="","",ROUND(AT241*(1-Справочники!$B$19),0))</f>
        <v/>
      </c>
      <c r="BA241" s="81"/>
      <c r="BB241" s="81"/>
      <c r="BC241" s="81"/>
      <c r="BD241" s="81"/>
      <c r="BE241" s="91"/>
      <c r="BF241" s="81" t="s">
        <v>103</v>
      </c>
      <c r="BG241" s="89" t="n">
        <f aca="false" t="array" ref="BG241:BG241">IF(BF241="","",IFERROR(INDEX(Справочники!$B$4:$B$7,MATCH(BF241,Справочники!$A$4:$A$7,0)),""))</f>
        <v>68.5</v>
      </c>
      <c r="BH241" s="90" t="str">
        <f aca="false">IF(N(BN241)&gt;0,ROUND(SUMIF(ЗАКАЗЫ!$F$3:$F$500,$A241,ЗАКАЗЫ!$Y$3:$Y$500)/BN241,0),IF(OR(BE241="",BG241=""),"",ROUND(BE241*BG241*(1+Справочники!$B$10),0)))</f>
        <v/>
      </c>
      <c r="BI241" s="92" t="str">
        <f aca="false">IF(OR(AU241="",BH241="",AU241=0),"",(AU241-BH241)/AU241)</f>
        <v/>
      </c>
      <c r="BJ241" s="81"/>
      <c r="BK241" s="83"/>
      <c r="BL241" s="43" t="str">
        <f aca="false">IFERROR(INDEX(ЗАКАЗЫ!$N$3:$N$500,MATCH($A241,ЗАКАЗЫ!$F$3:$F$500,0)),"")</f>
        <v/>
      </c>
      <c r="BM241" s="8" t="str">
        <f aca="false">IF(BL241="","",IFERROR(VLOOKUP(BL241,'ТН ВЭД'!$A$4:$C$40,3,0),""))</f>
        <v/>
      </c>
      <c r="BN241" s="7" t="str">
        <f aca="false">IF(COUNTIF(ЗАКАЗЫ!$F$3:$F$500,$A241)=0,"",SUMIF(ЗАКАЗЫ!$F$3:$F$500,$A241,ЗАКАЗЫ!$J$3:$J$500))</f>
        <v/>
      </c>
      <c r="BO241" s="7" t="str">
        <f aca="false">IF(BN241="","",SUMIF(ЗАКАЗЫ!$F$3:$F$500,$A241,ЗАКАЗЫ!$AL$3:$AL$500))</f>
        <v/>
      </c>
      <c r="BP241" s="7" t="str">
        <f aca="false">IF(BN241="","",BN241-BO241)</f>
        <v/>
      </c>
      <c r="BQ241" s="55" t="str">
        <f aca="false">IF(BN241="","",IF(BO241&gt;=BN241,"На складе",IF(BO241&gt;0,"Частично","Ждём")))</f>
        <v/>
      </c>
      <c r="BR241" s="43"/>
      <c r="BS241" s="47" t="str">
        <f aca="false">IF(BN241="","",IF(_xlfn.MAXIFS(ЗАКАЗЫ!$AK$3:$AK$500,ЗАКАЗЫ!$F$3:$F$500,$A241)=0,"",_xlfn.MAXIFS(ЗАКАЗЫ!$AK$3:$AK$500,ЗАКАЗЫ!$F$3:$F$500,$A241)))</f>
        <v/>
      </c>
    </row>
    <row r="242" customFormat="false" ht="15.75" hidden="false" customHeight="true" outlineLevel="0" collapsed="false">
      <c r="A242" s="80" t="s">
        <v>2782</v>
      </c>
      <c r="B242" s="81"/>
      <c r="C242" s="81"/>
      <c r="D242" s="81"/>
      <c r="E242" s="83"/>
      <c r="F242" s="81"/>
      <c r="G242" s="83"/>
      <c r="H242" s="83"/>
      <c r="I242" s="84" t="str">
        <f aca="false">IF(E242="","",A242&amp;"_1.jpg")</f>
        <v/>
      </c>
      <c r="J242" s="84" t="str">
        <f aca="false">IF(E242="","",A242&amp;"_2.jpg; "&amp;A242&amp;"_3.jpg")</f>
        <v/>
      </c>
      <c r="K242" s="84" t="str">
        <f aca="false">IF(E242="","",A242&amp;"_schema.jpg")</f>
        <v/>
      </c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 t="s">
        <v>96</v>
      </c>
      <c r="W242" s="81"/>
      <c r="X242" s="81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6" t="str">
        <f aca="false">IF(SUM(Y242:AJ242)=0,"",SUM(Y242:AJ242))</f>
        <v/>
      </c>
      <c r="AL242" s="84" t="str">
        <f aca="false">MID(IF(N(Y242)&gt;0,", "&amp;Y$2,"")&amp;IF(N(Z242)&gt;0,", "&amp;Z$2,"")&amp;IF(N(AA242)&gt;0,", "&amp;AA$2,"")&amp;IF(N(AB242)&gt;0,", "&amp;AB$2,"")&amp;IF(N(AC242)&gt;0,", "&amp;AC$2,"")&amp;IF(N(AD242)&gt;0,", "&amp;AD$2,"")&amp;IF(N(AE242)&gt;0,", "&amp;AE$2,"")&amp;IF(N(AF242)&gt;0,", "&amp;AF$2,"")&amp;IF(N(AG242)&gt;0,", "&amp;AG$2,"")&amp;IF(N(AH242)&gt;0,", "&amp;AH$2,"")&amp;IF(N(AI242)&gt;0,", "&amp;AI$2,"")&amp;IF(N(AJ242)&gt;0,", "&amp;AJ$2,""),3,999)</f>
        <v/>
      </c>
      <c r="AM242" s="87" t="str">
        <f aca="false">IF(E242="","",MID(IF(N(Y242)&gt;0,", "&amp;A242&amp;"-"&amp;Y$2,"")&amp;IF(N(Z242)&gt;0,", "&amp;A242&amp;"-"&amp;Z$2,"")&amp;IF(N(AA242)&gt;0,", "&amp;A242&amp;"-"&amp;AA$2,"")&amp;IF(N(AB242)&gt;0,", "&amp;A242&amp;"-"&amp;AB$2,"")&amp;IF(N(AC242)&gt;0,", "&amp;A242&amp;"-"&amp;AC$2,"")&amp;IF(N(AD242)&gt;0,", "&amp;A242&amp;"-"&amp;AD$2,"")&amp;IF(N(AE242)&gt;0,", "&amp;A242&amp;"-"&amp;AE$2,"")&amp;IF(N(AF242)&gt;0,", "&amp;A242&amp;"-"&amp;AF$2,"")&amp;IF(N(AG242)&gt;0,", "&amp;A242&amp;"-"&amp;AG$2,"")&amp;IF(N(AH242)&gt;0,", "&amp;A242&amp;"-"&amp;AH$2,"")&amp;IF(N(AI242)&gt;0,", "&amp;A242&amp;"-"&amp;AI$2,"")&amp;IF(N(AJ242)&gt;0,", "&amp;A242&amp;"-"&amp;AJ$2,""),3,999))</f>
        <v/>
      </c>
      <c r="AN242" s="81"/>
      <c r="AO242" s="88"/>
      <c r="AP242" s="89" t="str">
        <f aca="false">IF(AO242="","",ROUND(AO242/(1+Справочники!$B$13),2))</f>
        <v/>
      </c>
      <c r="AQ242" s="90" t="str">
        <f aca="false" t="array" ref="AQ242:AQ242">IF(AP242="","",AP242*INDEX(Справочники!$B$4:$B$7,MATCH("RUB",Справочники!$A$4:$A$7,0)))</f>
        <v/>
      </c>
      <c r="AR242" s="90" t="str">
        <f aca="false">IF(AQ242="","",ROUND(AQ242*(1+Справочники!$B$12),0))</f>
        <v/>
      </c>
      <c r="AS242" s="90" t="str">
        <f aca="false">IF(AR242="","",ROUND(AR242*(1-Справочники!$B$11),0))</f>
        <v/>
      </c>
      <c r="AT242" s="88"/>
      <c r="AU242" s="90" t="str">
        <f aca="false">IF(AT242="","",ROUND(AT242/(1+Справочники!$B$12),0))</f>
        <v/>
      </c>
      <c r="AV242" s="90" t="str">
        <f aca="false">IF(AT242="","",ROUND(AT242*(1-Справочники!$B$15),0))</f>
        <v/>
      </c>
      <c r="AW242" s="90" t="str">
        <f aca="false">IF(AT242="","",ROUND(AT242*(1-Справочники!$B$16),0))</f>
        <v/>
      </c>
      <c r="AX242" s="90" t="str">
        <f aca="false">IF(AT242="","",ROUND(AT242*(1-Справочники!$B$17),0))</f>
        <v/>
      </c>
      <c r="AY242" s="90" t="str">
        <f aca="false">IF(AT242="","",ROUND(AT242*(1-Справочники!$B$18),0))</f>
        <v/>
      </c>
      <c r="AZ242" s="90" t="str">
        <f aca="false">IF(AT242="","",ROUND(AT242*(1-Справочники!$B$19),0))</f>
        <v/>
      </c>
      <c r="BA242" s="81"/>
      <c r="BB242" s="81"/>
      <c r="BC242" s="81"/>
      <c r="BD242" s="81"/>
      <c r="BE242" s="91"/>
      <c r="BF242" s="81" t="s">
        <v>103</v>
      </c>
      <c r="BG242" s="89" t="n">
        <f aca="false" t="array" ref="BG242:BG242">IF(BF242="","",IFERROR(INDEX(Справочники!$B$4:$B$7,MATCH(BF242,Справочники!$A$4:$A$7,0)),""))</f>
        <v>68.5</v>
      </c>
      <c r="BH242" s="90" t="str">
        <f aca="false">IF(N(BN242)&gt;0,ROUND(SUMIF(ЗАКАЗЫ!$F$3:$F$500,$A242,ЗАКАЗЫ!$Y$3:$Y$500)/BN242,0),IF(OR(BE242="",BG242=""),"",ROUND(BE242*BG242*(1+Справочники!$B$10),0)))</f>
        <v/>
      </c>
      <c r="BI242" s="92" t="str">
        <f aca="false">IF(OR(AU242="",BH242="",AU242=0),"",(AU242-BH242)/AU242)</f>
        <v/>
      </c>
      <c r="BJ242" s="81"/>
      <c r="BK242" s="83"/>
      <c r="BL242" s="43" t="str">
        <f aca="false">IFERROR(INDEX(ЗАКАЗЫ!$N$3:$N$500,MATCH($A242,ЗАКАЗЫ!$F$3:$F$500,0)),"")</f>
        <v/>
      </c>
      <c r="BM242" s="8" t="str">
        <f aca="false">IF(BL242="","",IFERROR(VLOOKUP(BL242,'ТН ВЭД'!$A$4:$C$40,3,0),""))</f>
        <v/>
      </c>
      <c r="BN242" s="7" t="str">
        <f aca="false">IF(COUNTIF(ЗАКАЗЫ!$F$3:$F$500,$A242)=0,"",SUMIF(ЗАКАЗЫ!$F$3:$F$500,$A242,ЗАКАЗЫ!$J$3:$J$500))</f>
        <v/>
      </c>
      <c r="BO242" s="7" t="str">
        <f aca="false">IF(BN242="","",SUMIF(ЗАКАЗЫ!$F$3:$F$500,$A242,ЗАКАЗЫ!$AL$3:$AL$500))</f>
        <v/>
      </c>
      <c r="BP242" s="7" t="str">
        <f aca="false">IF(BN242="","",BN242-BO242)</f>
        <v/>
      </c>
      <c r="BQ242" s="55" t="str">
        <f aca="false">IF(BN242="","",IF(BO242&gt;=BN242,"На складе",IF(BO242&gt;0,"Частично","Ждём")))</f>
        <v/>
      </c>
      <c r="BR242" s="43"/>
      <c r="BS242" s="47" t="str">
        <f aca="false">IF(BN242="","",IF(_xlfn.MAXIFS(ЗАКАЗЫ!$AK$3:$AK$500,ЗАКАЗЫ!$F$3:$F$500,$A242)=0,"",_xlfn.MAXIFS(ЗАКАЗЫ!$AK$3:$AK$500,ЗАКАЗЫ!$F$3:$F$500,$A242)))</f>
        <v/>
      </c>
    </row>
    <row r="243" customFormat="false" ht="15.75" hidden="false" customHeight="true" outlineLevel="0" collapsed="false">
      <c r="A243" s="80" t="s">
        <v>2783</v>
      </c>
      <c r="B243" s="81"/>
      <c r="C243" s="81"/>
      <c r="D243" s="81"/>
      <c r="E243" s="83"/>
      <c r="F243" s="81"/>
      <c r="G243" s="83"/>
      <c r="H243" s="83"/>
      <c r="I243" s="84" t="str">
        <f aca="false">IF(E243="","",A243&amp;"_1.jpg")</f>
        <v/>
      </c>
      <c r="J243" s="84" t="str">
        <f aca="false">IF(E243="","",A243&amp;"_2.jpg; "&amp;A243&amp;"_3.jpg")</f>
        <v/>
      </c>
      <c r="K243" s="84" t="str">
        <f aca="false">IF(E243="","",A243&amp;"_schema.jpg")</f>
        <v/>
      </c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 t="s">
        <v>96</v>
      </c>
      <c r="W243" s="81"/>
      <c r="X243" s="81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6" t="str">
        <f aca="false">IF(SUM(Y243:AJ243)=0,"",SUM(Y243:AJ243))</f>
        <v/>
      </c>
      <c r="AL243" s="84" t="str">
        <f aca="false">MID(IF(N(Y243)&gt;0,", "&amp;Y$2,"")&amp;IF(N(Z243)&gt;0,", "&amp;Z$2,"")&amp;IF(N(AA243)&gt;0,", "&amp;AA$2,"")&amp;IF(N(AB243)&gt;0,", "&amp;AB$2,"")&amp;IF(N(AC243)&gt;0,", "&amp;AC$2,"")&amp;IF(N(AD243)&gt;0,", "&amp;AD$2,"")&amp;IF(N(AE243)&gt;0,", "&amp;AE$2,"")&amp;IF(N(AF243)&gt;0,", "&amp;AF$2,"")&amp;IF(N(AG243)&gt;0,", "&amp;AG$2,"")&amp;IF(N(AH243)&gt;0,", "&amp;AH$2,"")&amp;IF(N(AI243)&gt;0,", "&amp;AI$2,"")&amp;IF(N(AJ243)&gt;0,", "&amp;AJ$2,""),3,999)</f>
        <v/>
      </c>
      <c r="AM243" s="87" t="str">
        <f aca="false">IF(E243="","",MID(IF(N(Y243)&gt;0,", "&amp;A243&amp;"-"&amp;Y$2,"")&amp;IF(N(Z243)&gt;0,", "&amp;A243&amp;"-"&amp;Z$2,"")&amp;IF(N(AA243)&gt;0,", "&amp;A243&amp;"-"&amp;AA$2,"")&amp;IF(N(AB243)&gt;0,", "&amp;A243&amp;"-"&amp;AB$2,"")&amp;IF(N(AC243)&gt;0,", "&amp;A243&amp;"-"&amp;AC$2,"")&amp;IF(N(AD243)&gt;0,", "&amp;A243&amp;"-"&amp;AD$2,"")&amp;IF(N(AE243)&gt;0,", "&amp;A243&amp;"-"&amp;AE$2,"")&amp;IF(N(AF243)&gt;0,", "&amp;A243&amp;"-"&amp;AF$2,"")&amp;IF(N(AG243)&gt;0,", "&amp;A243&amp;"-"&amp;AG$2,"")&amp;IF(N(AH243)&gt;0,", "&amp;A243&amp;"-"&amp;AH$2,"")&amp;IF(N(AI243)&gt;0,", "&amp;A243&amp;"-"&amp;AI$2,"")&amp;IF(N(AJ243)&gt;0,", "&amp;A243&amp;"-"&amp;AJ$2,""),3,999))</f>
        <v/>
      </c>
      <c r="AN243" s="81"/>
      <c r="AO243" s="88"/>
      <c r="AP243" s="89" t="str">
        <f aca="false">IF(AO243="","",ROUND(AO243/(1+Справочники!$B$13),2))</f>
        <v/>
      </c>
      <c r="AQ243" s="90" t="str">
        <f aca="false" t="array" ref="AQ243:AQ243">IF(AP243="","",AP243*INDEX(Справочники!$B$4:$B$7,MATCH("RUB",Справочники!$A$4:$A$7,0)))</f>
        <v/>
      </c>
      <c r="AR243" s="90" t="str">
        <f aca="false">IF(AQ243="","",ROUND(AQ243*(1+Справочники!$B$12),0))</f>
        <v/>
      </c>
      <c r="AS243" s="90" t="str">
        <f aca="false">IF(AR243="","",ROUND(AR243*(1-Справочники!$B$11),0))</f>
        <v/>
      </c>
      <c r="AT243" s="88"/>
      <c r="AU243" s="90" t="str">
        <f aca="false">IF(AT243="","",ROUND(AT243/(1+Справочники!$B$12),0))</f>
        <v/>
      </c>
      <c r="AV243" s="90" t="str">
        <f aca="false">IF(AT243="","",ROUND(AT243*(1-Справочники!$B$15),0))</f>
        <v/>
      </c>
      <c r="AW243" s="90" t="str">
        <f aca="false">IF(AT243="","",ROUND(AT243*(1-Справочники!$B$16),0))</f>
        <v/>
      </c>
      <c r="AX243" s="90" t="str">
        <f aca="false">IF(AT243="","",ROUND(AT243*(1-Справочники!$B$17),0))</f>
        <v/>
      </c>
      <c r="AY243" s="90" t="str">
        <f aca="false">IF(AT243="","",ROUND(AT243*(1-Справочники!$B$18),0))</f>
        <v/>
      </c>
      <c r="AZ243" s="90" t="str">
        <f aca="false">IF(AT243="","",ROUND(AT243*(1-Справочники!$B$19),0))</f>
        <v/>
      </c>
      <c r="BA243" s="81"/>
      <c r="BB243" s="81"/>
      <c r="BC243" s="81"/>
      <c r="BD243" s="81"/>
      <c r="BE243" s="91"/>
      <c r="BF243" s="81" t="s">
        <v>103</v>
      </c>
      <c r="BG243" s="89" t="n">
        <f aca="false" t="array" ref="BG243:BG243">IF(BF243="","",IFERROR(INDEX(Справочники!$B$4:$B$7,MATCH(BF243,Справочники!$A$4:$A$7,0)),""))</f>
        <v>68.5</v>
      </c>
      <c r="BH243" s="90" t="str">
        <f aca="false">IF(N(BN243)&gt;0,ROUND(SUMIF(ЗАКАЗЫ!$F$3:$F$500,$A243,ЗАКАЗЫ!$Y$3:$Y$500)/BN243,0),IF(OR(BE243="",BG243=""),"",ROUND(BE243*BG243*(1+Справочники!$B$10),0)))</f>
        <v/>
      </c>
      <c r="BI243" s="92" t="str">
        <f aca="false">IF(OR(AU243="",BH243="",AU243=0),"",(AU243-BH243)/AU243)</f>
        <v/>
      </c>
      <c r="BJ243" s="81"/>
      <c r="BK243" s="83"/>
      <c r="BL243" s="43" t="str">
        <f aca="false">IFERROR(INDEX(ЗАКАЗЫ!$N$3:$N$500,MATCH($A243,ЗАКАЗЫ!$F$3:$F$500,0)),"")</f>
        <v/>
      </c>
      <c r="BM243" s="8" t="str">
        <f aca="false">IF(BL243="","",IFERROR(VLOOKUP(BL243,'ТН ВЭД'!$A$4:$C$40,3,0),""))</f>
        <v/>
      </c>
      <c r="BN243" s="7" t="str">
        <f aca="false">IF(COUNTIF(ЗАКАЗЫ!$F$3:$F$500,$A243)=0,"",SUMIF(ЗАКАЗЫ!$F$3:$F$500,$A243,ЗАКАЗЫ!$J$3:$J$500))</f>
        <v/>
      </c>
      <c r="BO243" s="7" t="str">
        <f aca="false">IF(BN243="","",SUMIF(ЗАКАЗЫ!$F$3:$F$500,$A243,ЗАКАЗЫ!$AL$3:$AL$500))</f>
        <v/>
      </c>
      <c r="BP243" s="7" t="str">
        <f aca="false">IF(BN243="","",BN243-BO243)</f>
        <v/>
      </c>
      <c r="BQ243" s="55" t="str">
        <f aca="false">IF(BN243="","",IF(BO243&gt;=BN243,"На складе",IF(BO243&gt;0,"Частично","Ждём")))</f>
        <v/>
      </c>
      <c r="BR243" s="43"/>
      <c r="BS243" s="47" t="str">
        <f aca="false">IF(BN243="","",IF(_xlfn.MAXIFS(ЗАКАЗЫ!$AK$3:$AK$500,ЗАКАЗЫ!$F$3:$F$500,$A243)=0,"",_xlfn.MAXIFS(ЗАКАЗЫ!$AK$3:$AK$500,ЗАКАЗЫ!$F$3:$F$500,$A243)))</f>
        <v/>
      </c>
    </row>
    <row r="244" customFormat="false" ht="15.75" hidden="false" customHeight="true" outlineLevel="0" collapsed="false">
      <c r="A244" s="80" t="s">
        <v>2784</v>
      </c>
      <c r="B244" s="81"/>
      <c r="C244" s="81"/>
      <c r="D244" s="81"/>
      <c r="E244" s="83"/>
      <c r="F244" s="81"/>
      <c r="G244" s="83"/>
      <c r="H244" s="83"/>
      <c r="I244" s="84" t="str">
        <f aca="false">IF(E244="","",A244&amp;"_1.jpg")</f>
        <v/>
      </c>
      <c r="J244" s="84" t="str">
        <f aca="false">IF(E244="","",A244&amp;"_2.jpg; "&amp;A244&amp;"_3.jpg")</f>
        <v/>
      </c>
      <c r="K244" s="84" t="str">
        <f aca="false">IF(E244="","",A244&amp;"_schema.jpg")</f>
        <v/>
      </c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 t="s">
        <v>96</v>
      </c>
      <c r="W244" s="81"/>
      <c r="X244" s="81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6" t="str">
        <f aca="false">IF(SUM(Y244:AJ244)=0,"",SUM(Y244:AJ244))</f>
        <v/>
      </c>
      <c r="AL244" s="84" t="str">
        <f aca="false">MID(IF(N(Y244)&gt;0,", "&amp;Y$2,"")&amp;IF(N(Z244)&gt;0,", "&amp;Z$2,"")&amp;IF(N(AA244)&gt;0,", "&amp;AA$2,"")&amp;IF(N(AB244)&gt;0,", "&amp;AB$2,"")&amp;IF(N(AC244)&gt;0,", "&amp;AC$2,"")&amp;IF(N(AD244)&gt;0,", "&amp;AD$2,"")&amp;IF(N(AE244)&gt;0,", "&amp;AE$2,"")&amp;IF(N(AF244)&gt;0,", "&amp;AF$2,"")&amp;IF(N(AG244)&gt;0,", "&amp;AG$2,"")&amp;IF(N(AH244)&gt;0,", "&amp;AH$2,"")&amp;IF(N(AI244)&gt;0,", "&amp;AI$2,"")&amp;IF(N(AJ244)&gt;0,", "&amp;AJ$2,""),3,999)</f>
        <v/>
      </c>
      <c r="AM244" s="87" t="str">
        <f aca="false">IF(E244="","",MID(IF(N(Y244)&gt;0,", "&amp;A244&amp;"-"&amp;Y$2,"")&amp;IF(N(Z244)&gt;0,", "&amp;A244&amp;"-"&amp;Z$2,"")&amp;IF(N(AA244)&gt;0,", "&amp;A244&amp;"-"&amp;AA$2,"")&amp;IF(N(AB244)&gt;0,", "&amp;A244&amp;"-"&amp;AB$2,"")&amp;IF(N(AC244)&gt;0,", "&amp;A244&amp;"-"&amp;AC$2,"")&amp;IF(N(AD244)&gt;0,", "&amp;A244&amp;"-"&amp;AD$2,"")&amp;IF(N(AE244)&gt;0,", "&amp;A244&amp;"-"&amp;AE$2,"")&amp;IF(N(AF244)&gt;0,", "&amp;A244&amp;"-"&amp;AF$2,"")&amp;IF(N(AG244)&gt;0,", "&amp;A244&amp;"-"&amp;AG$2,"")&amp;IF(N(AH244)&gt;0,", "&amp;A244&amp;"-"&amp;AH$2,"")&amp;IF(N(AI244)&gt;0,", "&amp;A244&amp;"-"&amp;AI$2,"")&amp;IF(N(AJ244)&gt;0,", "&amp;A244&amp;"-"&amp;AJ$2,""),3,999))</f>
        <v/>
      </c>
      <c r="AN244" s="81"/>
      <c r="AO244" s="88"/>
      <c r="AP244" s="89" t="str">
        <f aca="false">IF(AO244="","",ROUND(AO244/(1+Справочники!$B$13),2))</f>
        <v/>
      </c>
      <c r="AQ244" s="90" t="str">
        <f aca="false" t="array" ref="AQ244:AQ244">IF(AP244="","",AP244*INDEX(Справочники!$B$4:$B$7,MATCH("RUB",Справочники!$A$4:$A$7,0)))</f>
        <v/>
      </c>
      <c r="AR244" s="90" t="str">
        <f aca="false">IF(AQ244="","",ROUND(AQ244*(1+Справочники!$B$12),0))</f>
        <v/>
      </c>
      <c r="AS244" s="90" t="str">
        <f aca="false">IF(AR244="","",ROUND(AR244*(1-Справочники!$B$11),0))</f>
        <v/>
      </c>
      <c r="AT244" s="88"/>
      <c r="AU244" s="90" t="str">
        <f aca="false">IF(AT244="","",ROUND(AT244/(1+Справочники!$B$12),0))</f>
        <v/>
      </c>
      <c r="AV244" s="90" t="str">
        <f aca="false">IF(AT244="","",ROUND(AT244*(1-Справочники!$B$15),0))</f>
        <v/>
      </c>
      <c r="AW244" s="90" t="str">
        <f aca="false">IF(AT244="","",ROUND(AT244*(1-Справочники!$B$16),0))</f>
        <v/>
      </c>
      <c r="AX244" s="90" t="str">
        <f aca="false">IF(AT244="","",ROUND(AT244*(1-Справочники!$B$17),0))</f>
        <v/>
      </c>
      <c r="AY244" s="90" t="str">
        <f aca="false">IF(AT244="","",ROUND(AT244*(1-Справочники!$B$18),0))</f>
        <v/>
      </c>
      <c r="AZ244" s="90" t="str">
        <f aca="false">IF(AT244="","",ROUND(AT244*(1-Справочники!$B$19),0))</f>
        <v/>
      </c>
      <c r="BA244" s="81"/>
      <c r="BB244" s="81"/>
      <c r="BC244" s="81"/>
      <c r="BD244" s="81"/>
      <c r="BE244" s="91"/>
      <c r="BF244" s="81" t="s">
        <v>103</v>
      </c>
      <c r="BG244" s="89" t="n">
        <f aca="false" t="array" ref="BG244:BG244">IF(BF244="","",IFERROR(INDEX(Справочники!$B$4:$B$7,MATCH(BF244,Справочники!$A$4:$A$7,0)),""))</f>
        <v>68.5</v>
      </c>
      <c r="BH244" s="90" t="str">
        <f aca="false">IF(N(BN244)&gt;0,ROUND(SUMIF(ЗАКАЗЫ!$F$3:$F$500,$A244,ЗАКАЗЫ!$Y$3:$Y$500)/BN244,0),IF(OR(BE244="",BG244=""),"",ROUND(BE244*BG244*(1+Справочники!$B$10),0)))</f>
        <v/>
      </c>
      <c r="BI244" s="92" t="str">
        <f aca="false">IF(OR(AU244="",BH244="",AU244=0),"",(AU244-BH244)/AU244)</f>
        <v/>
      </c>
      <c r="BJ244" s="81"/>
      <c r="BK244" s="83"/>
      <c r="BL244" s="43" t="str">
        <f aca="false">IFERROR(INDEX(ЗАКАЗЫ!$N$3:$N$500,MATCH($A244,ЗАКАЗЫ!$F$3:$F$500,0)),"")</f>
        <v/>
      </c>
      <c r="BM244" s="8" t="str">
        <f aca="false">IF(BL244="","",IFERROR(VLOOKUP(BL244,'ТН ВЭД'!$A$4:$C$40,3,0),""))</f>
        <v/>
      </c>
      <c r="BN244" s="7" t="str">
        <f aca="false">IF(COUNTIF(ЗАКАЗЫ!$F$3:$F$500,$A244)=0,"",SUMIF(ЗАКАЗЫ!$F$3:$F$500,$A244,ЗАКАЗЫ!$J$3:$J$500))</f>
        <v/>
      </c>
      <c r="BO244" s="7" t="str">
        <f aca="false">IF(BN244="","",SUMIF(ЗАКАЗЫ!$F$3:$F$500,$A244,ЗАКАЗЫ!$AL$3:$AL$500))</f>
        <v/>
      </c>
      <c r="BP244" s="7" t="str">
        <f aca="false">IF(BN244="","",BN244-BO244)</f>
        <v/>
      </c>
      <c r="BQ244" s="55" t="str">
        <f aca="false">IF(BN244="","",IF(BO244&gt;=BN244,"На складе",IF(BO244&gt;0,"Частично","Ждём")))</f>
        <v/>
      </c>
      <c r="BR244" s="43"/>
      <c r="BS244" s="47" t="str">
        <f aca="false">IF(BN244="","",IF(_xlfn.MAXIFS(ЗАКАЗЫ!$AK$3:$AK$500,ЗАКАЗЫ!$F$3:$F$500,$A244)=0,"",_xlfn.MAXIFS(ЗАКАЗЫ!$AK$3:$AK$500,ЗАКАЗЫ!$F$3:$F$500,$A244)))</f>
        <v/>
      </c>
    </row>
    <row r="245" customFormat="false" ht="15.75" hidden="false" customHeight="true" outlineLevel="0" collapsed="false">
      <c r="A245" s="80" t="s">
        <v>2785</v>
      </c>
      <c r="B245" s="81"/>
      <c r="C245" s="81"/>
      <c r="D245" s="81"/>
      <c r="E245" s="83"/>
      <c r="F245" s="81"/>
      <c r="G245" s="83"/>
      <c r="H245" s="83"/>
      <c r="I245" s="84" t="str">
        <f aca="false">IF(E245="","",A245&amp;"_1.jpg")</f>
        <v/>
      </c>
      <c r="J245" s="84" t="str">
        <f aca="false">IF(E245="","",A245&amp;"_2.jpg; "&amp;A245&amp;"_3.jpg")</f>
        <v/>
      </c>
      <c r="K245" s="84" t="str">
        <f aca="false">IF(E245="","",A245&amp;"_schema.jpg")</f>
        <v/>
      </c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 t="s">
        <v>96</v>
      </c>
      <c r="W245" s="81"/>
      <c r="X245" s="81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6" t="str">
        <f aca="false">IF(SUM(Y245:AJ245)=0,"",SUM(Y245:AJ245))</f>
        <v/>
      </c>
      <c r="AL245" s="84" t="str">
        <f aca="false">MID(IF(N(Y245)&gt;0,", "&amp;Y$2,"")&amp;IF(N(Z245)&gt;0,", "&amp;Z$2,"")&amp;IF(N(AA245)&gt;0,", "&amp;AA$2,"")&amp;IF(N(AB245)&gt;0,", "&amp;AB$2,"")&amp;IF(N(AC245)&gt;0,", "&amp;AC$2,"")&amp;IF(N(AD245)&gt;0,", "&amp;AD$2,"")&amp;IF(N(AE245)&gt;0,", "&amp;AE$2,"")&amp;IF(N(AF245)&gt;0,", "&amp;AF$2,"")&amp;IF(N(AG245)&gt;0,", "&amp;AG$2,"")&amp;IF(N(AH245)&gt;0,", "&amp;AH$2,"")&amp;IF(N(AI245)&gt;0,", "&amp;AI$2,"")&amp;IF(N(AJ245)&gt;0,", "&amp;AJ$2,""),3,999)</f>
        <v/>
      </c>
      <c r="AM245" s="87" t="str">
        <f aca="false">IF(E245="","",MID(IF(N(Y245)&gt;0,", "&amp;A245&amp;"-"&amp;Y$2,"")&amp;IF(N(Z245)&gt;0,", "&amp;A245&amp;"-"&amp;Z$2,"")&amp;IF(N(AA245)&gt;0,", "&amp;A245&amp;"-"&amp;AA$2,"")&amp;IF(N(AB245)&gt;0,", "&amp;A245&amp;"-"&amp;AB$2,"")&amp;IF(N(AC245)&gt;0,", "&amp;A245&amp;"-"&amp;AC$2,"")&amp;IF(N(AD245)&gt;0,", "&amp;A245&amp;"-"&amp;AD$2,"")&amp;IF(N(AE245)&gt;0,", "&amp;A245&amp;"-"&amp;AE$2,"")&amp;IF(N(AF245)&gt;0,", "&amp;A245&amp;"-"&amp;AF$2,"")&amp;IF(N(AG245)&gt;0,", "&amp;A245&amp;"-"&amp;AG$2,"")&amp;IF(N(AH245)&gt;0,", "&amp;A245&amp;"-"&amp;AH$2,"")&amp;IF(N(AI245)&gt;0,", "&amp;A245&amp;"-"&amp;AI$2,"")&amp;IF(N(AJ245)&gt;0,", "&amp;A245&amp;"-"&amp;AJ$2,""),3,999))</f>
        <v/>
      </c>
      <c r="AN245" s="81"/>
      <c r="AO245" s="88"/>
      <c r="AP245" s="89" t="str">
        <f aca="false">IF(AO245="","",ROUND(AO245/(1+Справочники!$B$13),2))</f>
        <v/>
      </c>
      <c r="AQ245" s="90" t="str">
        <f aca="false" t="array" ref="AQ245:AQ245">IF(AP245="","",AP245*INDEX(Справочники!$B$4:$B$7,MATCH("RUB",Справочники!$A$4:$A$7,0)))</f>
        <v/>
      </c>
      <c r="AR245" s="90" t="str">
        <f aca="false">IF(AQ245="","",ROUND(AQ245*(1+Справочники!$B$12),0))</f>
        <v/>
      </c>
      <c r="AS245" s="90" t="str">
        <f aca="false">IF(AR245="","",ROUND(AR245*(1-Справочники!$B$11),0))</f>
        <v/>
      </c>
      <c r="AT245" s="88"/>
      <c r="AU245" s="90" t="str">
        <f aca="false">IF(AT245="","",ROUND(AT245/(1+Справочники!$B$12),0))</f>
        <v/>
      </c>
      <c r="AV245" s="90" t="str">
        <f aca="false">IF(AT245="","",ROUND(AT245*(1-Справочники!$B$15),0))</f>
        <v/>
      </c>
      <c r="AW245" s="90" t="str">
        <f aca="false">IF(AT245="","",ROUND(AT245*(1-Справочники!$B$16),0))</f>
        <v/>
      </c>
      <c r="AX245" s="90" t="str">
        <f aca="false">IF(AT245="","",ROUND(AT245*(1-Справочники!$B$17),0))</f>
        <v/>
      </c>
      <c r="AY245" s="90" t="str">
        <f aca="false">IF(AT245="","",ROUND(AT245*(1-Справочники!$B$18),0))</f>
        <v/>
      </c>
      <c r="AZ245" s="90" t="str">
        <f aca="false">IF(AT245="","",ROUND(AT245*(1-Справочники!$B$19),0))</f>
        <v/>
      </c>
      <c r="BA245" s="81"/>
      <c r="BB245" s="81"/>
      <c r="BC245" s="81"/>
      <c r="BD245" s="81"/>
      <c r="BE245" s="91"/>
      <c r="BF245" s="81" t="s">
        <v>103</v>
      </c>
      <c r="BG245" s="89" t="n">
        <f aca="false" t="array" ref="BG245:BG245">IF(BF245="","",IFERROR(INDEX(Справочники!$B$4:$B$7,MATCH(BF245,Справочники!$A$4:$A$7,0)),""))</f>
        <v>68.5</v>
      </c>
      <c r="BH245" s="90" t="str">
        <f aca="false">IF(N(BN245)&gt;0,ROUND(SUMIF(ЗАКАЗЫ!$F$3:$F$500,$A245,ЗАКАЗЫ!$Y$3:$Y$500)/BN245,0),IF(OR(BE245="",BG245=""),"",ROUND(BE245*BG245*(1+Справочники!$B$10),0)))</f>
        <v/>
      </c>
      <c r="BI245" s="92" t="str">
        <f aca="false">IF(OR(AU245="",BH245="",AU245=0),"",(AU245-BH245)/AU245)</f>
        <v/>
      </c>
      <c r="BJ245" s="81"/>
      <c r="BK245" s="83"/>
      <c r="BL245" s="43" t="str">
        <f aca="false">IFERROR(INDEX(ЗАКАЗЫ!$N$3:$N$500,MATCH($A245,ЗАКАЗЫ!$F$3:$F$500,0)),"")</f>
        <v/>
      </c>
      <c r="BM245" s="8" t="str">
        <f aca="false">IF(BL245="","",IFERROR(VLOOKUP(BL245,'ТН ВЭД'!$A$4:$C$40,3,0),""))</f>
        <v/>
      </c>
      <c r="BN245" s="7" t="str">
        <f aca="false">IF(COUNTIF(ЗАКАЗЫ!$F$3:$F$500,$A245)=0,"",SUMIF(ЗАКАЗЫ!$F$3:$F$500,$A245,ЗАКАЗЫ!$J$3:$J$500))</f>
        <v/>
      </c>
      <c r="BO245" s="7" t="str">
        <f aca="false">IF(BN245="","",SUMIF(ЗАКАЗЫ!$F$3:$F$500,$A245,ЗАКАЗЫ!$AL$3:$AL$500))</f>
        <v/>
      </c>
      <c r="BP245" s="7" t="str">
        <f aca="false">IF(BN245="","",BN245-BO245)</f>
        <v/>
      </c>
      <c r="BQ245" s="55" t="str">
        <f aca="false">IF(BN245="","",IF(BO245&gt;=BN245,"На складе",IF(BO245&gt;0,"Частично","Ждём")))</f>
        <v/>
      </c>
      <c r="BR245" s="43"/>
      <c r="BS245" s="47" t="str">
        <f aca="false">IF(BN245="","",IF(_xlfn.MAXIFS(ЗАКАЗЫ!$AK$3:$AK$500,ЗАКАЗЫ!$F$3:$F$500,$A245)=0,"",_xlfn.MAXIFS(ЗАКАЗЫ!$AK$3:$AK$500,ЗАКАЗЫ!$F$3:$F$500,$A245)))</f>
        <v/>
      </c>
    </row>
    <row r="246" customFormat="false" ht="15.75" hidden="false" customHeight="true" outlineLevel="0" collapsed="false">
      <c r="A246" s="80" t="s">
        <v>2786</v>
      </c>
      <c r="B246" s="81"/>
      <c r="C246" s="81"/>
      <c r="D246" s="81"/>
      <c r="E246" s="83"/>
      <c r="F246" s="81"/>
      <c r="G246" s="83"/>
      <c r="H246" s="83"/>
      <c r="I246" s="84" t="str">
        <f aca="false">IF(E246="","",A246&amp;"_1.jpg")</f>
        <v/>
      </c>
      <c r="J246" s="84" t="str">
        <f aca="false">IF(E246="","",A246&amp;"_2.jpg; "&amp;A246&amp;"_3.jpg")</f>
        <v/>
      </c>
      <c r="K246" s="84" t="str">
        <f aca="false">IF(E246="","",A246&amp;"_schema.jpg")</f>
        <v/>
      </c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 t="s">
        <v>96</v>
      </c>
      <c r="W246" s="81"/>
      <c r="X246" s="81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6" t="str">
        <f aca="false">IF(SUM(Y246:AJ246)=0,"",SUM(Y246:AJ246))</f>
        <v/>
      </c>
      <c r="AL246" s="84" t="str">
        <f aca="false">MID(IF(N(Y246)&gt;0,", "&amp;Y$2,"")&amp;IF(N(Z246)&gt;0,", "&amp;Z$2,"")&amp;IF(N(AA246)&gt;0,", "&amp;AA$2,"")&amp;IF(N(AB246)&gt;0,", "&amp;AB$2,"")&amp;IF(N(AC246)&gt;0,", "&amp;AC$2,"")&amp;IF(N(AD246)&gt;0,", "&amp;AD$2,"")&amp;IF(N(AE246)&gt;0,", "&amp;AE$2,"")&amp;IF(N(AF246)&gt;0,", "&amp;AF$2,"")&amp;IF(N(AG246)&gt;0,", "&amp;AG$2,"")&amp;IF(N(AH246)&gt;0,", "&amp;AH$2,"")&amp;IF(N(AI246)&gt;0,", "&amp;AI$2,"")&amp;IF(N(AJ246)&gt;0,", "&amp;AJ$2,""),3,999)</f>
        <v/>
      </c>
      <c r="AM246" s="87" t="str">
        <f aca="false">IF(E246="","",MID(IF(N(Y246)&gt;0,", "&amp;A246&amp;"-"&amp;Y$2,"")&amp;IF(N(Z246)&gt;0,", "&amp;A246&amp;"-"&amp;Z$2,"")&amp;IF(N(AA246)&gt;0,", "&amp;A246&amp;"-"&amp;AA$2,"")&amp;IF(N(AB246)&gt;0,", "&amp;A246&amp;"-"&amp;AB$2,"")&amp;IF(N(AC246)&gt;0,", "&amp;A246&amp;"-"&amp;AC$2,"")&amp;IF(N(AD246)&gt;0,", "&amp;A246&amp;"-"&amp;AD$2,"")&amp;IF(N(AE246)&gt;0,", "&amp;A246&amp;"-"&amp;AE$2,"")&amp;IF(N(AF246)&gt;0,", "&amp;A246&amp;"-"&amp;AF$2,"")&amp;IF(N(AG246)&gt;0,", "&amp;A246&amp;"-"&amp;AG$2,"")&amp;IF(N(AH246)&gt;0,", "&amp;A246&amp;"-"&amp;AH$2,"")&amp;IF(N(AI246)&gt;0,", "&amp;A246&amp;"-"&amp;AI$2,"")&amp;IF(N(AJ246)&gt;0,", "&amp;A246&amp;"-"&amp;AJ$2,""),3,999))</f>
        <v/>
      </c>
      <c r="AN246" s="81"/>
      <c r="AO246" s="88"/>
      <c r="AP246" s="89" t="str">
        <f aca="false">IF(AO246="","",ROUND(AO246/(1+Справочники!$B$13),2))</f>
        <v/>
      </c>
      <c r="AQ246" s="90" t="str">
        <f aca="false" t="array" ref="AQ246:AQ246">IF(AP246="","",AP246*INDEX(Справочники!$B$4:$B$7,MATCH("RUB",Справочники!$A$4:$A$7,0)))</f>
        <v/>
      </c>
      <c r="AR246" s="90" t="str">
        <f aca="false">IF(AQ246="","",ROUND(AQ246*(1+Справочники!$B$12),0))</f>
        <v/>
      </c>
      <c r="AS246" s="90" t="str">
        <f aca="false">IF(AR246="","",ROUND(AR246*(1-Справочники!$B$11),0))</f>
        <v/>
      </c>
      <c r="AT246" s="88"/>
      <c r="AU246" s="90" t="str">
        <f aca="false">IF(AT246="","",ROUND(AT246/(1+Справочники!$B$12),0))</f>
        <v/>
      </c>
      <c r="AV246" s="90" t="str">
        <f aca="false">IF(AT246="","",ROUND(AT246*(1-Справочники!$B$15),0))</f>
        <v/>
      </c>
      <c r="AW246" s="90" t="str">
        <f aca="false">IF(AT246="","",ROUND(AT246*(1-Справочники!$B$16),0))</f>
        <v/>
      </c>
      <c r="AX246" s="90" t="str">
        <f aca="false">IF(AT246="","",ROUND(AT246*(1-Справочники!$B$17),0))</f>
        <v/>
      </c>
      <c r="AY246" s="90" t="str">
        <f aca="false">IF(AT246="","",ROUND(AT246*(1-Справочники!$B$18),0))</f>
        <v/>
      </c>
      <c r="AZ246" s="90" t="str">
        <f aca="false">IF(AT246="","",ROUND(AT246*(1-Справочники!$B$19),0))</f>
        <v/>
      </c>
      <c r="BA246" s="81"/>
      <c r="BB246" s="81"/>
      <c r="BC246" s="81"/>
      <c r="BD246" s="81"/>
      <c r="BE246" s="91"/>
      <c r="BF246" s="81" t="s">
        <v>103</v>
      </c>
      <c r="BG246" s="89" t="n">
        <f aca="false" t="array" ref="BG246:BG246">IF(BF246="","",IFERROR(INDEX(Справочники!$B$4:$B$7,MATCH(BF246,Справочники!$A$4:$A$7,0)),""))</f>
        <v>68.5</v>
      </c>
      <c r="BH246" s="90" t="str">
        <f aca="false">IF(N(BN246)&gt;0,ROUND(SUMIF(ЗАКАЗЫ!$F$3:$F$500,$A246,ЗАКАЗЫ!$Y$3:$Y$500)/BN246,0),IF(OR(BE246="",BG246=""),"",ROUND(BE246*BG246*(1+Справочники!$B$10),0)))</f>
        <v/>
      </c>
      <c r="BI246" s="92" t="str">
        <f aca="false">IF(OR(AU246="",BH246="",AU246=0),"",(AU246-BH246)/AU246)</f>
        <v/>
      </c>
      <c r="BJ246" s="81"/>
      <c r="BK246" s="83"/>
      <c r="BL246" s="43" t="str">
        <f aca="false">IFERROR(INDEX(ЗАКАЗЫ!$N$3:$N$500,MATCH($A246,ЗАКАЗЫ!$F$3:$F$500,0)),"")</f>
        <v/>
      </c>
      <c r="BM246" s="8" t="str">
        <f aca="false">IF(BL246="","",IFERROR(VLOOKUP(BL246,'ТН ВЭД'!$A$4:$C$40,3,0),""))</f>
        <v/>
      </c>
      <c r="BN246" s="7" t="str">
        <f aca="false">IF(COUNTIF(ЗАКАЗЫ!$F$3:$F$500,$A246)=0,"",SUMIF(ЗАКАЗЫ!$F$3:$F$500,$A246,ЗАКАЗЫ!$J$3:$J$500))</f>
        <v/>
      </c>
      <c r="BO246" s="7" t="str">
        <f aca="false">IF(BN246="","",SUMIF(ЗАКАЗЫ!$F$3:$F$500,$A246,ЗАКАЗЫ!$AL$3:$AL$500))</f>
        <v/>
      </c>
      <c r="BP246" s="7" t="str">
        <f aca="false">IF(BN246="","",BN246-BO246)</f>
        <v/>
      </c>
      <c r="BQ246" s="55" t="str">
        <f aca="false">IF(BN246="","",IF(BO246&gt;=BN246,"На складе",IF(BO246&gt;0,"Частично","Ждём")))</f>
        <v/>
      </c>
      <c r="BR246" s="43"/>
      <c r="BS246" s="47" t="str">
        <f aca="false">IF(BN246="","",IF(_xlfn.MAXIFS(ЗАКАЗЫ!$AK$3:$AK$500,ЗАКАЗЫ!$F$3:$F$500,$A246)=0,"",_xlfn.MAXIFS(ЗАКАЗЫ!$AK$3:$AK$500,ЗАКАЗЫ!$F$3:$F$500,$A246)))</f>
        <v/>
      </c>
    </row>
    <row r="247" customFormat="false" ht="15.75" hidden="false" customHeight="true" outlineLevel="0" collapsed="false">
      <c r="A247" s="80" t="s">
        <v>2787</v>
      </c>
      <c r="B247" s="81"/>
      <c r="C247" s="81"/>
      <c r="D247" s="81"/>
      <c r="E247" s="83"/>
      <c r="F247" s="81"/>
      <c r="G247" s="83"/>
      <c r="H247" s="83"/>
      <c r="I247" s="84" t="str">
        <f aca="false">IF(E247="","",A247&amp;"_1.jpg")</f>
        <v/>
      </c>
      <c r="J247" s="84" t="str">
        <f aca="false">IF(E247="","",A247&amp;"_2.jpg; "&amp;A247&amp;"_3.jpg")</f>
        <v/>
      </c>
      <c r="K247" s="84" t="str">
        <f aca="false">IF(E247="","",A247&amp;"_schema.jpg")</f>
        <v/>
      </c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 t="s">
        <v>96</v>
      </c>
      <c r="W247" s="81"/>
      <c r="X247" s="81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6" t="str">
        <f aca="false">IF(SUM(Y247:AJ247)=0,"",SUM(Y247:AJ247))</f>
        <v/>
      </c>
      <c r="AL247" s="84" t="str">
        <f aca="false">MID(IF(N(Y247)&gt;0,", "&amp;Y$2,"")&amp;IF(N(Z247)&gt;0,", "&amp;Z$2,"")&amp;IF(N(AA247)&gt;0,", "&amp;AA$2,"")&amp;IF(N(AB247)&gt;0,", "&amp;AB$2,"")&amp;IF(N(AC247)&gt;0,", "&amp;AC$2,"")&amp;IF(N(AD247)&gt;0,", "&amp;AD$2,"")&amp;IF(N(AE247)&gt;0,", "&amp;AE$2,"")&amp;IF(N(AF247)&gt;0,", "&amp;AF$2,"")&amp;IF(N(AG247)&gt;0,", "&amp;AG$2,"")&amp;IF(N(AH247)&gt;0,", "&amp;AH$2,"")&amp;IF(N(AI247)&gt;0,", "&amp;AI$2,"")&amp;IF(N(AJ247)&gt;0,", "&amp;AJ$2,""),3,999)</f>
        <v/>
      </c>
      <c r="AM247" s="87" t="str">
        <f aca="false">IF(E247="","",MID(IF(N(Y247)&gt;0,", "&amp;A247&amp;"-"&amp;Y$2,"")&amp;IF(N(Z247)&gt;0,", "&amp;A247&amp;"-"&amp;Z$2,"")&amp;IF(N(AA247)&gt;0,", "&amp;A247&amp;"-"&amp;AA$2,"")&amp;IF(N(AB247)&gt;0,", "&amp;A247&amp;"-"&amp;AB$2,"")&amp;IF(N(AC247)&gt;0,", "&amp;A247&amp;"-"&amp;AC$2,"")&amp;IF(N(AD247)&gt;0,", "&amp;A247&amp;"-"&amp;AD$2,"")&amp;IF(N(AE247)&gt;0,", "&amp;A247&amp;"-"&amp;AE$2,"")&amp;IF(N(AF247)&gt;0,", "&amp;A247&amp;"-"&amp;AF$2,"")&amp;IF(N(AG247)&gt;0,", "&amp;A247&amp;"-"&amp;AG$2,"")&amp;IF(N(AH247)&gt;0,", "&amp;A247&amp;"-"&amp;AH$2,"")&amp;IF(N(AI247)&gt;0,", "&amp;A247&amp;"-"&amp;AI$2,"")&amp;IF(N(AJ247)&gt;0,", "&amp;A247&amp;"-"&amp;AJ$2,""),3,999))</f>
        <v/>
      </c>
      <c r="AN247" s="81"/>
      <c r="AO247" s="88"/>
      <c r="AP247" s="89" t="str">
        <f aca="false">IF(AO247="","",ROUND(AO247/(1+Справочники!$B$13),2))</f>
        <v/>
      </c>
      <c r="AQ247" s="90" t="str">
        <f aca="false" t="array" ref="AQ247:AQ247">IF(AP247="","",AP247*INDEX(Справочники!$B$4:$B$7,MATCH("RUB",Справочники!$A$4:$A$7,0)))</f>
        <v/>
      </c>
      <c r="AR247" s="90" t="str">
        <f aca="false">IF(AQ247="","",ROUND(AQ247*(1+Справочники!$B$12),0))</f>
        <v/>
      </c>
      <c r="AS247" s="90" t="str">
        <f aca="false">IF(AR247="","",ROUND(AR247*(1-Справочники!$B$11),0))</f>
        <v/>
      </c>
      <c r="AT247" s="88"/>
      <c r="AU247" s="90" t="str">
        <f aca="false">IF(AT247="","",ROUND(AT247/(1+Справочники!$B$12),0))</f>
        <v/>
      </c>
      <c r="AV247" s="90" t="str">
        <f aca="false">IF(AT247="","",ROUND(AT247*(1-Справочники!$B$15),0))</f>
        <v/>
      </c>
      <c r="AW247" s="90" t="str">
        <f aca="false">IF(AT247="","",ROUND(AT247*(1-Справочники!$B$16),0))</f>
        <v/>
      </c>
      <c r="AX247" s="90" t="str">
        <f aca="false">IF(AT247="","",ROUND(AT247*(1-Справочники!$B$17),0))</f>
        <v/>
      </c>
      <c r="AY247" s="90" t="str">
        <f aca="false">IF(AT247="","",ROUND(AT247*(1-Справочники!$B$18),0))</f>
        <v/>
      </c>
      <c r="AZ247" s="90" t="str">
        <f aca="false">IF(AT247="","",ROUND(AT247*(1-Справочники!$B$19),0))</f>
        <v/>
      </c>
      <c r="BA247" s="81"/>
      <c r="BB247" s="81"/>
      <c r="BC247" s="81"/>
      <c r="BD247" s="81"/>
      <c r="BE247" s="91"/>
      <c r="BF247" s="81" t="s">
        <v>103</v>
      </c>
      <c r="BG247" s="89" t="n">
        <f aca="false" t="array" ref="BG247:BG247">IF(BF247="","",IFERROR(INDEX(Справочники!$B$4:$B$7,MATCH(BF247,Справочники!$A$4:$A$7,0)),""))</f>
        <v>68.5</v>
      </c>
      <c r="BH247" s="90" t="str">
        <f aca="false">IF(N(BN247)&gt;0,ROUND(SUMIF(ЗАКАЗЫ!$F$3:$F$500,$A247,ЗАКАЗЫ!$Y$3:$Y$500)/BN247,0),IF(OR(BE247="",BG247=""),"",ROUND(BE247*BG247*(1+Справочники!$B$10),0)))</f>
        <v/>
      </c>
      <c r="BI247" s="92" t="str">
        <f aca="false">IF(OR(AU247="",BH247="",AU247=0),"",(AU247-BH247)/AU247)</f>
        <v/>
      </c>
      <c r="BJ247" s="81"/>
      <c r="BK247" s="83"/>
      <c r="BL247" s="43" t="str">
        <f aca="false">IFERROR(INDEX(ЗАКАЗЫ!$N$3:$N$500,MATCH($A247,ЗАКАЗЫ!$F$3:$F$500,0)),"")</f>
        <v/>
      </c>
      <c r="BM247" s="8" t="str">
        <f aca="false">IF(BL247="","",IFERROR(VLOOKUP(BL247,'ТН ВЭД'!$A$4:$C$40,3,0),""))</f>
        <v/>
      </c>
      <c r="BN247" s="7" t="str">
        <f aca="false">IF(COUNTIF(ЗАКАЗЫ!$F$3:$F$500,$A247)=0,"",SUMIF(ЗАКАЗЫ!$F$3:$F$500,$A247,ЗАКАЗЫ!$J$3:$J$500))</f>
        <v/>
      </c>
      <c r="BO247" s="7" t="str">
        <f aca="false">IF(BN247="","",SUMIF(ЗАКАЗЫ!$F$3:$F$500,$A247,ЗАКАЗЫ!$AL$3:$AL$500))</f>
        <v/>
      </c>
      <c r="BP247" s="7" t="str">
        <f aca="false">IF(BN247="","",BN247-BO247)</f>
        <v/>
      </c>
      <c r="BQ247" s="55" t="str">
        <f aca="false">IF(BN247="","",IF(BO247&gt;=BN247,"На складе",IF(BO247&gt;0,"Частично","Ждём")))</f>
        <v/>
      </c>
      <c r="BR247" s="43"/>
      <c r="BS247" s="47" t="str">
        <f aca="false">IF(BN247="","",IF(_xlfn.MAXIFS(ЗАКАЗЫ!$AK$3:$AK$500,ЗАКАЗЫ!$F$3:$F$500,$A247)=0,"",_xlfn.MAXIFS(ЗАКАЗЫ!$AK$3:$AK$500,ЗАКАЗЫ!$F$3:$F$500,$A247)))</f>
        <v/>
      </c>
    </row>
    <row r="248" customFormat="false" ht="15.75" hidden="false" customHeight="true" outlineLevel="0" collapsed="false">
      <c r="A248" s="80" t="s">
        <v>2788</v>
      </c>
      <c r="B248" s="81"/>
      <c r="C248" s="81"/>
      <c r="D248" s="81"/>
      <c r="E248" s="83"/>
      <c r="F248" s="81"/>
      <c r="G248" s="83"/>
      <c r="H248" s="83"/>
      <c r="I248" s="84" t="str">
        <f aca="false">IF(E248="","",A248&amp;"_1.jpg")</f>
        <v/>
      </c>
      <c r="J248" s="84" t="str">
        <f aca="false">IF(E248="","",A248&amp;"_2.jpg; "&amp;A248&amp;"_3.jpg")</f>
        <v/>
      </c>
      <c r="K248" s="84" t="str">
        <f aca="false">IF(E248="","",A248&amp;"_schema.jpg")</f>
        <v/>
      </c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 t="s">
        <v>96</v>
      </c>
      <c r="W248" s="81"/>
      <c r="X248" s="81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6" t="str">
        <f aca="false">IF(SUM(Y248:AJ248)=0,"",SUM(Y248:AJ248))</f>
        <v/>
      </c>
      <c r="AL248" s="84" t="str">
        <f aca="false">MID(IF(N(Y248)&gt;0,", "&amp;Y$2,"")&amp;IF(N(Z248)&gt;0,", "&amp;Z$2,"")&amp;IF(N(AA248)&gt;0,", "&amp;AA$2,"")&amp;IF(N(AB248)&gt;0,", "&amp;AB$2,"")&amp;IF(N(AC248)&gt;0,", "&amp;AC$2,"")&amp;IF(N(AD248)&gt;0,", "&amp;AD$2,"")&amp;IF(N(AE248)&gt;0,", "&amp;AE$2,"")&amp;IF(N(AF248)&gt;0,", "&amp;AF$2,"")&amp;IF(N(AG248)&gt;0,", "&amp;AG$2,"")&amp;IF(N(AH248)&gt;0,", "&amp;AH$2,"")&amp;IF(N(AI248)&gt;0,", "&amp;AI$2,"")&amp;IF(N(AJ248)&gt;0,", "&amp;AJ$2,""),3,999)</f>
        <v/>
      </c>
      <c r="AM248" s="87" t="str">
        <f aca="false">IF(E248="","",MID(IF(N(Y248)&gt;0,", "&amp;A248&amp;"-"&amp;Y$2,"")&amp;IF(N(Z248)&gt;0,", "&amp;A248&amp;"-"&amp;Z$2,"")&amp;IF(N(AA248)&gt;0,", "&amp;A248&amp;"-"&amp;AA$2,"")&amp;IF(N(AB248)&gt;0,", "&amp;A248&amp;"-"&amp;AB$2,"")&amp;IF(N(AC248)&gt;0,", "&amp;A248&amp;"-"&amp;AC$2,"")&amp;IF(N(AD248)&gt;0,", "&amp;A248&amp;"-"&amp;AD$2,"")&amp;IF(N(AE248)&gt;0,", "&amp;A248&amp;"-"&amp;AE$2,"")&amp;IF(N(AF248)&gt;0,", "&amp;A248&amp;"-"&amp;AF$2,"")&amp;IF(N(AG248)&gt;0,", "&amp;A248&amp;"-"&amp;AG$2,"")&amp;IF(N(AH248)&gt;0,", "&amp;A248&amp;"-"&amp;AH$2,"")&amp;IF(N(AI248)&gt;0,", "&amp;A248&amp;"-"&amp;AI$2,"")&amp;IF(N(AJ248)&gt;0,", "&amp;A248&amp;"-"&amp;AJ$2,""),3,999))</f>
        <v/>
      </c>
      <c r="AN248" s="81"/>
      <c r="AO248" s="88"/>
      <c r="AP248" s="89" t="str">
        <f aca="false">IF(AO248="","",ROUND(AO248/(1+Справочники!$B$13),2))</f>
        <v/>
      </c>
      <c r="AQ248" s="90" t="str">
        <f aca="false" t="array" ref="AQ248:AQ248">IF(AP248="","",AP248*INDEX(Справочники!$B$4:$B$7,MATCH("RUB",Справочники!$A$4:$A$7,0)))</f>
        <v/>
      </c>
      <c r="AR248" s="90" t="str">
        <f aca="false">IF(AQ248="","",ROUND(AQ248*(1+Справочники!$B$12),0))</f>
        <v/>
      </c>
      <c r="AS248" s="90" t="str">
        <f aca="false">IF(AR248="","",ROUND(AR248*(1-Справочники!$B$11),0))</f>
        <v/>
      </c>
      <c r="AT248" s="88"/>
      <c r="AU248" s="90" t="str">
        <f aca="false">IF(AT248="","",ROUND(AT248/(1+Справочники!$B$12),0))</f>
        <v/>
      </c>
      <c r="AV248" s="90" t="str">
        <f aca="false">IF(AT248="","",ROUND(AT248*(1-Справочники!$B$15),0))</f>
        <v/>
      </c>
      <c r="AW248" s="90" t="str">
        <f aca="false">IF(AT248="","",ROUND(AT248*(1-Справочники!$B$16),0))</f>
        <v/>
      </c>
      <c r="AX248" s="90" t="str">
        <f aca="false">IF(AT248="","",ROUND(AT248*(1-Справочники!$B$17),0))</f>
        <v/>
      </c>
      <c r="AY248" s="90" t="str">
        <f aca="false">IF(AT248="","",ROUND(AT248*(1-Справочники!$B$18),0))</f>
        <v/>
      </c>
      <c r="AZ248" s="90" t="str">
        <f aca="false">IF(AT248="","",ROUND(AT248*(1-Справочники!$B$19),0))</f>
        <v/>
      </c>
      <c r="BA248" s="81"/>
      <c r="BB248" s="81"/>
      <c r="BC248" s="81"/>
      <c r="BD248" s="81"/>
      <c r="BE248" s="91"/>
      <c r="BF248" s="81" t="s">
        <v>103</v>
      </c>
      <c r="BG248" s="89" t="n">
        <f aca="false" t="array" ref="BG248:BG248">IF(BF248="","",IFERROR(INDEX(Справочники!$B$4:$B$7,MATCH(BF248,Справочники!$A$4:$A$7,0)),""))</f>
        <v>68.5</v>
      </c>
      <c r="BH248" s="90" t="str">
        <f aca="false">IF(N(BN248)&gt;0,ROUND(SUMIF(ЗАКАЗЫ!$F$3:$F$500,$A248,ЗАКАЗЫ!$Y$3:$Y$500)/BN248,0),IF(OR(BE248="",BG248=""),"",ROUND(BE248*BG248*(1+Справочники!$B$10),0)))</f>
        <v/>
      </c>
      <c r="BI248" s="92" t="str">
        <f aca="false">IF(OR(AU248="",BH248="",AU248=0),"",(AU248-BH248)/AU248)</f>
        <v/>
      </c>
      <c r="BJ248" s="81"/>
      <c r="BK248" s="83"/>
      <c r="BL248" s="43" t="str">
        <f aca="false">IFERROR(INDEX(ЗАКАЗЫ!$N$3:$N$500,MATCH($A248,ЗАКАЗЫ!$F$3:$F$500,0)),"")</f>
        <v/>
      </c>
      <c r="BM248" s="8" t="str">
        <f aca="false">IF(BL248="","",IFERROR(VLOOKUP(BL248,'ТН ВЭД'!$A$4:$C$40,3,0),""))</f>
        <v/>
      </c>
      <c r="BN248" s="7" t="str">
        <f aca="false">IF(COUNTIF(ЗАКАЗЫ!$F$3:$F$500,$A248)=0,"",SUMIF(ЗАКАЗЫ!$F$3:$F$500,$A248,ЗАКАЗЫ!$J$3:$J$500))</f>
        <v/>
      </c>
      <c r="BO248" s="7" t="str">
        <f aca="false">IF(BN248="","",SUMIF(ЗАКАЗЫ!$F$3:$F$500,$A248,ЗАКАЗЫ!$AL$3:$AL$500))</f>
        <v/>
      </c>
      <c r="BP248" s="7" t="str">
        <f aca="false">IF(BN248="","",BN248-BO248)</f>
        <v/>
      </c>
      <c r="BQ248" s="55" t="str">
        <f aca="false">IF(BN248="","",IF(BO248&gt;=BN248,"На складе",IF(BO248&gt;0,"Частично","Ждём")))</f>
        <v/>
      </c>
      <c r="BR248" s="43"/>
      <c r="BS248" s="47" t="str">
        <f aca="false">IF(BN248="","",IF(_xlfn.MAXIFS(ЗАКАЗЫ!$AK$3:$AK$500,ЗАКАЗЫ!$F$3:$F$500,$A248)=0,"",_xlfn.MAXIFS(ЗАКАЗЫ!$AK$3:$AK$500,ЗАКАЗЫ!$F$3:$F$500,$A248)))</f>
        <v/>
      </c>
    </row>
    <row r="249" customFormat="false" ht="15.75" hidden="false" customHeight="true" outlineLevel="0" collapsed="false">
      <c r="A249" s="80" t="s">
        <v>2789</v>
      </c>
      <c r="B249" s="81"/>
      <c r="C249" s="81"/>
      <c r="D249" s="81"/>
      <c r="E249" s="83"/>
      <c r="F249" s="81"/>
      <c r="G249" s="83"/>
      <c r="H249" s="83"/>
      <c r="I249" s="84" t="str">
        <f aca="false">IF(E249="","",A249&amp;"_1.jpg")</f>
        <v/>
      </c>
      <c r="J249" s="84" t="str">
        <f aca="false">IF(E249="","",A249&amp;"_2.jpg; "&amp;A249&amp;"_3.jpg")</f>
        <v/>
      </c>
      <c r="K249" s="84" t="str">
        <f aca="false">IF(E249="","",A249&amp;"_schema.jpg")</f>
        <v/>
      </c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 t="s">
        <v>96</v>
      </c>
      <c r="W249" s="81"/>
      <c r="X249" s="81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6" t="str">
        <f aca="false">IF(SUM(Y249:AJ249)=0,"",SUM(Y249:AJ249))</f>
        <v/>
      </c>
      <c r="AL249" s="84" t="str">
        <f aca="false">MID(IF(N(Y249)&gt;0,", "&amp;Y$2,"")&amp;IF(N(Z249)&gt;0,", "&amp;Z$2,"")&amp;IF(N(AA249)&gt;0,", "&amp;AA$2,"")&amp;IF(N(AB249)&gt;0,", "&amp;AB$2,"")&amp;IF(N(AC249)&gt;0,", "&amp;AC$2,"")&amp;IF(N(AD249)&gt;0,", "&amp;AD$2,"")&amp;IF(N(AE249)&gt;0,", "&amp;AE$2,"")&amp;IF(N(AF249)&gt;0,", "&amp;AF$2,"")&amp;IF(N(AG249)&gt;0,", "&amp;AG$2,"")&amp;IF(N(AH249)&gt;0,", "&amp;AH$2,"")&amp;IF(N(AI249)&gt;0,", "&amp;AI$2,"")&amp;IF(N(AJ249)&gt;0,", "&amp;AJ$2,""),3,999)</f>
        <v/>
      </c>
      <c r="AM249" s="87" t="str">
        <f aca="false">IF(E249="","",MID(IF(N(Y249)&gt;0,", "&amp;A249&amp;"-"&amp;Y$2,"")&amp;IF(N(Z249)&gt;0,", "&amp;A249&amp;"-"&amp;Z$2,"")&amp;IF(N(AA249)&gt;0,", "&amp;A249&amp;"-"&amp;AA$2,"")&amp;IF(N(AB249)&gt;0,", "&amp;A249&amp;"-"&amp;AB$2,"")&amp;IF(N(AC249)&gt;0,", "&amp;A249&amp;"-"&amp;AC$2,"")&amp;IF(N(AD249)&gt;0,", "&amp;A249&amp;"-"&amp;AD$2,"")&amp;IF(N(AE249)&gt;0,", "&amp;A249&amp;"-"&amp;AE$2,"")&amp;IF(N(AF249)&gt;0,", "&amp;A249&amp;"-"&amp;AF$2,"")&amp;IF(N(AG249)&gt;0,", "&amp;A249&amp;"-"&amp;AG$2,"")&amp;IF(N(AH249)&gt;0,", "&amp;A249&amp;"-"&amp;AH$2,"")&amp;IF(N(AI249)&gt;0,", "&amp;A249&amp;"-"&amp;AI$2,"")&amp;IF(N(AJ249)&gt;0,", "&amp;A249&amp;"-"&amp;AJ$2,""),3,999))</f>
        <v/>
      </c>
      <c r="AN249" s="81"/>
      <c r="AO249" s="88"/>
      <c r="AP249" s="89" t="str">
        <f aca="false">IF(AO249="","",ROUND(AO249/(1+Справочники!$B$13),2))</f>
        <v/>
      </c>
      <c r="AQ249" s="90" t="str">
        <f aca="false" t="array" ref="AQ249:AQ249">IF(AP249="","",AP249*INDEX(Справочники!$B$4:$B$7,MATCH("RUB",Справочники!$A$4:$A$7,0)))</f>
        <v/>
      </c>
      <c r="AR249" s="90" t="str">
        <f aca="false">IF(AQ249="","",ROUND(AQ249*(1+Справочники!$B$12),0))</f>
        <v/>
      </c>
      <c r="AS249" s="90" t="str">
        <f aca="false">IF(AR249="","",ROUND(AR249*(1-Справочники!$B$11),0))</f>
        <v/>
      </c>
      <c r="AT249" s="88"/>
      <c r="AU249" s="90" t="str">
        <f aca="false">IF(AT249="","",ROUND(AT249/(1+Справочники!$B$12),0))</f>
        <v/>
      </c>
      <c r="AV249" s="90" t="str">
        <f aca="false">IF(AT249="","",ROUND(AT249*(1-Справочники!$B$15),0))</f>
        <v/>
      </c>
      <c r="AW249" s="90" t="str">
        <f aca="false">IF(AT249="","",ROUND(AT249*(1-Справочники!$B$16),0))</f>
        <v/>
      </c>
      <c r="AX249" s="90" t="str">
        <f aca="false">IF(AT249="","",ROUND(AT249*(1-Справочники!$B$17),0))</f>
        <v/>
      </c>
      <c r="AY249" s="90" t="str">
        <f aca="false">IF(AT249="","",ROUND(AT249*(1-Справочники!$B$18),0))</f>
        <v/>
      </c>
      <c r="AZ249" s="90" t="str">
        <f aca="false">IF(AT249="","",ROUND(AT249*(1-Справочники!$B$19),0))</f>
        <v/>
      </c>
      <c r="BA249" s="81"/>
      <c r="BB249" s="81"/>
      <c r="BC249" s="81"/>
      <c r="BD249" s="81"/>
      <c r="BE249" s="91"/>
      <c r="BF249" s="81" t="s">
        <v>103</v>
      </c>
      <c r="BG249" s="89" t="n">
        <f aca="false" t="array" ref="BG249:BG249">IF(BF249="","",IFERROR(INDEX(Справочники!$B$4:$B$7,MATCH(BF249,Справочники!$A$4:$A$7,0)),""))</f>
        <v>68.5</v>
      </c>
      <c r="BH249" s="90" t="str">
        <f aca="false">IF(N(BN249)&gt;0,ROUND(SUMIF(ЗАКАЗЫ!$F$3:$F$500,$A249,ЗАКАЗЫ!$Y$3:$Y$500)/BN249,0),IF(OR(BE249="",BG249=""),"",ROUND(BE249*BG249*(1+Справочники!$B$10),0)))</f>
        <v/>
      </c>
      <c r="BI249" s="92" t="str">
        <f aca="false">IF(OR(AU249="",BH249="",AU249=0),"",(AU249-BH249)/AU249)</f>
        <v/>
      </c>
      <c r="BJ249" s="81"/>
      <c r="BK249" s="83"/>
      <c r="BL249" s="43" t="str">
        <f aca="false">IFERROR(INDEX(ЗАКАЗЫ!$N$3:$N$500,MATCH($A249,ЗАКАЗЫ!$F$3:$F$500,0)),"")</f>
        <v/>
      </c>
      <c r="BM249" s="8" t="str">
        <f aca="false">IF(BL249="","",IFERROR(VLOOKUP(BL249,'ТН ВЭД'!$A$4:$C$40,3,0),""))</f>
        <v/>
      </c>
      <c r="BN249" s="7" t="str">
        <f aca="false">IF(COUNTIF(ЗАКАЗЫ!$F$3:$F$500,$A249)=0,"",SUMIF(ЗАКАЗЫ!$F$3:$F$500,$A249,ЗАКАЗЫ!$J$3:$J$500))</f>
        <v/>
      </c>
      <c r="BO249" s="7" t="str">
        <f aca="false">IF(BN249="","",SUMIF(ЗАКАЗЫ!$F$3:$F$500,$A249,ЗАКАЗЫ!$AL$3:$AL$500))</f>
        <v/>
      </c>
      <c r="BP249" s="7" t="str">
        <f aca="false">IF(BN249="","",BN249-BO249)</f>
        <v/>
      </c>
      <c r="BQ249" s="55" t="str">
        <f aca="false">IF(BN249="","",IF(BO249&gt;=BN249,"На складе",IF(BO249&gt;0,"Частично","Ждём")))</f>
        <v/>
      </c>
      <c r="BR249" s="43"/>
      <c r="BS249" s="47" t="str">
        <f aca="false">IF(BN249="","",IF(_xlfn.MAXIFS(ЗАКАЗЫ!$AK$3:$AK$500,ЗАКАЗЫ!$F$3:$F$500,$A249)=0,"",_xlfn.MAXIFS(ЗАКАЗЫ!$AK$3:$AK$500,ЗАКАЗЫ!$F$3:$F$500,$A249)))</f>
        <v/>
      </c>
    </row>
    <row r="250" customFormat="false" ht="15.75" hidden="false" customHeight="true" outlineLevel="0" collapsed="false">
      <c r="A250" s="80" t="s">
        <v>2790</v>
      </c>
      <c r="B250" s="81"/>
      <c r="C250" s="81"/>
      <c r="D250" s="81"/>
      <c r="E250" s="83"/>
      <c r="F250" s="81"/>
      <c r="G250" s="83"/>
      <c r="H250" s="83"/>
      <c r="I250" s="84" t="str">
        <f aca="false">IF(E250="","",A250&amp;"_1.jpg")</f>
        <v/>
      </c>
      <c r="J250" s="84" t="str">
        <f aca="false">IF(E250="","",A250&amp;"_2.jpg; "&amp;A250&amp;"_3.jpg")</f>
        <v/>
      </c>
      <c r="K250" s="84" t="str">
        <f aca="false">IF(E250="","",A250&amp;"_schema.jpg")</f>
        <v/>
      </c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 t="s">
        <v>96</v>
      </c>
      <c r="W250" s="81"/>
      <c r="X250" s="81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6" t="str">
        <f aca="false">IF(SUM(Y250:AJ250)=0,"",SUM(Y250:AJ250))</f>
        <v/>
      </c>
      <c r="AL250" s="84" t="str">
        <f aca="false">MID(IF(N(Y250)&gt;0,", "&amp;Y$2,"")&amp;IF(N(Z250)&gt;0,", "&amp;Z$2,"")&amp;IF(N(AA250)&gt;0,", "&amp;AA$2,"")&amp;IF(N(AB250)&gt;0,", "&amp;AB$2,"")&amp;IF(N(AC250)&gt;0,", "&amp;AC$2,"")&amp;IF(N(AD250)&gt;0,", "&amp;AD$2,"")&amp;IF(N(AE250)&gt;0,", "&amp;AE$2,"")&amp;IF(N(AF250)&gt;0,", "&amp;AF$2,"")&amp;IF(N(AG250)&gt;0,", "&amp;AG$2,"")&amp;IF(N(AH250)&gt;0,", "&amp;AH$2,"")&amp;IF(N(AI250)&gt;0,", "&amp;AI$2,"")&amp;IF(N(AJ250)&gt;0,", "&amp;AJ$2,""),3,999)</f>
        <v/>
      </c>
      <c r="AM250" s="87" t="str">
        <f aca="false">IF(E250="","",MID(IF(N(Y250)&gt;0,", "&amp;A250&amp;"-"&amp;Y$2,"")&amp;IF(N(Z250)&gt;0,", "&amp;A250&amp;"-"&amp;Z$2,"")&amp;IF(N(AA250)&gt;0,", "&amp;A250&amp;"-"&amp;AA$2,"")&amp;IF(N(AB250)&gt;0,", "&amp;A250&amp;"-"&amp;AB$2,"")&amp;IF(N(AC250)&gt;0,", "&amp;A250&amp;"-"&amp;AC$2,"")&amp;IF(N(AD250)&gt;0,", "&amp;A250&amp;"-"&amp;AD$2,"")&amp;IF(N(AE250)&gt;0,", "&amp;A250&amp;"-"&amp;AE$2,"")&amp;IF(N(AF250)&gt;0,", "&amp;A250&amp;"-"&amp;AF$2,"")&amp;IF(N(AG250)&gt;0,", "&amp;A250&amp;"-"&amp;AG$2,"")&amp;IF(N(AH250)&gt;0,", "&amp;A250&amp;"-"&amp;AH$2,"")&amp;IF(N(AI250)&gt;0,", "&amp;A250&amp;"-"&amp;AI$2,"")&amp;IF(N(AJ250)&gt;0,", "&amp;A250&amp;"-"&amp;AJ$2,""),3,999))</f>
        <v/>
      </c>
      <c r="AN250" s="81"/>
      <c r="AO250" s="88"/>
      <c r="AP250" s="89" t="str">
        <f aca="false">IF(AO250="","",ROUND(AO250/(1+Справочники!$B$13),2))</f>
        <v/>
      </c>
      <c r="AQ250" s="90" t="str">
        <f aca="false" t="array" ref="AQ250:AQ250">IF(AP250="","",AP250*INDEX(Справочники!$B$4:$B$7,MATCH("RUB",Справочники!$A$4:$A$7,0)))</f>
        <v/>
      </c>
      <c r="AR250" s="90" t="str">
        <f aca="false">IF(AQ250="","",ROUND(AQ250*(1+Справочники!$B$12),0))</f>
        <v/>
      </c>
      <c r="AS250" s="90" t="str">
        <f aca="false">IF(AR250="","",ROUND(AR250*(1-Справочники!$B$11),0))</f>
        <v/>
      </c>
      <c r="AT250" s="88"/>
      <c r="AU250" s="90" t="str">
        <f aca="false">IF(AT250="","",ROUND(AT250/(1+Справочники!$B$12),0))</f>
        <v/>
      </c>
      <c r="AV250" s="90" t="str">
        <f aca="false">IF(AT250="","",ROUND(AT250*(1-Справочники!$B$15),0))</f>
        <v/>
      </c>
      <c r="AW250" s="90" t="str">
        <f aca="false">IF(AT250="","",ROUND(AT250*(1-Справочники!$B$16),0))</f>
        <v/>
      </c>
      <c r="AX250" s="90" t="str">
        <f aca="false">IF(AT250="","",ROUND(AT250*(1-Справочники!$B$17),0))</f>
        <v/>
      </c>
      <c r="AY250" s="90" t="str">
        <f aca="false">IF(AT250="","",ROUND(AT250*(1-Справочники!$B$18),0))</f>
        <v/>
      </c>
      <c r="AZ250" s="90" t="str">
        <f aca="false">IF(AT250="","",ROUND(AT250*(1-Справочники!$B$19),0))</f>
        <v/>
      </c>
      <c r="BA250" s="81"/>
      <c r="BB250" s="81"/>
      <c r="BC250" s="81"/>
      <c r="BD250" s="81"/>
      <c r="BE250" s="91"/>
      <c r="BF250" s="81" t="s">
        <v>103</v>
      </c>
      <c r="BG250" s="89" t="n">
        <f aca="false" t="array" ref="BG250:BG250">IF(BF250="","",IFERROR(INDEX(Справочники!$B$4:$B$7,MATCH(BF250,Справочники!$A$4:$A$7,0)),""))</f>
        <v>68.5</v>
      </c>
      <c r="BH250" s="90" t="str">
        <f aca="false">IF(N(BN250)&gt;0,ROUND(SUMIF(ЗАКАЗЫ!$F$3:$F$500,$A250,ЗАКАЗЫ!$Y$3:$Y$500)/BN250,0),IF(OR(BE250="",BG250=""),"",ROUND(BE250*BG250*(1+Справочники!$B$10),0)))</f>
        <v/>
      </c>
      <c r="BI250" s="92" t="str">
        <f aca="false">IF(OR(AU250="",BH250="",AU250=0),"",(AU250-BH250)/AU250)</f>
        <v/>
      </c>
      <c r="BJ250" s="81"/>
      <c r="BK250" s="83"/>
      <c r="BL250" s="43" t="str">
        <f aca="false">IFERROR(INDEX(ЗАКАЗЫ!$N$3:$N$500,MATCH($A250,ЗАКАЗЫ!$F$3:$F$500,0)),"")</f>
        <v/>
      </c>
      <c r="BM250" s="8" t="str">
        <f aca="false">IF(BL250="","",IFERROR(VLOOKUP(BL250,'ТН ВЭД'!$A$4:$C$40,3,0),""))</f>
        <v/>
      </c>
      <c r="BN250" s="7" t="str">
        <f aca="false">IF(COUNTIF(ЗАКАЗЫ!$F$3:$F$500,$A250)=0,"",SUMIF(ЗАКАЗЫ!$F$3:$F$500,$A250,ЗАКАЗЫ!$J$3:$J$500))</f>
        <v/>
      </c>
      <c r="BO250" s="7" t="str">
        <f aca="false">IF(BN250="","",SUMIF(ЗАКАЗЫ!$F$3:$F$500,$A250,ЗАКАЗЫ!$AL$3:$AL$500))</f>
        <v/>
      </c>
      <c r="BP250" s="7" t="str">
        <f aca="false">IF(BN250="","",BN250-BO250)</f>
        <v/>
      </c>
      <c r="BQ250" s="55" t="str">
        <f aca="false">IF(BN250="","",IF(BO250&gt;=BN250,"На складе",IF(BO250&gt;0,"Частично","Ждём")))</f>
        <v/>
      </c>
      <c r="BR250" s="43"/>
      <c r="BS250" s="47" t="str">
        <f aca="false">IF(BN250="","",IF(_xlfn.MAXIFS(ЗАКАЗЫ!$AK$3:$AK$500,ЗАКАЗЫ!$F$3:$F$500,$A250)=0,"",_xlfn.MAXIFS(ЗАКАЗЫ!$AK$3:$AK$500,ЗАКАЗЫ!$F$3:$F$500,$A250)))</f>
        <v/>
      </c>
    </row>
    <row r="251" customFormat="false" ht="15.75" hidden="false" customHeight="true" outlineLevel="0" collapsed="false">
      <c r="A251" s="80" t="s">
        <v>2791</v>
      </c>
      <c r="B251" s="81"/>
      <c r="C251" s="81"/>
      <c r="D251" s="81"/>
      <c r="E251" s="83"/>
      <c r="F251" s="81"/>
      <c r="G251" s="83"/>
      <c r="H251" s="83"/>
      <c r="I251" s="84" t="str">
        <f aca="false">IF(E251="","",A251&amp;"_1.jpg")</f>
        <v/>
      </c>
      <c r="J251" s="84" t="str">
        <f aca="false">IF(E251="","",A251&amp;"_2.jpg; "&amp;A251&amp;"_3.jpg")</f>
        <v/>
      </c>
      <c r="K251" s="84" t="str">
        <f aca="false">IF(E251="","",A251&amp;"_schema.jpg")</f>
        <v/>
      </c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 t="s">
        <v>96</v>
      </c>
      <c r="W251" s="81"/>
      <c r="X251" s="81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6" t="str">
        <f aca="false">IF(SUM(Y251:AJ251)=0,"",SUM(Y251:AJ251))</f>
        <v/>
      </c>
      <c r="AL251" s="84" t="str">
        <f aca="false">MID(IF(N(Y251)&gt;0,", "&amp;Y$2,"")&amp;IF(N(Z251)&gt;0,", "&amp;Z$2,"")&amp;IF(N(AA251)&gt;0,", "&amp;AA$2,"")&amp;IF(N(AB251)&gt;0,", "&amp;AB$2,"")&amp;IF(N(AC251)&gt;0,", "&amp;AC$2,"")&amp;IF(N(AD251)&gt;0,", "&amp;AD$2,"")&amp;IF(N(AE251)&gt;0,", "&amp;AE$2,"")&amp;IF(N(AF251)&gt;0,", "&amp;AF$2,"")&amp;IF(N(AG251)&gt;0,", "&amp;AG$2,"")&amp;IF(N(AH251)&gt;0,", "&amp;AH$2,"")&amp;IF(N(AI251)&gt;0,", "&amp;AI$2,"")&amp;IF(N(AJ251)&gt;0,", "&amp;AJ$2,""),3,999)</f>
        <v/>
      </c>
      <c r="AM251" s="87" t="str">
        <f aca="false">IF(E251="","",MID(IF(N(Y251)&gt;0,", "&amp;A251&amp;"-"&amp;Y$2,"")&amp;IF(N(Z251)&gt;0,", "&amp;A251&amp;"-"&amp;Z$2,"")&amp;IF(N(AA251)&gt;0,", "&amp;A251&amp;"-"&amp;AA$2,"")&amp;IF(N(AB251)&gt;0,", "&amp;A251&amp;"-"&amp;AB$2,"")&amp;IF(N(AC251)&gt;0,", "&amp;A251&amp;"-"&amp;AC$2,"")&amp;IF(N(AD251)&gt;0,", "&amp;A251&amp;"-"&amp;AD$2,"")&amp;IF(N(AE251)&gt;0,", "&amp;A251&amp;"-"&amp;AE$2,"")&amp;IF(N(AF251)&gt;0,", "&amp;A251&amp;"-"&amp;AF$2,"")&amp;IF(N(AG251)&gt;0,", "&amp;A251&amp;"-"&amp;AG$2,"")&amp;IF(N(AH251)&gt;0,", "&amp;A251&amp;"-"&amp;AH$2,"")&amp;IF(N(AI251)&gt;0,", "&amp;A251&amp;"-"&amp;AI$2,"")&amp;IF(N(AJ251)&gt;0,", "&amp;A251&amp;"-"&amp;AJ$2,""),3,999))</f>
        <v/>
      </c>
      <c r="AN251" s="81"/>
      <c r="AO251" s="88"/>
      <c r="AP251" s="89" t="str">
        <f aca="false">IF(AO251="","",ROUND(AO251/(1+Справочники!$B$13),2))</f>
        <v/>
      </c>
      <c r="AQ251" s="90" t="str">
        <f aca="false" t="array" ref="AQ251:AQ251">IF(AP251="","",AP251*INDEX(Справочники!$B$4:$B$7,MATCH("RUB",Справочники!$A$4:$A$7,0)))</f>
        <v/>
      </c>
      <c r="AR251" s="90" t="str">
        <f aca="false">IF(AQ251="","",ROUND(AQ251*(1+Справочники!$B$12),0))</f>
        <v/>
      </c>
      <c r="AS251" s="90" t="str">
        <f aca="false">IF(AR251="","",ROUND(AR251*(1-Справочники!$B$11),0))</f>
        <v/>
      </c>
      <c r="AT251" s="88"/>
      <c r="AU251" s="90" t="str">
        <f aca="false">IF(AT251="","",ROUND(AT251/(1+Справочники!$B$12),0))</f>
        <v/>
      </c>
      <c r="AV251" s="90" t="str">
        <f aca="false">IF(AT251="","",ROUND(AT251*(1-Справочники!$B$15),0))</f>
        <v/>
      </c>
      <c r="AW251" s="90" t="str">
        <f aca="false">IF(AT251="","",ROUND(AT251*(1-Справочники!$B$16),0))</f>
        <v/>
      </c>
      <c r="AX251" s="90" t="str">
        <f aca="false">IF(AT251="","",ROUND(AT251*(1-Справочники!$B$17),0))</f>
        <v/>
      </c>
      <c r="AY251" s="90" t="str">
        <f aca="false">IF(AT251="","",ROUND(AT251*(1-Справочники!$B$18),0))</f>
        <v/>
      </c>
      <c r="AZ251" s="90" t="str">
        <f aca="false">IF(AT251="","",ROUND(AT251*(1-Справочники!$B$19),0))</f>
        <v/>
      </c>
      <c r="BA251" s="81"/>
      <c r="BB251" s="81"/>
      <c r="BC251" s="81"/>
      <c r="BD251" s="81"/>
      <c r="BE251" s="91"/>
      <c r="BF251" s="81" t="s">
        <v>103</v>
      </c>
      <c r="BG251" s="89" t="n">
        <f aca="false" t="array" ref="BG251:BG251">IF(BF251="","",IFERROR(INDEX(Справочники!$B$4:$B$7,MATCH(BF251,Справочники!$A$4:$A$7,0)),""))</f>
        <v>68.5</v>
      </c>
      <c r="BH251" s="90" t="str">
        <f aca="false">IF(N(BN251)&gt;0,ROUND(SUMIF(ЗАКАЗЫ!$F$3:$F$500,$A251,ЗАКАЗЫ!$Y$3:$Y$500)/BN251,0),IF(OR(BE251="",BG251=""),"",ROUND(BE251*BG251*(1+Справочники!$B$10),0)))</f>
        <v/>
      </c>
      <c r="BI251" s="92" t="str">
        <f aca="false">IF(OR(AU251="",BH251="",AU251=0),"",(AU251-BH251)/AU251)</f>
        <v/>
      </c>
      <c r="BJ251" s="81"/>
      <c r="BK251" s="83"/>
      <c r="BL251" s="43" t="str">
        <f aca="false">IFERROR(INDEX(ЗАКАЗЫ!$N$3:$N$500,MATCH($A251,ЗАКАЗЫ!$F$3:$F$500,0)),"")</f>
        <v/>
      </c>
      <c r="BM251" s="8" t="str">
        <f aca="false">IF(BL251="","",IFERROR(VLOOKUP(BL251,'ТН ВЭД'!$A$4:$C$40,3,0),""))</f>
        <v/>
      </c>
      <c r="BN251" s="7" t="str">
        <f aca="false">IF(COUNTIF(ЗАКАЗЫ!$F$3:$F$500,$A251)=0,"",SUMIF(ЗАКАЗЫ!$F$3:$F$500,$A251,ЗАКАЗЫ!$J$3:$J$500))</f>
        <v/>
      </c>
      <c r="BO251" s="7" t="str">
        <f aca="false">IF(BN251="","",SUMIF(ЗАКАЗЫ!$F$3:$F$500,$A251,ЗАКАЗЫ!$AL$3:$AL$500))</f>
        <v/>
      </c>
      <c r="BP251" s="7" t="str">
        <f aca="false">IF(BN251="","",BN251-BO251)</f>
        <v/>
      </c>
      <c r="BQ251" s="55" t="str">
        <f aca="false">IF(BN251="","",IF(BO251&gt;=BN251,"На складе",IF(BO251&gt;0,"Частично","Ждём")))</f>
        <v/>
      </c>
      <c r="BR251" s="43"/>
      <c r="BS251" s="47" t="str">
        <f aca="false">IF(BN251="","",IF(_xlfn.MAXIFS(ЗАКАЗЫ!$AK$3:$AK$500,ЗАКАЗЫ!$F$3:$F$500,$A251)=0,"",_xlfn.MAXIFS(ЗАКАЗЫ!$AK$3:$AK$500,ЗАКАЗЫ!$F$3:$F$500,$A251)))</f>
        <v/>
      </c>
    </row>
    <row r="252" customFormat="false" ht="15.75" hidden="false" customHeight="true" outlineLevel="0" collapsed="false">
      <c r="A252" s="80" t="s">
        <v>2792</v>
      </c>
      <c r="B252" s="81"/>
      <c r="C252" s="81"/>
      <c r="D252" s="81"/>
      <c r="E252" s="83"/>
      <c r="F252" s="81"/>
      <c r="G252" s="83"/>
      <c r="H252" s="83"/>
      <c r="I252" s="84" t="str">
        <f aca="false">IF(E252="","",A252&amp;"_1.jpg")</f>
        <v/>
      </c>
      <c r="J252" s="84" t="str">
        <f aca="false">IF(E252="","",A252&amp;"_2.jpg; "&amp;A252&amp;"_3.jpg")</f>
        <v/>
      </c>
      <c r="K252" s="84" t="str">
        <f aca="false">IF(E252="","",A252&amp;"_schema.jpg")</f>
        <v/>
      </c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 t="s">
        <v>96</v>
      </c>
      <c r="W252" s="81"/>
      <c r="X252" s="81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6" t="str">
        <f aca="false">IF(SUM(Y252:AJ252)=0,"",SUM(Y252:AJ252))</f>
        <v/>
      </c>
      <c r="AL252" s="84" t="str">
        <f aca="false">MID(IF(N(Y252)&gt;0,", "&amp;Y$2,"")&amp;IF(N(Z252)&gt;0,", "&amp;Z$2,"")&amp;IF(N(AA252)&gt;0,", "&amp;AA$2,"")&amp;IF(N(AB252)&gt;0,", "&amp;AB$2,"")&amp;IF(N(AC252)&gt;0,", "&amp;AC$2,"")&amp;IF(N(AD252)&gt;0,", "&amp;AD$2,"")&amp;IF(N(AE252)&gt;0,", "&amp;AE$2,"")&amp;IF(N(AF252)&gt;0,", "&amp;AF$2,"")&amp;IF(N(AG252)&gt;0,", "&amp;AG$2,"")&amp;IF(N(AH252)&gt;0,", "&amp;AH$2,"")&amp;IF(N(AI252)&gt;0,", "&amp;AI$2,"")&amp;IF(N(AJ252)&gt;0,", "&amp;AJ$2,""),3,999)</f>
        <v/>
      </c>
      <c r="AM252" s="87" t="str">
        <f aca="false">IF(E252="","",MID(IF(N(Y252)&gt;0,", "&amp;A252&amp;"-"&amp;Y$2,"")&amp;IF(N(Z252)&gt;0,", "&amp;A252&amp;"-"&amp;Z$2,"")&amp;IF(N(AA252)&gt;0,", "&amp;A252&amp;"-"&amp;AA$2,"")&amp;IF(N(AB252)&gt;0,", "&amp;A252&amp;"-"&amp;AB$2,"")&amp;IF(N(AC252)&gt;0,", "&amp;A252&amp;"-"&amp;AC$2,"")&amp;IF(N(AD252)&gt;0,", "&amp;A252&amp;"-"&amp;AD$2,"")&amp;IF(N(AE252)&gt;0,", "&amp;A252&amp;"-"&amp;AE$2,"")&amp;IF(N(AF252)&gt;0,", "&amp;A252&amp;"-"&amp;AF$2,"")&amp;IF(N(AG252)&gt;0,", "&amp;A252&amp;"-"&amp;AG$2,"")&amp;IF(N(AH252)&gt;0,", "&amp;A252&amp;"-"&amp;AH$2,"")&amp;IF(N(AI252)&gt;0,", "&amp;A252&amp;"-"&amp;AI$2,"")&amp;IF(N(AJ252)&gt;0,", "&amp;A252&amp;"-"&amp;AJ$2,""),3,999))</f>
        <v/>
      </c>
      <c r="AN252" s="81"/>
      <c r="AO252" s="88"/>
      <c r="AP252" s="89" t="str">
        <f aca="false">IF(AO252="","",ROUND(AO252/(1+Справочники!$B$13),2))</f>
        <v/>
      </c>
      <c r="AQ252" s="90" t="str">
        <f aca="false" t="array" ref="AQ252:AQ252">IF(AP252="","",AP252*INDEX(Справочники!$B$4:$B$7,MATCH("RUB",Справочники!$A$4:$A$7,0)))</f>
        <v/>
      </c>
      <c r="AR252" s="90" t="str">
        <f aca="false">IF(AQ252="","",ROUND(AQ252*(1+Справочники!$B$12),0))</f>
        <v/>
      </c>
      <c r="AS252" s="90" t="str">
        <f aca="false">IF(AR252="","",ROUND(AR252*(1-Справочники!$B$11),0))</f>
        <v/>
      </c>
      <c r="AT252" s="88"/>
      <c r="AU252" s="90" t="str">
        <f aca="false">IF(AT252="","",ROUND(AT252/(1+Справочники!$B$12),0))</f>
        <v/>
      </c>
      <c r="AV252" s="90" t="str">
        <f aca="false">IF(AT252="","",ROUND(AT252*(1-Справочники!$B$15),0))</f>
        <v/>
      </c>
      <c r="AW252" s="90" t="str">
        <f aca="false">IF(AT252="","",ROUND(AT252*(1-Справочники!$B$16),0))</f>
        <v/>
      </c>
      <c r="AX252" s="90" t="str">
        <f aca="false">IF(AT252="","",ROUND(AT252*(1-Справочники!$B$17),0))</f>
        <v/>
      </c>
      <c r="AY252" s="90" t="str">
        <f aca="false">IF(AT252="","",ROUND(AT252*(1-Справочники!$B$18),0))</f>
        <v/>
      </c>
      <c r="AZ252" s="90" t="str">
        <f aca="false">IF(AT252="","",ROUND(AT252*(1-Справочники!$B$19),0))</f>
        <v/>
      </c>
      <c r="BA252" s="81"/>
      <c r="BB252" s="81"/>
      <c r="BC252" s="81"/>
      <c r="BD252" s="81"/>
      <c r="BE252" s="91"/>
      <c r="BF252" s="81" t="s">
        <v>103</v>
      </c>
      <c r="BG252" s="89" t="n">
        <f aca="false" t="array" ref="BG252:BG252">IF(BF252="","",IFERROR(INDEX(Справочники!$B$4:$B$7,MATCH(BF252,Справочники!$A$4:$A$7,0)),""))</f>
        <v>68.5</v>
      </c>
      <c r="BH252" s="90" t="str">
        <f aca="false">IF(N(BN252)&gt;0,ROUND(SUMIF(ЗАКАЗЫ!$F$3:$F$500,$A252,ЗАКАЗЫ!$Y$3:$Y$500)/BN252,0),IF(OR(BE252="",BG252=""),"",ROUND(BE252*BG252*(1+Справочники!$B$10),0)))</f>
        <v/>
      </c>
      <c r="BI252" s="92" t="str">
        <f aca="false">IF(OR(AU252="",BH252="",AU252=0),"",(AU252-BH252)/AU252)</f>
        <v/>
      </c>
      <c r="BJ252" s="81"/>
      <c r="BK252" s="83"/>
      <c r="BL252" s="43" t="str">
        <f aca="false">IFERROR(INDEX(ЗАКАЗЫ!$N$3:$N$500,MATCH($A252,ЗАКАЗЫ!$F$3:$F$500,0)),"")</f>
        <v/>
      </c>
      <c r="BM252" s="8" t="str">
        <f aca="false">IF(BL252="","",IFERROR(VLOOKUP(BL252,'ТН ВЭД'!$A$4:$C$40,3,0),""))</f>
        <v/>
      </c>
      <c r="BN252" s="7" t="str">
        <f aca="false">IF(COUNTIF(ЗАКАЗЫ!$F$3:$F$500,$A252)=0,"",SUMIF(ЗАКАЗЫ!$F$3:$F$500,$A252,ЗАКАЗЫ!$J$3:$J$500))</f>
        <v/>
      </c>
      <c r="BO252" s="7" t="str">
        <f aca="false">IF(BN252="","",SUMIF(ЗАКАЗЫ!$F$3:$F$500,$A252,ЗАКАЗЫ!$AL$3:$AL$500))</f>
        <v/>
      </c>
      <c r="BP252" s="7" t="str">
        <f aca="false">IF(BN252="","",BN252-BO252)</f>
        <v/>
      </c>
      <c r="BQ252" s="55" t="str">
        <f aca="false">IF(BN252="","",IF(BO252&gt;=BN252,"На складе",IF(BO252&gt;0,"Частично","Ждём")))</f>
        <v/>
      </c>
      <c r="BR252" s="43"/>
      <c r="BS252" s="47" t="str">
        <f aca="false">IF(BN252="","",IF(_xlfn.MAXIFS(ЗАКАЗЫ!$AK$3:$AK$500,ЗАКАЗЫ!$F$3:$F$500,$A252)=0,"",_xlfn.MAXIFS(ЗАКАЗЫ!$AK$3:$AK$500,ЗАКАЗЫ!$F$3:$F$500,$A252)))</f>
        <v/>
      </c>
    </row>
    <row r="253" customFormat="false" ht="15.75" hidden="false" customHeight="true" outlineLevel="0" collapsed="false">
      <c r="A253" s="80" t="s">
        <v>2793</v>
      </c>
      <c r="B253" s="81"/>
      <c r="C253" s="81"/>
      <c r="D253" s="81"/>
      <c r="E253" s="83"/>
      <c r="F253" s="81"/>
      <c r="G253" s="83"/>
      <c r="H253" s="83"/>
      <c r="I253" s="84" t="str">
        <f aca="false">IF(E253="","",A253&amp;"_1.jpg")</f>
        <v/>
      </c>
      <c r="J253" s="84" t="str">
        <f aca="false">IF(E253="","",A253&amp;"_2.jpg; "&amp;A253&amp;"_3.jpg")</f>
        <v/>
      </c>
      <c r="K253" s="84" t="str">
        <f aca="false">IF(E253="","",A253&amp;"_schema.jpg")</f>
        <v/>
      </c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 t="s">
        <v>96</v>
      </c>
      <c r="W253" s="81"/>
      <c r="X253" s="81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6" t="str">
        <f aca="false">IF(SUM(Y253:AJ253)=0,"",SUM(Y253:AJ253))</f>
        <v/>
      </c>
      <c r="AL253" s="84" t="str">
        <f aca="false">MID(IF(N(Y253)&gt;0,", "&amp;Y$2,"")&amp;IF(N(Z253)&gt;0,", "&amp;Z$2,"")&amp;IF(N(AA253)&gt;0,", "&amp;AA$2,"")&amp;IF(N(AB253)&gt;0,", "&amp;AB$2,"")&amp;IF(N(AC253)&gt;0,", "&amp;AC$2,"")&amp;IF(N(AD253)&gt;0,", "&amp;AD$2,"")&amp;IF(N(AE253)&gt;0,", "&amp;AE$2,"")&amp;IF(N(AF253)&gt;0,", "&amp;AF$2,"")&amp;IF(N(AG253)&gt;0,", "&amp;AG$2,"")&amp;IF(N(AH253)&gt;0,", "&amp;AH$2,"")&amp;IF(N(AI253)&gt;0,", "&amp;AI$2,"")&amp;IF(N(AJ253)&gt;0,", "&amp;AJ$2,""),3,999)</f>
        <v/>
      </c>
      <c r="AM253" s="87" t="str">
        <f aca="false">IF(E253="","",MID(IF(N(Y253)&gt;0,", "&amp;A253&amp;"-"&amp;Y$2,"")&amp;IF(N(Z253)&gt;0,", "&amp;A253&amp;"-"&amp;Z$2,"")&amp;IF(N(AA253)&gt;0,", "&amp;A253&amp;"-"&amp;AA$2,"")&amp;IF(N(AB253)&gt;0,", "&amp;A253&amp;"-"&amp;AB$2,"")&amp;IF(N(AC253)&gt;0,", "&amp;A253&amp;"-"&amp;AC$2,"")&amp;IF(N(AD253)&gt;0,", "&amp;A253&amp;"-"&amp;AD$2,"")&amp;IF(N(AE253)&gt;0,", "&amp;A253&amp;"-"&amp;AE$2,"")&amp;IF(N(AF253)&gt;0,", "&amp;A253&amp;"-"&amp;AF$2,"")&amp;IF(N(AG253)&gt;0,", "&amp;A253&amp;"-"&amp;AG$2,"")&amp;IF(N(AH253)&gt;0,", "&amp;A253&amp;"-"&amp;AH$2,"")&amp;IF(N(AI253)&gt;0,", "&amp;A253&amp;"-"&amp;AI$2,"")&amp;IF(N(AJ253)&gt;0,", "&amp;A253&amp;"-"&amp;AJ$2,""),3,999))</f>
        <v/>
      </c>
      <c r="AN253" s="81"/>
      <c r="AO253" s="88"/>
      <c r="AP253" s="89" t="str">
        <f aca="false">IF(AO253="","",ROUND(AO253/(1+Справочники!$B$13),2))</f>
        <v/>
      </c>
      <c r="AQ253" s="90" t="str">
        <f aca="false" t="array" ref="AQ253:AQ253">IF(AP253="","",AP253*INDEX(Справочники!$B$4:$B$7,MATCH("RUB",Справочники!$A$4:$A$7,0)))</f>
        <v/>
      </c>
      <c r="AR253" s="90" t="str">
        <f aca="false">IF(AQ253="","",ROUND(AQ253*(1+Справочники!$B$12),0))</f>
        <v/>
      </c>
      <c r="AS253" s="90" t="str">
        <f aca="false">IF(AR253="","",ROUND(AR253*(1-Справочники!$B$11),0))</f>
        <v/>
      </c>
      <c r="AT253" s="88"/>
      <c r="AU253" s="90" t="str">
        <f aca="false">IF(AT253="","",ROUND(AT253/(1+Справочники!$B$12),0))</f>
        <v/>
      </c>
      <c r="AV253" s="90" t="str">
        <f aca="false">IF(AT253="","",ROUND(AT253*(1-Справочники!$B$15),0))</f>
        <v/>
      </c>
      <c r="AW253" s="90" t="str">
        <f aca="false">IF(AT253="","",ROUND(AT253*(1-Справочники!$B$16),0))</f>
        <v/>
      </c>
      <c r="AX253" s="90" t="str">
        <f aca="false">IF(AT253="","",ROUND(AT253*(1-Справочники!$B$17),0))</f>
        <v/>
      </c>
      <c r="AY253" s="90" t="str">
        <f aca="false">IF(AT253="","",ROUND(AT253*(1-Справочники!$B$18),0))</f>
        <v/>
      </c>
      <c r="AZ253" s="90" t="str">
        <f aca="false">IF(AT253="","",ROUND(AT253*(1-Справочники!$B$19),0))</f>
        <v/>
      </c>
      <c r="BA253" s="81"/>
      <c r="BB253" s="81"/>
      <c r="BC253" s="81"/>
      <c r="BD253" s="81"/>
      <c r="BE253" s="91"/>
      <c r="BF253" s="81" t="s">
        <v>103</v>
      </c>
      <c r="BG253" s="89" t="n">
        <f aca="false" t="array" ref="BG253:BG253">IF(BF253="","",IFERROR(INDEX(Справочники!$B$4:$B$7,MATCH(BF253,Справочники!$A$4:$A$7,0)),""))</f>
        <v>68.5</v>
      </c>
      <c r="BH253" s="90" t="str">
        <f aca="false">IF(N(BN253)&gt;0,ROUND(SUMIF(ЗАКАЗЫ!$F$3:$F$500,$A253,ЗАКАЗЫ!$Y$3:$Y$500)/BN253,0),IF(OR(BE253="",BG253=""),"",ROUND(BE253*BG253*(1+Справочники!$B$10),0)))</f>
        <v/>
      </c>
      <c r="BI253" s="92" t="str">
        <f aca="false">IF(OR(AU253="",BH253="",AU253=0),"",(AU253-BH253)/AU253)</f>
        <v/>
      </c>
      <c r="BJ253" s="81"/>
      <c r="BK253" s="83"/>
      <c r="BL253" s="43" t="str">
        <f aca="false">IFERROR(INDEX(ЗАКАЗЫ!$N$3:$N$500,MATCH($A253,ЗАКАЗЫ!$F$3:$F$500,0)),"")</f>
        <v/>
      </c>
      <c r="BM253" s="8" t="str">
        <f aca="false">IF(BL253="","",IFERROR(VLOOKUP(BL253,'ТН ВЭД'!$A$4:$C$40,3,0),""))</f>
        <v/>
      </c>
      <c r="BN253" s="7" t="str">
        <f aca="false">IF(COUNTIF(ЗАКАЗЫ!$F$3:$F$500,$A253)=0,"",SUMIF(ЗАКАЗЫ!$F$3:$F$500,$A253,ЗАКАЗЫ!$J$3:$J$500))</f>
        <v/>
      </c>
      <c r="BO253" s="7" t="str">
        <f aca="false">IF(BN253="","",SUMIF(ЗАКАЗЫ!$F$3:$F$500,$A253,ЗАКАЗЫ!$AL$3:$AL$500))</f>
        <v/>
      </c>
      <c r="BP253" s="7" t="str">
        <f aca="false">IF(BN253="","",BN253-BO253)</f>
        <v/>
      </c>
      <c r="BQ253" s="55" t="str">
        <f aca="false">IF(BN253="","",IF(BO253&gt;=BN253,"На складе",IF(BO253&gt;0,"Частично","Ждём")))</f>
        <v/>
      </c>
      <c r="BR253" s="43"/>
      <c r="BS253" s="47" t="str">
        <f aca="false">IF(BN253="","",IF(_xlfn.MAXIFS(ЗАКАЗЫ!$AK$3:$AK$500,ЗАКАЗЫ!$F$3:$F$500,$A253)=0,"",_xlfn.MAXIFS(ЗАКАЗЫ!$AK$3:$AK$500,ЗАКАЗЫ!$F$3:$F$500,$A253)))</f>
        <v/>
      </c>
    </row>
    <row r="254" customFormat="false" ht="15.75" hidden="false" customHeight="true" outlineLevel="0" collapsed="false">
      <c r="A254" s="80" t="s">
        <v>2794</v>
      </c>
      <c r="B254" s="81"/>
      <c r="C254" s="81"/>
      <c r="D254" s="81"/>
      <c r="E254" s="83"/>
      <c r="F254" s="81"/>
      <c r="G254" s="83"/>
      <c r="H254" s="83"/>
      <c r="I254" s="84" t="str">
        <f aca="false">IF(E254="","",A254&amp;"_1.jpg")</f>
        <v/>
      </c>
      <c r="J254" s="84" t="str">
        <f aca="false">IF(E254="","",A254&amp;"_2.jpg; "&amp;A254&amp;"_3.jpg")</f>
        <v/>
      </c>
      <c r="K254" s="84" t="str">
        <f aca="false">IF(E254="","",A254&amp;"_schema.jpg")</f>
        <v/>
      </c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 t="s">
        <v>96</v>
      </c>
      <c r="W254" s="81"/>
      <c r="X254" s="81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6" t="str">
        <f aca="false">IF(SUM(Y254:AJ254)=0,"",SUM(Y254:AJ254))</f>
        <v/>
      </c>
      <c r="AL254" s="84" t="str">
        <f aca="false">MID(IF(N(Y254)&gt;0,", "&amp;Y$2,"")&amp;IF(N(Z254)&gt;0,", "&amp;Z$2,"")&amp;IF(N(AA254)&gt;0,", "&amp;AA$2,"")&amp;IF(N(AB254)&gt;0,", "&amp;AB$2,"")&amp;IF(N(AC254)&gt;0,", "&amp;AC$2,"")&amp;IF(N(AD254)&gt;0,", "&amp;AD$2,"")&amp;IF(N(AE254)&gt;0,", "&amp;AE$2,"")&amp;IF(N(AF254)&gt;0,", "&amp;AF$2,"")&amp;IF(N(AG254)&gt;0,", "&amp;AG$2,"")&amp;IF(N(AH254)&gt;0,", "&amp;AH$2,"")&amp;IF(N(AI254)&gt;0,", "&amp;AI$2,"")&amp;IF(N(AJ254)&gt;0,", "&amp;AJ$2,""),3,999)</f>
        <v/>
      </c>
      <c r="AM254" s="87" t="str">
        <f aca="false">IF(E254="","",MID(IF(N(Y254)&gt;0,", "&amp;A254&amp;"-"&amp;Y$2,"")&amp;IF(N(Z254)&gt;0,", "&amp;A254&amp;"-"&amp;Z$2,"")&amp;IF(N(AA254)&gt;0,", "&amp;A254&amp;"-"&amp;AA$2,"")&amp;IF(N(AB254)&gt;0,", "&amp;A254&amp;"-"&amp;AB$2,"")&amp;IF(N(AC254)&gt;0,", "&amp;A254&amp;"-"&amp;AC$2,"")&amp;IF(N(AD254)&gt;0,", "&amp;A254&amp;"-"&amp;AD$2,"")&amp;IF(N(AE254)&gt;0,", "&amp;A254&amp;"-"&amp;AE$2,"")&amp;IF(N(AF254)&gt;0,", "&amp;A254&amp;"-"&amp;AF$2,"")&amp;IF(N(AG254)&gt;0,", "&amp;A254&amp;"-"&amp;AG$2,"")&amp;IF(N(AH254)&gt;0,", "&amp;A254&amp;"-"&amp;AH$2,"")&amp;IF(N(AI254)&gt;0,", "&amp;A254&amp;"-"&amp;AI$2,"")&amp;IF(N(AJ254)&gt;0,", "&amp;A254&amp;"-"&amp;AJ$2,""),3,999))</f>
        <v/>
      </c>
      <c r="AN254" s="81"/>
      <c r="AO254" s="88"/>
      <c r="AP254" s="89" t="str">
        <f aca="false">IF(AO254="","",ROUND(AO254/(1+Справочники!$B$13),2))</f>
        <v/>
      </c>
      <c r="AQ254" s="90" t="str">
        <f aca="false" t="array" ref="AQ254:AQ254">IF(AP254="","",AP254*INDEX(Справочники!$B$4:$B$7,MATCH("RUB",Справочники!$A$4:$A$7,0)))</f>
        <v/>
      </c>
      <c r="AR254" s="90" t="str">
        <f aca="false">IF(AQ254="","",ROUND(AQ254*(1+Справочники!$B$12),0))</f>
        <v/>
      </c>
      <c r="AS254" s="90" t="str">
        <f aca="false">IF(AR254="","",ROUND(AR254*(1-Справочники!$B$11),0))</f>
        <v/>
      </c>
      <c r="AT254" s="88"/>
      <c r="AU254" s="90" t="str">
        <f aca="false">IF(AT254="","",ROUND(AT254/(1+Справочники!$B$12),0))</f>
        <v/>
      </c>
      <c r="AV254" s="90" t="str">
        <f aca="false">IF(AT254="","",ROUND(AT254*(1-Справочники!$B$15),0))</f>
        <v/>
      </c>
      <c r="AW254" s="90" t="str">
        <f aca="false">IF(AT254="","",ROUND(AT254*(1-Справочники!$B$16),0))</f>
        <v/>
      </c>
      <c r="AX254" s="90" t="str">
        <f aca="false">IF(AT254="","",ROUND(AT254*(1-Справочники!$B$17),0))</f>
        <v/>
      </c>
      <c r="AY254" s="90" t="str">
        <f aca="false">IF(AT254="","",ROUND(AT254*(1-Справочники!$B$18),0))</f>
        <v/>
      </c>
      <c r="AZ254" s="90" t="str">
        <f aca="false">IF(AT254="","",ROUND(AT254*(1-Справочники!$B$19),0))</f>
        <v/>
      </c>
      <c r="BA254" s="81"/>
      <c r="BB254" s="81"/>
      <c r="BC254" s="81"/>
      <c r="BD254" s="81"/>
      <c r="BE254" s="91"/>
      <c r="BF254" s="81" t="s">
        <v>103</v>
      </c>
      <c r="BG254" s="89" t="n">
        <f aca="false" t="array" ref="BG254:BG254">IF(BF254="","",IFERROR(INDEX(Справочники!$B$4:$B$7,MATCH(BF254,Справочники!$A$4:$A$7,0)),""))</f>
        <v>68.5</v>
      </c>
      <c r="BH254" s="90" t="str">
        <f aca="false">IF(N(BN254)&gt;0,ROUND(SUMIF(ЗАКАЗЫ!$F$3:$F$500,$A254,ЗАКАЗЫ!$Y$3:$Y$500)/BN254,0),IF(OR(BE254="",BG254=""),"",ROUND(BE254*BG254*(1+Справочники!$B$10),0)))</f>
        <v/>
      </c>
      <c r="BI254" s="92" t="str">
        <f aca="false">IF(OR(AU254="",BH254="",AU254=0),"",(AU254-BH254)/AU254)</f>
        <v/>
      </c>
      <c r="BJ254" s="81"/>
      <c r="BK254" s="83"/>
      <c r="BL254" s="43" t="str">
        <f aca="false">IFERROR(INDEX(ЗАКАЗЫ!$N$3:$N$500,MATCH($A254,ЗАКАЗЫ!$F$3:$F$500,0)),"")</f>
        <v/>
      </c>
      <c r="BM254" s="8" t="str">
        <f aca="false">IF(BL254="","",IFERROR(VLOOKUP(BL254,'ТН ВЭД'!$A$4:$C$40,3,0),""))</f>
        <v/>
      </c>
      <c r="BN254" s="7" t="str">
        <f aca="false">IF(COUNTIF(ЗАКАЗЫ!$F$3:$F$500,$A254)=0,"",SUMIF(ЗАКАЗЫ!$F$3:$F$500,$A254,ЗАКАЗЫ!$J$3:$J$500))</f>
        <v/>
      </c>
      <c r="BO254" s="7" t="str">
        <f aca="false">IF(BN254="","",SUMIF(ЗАКАЗЫ!$F$3:$F$500,$A254,ЗАКАЗЫ!$AL$3:$AL$500))</f>
        <v/>
      </c>
      <c r="BP254" s="7" t="str">
        <f aca="false">IF(BN254="","",BN254-BO254)</f>
        <v/>
      </c>
      <c r="BQ254" s="55" t="str">
        <f aca="false">IF(BN254="","",IF(BO254&gt;=BN254,"На складе",IF(BO254&gt;0,"Частично","Ждём")))</f>
        <v/>
      </c>
      <c r="BR254" s="43"/>
      <c r="BS254" s="47" t="str">
        <f aca="false">IF(BN254="","",IF(_xlfn.MAXIFS(ЗАКАЗЫ!$AK$3:$AK$500,ЗАКАЗЫ!$F$3:$F$500,$A254)=0,"",_xlfn.MAXIFS(ЗАКАЗЫ!$AK$3:$AK$500,ЗАКАЗЫ!$F$3:$F$500,$A254)))</f>
        <v/>
      </c>
    </row>
    <row r="255" customFormat="false" ht="15.75" hidden="false" customHeight="true" outlineLevel="0" collapsed="false">
      <c r="A255" s="80" t="s">
        <v>2795</v>
      </c>
      <c r="B255" s="81"/>
      <c r="C255" s="81"/>
      <c r="D255" s="81"/>
      <c r="E255" s="83"/>
      <c r="F255" s="81"/>
      <c r="G255" s="83"/>
      <c r="H255" s="83"/>
      <c r="I255" s="84" t="str">
        <f aca="false">IF(E255="","",A255&amp;"_1.jpg")</f>
        <v/>
      </c>
      <c r="J255" s="84" t="str">
        <f aca="false">IF(E255="","",A255&amp;"_2.jpg; "&amp;A255&amp;"_3.jpg")</f>
        <v/>
      </c>
      <c r="K255" s="84" t="str">
        <f aca="false">IF(E255="","",A255&amp;"_schema.jpg")</f>
        <v/>
      </c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 t="s">
        <v>96</v>
      </c>
      <c r="W255" s="81"/>
      <c r="X255" s="81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6" t="str">
        <f aca="false">IF(SUM(Y255:AJ255)=0,"",SUM(Y255:AJ255))</f>
        <v/>
      </c>
      <c r="AL255" s="84" t="str">
        <f aca="false">MID(IF(N(Y255)&gt;0,", "&amp;Y$2,"")&amp;IF(N(Z255)&gt;0,", "&amp;Z$2,"")&amp;IF(N(AA255)&gt;0,", "&amp;AA$2,"")&amp;IF(N(AB255)&gt;0,", "&amp;AB$2,"")&amp;IF(N(AC255)&gt;0,", "&amp;AC$2,"")&amp;IF(N(AD255)&gt;0,", "&amp;AD$2,"")&amp;IF(N(AE255)&gt;0,", "&amp;AE$2,"")&amp;IF(N(AF255)&gt;0,", "&amp;AF$2,"")&amp;IF(N(AG255)&gt;0,", "&amp;AG$2,"")&amp;IF(N(AH255)&gt;0,", "&amp;AH$2,"")&amp;IF(N(AI255)&gt;0,", "&amp;AI$2,"")&amp;IF(N(AJ255)&gt;0,", "&amp;AJ$2,""),3,999)</f>
        <v/>
      </c>
      <c r="AM255" s="87" t="str">
        <f aca="false">IF(E255="","",MID(IF(N(Y255)&gt;0,", "&amp;A255&amp;"-"&amp;Y$2,"")&amp;IF(N(Z255)&gt;0,", "&amp;A255&amp;"-"&amp;Z$2,"")&amp;IF(N(AA255)&gt;0,", "&amp;A255&amp;"-"&amp;AA$2,"")&amp;IF(N(AB255)&gt;0,", "&amp;A255&amp;"-"&amp;AB$2,"")&amp;IF(N(AC255)&gt;0,", "&amp;A255&amp;"-"&amp;AC$2,"")&amp;IF(N(AD255)&gt;0,", "&amp;A255&amp;"-"&amp;AD$2,"")&amp;IF(N(AE255)&gt;0,", "&amp;A255&amp;"-"&amp;AE$2,"")&amp;IF(N(AF255)&gt;0,", "&amp;A255&amp;"-"&amp;AF$2,"")&amp;IF(N(AG255)&gt;0,", "&amp;A255&amp;"-"&amp;AG$2,"")&amp;IF(N(AH255)&gt;0,", "&amp;A255&amp;"-"&amp;AH$2,"")&amp;IF(N(AI255)&gt;0,", "&amp;A255&amp;"-"&amp;AI$2,"")&amp;IF(N(AJ255)&gt;0,", "&amp;A255&amp;"-"&amp;AJ$2,""),3,999))</f>
        <v/>
      </c>
      <c r="AN255" s="81"/>
      <c r="AO255" s="88"/>
      <c r="AP255" s="89" t="str">
        <f aca="false">IF(AO255="","",ROUND(AO255/(1+Справочники!$B$13),2))</f>
        <v/>
      </c>
      <c r="AQ255" s="90" t="str">
        <f aca="false" t="array" ref="AQ255:AQ255">IF(AP255="","",AP255*INDEX(Справочники!$B$4:$B$7,MATCH("RUB",Справочники!$A$4:$A$7,0)))</f>
        <v/>
      </c>
      <c r="AR255" s="90" t="str">
        <f aca="false">IF(AQ255="","",ROUND(AQ255*(1+Справочники!$B$12),0))</f>
        <v/>
      </c>
      <c r="AS255" s="90" t="str">
        <f aca="false">IF(AR255="","",ROUND(AR255*(1-Справочники!$B$11),0))</f>
        <v/>
      </c>
      <c r="AT255" s="88"/>
      <c r="AU255" s="90" t="str">
        <f aca="false">IF(AT255="","",ROUND(AT255/(1+Справочники!$B$12),0))</f>
        <v/>
      </c>
      <c r="AV255" s="90" t="str">
        <f aca="false">IF(AT255="","",ROUND(AT255*(1-Справочники!$B$15),0))</f>
        <v/>
      </c>
      <c r="AW255" s="90" t="str">
        <f aca="false">IF(AT255="","",ROUND(AT255*(1-Справочники!$B$16),0))</f>
        <v/>
      </c>
      <c r="AX255" s="90" t="str">
        <f aca="false">IF(AT255="","",ROUND(AT255*(1-Справочники!$B$17),0))</f>
        <v/>
      </c>
      <c r="AY255" s="90" t="str">
        <f aca="false">IF(AT255="","",ROUND(AT255*(1-Справочники!$B$18),0))</f>
        <v/>
      </c>
      <c r="AZ255" s="90" t="str">
        <f aca="false">IF(AT255="","",ROUND(AT255*(1-Справочники!$B$19),0))</f>
        <v/>
      </c>
      <c r="BA255" s="81"/>
      <c r="BB255" s="81"/>
      <c r="BC255" s="81"/>
      <c r="BD255" s="81"/>
      <c r="BE255" s="91"/>
      <c r="BF255" s="81" t="s">
        <v>103</v>
      </c>
      <c r="BG255" s="89" t="n">
        <f aca="false" t="array" ref="BG255:BG255">IF(BF255="","",IFERROR(INDEX(Справочники!$B$4:$B$7,MATCH(BF255,Справочники!$A$4:$A$7,0)),""))</f>
        <v>68.5</v>
      </c>
      <c r="BH255" s="90" t="str">
        <f aca="false">IF(N(BN255)&gt;0,ROUND(SUMIF(ЗАКАЗЫ!$F$3:$F$500,$A255,ЗАКАЗЫ!$Y$3:$Y$500)/BN255,0),IF(OR(BE255="",BG255=""),"",ROUND(BE255*BG255*(1+Справочники!$B$10),0)))</f>
        <v/>
      </c>
      <c r="BI255" s="92" t="str">
        <f aca="false">IF(OR(AU255="",BH255="",AU255=0),"",(AU255-BH255)/AU255)</f>
        <v/>
      </c>
      <c r="BJ255" s="81"/>
      <c r="BK255" s="83"/>
      <c r="BL255" s="43" t="str">
        <f aca="false">IFERROR(INDEX(ЗАКАЗЫ!$N$3:$N$500,MATCH($A255,ЗАКАЗЫ!$F$3:$F$500,0)),"")</f>
        <v/>
      </c>
      <c r="BM255" s="8" t="str">
        <f aca="false">IF(BL255="","",IFERROR(VLOOKUP(BL255,'ТН ВЭД'!$A$4:$C$40,3,0),""))</f>
        <v/>
      </c>
      <c r="BN255" s="7" t="str">
        <f aca="false">IF(COUNTIF(ЗАКАЗЫ!$F$3:$F$500,$A255)=0,"",SUMIF(ЗАКАЗЫ!$F$3:$F$500,$A255,ЗАКАЗЫ!$J$3:$J$500))</f>
        <v/>
      </c>
      <c r="BO255" s="7" t="str">
        <f aca="false">IF(BN255="","",SUMIF(ЗАКАЗЫ!$F$3:$F$500,$A255,ЗАКАЗЫ!$AL$3:$AL$500))</f>
        <v/>
      </c>
      <c r="BP255" s="7" t="str">
        <f aca="false">IF(BN255="","",BN255-BO255)</f>
        <v/>
      </c>
      <c r="BQ255" s="55" t="str">
        <f aca="false">IF(BN255="","",IF(BO255&gt;=BN255,"На складе",IF(BO255&gt;0,"Частично","Ждём")))</f>
        <v/>
      </c>
      <c r="BR255" s="43"/>
      <c r="BS255" s="47" t="str">
        <f aca="false">IF(BN255="","",IF(_xlfn.MAXIFS(ЗАКАЗЫ!$AK$3:$AK$500,ЗАКАЗЫ!$F$3:$F$500,$A255)=0,"",_xlfn.MAXIFS(ЗАКАЗЫ!$AK$3:$AK$500,ЗАКАЗЫ!$F$3:$F$500,$A255)))</f>
        <v/>
      </c>
    </row>
    <row r="256" customFormat="false" ht="15.75" hidden="false" customHeight="true" outlineLevel="0" collapsed="false">
      <c r="A256" s="80" t="s">
        <v>2796</v>
      </c>
      <c r="B256" s="81"/>
      <c r="C256" s="81"/>
      <c r="D256" s="81"/>
      <c r="E256" s="83"/>
      <c r="F256" s="81"/>
      <c r="G256" s="83"/>
      <c r="H256" s="83"/>
      <c r="I256" s="84" t="str">
        <f aca="false">IF(E256="","",A256&amp;"_1.jpg")</f>
        <v/>
      </c>
      <c r="J256" s="84" t="str">
        <f aca="false">IF(E256="","",A256&amp;"_2.jpg; "&amp;A256&amp;"_3.jpg")</f>
        <v/>
      </c>
      <c r="K256" s="84" t="str">
        <f aca="false">IF(E256="","",A256&amp;"_schema.jpg")</f>
        <v/>
      </c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 t="s">
        <v>96</v>
      </c>
      <c r="W256" s="81"/>
      <c r="X256" s="81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6" t="str">
        <f aca="false">IF(SUM(Y256:AJ256)=0,"",SUM(Y256:AJ256))</f>
        <v/>
      </c>
      <c r="AL256" s="84" t="str">
        <f aca="false">MID(IF(N(Y256)&gt;0,", "&amp;Y$2,"")&amp;IF(N(Z256)&gt;0,", "&amp;Z$2,"")&amp;IF(N(AA256)&gt;0,", "&amp;AA$2,"")&amp;IF(N(AB256)&gt;0,", "&amp;AB$2,"")&amp;IF(N(AC256)&gt;0,", "&amp;AC$2,"")&amp;IF(N(AD256)&gt;0,", "&amp;AD$2,"")&amp;IF(N(AE256)&gt;0,", "&amp;AE$2,"")&amp;IF(N(AF256)&gt;0,", "&amp;AF$2,"")&amp;IF(N(AG256)&gt;0,", "&amp;AG$2,"")&amp;IF(N(AH256)&gt;0,", "&amp;AH$2,"")&amp;IF(N(AI256)&gt;0,", "&amp;AI$2,"")&amp;IF(N(AJ256)&gt;0,", "&amp;AJ$2,""),3,999)</f>
        <v/>
      </c>
      <c r="AM256" s="87" t="str">
        <f aca="false">IF(E256="","",MID(IF(N(Y256)&gt;0,", "&amp;A256&amp;"-"&amp;Y$2,"")&amp;IF(N(Z256)&gt;0,", "&amp;A256&amp;"-"&amp;Z$2,"")&amp;IF(N(AA256)&gt;0,", "&amp;A256&amp;"-"&amp;AA$2,"")&amp;IF(N(AB256)&gt;0,", "&amp;A256&amp;"-"&amp;AB$2,"")&amp;IF(N(AC256)&gt;0,", "&amp;A256&amp;"-"&amp;AC$2,"")&amp;IF(N(AD256)&gt;0,", "&amp;A256&amp;"-"&amp;AD$2,"")&amp;IF(N(AE256)&gt;0,", "&amp;A256&amp;"-"&amp;AE$2,"")&amp;IF(N(AF256)&gt;0,", "&amp;A256&amp;"-"&amp;AF$2,"")&amp;IF(N(AG256)&gt;0,", "&amp;A256&amp;"-"&amp;AG$2,"")&amp;IF(N(AH256)&gt;0,", "&amp;A256&amp;"-"&amp;AH$2,"")&amp;IF(N(AI256)&gt;0,", "&amp;A256&amp;"-"&amp;AI$2,"")&amp;IF(N(AJ256)&gt;0,", "&amp;A256&amp;"-"&amp;AJ$2,""),3,999))</f>
        <v/>
      </c>
      <c r="AN256" s="81"/>
      <c r="AO256" s="88"/>
      <c r="AP256" s="89" t="str">
        <f aca="false">IF(AO256="","",ROUND(AO256/(1+Справочники!$B$13),2))</f>
        <v/>
      </c>
      <c r="AQ256" s="90" t="str">
        <f aca="false" t="array" ref="AQ256:AQ256">IF(AP256="","",AP256*INDEX(Справочники!$B$4:$B$7,MATCH("RUB",Справочники!$A$4:$A$7,0)))</f>
        <v/>
      </c>
      <c r="AR256" s="90" t="str">
        <f aca="false">IF(AQ256="","",ROUND(AQ256*(1+Справочники!$B$12),0))</f>
        <v/>
      </c>
      <c r="AS256" s="90" t="str">
        <f aca="false">IF(AR256="","",ROUND(AR256*(1-Справочники!$B$11),0))</f>
        <v/>
      </c>
      <c r="AT256" s="88"/>
      <c r="AU256" s="90" t="str">
        <f aca="false">IF(AT256="","",ROUND(AT256/(1+Справочники!$B$12),0))</f>
        <v/>
      </c>
      <c r="AV256" s="90" t="str">
        <f aca="false">IF(AT256="","",ROUND(AT256*(1-Справочники!$B$15),0))</f>
        <v/>
      </c>
      <c r="AW256" s="90" t="str">
        <f aca="false">IF(AT256="","",ROUND(AT256*(1-Справочники!$B$16),0))</f>
        <v/>
      </c>
      <c r="AX256" s="90" t="str">
        <f aca="false">IF(AT256="","",ROUND(AT256*(1-Справочники!$B$17),0))</f>
        <v/>
      </c>
      <c r="AY256" s="90" t="str">
        <f aca="false">IF(AT256="","",ROUND(AT256*(1-Справочники!$B$18),0))</f>
        <v/>
      </c>
      <c r="AZ256" s="90" t="str">
        <f aca="false">IF(AT256="","",ROUND(AT256*(1-Справочники!$B$19),0))</f>
        <v/>
      </c>
      <c r="BA256" s="81"/>
      <c r="BB256" s="81"/>
      <c r="BC256" s="81"/>
      <c r="BD256" s="81"/>
      <c r="BE256" s="91"/>
      <c r="BF256" s="81" t="s">
        <v>103</v>
      </c>
      <c r="BG256" s="89" t="n">
        <f aca="false" t="array" ref="BG256:BG256">IF(BF256="","",IFERROR(INDEX(Справочники!$B$4:$B$7,MATCH(BF256,Справочники!$A$4:$A$7,0)),""))</f>
        <v>68.5</v>
      </c>
      <c r="BH256" s="90" t="str">
        <f aca="false">IF(N(BN256)&gt;0,ROUND(SUMIF(ЗАКАЗЫ!$F$3:$F$500,$A256,ЗАКАЗЫ!$Y$3:$Y$500)/BN256,0),IF(OR(BE256="",BG256=""),"",ROUND(BE256*BG256*(1+Справочники!$B$10),0)))</f>
        <v/>
      </c>
      <c r="BI256" s="92" t="str">
        <f aca="false">IF(OR(AU256="",BH256="",AU256=0),"",(AU256-BH256)/AU256)</f>
        <v/>
      </c>
      <c r="BJ256" s="81"/>
      <c r="BK256" s="83"/>
      <c r="BL256" s="43" t="str">
        <f aca="false">IFERROR(INDEX(ЗАКАЗЫ!$N$3:$N$500,MATCH($A256,ЗАКАЗЫ!$F$3:$F$500,0)),"")</f>
        <v/>
      </c>
      <c r="BM256" s="8" t="str">
        <f aca="false">IF(BL256="","",IFERROR(VLOOKUP(BL256,'ТН ВЭД'!$A$4:$C$40,3,0),""))</f>
        <v/>
      </c>
      <c r="BN256" s="7" t="str">
        <f aca="false">IF(COUNTIF(ЗАКАЗЫ!$F$3:$F$500,$A256)=0,"",SUMIF(ЗАКАЗЫ!$F$3:$F$500,$A256,ЗАКАЗЫ!$J$3:$J$500))</f>
        <v/>
      </c>
      <c r="BO256" s="7" t="str">
        <f aca="false">IF(BN256="","",SUMIF(ЗАКАЗЫ!$F$3:$F$500,$A256,ЗАКАЗЫ!$AL$3:$AL$500))</f>
        <v/>
      </c>
      <c r="BP256" s="7" t="str">
        <f aca="false">IF(BN256="","",BN256-BO256)</f>
        <v/>
      </c>
      <c r="BQ256" s="55" t="str">
        <f aca="false">IF(BN256="","",IF(BO256&gt;=BN256,"На складе",IF(BO256&gt;0,"Частично","Ждём")))</f>
        <v/>
      </c>
      <c r="BR256" s="43"/>
      <c r="BS256" s="47" t="str">
        <f aca="false">IF(BN256="","",IF(_xlfn.MAXIFS(ЗАКАЗЫ!$AK$3:$AK$500,ЗАКАЗЫ!$F$3:$F$500,$A256)=0,"",_xlfn.MAXIFS(ЗАКАЗЫ!$AK$3:$AK$500,ЗАКАЗЫ!$F$3:$F$500,$A256)))</f>
        <v/>
      </c>
    </row>
    <row r="257" customFormat="false" ht="15.75" hidden="false" customHeight="true" outlineLevel="0" collapsed="false">
      <c r="A257" s="80" t="s">
        <v>2797</v>
      </c>
      <c r="B257" s="81"/>
      <c r="C257" s="81"/>
      <c r="D257" s="81"/>
      <c r="E257" s="83"/>
      <c r="F257" s="81"/>
      <c r="G257" s="83"/>
      <c r="H257" s="83"/>
      <c r="I257" s="84" t="str">
        <f aca="false">IF(E257="","",A257&amp;"_1.jpg")</f>
        <v/>
      </c>
      <c r="J257" s="84" t="str">
        <f aca="false">IF(E257="","",A257&amp;"_2.jpg; "&amp;A257&amp;"_3.jpg")</f>
        <v/>
      </c>
      <c r="K257" s="84" t="str">
        <f aca="false">IF(E257="","",A257&amp;"_schema.jpg")</f>
        <v/>
      </c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 t="s">
        <v>96</v>
      </c>
      <c r="W257" s="81"/>
      <c r="X257" s="81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6" t="str">
        <f aca="false">IF(SUM(Y257:AJ257)=0,"",SUM(Y257:AJ257))</f>
        <v/>
      </c>
      <c r="AL257" s="84" t="str">
        <f aca="false">MID(IF(N(Y257)&gt;0,", "&amp;Y$2,"")&amp;IF(N(Z257)&gt;0,", "&amp;Z$2,"")&amp;IF(N(AA257)&gt;0,", "&amp;AA$2,"")&amp;IF(N(AB257)&gt;0,", "&amp;AB$2,"")&amp;IF(N(AC257)&gt;0,", "&amp;AC$2,"")&amp;IF(N(AD257)&gt;0,", "&amp;AD$2,"")&amp;IF(N(AE257)&gt;0,", "&amp;AE$2,"")&amp;IF(N(AF257)&gt;0,", "&amp;AF$2,"")&amp;IF(N(AG257)&gt;0,", "&amp;AG$2,"")&amp;IF(N(AH257)&gt;0,", "&amp;AH$2,"")&amp;IF(N(AI257)&gt;0,", "&amp;AI$2,"")&amp;IF(N(AJ257)&gt;0,", "&amp;AJ$2,""),3,999)</f>
        <v/>
      </c>
      <c r="AM257" s="87" t="str">
        <f aca="false">IF(E257="","",MID(IF(N(Y257)&gt;0,", "&amp;A257&amp;"-"&amp;Y$2,"")&amp;IF(N(Z257)&gt;0,", "&amp;A257&amp;"-"&amp;Z$2,"")&amp;IF(N(AA257)&gt;0,", "&amp;A257&amp;"-"&amp;AA$2,"")&amp;IF(N(AB257)&gt;0,", "&amp;A257&amp;"-"&amp;AB$2,"")&amp;IF(N(AC257)&gt;0,", "&amp;A257&amp;"-"&amp;AC$2,"")&amp;IF(N(AD257)&gt;0,", "&amp;A257&amp;"-"&amp;AD$2,"")&amp;IF(N(AE257)&gt;0,", "&amp;A257&amp;"-"&amp;AE$2,"")&amp;IF(N(AF257)&gt;0,", "&amp;A257&amp;"-"&amp;AF$2,"")&amp;IF(N(AG257)&gt;0,", "&amp;A257&amp;"-"&amp;AG$2,"")&amp;IF(N(AH257)&gt;0,", "&amp;A257&amp;"-"&amp;AH$2,"")&amp;IF(N(AI257)&gt;0,", "&amp;A257&amp;"-"&amp;AI$2,"")&amp;IF(N(AJ257)&gt;0,", "&amp;A257&amp;"-"&amp;AJ$2,""),3,999))</f>
        <v/>
      </c>
      <c r="AN257" s="81"/>
      <c r="AO257" s="88"/>
      <c r="AP257" s="89" t="str">
        <f aca="false">IF(AO257="","",ROUND(AO257/(1+Справочники!$B$13),2))</f>
        <v/>
      </c>
      <c r="AQ257" s="90" t="str">
        <f aca="false" t="array" ref="AQ257:AQ257">IF(AP257="","",AP257*INDEX(Справочники!$B$4:$B$7,MATCH("RUB",Справочники!$A$4:$A$7,0)))</f>
        <v/>
      </c>
      <c r="AR257" s="90" t="str">
        <f aca="false">IF(AQ257="","",ROUND(AQ257*(1+Справочники!$B$12),0))</f>
        <v/>
      </c>
      <c r="AS257" s="90" t="str">
        <f aca="false">IF(AR257="","",ROUND(AR257*(1-Справочники!$B$11),0))</f>
        <v/>
      </c>
      <c r="AT257" s="88"/>
      <c r="AU257" s="90" t="str">
        <f aca="false">IF(AT257="","",ROUND(AT257/(1+Справочники!$B$12),0))</f>
        <v/>
      </c>
      <c r="AV257" s="90" t="str">
        <f aca="false">IF(AT257="","",ROUND(AT257*(1-Справочники!$B$15),0))</f>
        <v/>
      </c>
      <c r="AW257" s="90" t="str">
        <f aca="false">IF(AT257="","",ROUND(AT257*(1-Справочники!$B$16),0))</f>
        <v/>
      </c>
      <c r="AX257" s="90" t="str">
        <f aca="false">IF(AT257="","",ROUND(AT257*(1-Справочники!$B$17),0))</f>
        <v/>
      </c>
      <c r="AY257" s="90" t="str">
        <f aca="false">IF(AT257="","",ROUND(AT257*(1-Справочники!$B$18),0))</f>
        <v/>
      </c>
      <c r="AZ257" s="90" t="str">
        <f aca="false">IF(AT257="","",ROUND(AT257*(1-Справочники!$B$19),0))</f>
        <v/>
      </c>
      <c r="BA257" s="81"/>
      <c r="BB257" s="81"/>
      <c r="BC257" s="81"/>
      <c r="BD257" s="81"/>
      <c r="BE257" s="91"/>
      <c r="BF257" s="81" t="s">
        <v>103</v>
      </c>
      <c r="BG257" s="89" t="n">
        <f aca="false" t="array" ref="BG257:BG257">IF(BF257="","",IFERROR(INDEX(Справочники!$B$4:$B$7,MATCH(BF257,Справочники!$A$4:$A$7,0)),""))</f>
        <v>68.5</v>
      </c>
      <c r="BH257" s="90" t="str">
        <f aca="false">IF(N(BN257)&gt;0,ROUND(SUMIF(ЗАКАЗЫ!$F$3:$F$500,$A257,ЗАКАЗЫ!$Y$3:$Y$500)/BN257,0),IF(OR(BE257="",BG257=""),"",ROUND(BE257*BG257*(1+Справочники!$B$10),0)))</f>
        <v/>
      </c>
      <c r="BI257" s="92" t="str">
        <f aca="false">IF(OR(AU257="",BH257="",AU257=0),"",(AU257-BH257)/AU257)</f>
        <v/>
      </c>
      <c r="BJ257" s="81"/>
      <c r="BK257" s="83"/>
      <c r="BL257" s="43" t="str">
        <f aca="false">IFERROR(INDEX(ЗАКАЗЫ!$N$3:$N$500,MATCH($A257,ЗАКАЗЫ!$F$3:$F$500,0)),"")</f>
        <v/>
      </c>
      <c r="BM257" s="8" t="str">
        <f aca="false">IF(BL257="","",IFERROR(VLOOKUP(BL257,'ТН ВЭД'!$A$4:$C$40,3,0),""))</f>
        <v/>
      </c>
      <c r="BN257" s="7" t="str">
        <f aca="false">IF(COUNTIF(ЗАКАЗЫ!$F$3:$F$500,$A257)=0,"",SUMIF(ЗАКАЗЫ!$F$3:$F$500,$A257,ЗАКАЗЫ!$J$3:$J$500))</f>
        <v/>
      </c>
      <c r="BO257" s="7" t="str">
        <f aca="false">IF(BN257="","",SUMIF(ЗАКАЗЫ!$F$3:$F$500,$A257,ЗАКАЗЫ!$AL$3:$AL$500))</f>
        <v/>
      </c>
      <c r="BP257" s="7" t="str">
        <f aca="false">IF(BN257="","",BN257-BO257)</f>
        <v/>
      </c>
      <c r="BQ257" s="55" t="str">
        <f aca="false">IF(BN257="","",IF(BO257&gt;=BN257,"На складе",IF(BO257&gt;0,"Частично","Ждём")))</f>
        <v/>
      </c>
      <c r="BR257" s="43"/>
      <c r="BS257" s="47" t="str">
        <f aca="false">IF(BN257="","",IF(_xlfn.MAXIFS(ЗАКАЗЫ!$AK$3:$AK$500,ЗАКАЗЫ!$F$3:$F$500,$A257)=0,"",_xlfn.MAXIFS(ЗАКАЗЫ!$AK$3:$AK$500,ЗАКАЗЫ!$F$3:$F$500,$A257)))</f>
        <v/>
      </c>
    </row>
    <row r="258" customFormat="false" ht="15.75" hidden="false" customHeight="true" outlineLevel="0" collapsed="false">
      <c r="A258" s="80" t="s">
        <v>2798</v>
      </c>
      <c r="B258" s="81"/>
      <c r="C258" s="81"/>
      <c r="D258" s="81"/>
      <c r="E258" s="83"/>
      <c r="F258" s="81"/>
      <c r="G258" s="83"/>
      <c r="H258" s="83"/>
      <c r="I258" s="84" t="str">
        <f aca="false">IF(E258="","",A258&amp;"_1.jpg")</f>
        <v/>
      </c>
      <c r="J258" s="84" t="str">
        <f aca="false">IF(E258="","",A258&amp;"_2.jpg; "&amp;A258&amp;"_3.jpg")</f>
        <v/>
      </c>
      <c r="K258" s="84" t="str">
        <f aca="false">IF(E258="","",A258&amp;"_schema.jpg")</f>
        <v/>
      </c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 t="s">
        <v>96</v>
      </c>
      <c r="W258" s="81"/>
      <c r="X258" s="81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6" t="str">
        <f aca="false">IF(SUM(Y258:AJ258)=0,"",SUM(Y258:AJ258))</f>
        <v/>
      </c>
      <c r="AL258" s="84" t="str">
        <f aca="false">MID(IF(N(Y258)&gt;0,", "&amp;Y$2,"")&amp;IF(N(Z258)&gt;0,", "&amp;Z$2,"")&amp;IF(N(AA258)&gt;0,", "&amp;AA$2,"")&amp;IF(N(AB258)&gt;0,", "&amp;AB$2,"")&amp;IF(N(AC258)&gt;0,", "&amp;AC$2,"")&amp;IF(N(AD258)&gt;0,", "&amp;AD$2,"")&amp;IF(N(AE258)&gt;0,", "&amp;AE$2,"")&amp;IF(N(AF258)&gt;0,", "&amp;AF$2,"")&amp;IF(N(AG258)&gt;0,", "&amp;AG$2,"")&amp;IF(N(AH258)&gt;0,", "&amp;AH$2,"")&amp;IF(N(AI258)&gt;0,", "&amp;AI$2,"")&amp;IF(N(AJ258)&gt;0,", "&amp;AJ$2,""),3,999)</f>
        <v/>
      </c>
      <c r="AM258" s="87" t="str">
        <f aca="false">IF(E258="","",MID(IF(N(Y258)&gt;0,", "&amp;A258&amp;"-"&amp;Y$2,"")&amp;IF(N(Z258)&gt;0,", "&amp;A258&amp;"-"&amp;Z$2,"")&amp;IF(N(AA258)&gt;0,", "&amp;A258&amp;"-"&amp;AA$2,"")&amp;IF(N(AB258)&gt;0,", "&amp;A258&amp;"-"&amp;AB$2,"")&amp;IF(N(AC258)&gt;0,", "&amp;A258&amp;"-"&amp;AC$2,"")&amp;IF(N(AD258)&gt;0,", "&amp;A258&amp;"-"&amp;AD$2,"")&amp;IF(N(AE258)&gt;0,", "&amp;A258&amp;"-"&amp;AE$2,"")&amp;IF(N(AF258)&gt;0,", "&amp;A258&amp;"-"&amp;AF$2,"")&amp;IF(N(AG258)&gt;0,", "&amp;A258&amp;"-"&amp;AG$2,"")&amp;IF(N(AH258)&gt;0,", "&amp;A258&amp;"-"&amp;AH$2,"")&amp;IF(N(AI258)&gt;0,", "&amp;A258&amp;"-"&amp;AI$2,"")&amp;IF(N(AJ258)&gt;0,", "&amp;A258&amp;"-"&amp;AJ$2,""),3,999))</f>
        <v/>
      </c>
      <c r="AN258" s="81"/>
      <c r="AO258" s="88"/>
      <c r="AP258" s="89" t="str">
        <f aca="false">IF(AO258="","",ROUND(AO258/(1+Справочники!$B$13),2))</f>
        <v/>
      </c>
      <c r="AQ258" s="90" t="str">
        <f aca="false" t="array" ref="AQ258:AQ258">IF(AP258="","",AP258*INDEX(Справочники!$B$4:$B$7,MATCH("RUB",Справочники!$A$4:$A$7,0)))</f>
        <v/>
      </c>
      <c r="AR258" s="90" t="str">
        <f aca="false">IF(AQ258="","",ROUND(AQ258*(1+Справочники!$B$12),0))</f>
        <v/>
      </c>
      <c r="AS258" s="90" t="str">
        <f aca="false">IF(AR258="","",ROUND(AR258*(1-Справочники!$B$11),0))</f>
        <v/>
      </c>
      <c r="AT258" s="88"/>
      <c r="AU258" s="90" t="str">
        <f aca="false">IF(AT258="","",ROUND(AT258/(1+Справочники!$B$12),0))</f>
        <v/>
      </c>
      <c r="AV258" s="90" t="str">
        <f aca="false">IF(AT258="","",ROUND(AT258*(1-Справочники!$B$15),0))</f>
        <v/>
      </c>
      <c r="AW258" s="90" t="str">
        <f aca="false">IF(AT258="","",ROUND(AT258*(1-Справочники!$B$16),0))</f>
        <v/>
      </c>
      <c r="AX258" s="90" t="str">
        <f aca="false">IF(AT258="","",ROUND(AT258*(1-Справочники!$B$17),0))</f>
        <v/>
      </c>
      <c r="AY258" s="90" t="str">
        <f aca="false">IF(AT258="","",ROUND(AT258*(1-Справочники!$B$18),0))</f>
        <v/>
      </c>
      <c r="AZ258" s="90" t="str">
        <f aca="false">IF(AT258="","",ROUND(AT258*(1-Справочники!$B$19),0))</f>
        <v/>
      </c>
      <c r="BA258" s="81"/>
      <c r="BB258" s="81"/>
      <c r="BC258" s="81"/>
      <c r="BD258" s="81"/>
      <c r="BE258" s="91"/>
      <c r="BF258" s="81" t="s">
        <v>103</v>
      </c>
      <c r="BG258" s="89" t="n">
        <f aca="false" t="array" ref="BG258:BG258">IF(BF258="","",IFERROR(INDEX(Справочники!$B$4:$B$7,MATCH(BF258,Справочники!$A$4:$A$7,0)),""))</f>
        <v>68.5</v>
      </c>
      <c r="BH258" s="90" t="str">
        <f aca="false">IF(N(BN258)&gt;0,ROUND(SUMIF(ЗАКАЗЫ!$F$3:$F$500,$A258,ЗАКАЗЫ!$Y$3:$Y$500)/BN258,0),IF(OR(BE258="",BG258=""),"",ROUND(BE258*BG258*(1+Справочники!$B$10),0)))</f>
        <v/>
      </c>
      <c r="BI258" s="92" t="str">
        <f aca="false">IF(OR(AU258="",BH258="",AU258=0),"",(AU258-BH258)/AU258)</f>
        <v/>
      </c>
      <c r="BJ258" s="81"/>
      <c r="BK258" s="83"/>
      <c r="BL258" s="43" t="str">
        <f aca="false">IFERROR(INDEX(ЗАКАЗЫ!$N$3:$N$500,MATCH($A258,ЗАКАЗЫ!$F$3:$F$500,0)),"")</f>
        <v/>
      </c>
      <c r="BM258" s="8" t="str">
        <f aca="false">IF(BL258="","",IFERROR(VLOOKUP(BL258,'ТН ВЭД'!$A$4:$C$40,3,0),""))</f>
        <v/>
      </c>
      <c r="BN258" s="7" t="str">
        <f aca="false">IF(COUNTIF(ЗАКАЗЫ!$F$3:$F$500,$A258)=0,"",SUMIF(ЗАКАЗЫ!$F$3:$F$500,$A258,ЗАКАЗЫ!$J$3:$J$500))</f>
        <v/>
      </c>
      <c r="BO258" s="7" t="str">
        <f aca="false">IF(BN258="","",SUMIF(ЗАКАЗЫ!$F$3:$F$500,$A258,ЗАКАЗЫ!$AL$3:$AL$500))</f>
        <v/>
      </c>
      <c r="BP258" s="7" t="str">
        <f aca="false">IF(BN258="","",BN258-BO258)</f>
        <v/>
      </c>
      <c r="BQ258" s="55" t="str">
        <f aca="false">IF(BN258="","",IF(BO258&gt;=BN258,"На складе",IF(BO258&gt;0,"Частично","Ждём")))</f>
        <v/>
      </c>
      <c r="BR258" s="43"/>
      <c r="BS258" s="47" t="str">
        <f aca="false">IF(BN258="","",IF(_xlfn.MAXIFS(ЗАКАЗЫ!$AK$3:$AK$500,ЗАКАЗЫ!$F$3:$F$500,$A258)=0,"",_xlfn.MAXIFS(ЗАКАЗЫ!$AK$3:$AK$500,ЗАКАЗЫ!$F$3:$F$500,$A258)))</f>
        <v/>
      </c>
    </row>
    <row r="259" customFormat="false" ht="15.75" hidden="false" customHeight="true" outlineLevel="0" collapsed="false">
      <c r="A259" s="80" t="s">
        <v>2799</v>
      </c>
      <c r="B259" s="81"/>
      <c r="C259" s="81"/>
      <c r="D259" s="81"/>
      <c r="E259" s="83"/>
      <c r="F259" s="81"/>
      <c r="G259" s="83"/>
      <c r="H259" s="83"/>
      <c r="I259" s="84" t="str">
        <f aca="false">IF(E259="","",A259&amp;"_1.jpg")</f>
        <v/>
      </c>
      <c r="J259" s="84" t="str">
        <f aca="false">IF(E259="","",A259&amp;"_2.jpg; "&amp;A259&amp;"_3.jpg")</f>
        <v/>
      </c>
      <c r="K259" s="84" t="str">
        <f aca="false">IF(E259="","",A259&amp;"_schema.jpg")</f>
        <v/>
      </c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 t="s">
        <v>96</v>
      </c>
      <c r="W259" s="81"/>
      <c r="X259" s="81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6" t="str">
        <f aca="false">IF(SUM(Y259:AJ259)=0,"",SUM(Y259:AJ259))</f>
        <v/>
      </c>
      <c r="AL259" s="84" t="str">
        <f aca="false">MID(IF(N(Y259)&gt;0,", "&amp;Y$2,"")&amp;IF(N(Z259)&gt;0,", "&amp;Z$2,"")&amp;IF(N(AA259)&gt;0,", "&amp;AA$2,"")&amp;IF(N(AB259)&gt;0,", "&amp;AB$2,"")&amp;IF(N(AC259)&gt;0,", "&amp;AC$2,"")&amp;IF(N(AD259)&gt;0,", "&amp;AD$2,"")&amp;IF(N(AE259)&gt;0,", "&amp;AE$2,"")&amp;IF(N(AF259)&gt;0,", "&amp;AF$2,"")&amp;IF(N(AG259)&gt;0,", "&amp;AG$2,"")&amp;IF(N(AH259)&gt;0,", "&amp;AH$2,"")&amp;IF(N(AI259)&gt;0,", "&amp;AI$2,"")&amp;IF(N(AJ259)&gt;0,", "&amp;AJ$2,""),3,999)</f>
        <v/>
      </c>
      <c r="AM259" s="87" t="str">
        <f aca="false">IF(E259="","",MID(IF(N(Y259)&gt;0,", "&amp;A259&amp;"-"&amp;Y$2,"")&amp;IF(N(Z259)&gt;0,", "&amp;A259&amp;"-"&amp;Z$2,"")&amp;IF(N(AA259)&gt;0,", "&amp;A259&amp;"-"&amp;AA$2,"")&amp;IF(N(AB259)&gt;0,", "&amp;A259&amp;"-"&amp;AB$2,"")&amp;IF(N(AC259)&gt;0,", "&amp;A259&amp;"-"&amp;AC$2,"")&amp;IF(N(AD259)&gt;0,", "&amp;A259&amp;"-"&amp;AD$2,"")&amp;IF(N(AE259)&gt;0,", "&amp;A259&amp;"-"&amp;AE$2,"")&amp;IF(N(AF259)&gt;0,", "&amp;A259&amp;"-"&amp;AF$2,"")&amp;IF(N(AG259)&gt;0,", "&amp;A259&amp;"-"&amp;AG$2,"")&amp;IF(N(AH259)&gt;0,", "&amp;A259&amp;"-"&amp;AH$2,"")&amp;IF(N(AI259)&gt;0,", "&amp;A259&amp;"-"&amp;AI$2,"")&amp;IF(N(AJ259)&gt;0,", "&amp;A259&amp;"-"&amp;AJ$2,""),3,999))</f>
        <v/>
      </c>
      <c r="AN259" s="81"/>
      <c r="AO259" s="88"/>
      <c r="AP259" s="89" t="str">
        <f aca="false">IF(AO259="","",ROUND(AO259/(1+Справочники!$B$13),2))</f>
        <v/>
      </c>
      <c r="AQ259" s="90" t="str">
        <f aca="false" t="array" ref="AQ259:AQ259">IF(AP259="","",AP259*INDEX(Справочники!$B$4:$B$7,MATCH("RUB",Справочники!$A$4:$A$7,0)))</f>
        <v/>
      </c>
      <c r="AR259" s="90" t="str">
        <f aca="false">IF(AQ259="","",ROUND(AQ259*(1+Справочники!$B$12),0))</f>
        <v/>
      </c>
      <c r="AS259" s="90" t="str">
        <f aca="false">IF(AR259="","",ROUND(AR259*(1-Справочники!$B$11),0))</f>
        <v/>
      </c>
      <c r="AT259" s="88"/>
      <c r="AU259" s="90" t="str">
        <f aca="false">IF(AT259="","",ROUND(AT259/(1+Справочники!$B$12),0))</f>
        <v/>
      </c>
      <c r="AV259" s="90" t="str">
        <f aca="false">IF(AT259="","",ROUND(AT259*(1-Справочники!$B$15),0))</f>
        <v/>
      </c>
      <c r="AW259" s="90" t="str">
        <f aca="false">IF(AT259="","",ROUND(AT259*(1-Справочники!$B$16),0))</f>
        <v/>
      </c>
      <c r="AX259" s="90" t="str">
        <f aca="false">IF(AT259="","",ROUND(AT259*(1-Справочники!$B$17),0))</f>
        <v/>
      </c>
      <c r="AY259" s="90" t="str">
        <f aca="false">IF(AT259="","",ROUND(AT259*(1-Справочники!$B$18),0))</f>
        <v/>
      </c>
      <c r="AZ259" s="90" t="str">
        <f aca="false">IF(AT259="","",ROUND(AT259*(1-Справочники!$B$19),0))</f>
        <v/>
      </c>
      <c r="BA259" s="81"/>
      <c r="BB259" s="81"/>
      <c r="BC259" s="81"/>
      <c r="BD259" s="81"/>
      <c r="BE259" s="91"/>
      <c r="BF259" s="81" t="s">
        <v>103</v>
      </c>
      <c r="BG259" s="89" t="n">
        <f aca="false" t="array" ref="BG259:BG259">IF(BF259="","",IFERROR(INDEX(Справочники!$B$4:$B$7,MATCH(BF259,Справочники!$A$4:$A$7,0)),""))</f>
        <v>68.5</v>
      </c>
      <c r="BH259" s="90" t="str">
        <f aca="false">IF(N(BN259)&gt;0,ROUND(SUMIF(ЗАКАЗЫ!$F$3:$F$500,$A259,ЗАКАЗЫ!$Y$3:$Y$500)/BN259,0),IF(OR(BE259="",BG259=""),"",ROUND(BE259*BG259*(1+Справочники!$B$10),0)))</f>
        <v/>
      </c>
      <c r="BI259" s="92" t="str">
        <f aca="false">IF(OR(AU259="",BH259="",AU259=0),"",(AU259-BH259)/AU259)</f>
        <v/>
      </c>
      <c r="BJ259" s="81"/>
      <c r="BK259" s="83"/>
      <c r="BL259" s="43" t="str">
        <f aca="false">IFERROR(INDEX(ЗАКАЗЫ!$N$3:$N$500,MATCH($A259,ЗАКАЗЫ!$F$3:$F$500,0)),"")</f>
        <v/>
      </c>
      <c r="BM259" s="8" t="str">
        <f aca="false">IF(BL259="","",IFERROR(VLOOKUP(BL259,'ТН ВЭД'!$A$4:$C$40,3,0),""))</f>
        <v/>
      </c>
      <c r="BN259" s="7" t="str">
        <f aca="false">IF(COUNTIF(ЗАКАЗЫ!$F$3:$F$500,$A259)=0,"",SUMIF(ЗАКАЗЫ!$F$3:$F$500,$A259,ЗАКАЗЫ!$J$3:$J$500))</f>
        <v/>
      </c>
      <c r="BO259" s="7" t="str">
        <f aca="false">IF(BN259="","",SUMIF(ЗАКАЗЫ!$F$3:$F$500,$A259,ЗАКАЗЫ!$AL$3:$AL$500))</f>
        <v/>
      </c>
      <c r="BP259" s="7" t="str">
        <f aca="false">IF(BN259="","",BN259-BO259)</f>
        <v/>
      </c>
      <c r="BQ259" s="55" t="str">
        <f aca="false">IF(BN259="","",IF(BO259&gt;=BN259,"На складе",IF(BO259&gt;0,"Частично","Ждём")))</f>
        <v/>
      </c>
      <c r="BR259" s="43"/>
      <c r="BS259" s="47" t="str">
        <f aca="false">IF(BN259="","",IF(_xlfn.MAXIFS(ЗАКАЗЫ!$AK$3:$AK$500,ЗАКАЗЫ!$F$3:$F$500,$A259)=0,"",_xlfn.MAXIFS(ЗАКАЗЫ!$AK$3:$AK$500,ЗАКАЗЫ!$F$3:$F$500,$A259)))</f>
        <v/>
      </c>
    </row>
    <row r="260" customFormat="false" ht="15.75" hidden="false" customHeight="true" outlineLevel="0" collapsed="false">
      <c r="A260" s="80" t="s">
        <v>2800</v>
      </c>
      <c r="B260" s="81"/>
      <c r="C260" s="81"/>
      <c r="D260" s="81"/>
      <c r="E260" s="83"/>
      <c r="F260" s="81"/>
      <c r="G260" s="83"/>
      <c r="H260" s="83"/>
      <c r="I260" s="84" t="str">
        <f aca="false">IF(E260="","",A260&amp;"_1.jpg")</f>
        <v/>
      </c>
      <c r="J260" s="84" t="str">
        <f aca="false">IF(E260="","",A260&amp;"_2.jpg; "&amp;A260&amp;"_3.jpg")</f>
        <v/>
      </c>
      <c r="K260" s="84" t="str">
        <f aca="false">IF(E260="","",A260&amp;"_schema.jpg")</f>
        <v/>
      </c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 t="s">
        <v>96</v>
      </c>
      <c r="W260" s="81"/>
      <c r="X260" s="81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6" t="str">
        <f aca="false">IF(SUM(Y260:AJ260)=0,"",SUM(Y260:AJ260))</f>
        <v/>
      </c>
      <c r="AL260" s="84" t="str">
        <f aca="false">MID(IF(N(Y260)&gt;0,", "&amp;Y$2,"")&amp;IF(N(Z260)&gt;0,", "&amp;Z$2,"")&amp;IF(N(AA260)&gt;0,", "&amp;AA$2,"")&amp;IF(N(AB260)&gt;0,", "&amp;AB$2,"")&amp;IF(N(AC260)&gt;0,", "&amp;AC$2,"")&amp;IF(N(AD260)&gt;0,", "&amp;AD$2,"")&amp;IF(N(AE260)&gt;0,", "&amp;AE$2,"")&amp;IF(N(AF260)&gt;0,", "&amp;AF$2,"")&amp;IF(N(AG260)&gt;0,", "&amp;AG$2,"")&amp;IF(N(AH260)&gt;0,", "&amp;AH$2,"")&amp;IF(N(AI260)&gt;0,", "&amp;AI$2,"")&amp;IF(N(AJ260)&gt;0,", "&amp;AJ$2,""),3,999)</f>
        <v/>
      </c>
      <c r="AM260" s="87" t="str">
        <f aca="false">IF(E260="","",MID(IF(N(Y260)&gt;0,", "&amp;A260&amp;"-"&amp;Y$2,"")&amp;IF(N(Z260)&gt;0,", "&amp;A260&amp;"-"&amp;Z$2,"")&amp;IF(N(AA260)&gt;0,", "&amp;A260&amp;"-"&amp;AA$2,"")&amp;IF(N(AB260)&gt;0,", "&amp;A260&amp;"-"&amp;AB$2,"")&amp;IF(N(AC260)&gt;0,", "&amp;A260&amp;"-"&amp;AC$2,"")&amp;IF(N(AD260)&gt;0,", "&amp;A260&amp;"-"&amp;AD$2,"")&amp;IF(N(AE260)&gt;0,", "&amp;A260&amp;"-"&amp;AE$2,"")&amp;IF(N(AF260)&gt;0,", "&amp;A260&amp;"-"&amp;AF$2,"")&amp;IF(N(AG260)&gt;0,", "&amp;A260&amp;"-"&amp;AG$2,"")&amp;IF(N(AH260)&gt;0,", "&amp;A260&amp;"-"&amp;AH$2,"")&amp;IF(N(AI260)&gt;0,", "&amp;A260&amp;"-"&amp;AI$2,"")&amp;IF(N(AJ260)&gt;0,", "&amp;A260&amp;"-"&amp;AJ$2,""),3,999))</f>
        <v/>
      </c>
      <c r="AN260" s="81"/>
      <c r="AO260" s="88"/>
      <c r="AP260" s="89" t="str">
        <f aca="false">IF(AO260="","",ROUND(AO260/(1+Справочники!$B$13),2))</f>
        <v/>
      </c>
      <c r="AQ260" s="90" t="str">
        <f aca="false" t="array" ref="AQ260:AQ260">IF(AP260="","",AP260*INDEX(Справочники!$B$4:$B$7,MATCH("RUB",Справочники!$A$4:$A$7,0)))</f>
        <v/>
      </c>
      <c r="AR260" s="90" t="str">
        <f aca="false">IF(AQ260="","",ROUND(AQ260*(1+Справочники!$B$12),0))</f>
        <v/>
      </c>
      <c r="AS260" s="90" t="str">
        <f aca="false">IF(AR260="","",ROUND(AR260*(1-Справочники!$B$11),0))</f>
        <v/>
      </c>
      <c r="AT260" s="88"/>
      <c r="AU260" s="90" t="str">
        <f aca="false">IF(AT260="","",ROUND(AT260/(1+Справочники!$B$12),0))</f>
        <v/>
      </c>
      <c r="AV260" s="90" t="str">
        <f aca="false">IF(AT260="","",ROUND(AT260*(1-Справочники!$B$15),0))</f>
        <v/>
      </c>
      <c r="AW260" s="90" t="str">
        <f aca="false">IF(AT260="","",ROUND(AT260*(1-Справочники!$B$16),0))</f>
        <v/>
      </c>
      <c r="AX260" s="90" t="str">
        <f aca="false">IF(AT260="","",ROUND(AT260*(1-Справочники!$B$17),0))</f>
        <v/>
      </c>
      <c r="AY260" s="90" t="str">
        <f aca="false">IF(AT260="","",ROUND(AT260*(1-Справочники!$B$18),0))</f>
        <v/>
      </c>
      <c r="AZ260" s="90" t="str">
        <f aca="false">IF(AT260="","",ROUND(AT260*(1-Справочники!$B$19),0))</f>
        <v/>
      </c>
      <c r="BA260" s="81"/>
      <c r="BB260" s="81"/>
      <c r="BC260" s="81"/>
      <c r="BD260" s="81"/>
      <c r="BE260" s="91"/>
      <c r="BF260" s="81" t="s">
        <v>103</v>
      </c>
      <c r="BG260" s="89" t="n">
        <f aca="false" t="array" ref="BG260:BG260">IF(BF260="","",IFERROR(INDEX(Справочники!$B$4:$B$7,MATCH(BF260,Справочники!$A$4:$A$7,0)),""))</f>
        <v>68.5</v>
      </c>
      <c r="BH260" s="90" t="str">
        <f aca="false">IF(N(BN260)&gt;0,ROUND(SUMIF(ЗАКАЗЫ!$F$3:$F$500,$A260,ЗАКАЗЫ!$Y$3:$Y$500)/BN260,0),IF(OR(BE260="",BG260=""),"",ROUND(BE260*BG260*(1+Справочники!$B$10),0)))</f>
        <v/>
      </c>
      <c r="BI260" s="92" t="str">
        <f aca="false">IF(OR(AU260="",BH260="",AU260=0),"",(AU260-BH260)/AU260)</f>
        <v/>
      </c>
      <c r="BJ260" s="81"/>
      <c r="BK260" s="83"/>
      <c r="BL260" s="43" t="str">
        <f aca="false">IFERROR(INDEX(ЗАКАЗЫ!$N$3:$N$500,MATCH($A260,ЗАКАЗЫ!$F$3:$F$500,0)),"")</f>
        <v/>
      </c>
      <c r="BM260" s="8" t="str">
        <f aca="false">IF(BL260="","",IFERROR(VLOOKUP(BL260,'ТН ВЭД'!$A$4:$C$40,3,0),""))</f>
        <v/>
      </c>
      <c r="BN260" s="7" t="str">
        <f aca="false">IF(COUNTIF(ЗАКАЗЫ!$F$3:$F$500,$A260)=0,"",SUMIF(ЗАКАЗЫ!$F$3:$F$500,$A260,ЗАКАЗЫ!$J$3:$J$500))</f>
        <v/>
      </c>
      <c r="BO260" s="7" t="str">
        <f aca="false">IF(BN260="","",SUMIF(ЗАКАЗЫ!$F$3:$F$500,$A260,ЗАКАЗЫ!$AL$3:$AL$500))</f>
        <v/>
      </c>
      <c r="BP260" s="7" t="str">
        <f aca="false">IF(BN260="","",BN260-BO260)</f>
        <v/>
      </c>
      <c r="BQ260" s="55" t="str">
        <f aca="false">IF(BN260="","",IF(BO260&gt;=BN260,"На складе",IF(BO260&gt;0,"Частично","Ждём")))</f>
        <v/>
      </c>
      <c r="BR260" s="43"/>
      <c r="BS260" s="47" t="str">
        <f aca="false">IF(BN260="","",IF(_xlfn.MAXIFS(ЗАКАЗЫ!$AK$3:$AK$500,ЗАКАЗЫ!$F$3:$F$500,$A260)=0,"",_xlfn.MAXIFS(ЗАКАЗЫ!$AK$3:$AK$500,ЗАКАЗЫ!$F$3:$F$500,$A260)))</f>
        <v/>
      </c>
    </row>
    <row r="261" customFormat="false" ht="15.75" hidden="false" customHeight="true" outlineLevel="0" collapsed="false">
      <c r="A261" s="80" t="s">
        <v>2801</v>
      </c>
      <c r="B261" s="81"/>
      <c r="C261" s="81"/>
      <c r="D261" s="81"/>
      <c r="E261" s="83"/>
      <c r="F261" s="81"/>
      <c r="G261" s="83"/>
      <c r="H261" s="83"/>
      <c r="I261" s="84" t="str">
        <f aca="false">IF(E261="","",A261&amp;"_1.jpg")</f>
        <v/>
      </c>
      <c r="J261" s="84" t="str">
        <f aca="false">IF(E261="","",A261&amp;"_2.jpg; "&amp;A261&amp;"_3.jpg")</f>
        <v/>
      </c>
      <c r="K261" s="84" t="str">
        <f aca="false">IF(E261="","",A261&amp;"_schema.jpg")</f>
        <v/>
      </c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 t="s">
        <v>96</v>
      </c>
      <c r="W261" s="81"/>
      <c r="X261" s="81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6" t="str">
        <f aca="false">IF(SUM(Y261:AJ261)=0,"",SUM(Y261:AJ261))</f>
        <v/>
      </c>
      <c r="AL261" s="84" t="str">
        <f aca="false">MID(IF(N(Y261)&gt;0,", "&amp;Y$2,"")&amp;IF(N(Z261)&gt;0,", "&amp;Z$2,"")&amp;IF(N(AA261)&gt;0,", "&amp;AA$2,"")&amp;IF(N(AB261)&gt;0,", "&amp;AB$2,"")&amp;IF(N(AC261)&gt;0,", "&amp;AC$2,"")&amp;IF(N(AD261)&gt;0,", "&amp;AD$2,"")&amp;IF(N(AE261)&gt;0,", "&amp;AE$2,"")&amp;IF(N(AF261)&gt;0,", "&amp;AF$2,"")&amp;IF(N(AG261)&gt;0,", "&amp;AG$2,"")&amp;IF(N(AH261)&gt;0,", "&amp;AH$2,"")&amp;IF(N(AI261)&gt;0,", "&amp;AI$2,"")&amp;IF(N(AJ261)&gt;0,", "&amp;AJ$2,""),3,999)</f>
        <v/>
      </c>
      <c r="AM261" s="87" t="str">
        <f aca="false">IF(E261="","",MID(IF(N(Y261)&gt;0,", "&amp;A261&amp;"-"&amp;Y$2,"")&amp;IF(N(Z261)&gt;0,", "&amp;A261&amp;"-"&amp;Z$2,"")&amp;IF(N(AA261)&gt;0,", "&amp;A261&amp;"-"&amp;AA$2,"")&amp;IF(N(AB261)&gt;0,", "&amp;A261&amp;"-"&amp;AB$2,"")&amp;IF(N(AC261)&gt;0,", "&amp;A261&amp;"-"&amp;AC$2,"")&amp;IF(N(AD261)&gt;0,", "&amp;A261&amp;"-"&amp;AD$2,"")&amp;IF(N(AE261)&gt;0,", "&amp;A261&amp;"-"&amp;AE$2,"")&amp;IF(N(AF261)&gt;0,", "&amp;A261&amp;"-"&amp;AF$2,"")&amp;IF(N(AG261)&gt;0,", "&amp;A261&amp;"-"&amp;AG$2,"")&amp;IF(N(AH261)&gt;0,", "&amp;A261&amp;"-"&amp;AH$2,"")&amp;IF(N(AI261)&gt;0,", "&amp;A261&amp;"-"&amp;AI$2,"")&amp;IF(N(AJ261)&gt;0,", "&amp;A261&amp;"-"&amp;AJ$2,""),3,999))</f>
        <v/>
      </c>
      <c r="AN261" s="81"/>
      <c r="AO261" s="88"/>
      <c r="AP261" s="89" t="str">
        <f aca="false">IF(AO261="","",ROUND(AO261/(1+Справочники!$B$13),2))</f>
        <v/>
      </c>
      <c r="AQ261" s="90" t="str">
        <f aca="false" t="array" ref="AQ261:AQ261">IF(AP261="","",AP261*INDEX(Справочники!$B$4:$B$7,MATCH("RUB",Справочники!$A$4:$A$7,0)))</f>
        <v/>
      </c>
      <c r="AR261" s="90" t="str">
        <f aca="false">IF(AQ261="","",ROUND(AQ261*(1+Справочники!$B$12),0))</f>
        <v/>
      </c>
      <c r="AS261" s="90" t="str">
        <f aca="false">IF(AR261="","",ROUND(AR261*(1-Справочники!$B$11),0))</f>
        <v/>
      </c>
      <c r="AT261" s="88"/>
      <c r="AU261" s="90" t="str">
        <f aca="false">IF(AT261="","",ROUND(AT261/(1+Справочники!$B$12),0))</f>
        <v/>
      </c>
      <c r="AV261" s="90" t="str">
        <f aca="false">IF(AT261="","",ROUND(AT261*(1-Справочники!$B$15),0))</f>
        <v/>
      </c>
      <c r="AW261" s="90" t="str">
        <f aca="false">IF(AT261="","",ROUND(AT261*(1-Справочники!$B$16),0))</f>
        <v/>
      </c>
      <c r="AX261" s="90" t="str">
        <f aca="false">IF(AT261="","",ROUND(AT261*(1-Справочники!$B$17),0))</f>
        <v/>
      </c>
      <c r="AY261" s="90" t="str">
        <f aca="false">IF(AT261="","",ROUND(AT261*(1-Справочники!$B$18),0))</f>
        <v/>
      </c>
      <c r="AZ261" s="90" t="str">
        <f aca="false">IF(AT261="","",ROUND(AT261*(1-Справочники!$B$19),0))</f>
        <v/>
      </c>
      <c r="BA261" s="81"/>
      <c r="BB261" s="81"/>
      <c r="BC261" s="81"/>
      <c r="BD261" s="81"/>
      <c r="BE261" s="91"/>
      <c r="BF261" s="81" t="s">
        <v>103</v>
      </c>
      <c r="BG261" s="89" t="n">
        <f aca="false" t="array" ref="BG261:BG261">IF(BF261="","",IFERROR(INDEX(Справочники!$B$4:$B$7,MATCH(BF261,Справочники!$A$4:$A$7,0)),""))</f>
        <v>68.5</v>
      </c>
      <c r="BH261" s="90" t="str">
        <f aca="false">IF(N(BN261)&gt;0,ROUND(SUMIF(ЗАКАЗЫ!$F$3:$F$500,$A261,ЗАКАЗЫ!$Y$3:$Y$500)/BN261,0),IF(OR(BE261="",BG261=""),"",ROUND(BE261*BG261*(1+Справочники!$B$10),0)))</f>
        <v/>
      </c>
      <c r="BI261" s="92" t="str">
        <f aca="false">IF(OR(AU261="",BH261="",AU261=0),"",(AU261-BH261)/AU261)</f>
        <v/>
      </c>
      <c r="BJ261" s="81"/>
      <c r="BK261" s="83"/>
      <c r="BL261" s="43" t="str">
        <f aca="false">IFERROR(INDEX(ЗАКАЗЫ!$N$3:$N$500,MATCH($A261,ЗАКАЗЫ!$F$3:$F$500,0)),"")</f>
        <v/>
      </c>
      <c r="BM261" s="8" t="str">
        <f aca="false">IF(BL261="","",IFERROR(VLOOKUP(BL261,'ТН ВЭД'!$A$4:$C$40,3,0),""))</f>
        <v/>
      </c>
      <c r="BN261" s="7" t="str">
        <f aca="false">IF(COUNTIF(ЗАКАЗЫ!$F$3:$F$500,$A261)=0,"",SUMIF(ЗАКАЗЫ!$F$3:$F$500,$A261,ЗАКАЗЫ!$J$3:$J$500))</f>
        <v/>
      </c>
      <c r="BO261" s="7" t="str">
        <f aca="false">IF(BN261="","",SUMIF(ЗАКАЗЫ!$F$3:$F$500,$A261,ЗАКАЗЫ!$AL$3:$AL$500))</f>
        <v/>
      </c>
      <c r="BP261" s="7" t="str">
        <f aca="false">IF(BN261="","",BN261-BO261)</f>
        <v/>
      </c>
      <c r="BQ261" s="55" t="str">
        <f aca="false">IF(BN261="","",IF(BO261&gt;=BN261,"На складе",IF(BO261&gt;0,"Частично","Ждём")))</f>
        <v/>
      </c>
      <c r="BR261" s="43"/>
      <c r="BS261" s="47" t="str">
        <f aca="false">IF(BN261="","",IF(_xlfn.MAXIFS(ЗАКАЗЫ!$AK$3:$AK$500,ЗАКАЗЫ!$F$3:$F$500,$A261)=0,"",_xlfn.MAXIFS(ЗАКАЗЫ!$AK$3:$AK$500,ЗАКАЗЫ!$F$3:$F$500,$A261)))</f>
        <v/>
      </c>
    </row>
    <row r="262" customFormat="false" ht="15.75" hidden="false" customHeight="true" outlineLevel="0" collapsed="false">
      <c r="A262" s="80" t="s">
        <v>2802</v>
      </c>
      <c r="B262" s="81"/>
      <c r="C262" s="81"/>
      <c r="D262" s="81"/>
      <c r="E262" s="83"/>
      <c r="F262" s="81"/>
      <c r="G262" s="83"/>
      <c r="H262" s="83"/>
      <c r="I262" s="84" t="str">
        <f aca="false">IF(E262="","",A262&amp;"_1.jpg")</f>
        <v/>
      </c>
      <c r="J262" s="84" t="str">
        <f aca="false">IF(E262="","",A262&amp;"_2.jpg; "&amp;A262&amp;"_3.jpg")</f>
        <v/>
      </c>
      <c r="K262" s="84" t="str">
        <f aca="false">IF(E262="","",A262&amp;"_schema.jpg")</f>
        <v/>
      </c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 t="s">
        <v>96</v>
      </c>
      <c r="W262" s="81"/>
      <c r="X262" s="81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6" t="str">
        <f aca="false">IF(SUM(Y262:AJ262)=0,"",SUM(Y262:AJ262))</f>
        <v/>
      </c>
      <c r="AL262" s="84" t="str">
        <f aca="false">MID(IF(N(Y262)&gt;0,", "&amp;Y$2,"")&amp;IF(N(Z262)&gt;0,", "&amp;Z$2,"")&amp;IF(N(AA262)&gt;0,", "&amp;AA$2,"")&amp;IF(N(AB262)&gt;0,", "&amp;AB$2,"")&amp;IF(N(AC262)&gt;0,", "&amp;AC$2,"")&amp;IF(N(AD262)&gt;0,", "&amp;AD$2,"")&amp;IF(N(AE262)&gt;0,", "&amp;AE$2,"")&amp;IF(N(AF262)&gt;0,", "&amp;AF$2,"")&amp;IF(N(AG262)&gt;0,", "&amp;AG$2,"")&amp;IF(N(AH262)&gt;0,", "&amp;AH$2,"")&amp;IF(N(AI262)&gt;0,", "&amp;AI$2,"")&amp;IF(N(AJ262)&gt;0,", "&amp;AJ$2,""),3,999)</f>
        <v/>
      </c>
      <c r="AM262" s="87" t="str">
        <f aca="false">IF(E262="","",MID(IF(N(Y262)&gt;0,", "&amp;A262&amp;"-"&amp;Y$2,"")&amp;IF(N(Z262)&gt;0,", "&amp;A262&amp;"-"&amp;Z$2,"")&amp;IF(N(AA262)&gt;0,", "&amp;A262&amp;"-"&amp;AA$2,"")&amp;IF(N(AB262)&gt;0,", "&amp;A262&amp;"-"&amp;AB$2,"")&amp;IF(N(AC262)&gt;0,", "&amp;A262&amp;"-"&amp;AC$2,"")&amp;IF(N(AD262)&gt;0,", "&amp;A262&amp;"-"&amp;AD$2,"")&amp;IF(N(AE262)&gt;0,", "&amp;A262&amp;"-"&amp;AE$2,"")&amp;IF(N(AF262)&gt;0,", "&amp;A262&amp;"-"&amp;AF$2,"")&amp;IF(N(AG262)&gt;0,", "&amp;A262&amp;"-"&amp;AG$2,"")&amp;IF(N(AH262)&gt;0,", "&amp;A262&amp;"-"&amp;AH$2,"")&amp;IF(N(AI262)&gt;0,", "&amp;A262&amp;"-"&amp;AI$2,"")&amp;IF(N(AJ262)&gt;0,", "&amp;A262&amp;"-"&amp;AJ$2,""),3,999))</f>
        <v/>
      </c>
      <c r="AN262" s="81"/>
      <c r="AO262" s="88"/>
      <c r="AP262" s="89" t="str">
        <f aca="false">IF(AO262="","",ROUND(AO262/(1+Справочники!$B$13),2))</f>
        <v/>
      </c>
      <c r="AQ262" s="90" t="str">
        <f aca="false" t="array" ref="AQ262:AQ262">IF(AP262="","",AP262*INDEX(Справочники!$B$4:$B$7,MATCH("RUB",Справочники!$A$4:$A$7,0)))</f>
        <v/>
      </c>
      <c r="AR262" s="90" t="str">
        <f aca="false">IF(AQ262="","",ROUND(AQ262*(1+Справочники!$B$12),0))</f>
        <v/>
      </c>
      <c r="AS262" s="90" t="str">
        <f aca="false">IF(AR262="","",ROUND(AR262*(1-Справочники!$B$11),0))</f>
        <v/>
      </c>
      <c r="AT262" s="88"/>
      <c r="AU262" s="90" t="str">
        <f aca="false">IF(AT262="","",ROUND(AT262/(1+Справочники!$B$12),0))</f>
        <v/>
      </c>
      <c r="AV262" s="90" t="str">
        <f aca="false">IF(AT262="","",ROUND(AT262*(1-Справочники!$B$15),0))</f>
        <v/>
      </c>
      <c r="AW262" s="90" t="str">
        <f aca="false">IF(AT262="","",ROUND(AT262*(1-Справочники!$B$16),0))</f>
        <v/>
      </c>
      <c r="AX262" s="90" t="str">
        <f aca="false">IF(AT262="","",ROUND(AT262*(1-Справочники!$B$17),0))</f>
        <v/>
      </c>
      <c r="AY262" s="90" t="str">
        <f aca="false">IF(AT262="","",ROUND(AT262*(1-Справочники!$B$18),0))</f>
        <v/>
      </c>
      <c r="AZ262" s="90" t="str">
        <f aca="false">IF(AT262="","",ROUND(AT262*(1-Справочники!$B$19),0))</f>
        <v/>
      </c>
      <c r="BA262" s="81"/>
      <c r="BB262" s="81"/>
      <c r="BC262" s="81"/>
      <c r="BD262" s="81"/>
      <c r="BE262" s="91"/>
      <c r="BF262" s="81" t="s">
        <v>103</v>
      </c>
      <c r="BG262" s="89" t="n">
        <f aca="false" t="array" ref="BG262:BG262">IF(BF262="","",IFERROR(INDEX(Справочники!$B$4:$B$7,MATCH(BF262,Справочники!$A$4:$A$7,0)),""))</f>
        <v>68.5</v>
      </c>
      <c r="BH262" s="90" t="str">
        <f aca="false">IF(N(BN262)&gt;0,ROUND(SUMIF(ЗАКАЗЫ!$F$3:$F$500,$A262,ЗАКАЗЫ!$Y$3:$Y$500)/BN262,0),IF(OR(BE262="",BG262=""),"",ROUND(BE262*BG262*(1+Справочники!$B$10),0)))</f>
        <v/>
      </c>
      <c r="BI262" s="92" t="str">
        <f aca="false">IF(OR(AU262="",BH262="",AU262=0),"",(AU262-BH262)/AU262)</f>
        <v/>
      </c>
      <c r="BJ262" s="81"/>
      <c r="BK262" s="83"/>
      <c r="BL262" s="43" t="str">
        <f aca="false">IFERROR(INDEX(ЗАКАЗЫ!$N$3:$N$500,MATCH($A262,ЗАКАЗЫ!$F$3:$F$500,0)),"")</f>
        <v/>
      </c>
      <c r="BM262" s="8" t="str">
        <f aca="false">IF(BL262="","",IFERROR(VLOOKUP(BL262,'ТН ВЭД'!$A$4:$C$40,3,0),""))</f>
        <v/>
      </c>
      <c r="BN262" s="7" t="str">
        <f aca="false">IF(COUNTIF(ЗАКАЗЫ!$F$3:$F$500,$A262)=0,"",SUMIF(ЗАКАЗЫ!$F$3:$F$500,$A262,ЗАКАЗЫ!$J$3:$J$500))</f>
        <v/>
      </c>
      <c r="BO262" s="7" t="str">
        <f aca="false">IF(BN262="","",SUMIF(ЗАКАЗЫ!$F$3:$F$500,$A262,ЗАКАЗЫ!$AL$3:$AL$500))</f>
        <v/>
      </c>
      <c r="BP262" s="7" t="str">
        <f aca="false">IF(BN262="","",BN262-BO262)</f>
        <v/>
      </c>
      <c r="BQ262" s="55" t="str">
        <f aca="false">IF(BN262="","",IF(BO262&gt;=BN262,"На складе",IF(BO262&gt;0,"Частично","Ждём")))</f>
        <v/>
      </c>
      <c r="BR262" s="43"/>
      <c r="BS262" s="47" t="str">
        <f aca="false">IF(BN262="","",IF(_xlfn.MAXIFS(ЗАКАЗЫ!$AK$3:$AK$500,ЗАКАЗЫ!$F$3:$F$500,$A262)=0,"",_xlfn.MAXIFS(ЗАКАЗЫ!$AK$3:$AK$500,ЗАКАЗЫ!$F$3:$F$500,$A262)))</f>
        <v/>
      </c>
    </row>
    <row r="263" customFormat="false" ht="15.75" hidden="false" customHeight="true" outlineLevel="0" collapsed="false">
      <c r="A263" s="80" t="s">
        <v>2803</v>
      </c>
      <c r="B263" s="81"/>
      <c r="C263" s="81"/>
      <c r="D263" s="81"/>
      <c r="E263" s="83"/>
      <c r="F263" s="81"/>
      <c r="G263" s="83"/>
      <c r="H263" s="83"/>
      <c r="I263" s="84" t="str">
        <f aca="false">IF(E263="","",A263&amp;"_1.jpg")</f>
        <v/>
      </c>
      <c r="J263" s="84" t="str">
        <f aca="false">IF(E263="","",A263&amp;"_2.jpg; "&amp;A263&amp;"_3.jpg")</f>
        <v/>
      </c>
      <c r="K263" s="84" t="str">
        <f aca="false">IF(E263="","",A263&amp;"_schema.jpg")</f>
        <v/>
      </c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 t="s">
        <v>96</v>
      </c>
      <c r="W263" s="81"/>
      <c r="X263" s="81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6" t="str">
        <f aca="false">IF(SUM(Y263:AJ263)=0,"",SUM(Y263:AJ263))</f>
        <v/>
      </c>
      <c r="AL263" s="84" t="str">
        <f aca="false">MID(IF(N(Y263)&gt;0,", "&amp;Y$2,"")&amp;IF(N(Z263)&gt;0,", "&amp;Z$2,"")&amp;IF(N(AA263)&gt;0,", "&amp;AA$2,"")&amp;IF(N(AB263)&gt;0,", "&amp;AB$2,"")&amp;IF(N(AC263)&gt;0,", "&amp;AC$2,"")&amp;IF(N(AD263)&gt;0,", "&amp;AD$2,"")&amp;IF(N(AE263)&gt;0,", "&amp;AE$2,"")&amp;IF(N(AF263)&gt;0,", "&amp;AF$2,"")&amp;IF(N(AG263)&gt;0,", "&amp;AG$2,"")&amp;IF(N(AH263)&gt;0,", "&amp;AH$2,"")&amp;IF(N(AI263)&gt;0,", "&amp;AI$2,"")&amp;IF(N(AJ263)&gt;0,", "&amp;AJ$2,""),3,999)</f>
        <v/>
      </c>
      <c r="AM263" s="87" t="str">
        <f aca="false">IF(E263="","",MID(IF(N(Y263)&gt;0,", "&amp;A263&amp;"-"&amp;Y$2,"")&amp;IF(N(Z263)&gt;0,", "&amp;A263&amp;"-"&amp;Z$2,"")&amp;IF(N(AA263)&gt;0,", "&amp;A263&amp;"-"&amp;AA$2,"")&amp;IF(N(AB263)&gt;0,", "&amp;A263&amp;"-"&amp;AB$2,"")&amp;IF(N(AC263)&gt;0,", "&amp;A263&amp;"-"&amp;AC$2,"")&amp;IF(N(AD263)&gt;0,", "&amp;A263&amp;"-"&amp;AD$2,"")&amp;IF(N(AE263)&gt;0,", "&amp;A263&amp;"-"&amp;AE$2,"")&amp;IF(N(AF263)&gt;0,", "&amp;A263&amp;"-"&amp;AF$2,"")&amp;IF(N(AG263)&gt;0,", "&amp;A263&amp;"-"&amp;AG$2,"")&amp;IF(N(AH263)&gt;0,", "&amp;A263&amp;"-"&amp;AH$2,"")&amp;IF(N(AI263)&gt;0,", "&amp;A263&amp;"-"&amp;AI$2,"")&amp;IF(N(AJ263)&gt;0,", "&amp;A263&amp;"-"&amp;AJ$2,""),3,999))</f>
        <v/>
      </c>
      <c r="AN263" s="81"/>
      <c r="AO263" s="88"/>
      <c r="AP263" s="89" t="str">
        <f aca="false">IF(AO263="","",ROUND(AO263/(1+Справочники!$B$13),2))</f>
        <v/>
      </c>
      <c r="AQ263" s="90" t="str">
        <f aca="false" t="array" ref="AQ263:AQ263">IF(AP263="","",AP263*INDEX(Справочники!$B$4:$B$7,MATCH("RUB",Справочники!$A$4:$A$7,0)))</f>
        <v/>
      </c>
      <c r="AR263" s="90" t="str">
        <f aca="false">IF(AQ263="","",ROUND(AQ263*(1+Справочники!$B$12),0))</f>
        <v/>
      </c>
      <c r="AS263" s="90" t="str">
        <f aca="false">IF(AR263="","",ROUND(AR263*(1-Справочники!$B$11),0))</f>
        <v/>
      </c>
      <c r="AT263" s="88"/>
      <c r="AU263" s="90" t="str">
        <f aca="false">IF(AT263="","",ROUND(AT263/(1+Справочники!$B$12),0))</f>
        <v/>
      </c>
      <c r="AV263" s="90" t="str">
        <f aca="false">IF(AT263="","",ROUND(AT263*(1-Справочники!$B$15),0))</f>
        <v/>
      </c>
      <c r="AW263" s="90" t="str">
        <f aca="false">IF(AT263="","",ROUND(AT263*(1-Справочники!$B$16),0))</f>
        <v/>
      </c>
      <c r="AX263" s="90" t="str">
        <f aca="false">IF(AT263="","",ROUND(AT263*(1-Справочники!$B$17),0))</f>
        <v/>
      </c>
      <c r="AY263" s="90" t="str">
        <f aca="false">IF(AT263="","",ROUND(AT263*(1-Справочники!$B$18),0))</f>
        <v/>
      </c>
      <c r="AZ263" s="90" t="str">
        <f aca="false">IF(AT263="","",ROUND(AT263*(1-Справочники!$B$19),0))</f>
        <v/>
      </c>
      <c r="BA263" s="81"/>
      <c r="BB263" s="81"/>
      <c r="BC263" s="81"/>
      <c r="BD263" s="81"/>
      <c r="BE263" s="91"/>
      <c r="BF263" s="81" t="s">
        <v>103</v>
      </c>
      <c r="BG263" s="89" t="n">
        <f aca="false" t="array" ref="BG263:BG263">IF(BF263="","",IFERROR(INDEX(Справочники!$B$4:$B$7,MATCH(BF263,Справочники!$A$4:$A$7,0)),""))</f>
        <v>68.5</v>
      </c>
      <c r="BH263" s="90" t="str">
        <f aca="false">IF(N(BN263)&gt;0,ROUND(SUMIF(ЗАКАЗЫ!$F$3:$F$500,$A263,ЗАКАЗЫ!$Y$3:$Y$500)/BN263,0),IF(OR(BE263="",BG263=""),"",ROUND(BE263*BG263*(1+Справочники!$B$10),0)))</f>
        <v/>
      </c>
      <c r="BI263" s="92" t="str">
        <f aca="false">IF(OR(AU263="",BH263="",AU263=0),"",(AU263-BH263)/AU263)</f>
        <v/>
      </c>
      <c r="BJ263" s="81"/>
      <c r="BK263" s="83"/>
      <c r="BL263" s="43" t="str">
        <f aca="false">IFERROR(INDEX(ЗАКАЗЫ!$N$3:$N$500,MATCH($A263,ЗАКАЗЫ!$F$3:$F$500,0)),"")</f>
        <v/>
      </c>
      <c r="BM263" s="8" t="str">
        <f aca="false">IF(BL263="","",IFERROR(VLOOKUP(BL263,'ТН ВЭД'!$A$4:$C$40,3,0),""))</f>
        <v/>
      </c>
      <c r="BN263" s="7" t="str">
        <f aca="false">IF(COUNTIF(ЗАКАЗЫ!$F$3:$F$500,$A263)=0,"",SUMIF(ЗАКАЗЫ!$F$3:$F$500,$A263,ЗАКАЗЫ!$J$3:$J$500))</f>
        <v/>
      </c>
      <c r="BO263" s="7" t="str">
        <f aca="false">IF(BN263="","",SUMIF(ЗАКАЗЫ!$F$3:$F$500,$A263,ЗАКАЗЫ!$AL$3:$AL$500))</f>
        <v/>
      </c>
      <c r="BP263" s="7" t="str">
        <f aca="false">IF(BN263="","",BN263-BO263)</f>
        <v/>
      </c>
      <c r="BQ263" s="55" t="str">
        <f aca="false">IF(BN263="","",IF(BO263&gt;=BN263,"На складе",IF(BO263&gt;0,"Частично","Ждём")))</f>
        <v/>
      </c>
      <c r="BR263" s="43"/>
      <c r="BS263" s="47" t="str">
        <f aca="false">IF(BN263="","",IF(_xlfn.MAXIFS(ЗАКАЗЫ!$AK$3:$AK$500,ЗАКАЗЫ!$F$3:$F$500,$A263)=0,"",_xlfn.MAXIFS(ЗАКАЗЫ!$AK$3:$AK$500,ЗАКАЗЫ!$F$3:$F$500,$A263)))</f>
        <v/>
      </c>
    </row>
    <row r="264" customFormat="false" ht="15.75" hidden="false" customHeight="true" outlineLevel="0" collapsed="false">
      <c r="A264" s="80" t="s">
        <v>2804</v>
      </c>
      <c r="B264" s="81"/>
      <c r="C264" s="81"/>
      <c r="D264" s="81"/>
      <c r="E264" s="83"/>
      <c r="F264" s="81"/>
      <c r="G264" s="83"/>
      <c r="H264" s="83"/>
      <c r="I264" s="84" t="str">
        <f aca="false">IF(E264="","",A264&amp;"_1.jpg")</f>
        <v/>
      </c>
      <c r="J264" s="84" t="str">
        <f aca="false">IF(E264="","",A264&amp;"_2.jpg; "&amp;A264&amp;"_3.jpg")</f>
        <v/>
      </c>
      <c r="K264" s="84" t="str">
        <f aca="false">IF(E264="","",A264&amp;"_schema.jpg")</f>
        <v/>
      </c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 t="s">
        <v>96</v>
      </c>
      <c r="W264" s="81"/>
      <c r="X264" s="81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6" t="str">
        <f aca="false">IF(SUM(Y264:AJ264)=0,"",SUM(Y264:AJ264))</f>
        <v/>
      </c>
      <c r="AL264" s="84" t="str">
        <f aca="false">MID(IF(N(Y264)&gt;0,", "&amp;Y$2,"")&amp;IF(N(Z264)&gt;0,", "&amp;Z$2,"")&amp;IF(N(AA264)&gt;0,", "&amp;AA$2,"")&amp;IF(N(AB264)&gt;0,", "&amp;AB$2,"")&amp;IF(N(AC264)&gt;0,", "&amp;AC$2,"")&amp;IF(N(AD264)&gt;0,", "&amp;AD$2,"")&amp;IF(N(AE264)&gt;0,", "&amp;AE$2,"")&amp;IF(N(AF264)&gt;0,", "&amp;AF$2,"")&amp;IF(N(AG264)&gt;0,", "&amp;AG$2,"")&amp;IF(N(AH264)&gt;0,", "&amp;AH$2,"")&amp;IF(N(AI264)&gt;0,", "&amp;AI$2,"")&amp;IF(N(AJ264)&gt;0,", "&amp;AJ$2,""),3,999)</f>
        <v/>
      </c>
      <c r="AM264" s="87" t="str">
        <f aca="false">IF(E264="","",MID(IF(N(Y264)&gt;0,", "&amp;A264&amp;"-"&amp;Y$2,"")&amp;IF(N(Z264)&gt;0,", "&amp;A264&amp;"-"&amp;Z$2,"")&amp;IF(N(AA264)&gt;0,", "&amp;A264&amp;"-"&amp;AA$2,"")&amp;IF(N(AB264)&gt;0,", "&amp;A264&amp;"-"&amp;AB$2,"")&amp;IF(N(AC264)&gt;0,", "&amp;A264&amp;"-"&amp;AC$2,"")&amp;IF(N(AD264)&gt;0,", "&amp;A264&amp;"-"&amp;AD$2,"")&amp;IF(N(AE264)&gt;0,", "&amp;A264&amp;"-"&amp;AE$2,"")&amp;IF(N(AF264)&gt;0,", "&amp;A264&amp;"-"&amp;AF$2,"")&amp;IF(N(AG264)&gt;0,", "&amp;A264&amp;"-"&amp;AG$2,"")&amp;IF(N(AH264)&gt;0,", "&amp;A264&amp;"-"&amp;AH$2,"")&amp;IF(N(AI264)&gt;0,", "&amp;A264&amp;"-"&amp;AI$2,"")&amp;IF(N(AJ264)&gt;0,", "&amp;A264&amp;"-"&amp;AJ$2,""),3,999))</f>
        <v/>
      </c>
      <c r="AN264" s="81"/>
      <c r="AO264" s="88"/>
      <c r="AP264" s="89" t="str">
        <f aca="false">IF(AO264="","",ROUND(AO264/(1+Справочники!$B$13),2))</f>
        <v/>
      </c>
      <c r="AQ264" s="90" t="str">
        <f aca="false" t="array" ref="AQ264:AQ264">IF(AP264="","",AP264*INDEX(Справочники!$B$4:$B$7,MATCH("RUB",Справочники!$A$4:$A$7,0)))</f>
        <v/>
      </c>
      <c r="AR264" s="90" t="str">
        <f aca="false">IF(AQ264="","",ROUND(AQ264*(1+Справочники!$B$12),0))</f>
        <v/>
      </c>
      <c r="AS264" s="90" t="str">
        <f aca="false">IF(AR264="","",ROUND(AR264*(1-Справочники!$B$11),0))</f>
        <v/>
      </c>
      <c r="AT264" s="88"/>
      <c r="AU264" s="90" t="str">
        <f aca="false">IF(AT264="","",ROUND(AT264/(1+Справочники!$B$12),0))</f>
        <v/>
      </c>
      <c r="AV264" s="90" t="str">
        <f aca="false">IF(AT264="","",ROUND(AT264*(1-Справочники!$B$15),0))</f>
        <v/>
      </c>
      <c r="AW264" s="90" t="str">
        <f aca="false">IF(AT264="","",ROUND(AT264*(1-Справочники!$B$16),0))</f>
        <v/>
      </c>
      <c r="AX264" s="90" t="str">
        <f aca="false">IF(AT264="","",ROUND(AT264*(1-Справочники!$B$17),0))</f>
        <v/>
      </c>
      <c r="AY264" s="90" t="str">
        <f aca="false">IF(AT264="","",ROUND(AT264*(1-Справочники!$B$18),0))</f>
        <v/>
      </c>
      <c r="AZ264" s="90" t="str">
        <f aca="false">IF(AT264="","",ROUND(AT264*(1-Справочники!$B$19),0))</f>
        <v/>
      </c>
      <c r="BA264" s="81"/>
      <c r="BB264" s="81"/>
      <c r="BC264" s="81"/>
      <c r="BD264" s="81"/>
      <c r="BE264" s="91"/>
      <c r="BF264" s="81" t="s">
        <v>103</v>
      </c>
      <c r="BG264" s="89" t="n">
        <f aca="false" t="array" ref="BG264:BG264">IF(BF264="","",IFERROR(INDEX(Справочники!$B$4:$B$7,MATCH(BF264,Справочники!$A$4:$A$7,0)),""))</f>
        <v>68.5</v>
      </c>
      <c r="BH264" s="90" t="str">
        <f aca="false">IF(N(BN264)&gt;0,ROUND(SUMIF(ЗАКАЗЫ!$F$3:$F$500,$A264,ЗАКАЗЫ!$Y$3:$Y$500)/BN264,0),IF(OR(BE264="",BG264=""),"",ROUND(BE264*BG264*(1+Справочники!$B$10),0)))</f>
        <v/>
      </c>
      <c r="BI264" s="92" t="str">
        <f aca="false">IF(OR(AU264="",BH264="",AU264=0),"",(AU264-BH264)/AU264)</f>
        <v/>
      </c>
      <c r="BJ264" s="81"/>
      <c r="BK264" s="83"/>
      <c r="BL264" s="43" t="str">
        <f aca="false">IFERROR(INDEX(ЗАКАЗЫ!$N$3:$N$500,MATCH($A264,ЗАКАЗЫ!$F$3:$F$500,0)),"")</f>
        <v/>
      </c>
      <c r="BM264" s="8" t="str">
        <f aca="false">IF(BL264="","",IFERROR(VLOOKUP(BL264,'ТН ВЭД'!$A$4:$C$40,3,0),""))</f>
        <v/>
      </c>
      <c r="BN264" s="7" t="str">
        <f aca="false">IF(COUNTIF(ЗАКАЗЫ!$F$3:$F$500,$A264)=0,"",SUMIF(ЗАКАЗЫ!$F$3:$F$500,$A264,ЗАКАЗЫ!$J$3:$J$500))</f>
        <v/>
      </c>
      <c r="BO264" s="7" t="str">
        <f aca="false">IF(BN264="","",SUMIF(ЗАКАЗЫ!$F$3:$F$500,$A264,ЗАКАЗЫ!$AL$3:$AL$500))</f>
        <v/>
      </c>
      <c r="BP264" s="7" t="str">
        <f aca="false">IF(BN264="","",BN264-BO264)</f>
        <v/>
      </c>
      <c r="BQ264" s="55" t="str">
        <f aca="false">IF(BN264="","",IF(BO264&gt;=BN264,"На складе",IF(BO264&gt;0,"Частично","Ждём")))</f>
        <v/>
      </c>
      <c r="BR264" s="43"/>
      <c r="BS264" s="47" t="str">
        <f aca="false">IF(BN264="","",IF(_xlfn.MAXIFS(ЗАКАЗЫ!$AK$3:$AK$500,ЗАКАЗЫ!$F$3:$F$500,$A264)=0,"",_xlfn.MAXIFS(ЗАКАЗЫ!$AK$3:$AK$500,ЗАКАЗЫ!$F$3:$F$500,$A264)))</f>
        <v/>
      </c>
    </row>
    <row r="265" customFormat="false" ht="15.75" hidden="false" customHeight="true" outlineLevel="0" collapsed="false">
      <c r="A265" s="80" t="s">
        <v>2805</v>
      </c>
      <c r="B265" s="81"/>
      <c r="C265" s="81"/>
      <c r="D265" s="81"/>
      <c r="E265" s="83"/>
      <c r="F265" s="81"/>
      <c r="G265" s="83"/>
      <c r="H265" s="83"/>
      <c r="I265" s="84" t="str">
        <f aca="false">IF(E265="","",A265&amp;"_1.jpg")</f>
        <v/>
      </c>
      <c r="J265" s="84" t="str">
        <f aca="false">IF(E265="","",A265&amp;"_2.jpg; "&amp;A265&amp;"_3.jpg")</f>
        <v/>
      </c>
      <c r="K265" s="84" t="str">
        <f aca="false">IF(E265="","",A265&amp;"_schema.jpg")</f>
        <v/>
      </c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 t="s">
        <v>96</v>
      </c>
      <c r="W265" s="81"/>
      <c r="X265" s="81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6" t="str">
        <f aca="false">IF(SUM(Y265:AJ265)=0,"",SUM(Y265:AJ265))</f>
        <v/>
      </c>
      <c r="AL265" s="84" t="str">
        <f aca="false">MID(IF(N(Y265)&gt;0,", "&amp;Y$2,"")&amp;IF(N(Z265)&gt;0,", "&amp;Z$2,"")&amp;IF(N(AA265)&gt;0,", "&amp;AA$2,"")&amp;IF(N(AB265)&gt;0,", "&amp;AB$2,"")&amp;IF(N(AC265)&gt;0,", "&amp;AC$2,"")&amp;IF(N(AD265)&gt;0,", "&amp;AD$2,"")&amp;IF(N(AE265)&gt;0,", "&amp;AE$2,"")&amp;IF(N(AF265)&gt;0,", "&amp;AF$2,"")&amp;IF(N(AG265)&gt;0,", "&amp;AG$2,"")&amp;IF(N(AH265)&gt;0,", "&amp;AH$2,"")&amp;IF(N(AI265)&gt;0,", "&amp;AI$2,"")&amp;IF(N(AJ265)&gt;0,", "&amp;AJ$2,""),3,999)</f>
        <v/>
      </c>
      <c r="AM265" s="87" t="str">
        <f aca="false">IF(E265="","",MID(IF(N(Y265)&gt;0,", "&amp;A265&amp;"-"&amp;Y$2,"")&amp;IF(N(Z265)&gt;0,", "&amp;A265&amp;"-"&amp;Z$2,"")&amp;IF(N(AA265)&gt;0,", "&amp;A265&amp;"-"&amp;AA$2,"")&amp;IF(N(AB265)&gt;0,", "&amp;A265&amp;"-"&amp;AB$2,"")&amp;IF(N(AC265)&gt;0,", "&amp;A265&amp;"-"&amp;AC$2,"")&amp;IF(N(AD265)&gt;0,", "&amp;A265&amp;"-"&amp;AD$2,"")&amp;IF(N(AE265)&gt;0,", "&amp;A265&amp;"-"&amp;AE$2,"")&amp;IF(N(AF265)&gt;0,", "&amp;A265&amp;"-"&amp;AF$2,"")&amp;IF(N(AG265)&gt;0,", "&amp;A265&amp;"-"&amp;AG$2,"")&amp;IF(N(AH265)&gt;0,", "&amp;A265&amp;"-"&amp;AH$2,"")&amp;IF(N(AI265)&gt;0,", "&amp;A265&amp;"-"&amp;AI$2,"")&amp;IF(N(AJ265)&gt;0,", "&amp;A265&amp;"-"&amp;AJ$2,""),3,999))</f>
        <v/>
      </c>
      <c r="AN265" s="81"/>
      <c r="AO265" s="88"/>
      <c r="AP265" s="89" t="str">
        <f aca="false">IF(AO265="","",ROUND(AO265/(1+Справочники!$B$13),2))</f>
        <v/>
      </c>
      <c r="AQ265" s="90" t="str">
        <f aca="false" t="array" ref="AQ265:AQ265">IF(AP265="","",AP265*INDEX(Справочники!$B$4:$B$7,MATCH("RUB",Справочники!$A$4:$A$7,0)))</f>
        <v/>
      </c>
      <c r="AR265" s="90" t="str">
        <f aca="false">IF(AQ265="","",ROUND(AQ265*(1+Справочники!$B$12),0))</f>
        <v/>
      </c>
      <c r="AS265" s="90" t="str">
        <f aca="false">IF(AR265="","",ROUND(AR265*(1-Справочники!$B$11),0))</f>
        <v/>
      </c>
      <c r="AT265" s="88"/>
      <c r="AU265" s="90" t="str">
        <f aca="false">IF(AT265="","",ROUND(AT265/(1+Справочники!$B$12),0))</f>
        <v/>
      </c>
      <c r="AV265" s="90" t="str">
        <f aca="false">IF(AT265="","",ROUND(AT265*(1-Справочники!$B$15),0))</f>
        <v/>
      </c>
      <c r="AW265" s="90" t="str">
        <f aca="false">IF(AT265="","",ROUND(AT265*(1-Справочники!$B$16),0))</f>
        <v/>
      </c>
      <c r="AX265" s="90" t="str">
        <f aca="false">IF(AT265="","",ROUND(AT265*(1-Справочники!$B$17),0))</f>
        <v/>
      </c>
      <c r="AY265" s="90" t="str">
        <f aca="false">IF(AT265="","",ROUND(AT265*(1-Справочники!$B$18),0))</f>
        <v/>
      </c>
      <c r="AZ265" s="90" t="str">
        <f aca="false">IF(AT265="","",ROUND(AT265*(1-Справочники!$B$19),0))</f>
        <v/>
      </c>
      <c r="BA265" s="81"/>
      <c r="BB265" s="81"/>
      <c r="BC265" s="81"/>
      <c r="BD265" s="81"/>
      <c r="BE265" s="91"/>
      <c r="BF265" s="81" t="s">
        <v>103</v>
      </c>
      <c r="BG265" s="89" t="n">
        <f aca="false" t="array" ref="BG265:BG265">IF(BF265="","",IFERROR(INDEX(Справочники!$B$4:$B$7,MATCH(BF265,Справочники!$A$4:$A$7,0)),""))</f>
        <v>68.5</v>
      </c>
      <c r="BH265" s="90" t="str">
        <f aca="false">IF(N(BN265)&gt;0,ROUND(SUMIF(ЗАКАЗЫ!$F$3:$F$500,$A265,ЗАКАЗЫ!$Y$3:$Y$500)/BN265,0),IF(OR(BE265="",BG265=""),"",ROUND(BE265*BG265*(1+Справочники!$B$10),0)))</f>
        <v/>
      </c>
      <c r="BI265" s="92" t="str">
        <f aca="false">IF(OR(AU265="",BH265="",AU265=0),"",(AU265-BH265)/AU265)</f>
        <v/>
      </c>
      <c r="BJ265" s="81"/>
      <c r="BK265" s="83"/>
      <c r="BL265" s="43" t="str">
        <f aca="false">IFERROR(INDEX(ЗАКАЗЫ!$N$3:$N$500,MATCH($A265,ЗАКАЗЫ!$F$3:$F$500,0)),"")</f>
        <v/>
      </c>
      <c r="BM265" s="8" t="str">
        <f aca="false">IF(BL265="","",IFERROR(VLOOKUP(BL265,'ТН ВЭД'!$A$4:$C$40,3,0),""))</f>
        <v/>
      </c>
      <c r="BN265" s="7" t="str">
        <f aca="false">IF(COUNTIF(ЗАКАЗЫ!$F$3:$F$500,$A265)=0,"",SUMIF(ЗАКАЗЫ!$F$3:$F$500,$A265,ЗАКАЗЫ!$J$3:$J$500))</f>
        <v/>
      </c>
      <c r="BO265" s="7" t="str">
        <f aca="false">IF(BN265="","",SUMIF(ЗАКАЗЫ!$F$3:$F$500,$A265,ЗАКАЗЫ!$AL$3:$AL$500))</f>
        <v/>
      </c>
      <c r="BP265" s="7" t="str">
        <f aca="false">IF(BN265="","",BN265-BO265)</f>
        <v/>
      </c>
      <c r="BQ265" s="55" t="str">
        <f aca="false">IF(BN265="","",IF(BO265&gt;=BN265,"На складе",IF(BO265&gt;0,"Частично","Ждём")))</f>
        <v/>
      </c>
      <c r="BR265" s="43"/>
      <c r="BS265" s="47" t="str">
        <f aca="false">IF(BN265="","",IF(_xlfn.MAXIFS(ЗАКАЗЫ!$AK$3:$AK$500,ЗАКАЗЫ!$F$3:$F$500,$A265)=0,"",_xlfn.MAXIFS(ЗАКАЗЫ!$AK$3:$AK$500,ЗАКАЗЫ!$F$3:$F$500,$A265)))</f>
        <v/>
      </c>
    </row>
    <row r="266" customFormat="false" ht="15.75" hidden="false" customHeight="true" outlineLevel="0" collapsed="false">
      <c r="A266" s="80" t="s">
        <v>2806</v>
      </c>
      <c r="B266" s="81"/>
      <c r="C266" s="81"/>
      <c r="D266" s="81"/>
      <c r="E266" s="83"/>
      <c r="F266" s="81"/>
      <c r="G266" s="83"/>
      <c r="H266" s="83"/>
      <c r="I266" s="84" t="str">
        <f aca="false">IF(E266="","",A266&amp;"_1.jpg")</f>
        <v/>
      </c>
      <c r="J266" s="84" t="str">
        <f aca="false">IF(E266="","",A266&amp;"_2.jpg; "&amp;A266&amp;"_3.jpg")</f>
        <v/>
      </c>
      <c r="K266" s="84" t="str">
        <f aca="false">IF(E266="","",A266&amp;"_schema.jpg")</f>
        <v/>
      </c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 t="s">
        <v>96</v>
      </c>
      <c r="W266" s="81"/>
      <c r="X266" s="81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6" t="str">
        <f aca="false">IF(SUM(Y266:AJ266)=0,"",SUM(Y266:AJ266))</f>
        <v/>
      </c>
      <c r="AL266" s="84" t="str">
        <f aca="false">MID(IF(N(Y266)&gt;0,", "&amp;Y$2,"")&amp;IF(N(Z266)&gt;0,", "&amp;Z$2,"")&amp;IF(N(AA266)&gt;0,", "&amp;AA$2,"")&amp;IF(N(AB266)&gt;0,", "&amp;AB$2,"")&amp;IF(N(AC266)&gt;0,", "&amp;AC$2,"")&amp;IF(N(AD266)&gt;0,", "&amp;AD$2,"")&amp;IF(N(AE266)&gt;0,", "&amp;AE$2,"")&amp;IF(N(AF266)&gt;0,", "&amp;AF$2,"")&amp;IF(N(AG266)&gt;0,", "&amp;AG$2,"")&amp;IF(N(AH266)&gt;0,", "&amp;AH$2,"")&amp;IF(N(AI266)&gt;0,", "&amp;AI$2,"")&amp;IF(N(AJ266)&gt;0,", "&amp;AJ$2,""),3,999)</f>
        <v/>
      </c>
      <c r="AM266" s="87" t="str">
        <f aca="false">IF(E266="","",MID(IF(N(Y266)&gt;0,", "&amp;A266&amp;"-"&amp;Y$2,"")&amp;IF(N(Z266)&gt;0,", "&amp;A266&amp;"-"&amp;Z$2,"")&amp;IF(N(AA266)&gt;0,", "&amp;A266&amp;"-"&amp;AA$2,"")&amp;IF(N(AB266)&gt;0,", "&amp;A266&amp;"-"&amp;AB$2,"")&amp;IF(N(AC266)&gt;0,", "&amp;A266&amp;"-"&amp;AC$2,"")&amp;IF(N(AD266)&gt;0,", "&amp;A266&amp;"-"&amp;AD$2,"")&amp;IF(N(AE266)&gt;0,", "&amp;A266&amp;"-"&amp;AE$2,"")&amp;IF(N(AF266)&gt;0,", "&amp;A266&amp;"-"&amp;AF$2,"")&amp;IF(N(AG266)&gt;0,", "&amp;A266&amp;"-"&amp;AG$2,"")&amp;IF(N(AH266)&gt;0,", "&amp;A266&amp;"-"&amp;AH$2,"")&amp;IF(N(AI266)&gt;0,", "&amp;A266&amp;"-"&amp;AI$2,"")&amp;IF(N(AJ266)&gt;0,", "&amp;A266&amp;"-"&amp;AJ$2,""),3,999))</f>
        <v/>
      </c>
      <c r="AN266" s="81"/>
      <c r="AO266" s="88"/>
      <c r="AP266" s="89" t="str">
        <f aca="false">IF(AO266="","",ROUND(AO266/(1+Справочники!$B$13),2))</f>
        <v/>
      </c>
      <c r="AQ266" s="90" t="str">
        <f aca="false" t="array" ref="AQ266:AQ266">IF(AP266="","",AP266*INDEX(Справочники!$B$4:$B$7,MATCH("RUB",Справочники!$A$4:$A$7,0)))</f>
        <v/>
      </c>
      <c r="AR266" s="90" t="str">
        <f aca="false">IF(AQ266="","",ROUND(AQ266*(1+Справочники!$B$12),0))</f>
        <v/>
      </c>
      <c r="AS266" s="90" t="str">
        <f aca="false">IF(AR266="","",ROUND(AR266*(1-Справочники!$B$11),0))</f>
        <v/>
      </c>
      <c r="AT266" s="88"/>
      <c r="AU266" s="90" t="str">
        <f aca="false">IF(AT266="","",ROUND(AT266/(1+Справочники!$B$12),0))</f>
        <v/>
      </c>
      <c r="AV266" s="90" t="str">
        <f aca="false">IF(AT266="","",ROUND(AT266*(1-Справочники!$B$15),0))</f>
        <v/>
      </c>
      <c r="AW266" s="90" t="str">
        <f aca="false">IF(AT266="","",ROUND(AT266*(1-Справочники!$B$16),0))</f>
        <v/>
      </c>
      <c r="AX266" s="90" t="str">
        <f aca="false">IF(AT266="","",ROUND(AT266*(1-Справочники!$B$17),0))</f>
        <v/>
      </c>
      <c r="AY266" s="90" t="str">
        <f aca="false">IF(AT266="","",ROUND(AT266*(1-Справочники!$B$18),0))</f>
        <v/>
      </c>
      <c r="AZ266" s="90" t="str">
        <f aca="false">IF(AT266="","",ROUND(AT266*(1-Справочники!$B$19),0))</f>
        <v/>
      </c>
      <c r="BA266" s="81"/>
      <c r="BB266" s="81"/>
      <c r="BC266" s="81"/>
      <c r="BD266" s="81"/>
      <c r="BE266" s="91"/>
      <c r="BF266" s="81" t="s">
        <v>103</v>
      </c>
      <c r="BG266" s="89" t="n">
        <f aca="false" t="array" ref="BG266:BG266">IF(BF266="","",IFERROR(INDEX(Справочники!$B$4:$B$7,MATCH(BF266,Справочники!$A$4:$A$7,0)),""))</f>
        <v>68.5</v>
      </c>
      <c r="BH266" s="90" t="str">
        <f aca="false">IF(N(BN266)&gt;0,ROUND(SUMIF(ЗАКАЗЫ!$F$3:$F$500,$A266,ЗАКАЗЫ!$Y$3:$Y$500)/BN266,0),IF(OR(BE266="",BG266=""),"",ROUND(BE266*BG266*(1+Справочники!$B$10),0)))</f>
        <v/>
      </c>
      <c r="BI266" s="92" t="str">
        <f aca="false">IF(OR(AU266="",BH266="",AU266=0),"",(AU266-BH266)/AU266)</f>
        <v/>
      </c>
      <c r="BJ266" s="81"/>
      <c r="BK266" s="83"/>
      <c r="BL266" s="43" t="str">
        <f aca="false">IFERROR(INDEX(ЗАКАЗЫ!$N$3:$N$500,MATCH($A266,ЗАКАЗЫ!$F$3:$F$500,0)),"")</f>
        <v/>
      </c>
      <c r="BM266" s="8" t="str">
        <f aca="false">IF(BL266="","",IFERROR(VLOOKUP(BL266,'ТН ВЭД'!$A$4:$C$40,3,0),""))</f>
        <v/>
      </c>
      <c r="BN266" s="7" t="str">
        <f aca="false">IF(COUNTIF(ЗАКАЗЫ!$F$3:$F$500,$A266)=0,"",SUMIF(ЗАКАЗЫ!$F$3:$F$500,$A266,ЗАКАЗЫ!$J$3:$J$500))</f>
        <v/>
      </c>
      <c r="BO266" s="7" t="str">
        <f aca="false">IF(BN266="","",SUMIF(ЗАКАЗЫ!$F$3:$F$500,$A266,ЗАКАЗЫ!$AL$3:$AL$500))</f>
        <v/>
      </c>
      <c r="BP266" s="7" t="str">
        <f aca="false">IF(BN266="","",BN266-BO266)</f>
        <v/>
      </c>
      <c r="BQ266" s="55" t="str">
        <f aca="false">IF(BN266="","",IF(BO266&gt;=BN266,"На складе",IF(BO266&gt;0,"Частично","Ждём")))</f>
        <v/>
      </c>
      <c r="BR266" s="43"/>
      <c r="BS266" s="47" t="str">
        <f aca="false">IF(BN266="","",IF(_xlfn.MAXIFS(ЗАКАЗЫ!$AK$3:$AK$500,ЗАКАЗЫ!$F$3:$F$500,$A266)=0,"",_xlfn.MAXIFS(ЗАКАЗЫ!$AK$3:$AK$500,ЗАКАЗЫ!$F$3:$F$500,$A266)))</f>
        <v/>
      </c>
    </row>
    <row r="267" customFormat="false" ht="15.75" hidden="false" customHeight="true" outlineLevel="0" collapsed="false">
      <c r="A267" s="80" t="s">
        <v>2807</v>
      </c>
      <c r="B267" s="81"/>
      <c r="C267" s="81"/>
      <c r="D267" s="81"/>
      <c r="E267" s="83"/>
      <c r="F267" s="81"/>
      <c r="G267" s="83"/>
      <c r="H267" s="83"/>
      <c r="I267" s="84" t="str">
        <f aca="false">IF(E267="","",A267&amp;"_1.jpg")</f>
        <v/>
      </c>
      <c r="J267" s="84" t="str">
        <f aca="false">IF(E267="","",A267&amp;"_2.jpg; "&amp;A267&amp;"_3.jpg")</f>
        <v/>
      </c>
      <c r="K267" s="84" t="str">
        <f aca="false">IF(E267="","",A267&amp;"_schema.jpg")</f>
        <v/>
      </c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 t="s">
        <v>96</v>
      </c>
      <c r="W267" s="81"/>
      <c r="X267" s="81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6" t="str">
        <f aca="false">IF(SUM(Y267:AJ267)=0,"",SUM(Y267:AJ267))</f>
        <v/>
      </c>
      <c r="AL267" s="84" t="str">
        <f aca="false">MID(IF(N(Y267)&gt;0,", "&amp;Y$2,"")&amp;IF(N(Z267)&gt;0,", "&amp;Z$2,"")&amp;IF(N(AA267)&gt;0,", "&amp;AA$2,"")&amp;IF(N(AB267)&gt;0,", "&amp;AB$2,"")&amp;IF(N(AC267)&gt;0,", "&amp;AC$2,"")&amp;IF(N(AD267)&gt;0,", "&amp;AD$2,"")&amp;IF(N(AE267)&gt;0,", "&amp;AE$2,"")&amp;IF(N(AF267)&gt;0,", "&amp;AF$2,"")&amp;IF(N(AG267)&gt;0,", "&amp;AG$2,"")&amp;IF(N(AH267)&gt;0,", "&amp;AH$2,"")&amp;IF(N(AI267)&gt;0,", "&amp;AI$2,"")&amp;IF(N(AJ267)&gt;0,", "&amp;AJ$2,""),3,999)</f>
        <v/>
      </c>
      <c r="AM267" s="87" t="str">
        <f aca="false">IF(E267="","",MID(IF(N(Y267)&gt;0,", "&amp;A267&amp;"-"&amp;Y$2,"")&amp;IF(N(Z267)&gt;0,", "&amp;A267&amp;"-"&amp;Z$2,"")&amp;IF(N(AA267)&gt;0,", "&amp;A267&amp;"-"&amp;AA$2,"")&amp;IF(N(AB267)&gt;0,", "&amp;A267&amp;"-"&amp;AB$2,"")&amp;IF(N(AC267)&gt;0,", "&amp;A267&amp;"-"&amp;AC$2,"")&amp;IF(N(AD267)&gt;0,", "&amp;A267&amp;"-"&amp;AD$2,"")&amp;IF(N(AE267)&gt;0,", "&amp;A267&amp;"-"&amp;AE$2,"")&amp;IF(N(AF267)&gt;0,", "&amp;A267&amp;"-"&amp;AF$2,"")&amp;IF(N(AG267)&gt;0,", "&amp;A267&amp;"-"&amp;AG$2,"")&amp;IF(N(AH267)&gt;0,", "&amp;A267&amp;"-"&amp;AH$2,"")&amp;IF(N(AI267)&gt;0,", "&amp;A267&amp;"-"&amp;AI$2,"")&amp;IF(N(AJ267)&gt;0,", "&amp;A267&amp;"-"&amp;AJ$2,""),3,999))</f>
        <v/>
      </c>
      <c r="AN267" s="81"/>
      <c r="AO267" s="88"/>
      <c r="AP267" s="89" t="str">
        <f aca="false">IF(AO267="","",ROUND(AO267/(1+Справочники!$B$13),2))</f>
        <v/>
      </c>
      <c r="AQ267" s="90" t="str">
        <f aca="false" t="array" ref="AQ267:AQ267">IF(AP267="","",AP267*INDEX(Справочники!$B$4:$B$7,MATCH("RUB",Справочники!$A$4:$A$7,0)))</f>
        <v/>
      </c>
      <c r="AR267" s="90" t="str">
        <f aca="false">IF(AQ267="","",ROUND(AQ267*(1+Справочники!$B$12),0))</f>
        <v/>
      </c>
      <c r="AS267" s="90" t="str">
        <f aca="false">IF(AR267="","",ROUND(AR267*(1-Справочники!$B$11),0))</f>
        <v/>
      </c>
      <c r="AT267" s="88"/>
      <c r="AU267" s="90" t="str">
        <f aca="false">IF(AT267="","",ROUND(AT267/(1+Справочники!$B$12),0))</f>
        <v/>
      </c>
      <c r="AV267" s="90" t="str">
        <f aca="false">IF(AT267="","",ROUND(AT267*(1-Справочники!$B$15),0))</f>
        <v/>
      </c>
      <c r="AW267" s="90" t="str">
        <f aca="false">IF(AT267="","",ROUND(AT267*(1-Справочники!$B$16),0))</f>
        <v/>
      </c>
      <c r="AX267" s="90" t="str">
        <f aca="false">IF(AT267="","",ROUND(AT267*(1-Справочники!$B$17),0))</f>
        <v/>
      </c>
      <c r="AY267" s="90" t="str">
        <f aca="false">IF(AT267="","",ROUND(AT267*(1-Справочники!$B$18),0))</f>
        <v/>
      </c>
      <c r="AZ267" s="90" t="str">
        <f aca="false">IF(AT267="","",ROUND(AT267*(1-Справочники!$B$19),0))</f>
        <v/>
      </c>
      <c r="BA267" s="81"/>
      <c r="BB267" s="81"/>
      <c r="BC267" s="81"/>
      <c r="BD267" s="81"/>
      <c r="BE267" s="91"/>
      <c r="BF267" s="81" t="s">
        <v>103</v>
      </c>
      <c r="BG267" s="89" t="n">
        <f aca="false" t="array" ref="BG267:BG267">IF(BF267="","",IFERROR(INDEX(Справочники!$B$4:$B$7,MATCH(BF267,Справочники!$A$4:$A$7,0)),""))</f>
        <v>68.5</v>
      </c>
      <c r="BH267" s="90" t="str">
        <f aca="false">IF(N(BN267)&gt;0,ROUND(SUMIF(ЗАКАЗЫ!$F$3:$F$500,$A267,ЗАКАЗЫ!$Y$3:$Y$500)/BN267,0),IF(OR(BE267="",BG267=""),"",ROUND(BE267*BG267*(1+Справочники!$B$10),0)))</f>
        <v/>
      </c>
      <c r="BI267" s="92" t="str">
        <f aca="false">IF(OR(AU267="",BH267="",AU267=0),"",(AU267-BH267)/AU267)</f>
        <v/>
      </c>
      <c r="BJ267" s="81"/>
      <c r="BK267" s="83"/>
      <c r="BL267" s="43" t="str">
        <f aca="false">IFERROR(INDEX(ЗАКАЗЫ!$N$3:$N$500,MATCH($A267,ЗАКАЗЫ!$F$3:$F$500,0)),"")</f>
        <v/>
      </c>
      <c r="BM267" s="8" t="str">
        <f aca="false">IF(BL267="","",IFERROR(VLOOKUP(BL267,'ТН ВЭД'!$A$4:$C$40,3,0),""))</f>
        <v/>
      </c>
      <c r="BN267" s="7" t="str">
        <f aca="false">IF(COUNTIF(ЗАКАЗЫ!$F$3:$F$500,$A267)=0,"",SUMIF(ЗАКАЗЫ!$F$3:$F$500,$A267,ЗАКАЗЫ!$J$3:$J$500))</f>
        <v/>
      </c>
      <c r="BO267" s="7" t="str">
        <f aca="false">IF(BN267="","",SUMIF(ЗАКАЗЫ!$F$3:$F$500,$A267,ЗАКАЗЫ!$AL$3:$AL$500))</f>
        <v/>
      </c>
      <c r="BP267" s="7" t="str">
        <f aca="false">IF(BN267="","",BN267-BO267)</f>
        <v/>
      </c>
      <c r="BQ267" s="55" t="str">
        <f aca="false">IF(BN267="","",IF(BO267&gt;=BN267,"На складе",IF(BO267&gt;0,"Частично","Ждём")))</f>
        <v/>
      </c>
      <c r="BR267" s="43"/>
      <c r="BS267" s="47" t="str">
        <f aca="false">IF(BN267="","",IF(_xlfn.MAXIFS(ЗАКАЗЫ!$AK$3:$AK$500,ЗАКАЗЫ!$F$3:$F$500,$A267)=0,"",_xlfn.MAXIFS(ЗАКАЗЫ!$AK$3:$AK$500,ЗАКАЗЫ!$F$3:$F$500,$A267)))</f>
        <v/>
      </c>
    </row>
    <row r="268" customFormat="false" ht="15.75" hidden="false" customHeight="true" outlineLevel="0" collapsed="false">
      <c r="A268" s="80" t="s">
        <v>2808</v>
      </c>
      <c r="B268" s="81"/>
      <c r="C268" s="81"/>
      <c r="D268" s="81"/>
      <c r="E268" s="83"/>
      <c r="F268" s="81"/>
      <c r="G268" s="83"/>
      <c r="H268" s="83"/>
      <c r="I268" s="84" t="str">
        <f aca="false">IF(E268="","",A268&amp;"_1.jpg")</f>
        <v/>
      </c>
      <c r="J268" s="84" t="str">
        <f aca="false">IF(E268="","",A268&amp;"_2.jpg; "&amp;A268&amp;"_3.jpg")</f>
        <v/>
      </c>
      <c r="K268" s="84" t="str">
        <f aca="false">IF(E268="","",A268&amp;"_schema.jpg")</f>
        <v/>
      </c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 t="s">
        <v>96</v>
      </c>
      <c r="W268" s="81"/>
      <c r="X268" s="81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6" t="str">
        <f aca="false">IF(SUM(Y268:AJ268)=0,"",SUM(Y268:AJ268))</f>
        <v/>
      </c>
      <c r="AL268" s="84" t="str">
        <f aca="false">MID(IF(N(Y268)&gt;0,", "&amp;Y$2,"")&amp;IF(N(Z268)&gt;0,", "&amp;Z$2,"")&amp;IF(N(AA268)&gt;0,", "&amp;AA$2,"")&amp;IF(N(AB268)&gt;0,", "&amp;AB$2,"")&amp;IF(N(AC268)&gt;0,", "&amp;AC$2,"")&amp;IF(N(AD268)&gt;0,", "&amp;AD$2,"")&amp;IF(N(AE268)&gt;0,", "&amp;AE$2,"")&amp;IF(N(AF268)&gt;0,", "&amp;AF$2,"")&amp;IF(N(AG268)&gt;0,", "&amp;AG$2,"")&amp;IF(N(AH268)&gt;0,", "&amp;AH$2,"")&amp;IF(N(AI268)&gt;0,", "&amp;AI$2,"")&amp;IF(N(AJ268)&gt;0,", "&amp;AJ$2,""),3,999)</f>
        <v/>
      </c>
      <c r="AM268" s="87" t="str">
        <f aca="false">IF(E268="","",MID(IF(N(Y268)&gt;0,", "&amp;A268&amp;"-"&amp;Y$2,"")&amp;IF(N(Z268)&gt;0,", "&amp;A268&amp;"-"&amp;Z$2,"")&amp;IF(N(AA268)&gt;0,", "&amp;A268&amp;"-"&amp;AA$2,"")&amp;IF(N(AB268)&gt;0,", "&amp;A268&amp;"-"&amp;AB$2,"")&amp;IF(N(AC268)&gt;0,", "&amp;A268&amp;"-"&amp;AC$2,"")&amp;IF(N(AD268)&gt;0,", "&amp;A268&amp;"-"&amp;AD$2,"")&amp;IF(N(AE268)&gt;0,", "&amp;A268&amp;"-"&amp;AE$2,"")&amp;IF(N(AF268)&gt;0,", "&amp;A268&amp;"-"&amp;AF$2,"")&amp;IF(N(AG268)&gt;0,", "&amp;A268&amp;"-"&amp;AG$2,"")&amp;IF(N(AH268)&gt;0,", "&amp;A268&amp;"-"&amp;AH$2,"")&amp;IF(N(AI268)&gt;0,", "&amp;A268&amp;"-"&amp;AI$2,"")&amp;IF(N(AJ268)&gt;0,", "&amp;A268&amp;"-"&amp;AJ$2,""),3,999))</f>
        <v/>
      </c>
      <c r="AN268" s="81"/>
      <c r="AO268" s="88"/>
      <c r="AP268" s="89" t="str">
        <f aca="false">IF(AO268="","",ROUND(AO268/(1+Справочники!$B$13),2))</f>
        <v/>
      </c>
      <c r="AQ268" s="90" t="str">
        <f aca="false" t="array" ref="AQ268:AQ268">IF(AP268="","",AP268*INDEX(Справочники!$B$4:$B$7,MATCH("RUB",Справочники!$A$4:$A$7,0)))</f>
        <v/>
      </c>
      <c r="AR268" s="90" t="str">
        <f aca="false">IF(AQ268="","",ROUND(AQ268*(1+Справочники!$B$12),0))</f>
        <v/>
      </c>
      <c r="AS268" s="90" t="str">
        <f aca="false">IF(AR268="","",ROUND(AR268*(1-Справочники!$B$11),0))</f>
        <v/>
      </c>
      <c r="AT268" s="88"/>
      <c r="AU268" s="90" t="str">
        <f aca="false">IF(AT268="","",ROUND(AT268/(1+Справочники!$B$12),0))</f>
        <v/>
      </c>
      <c r="AV268" s="90" t="str">
        <f aca="false">IF(AT268="","",ROUND(AT268*(1-Справочники!$B$15),0))</f>
        <v/>
      </c>
      <c r="AW268" s="90" t="str">
        <f aca="false">IF(AT268="","",ROUND(AT268*(1-Справочники!$B$16),0))</f>
        <v/>
      </c>
      <c r="AX268" s="90" t="str">
        <f aca="false">IF(AT268="","",ROUND(AT268*(1-Справочники!$B$17),0))</f>
        <v/>
      </c>
      <c r="AY268" s="90" t="str">
        <f aca="false">IF(AT268="","",ROUND(AT268*(1-Справочники!$B$18),0))</f>
        <v/>
      </c>
      <c r="AZ268" s="90" t="str">
        <f aca="false">IF(AT268="","",ROUND(AT268*(1-Справочники!$B$19),0))</f>
        <v/>
      </c>
      <c r="BA268" s="81"/>
      <c r="BB268" s="81"/>
      <c r="BC268" s="81"/>
      <c r="BD268" s="81"/>
      <c r="BE268" s="91"/>
      <c r="BF268" s="81" t="s">
        <v>103</v>
      </c>
      <c r="BG268" s="89" t="n">
        <f aca="false" t="array" ref="BG268:BG268">IF(BF268="","",IFERROR(INDEX(Справочники!$B$4:$B$7,MATCH(BF268,Справочники!$A$4:$A$7,0)),""))</f>
        <v>68.5</v>
      </c>
      <c r="BH268" s="90" t="str">
        <f aca="false">IF(N(BN268)&gt;0,ROUND(SUMIF(ЗАКАЗЫ!$F$3:$F$500,$A268,ЗАКАЗЫ!$Y$3:$Y$500)/BN268,0),IF(OR(BE268="",BG268=""),"",ROUND(BE268*BG268*(1+Справочники!$B$10),0)))</f>
        <v/>
      </c>
      <c r="BI268" s="92" t="str">
        <f aca="false">IF(OR(AU268="",BH268="",AU268=0),"",(AU268-BH268)/AU268)</f>
        <v/>
      </c>
      <c r="BJ268" s="81"/>
      <c r="BK268" s="83"/>
      <c r="BL268" s="43" t="str">
        <f aca="false">IFERROR(INDEX(ЗАКАЗЫ!$N$3:$N$500,MATCH($A268,ЗАКАЗЫ!$F$3:$F$500,0)),"")</f>
        <v/>
      </c>
      <c r="BM268" s="8" t="str">
        <f aca="false">IF(BL268="","",IFERROR(VLOOKUP(BL268,'ТН ВЭД'!$A$4:$C$40,3,0),""))</f>
        <v/>
      </c>
      <c r="BN268" s="7" t="str">
        <f aca="false">IF(COUNTIF(ЗАКАЗЫ!$F$3:$F$500,$A268)=0,"",SUMIF(ЗАКАЗЫ!$F$3:$F$500,$A268,ЗАКАЗЫ!$J$3:$J$500))</f>
        <v/>
      </c>
      <c r="BO268" s="7" t="str">
        <f aca="false">IF(BN268="","",SUMIF(ЗАКАЗЫ!$F$3:$F$500,$A268,ЗАКАЗЫ!$AL$3:$AL$500))</f>
        <v/>
      </c>
      <c r="BP268" s="7" t="str">
        <f aca="false">IF(BN268="","",BN268-BO268)</f>
        <v/>
      </c>
      <c r="BQ268" s="55" t="str">
        <f aca="false">IF(BN268="","",IF(BO268&gt;=BN268,"На складе",IF(BO268&gt;0,"Частично","Ждём")))</f>
        <v/>
      </c>
      <c r="BR268" s="43"/>
      <c r="BS268" s="47" t="str">
        <f aca="false">IF(BN268="","",IF(_xlfn.MAXIFS(ЗАКАЗЫ!$AK$3:$AK$500,ЗАКАЗЫ!$F$3:$F$500,$A268)=0,"",_xlfn.MAXIFS(ЗАКАЗЫ!$AK$3:$AK$500,ЗАКАЗЫ!$F$3:$F$500,$A268)))</f>
        <v/>
      </c>
    </row>
    <row r="269" customFormat="false" ht="15.75" hidden="false" customHeight="true" outlineLevel="0" collapsed="false">
      <c r="A269" s="80" t="s">
        <v>2809</v>
      </c>
      <c r="B269" s="81"/>
      <c r="C269" s="81"/>
      <c r="D269" s="81"/>
      <c r="E269" s="83"/>
      <c r="F269" s="81"/>
      <c r="G269" s="83"/>
      <c r="H269" s="83"/>
      <c r="I269" s="84" t="str">
        <f aca="false">IF(E269="","",A269&amp;"_1.jpg")</f>
        <v/>
      </c>
      <c r="J269" s="84" t="str">
        <f aca="false">IF(E269="","",A269&amp;"_2.jpg; "&amp;A269&amp;"_3.jpg")</f>
        <v/>
      </c>
      <c r="K269" s="84" t="str">
        <f aca="false">IF(E269="","",A269&amp;"_schema.jpg")</f>
        <v/>
      </c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 t="s">
        <v>96</v>
      </c>
      <c r="W269" s="81"/>
      <c r="X269" s="81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6" t="str">
        <f aca="false">IF(SUM(Y269:AJ269)=0,"",SUM(Y269:AJ269))</f>
        <v/>
      </c>
      <c r="AL269" s="84" t="str">
        <f aca="false">MID(IF(N(Y269)&gt;0,", "&amp;Y$2,"")&amp;IF(N(Z269)&gt;0,", "&amp;Z$2,"")&amp;IF(N(AA269)&gt;0,", "&amp;AA$2,"")&amp;IF(N(AB269)&gt;0,", "&amp;AB$2,"")&amp;IF(N(AC269)&gt;0,", "&amp;AC$2,"")&amp;IF(N(AD269)&gt;0,", "&amp;AD$2,"")&amp;IF(N(AE269)&gt;0,", "&amp;AE$2,"")&amp;IF(N(AF269)&gt;0,", "&amp;AF$2,"")&amp;IF(N(AG269)&gt;0,", "&amp;AG$2,"")&amp;IF(N(AH269)&gt;0,", "&amp;AH$2,"")&amp;IF(N(AI269)&gt;0,", "&amp;AI$2,"")&amp;IF(N(AJ269)&gt;0,", "&amp;AJ$2,""),3,999)</f>
        <v/>
      </c>
      <c r="AM269" s="87" t="str">
        <f aca="false">IF(E269="","",MID(IF(N(Y269)&gt;0,", "&amp;A269&amp;"-"&amp;Y$2,"")&amp;IF(N(Z269)&gt;0,", "&amp;A269&amp;"-"&amp;Z$2,"")&amp;IF(N(AA269)&gt;0,", "&amp;A269&amp;"-"&amp;AA$2,"")&amp;IF(N(AB269)&gt;0,", "&amp;A269&amp;"-"&amp;AB$2,"")&amp;IF(N(AC269)&gt;0,", "&amp;A269&amp;"-"&amp;AC$2,"")&amp;IF(N(AD269)&gt;0,", "&amp;A269&amp;"-"&amp;AD$2,"")&amp;IF(N(AE269)&gt;0,", "&amp;A269&amp;"-"&amp;AE$2,"")&amp;IF(N(AF269)&gt;0,", "&amp;A269&amp;"-"&amp;AF$2,"")&amp;IF(N(AG269)&gt;0,", "&amp;A269&amp;"-"&amp;AG$2,"")&amp;IF(N(AH269)&gt;0,", "&amp;A269&amp;"-"&amp;AH$2,"")&amp;IF(N(AI269)&gt;0,", "&amp;A269&amp;"-"&amp;AI$2,"")&amp;IF(N(AJ269)&gt;0,", "&amp;A269&amp;"-"&amp;AJ$2,""),3,999))</f>
        <v/>
      </c>
      <c r="AN269" s="81"/>
      <c r="AO269" s="88"/>
      <c r="AP269" s="89" t="str">
        <f aca="false">IF(AO269="","",ROUND(AO269/(1+Справочники!$B$13),2))</f>
        <v/>
      </c>
      <c r="AQ269" s="90" t="str">
        <f aca="false" t="array" ref="AQ269:AQ269">IF(AP269="","",AP269*INDEX(Справочники!$B$4:$B$7,MATCH("RUB",Справочники!$A$4:$A$7,0)))</f>
        <v/>
      </c>
      <c r="AR269" s="90" t="str">
        <f aca="false">IF(AQ269="","",ROUND(AQ269*(1+Справочники!$B$12),0))</f>
        <v/>
      </c>
      <c r="AS269" s="90" t="str">
        <f aca="false">IF(AR269="","",ROUND(AR269*(1-Справочники!$B$11),0))</f>
        <v/>
      </c>
      <c r="AT269" s="88"/>
      <c r="AU269" s="90" t="str">
        <f aca="false">IF(AT269="","",ROUND(AT269/(1+Справочники!$B$12),0))</f>
        <v/>
      </c>
      <c r="AV269" s="90" t="str">
        <f aca="false">IF(AT269="","",ROUND(AT269*(1-Справочники!$B$15),0))</f>
        <v/>
      </c>
      <c r="AW269" s="90" t="str">
        <f aca="false">IF(AT269="","",ROUND(AT269*(1-Справочники!$B$16),0))</f>
        <v/>
      </c>
      <c r="AX269" s="90" t="str">
        <f aca="false">IF(AT269="","",ROUND(AT269*(1-Справочники!$B$17),0))</f>
        <v/>
      </c>
      <c r="AY269" s="90" t="str">
        <f aca="false">IF(AT269="","",ROUND(AT269*(1-Справочники!$B$18),0))</f>
        <v/>
      </c>
      <c r="AZ269" s="90" t="str">
        <f aca="false">IF(AT269="","",ROUND(AT269*(1-Справочники!$B$19),0))</f>
        <v/>
      </c>
      <c r="BA269" s="81"/>
      <c r="BB269" s="81"/>
      <c r="BC269" s="81"/>
      <c r="BD269" s="81"/>
      <c r="BE269" s="91"/>
      <c r="BF269" s="81" t="s">
        <v>103</v>
      </c>
      <c r="BG269" s="89" t="n">
        <f aca="false" t="array" ref="BG269:BG269">IF(BF269="","",IFERROR(INDEX(Справочники!$B$4:$B$7,MATCH(BF269,Справочники!$A$4:$A$7,0)),""))</f>
        <v>68.5</v>
      </c>
      <c r="BH269" s="90" t="str">
        <f aca="false">IF(N(BN269)&gt;0,ROUND(SUMIF(ЗАКАЗЫ!$F$3:$F$500,$A269,ЗАКАЗЫ!$Y$3:$Y$500)/BN269,0),IF(OR(BE269="",BG269=""),"",ROUND(BE269*BG269*(1+Справочники!$B$10),0)))</f>
        <v/>
      </c>
      <c r="BI269" s="92" t="str">
        <f aca="false">IF(OR(AU269="",BH269="",AU269=0),"",(AU269-BH269)/AU269)</f>
        <v/>
      </c>
      <c r="BJ269" s="81"/>
      <c r="BK269" s="83"/>
      <c r="BL269" s="43" t="str">
        <f aca="false">IFERROR(INDEX(ЗАКАЗЫ!$N$3:$N$500,MATCH($A269,ЗАКАЗЫ!$F$3:$F$500,0)),"")</f>
        <v/>
      </c>
      <c r="BM269" s="8" t="str">
        <f aca="false">IF(BL269="","",IFERROR(VLOOKUP(BL269,'ТН ВЭД'!$A$4:$C$40,3,0),""))</f>
        <v/>
      </c>
      <c r="BN269" s="7" t="str">
        <f aca="false">IF(COUNTIF(ЗАКАЗЫ!$F$3:$F$500,$A269)=0,"",SUMIF(ЗАКАЗЫ!$F$3:$F$500,$A269,ЗАКАЗЫ!$J$3:$J$500))</f>
        <v/>
      </c>
      <c r="BO269" s="7" t="str">
        <f aca="false">IF(BN269="","",SUMIF(ЗАКАЗЫ!$F$3:$F$500,$A269,ЗАКАЗЫ!$AL$3:$AL$500))</f>
        <v/>
      </c>
      <c r="BP269" s="7" t="str">
        <f aca="false">IF(BN269="","",BN269-BO269)</f>
        <v/>
      </c>
      <c r="BQ269" s="55" t="str">
        <f aca="false">IF(BN269="","",IF(BO269&gt;=BN269,"На складе",IF(BO269&gt;0,"Частично","Ждём")))</f>
        <v/>
      </c>
      <c r="BR269" s="43"/>
      <c r="BS269" s="47" t="str">
        <f aca="false">IF(BN269="","",IF(_xlfn.MAXIFS(ЗАКАЗЫ!$AK$3:$AK$500,ЗАКАЗЫ!$F$3:$F$500,$A269)=0,"",_xlfn.MAXIFS(ЗАКАЗЫ!$AK$3:$AK$500,ЗАКАЗЫ!$F$3:$F$500,$A269)))</f>
        <v/>
      </c>
    </row>
    <row r="270" customFormat="false" ht="15.75" hidden="false" customHeight="true" outlineLevel="0" collapsed="false">
      <c r="A270" s="80" t="s">
        <v>2810</v>
      </c>
      <c r="B270" s="81"/>
      <c r="C270" s="81"/>
      <c r="D270" s="81"/>
      <c r="E270" s="83"/>
      <c r="F270" s="81"/>
      <c r="G270" s="83"/>
      <c r="H270" s="83"/>
      <c r="I270" s="84" t="str">
        <f aca="false">IF(E270="","",A270&amp;"_1.jpg")</f>
        <v/>
      </c>
      <c r="J270" s="84" t="str">
        <f aca="false">IF(E270="","",A270&amp;"_2.jpg; "&amp;A270&amp;"_3.jpg")</f>
        <v/>
      </c>
      <c r="K270" s="84" t="str">
        <f aca="false">IF(E270="","",A270&amp;"_schema.jpg")</f>
        <v/>
      </c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 t="s">
        <v>96</v>
      </c>
      <c r="W270" s="81"/>
      <c r="X270" s="81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6" t="str">
        <f aca="false">IF(SUM(Y270:AJ270)=0,"",SUM(Y270:AJ270))</f>
        <v/>
      </c>
      <c r="AL270" s="84" t="str">
        <f aca="false">MID(IF(N(Y270)&gt;0,", "&amp;Y$2,"")&amp;IF(N(Z270)&gt;0,", "&amp;Z$2,"")&amp;IF(N(AA270)&gt;0,", "&amp;AA$2,"")&amp;IF(N(AB270)&gt;0,", "&amp;AB$2,"")&amp;IF(N(AC270)&gt;0,", "&amp;AC$2,"")&amp;IF(N(AD270)&gt;0,", "&amp;AD$2,"")&amp;IF(N(AE270)&gt;0,", "&amp;AE$2,"")&amp;IF(N(AF270)&gt;0,", "&amp;AF$2,"")&amp;IF(N(AG270)&gt;0,", "&amp;AG$2,"")&amp;IF(N(AH270)&gt;0,", "&amp;AH$2,"")&amp;IF(N(AI270)&gt;0,", "&amp;AI$2,"")&amp;IF(N(AJ270)&gt;0,", "&amp;AJ$2,""),3,999)</f>
        <v/>
      </c>
      <c r="AM270" s="87" t="str">
        <f aca="false">IF(E270="","",MID(IF(N(Y270)&gt;0,", "&amp;A270&amp;"-"&amp;Y$2,"")&amp;IF(N(Z270)&gt;0,", "&amp;A270&amp;"-"&amp;Z$2,"")&amp;IF(N(AA270)&gt;0,", "&amp;A270&amp;"-"&amp;AA$2,"")&amp;IF(N(AB270)&gt;0,", "&amp;A270&amp;"-"&amp;AB$2,"")&amp;IF(N(AC270)&gt;0,", "&amp;A270&amp;"-"&amp;AC$2,"")&amp;IF(N(AD270)&gt;0,", "&amp;A270&amp;"-"&amp;AD$2,"")&amp;IF(N(AE270)&gt;0,", "&amp;A270&amp;"-"&amp;AE$2,"")&amp;IF(N(AF270)&gt;0,", "&amp;A270&amp;"-"&amp;AF$2,"")&amp;IF(N(AG270)&gt;0,", "&amp;A270&amp;"-"&amp;AG$2,"")&amp;IF(N(AH270)&gt;0,", "&amp;A270&amp;"-"&amp;AH$2,"")&amp;IF(N(AI270)&gt;0,", "&amp;A270&amp;"-"&amp;AI$2,"")&amp;IF(N(AJ270)&gt;0,", "&amp;A270&amp;"-"&amp;AJ$2,""),3,999))</f>
        <v/>
      </c>
      <c r="AN270" s="81"/>
      <c r="AO270" s="88"/>
      <c r="AP270" s="89" t="str">
        <f aca="false">IF(AO270="","",ROUND(AO270/(1+Справочники!$B$13),2))</f>
        <v/>
      </c>
      <c r="AQ270" s="90" t="str">
        <f aca="false" t="array" ref="AQ270:AQ270">IF(AP270="","",AP270*INDEX(Справочники!$B$4:$B$7,MATCH("RUB",Справочники!$A$4:$A$7,0)))</f>
        <v/>
      </c>
      <c r="AR270" s="90" t="str">
        <f aca="false">IF(AQ270="","",ROUND(AQ270*(1+Справочники!$B$12),0))</f>
        <v/>
      </c>
      <c r="AS270" s="90" t="str">
        <f aca="false">IF(AR270="","",ROUND(AR270*(1-Справочники!$B$11),0))</f>
        <v/>
      </c>
      <c r="AT270" s="88"/>
      <c r="AU270" s="90" t="str">
        <f aca="false">IF(AT270="","",ROUND(AT270/(1+Справочники!$B$12),0))</f>
        <v/>
      </c>
      <c r="AV270" s="90" t="str">
        <f aca="false">IF(AT270="","",ROUND(AT270*(1-Справочники!$B$15),0))</f>
        <v/>
      </c>
      <c r="AW270" s="90" t="str">
        <f aca="false">IF(AT270="","",ROUND(AT270*(1-Справочники!$B$16),0))</f>
        <v/>
      </c>
      <c r="AX270" s="90" t="str">
        <f aca="false">IF(AT270="","",ROUND(AT270*(1-Справочники!$B$17),0))</f>
        <v/>
      </c>
      <c r="AY270" s="90" t="str">
        <f aca="false">IF(AT270="","",ROUND(AT270*(1-Справочники!$B$18),0))</f>
        <v/>
      </c>
      <c r="AZ270" s="90" t="str">
        <f aca="false">IF(AT270="","",ROUND(AT270*(1-Справочники!$B$19),0))</f>
        <v/>
      </c>
      <c r="BA270" s="81"/>
      <c r="BB270" s="81"/>
      <c r="BC270" s="81"/>
      <c r="BD270" s="81"/>
      <c r="BE270" s="91"/>
      <c r="BF270" s="81" t="s">
        <v>103</v>
      </c>
      <c r="BG270" s="89" t="n">
        <f aca="false" t="array" ref="BG270:BG270">IF(BF270="","",IFERROR(INDEX(Справочники!$B$4:$B$7,MATCH(BF270,Справочники!$A$4:$A$7,0)),""))</f>
        <v>68.5</v>
      </c>
      <c r="BH270" s="90" t="str">
        <f aca="false">IF(N(BN270)&gt;0,ROUND(SUMIF(ЗАКАЗЫ!$F$3:$F$500,$A270,ЗАКАЗЫ!$Y$3:$Y$500)/BN270,0),IF(OR(BE270="",BG270=""),"",ROUND(BE270*BG270*(1+Справочники!$B$10),0)))</f>
        <v/>
      </c>
      <c r="BI270" s="92" t="str">
        <f aca="false">IF(OR(AU270="",BH270="",AU270=0),"",(AU270-BH270)/AU270)</f>
        <v/>
      </c>
      <c r="BJ270" s="81"/>
      <c r="BK270" s="83"/>
      <c r="BL270" s="43" t="str">
        <f aca="false">IFERROR(INDEX(ЗАКАЗЫ!$N$3:$N$500,MATCH($A270,ЗАКАЗЫ!$F$3:$F$500,0)),"")</f>
        <v/>
      </c>
      <c r="BM270" s="8" t="str">
        <f aca="false">IF(BL270="","",IFERROR(VLOOKUP(BL270,'ТН ВЭД'!$A$4:$C$40,3,0),""))</f>
        <v/>
      </c>
      <c r="BN270" s="7" t="str">
        <f aca="false">IF(COUNTIF(ЗАКАЗЫ!$F$3:$F$500,$A270)=0,"",SUMIF(ЗАКАЗЫ!$F$3:$F$500,$A270,ЗАКАЗЫ!$J$3:$J$500))</f>
        <v/>
      </c>
      <c r="BO270" s="7" t="str">
        <f aca="false">IF(BN270="","",SUMIF(ЗАКАЗЫ!$F$3:$F$500,$A270,ЗАКАЗЫ!$AL$3:$AL$500))</f>
        <v/>
      </c>
      <c r="BP270" s="7" t="str">
        <f aca="false">IF(BN270="","",BN270-BO270)</f>
        <v/>
      </c>
      <c r="BQ270" s="55" t="str">
        <f aca="false">IF(BN270="","",IF(BO270&gt;=BN270,"На складе",IF(BO270&gt;0,"Частично","Ждём")))</f>
        <v/>
      </c>
      <c r="BR270" s="43"/>
      <c r="BS270" s="47" t="str">
        <f aca="false">IF(BN270="","",IF(_xlfn.MAXIFS(ЗАКАЗЫ!$AK$3:$AK$500,ЗАКАЗЫ!$F$3:$F$500,$A270)=0,"",_xlfn.MAXIFS(ЗАКАЗЫ!$AK$3:$AK$500,ЗАКАЗЫ!$F$3:$F$500,$A270)))</f>
        <v/>
      </c>
    </row>
    <row r="271" customFormat="false" ht="15.75" hidden="false" customHeight="true" outlineLevel="0" collapsed="false">
      <c r="A271" s="80" t="s">
        <v>2811</v>
      </c>
      <c r="B271" s="81"/>
      <c r="C271" s="81"/>
      <c r="D271" s="81"/>
      <c r="E271" s="83"/>
      <c r="F271" s="81"/>
      <c r="G271" s="83"/>
      <c r="H271" s="83"/>
      <c r="I271" s="84" t="str">
        <f aca="false">IF(E271="","",A271&amp;"_1.jpg")</f>
        <v/>
      </c>
      <c r="J271" s="84" t="str">
        <f aca="false">IF(E271="","",A271&amp;"_2.jpg; "&amp;A271&amp;"_3.jpg")</f>
        <v/>
      </c>
      <c r="K271" s="84" t="str">
        <f aca="false">IF(E271="","",A271&amp;"_schema.jpg")</f>
        <v/>
      </c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 t="s">
        <v>96</v>
      </c>
      <c r="W271" s="81"/>
      <c r="X271" s="81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6" t="str">
        <f aca="false">IF(SUM(Y271:AJ271)=0,"",SUM(Y271:AJ271))</f>
        <v/>
      </c>
      <c r="AL271" s="84" t="str">
        <f aca="false">MID(IF(N(Y271)&gt;0,", "&amp;Y$2,"")&amp;IF(N(Z271)&gt;0,", "&amp;Z$2,"")&amp;IF(N(AA271)&gt;0,", "&amp;AA$2,"")&amp;IF(N(AB271)&gt;0,", "&amp;AB$2,"")&amp;IF(N(AC271)&gt;0,", "&amp;AC$2,"")&amp;IF(N(AD271)&gt;0,", "&amp;AD$2,"")&amp;IF(N(AE271)&gt;0,", "&amp;AE$2,"")&amp;IF(N(AF271)&gt;0,", "&amp;AF$2,"")&amp;IF(N(AG271)&gt;0,", "&amp;AG$2,"")&amp;IF(N(AH271)&gt;0,", "&amp;AH$2,"")&amp;IF(N(AI271)&gt;0,", "&amp;AI$2,"")&amp;IF(N(AJ271)&gt;0,", "&amp;AJ$2,""),3,999)</f>
        <v/>
      </c>
      <c r="AM271" s="87" t="str">
        <f aca="false">IF(E271="","",MID(IF(N(Y271)&gt;0,", "&amp;A271&amp;"-"&amp;Y$2,"")&amp;IF(N(Z271)&gt;0,", "&amp;A271&amp;"-"&amp;Z$2,"")&amp;IF(N(AA271)&gt;0,", "&amp;A271&amp;"-"&amp;AA$2,"")&amp;IF(N(AB271)&gt;0,", "&amp;A271&amp;"-"&amp;AB$2,"")&amp;IF(N(AC271)&gt;0,", "&amp;A271&amp;"-"&amp;AC$2,"")&amp;IF(N(AD271)&gt;0,", "&amp;A271&amp;"-"&amp;AD$2,"")&amp;IF(N(AE271)&gt;0,", "&amp;A271&amp;"-"&amp;AE$2,"")&amp;IF(N(AF271)&gt;0,", "&amp;A271&amp;"-"&amp;AF$2,"")&amp;IF(N(AG271)&gt;0,", "&amp;A271&amp;"-"&amp;AG$2,"")&amp;IF(N(AH271)&gt;0,", "&amp;A271&amp;"-"&amp;AH$2,"")&amp;IF(N(AI271)&gt;0,", "&amp;A271&amp;"-"&amp;AI$2,"")&amp;IF(N(AJ271)&gt;0,", "&amp;A271&amp;"-"&amp;AJ$2,""),3,999))</f>
        <v/>
      </c>
      <c r="AN271" s="81"/>
      <c r="AO271" s="88"/>
      <c r="AP271" s="89" t="str">
        <f aca="false">IF(AO271="","",ROUND(AO271/(1+Справочники!$B$13),2))</f>
        <v/>
      </c>
      <c r="AQ271" s="90" t="str">
        <f aca="false" t="array" ref="AQ271:AQ271">IF(AP271="","",AP271*INDEX(Справочники!$B$4:$B$7,MATCH("RUB",Справочники!$A$4:$A$7,0)))</f>
        <v/>
      </c>
      <c r="AR271" s="90" t="str">
        <f aca="false">IF(AQ271="","",ROUND(AQ271*(1+Справочники!$B$12),0))</f>
        <v/>
      </c>
      <c r="AS271" s="90" t="str">
        <f aca="false">IF(AR271="","",ROUND(AR271*(1-Справочники!$B$11),0))</f>
        <v/>
      </c>
      <c r="AT271" s="88"/>
      <c r="AU271" s="90" t="str">
        <f aca="false">IF(AT271="","",ROUND(AT271/(1+Справочники!$B$12),0))</f>
        <v/>
      </c>
      <c r="AV271" s="90" t="str">
        <f aca="false">IF(AT271="","",ROUND(AT271*(1-Справочники!$B$15),0))</f>
        <v/>
      </c>
      <c r="AW271" s="90" t="str">
        <f aca="false">IF(AT271="","",ROUND(AT271*(1-Справочники!$B$16),0))</f>
        <v/>
      </c>
      <c r="AX271" s="90" t="str">
        <f aca="false">IF(AT271="","",ROUND(AT271*(1-Справочники!$B$17),0))</f>
        <v/>
      </c>
      <c r="AY271" s="90" t="str">
        <f aca="false">IF(AT271="","",ROUND(AT271*(1-Справочники!$B$18),0))</f>
        <v/>
      </c>
      <c r="AZ271" s="90" t="str">
        <f aca="false">IF(AT271="","",ROUND(AT271*(1-Справочники!$B$19),0))</f>
        <v/>
      </c>
      <c r="BA271" s="81"/>
      <c r="BB271" s="81"/>
      <c r="BC271" s="81"/>
      <c r="BD271" s="81"/>
      <c r="BE271" s="91"/>
      <c r="BF271" s="81" t="s">
        <v>103</v>
      </c>
      <c r="BG271" s="89" t="n">
        <f aca="false" t="array" ref="BG271:BG271">IF(BF271="","",IFERROR(INDEX(Справочники!$B$4:$B$7,MATCH(BF271,Справочники!$A$4:$A$7,0)),""))</f>
        <v>68.5</v>
      </c>
      <c r="BH271" s="90" t="str">
        <f aca="false">IF(N(BN271)&gt;0,ROUND(SUMIF(ЗАКАЗЫ!$F$3:$F$500,$A271,ЗАКАЗЫ!$Y$3:$Y$500)/BN271,0),IF(OR(BE271="",BG271=""),"",ROUND(BE271*BG271*(1+Справочники!$B$10),0)))</f>
        <v/>
      </c>
      <c r="BI271" s="92" t="str">
        <f aca="false">IF(OR(AU271="",BH271="",AU271=0),"",(AU271-BH271)/AU271)</f>
        <v/>
      </c>
      <c r="BJ271" s="81"/>
      <c r="BK271" s="83"/>
      <c r="BL271" s="43" t="str">
        <f aca="false">IFERROR(INDEX(ЗАКАЗЫ!$N$3:$N$500,MATCH($A271,ЗАКАЗЫ!$F$3:$F$500,0)),"")</f>
        <v/>
      </c>
      <c r="BM271" s="8" t="str">
        <f aca="false">IF(BL271="","",IFERROR(VLOOKUP(BL271,'ТН ВЭД'!$A$4:$C$40,3,0),""))</f>
        <v/>
      </c>
      <c r="BN271" s="7" t="str">
        <f aca="false">IF(COUNTIF(ЗАКАЗЫ!$F$3:$F$500,$A271)=0,"",SUMIF(ЗАКАЗЫ!$F$3:$F$500,$A271,ЗАКАЗЫ!$J$3:$J$500))</f>
        <v/>
      </c>
      <c r="BO271" s="7" t="str">
        <f aca="false">IF(BN271="","",SUMIF(ЗАКАЗЫ!$F$3:$F$500,$A271,ЗАКАЗЫ!$AL$3:$AL$500))</f>
        <v/>
      </c>
      <c r="BP271" s="7" t="str">
        <f aca="false">IF(BN271="","",BN271-BO271)</f>
        <v/>
      </c>
      <c r="BQ271" s="55" t="str">
        <f aca="false">IF(BN271="","",IF(BO271&gt;=BN271,"На складе",IF(BO271&gt;0,"Частично","Ждём")))</f>
        <v/>
      </c>
      <c r="BR271" s="43"/>
      <c r="BS271" s="47" t="str">
        <f aca="false">IF(BN271="","",IF(_xlfn.MAXIFS(ЗАКАЗЫ!$AK$3:$AK$500,ЗАКАЗЫ!$F$3:$F$500,$A271)=0,"",_xlfn.MAXIFS(ЗАКАЗЫ!$AK$3:$AK$500,ЗАКАЗЫ!$F$3:$F$500,$A271)))</f>
        <v/>
      </c>
    </row>
    <row r="272" customFormat="false" ht="15.75" hidden="false" customHeight="true" outlineLevel="0" collapsed="false">
      <c r="A272" s="80" t="s">
        <v>2812</v>
      </c>
      <c r="B272" s="81"/>
      <c r="C272" s="81"/>
      <c r="D272" s="81"/>
      <c r="E272" s="83"/>
      <c r="F272" s="81"/>
      <c r="G272" s="83"/>
      <c r="H272" s="83"/>
      <c r="I272" s="84" t="str">
        <f aca="false">IF(E272="","",A272&amp;"_1.jpg")</f>
        <v/>
      </c>
      <c r="J272" s="84" t="str">
        <f aca="false">IF(E272="","",A272&amp;"_2.jpg; "&amp;A272&amp;"_3.jpg")</f>
        <v/>
      </c>
      <c r="K272" s="84" t="str">
        <f aca="false">IF(E272="","",A272&amp;"_schema.jpg")</f>
        <v/>
      </c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 t="s">
        <v>96</v>
      </c>
      <c r="W272" s="81"/>
      <c r="X272" s="81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6" t="str">
        <f aca="false">IF(SUM(Y272:AJ272)=0,"",SUM(Y272:AJ272))</f>
        <v/>
      </c>
      <c r="AL272" s="84" t="str">
        <f aca="false">MID(IF(N(Y272)&gt;0,", "&amp;Y$2,"")&amp;IF(N(Z272)&gt;0,", "&amp;Z$2,"")&amp;IF(N(AA272)&gt;0,", "&amp;AA$2,"")&amp;IF(N(AB272)&gt;0,", "&amp;AB$2,"")&amp;IF(N(AC272)&gt;0,", "&amp;AC$2,"")&amp;IF(N(AD272)&gt;0,", "&amp;AD$2,"")&amp;IF(N(AE272)&gt;0,", "&amp;AE$2,"")&amp;IF(N(AF272)&gt;0,", "&amp;AF$2,"")&amp;IF(N(AG272)&gt;0,", "&amp;AG$2,"")&amp;IF(N(AH272)&gt;0,", "&amp;AH$2,"")&amp;IF(N(AI272)&gt;0,", "&amp;AI$2,"")&amp;IF(N(AJ272)&gt;0,", "&amp;AJ$2,""),3,999)</f>
        <v/>
      </c>
      <c r="AM272" s="87" t="str">
        <f aca="false">IF(E272="","",MID(IF(N(Y272)&gt;0,", "&amp;A272&amp;"-"&amp;Y$2,"")&amp;IF(N(Z272)&gt;0,", "&amp;A272&amp;"-"&amp;Z$2,"")&amp;IF(N(AA272)&gt;0,", "&amp;A272&amp;"-"&amp;AA$2,"")&amp;IF(N(AB272)&gt;0,", "&amp;A272&amp;"-"&amp;AB$2,"")&amp;IF(N(AC272)&gt;0,", "&amp;A272&amp;"-"&amp;AC$2,"")&amp;IF(N(AD272)&gt;0,", "&amp;A272&amp;"-"&amp;AD$2,"")&amp;IF(N(AE272)&gt;0,", "&amp;A272&amp;"-"&amp;AE$2,"")&amp;IF(N(AF272)&gt;0,", "&amp;A272&amp;"-"&amp;AF$2,"")&amp;IF(N(AG272)&gt;0,", "&amp;A272&amp;"-"&amp;AG$2,"")&amp;IF(N(AH272)&gt;0,", "&amp;A272&amp;"-"&amp;AH$2,"")&amp;IF(N(AI272)&gt;0,", "&amp;A272&amp;"-"&amp;AI$2,"")&amp;IF(N(AJ272)&gt;0,", "&amp;A272&amp;"-"&amp;AJ$2,""),3,999))</f>
        <v/>
      </c>
      <c r="AN272" s="81"/>
      <c r="AO272" s="88"/>
      <c r="AP272" s="89" t="str">
        <f aca="false">IF(AO272="","",ROUND(AO272/(1+Справочники!$B$13),2))</f>
        <v/>
      </c>
      <c r="AQ272" s="90" t="str">
        <f aca="false" t="array" ref="AQ272:AQ272">IF(AP272="","",AP272*INDEX(Справочники!$B$4:$B$7,MATCH("RUB",Справочники!$A$4:$A$7,0)))</f>
        <v/>
      </c>
      <c r="AR272" s="90" t="str">
        <f aca="false">IF(AQ272="","",ROUND(AQ272*(1+Справочники!$B$12),0))</f>
        <v/>
      </c>
      <c r="AS272" s="90" t="str">
        <f aca="false">IF(AR272="","",ROUND(AR272*(1-Справочники!$B$11),0))</f>
        <v/>
      </c>
      <c r="AT272" s="88"/>
      <c r="AU272" s="90" t="str">
        <f aca="false">IF(AT272="","",ROUND(AT272/(1+Справочники!$B$12),0))</f>
        <v/>
      </c>
      <c r="AV272" s="90" t="str">
        <f aca="false">IF(AT272="","",ROUND(AT272*(1-Справочники!$B$15),0))</f>
        <v/>
      </c>
      <c r="AW272" s="90" t="str">
        <f aca="false">IF(AT272="","",ROUND(AT272*(1-Справочники!$B$16),0))</f>
        <v/>
      </c>
      <c r="AX272" s="90" t="str">
        <f aca="false">IF(AT272="","",ROUND(AT272*(1-Справочники!$B$17),0))</f>
        <v/>
      </c>
      <c r="AY272" s="90" t="str">
        <f aca="false">IF(AT272="","",ROUND(AT272*(1-Справочники!$B$18),0))</f>
        <v/>
      </c>
      <c r="AZ272" s="90" t="str">
        <f aca="false">IF(AT272="","",ROUND(AT272*(1-Справочники!$B$19),0))</f>
        <v/>
      </c>
      <c r="BA272" s="81"/>
      <c r="BB272" s="81"/>
      <c r="BC272" s="81"/>
      <c r="BD272" s="81"/>
      <c r="BE272" s="91"/>
      <c r="BF272" s="81" t="s">
        <v>103</v>
      </c>
      <c r="BG272" s="89" t="n">
        <f aca="false" t="array" ref="BG272:BG272">IF(BF272="","",IFERROR(INDEX(Справочники!$B$4:$B$7,MATCH(BF272,Справочники!$A$4:$A$7,0)),""))</f>
        <v>68.5</v>
      </c>
      <c r="BH272" s="90" t="str">
        <f aca="false">IF(N(BN272)&gt;0,ROUND(SUMIF(ЗАКАЗЫ!$F$3:$F$500,$A272,ЗАКАЗЫ!$Y$3:$Y$500)/BN272,0),IF(OR(BE272="",BG272=""),"",ROUND(BE272*BG272*(1+Справочники!$B$10),0)))</f>
        <v/>
      </c>
      <c r="BI272" s="92" t="str">
        <f aca="false">IF(OR(AU272="",BH272="",AU272=0),"",(AU272-BH272)/AU272)</f>
        <v/>
      </c>
      <c r="BJ272" s="81"/>
      <c r="BK272" s="83"/>
      <c r="BL272" s="43" t="str">
        <f aca="false">IFERROR(INDEX(ЗАКАЗЫ!$N$3:$N$500,MATCH($A272,ЗАКАЗЫ!$F$3:$F$500,0)),"")</f>
        <v/>
      </c>
      <c r="BM272" s="8" t="str">
        <f aca="false">IF(BL272="","",IFERROR(VLOOKUP(BL272,'ТН ВЭД'!$A$4:$C$40,3,0),""))</f>
        <v/>
      </c>
      <c r="BN272" s="7" t="str">
        <f aca="false">IF(COUNTIF(ЗАКАЗЫ!$F$3:$F$500,$A272)=0,"",SUMIF(ЗАКАЗЫ!$F$3:$F$500,$A272,ЗАКАЗЫ!$J$3:$J$500))</f>
        <v/>
      </c>
      <c r="BO272" s="7" t="str">
        <f aca="false">IF(BN272="","",SUMIF(ЗАКАЗЫ!$F$3:$F$500,$A272,ЗАКАЗЫ!$AL$3:$AL$500))</f>
        <v/>
      </c>
      <c r="BP272" s="7" t="str">
        <f aca="false">IF(BN272="","",BN272-BO272)</f>
        <v/>
      </c>
      <c r="BQ272" s="55" t="str">
        <f aca="false">IF(BN272="","",IF(BO272&gt;=BN272,"На складе",IF(BO272&gt;0,"Частично","Ждём")))</f>
        <v/>
      </c>
      <c r="BR272" s="43"/>
      <c r="BS272" s="47" t="str">
        <f aca="false">IF(BN272="","",IF(_xlfn.MAXIFS(ЗАКАЗЫ!$AK$3:$AK$500,ЗАКАЗЫ!$F$3:$F$500,$A272)=0,"",_xlfn.MAXIFS(ЗАКАЗЫ!$AK$3:$AK$500,ЗАКАЗЫ!$F$3:$F$500,$A272)))</f>
        <v/>
      </c>
    </row>
    <row r="273" customFormat="false" ht="15.75" hidden="false" customHeight="true" outlineLevel="0" collapsed="false">
      <c r="A273" s="80" t="s">
        <v>2813</v>
      </c>
      <c r="B273" s="81"/>
      <c r="C273" s="81"/>
      <c r="D273" s="81"/>
      <c r="E273" s="83"/>
      <c r="F273" s="81"/>
      <c r="G273" s="83"/>
      <c r="H273" s="83"/>
      <c r="I273" s="84" t="str">
        <f aca="false">IF(E273="","",A273&amp;"_1.jpg")</f>
        <v/>
      </c>
      <c r="J273" s="84" t="str">
        <f aca="false">IF(E273="","",A273&amp;"_2.jpg; "&amp;A273&amp;"_3.jpg")</f>
        <v/>
      </c>
      <c r="K273" s="84" t="str">
        <f aca="false">IF(E273="","",A273&amp;"_schema.jpg")</f>
        <v/>
      </c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 t="s">
        <v>96</v>
      </c>
      <c r="W273" s="81"/>
      <c r="X273" s="81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6" t="str">
        <f aca="false">IF(SUM(Y273:AJ273)=0,"",SUM(Y273:AJ273))</f>
        <v/>
      </c>
      <c r="AL273" s="84" t="str">
        <f aca="false">MID(IF(N(Y273)&gt;0,", "&amp;Y$2,"")&amp;IF(N(Z273)&gt;0,", "&amp;Z$2,"")&amp;IF(N(AA273)&gt;0,", "&amp;AA$2,"")&amp;IF(N(AB273)&gt;0,", "&amp;AB$2,"")&amp;IF(N(AC273)&gt;0,", "&amp;AC$2,"")&amp;IF(N(AD273)&gt;0,", "&amp;AD$2,"")&amp;IF(N(AE273)&gt;0,", "&amp;AE$2,"")&amp;IF(N(AF273)&gt;0,", "&amp;AF$2,"")&amp;IF(N(AG273)&gt;0,", "&amp;AG$2,"")&amp;IF(N(AH273)&gt;0,", "&amp;AH$2,"")&amp;IF(N(AI273)&gt;0,", "&amp;AI$2,"")&amp;IF(N(AJ273)&gt;0,", "&amp;AJ$2,""),3,999)</f>
        <v/>
      </c>
      <c r="AM273" s="87" t="str">
        <f aca="false">IF(E273="","",MID(IF(N(Y273)&gt;0,", "&amp;A273&amp;"-"&amp;Y$2,"")&amp;IF(N(Z273)&gt;0,", "&amp;A273&amp;"-"&amp;Z$2,"")&amp;IF(N(AA273)&gt;0,", "&amp;A273&amp;"-"&amp;AA$2,"")&amp;IF(N(AB273)&gt;0,", "&amp;A273&amp;"-"&amp;AB$2,"")&amp;IF(N(AC273)&gt;0,", "&amp;A273&amp;"-"&amp;AC$2,"")&amp;IF(N(AD273)&gt;0,", "&amp;A273&amp;"-"&amp;AD$2,"")&amp;IF(N(AE273)&gt;0,", "&amp;A273&amp;"-"&amp;AE$2,"")&amp;IF(N(AF273)&gt;0,", "&amp;A273&amp;"-"&amp;AF$2,"")&amp;IF(N(AG273)&gt;0,", "&amp;A273&amp;"-"&amp;AG$2,"")&amp;IF(N(AH273)&gt;0,", "&amp;A273&amp;"-"&amp;AH$2,"")&amp;IF(N(AI273)&gt;0,", "&amp;A273&amp;"-"&amp;AI$2,"")&amp;IF(N(AJ273)&gt;0,", "&amp;A273&amp;"-"&amp;AJ$2,""),3,999))</f>
        <v/>
      </c>
      <c r="AN273" s="81"/>
      <c r="AO273" s="88"/>
      <c r="AP273" s="89" t="str">
        <f aca="false">IF(AO273="","",ROUND(AO273/(1+Справочники!$B$13),2))</f>
        <v/>
      </c>
      <c r="AQ273" s="90" t="str">
        <f aca="false" t="array" ref="AQ273:AQ273">IF(AP273="","",AP273*INDEX(Справочники!$B$4:$B$7,MATCH("RUB",Справочники!$A$4:$A$7,0)))</f>
        <v/>
      </c>
      <c r="AR273" s="90" t="str">
        <f aca="false">IF(AQ273="","",ROUND(AQ273*(1+Справочники!$B$12),0))</f>
        <v/>
      </c>
      <c r="AS273" s="90" t="str">
        <f aca="false">IF(AR273="","",ROUND(AR273*(1-Справочники!$B$11),0))</f>
        <v/>
      </c>
      <c r="AT273" s="88"/>
      <c r="AU273" s="90" t="str">
        <f aca="false">IF(AT273="","",ROUND(AT273/(1+Справочники!$B$12),0))</f>
        <v/>
      </c>
      <c r="AV273" s="90" t="str">
        <f aca="false">IF(AT273="","",ROUND(AT273*(1-Справочники!$B$15),0))</f>
        <v/>
      </c>
      <c r="AW273" s="90" t="str">
        <f aca="false">IF(AT273="","",ROUND(AT273*(1-Справочники!$B$16),0))</f>
        <v/>
      </c>
      <c r="AX273" s="90" t="str">
        <f aca="false">IF(AT273="","",ROUND(AT273*(1-Справочники!$B$17),0))</f>
        <v/>
      </c>
      <c r="AY273" s="90" t="str">
        <f aca="false">IF(AT273="","",ROUND(AT273*(1-Справочники!$B$18),0))</f>
        <v/>
      </c>
      <c r="AZ273" s="90" t="str">
        <f aca="false">IF(AT273="","",ROUND(AT273*(1-Справочники!$B$19),0))</f>
        <v/>
      </c>
      <c r="BA273" s="81"/>
      <c r="BB273" s="81"/>
      <c r="BC273" s="81"/>
      <c r="BD273" s="81"/>
      <c r="BE273" s="91"/>
      <c r="BF273" s="81" t="s">
        <v>103</v>
      </c>
      <c r="BG273" s="89" t="n">
        <f aca="false" t="array" ref="BG273:BG273">IF(BF273="","",IFERROR(INDEX(Справочники!$B$4:$B$7,MATCH(BF273,Справочники!$A$4:$A$7,0)),""))</f>
        <v>68.5</v>
      </c>
      <c r="BH273" s="90" t="str">
        <f aca="false">IF(N(BN273)&gt;0,ROUND(SUMIF(ЗАКАЗЫ!$F$3:$F$500,$A273,ЗАКАЗЫ!$Y$3:$Y$500)/BN273,0),IF(OR(BE273="",BG273=""),"",ROUND(BE273*BG273*(1+Справочники!$B$10),0)))</f>
        <v/>
      </c>
      <c r="BI273" s="92" t="str">
        <f aca="false">IF(OR(AU273="",BH273="",AU273=0),"",(AU273-BH273)/AU273)</f>
        <v/>
      </c>
      <c r="BJ273" s="81"/>
      <c r="BK273" s="83"/>
      <c r="BL273" s="43" t="str">
        <f aca="false">IFERROR(INDEX(ЗАКАЗЫ!$N$3:$N$500,MATCH($A273,ЗАКАЗЫ!$F$3:$F$500,0)),"")</f>
        <v/>
      </c>
      <c r="BM273" s="8" t="str">
        <f aca="false">IF(BL273="","",IFERROR(VLOOKUP(BL273,'ТН ВЭД'!$A$4:$C$40,3,0),""))</f>
        <v/>
      </c>
      <c r="BN273" s="7" t="str">
        <f aca="false">IF(COUNTIF(ЗАКАЗЫ!$F$3:$F$500,$A273)=0,"",SUMIF(ЗАКАЗЫ!$F$3:$F$500,$A273,ЗАКАЗЫ!$J$3:$J$500))</f>
        <v/>
      </c>
      <c r="BO273" s="7" t="str">
        <f aca="false">IF(BN273="","",SUMIF(ЗАКАЗЫ!$F$3:$F$500,$A273,ЗАКАЗЫ!$AL$3:$AL$500))</f>
        <v/>
      </c>
      <c r="BP273" s="7" t="str">
        <f aca="false">IF(BN273="","",BN273-BO273)</f>
        <v/>
      </c>
      <c r="BQ273" s="55" t="str">
        <f aca="false">IF(BN273="","",IF(BO273&gt;=BN273,"На складе",IF(BO273&gt;0,"Частично","Ждём")))</f>
        <v/>
      </c>
      <c r="BR273" s="43"/>
      <c r="BS273" s="47" t="str">
        <f aca="false">IF(BN273="","",IF(_xlfn.MAXIFS(ЗАКАЗЫ!$AK$3:$AK$500,ЗАКАЗЫ!$F$3:$F$500,$A273)=0,"",_xlfn.MAXIFS(ЗАКАЗЫ!$AK$3:$AK$500,ЗАКАЗЫ!$F$3:$F$500,$A273)))</f>
        <v/>
      </c>
    </row>
    <row r="274" customFormat="false" ht="15.75" hidden="false" customHeight="true" outlineLevel="0" collapsed="false">
      <c r="A274" s="80" t="s">
        <v>2814</v>
      </c>
      <c r="B274" s="81"/>
      <c r="C274" s="81"/>
      <c r="D274" s="81"/>
      <c r="E274" s="83"/>
      <c r="F274" s="81"/>
      <c r="G274" s="83"/>
      <c r="H274" s="83"/>
      <c r="I274" s="84" t="str">
        <f aca="false">IF(E274="","",A274&amp;"_1.jpg")</f>
        <v/>
      </c>
      <c r="J274" s="84" t="str">
        <f aca="false">IF(E274="","",A274&amp;"_2.jpg; "&amp;A274&amp;"_3.jpg")</f>
        <v/>
      </c>
      <c r="K274" s="84" t="str">
        <f aca="false">IF(E274="","",A274&amp;"_schema.jpg")</f>
        <v/>
      </c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 t="s">
        <v>96</v>
      </c>
      <c r="W274" s="81"/>
      <c r="X274" s="81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6" t="str">
        <f aca="false">IF(SUM(Y274:AJ274)=0,"",SUM(Y274:AJ274))</f>
        <v/>
      </c>
      <c r="AL274" s="84" t="str">
        <f aca="false">MID(IF(N(Y274)&gt;0,", "&amp;Y$2,"")&amp;IF(N(Z274)&gt;0,", "&amp;Z$2,"")&amp;IF(N(AA274)&gt;0,", "&amp;AA$2,"")&amp;IF(N(AB274)&gt;0,", "&amp;AB$2,"")&amp;IF(N(AC274)&gt;0,", "&amp;AC$2,"")&amp;IF(N(AD274)&gt;0,", "&amp;AD$2,"")&amp;IF(N(AE274)&gt;0,", "&amp;AE$2,"")&amp;IF(N(AF274)&gt;0,", "&amp;AF$2,"")&amp;IF(N(AG274)&gt;0,", "&amp;AG$2,"")&amp;IF(N(AH274)&gt;0,", "&amp;AH$2,"")&amp;IF(N(AI274)&gt;0,", "&amp;AI$2,"")&amp;IF(N(AJ274)&gt;0,", "&amp;AJ$2,""),3,999)</f>
        <v/>
      </c>
      <c r="AM274" s="87" t="str">
        <f aca="false">IF(E274="","",MID(IF(N(Y274)&gt;0,", "&amp;A274&amp;"-"&amp;Y$2,"")&amp;IF(N(Z274)&gt;0,", "&amp;A274&amp;"-"&amp;Z$2,"")&amp;IF(N(AA274)&gt;0,", "&amp;A274&amp;"-"&amp;AA$2,"")&amp;IF(N(AB274)&gt;0,", "&amp;A274&amp;"-"&amp;AB$2,"")&amp;IF(N(AC274)&gt;0,", "&amp;A274&amp;"-"&amp;AC$2,"")&amp;IF(N(AD274)&gt;0,", "&amp;A274&amp;"-"&amp;AD$2,"")&amp;IF(N(AE274)&gt;0,", "&amp;A274&amp;"-"&amp;AE$2,"")&amp;IF(N(AF274)&gt;0,", "&amp;A274&amp;"-"&amp;AF$2,"")&amp;IF(N(AG274)&gt;0,", "&amp;A274&amp;"-"&amp;AG$2,"")&amp;IF(N(AH274)&gt;0,", "&amp;A274&amp;"-"&amp;AH$2,"")&amp;IF(N(AI274)&gt;0,", "&amp;A274&amp;"-"&amp;AI$2,"")&amp;IF(N(AJ274)&gt;0,", "&amp;A274&amp;"-"&amp;AJ$2,""),3,999))</f>
        <v/>
      </c>
      <c r="AN274" s="81"/>
      <c r="AO274" s="88"/>
      <c r="AP274" s="89" t="str">
        <f aca="false">IF(AO274="","",ROUND(AO274/(1+Справочники!$B$13),2))</f>
        <v/>
      </c>
      <c r="AQ274" s="90" t="str">
        <f aca="false" t="array" ref="AQ274:AQ274">IF(AP274="","",AP274*INDEX(Справочники!$B$4:$B$7,MATCH("RUB",Справочники!$A$4:$A$7,0)))</f>
        <v/>
      </c>
      <c r="AR274" s="90" t="str">
        <f aca="false">IF(AQ274="","",ROUND(AQ274*(1+Справочники!$B$12),0))</f>
        <v/>
      </c>
      <c r="AS274" s="90" t="str">
        <f aca="false">IF(AR274="","",ROUND(AR274*(1-Справочники!$B$11),0))</f>
        <v/>
      </c>
      <c r="AT274" s="88"/>
      <c r="AU274" s="90" t="str">
        <f aca="false">IF(AT274="","",ROUND(AT274/(1+Справочники!$B$12),0))</f>
        <v/>
      </c>
      <c r="AV274" s="90" t="str">
        <f aca="false">IF(AT274="","",ROUND(AT274*(1-Справочники!$B$15),0))</f>
        <v/>
      </c>
      <c r="AW274" s="90" t="str">
        <f aca="false">IF(AT274="","",ROUND(AT274*(1-Справочники!$B$16),0))</f>
        <v/>
      </c>
      <c r="AX274" s="90" t="str">
        <f aca="false">IF(AT274="","",ROUND(AT274*(1-Справочники!$B$17),0))</f>
        <v/>
      </c>
      <c r="AY274" s="90" t="str">
        <f aca="false">IF(AT274="","",ROUND(AT274*(1-Справочники!$B$18),0))</f>
        <v/>
      </c>
      <c r="AZ274" s="90" t="str">
        <f aca="false">IF(AT274="","",ROUND(AT274*(1-Справочники!$B$19),0))</f>
        <v/>
      </c>
      <c r="BA274" s="81"/>
      <c r="BB274" s="81"/>
      <c r="BC274" s="81"/>
      <c r="BD274" s="81"/>
      <c r="BE274" s="91"/>
      <c r="BF274" s="81" t="s">
        <v>103</v>
      </c>
      <c r="BG274" s="89" t="n">
        <f aca="false" t="array" ref="BG274:BG274">IF(BF274="","",IFERROR(INDEX(Справочники!$B$4:$B$7,MATCH(BF274,Справочники!$A$4:$A$7,0)),""))</f>
        <v>68.5</v>
      </c>
      <c r="BH274" s="90" t="str">
        <f aca="false">IF(N(BN274)&gt;0,ROUND(SUMIF(ЗАКАЗЫ!$F$3:$F$500,$A274,ЗАКАЗЫ!$Y$3:$Y$500)/BN274,0),IF(OR(BE274="",BG274=""),"",ROUND(BE274*BG274*(1+Справочники!$B$10),0)))</f>
        <v/>
      </c>
      <c r="BI274" s="92" t="str">
        <f aca="false">IF(OR(AU274="",BH274="",AU274=0),"",(AU274-BH274)/AU274)</f>
        <v/>
      </c>
      <c r="BJ274" s="81"/>
      <c r="BK274" s="83"/>
      <c r="BL274" s="43" t="str">
        <f aca="false">IFERROR(INDEX(ЗАКАЗЫ!$N$3:$N$500,MATCH($A274,ЗАКАЗЫ!$F$3:$F$500,0)),"")</f>
        <v/>
      </c>
      <c r="BM274" s="8" t="str">
        <f aca="false">IF(BL274="","",IFERROR(VLOOKUP(BL274,'ТН ВЭД'!$A$4:$C$40,3,0),""))</f>
        <v/>
      </c>
      <c r="BN274" s="7" t="str">
        <f aca="false">IF(COUNTIF(ЗАКАЗЫ!$F$3:$F$500,$A274)=0,"",SUMIF(ЗАКАЗЫ!$F$3:$F$500,$A274,ЗАКАЗЫ!$J$3:$J$500))</f>
        <v/>
      </c>
      <c r="BO274" s="7" t="str">
        <f aca="false">IF(BN274="","",SUMIF(ЗАКАЗЫ!$F$3:$F$500,$A274,ЗАКАЗЫ!$AL$3:$AL$500))</f>
        <v/>
      </c>
      <c r="BP274" s="7" t="str">
        <f aca="false">IF(BN274="","",BN274-BO274)</f>
        <v/>
      </c>
      <c r="BQ274" s="55" t="str">
        <f aca="false">IF(BN274="","",IF(BO274&gt;=BN274,"На складе",IF(BO274&gt;0,"Частично","Ждём")))</f>
        <v/>
      </c>
      <c r="BR274" s="43"/>
      <c r="BS274" s="47" t="str">
        <f aca="false">IF(BN274="","",IF(_xlfn.MAXIFS(ЗАКАЗЫ!$AK$3:$AK$500,ЗАКАЗЫ!$F$3:$F$500,$A274)=0,"",_xlfn.MAXIFS(ЗАКАЗЫ!$AK$3:$AK$500,ЗАКАЗЫ!$F$3:$F$500,$A274)))</f>
        <v/>
      </c>
    </row>
    <row r="275" customFormat="false" ht="15.75" hidden="false" customHeight="true" outlineLevel="0" collapsed="false">
      <c r="A275" s="80" t="s">
        <v>2815</v>
      </c>
      <c r="B275" s="81"/>
      <c r="C275" s="81"/>
      <c r="D275" s="81"/>
      <c r="E275" s="83"/>
      <c r="F275" s="81"/>
      <c r="G275" s="83"/>
      <c r="H275" s="83"/>
      <c r="I275" s="84" t="str">
        <f aca="false">IF(E275="","",A275&amp;"_1.jpg")</f>
        <v/>
      </c>
      <c r="J275" s="84" t="str">
        <f aca="false">IF(E275="","",A275&amp;"_2.jpg; "&amp;A275&amp;"_3.jpg")</f>
        <v/>
      </c>
      <c r="K275" s="84" t="str">
        <f aca="false">IF(E275="","",A275&amp;"_schema.jpg")</f>
        <v/>
      </c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 t="s">
        <v>96</v>
      </c>
      <c r="W275" s="81"/>
      <c r="X275" s="81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6" t="str">
        <f aca="false">IF(SUM(Y275:AJ275)=0,"",SUM(Y275:AJ275))</f>
        <v/>
      </c>
      <c r="AL275" s="84" t="str">
        <f aca="false">MID(IF(N(Y275)&gt;0,", "&amp;Y$2,"")&amp;IF(N(Z275)&gt;0,", "&amp;Z$2,"")&amp;IF(N(AA275)&gt;0,", "&amp;AA$2,"")&amp;IF(N(AB275)&gt;0,", "&amp;AB$2,"")&amp;IF(N(AC275)&gt;0,", "&amp;AC$2,"")&amp;IF(N(AD275)&gt;0,", "&amp;AD$2,"")&amp;IF(N(AE275)&gt;0,", "&amp;AE$2,"")&amp;IF(N(AF275)&gt;0,", "&amp;AF$2,"")&amp;IF(N(AG275)&gt;0,", "&amp;AG$2,"")&amp;IF(N(AH275)&gt;0,", "&amp;AH$2,"")&amp;IF(N(AI275)&gt;0,", "&amp;AI$2,"")&amp;IF(N(AJ275)&gt;0,", "&amp;AJ$2,""),3,999)</f>
        <v/>
      </c>
      <c r="AM275" s="87" t="str">
        <f aca="false">IF(E275="","",MID(IF(N(Y275)&gt;0,", "&amp;A275&amp;"-"&amp;Y$2,"")&amp;IF(N(Z275)&gt;0,", "&amp;A275&amp;"-"&amp;Z$2,"")&amp;IF(N(AA275)&gt;0,", "&amp;A275&amp;"-"&amp;AA$2,"")&amp;IF(N(AB275)&gt;0,", "&amp;A275&amp;"-"&amp;AB$2,"")&amp;IF(N(AC275)&gt;0,", "&amp;A275&amp;"-"&amp;AC$2,"")&amp;IF(N(AD275)&gt;0,", "&amp;A275&amp;"-"&amp;AD$2,"")&amp;IF(N(AE275)&gt;0,", "&amp;A275&amp;"-"&amp;AE$2,"")&amp;IF(N(AF275)&gt;0,", "&amp;A275&amp;"-"&amp;AF$2,"")&amp;IF(N(AG275)&gt;0,", "&amp;A275&amp;"-"&amp;AG$2,"")&amp;IF(N(AH275)&gt;0,", "&amp;A275&amp;"-"&amp;AH$2,"")&amp;IF(N(AI275)&gt;0,", "&amp;A275&amp;"-"&amp;AI$2,"")&amp;IF(N(AJ275)&gt;0,", "&amp;A275&amp;"-"&amp;AJ$2,""),3,999))</f>
        <v/>
      </c>
      <c r="AN275" s="81"/>
      <c r="AO275" s="88"/>
      <c r="AP275" s="89" t="str">
        <f aca="false">IF(AO275="","",ROUND(AO275/(1+Справочники!$B$13),2))</f>
        <v/>
      </c>
      <c r="AQ275" s="90" t="str">
        <f aca="false" t="array" ref="AQ275:AQ275">IF(AP275="","",AP275*INDEX(Справочники!$B$4:$B$7,MATCH("RUB",Справочники!$A$4:$A$7,0)))</f>
        <v/>
      </c>
      <c r="AR275" s="90" t="str">
        <f aca="false">IF(AQ275="","",ROUND(AQ275*(1+Справочники!$B$12),0))</f>
        <v/>
      </c>
      <c r="AS275" s="90" t="str">
        <f aca="false">IF(AR275="","",ROUND(AR275*(1-Справочники!$B$11),0))</f>
        <v/>
      </c>
      <c r="AT275" s="88"/>
      <c r="AU275" s="90" t="str">
        <f aca="false">IF(AT275="","",ROUND(AT275/(1+Справочники!$B$12),0))</f>
        <v/>
      </c>
      <c r="AV275" s="90" t="str">
        <f aca="false">IF(AT275="","",ROUND(AT275*(1-Справочники!$B$15),0))</f>
        <v/>
      </c>
      <c r="AW275" s="90" t="str">
        <f aca="false">IF(AT275="","",ROUND(AT275*(1-Справочники!$B$16),0))</f>
        <v/>
      </c>
      <c r="AX275" s="90" t="str">
        <f aca="false">IF(AT275="","",ROUND(AT275*(1-Справочники!$B$17),0))</f>
        <v/>
      </c>
      <c r="AY275" s="90" t="str">
        <f aca="false">IF(AT275="","",ROUND(AT275*(1-Справочники!$B$18),0))</f>
        <v/>
      </c>
      <c r="AZ275" s="90" t="str">
        <f aca="false">IF(AT275="","",ROUND(AT275*(1-Справочники!$B$19),0))</f>
        <v/>
      </c>
      <c r="BA275" s="81"/>
      <c r="BB275" s="81"/>
      <c r="BC275" s="81"/>
      <c r="BD275" s="81"/>
      <c r="BE275" s="91"/>
      <c r="BF275" s="81" t="s">
        <v>103</v>
      </c>
      <c r="BG275" s="89" t="n">
        <f aca="false" t="array" ref="BG275:BG275">IF(BF275="","",IFERROR(INDEX(Справочники!$B$4:$B$7,MATCH(BF275,Справочники!$A$4:$A$7,0)),""))</f>
        <v>68.5</v>
      </c>
      <c r="BH275" s="90" t="str">
        <f aca="false">IF(N(BN275)&gt;0,ROUND(SUMIF(ЗАКАЗЫ!$F$3:$F$500,$A275,ЗАКАЗЫ!$Y$3:$Y$500)/BN275,0),IF(OR(BE275="",BG275=""),"",ROUND(BE275*BG275*(1+Справочники!$B$10),0)))</f>
        <v/>
      </c>
      <c r="BI275" s="92" t="str">
        <f aca="false">IF(OR(AU275="",BH275="",AU275=0),"",(AU275-BH275)/AU275)</f>
        <v/>
      </c>
      <c r="BJ275" s="81"/>
      <c r="BK275" s="83"/>
      <c r="BL275" s="43" t="str">
        <f aca="false">IFERROR(INDEX(ЗАКАЗЫ!$N$3:$N$500,MATCH($A275,ЗАКАЗЫ!$F$3:$F$500,0)),"")</f>
        <v/>
      </c>
      <c r="BM275" s="8" t="str">
        <f aca="false">IF(BL275="","",IFERROR(VLOOKUP(BL275,'ТН ВЭД'!$A$4:$C$40,3,0),""))</f>
        <v/>
      </c>
      <c r="BN275" s="7" t="str">
        <f aca="false">IF(COUNTIF(ЗАКАЗЫ!$F$3:$F$500,$A275)=0,"",SUMIF(ЗАКАЗЫ!$F$3:$F$500,$A275,ЗАКАЗЫ!$J$3:$J$500))</f>
        <v/>
      </c>
      <c r="BO275" s="7" t="str">
        <f aca="false">IF(BN275="","",SUMIF(ЗАКАЗЫ!$F$3:$F$500,$A275,ЗАКАЗЫ!$AL$3:$AL$500))</f>
        <v/>
      </c>
      <c r="BP275" s="7" t="str">
        <f aca="false">IF(BN275="","",BN275-BO275)</f>
        <v/>
      </c>
      <c r="BQ275" s="55" t="str">
        <f aca="false">IF(BN275="","",IF(BO275&gt;=BN275,"На складе",IF(BO275&gt;0,"Частично","Ждём")))</f>
        <v/>
      </c>
      <c r="BR275" s="43"/>
      <c r="BS275" s="47" t="str">
        <f aca="false">IF(BN275="","",IF(_xlfn.MAXIFS(ЗАКАЗЫ!$AK$3:$AK$500,ЗАКАЗЫ!$F$3:$F$500,$A275)=0,"",_xlfn.MAXIFS(ЗАКАЗЫ!$AK$3:$AK$500,ЗАКАЗЫ!$F$3:$F$500,$A275)))</f>
        <v/>
      </c>
    </row>
    <row r="276" customFormat="false" ht="15.75" hidden="false" customHeight="true" outlineLevel="0" collapsed="false">
      <c r="A276" s="80" t="s">
        <v>2816</v>
      </c>
      <c r="B276" s="81"/>
      <c r="C276" s="81"/>
      <c r="D276" s="81"/>
      <c r="E276" s="83"/>
      <c r="F276" s="81"/>
      <c r="G276" s="83"/>
      <c r="H276" s="83"/>
      <c r="I276" s="84" t="str">
        <f aca="false">IF(E276="","",A276&amp;"_1.jpg")</f>
        <v/>
      </c>
      <c r="J276" s="84" t="str">
        <f aca="false">IF(E276="","",A276&amp;"_2.jpg; "&amp;A276&amp;"_3.jpg")</f>
        <v/>
      </c>
      <c r="K276" s="84" t="str">
        <f aca="false">IF(E276="","",A276&amp;"_schema.jpg")</f>
        <v/>
      </c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 t="s">
        <v>96</v>
      </c>
      <c r="W276" s="81"/>
      <c r="X276" s="81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6" t="str">
        <f aca="false">IF(SUM(Y276:AJ276)=0,"",SUM(Y276:AJ276))</f>
        <v/>
      </c>
      <c r="AL276" s="84" t="str">
        <f aca="false">MID(IF(N(Y276)&gt;0,", "&amp;Y$2,"")&amp;IF(N(Z276)&gt;0,", "&amp;Z$2,"")&amp;IF(N(AA276)&gt;0,", "&amp;AA$2,"")&amp;IF(N(AB276)&gt;0,", "&amp;AB$2,"")&amp;IF(N(AC276)&gt;0,", "&amp;AC$2,"")&amp;IF(N(AD276)&gt;0,", "&amp;AD$2,"")&amp;IF(N(AE276)&gt;0,", "&amp;AE$2,"")&amp;IF(N(AF276)&gt;0,", "&amp;AF$2,"")&amp;IF(N(AG276)&gt;0,", "&amp;AG$2,"")&amp;IF(N(AH276)&gt;0,", "&amp;AH$2,"")&amp;IF(N(AI276)&gt;0,", "&amp;AI$2,"")&amp;IF(N(AJ276)&gt;0,", "&amp;AJ$2,""),3,999)</f>
        <v/>
      </c>
      <c r="AM276" s="87" t="str">
        <f aca="false">IF(E276="","",MID(IF(N(Y276)&gt;0,", "&amp;A276&amp;"-"&amp;Y$2,"")&amp;IF(N(Z276)&gt;0,", "&amp;A276&amp;"-"&amp;Z$2,"")&amp;IF(N(AA276)&gt;0,", "&amp;A276&amp;"-"&amp;AA$2,"")&amp;IF(N(AB276)&gt;0,", "&amp;A276&amp;"-"&amp;AB$2,"")&amp;IF(N(AC276)&gt;0,", "&amp;A276&amp;"-"&amp;AC$2,"")&amp;IF(N(AD276)&gt;0,", "&amp;A276&amp;"-"&amp;AD$2,"")&amp;IF(N(AE276)&gt;0,", "&amp;A276&amp;"-"&amp;AE$2,"")&amp;IF(N(AF276)&gt;0,", "&amp;A276&amp;"-"&amp;AF$2,"")&amp;IF(N(AG276)&gt;0,", "&amp;A276&amp;"-"&amp;AG$2,"")&amp;IF(N(AH276)&gt;0,", "&amp;A276&amp;"-"&amp;AH$2,"")&amp;IF(N(AI276)&gt;0,", "&amp;A276&amp;"-"&amp;AI$2,"")&amp;IF(N(AJ276)&gt;0,", "&amp;A276&amp;"-"&amp;AJ$2,""),3,999))</f>
        <v/>
      </c>
      <c r="AN276" s="81"/>
      <c r="AO276" s="88"/>
      <c r="AP276" s="89" t="str">
        <f aca="false">IF(AO276="","",ROUND(AO276/(1+Справочники!$B$13),2))</f>
        <v/>
      </c>
      <c r="AQ276" s="90" t="str">
        <f aca="false" t="array" ref="AQ276:AQ276">IF(AP276="","",AP276*INDEX(Справочники!$B$4:$B$7,MATCH("RUB",Справочники!$A$4:$A$7,0)))</f>
        <v/>
      </c>
      <c r="AR276" s="90" t="str">
        <f aca="false">IF(AQ276="","",ROUND(AQ276*(1+Справочники!$B$12),0))</f>
        <v/>
      </c>
      <c r="AS276" s="90" t="str">
        <f aca="false">IF(AR276="","",ROUND(AR276*(1-Справочники!$B$11),0))</f>
        <v/>
      </c>
      <c r="AT276" s="88"/>
      <c r="AU276" s="90" t="str">
        <f aca="false">IF(AT276="","",ROUND(AT276/(1+Справочники!$B$12),0))</f>
        <v/>
      </c>
      <c r="AV276" s="90" t="str">
        <f aca="false">IF(AT276="","",ROUND(AT276*(1-Справочники!$B$15),0))</f>
        <v/>
      </c>
      <c r="AW276" s="90" t="str">
        <f aca="false">IF(AT276="","",ROUND(AT276*(1-Справочники!$B$16),0))</f>
        <v/>
      </c>
      <c r="AX276" s="90" t="str">
        <f aca="false">IF(AT276="","",ROUND(AT276*(1-Справочники!$B$17),0))</f>
        <v/>
      </c>
      <c r="AY276" s="90" t="str">
        <f aca="false">IF(AT276="","",ROUND(AT276*(1-Справочники!$B$18),0))</f>
        <v/>
      </c>
      <c r="AZ276" s="90" t="str">
        <f aca="false">IF(AT276="","",ROUND(AT276*(1-Справочники!$B$19),0))</f>
        <v/>
      </c>
      <c r="BA276" s="81"/>
      <c r="BB276" s="81"/>
      <c r="BC276" s="81"/>
      <c r="BD276" s="81"/>
      <c r="BE276" s="91"/>
      <c r="BF276" s="81" t="s">
        <v>103</v>
      </c>
      <c r="BG276" s="89" t="n">
        <f aca="false" t="array" ref="BG276:BG276">IF(BF276="","",IFERROR(INDEX(Справочники!$B$4:$B$7,MATCH(BF276,Справочники!$A$4:$A$7,0)),""))</f>
        <v>68.5</v>
      </c>
      <c r="BH276" s="90" t="str">
        <f aca="false">IF(N(BN276)&gt;0,ROUND(SUMIF(ЗАКАЗЫ!$F$3:$F$500,$A276,ЗАКАЗЫ!$Y$3:$Y$500)/BN276,0),IF(OR(BE276="",BG276=""),"",ROUND(BE276*BG276*(1+Справочники!$B$10),0)))</f>
        <v/>
      </c>
      <c r="BI276" s="92" t="str">
        <f aca="false">IF(OR(AU276="",BH276="",AU276=0),"",(AU276-BH276)/AU276)</f>
        <v/>
      </c>
      <c r="BJ276" s="81"/>
      <c r="BK276" s="83"/>
      <c r="BL276" s="43" t="str">
        <f aca="false">IFERROR(INDEX(ЗАКАЗЫ!$N$3:$N$500,MATCH($A276,ЗАКАЗЫ!$F$3:$F$500,0)),"")</f>
        <v/>
      </c>
      <c r="BM276" s="8" t="str">
        <f aca="false">IF(BL276="","",IFERROR(VLOOKUP(BL276,'ТН ВЭД'!$A$4:$C$40,3,0),""))</f>
        <v/>
      </c>
      <c r="BN276" s="7" t="str">
        <f aca="false">IF(COUNTIF(ЗАКАЗЫ!$F$3:$F$500,$A276)=0,"",SUMIF(ЗАКАЗЫ!$F$3:$F$500,$A276,ЗАКАЗЫ!$J$3:$J$500))</f>
        <v/>
      </c>
      <c r="BO276" s="7" t="str">
        <f aca="false">IF(BN276="","",SUMIF(ЗАКАЗЫ!$F$3:$F$500,$A276,ЗАКАЗЫ!$AL$3:$AL$500))</f>
        <v/>
      </c>
      <c r="BP276" s="7" t="str">
        <f aca="false">IF(BN276="","",BN276-BO276)</f>
        <v/>
      </c>
      <c r="BQ276" s="55" t="str">
        <f aca="false">IF(BN276="","",IF(BO276&gt;=BN276,"На складе",IF(BO276&gt;0,"Частично","Ждём")))</f>
        <v/>
      </c>
      <c r="BR276" s="43"/>
      <c r="BS276" s="47" t="str">
        <f aca="false">IF(BN276="","",IF(_xlfn.MAXIFS(ЗАКАЗЫ!$AK$3:$AK$500,ЗАКАЗЫ!$F$3:$F$500,$A276)=0,"",_xlfn.MAXIFS(ЗАКАЗЫ!$AK$3:$AK$500,ЗАКАЗЫ!$F$3:$F$500,$A276)))</f>
        <v/>
      </c>
    </row>
    <row r="277" customFormat="false" ht="15.75" hidden="false" customHeight="true" outlineLevel="0" collapsed="false">
      <c r="A277" s="80" t="s">
        <v>2817</v>
      </c>
      <c r="B277" s="81"/>
      <c r="C277" s="81"/>
      <c r="D277" s="81"/>
      <c r="E277" s="83"/>
      <c r="F277" s="81"/>
      <c r="G277" s="83"/>
      <c r="H277" s="83"/>
      <c r="I277" s="84" t="str">
        <f aca="false">IF(E277="","",A277&amp;"_1.jpg")</f>
        <v/>
      </c>
      <c r="J277" s="84" t="str">
        <f aca="false">IF(E277="","",A277&amp;"_2.jpg; "&amp;A277&amp;"_3.jpg")</f>
        <v/>
      </c>
      <c r="K277" s="84" t="str">
        <f aca="false">IF(E277="","",A277&amp;"_schema.jpg")</f>
        <v/>
      </c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 t="s">
        <v>96</v>
      </c>
      <c r="W277" s="81"/>
      <c r="X277" s="81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6" t="str">
        <f aca="false">IF(SUM(Y277:AJ277)=0,"",SUM(Y277:AJ277))</f>
        <v/>
      </c>
      <c r="AL277" s="84" t="str">
        <f aca="false">MID(IF(N(Y277)&gt;0,", "&amp;Y$2,"")&amp;IF(N(Z277)&gt;0,", "&amp;Z$2,"")&amp;IF(N(AA277)&gt;0,", "&amp;AA$2,"")&amp;IF(N(AB277)&gt;0,", "&amp;AB$2,"")&amp;IF(N(AC277)&gt;0,", "&amp;AC$2,"")&amp;IF(N(AD277)&gt;0,", "&amp;AD$2,"")&amp;IF(N(AE277)&gt;0,", "&amp;AE$2,"")&amp;IF(N(AF277)&gt;0,", "&amp;AF$2,"")&amp;IF(N(AG277)&gt;0,", "&amp;AG$2,"")&amp;IF(N(AH277)&gt;0,", "&amp;AH$2,"")&amp;IF(N(AI277)&gt;0,", "&amp;AI$2,"")&amp;IF(N(AJ277)&gt;0,", "&amp;AJ$2,""),3,999)</f>
        <v/>
      </c>
      <c r="AM277" s="87" t="str">
        <f aca="false">IF(E277="","",MID(IF(N(Y277)&gt;0,", "&amp;A277&amp;"-"&amp;Y$2,"")&amp;IF(N(Z277)&gt;0,", "&amp;A277&amp;"-"&amp;Z$2,"")&amp;IF(N(AA277)&gt;0,", "&amp;A277&amp;"-"&amp;AA$2,"")&amp;IF(N(AB277)&gt;0,", "&amp;A277&amp;"-"&amp;AB$2,"")&amp;IF(N(AC277)&gt;0,", "&amp;A277&amp;"-"&amp;AC$2,"")&amp;IF(N(AD277)&gt;0,", "&amp;A277&amp;"-"&amp;AD$2,"")&amp;IF(N(AE277)&gt;0,", "&amp;A277&amp;"-"&amp;AE$2,"")&amp;IF(N(AF277)&gt;0,", "&amp;A277&amp;"-"&amp;AF$2,"")&amp;IF(N(AG277)&gt;0,", "&amp;A277&amp;"-"&amp;AG$2,"")&amp;IF(N(AH277)&gt;0,", "&amp;A277&amp;"-"&amp;AH$2,"")&amp;IF(N(AI277)&gt;0,", "&amp;A277&amp;"-"&amp;AI$2,"")&amp;IF(N(AJ277)&gt;0,", "&amp;A277&amp;"-"&amp;AJ$2,""),3,999))</f>
        <v/>
      </c>
      <c r="AN277" s="81"/>
      <c r="AO277" s="88"/>
      <c r="AP277" s="89" t="str">
        <f aca="false">IF(AO277="","",ROUND(AO277/(1+Справочники!$B$13),2))</f>
        <v/>
      </c>
      <c r="AQ277" s="90" t="str">
        <f aca="false" t="array" ref="AQ277:AQ277">IF(AP277="","",AP277*INDEX(Справочники!$B$4:$B$7,MATCH("RUB",Справочники!$A$4:$A$7,0)))</f>
        <v/>
      </c>
      <c r="AR277" s="90" t="str">
        <f aca="false">IF(AQ277="","",ROUND(AQ277*(1+Справочники!$B$12),0))</f>
        <v/>
      </c>
      <c r="AS277" s="90" t="str">
        <f aca="false">IF(AR277="","",ROUND(AR277*(1-Справочники!$B$11),0))</f>
        <v/>
      </c>
      <c r="AT277" s="88"/>
      <c r="AU277" s="90" t="str">
        <f aca="false">IF(AT277="","",ROUND(AT277/(1+Справочники!$B$12),0))</f>
        <v/>
      </c>
      <c r="AV277" s="90" t="str">
        <f aca="false">IF(AT277="","",ROUND(AT277*(1-Справочники!$B$15),0))</f>
        <v/>
      </c>
      <c r="AW277" s="90" t="str">
        <f aca="false">IF(AT277="","",ROUND(AT277*(1-Справочники!$B$16),0))</f>
        <v/>
      </c>
      <c r="AX277" s="90" t="str">
        <f aca="false">IF(AT277="","",ROUND(AT277*(1-Справочники!$B$17),0))</f>
        <v/>
      </c>
      <c r="AY277" s="90" t="str">
        <f aca="false">IF(AT277="","",ROUND(AT277*(1-Справочники!$B$18),0))</f>
        <v/>
      </c>
      <c r="AZ277" s="90" t="str">
        <f aca="false">IF(AT277="","",ROUND(AT277*(1-Справочники!$B$19),0))</f>
        <v/>
      </c>
      <c r="BA277" s="81"/>
      <c r="BB277" s="81"/>
      <c r="BC277" s="81"/>
      <c r="BD277" s="81"/>
      <c r="BE277" s="91"/>
      <c r="BF277" s="81" t="s">
        <v>103</v>
      </c>
      <c r="BG277" s="89" t="n">
        <f aca="false" t="array" ref="BG277:BG277">IF(BF277="","",IFERROR(INDEX(Справочники!$B$4:$B$7,MATCH(BF277,Справочники!$A$4:$A$7,0)),""))</f>
        <v>68.5</v>
      </c>
      <c r="BH277" s="90" t="str">
        <f aca="false">IF(N(BN277)&gt;0,ROUND(SUMIF(ЗАКАЗЫ!$F$3:$F$500,$A277,ЗАКАЗЫ!$Y$3:$Y$500)/BN277,0),IF(OR(BE277="",BG277=""),"",ROUND(BE277*BG277*(1+Справочники!$B$10),0)))</f>
        <v/>
      </c>
      <c r="BI277" s="92" t="str">
        <f aca="false">IF(OR(AU277="",BH277="",AU277=0),"",(AU277-BH277)/AU277)</f>
        <v/>
      </c>
      <c r="BJ277" s="81"/>
      <c r="BK277" s="83"/>
      <c r="BL277" s="43" t="str">
        <f aca="false">IFERROR(INDEX(ЗАКАЗЫ!$N$3:$N$500,MATCH($A277,ЗАКАЗЫ!$F$3:$F$500,0)),"")</f>
        <v/>
      </c>
      <c r="BM277" s="8" t="str">
        <f aca="false">IF(BL277="","",IFERROR(VLOOKUP(BL277,'ТН ВЭД'!$A$4:$C$40,3,0),""))</f>
        <v/>
      </c>
      <c r="BN277" s="7" t="str">
        <f aca="false">IF(COUNTIF(ЗАКАЗЫ!$F$3:$F$500,$A277)=0,"",SUMIF(ЗАКАЗЫ!$F$3:$F$500,$A277,ЗАКАЗЫ!$J$3:$J$500))</f>
        <v/>
      </c>
      <c r="BO277" s="7" t="str">
        <f aca="false">IF(BN277="","",SUMIF(ЗАКАЗЫ!$F$3:$F$500,$A277,ЗАКАЗЫ!$AL$3:$AL$500))</f>
        <v/>
      </c>
      <c r="BP277" s="7" t="str">
        <f aca="false">IF(BN277="","",BN277-BO277)</f>
        <v/>
      </c>
      <c r="BQ277" s="55" t="str">
        <f aca="false">IF(BN277="","",IF(BO277&gt;=BN277,"На складе",IF(BO277&gt;0,"Частично","Ждём")))</f>
        <v/>
      </c>
      <c r="BR277" s="43"/>
      <c r="BS277" s="47" t="str">
        <f aca="false">IF(BN277="","",IF(_xlfn.MAXIFS(ЗАКАЗЫ!$AK$3:$AK$500,ЗАКАЗЫ!$F$3:$F$500,$A277)=0,"",_xlfn.MAXIFS(ЗАКАЗЫ!$AK$3:$AK$500,ЗАКАЗЫ!$F$3:$F$500,$A277)))</f>
        <v/>
      </c>
    </row>
    <row r="278" customFormat="false" ht="15.75" hidden="false" customHeight="true" outlineLevel="0" collapsed="false">
      <c r="A278" s="80" t="s">
        <v>2818</v>
      </c>
      <c r="B278" s="81"/>
      <c r="C278" s="81"/>
      <c r="D278" s="81"/>
      <c r="E278" s="83"/>
      <c r="F278" s="81"/>
      <c r="G278" s="83"/>
      <c r="H278" s="83"/>
      <c r="I278" s="84" t="str">
        <f aca="false">IF(E278="","",A278&amp;"_1.jpg")</f>
        <v/>
      </c>
      <c r="J278" s="84" t="str">
        <f aca="false">IF(E278="","",A278&amp;"_2.jpg; "&amp;A278&amp;"_3.jpg")</f>
        <v/>
      </c>
      <c r="K278" s="84" t="str">
        <f aca="false">IF(E278="","",A278&amp;"_schema.jpg")</f>
        <v/>
      </c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 t="s">
        <v>96</v>
      </c>
      <c r="W278" s="81"/>
      <c r="X278" s="81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6" t="str">
        <f aca="false">IF(SUM(Y278:AJ278)=0,"",SUM(Y278:AJ278))</f>
        <v/>
      </c>
      <c r="AL278" s="84" t="str">
        <f aca="false">MID(IF(N(Y278)&gt;0,", "&amp;Y$2,"")&amp;IF(N(Z278)&gt;0,", "&amp;Z$2,"")&amp;IF(N(AA278)&gt;0,", "&amp;AA$2,"")&amp;IF(N(AB278)&gt;0,", "&amp;AB$2,"")&amp;IF(N(AC278)&gt;0,", "&amp;AC$2,"")&amp;IF(N(AD278)&gt;0,", "&amp;AD$2,"")&amp;IF(N(AE278)&gt;0,", "&amp;AE$2,"")&amp;IF(N(AF278)&gt;0,", "&amp;AF$2,"")&amp;IF(N(AG278)&gt;0,", "&amp;AG$2,"")&amp;IF(N(AH278)&gt;0,", "&amp;AH$2,"")&amp;IF(N(AI278)&gt;0,", "&amp;AI$2,"")&amp;IF(N(AJ278)&gt;0,", "&amp;AJ$2,""),3,999)</f>
        <v/>
      </c>
      <c r="AM278" s="87" t="str">
        <f aca="false">IF(E278="","",MID(IF(N(Y278)&gt;0,", "&amp;A278&amp;"-"&amp;Y$2,"")&amp;IF(N(Z278)&gt;0,", "&amp;A278&amp;"-"&amp;Z$2,"")&amp;IF(N(AA278)&gt;0,", "&amp;A278&amp;"-"&amp;AA$2,"")&amp;IF(N(AB278)&gt;0,", "&amp;A278&amp;"-"&amp;AB$2,"")&amp;IF(N(AC278)&gt;0,", "&amp;A278&amp;"-"&amp;AC$2,"")&amp;IF(N(AD278)&gt;0,", "&amp;A278&amp;"-"&amp;AD$2,"")&amp;IF(N(AE278)&gt;0,", "&amp;A278&amp;"-"&amp;AE$2,"")&amp;IF(N(AF278)&gt;0,", "&amp;A278&amp;"-"&amp;AF$2,"")&amp;IF(N(AG278)&gt;0,", "&amp;A278&amp;"-"&amp;AG$2,"")&amp;IF(N(AH278)&gt;0,", "&amp;A278&amp;"-"&amp;AH$2,"")&amp;IF(N(AI278)&gt;0,", "&amp;A278&amp;"-"&amp;AI$2,"")&amp;IF(N(AJ278)&gt;0,", "&amp;A278&amp;"-"&amp;AJ$2,""),3,999))</f>
        <v/>
      </c>
      <c r="AN278" s="81"/>
      <c r="AO278" s="88"/>
      <c r="AP278" s="89" t="str">
        <f aca="false">IF(AO278="","",ROUND(AO278/(1+Справочники!$B$13),2))</f>
        <v/>
      </c>
      <c r="AQ278" s="90" t="str">
        <f aca="false" t="array" ref="AQ278:AQ278">IF(AP278="","",AP278*INDEX(Справочники!$B$4:$B$7,MATCH("RUB",Справочники!$A$4:$A$7,0)))</f>
        <v/>
      </c>
      <c r="AR278" s="90" t="str">
        <f aca="false">IF(AQ278="","",ROUND(AQ278*(1+Справочники!$B$12),0))</f>
        <v/>
      </c>
      <c r="AS278" s="90" t="str">
        <f aca="false">IF(AR278="","",ROUND(AR278*(1-Справочники!$B$11),0))</f>
        <v/>
      </c>
      <c r="AT278" s="88"/>
      <c r="AU278" s="90" t="str">
        <f aca="false">IF(AT278="","",ROUND(AT278/(1+Справочники!$B$12),0))</f>
        <v/>
      </c>
      <c r="AV278" s="90" t="str">
        <f aca="false">IF(AT278="","",ROUND(AT278*(1-Справочники!$B$15),0))</f>
        <v/>
      </c>
      <c r="AW278" s="90" t="str">
        <f aca="false">IF(AT278="","",ROUND(AT278*(1-Справочники!$B$16),0))</f>
        <v/>
      </c>
      <c r="AX278" s="90" t="str">
        <f aca="false">IF(AT278="","",ROUND(AT278*(1-Справочники!$B$17),0))</f>
        <v/>
      </c>
      <c r="AY278" s="90" t="str">
        <f aca="false">IF(AT278="","",ROUND(AT278*(1-Справочники!$B$18),0))</f>
        <v/>
      </c>
      <c r="AZ278" s="90" t="str">
        <f aca="false">IF(AT278="","",ROUND(AT278*(1-Справочники!$B$19),0))</f>
        <v/>
      </c>
      <c r="BA278" s="81"/>
      <c r="BB278" s="81"/>
      <c r="BC278" s="81"/>
      <c r="BD278" s="81"/>
      <c r="BE278" s="91"/>
      <c r="BF278" s="81" t="s">
        <v>103</v>
      </c>
      <c r="BG278" s="89" t="n">
        <f aca="false" t="array" ref="BG278:BG278">IF(BF278="","",IFERROR(INDEX(Справочники!$B$4:$B$7,MATCH(BF278,Справочники!$A$4:$A$7,0)),""))</f>
        <v>68.5</v>
      </c>
      <c r="BH278" s="90" t="str">
        <f aca="false">IF(N(BN278)&gt;0,ROUND(SUMIF(ЗАКАЗЫ!$F$3:$F$500,$A278,ЗАКАЗЫ!$Y$3:$Y$500)/BN278,0),IF(OR(BE278="",BG278=""),"",ROUND(BE278*BG278*(1+Справочники!$B$10),0)))</f>
        <v/>
      </c>
      <c r="BI278" s="92" t="str">
        <f aca="false">IF(OR(AU278="",BH278="",AU278=0),"",(AU278-BH278)/AU278)</f>
        <v/>
      </c>
      <c r="BJ278" s="81"/>
      <c r="BK278" s="83"/>
      <c r="BL278" s="43" t="str">
        <f aca="false">IFERROR(INDEX(ЗАКАЗЫ!$N$3:$N$500,MATCH($A278,ЗАКАЗЫ!$F$3:$F$500,0)),"")</f>
        <v/>
      </c>
      <c r="BM278" s="8" t="str">
        <f aca="false">IF(BL278="","",IFERROR(VLOOKUP(BL278,'ТН ВЭД'!$A$4:$C$40,3,0),""))</f>
        <v/>
      </c>
      <c r="BN278" s="7" t="str">
        <f aca="false">IF(COUNTIF(ЗАКАЗЫ!$F$3:$F$500,$A278)=0,"",SUMIF(ЗАКАЗЫ!$F$3:$F$500,$A278,ЗАКАЗЫ!$J$3:$J$500))</f>
        <v/>
      </c>
      <c r="BO278" s="7" t="str">
        <f aca="false">IF(BN278="","",SUMIF(ЗАКАЗЫ!$F$3:$F$500,$A278,ЗАКАЗЫ!$AL$3:$AL$500))</f>
        <v/>
      </c>
      <c r="BP278" s="7" t="str">
        <f aca="false">IF(BN278="","",BN278-BO278)</f>
        <v/>
      </c>
      <c r="BQ278" s="55" t="str">
        <f aca="false">IF(BN278="","",IF(BO278&gt;=BN278,"На складе",IF(BO278&gt;0,"Частично","Ждём")))</f>
        <v/>
      </c>
      <c r="BR278" s="43"/>
      <c r="BS278" s="47" t="str">
        <f aca="false">IF(BN278="","",IF(_xlfn.MAXIFS(ЗАКАЗЫ!$AK$3:$AK$500,ЗАКАЗЫ!$F$3:$F$500,$A278)=0,"",_xlfn.MAXIFS(ЗАКАЗЫ!$AK$3:$AK$500,ЗАКАЗЫ!$F$3:$F$500,$A278)))</f>
        <v/>
      </c>
    </row>
    <row r="279" customFormat="false" ht="15.75" hidden="false" customHeight="true" outlineLevel="0" collapsed="false">
      <c r="A279" s="80" t="s">
        <v>2819</v>
      </c>
      <c r="B279" s="81"/>
      <c r="C279" s="81"/>
      <c r="D279" s="81"/>
      <c r="E279" s="83"/>
      <c r="F279" s="81"/>
      <c r="G279" s="83"/>
      <c r="H279" s="83"/>
      <c r="I279" s="84" t="str">
        <f aca="false">IF(E279="","",A279&amp;"_1.jpg")</f>
        <v/>
      </c>
      <c r="J279" s="84" t="str">
        <f aca="false">IF(E279="","",A279&amp;"_2.jpg; "&amp;A279&amp;"_3.jpg")</f>
        <v/>
      </c>
      <c r="K279" s="84" t="str">
        <f aca="false">IF(E279="","",A279&amp;"_schema.jpg")</f>
        <v/>
      </c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 t="s">
        <v>96</v>
      </c>
      <c r="W279" s="81"/>
      <c r="X279" s="81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6" t="str">
        <f aca="false">IF(SUM(Y279:AJ279)=0,"",SUM(Y279:AJ279))</f>
        <v/>
      </c>
      <c r="AL279" s="84" t="str">
        <f aca="false">MID(IF(N(Y279)&gt;0,", "&amp;Y$2,"")&amp;IF(N(Z279)&gt;0,", "&amp;Z$2,"")&amp;IF(N(AA279)&gt;0,", "&amp;AA$2,"")&amp;IF(N(AB279)&gt;0,", "&amp;AB$2,"")&amp;IF(N(AC279)&gt;0,", "&amp;AC$2,"")&amp;IF(N(AD279)&gt;0,", "&amp;AD$2,"")&amp;IF(N(AE279)&gt;0,", "&amp;AE$2,"")&amp;IF(N(AF279)&gt;0,", "&amp;AF$2,"")&amp;IF(N(AG279)&gt;0,", "&amp;AG$2,"")&amp;IF(N(AH279)&gt;0,", "&amp;AH$2,"")&amp;IF(N(AI279)&gt;0,", "&amp;AI$2,"")&amp;IF(N(AJ279)&gt;0,", "&amp;AJ$2,""),3,999)</f>
        <v/>
      </c>
      <c r="AM279" s="87" t="str">
        <f aca="false">IF(E279="","",MID(IF(N(Y279)&gt;0,", "&amp;A279&amp;"-"&amp;Y$2,"")&amp;IF(N(Z279)&gt;0,", "&amp;A279&amp;"-"&amp;Z$2,"")&amp;IF(N(AA279)&gt;0,", "&amp;A279&amp;"-"&amp;AA$2,"")&amp;IF(N(AB279)&gt;0,", "&amp;A279&amp;"-"&amp;AB$2,"")&amp;IF(N(AC279)&gt;0,", "&amp;A279&amp;"-"&amp;AC$2,"")&amp;IF(N(AD279)&gt;0,", "&amp;A279&amp;"-"&amp;AD$2,"")&amp;IF(N(AE279)&gt;0,", "&amp;A279&amp;"-"&amp;AE$2,"")&amp;IF(N(AF279)&gt;0,", "&amp;A279&amp;"-"&amp;AF$2,"")&amp;IF(N(AG279)&gt;0,", "&amp;A279&amp;"-"&amp;AG$2,"")&amp;IF(N(AH279)&gt;0,", "&amp;A279&amp;"-"&amp;AH$2,"")&amp;IF(N(AI279)&gt;0,", "&amp;A279&amp;"-"&amp;AI$2,"")&amp;IF(N(AJ279)&gt;0,", "&amp;A279&amp;"-"&amp;AJ$2,""),3,999))</f>
        <v/>
      </c>
      <c r="AN279" s="81"/>
      <c r="AO279" s="88"/>
      <c r="AP279" s="89" t="str">
        <f aca="false">IF(AO279="","",ROUND(AO279/(1+Справочники!$B$13),2))</f>
        <v/>
      </c>
      <c r="AQ279" s="90" t="str">
        <f aca="false" t="array" ref="AQ279:AQ279">IF(AP279="","",AP279*INDEX(Справочники!$B$4:$B$7,MATCH("RUB",Справочники!$A$4:$A$7,0)))</f>
        <v/>
      </c>
      <c r="AR279" s="90" t="str">
        <f aca="false">IF(AQ279="","",ROUND(AQ279*(1+Справочники!$B$12),0))</f>
        <v/>
      </c>
      <c r="AS279" s="90" t="str">
        <f aca="false">IF(AR279="","",ROUND(AR279*(1-Справочники!$B$11),0))</f>
        <v/>
      </c>
      <c r="AT279" s="88"/>
      <c r="AU279" s="90" t="str">
        <f aca="false">IF(AT279="","",ROUND(AT279/(1+Справочники!$B$12),0))</f>
        <v/>
      </c>
      <c r="AV279" s="90" t="str">
        <f aca="false">IF(AT279="","",ROUND(AT279*(1-Справочники!$B$15),0))</f>
        <v/>
      </c>
      <c r="AW279" s="90" t="str">
        <f aca="false">IF(AT279="","",ROUND(AT279*(1-Справочники!$B$16),0))</f>
        <v/>
      </c>
      <c r="AX279" s="90" t="str">
        <f aca="false">IF(AT279="","",ROUND(AT279*(1-Справочники!$B$17),0))</f>
        <v/>
      </c>
      <c r="AY279" s="90" t="str">
        <f aca="false">IF(AT279="","",ROUND(AT279*(1-Справочники!$B$18),0))</f>
        <v/>
      </c>
      <c r="AZ279" s="90" t="str">
        <f aca="false">IF(AT279="","",ROUND(AT279*(1-Справочники!$B$19),0))</f>
        <v/>
      </c>
      <c r="BA279" s="81"/>
      <c r="BB279" s="81"/>
      <c r="BC279" s="81"/>
      <c r="BD279" s="81"/>
      <c r="BE279" s="91"/>
      <c r="BF279" s="81" t="s">
        <v>103</v>
      </c>
      <c r="BG279" s="89" t="n">
        <f aca="false" t="array" ref="BG279:BG279">IF(BF279="","",IFERROR(INDEX(Справочники!$B$4:$B$7,MATCH(BF279,Справочники!$A$4:$A$7,0)),""))</f>
        <v>68.5</v>
      </c>
      <c r="BH279" s="90" t="str">
        <f aca="false">IF(N(BN279)&gt;0,ROUND(SUMIF(ЗАКАЗЫ!$F$3:$F$500,$A279,ЗАКАЗЫ!$Y$3:$Y$500)/BN279,0),IF(OR(BE279="",BG279=""),"",ROUND(BE279*BG279*(1+Справочники!$B$10),0)))</f>
        <v/>
      </c>
      <c r="BI279" s="92" t="str">
        <f aca="false">IF(OR(AU279="",BH279="",AU279=0),"",(AU279-BH279)/AU279)</f>
        <v/>
      </c>
      <c r="BJ279" s="81"/>
      <c r="BK279" s="83"/>
      <c r="BL279" s="43" t="str">
        <f aca="false">IFERROR(INDEX(ЗАКАЗЫ!$N$3:$N$500,MATCH($A279,ЗАКАЗЫ!$F$3:$F$500,0)),"")</f>
        <v/>
      </c>
      <c r="BM279" s="8" t="str">
        <f aca="false">IF(BL279="","",IFERROR(VLOOKUP(BL279,'ТН ВЭД'!$A$4:$C$40,3,0),""))</f>
        <v/>
      </c>
      <c r="BN279" s="7" t="str">
        <f aca="false">IF(COUNTIF(ЗАКАЗЫ!$F$3:$F$500,$A279)=0,"",SUMIF(ЗАКАЗЫ!$F$3:$F$500,$A279,ЗАКАЗЫ!$J$3:$J$500))</f>
        <v/>
      </c>
      <c r="BO279" s="7" t="str">
        <f aca="false">IF(BN279="","",SUMIF(ЗАКАЗЫ!$F$3:$F$500,$A279,ЗАКАЗЫ!$AL$3:$AL$500))</f>
        <v/>
      </c>
      <c r="BP279" s="7" t="str">
        <f aca="false">IF(BN279="","",BN279-BO279)</f>
        <v/>
      </c>
      <c r="BQ279" s="55" t="str">
        <f aca="false">IF(BN279="","",IF(BO279&gt;=BN279,"На складе",IF(BO279&gt;0,"Частично","Ждём")))</f>
        <v/>
      </c>
      <c r="BR279" s="43"/>
      <c r="BS279" s="47" t="str">
        <f aca="false">IF(BN279="","",IF(_xlfn.MAXIFS(ЗАКАЗЫ!$AK$3:$AK$500,ЗАКАЗЫ!$F$3:$F$500,$A279)=0,"",_xlfn.MAXIFS(ЗАКАЗЫ!$AK$3:$AK$500,ЗАКАЗЫ!$F$3:$F$500,$A279)))</f>
        <v/>
      </c>
    </row>
    <row r="280" customFormat="false" ht="15.75" hidden="false" customHeight="true" outlineLevel="0" collapsed="false">
      <c r="A280" s="80" t="s">
        <v>2820</v>
      </c>
      <c r="B280" s="81"/>
      <c r="C280" s="81"/>
      <c r="D280" s="81"/>
      <c r="E280" s="83"/>
      <c r="F280" s="81"/>
      <c r="G280" s="83"/>
      <c r="H280" s="83"/>
      <c r="I280" s="84" t="str">
        <f aca="false">IF(E280="","",A280&amp;"_1.jpg")</f>
        <v/>
      </c>
      <c r="J280" s="84" t="str">
        <f aca="false">IF(E280="","",A280&amp;"_2.jpg; "&amp;A280&amp;"_3.jpg")</f>
        <v/>
      </c>
      <c r="K280" s="84" t="str">
        <f aca="false">IF(E280="","",A280&amp;"_schema.jpg")</f>
        <v/>
      </c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 t="s">
        <v>96</v>
      </c>
      <c r="W280" s="81"/>
      <c r="X280" s="81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6" t="str">
        <f aca="false">IF(SUM(Y280:AJ280)=0,"",SUM(Y280:AJ280))</f>
        <v/>
      </c>
      <c r="AL280" s="84" t="str">
        <f aca="false">MID(IF(N(Y280)&gt;0,", "&amp;Y$2,"")&amp;IF(N(Z280)&gt;0,", "&amp;Z$2,"")&amp;IF(N(AA280)&gt;0,", "&amp;AA$2,"")&amp;IF(N(AB280)&gt;0,", "&amp;AB$2,"")&amp;IF(N(AC280)&gt;0,", "&amp;AC$2,"")&amp;IF(N(AD280)&gt;0,", "&amp;AD$2,"")&amp;IF(N(AE280)&gt;0,", "&amp;AE$2,"")&amp;IF(N(AF280)&gt;0,", "&amp;AF$2,"")&amp;IF(N(AG280)&gt;0,", "&amp;AG$2,"")&amp;IF(N(AH280)&gt;0,", "&amp;AH$2,"")&amp;IF(N(AI280)&gt;0,", "&amp;AI$2,"")&amp;IF(N(AJ280)&gt;0,", "&amp;AJ$2,""),3,999)</f>
        <v/>
      </c>
      <c r="AM280" s="87" t="str">
        <f aca="false">IF(E280="","",MID(IF(N(Y280)&gt;0,", "&amp;A280&amp;"-"&amp;Y$2,"")&amp;IF(N(Z280)&gt;0,", "&amp;A280&amp;"-"&amp;Z$2,"")&amp;IF(N(AA280)&gt;0,", "&amp;A280&amp;"-"&amp;AA$2,"")&amp;IF(N(AB280)&gt;0,", "&amp;A280&amp;"-"&amp;AB$2,"")&amp;IF(N(AC280)&gt;0,", "&amp;A280&amp;"-"&amp;AC$2,"")&amp;IF(N(AD280)&gt;0,", "&amp;A280&amp;"-"&amp;AD$2,"")&amp;IF(N(AE280)&gt;0,", "&amp;A280&amp;"-"&amp;AE$2,"")&amp;IF(N(AF280)&gt;0,", "&amp;A280&amp;"-"&amp;AF$2,"")&amp;IF(N(AG280)&gt;0,", "&amp;A280&amp;"-"&amp;AG$2,"")&amp;IF(N(AH280)&gt;0,", "&amp;A280&amp;"-"&amp;AH$2,"")&amp;IF(N(AI280)&gt;0,", "&amp;A280&amp;"-"&amp;AI$2,"")&amp;IF(N(AJ280)&gt;0,", "&amp;A280&amp;"-"&amp;AJ$2,""),3,999))</f>
        <v/>
      </c>
      <c r="AN280" s="81"/>
      <c r="AO280" s="88"/>
      <c r="AP280" s="89" t="str">
        <f aca="false">IF(AO280="","",ROUND(AO280/(1+Справочники!$B$13),2))</f>
        <v/>
      </c>
      <c r="AQ280" s="90" t="str">
        <f aca="false" t="array" ref="AQ280:AQ280">IF(AP280="","",AP280*INDEX(Справочники!$B$4:$B$7,MATCH("RUB",Справочники!$A$4:$A$7,0)))</f>
        <v/>
      </c>
      <c r="AR280" s="90" t="str">
        <f aca="false">IF(AQ280="","",ROUND(AQ280*(1+Справочники!$B$12),0))</f>
        <v/>
      </c>
      <c r="AS280" s="90" t="str">
        <f aca="false">IF(AR280="","",ROUND(AR280*(1-Справочники!$B$11),0))</f>
        <v/>
      </c>
      <c r="AT280" s="88"/>
      <c r="AU280" s="90" t="str">
        <f aca="false">IF(AT280="","",ROUND(AT280/(1+Справочники!$B$12),0))</f>
        <v/>
      </c>
      <c r="AV280" s="90" t="str">
        <f aca="false">IF(AT280="","",ROUND(AT280*(1-Справочники!$B$15),0))</f>
        <v/>
      </c>
      <c r="AW280" s="90" t="str">
        <f aca="false">IF(AT280="","",ROUND(AT280*(1-Справочники!$B$16),0))</f>
        <v/>
      </c>
      <c r="AX280" s="90" t="str">
        <f aca="false">IF(AT280="","",ROUND(AT280*(1-Справочники!$B$17),0))</f>
        <v/>
      </c>
      <c r="AY280" s="90" t="str">
        <f aca="false">IF(AT280="","",ROUND(AT280*(1-Справочники!$B$18),0))</f>
        <v/>
      </c>
      <c r="AZ280" s="90" t="str">
        <f aca="false">IF(AT280="","",ROUND(AT280*(1-Справочники!$B$19),0))</f>
        <v/>
      </c>
      <c r="BA280" s="81"/>
      <c r="BB280" s="81"/>
      <c r="BC280" s="81"/>
      <c r="BD280" s="81"/>
      <c r="BE280" s="91"/>
      <c r="BF280" s="81" t="s">
        <v>103</v>
      </c>
      <c r="BG280" s="89" t="n">
        <f aca="false" t="array" ref="BG280:BG280">IF(BF280="","",IFERROR(INDEX(Справочники!$B$4:$B$7,MATCH(BF280,Справочники!$A$4:$A$7,0)),""))</f>
        <v>68.5</v>
      </c>
      <c r="BH280" s="90" t="str">
        <f aca="false">IF(N(BN280)&gt;0,ROUND(SUMIF(ЗАКАЗЫ!$F$3:$F$500,$A280,ЗАКАЗЫ!$Y$3:$Y$500)/BN280,0),IF(OR(BE280="",BG280=""),"",ROUND(BE280*BG280*(1+Справочники!$B$10),0)))</f>
        <v/>
      </c>
      <c r="BI280" s="92" t="str">
        <f aca="false">IF(OR(AU280="",BH280="",AU280=0),"",(AU280-BH280)/AU280)</f>
        <v/>
      </c>
      <c r="BJ280" s="81"/>
      <c r="BK280" s="83"/>
      <c r="BL280" s="43" t="str">
        <f aca="false">IFERROR(INDEX(ЗАКАЗЫ!$N$3:$N$500,MATCH($A280,ЗАКАЗЫ!$F$3:$F$500,0)),"")</f>
        <v/>
      </c>
      <c r="BM280" s="8" t="str">
        <f aca="false">IF(BL280="","",IFERROR(VLOOKUP(BL280,'ТН ВЭД'!$A$4:$C$40,3,0),""))</f>
        <v/>
      </c>
      <c r="BN280" s="7" t="str">
        <f aca="false">IF(COUNTIF(ЗАКАЗЫ!$F$3:$F$500,$A280)=0,"",SUMIF(ЗАКАЗЫ!$F$3:$F$500,$A280,ЗАКАЗЫ!$J$3:$J$500))</f>
        <v/>
      </c>
      <c r="BO280" s="7" t="str">
        <f aca="false">IF(BN280="","",SUMIF(ЗАКАЗЫ!$F$3:$F$500,$A280,ЗАКАЗЫ!$AL$3:$AL$500))</f>
        <v/>
      </c>
      <c r="BP280" s="7" t="str">
        <f aca="false">IF(BN280="","",BN280-BO280)</f>
        <v/>
      </c>
      <c r="BQ280" s="55" t="str">
        <f aca="false">IF(BN280="","",IF(BO280&gt;=BN280,"На складе",IF(BO280&gt;0,"Частично","Ждём")))</f>
        <v/>
      </c>
      <c r="BR280" s="43"/>
      <c r="BS280" s="47" t="str">
        <f aca="false">IF(BN280="","",IF(_xlfn.MAXIFS(ЗАКАЗЫ!$AK$3:$AK$500,ЗАКАЗЫ!$F$3:$F$500,$A280)=0,"",_xlfn.MAXIFS(ЗАКАЗЫ!$AK$3:$AK$500,ЗАКАЗЫ!$F$3:$F$500,$A280)))</f>
        <v/>
      </c>
    </row>
    <row r="281" customFormat="false" ht="15.75" hidden="false" customHeight="true" outlineLevel="0" collapsed="false">
      <c r="A281" s="80" t="s">
        <v>2821</v>
      </c>
      <c r="B281" s="81"/>
      <c r="C281" s="81"/>
      <c r="D281" s="81"/>
      <c r="E281" s="83"/>
      <c r="F281" s="81"/>
      <c r="G281" s="83"/>
      <c r="H281" s="83"/>
      <c r="I281" s="84" t="str">
        <f aca="false">IF(E281="","",A281&amp;"_1.jpg")</f>
        <v/>
      </c>
      <c r="J281" s="84" t="str">
        <f aca="false">IF(E281="","",A281&amp;"_2.jpg; "&amp;A281&amp;"_3.jpg")</f>
        <v/>
      </c>
      <c r="K281" s="84" t="str">
        <f aca="false">IF(E281="","",A281&amp;"_schema.jpg")</f>
        <v/>
      </c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 t="s">
        <v>96</v>
      </c>
      <c r="W281" s="81"/>
      <c r="X281" s="81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6" t="str">
        <f aca="false">IF(SUM(Y281:AJ281)=0,"",SUM(Y281:AJ281))</f>
        <v/>
      </c>
      <c r="AL281" s="84" t="str">
        <f aca="false">MID(IF(N(Y281)&gt;0,", "&amp;Y$2,"")&amp;IF(N(Z281)&gt;0,", "&amp;Z$2,"")&amp;IF(N(AA281)&gt;0,", "&amp;AA$2,"")&amp;IF(N(AB281)&gt;0,", "&amp;AB$2,"")&amp;IF(N(AC281)&gt;0,", "&amp;AC$2,"")&amp;IF(N(AD281)&gt;0,", "&amp;AD$2,"")&amp;IF(N(AE281)&gt;0,", "&amp;AE$2,"")&amp;IF(N(AF281)&gt;0,", "&amp;AF$2,"")&amp;IF(N(AG281)&gt;0,", "&amp;AG$2,"")&amp;IF(N(AH281)&gt;0,", "&amp;AH$2,"")&amp;IF(N(AI281)&gt;0,", "&amp;AI$2,"")&amp;IF(N(AJ281)&gt;0,", "&amp;AJ$2,""),3,999)</f>
        <v/>
      </c>
      <c r="AM281" s="87" t="str">
        <f aca="false">IF(E281="","",MID(IF(N(Y281)&gt;0,", "&amp;A281&amp;"-"&amp;Y$2,"")&amp;IF(N(Z281)&gt;0,", "&amp;A281&amp;"-"&amp;Z$2,"")&amp;IF(N(AA281)&gt;0,", "&amp;A281&amp;"-"&amp;AA$2,"")&amp;IF(N(AB281)&gt;0,", "&amp;A281&amp;"-"&amp;AB$2,"")&amp;IF(N(AC281)&gt;0,", "&amp;A281&amp;"-"&amp;AC$2,"")&amp;IF(N(AD281)&gt;0,", "&amp;A281&amp;"-"&amp;AD$2,"")&amp;IF(N(AE281)&gt;0,", "&amp;A281&amp;"-"&amp;AE$2,"")&amp;IF(N(AF281)&gt;0,", "&amp;A281&amp;"-"&amp;AF$2,"")&amp;IF(N(AG281)&gt;0,", "&amp;A281&amp;"-"&amp;AG$2,"")&amp;IF(N(AH281)&gt;0,", "&amp;A281&amp;"-"&amp;AH$2,"")&amp;IF(N(AI281)&gt;0,", "&amp;A281&amp;"-"&amp;AI$2,"")&amp;IF(N(AJ281)&gt;0,", "&amp;A281&amp;"-"&amp;AJ$2,""),3,999))</f>
        <v/>
      </c>
      <c r="AN281" s="81"/>
      <c r="AO281" s="88"/>
      <c r="AP281" s="89" t="str">
        <f aca="false">IF(AO281="","",ROUND(AO281/(1+Справочники!$B$13),2))</f>
        <v/>
      </c>
      <c r="AQ281" s="90" t="str">
        <f aca="false" t="array" ref="AQ281:AQ281">IF(AP281="","",AP281*INDEX(Справочники!$B$4:$B$7,MATCH("RUB",Справочники!$A$4:$A$7,0)))</f>
        <v/>
      </c>
      <c r="AR281" s="90" t="str">
        <f aca="false">IF(AQ281="","",ROUND(AQ281*(1+Справочники!$B$12),0))</f>
        <v/>
      </c>
      <c r="AS281" s="90" t="str">
        <f aca="false">IF(AR281="","",ROUND(AR281*(1-Справочники!$B$11),0))</f>
        <v/>
      </c>
      <c r="AT281" s="88"/>
      <c r="AU281" s="90" t="str">
        <f aca="false">IF(AT281="","",ROUND(AT281/(1+Справочники!$B$12),0))</f>
        <v/>
      </c>
      <c r="AV281" s="90" t="str">
        <f aca="false">IF(AT281="","",ROUND(AT281*(1-Справочники!$B$15),0))</f>
        <v/>
      </c>
      <c r="AW281" s="90" t="str">
        <f aca="false">IF(AT281="","",ROUND(AT281*(1-Справочники!$B$16),0))</f>
        <v/>
      </c>
      <c r="AX281" s="90" t="str">
        <f aca="false">IF(AT281="","",ROUND(AT281*(1-Справочники!$B$17),0))</f>
        <v/>
      </c>
      <c r="AY281" s="90" t="str">
        <f aca="false">IF(AT281="","",ROUND(AT281*(1-Справочники!$B$18),0))</f>
        <v/>
      </c>
      <c r="AZ281" s="90" t="str">
        <f aca="false">IF(AT281="","",ROUND(AT281*(1-Справочники!$B$19),0))</f>
        <v/>
      </c>
      <c r="BA281" s="81"/>
      <c r="BB281" s="81"/>
      <c r="BC281" s="81"/>
      <c r="BD281" s="81"/>
      <c r="BE281" s="91"/>
      <c r="BF281" s="81" t="s">
        <v>103</v>
      </c>
      <c r="BG281" s="89" t="n">
        <f aca="false" t="array" ref="BG281:BG281">IF(BF281="","",IFERROR(INDEX(Справочники!$B$4:$B$7,MATCH(BF281,Справочники!$A$4:$A$7,0)),""))</f>
        <v>68.5</v>
      </c>
      <c r="BH281" s="90" t="str">
        <f aca="false">IF(N(BN281)&gt;0,ROUND(SUMIF(ЗАКАЗЫ!$F$3:$F$500,$A281,ЗАКАЗЫ!$Y$3:$Y$500)/BN281,0),IF(OR(BE281="",BG281=""),"",ROUND(BE281*BG281*(1+Справочники!$B$10),0)))</f>
        <v/>
      </c>
      <c r="BI281" s="92" t="str">
        <f aca="false">IF(OR(AU281="",BH281="",AU281=0),"",(AU281-BH281)/AU281)</f>
        <v/>
      </c>
      <c r="BJ281" s="81"/>
      <c r="BK281" s="83"/>
      <c r="BL281" s="43" t="str">
        <f aca="false">IFERROR(INDEX(ЗАКАЗЫ!$N$3:$N$500,MATCH($A281,ЗАКАЗЫ!$F$3:$F$500,0)),"")</f>
        <v/>
      </c>
      <c r="BM281" s="8" t="str">
        <f aca="false">IF(BL281="","",IFERROR(VLOOKUP(BL281,'ТН ВЭД'!$A$4:$C$40,3,0),""))</f>
        <v/>
      </c>
      <c r="BN281" s="7" t="str">
        <f aca="false">IF(COUNTIF(ЗАКАЗЫ!$F$3:$F$500,$A281)=0,"",SUMIF(ЗАКАЗЫ!$F$3:$F$500,$A281,ЗАКАЗЫ!$J$3:$J$500))</f>
        <v/>
      </c>
      <c r="BO281" s="7" t="str">
        <f aca="false">IF(BN281="","",SUMIF(ЗАКАЗЫ!$F$3:$F$500,$A281,ЗАКАЗЫ!$AL$3:$AL$500))</f>
        <v/>
      </c>
      <c r="BP281" s="7" t="str">
        <f aca="false">IF(BN281="","",BN281-BO281)</f>
        <v/>
      </c>
      <c r="BQ281" s="55" t="str">
        <f aca="false">IF(BN281="","",IF(BO281&gt;=BN281,"На складе",IF(BO281&gt;0,"Частично","Ждём")))</f>
        <v/>
      </c>
      <c r="BR281" s="43"/>
      <c r="BS281" s="47" t="str">
        <f aca="false">IF(BN281="","",IF(_xlfn.MAXIFS(ЗАКАЗЫ!$AK$3:$AK$500,ЗАКАЗЫ!$F$3:$F$500,$A281)=0,"",_xlfn.MAXIFS(ЗАКАЗЫ!$AK$3:$AK$500,ЗАКАЗЫ!$F$3:$F$500,$A281)))</f>
        <v/>
      </c>
    </row>
    <row r="282" customFormat="false" ht="15.75" hidden="false" customHeight="true" outlineLevel="0" collapsed="false">
      <c r="A282" s="80" t="s">
        <v>2822</v>
      </c>
      <c r="B282" s="81"/>
      <c r="C282" s="81"/>
      <c r="D282" s="81"/>
      <c r="E282" s="83"/>
      <c r="F282" s="81"/>
      <c r="G282" s="83"/>
      <c r="H282" s="83"/>
      <c r="I282" s="84" t="str">
        <f aca="false">IF(E282="","",A282&amp;"_1.jpg")</f>
        <v/>
      </c>
      <c r="J282" s="84" t="str">
        <f aca="false">IF(E282="","",A282&amp;"_2.jpg; "&amp;A282&amp;"_3.jpg")</f>
        <v/>
      </c>
      <c r="K282" s="84" t="str">
        <f aca="false">IF(E282="","",A282&amp;"_schema.jpg")</f>
        <v/>
      </c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 t="s">
        <v>96</v>
      </c>
      <c r="W282" s="81"/>
      <c r="X282" s="81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6" t="str">
        <f aca="false">IF(SUM(Y282:AJ282)=0,"",SUM(Y282:AJ282))</f>
        <v/>
      </c>
      <c r="AL282" s="84" t="str">
        <f aca="false">MID(IF(N(Y282)&gt;0,", "&amp;Y$2,"")&amp;IF(N(Z282)&gt;0,", "&amp;Z$2,"")&amp;IF(N(AA282)&gt;0,", "&amp;AA$2,"")&amp;IF(N(AB282)&gt;0,", "&amp;AB$2,"")&amp;IF(N(AC282)&gt;0,", "&amp;AC$2,"")&amp;IF(N(AD282)&gt;0,", "&amp;AD$2,"")&amp;IF(N(AE282)&gt;0,", "&amp;AE$2,"")&amp;IF(N(AF282)&gt;0,", "&amp;AF$2,"")&amp;IF(N(AG282)&gt;0,", "&amp;AG$2,"")&amp;IF(N(AH282)&gt;0,", "&amp;AH$2,"")&amp;IF(N(AI282)&gt;0,", "&amp;AI$2,"")&amp;IF(N(AJ282)&gt;0,", "&amp;AJ$2,""),3,999)</f>
        <v/>
      </c>
      <c r="AM282" s="87" t="str">
        <f aca="false">IF(E282="","",MID(IF(N(Y282)&gt;0,", "&amp;A282&amp;"-"&amp;Y$2,"")&amp;IF(N(Z282)&gt;0,", "&amp;A282&amp;"-"&amp;Z$2,"")&amp;IF(N(AA282)&gt;0,", "&amp;A282&amp;"-"&amp;AA$2,"")&amp;IF(N(AB282)&gt;0,", "&amp;A282&amp;"-"&amp;AB$2,"")&amp;IF(N(AC282)&gt;0,", "&amp;A282&amp;"-"&amp;AC$2,"")&amp;IF(N(AD282)&gt;0,", "&amp;A282&amp;"-"&amp;AD$2,"")&amp;IF(N(AE282)&gt;0,", "&amp;A282&amp;"-"&amp;AE$2,"")&amp;IF(N(AF282)&gt;0,", "&amp;A282&amp;"-"&amp;AF$2,"")&amp;IF(N(AG282)&gt;0,", "&amp;A282&amp;"-"&amp;AG$2,"")&amp;IF(N(AH282)&gt;0,", "&amp;A282&amp;"-"&amp;AH$2,"")&amp;IF(N(AI282)&gt;0,", "&amp;A282&amp;"-"&amp;AI$2,"")&amp;IF(N(AJ282)&gt;0,", "&amp;A282&amp;"-"&amp;AJ$2,""),3,999))</f>
        <v/>
      </c>
      <c r="AN282" s="81"/>
      <c r="AO282" s="88"/>
      <c r="AP282" s="89" t="str">
        <f aca="false">IF(AO282="","",ROUND(AO282/(1+Справочники!$B$13),2))</f>
        <v/>
      </c>
      <c r="AQ282" s="90" t="str">
        <f aca="false" t="array" ref="AQ282:AQ282">IF(AP282="","",AP282*INDEX(Справочники!$B$4:$B$7,MATCH("RUB",Справочники!$A$4:$A$7,0)))</f>
        <v/>
      </c>
      <c r="AR282" s="90" t="str">
        <f aca="false">IF(AQ282="","",ROUND(AQ282*(1+Справочники!$B$12),0))</f>
        <v/>
      </c>
      <c r="AS282" s="90" t="str">
        <f aca="false">IF(AR282="","",ROUND(AR282*(1-Справочники!$B$11),0))</f>
        <v/>
      </c>
      <c r="AT282" s="88"/>
      <c r="AU282" s="90" t="str">
        <f aca="false">IF(AT282="","",ROUND(AT282/(1+Справочники!$B$12),0))</f>
        <v/>
      </c>
      <c r="AV282" s="90" t="str">
        <f aca="false">IF(AT282="","",ROUND(AT282*(1-Справочники!$B$15),0))</f>
        <v/>
      </c>
      <c r="AW282" s="90" t="str">
        <f aca="false">IF(AT282="","",ROUND(AT282*(1-Справочники!$B$16),0))</f>
        <v/>
      </c>
      <c r="AX282" s="90" t="str">
        <f aca="false">IF(AT282="","",ROUND(AT282*(1-Справочники!$B$17),0))</f>
        <v/>
      </c>
      <c r="AY282" s="90" t="str">
        <f aca="false">IF(AT282="","",ROUND(AT282*(1-Справочники!$B$18),0))</f>
        <v/>
      </c>
      <c r="AZ282" s="90" t="str">
        <f aca="false">IF(AT282="","",ROUND(AT282*(1-Справочники!$B$19),0))</f>
        <v/>
      </c>
      <c r="BA282" s="81"/>
      <c r="BB282" s="81"/>
      <c r="BC282" s="81"/>
      <c r="BD282" s="81"/>
      <c r="BE282" s="91"/>
      <c r="BF282" s="81" t="s">
        <v>103</v>
      </c>
      <c r="BG282" s="89" t="n">
        <f aca="false" t="array" ref="BG282:BG282">IF(BF282="","",IFERROR(INDEX(Справочники!$B$4:$B$7,MATCH(BF282,Справочники!$A$4:$A$7,0)),""))</f>
        <v>68.5</v>
      </c>
      <c r="BH282" s="90" t="str">
        <f aca="false">IF(N(BN282)&gt;0,ROUND(SUMIF(ЗАКАЗЫ!$F$3:$F$500,$A282,ЗАКАЗЫ!$Y$3:$Y$500)/BN282,0),IF(OR(BE282="",BG282=""),"",ROUND(BE282*BG282*(1+Справочники!$B$10),0)))</f>
        <v/>
      </c>
      <c r="BI282" s="92" t="str">
        <f aca="false">IF(OR(AU282="",BH282="",AU282=0),"",(AU282-BH282)/AU282)</f>
        <v/>
      </c>
      <c r="BJ282" s="81"/>
      <c r="BK282" s="83"/>
      <c r="BL282" s="43" t="str">
        <f aca="false">IFERROR(INDEX(ЗАКАЗЫ!$N$3:$N$500,MATCH($A282,ЗАКАЗЫ!$F$3:$F$500,0)),"")</f>
        <v/>
      </c>
      <c r="BM282" s="8" t="str">
        <f aca="false">IF(BL282="","",IFERROR(VLOOKUP(BL282,'ТН ВЭД'!$A$4:$C$40,3,0),""))</f>
        <v/>
      </c>
      <c r="BN282" s="7" t="str">
        <f aca="false">IF(COUNTIF(ЗАКАЗЫ!$F$3:$F$500,$A282)=0,"",SUMIF(ЗАКАЗЫ!$F$3:$F$500,$A282,ЗАКАЗЫ!$J$3:$J$500))</f>
        <v/>
      </c>
      <c r="BO282" s="7" t="str">
        <f aca="false">IF(BN282="","",SUMIF(ЗАКАЗЫ!$F$3:$F$500,$A282,ЗАКАЗЫ!$AL$3:$AL$500))</f>
        <v/>
      </c>
      <c r="BP282" s="7" t="str">
        <f aca="false">IF(BN282="","",BN282-BO282)</f>
        <v/>
      </c>
      <c r="BQ282" s="55" t="str">
        <f aca="false">IF(BN282="","",IF(BO282&gt;=BN282,"На складе",IF(BO282&gt;0,"Частично","Ждём")))</f>
        <v/>
      </c>
      <c r="BR282" s="43"/>
      <c r="BS282" s="47" t="str">
        <f aca="false">IF(BN282="","",IF(_xlfn.MAXIFS(ЗАКАЗЫ!$AK$3:$AK$500,ЗАКАЗЫ!$F$3:$F$500,$A282)=0,"",_xlfn.MAXIFS(ЗАКАЗЫ!$AK$3:$AK$500,ЗАКАЗЫ!$F$3:$F$500,$A282)))</f>
        <v/>
      </c>
    </row>
    <row r="283" customFormat="false" ht="15.75" hidden="false" customHeight="true" outlineLevel="0" collapsed="false">
      <c r="A283" s="80" t="s">
        <v>2823</v>
      </c>
      <c r="B283" s="81"/>
      <c r="C283" s="81"/>
      <c r="D283" s="81"/>
      <c r="E283" s="83"/>
      <c r="F283" s="81"/>
      <c r="G283" s="83"/>
      <c r="H283" s="83"/>
      <c r="I283" s="84" t="str">
        <f aca="false">IF(E283="","",A283&amp;"_1.jpg")</f>
        <v/>
      </c>
      <c r="J283" s="84" t="str">
        <f aca="false">IF(E283="","",A283&amp;"_2.jpg; "&amp;A283&amp;"_3.jpg")</f>
        <v/>
      </c>
      <c r="K283" s="84" t="str">
        <f aca="false">IF(E283="","",A283&amp;"_schema.jpg")</f>
        <v/>
      </c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 t="s">
        <v>96</v>
      </c>
      <c r="W283" s="81"/>
      <c r="X283" s="81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6" t="str">
        <f aca="false">IF(SUM(Y283:AJ283)=0,"",SUM(Y283:AJ283))</f>
        <v/>
      </c>
      <c r="AL283" s="84" t="str">
        <f aca="false">MID(IF(N(Y283)&gt;0,", "&amp;Y$2,"")&amp;IF(N(Z283)&gt;0,", "&amp;Z$2,"")&amp;IF(N(AA283)&gt;0,", "&amp;AA$2,"")&amp;IF(N(AB283)&gt;0,", "&amp;AB$2,"")&amp;IF(N(AC283)&gt;0,", "&amp;AC$2,"")&amp;IF(N(AD283)&gt;0,", "&amp;AD$2,"")&amp;IF(N(AE283)&gt;0,", "&amp;AE$2,"")&amp;IF(N(AF283)&gt;0,", "&amp;AF$2,"")&amp;IF(N(AG283)&gt;0,", "&amp;AG$2,"")&amp;IF(N(AH283)&gt;0,", "&amp;AH$2,"")&amp;IF(N(AI283)&gt;0,", "&amp;AI$2,"")&amp;IF(N(AJ283)&gt;0,", "&amp;AJ$2,""),3,999)</f>
        <v/>
      </c>
      <c r="AM283" s="87" t="str">
        <f aca="false">IF(E283="","",MID(IF(N(Y283)&gt;0,", "&amp;A283&amp;"-"&amp;Y$2,"")&amp;IF(N(Z283)&gt;0,", "&amp;A283&amp;"-"&amp;Z$2,"")&amp;IF(N(AA283)&gt;0,", "&amp;A283&amp;"-"&amp;AA$2,"")&amp;IF(N(AB283)&gt;0,", "&amp;A283&amp;"-"&amp;AB$2,"")&amp;IF(N(AC283)&gt;0,", "&amp;A283&amp;"-"&amp;AC$2,"")&amp;IF(N(AD283)&gt;0,", "&amp;A283&amp;"-"&amp;AD$2,"")&amp;IF(N(AE283)&gt;0,", "&amp;A283&amp;"-"&amp;AE$2,"")&amp;IF(N(AF283)&gt;0,", "&amp;A283&amp;"-"&amp;AF$2,"")&amp;IF(N(AG283)&gt;0,", "&amp;A283&amp;"-"&amp;AG$2,"")&amp;IF(N(AH283)&gt;0,", "&amp;A283&amp;"-"&amp;AH$2,"")&amp;IF(N(AI283)&gt;0,", "&amp;A283&amp;"-"&amp;AI$2,"")&amp;IF(N(AJ283)&gt;0,", "&amp;A283&amp;"-"&amp;AJ$2,""),3,999))</f>
        <v/>
      </c>
      <c r="AN283" s="81"/>
      <c r="AO283" s="88"/>
      <c r="AP283" s="89" t="str">
        <f aca="false">IF(AO283="","",ROUND(AO283/(1+Справочники!$B$13),2))</f>
        <v/>
      </c>
      <c r="AQ283" s="90" t="str">
        <f aca="false" t="array" ref="AQ283:AQ283">IF(AP283="","",AP283*INDEX(Справочники!$B$4:$B$7,MATCH("RUB",Справочники!$A$4:$A$7,0)))</f>
        <v/>
      </c>
      <c r="AR283" s="90" t="str">
        <f aca="false">IF(AQ283="","",ROUND(AQ283*(1+Справочники!$B$12),0))</f>
        <v/>
      </c>
      <c r="AS283" s="90" t="str">
        <f aca="false">IF(AR283="","",ROUND(AR283*(1-Справочники!$B$11),0))</f>
        <v/>
      </c>
      <c r="AT283" s="88"/>
      <c r="AU283" s="90" t="str">
        <f aca="false">IF(AT283="","",ROUND(AT283/(1+Справочники!$B$12),0))</f>
        <v/>
      </c>
      <c r="AV283" s="90" t="str">
        <f aca="false">IF(AT283="","",ROUND(AT283*(1-Справочники!$B$15),0))</f>
        <v/>
      </c>
      <c r="AW283" s="90" t="str">
        <f aca="false">IF(AT283="","",ROUND(AT283*(1-Справочники!$B$16),0))</f>
        <v/>
      </c>
      <c r="AX283" s="90" t="str">
        <f aca="false">IF(AT283="","",ROUND(AT283*(1-Справочники!$B$17),0))</f>
        <v/>
      </c>
      <c r="AY283" s="90" t="str">
        <f aca="false">IF(AT283="","",ROUND(AT283*(1-Справочники!$B$18),0))</f>
        <v/>
      </c>
      <c r="AZ283" s="90" t="str">
        <f aca="false">IF(AT283="","",ROUND(AT283*(1-Справочники!$B$19),0))</f>
        <v/>
      </c>
      <c r="BA283" s="81"/>
      <c r="BB283" s="81"/>
      <c r="BC283" s="81"/>
      <c r="BD283" s="81"/>
      <c r="BE283" s="91"/>
      <c r="BF283" s="81" t="s">
        <v>103</v>
      </c>
      <c r="BG283" s="89" t="n">
        <f aca="false" t="array" ref="BG283:BG283">IF(BF283="","",IFERROR(INDEX(Справочники!$B$4:$B$7,MATCH(BF283,Справочники!$A$4:$A$7,0)),""))</f>
        <v>68.5</v>
      </c>
      <c r="BH283" s="90" t="str">
        <f aca="false">IF(N(BN283)&gt;0,ROUND(SUMIF(ЗАКАЗЫ!$F$3:$F$500,$A283,ЗАКАЗЫ!$Y$3:$Y$500)/BN283,0),IF(OR(BE283="",BG283=""),"",ROUND(BE283*BG283*(1+Справочники!$B$10),0)))</f>
        <v/>
      </c>
      <c r="BI283" s="92" t="str">
        <f aca="false">IF(OR(AU283="",BH283="",AU283=0),"",(AU283-BH283)/AU283)</f>
        <v/>
      </c>
      <c r="BJ283" s="81"/>
      <c r="BK283" s="83"/>
      <c r="BL283" s="43" t="str">
        <f aca="false">IFERROR(INDEX(ЗАКАЗЫ!$N$3:$N$500,MATCH($A283,ЗАКАЗЫ!$F$3:$F$500,0)),"")</f>
        <v/>
      </c>
      <c r="BM283" s="8" t="str">
        <f aca="false">IF(BL283="","",IFERROR(VLOOKUP(BL283,'ТН ВЭД'!$A$4:$C$40,3,0),""))</f>
        <v/>
      </c>
      <c r="BN283" s="7" t="str">
        <f aca="false">IF(COUNTIF(ЗАКАЗЫ!$F$3:$F$500,$A283)=0,"",SUMIF(ЗАКАЗЫ!$F$3:$F$500,$A283,ЗАКАЗЫ!$J$3:$J$500))</f>
        <v/>
      </c>
      <c r="BO283" s="7" t="str">
        <f aca="false">IF(BN283="","",SUMIF(ЗАКАЗЫ!$F$3:$F$500,$A283,ЗАКАЗЫ!$AL$3:$AL$500))</f>
        <v/>
      </c>
      <c r="BP283" s="7" t="str">
        <f aca="false">IF(BN283="","",BN283-BO283)</f>
        <v/>
      </c>
      <c r="BQ283" s="55" t="str">
        <f aca="false">IF(BN283="","",IF(BO283&gt;=BN283,"На складе",IF(BO283&gt;0,"Частично","Ждём")))</f>
        <v/>
      </c>
      <c r="BR283" s="43"/>
      <c r="BS283" s="47" t="str">
        <f aca="false">IF(BN283="","",IF(_xlfn.MAXIFS(ЗАКАЗЫ!$AK$3:$AK$500,ЗАКАЗЫ!$F$3:$F$500,$A283)=0,"",_xlfn.MAXIFS(ЗАКАЗЫ!$AK$3:$AK$500,ЗАКАЗЫ!$F$3:$F$500,$A283)))</f>
        <v/>
      </c>
    </row>
    <row r="284" customFormat="false" ht="15.75" hidden="false" customHeight="true" outlineLevel="0" collapsed="false">
      <c r="A284" s="80" t="s">
        <v>2824</v>
      </c>
      <c r="B284" s="81"/>
      <c r="C284" s="81"/>
      <c r="D284" s="81"/>
      <c r="E284" s="83"/>
      <c r="F284" s="81"/>
      <c r="G284" s="83"/>
      <c r="H284" s="83"/>
      <c r="I284" s="84" t="str">
        <f aca="false">IF(E284="","",A284&amp;"_1.jpg")</f>
        <v/>
      </c>
      <c r="J284" s="84" t="str">
        <f aca="false">IF(E284="","",A284&amp;"_2.jpg; "&amp;A284&amp;"_3.jpg")</f>
        <v/>
      </c>
      <c r="K284" s="84" t="str">
        <f aca="false">IF(E284="","",A284&amp;"_schema.jpg")</f>
        <v/>
      </c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 t="s">
        <v>96</v>
      </c>
      <c r="W284" s="81"/>
      <c r="X284" s="81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6" t="str">
        <f aca="false">IF(SUM(Y284:AJ284)=0,"",SUM(Y284:AJ284))</f>
        <v/>
      </c>
      <c r="AL284" s="84" t="str">
        <f aca="false">MID(IF(N(Y284)&gt;0,", "&amp;Y$2,"")&amp;IF(N(Z284)&gt;0,", "&amp;Z$2,"")&amp;IF(N(AA284)&gt;0,", "&amp;AA$2,"")&amp;IF(N(AB284)&gt;0,", "&amp;AB$2,"")&amp;IF(N(AC284)&gt;0,", "&amp;AC$2,"")&amp;IF(N(AD284)&gt;0,", "&amp;AD$2,"")&amp;IF(N(AE284)&gt;0,", "&amp;AE$2,"")&amp;IF(N(AF284)&gt;0,", "&amp;AF$2,"")&amp;IF(N(AG284)&gt;0,", "&amp;AG$2,"")&amp;IF(N(AH284)&gt;0,", "&amp;AH$2,"")&amp;IF(N(AI284)&gt;0,", "&amp;AI$2,"")&amp;IF(N(AJ284)&gt;0,", "&amp;AJ$2,""),3,999)</f>
        <v/>
      </c>
      <c r="AM284" s="87" t="str">
        <f aca="false">IF(E284="","",MID(IF(N(Y284)&gt;0,", "&amp;A284&amp;"-"&amp;Y$2,"")&amp;IF(N(Z284)&gt;0,", "&amp;A284&amp;"-"&amp;Z$2,"")&amp;IF(N(AA284)&gt;0,", "&amp;A284&amp;"-"&amp;AA$2,"")&amp;IF(N(AB284)&gt;0,", "&amp;A284&amp;"-"&amp;AB$2,"")&amp;IF(N(AC284)&gt;0,", "&amp;A284&amp;"-"&amp;AC$2,"")&amp;IF(N(AD284)&gt;0,", "&amp;A284&amp;"-"&amp;AD$2,"")&amp;IF(N(AE284)&gt;0,", "&amp;A284&amp;"-"&amp;AE$2,"")&amp;IF(N(AF284)&gt;0,", "&amp;A284&amp;"-"&amp;AF$2,"")&amp;IF(N(AG284)&gt;0,", "&amp;A284&amp;"-"&amp;AG$2,"")&amp;IF(N(AH284)&gt;0,", "&amp;A284&amp;"-"&amp;AH$2,"")&amp;IF(N(AI284)&gt;0,", "&amp;A284&amp;"-"&amp;AI$2,"")&amp;IF(N(AJ284)&gt;0,", "&amp;A284&amp;"-"&amp;AJ$2,""),3,999))</f>
        <v/>
      </c>
      <c r="AN284" s="81"/>
      <c r="AO284" s="88"/>
      <c r="AP284" s="89" t="str">
        <f aca="false">IF(AO284="","",ROUND(AO284/(1+Справочники!$B$13),2))</f>
        <v/>
      </c>
      <c r="AQ284" s="90" t="str">
        <f aca="false" t="array" ref="AQ284:AQ284">IF(AP284="","",AP284*INDEX(Справочники!$B$4:$B$7,MATCH("RUB",Справочники!$A$4:$A$7,0)))</f>
        <v/>
      </c>
      <c r="AR284" s="90" t="str">
        <f aca="false">IF(AQ284="","",ROUND(AQ284*(1+Справочники!$B$12),0))</f>
        <v/>
      </c>
      <c r="AS284" s="90" t="str">
        <f aca="false">IF(AR284="","",ROUND(AR284*(1-Справочники!$B$11),0))</f>
        <v/>
      </c>
      <c r="AT284" s="88"/>
      <c r="AU284" s="90" t="str">
        <f aca="false">IF(AT284="","",ROUND(AT284/(1+Справочники!$B$12),0))</f>
        <v/>
      </c>
      <c r="AV284" s="90" t="str">
        <f aca="false">IF(AT284="","",ROUND(AT284*(1-Справочники!$B$15),0))</f>
        <v/>
      </c>
      <c r="AW284" s="90" t="str">
        <f aca="false">IF(AT284="","",ROUND(AT284*(1-Справочники!$B$16),0))</f>
        <v/>
      </c>
      <c r="AX284" s="90" t="str">
        <f aca="false">IF(AT284="","",ROUND(AT284*(1-Справочники!$B$17),0))</f>
        <v/>
      </c>
      <c r="AY284" s="90" t="str">
        <f aca="false">IF(AT284="","",ROUND(AT284*(1-Справочники!$B$18),0))</f>
        <v/>
      </c>
      <c r="AZ284" s="90" t="str">
        <f aca="false">IF(AT284="","",ROUND(AT284*(1-Справочники!$B$19),0))</f>
        <v/>
      </c>
      <c r="BA284" s="81"/>
      <c r="BB284" s="81"/>
      <c r="BC284" s="81"/>
      <c r="BD284" s="81"/>
      <c r="BE284" s="91"/>
      <c r="BF284" s="81" t="s">
        <v>103</v>
      </c>
      <c r="BG284" s="89" t="n">
        <f aca="false" t="array" ref="BG284:BG284">IF(BF284="","",IFERROR(INDEX(Справочники!$B$4:$B$7,MATCH(BF284,Справочники!$A$4:$A$7,0)),""))</f>
        <v>68.5</v>
      </c>
      <c r="BH284" s="90" t="str">
        <f aca="false">IF(N(BN284)&gt;0,ROUND(SUMIF(ЗАКАЗЫ!$F$3:$F$500,$A284,ЗАКАЗЫ!$Y$3:$Y$500)/BN284,0),IF(OR(BE284="",BG284=""),"",ROUND(BE284*BG284*(1+Справочники!$B$10),0)))</f>
        <v/>
      </c>
      <c r="BI284" s="92" t="str">
        <f aca="false">IF(OR(AU284="",BH284="",AU284=0),"",(AU284-BH284)/AU284)</f>
        <v/>
      </c>
      <c r="BJ284" s="81"/>
      <c r="BK284" s="83"/>
      <c r="BL284" s="43" t="str">
        <f aca="false">IFERROR(INDEX(ЗАКАЗЫ!$N$3:$N$500,MATCH($A284,ЗАКАЗЫ!$F$3:$F$500,0)),"")</f>
        <v/>
      </c>
      <c r="BM284" s="8" t="str">
        <f aca="false">IF(BL284="","",IFERROR(VLOOKUP(BL284,'ТН ВЭД'!$A$4:$C$40,3,0),""))</f>
        <v/>
      </c>
      <c r="BN284" s="7" t="str">
        <f aca="false">IF(COUNTIF(ЗАКАЗЫ!$F$3:$F$500,$A284)=0,"",SUMIF(ЗАКАЗЫ!$F$3:$F$500,$A284,ЗАКАЗЫ!$J$3:$J$500))</f>
        <v/>
      </c>
      <c r="BO284" s="7" t="str">
        <f aca="false">IF(BN284="","",SUMIF(ЗАКАЗЫ!$F$3:$F$500,$A284,ЗАКАЗЫ!$AL$3:$AL$500))</f>
        <v/>
      </c>
      <c r="BP284" s="7" t="str">
        <f aca="false">IF(BN284="","",BN284-BO284)</f>
        <v/>
      </c>
      <c r="BQ284" s="55" t="str">
        <f aca="false">IF(BN284="","",IF(BO284&gt;=BN284,"На складе",IF(BO284&gt;0,"Частично","Ждём")))</f>
        <v/>
      </c>
      <c r="BR284" s="43"/>
      <c r="BS284" s="47" t="str">
        <f aca="false">IF(BN284="","",IF(_xlfn.MAXIFS(ЗАКАЗЫ!$AK$3:$AK$500,ЗАКАЗЫ!$F$3:$F$500,$A284)=0,"",_xlfn.MAXIFS(ЗАКАЗЫ!$AK$3:$AK$500,ЗАКАЗЫ!$F$3:$F$500,$A284)))</f>
        <v/>
      </c>
    </row>
    <row r="285" customFormat="false" ht="15.75" hidden="false" customHeight="true" outlineLevel="0" collapsed="false">
      <c r="A285" s="80" t="s">
        <v>2825</v>
      </c>
      <c r="B285" s="81"/>
      <c r="C285" s="81"/>
      <c r="D285" s="81"/>
      <c r="E285" s="83"/>
      <c r="F285" s="81"/>
      <c r="G285" s="83"/>
      <c r="H285" s="83"/>
      <c r="I285" s="84" t="str">
        <f aca="false">IF(E285="","",A285&amp;"_1.jpg")</f>
        <v/>
      </c>
      <c r="J285" s="84" t="str">
        <f aca="false">IF(E285="","",A285&amp;"_2.jpg; "&amp;A285&amp;"_3.jpg")</f>
        <v/>
      </c>
      <c r="K285" s="84" t="str">
        <f aca="false">IF(E285="","",A285&amp;"_schema.jpg")</f>
        <v/>
      </c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 t="s">
        <v>96</v>
      </c>
      <c r="W285" s="81"/>
      <c r="X285" s="81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6" t="str">
        <f aca="false">IF(SUM(Y285:AJ285)=0,"",SUM(Y285:AJ285))</f>
        <v/>
      </c>
      <c r="AL285" s="84" t="str">
        <f aca="false">MID(IF(N(Y285)&gt;0,", "&amp;Y$2,"")&amp;IF(N(Z285)&gt;0,", "&amp;Z$2,"")&amp;IF(N(AA285)&gt;0,", "&amp;AA$2,"")&amp;IF(N(AB285)&gt;0,", "&amp;AB$2,"")&amp;IF(N(AC285)&gt;0,", "&amp;AC$2,"")&amp;IF(N(AD285)&gt;0,", "&amp;AD$2,"")&amp;IF(N(AE285)&gt;0,", "&amp;AE$2,"")&amp;IF(N(AF285)&gt;0,", "&amp;AF$2,"")&amp;IF(N(AG285)&gt;0,", "&amp;AG$2,"")&amp;IF(N(AH285)&gt;0,", "&amp;AH$2,"")&amp;IF(N(AI285)&gt;0,", "&amp;AI$2,"")&amp;IF(N(AJ285)&gt;0,", "&amp;AJ$2,""),3,999)</f>
        <v/>
      </c>
      <c r="AM285" s="87" t="str">
        <f aca="false">IF(E285="","",MID(IF(N(Y285)&gt;0,", "&amp;A285&amp;"-"&amp;Y$2,"")&amp;IF(N(Z285)&gt;0,", "&amp;A285&amp;"-"&amp;Z$2,"")&amp;IF(N(AA285)&gt;0,", "&amp;A285&amp;"-"&amp;AA$2,"")&amp;IF(N(AB285)&gt;0,", "&amp;A285&amp;"-"&amp;AB$2,"")&amp;IF(N(AC285)&gt;0,", "&amp;A285&amp;"-"&amp;AC$2,"")&amp;IF(N(AD285)&gt;0,", "&amp;A285&amp;"-"&amp;AD$2,"")&amp;IF(N(AE285)&gt;0,", "&amp;A285&amp;"-"&amp;AE$2,"")&amp;IF(N(AF285)&gt;0,", "&amp;A285&amp;"-"&amp;AF$2,"")&amp;IF(N(AG285)&gt;0,", "&amp;A285&amp;"-"&amp;AG$2,"")&amp;IF(N(AH285)&gt;0,", "&amp;A285&amp;"-"&amp;AH$2,"")&amp;IF(N(AI285)&gt;0,", "&amp;A285&amp;"-"&amp;AI$2,"")&amp;IF(N(AJ285)&gt;0,", "&amp;A285&amp;"-"&amp;AJ$2,""),3,999))</f>
        <v/>
      </c>
      <c r="AN285" s="81"/>
      <c r="AO285" s="88"/>
      <c r="AP285" s="89" t="str">
        <f aca="false">IF(AO285="","",ROUND(AO285/(1+Справочники!$B$13),2))</f>
        <v/>
      </c>
      <c r="AQ285" s="90" t="str">
        <f aca="false" t="array" ref="AQ285:AQ285">IF(AP285="","",AP285*INDEX(Справочники!$B$4:$B$7,MATCH("RUB",Справочники!$A$4:$A$7,0)))</f>
        <v/>
      </c>
      <c r="AR285" s="90" t="str">
        <f aca="false">IF(AQ285="","",ROUND(AQ285*(1+Справочники!$B$12),0))</f>
        <v/>
      </c>
      <c r="AS285" s="90" t="str">
        <f aca="false">IF(AR285="","",ROUND(AR285*(1-Справочники!$B$11),0))</f>
        <v/>
      </c>
      <c r="AT285" s="88"/>
      <c r="AU285" s="90" t="str">
        <f aca="false">IF(AT285="","",ROUND(AT285/(1+Справочники!$B$12),0))</f>
        <v/>
      </c>
      <c r="AV285" s="90" t="str">
        <f aca="false">IF(AT285="","",ROUND(AT285*(1-Справочники!$B$15),0))</f>
        <v/>
      </c>
      <c r="AW285" s="90" t="str">
        <f aca="false">IF(AT285="","",ROUND(AT285*(1-Справочники!$B$16),0))</f>
        <v/>
      </c>
      <c r="AX285" s="90" t="str">
        <f aca="false">IF(AT285="","",ROUND(AT285*(1-Справочники!$B$17),0))</f>
        <v/>
      </c>
      <c r="AY285" s="90" t="str">
        <f aca="false">IF(AT285="","",ROUND(AT285*(1-Справочники!$B$18),0))</f>
        <v/>
      </c>
      <c r="AZ285" s="90" t="str">
        <f aca="false">IF(AT285="","",ROUND(AT285*(1-Справочники!$B$19),0))</f>
        <v/>
      </c>
      <c r="BA285" s="81"/>
      <c r="BB285" s="81"/>
      <c r="BC285" s="81"/>
      <c r="BD285" s="81"/>
      <c r="BE285" s="91"/>
      <c r="BF285" s="81" t="s">
        <v>103</v>
      </c>
      <c r="BG285" s="89" t="n">
        <f aca="false" t="array" ref="BG285:BG285">IF(BF285="","",IFERROR(INDEX(Справочники!$B$4:$B$7,MATCH(BF285,Справочники!$A$4:$A$7,0)),""))</f>
        <v>68.5</v>
      </c>
      <c r="BH285" s="90" t="str">
        <f aca="false">IF(N(BN285)&gt;0,ROUND(SUMIF(ЗАКАЗЫ!$F$3:$F$500,$A285,ЗАКАЗЫ!$Y$3:$Y$500)/BN285,0),IF(OR(BE285="",BG285=""),"",ROUND(BE285*BG285*(1+Справочники!$B$10),0)))</f>
        <v/>
      </c>
      <c r="BI285" s="92" t="str">
        <f aca="false">IF(OR(AU285="",BH285="",AU285=0),"",(AU285-BH285)/AU285)</f>
        <v/>
      </c>
      <c r="BJ285" s="81"/>
      <c r="BK285" s="83"/>
      <c r="BL285" s="43" t="str">
        <f aca="false">IFERROR(INDEX(ЗАКАЗЫ!$N$3:$N$500,MATCH($A285,ЗАКАЗЫ!$F$3:$F$500,0)),"")</f>
        <v/>
      </c>
      <c r="BM285" s="8" t="str">
        <f aca="false">IF(BL285="","",IFERROR(VLOOKUP(BL285,'ТН ВЭД'!$A$4:$C$40,3,0),""))</f>
        <v/>
      </c>
      <c r="BN285" s="7" t="str">
        <f aca="false">IF(COUNTIF(ЗАКАЗЫ!$F$3:$F$500,$A285)=0,"",SUMIF(ЗАКАЗЫ!$F$3:$F$500,$A285,ЗАКАЗЫ!$J$3:$J$500))</f>
        <v/>
      </c>
      <c r="BO285" s="7" t="str">
        <f aca="false">IF(BN285="","",SUMIF(ЗАКАЗЫ!$F$3:$F$500,$A285,ЗАКАЗЫ!$AL$3:$AL$500))</f>
        <v/>
      </c>
      <c r="BP285" s="7" t="str">
        <f aca="false">IF(BN285="","",BN285-BO285)</f>
        <v/>
      </c>
      <c r="BQ285" s="55" t="str">
        <f aca="false">IF(BN285="","",IF(BO285&gt;=BN285,"На складе",IF(BO285&gt;0,"Частично","Ждём")))</f>
        <v/>
      </c>
      <c r="BR285" s="43"/>
      <c r="BS285" s="47" t="str">
        <f aca="false">IF(BN285="","",IF(_xlfn.MAXIFS(ЗАКАЗЫ!$AK$3:$AK$500,ЗАКАЗЫ!$F$3:$F$500,$A285)=0,"",_xlfn.MAXIFS(ЗАКАЗЫ!$AK$3:$AK$500,ЗАКАЗЫ!$F$3:$F$500,$A285)))</f>
        <v/>
      </c>
    </row>
    <row r="286" customFormat="false" ht="15.75" hidden="false" customHeight="true" outlineLevel="0" collapsed="false">
      <c r="A286" s="80" t="s">
        <v>2826</v>
      </c>
      <c r="B286" s="81"/>
      <c r="C286" s="81"/>
      <c r="D286" s="81"/>
      <c r="E286" s="83"/>
      <c r="F286" s="81"/>
      <c r="G286" s="83"/>
      <c r="H286" s="83"/>
      <c r="I286" s="84" t="str">
        <f aca="false">IF(E286="","",A286&amp;"_1.jpg")</f>
        <v/>
      </c>
      <c r="J286" s="84" t="str">
        <f aca="false">IF(E286="","",A286&amp;"_2.jpg; "&amp;A286&amp;"_3.jpg")</f>
        <v/>
      </c>
      <c r="K286" s="84" t="str">
        <f aca="false">IF(E286="","",A286&amp;"_schema.jpg")</f>
        <v/>
      </c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 t="s">
        <v>96</v>
      </c>
      <c r="W286" s="81"/>
      <c r="X286" s="81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6" t="str">
        <f aca="false">IF(SUM(Y286:AJ286)=0,"",SUM(Y286:AJ286))</f>
        <v/>
      </c>
      <c r="AL286" s="84" t="str">
        <f aca="false">MID(IF(N(Y286)&gt;0,", "&amp;Y$2,"")&amp;IF(N(Z286)&gt;0,", "&amp;Z$2,"")&amp;IF(N(AA286)&gt;0,", "&amp;AA$2,"")&amp;IF(N(AB286)&gt;0,", "&amp;AB$2,"")&amp;IF(N(AC286)&gt;0,", "&amp;AC$2,"")&amp;IF(N(AD286)&gt;0,", "&amp;AD$2,"")&amp;IF(N(AE286)&gt;0,", "&amp;AE$2,"")&amp;IF(N(AF286)&gt;0,", "&amp;AF$2,"")&amp;IF(N(AG286)&gt;0,", "&amp;AG$2,"")&amp;IF(N(AH286)&gt;0,", "&amp;AH$2,"")&amp;IF(N(AI286)&gt;0,", "&amp;AI$2,"")&amp;IF(N(AJ286)&gt;0,", "&amp;AJ$2,""),3,999)</f>
        <v/>
      </c>
      <c r="AM286" s="87" t="str">
        <f aca="false">IF(E286="","",MID(IF(N(Y286)&gt;0,", "&amp;A286&amp;"-"&amp;Y$2,"")&amp;IF(N(Z286)&gt;0,", "&amp;A286&amp;"-"&amp;Z$2,"")&amp;IF(N(AA286)&gt;0,", "&amp;A286&amp;"-"&amp;AA$2,"")&amp;IF(N(AB286)&gt;0,", "&amp;A286&amp;"-"&amp;AB$2,"")&amp;IF(N(AC286)&gt;0,", "&amp;A286&amp;"-"&amp;AC$2,"")&amp;IF(N(AD286)&gt;0,", "&amp;A286&amp;"-"&amp;AD$2,"")&amp;IF(N(AE286)&gt;0,", "&amp;A286&amp;"-"&amp;AE$2,"")&amp;IF(N(AF286)&gt;0,", "&amp;A286&amp;"-"&amp;AF$2,"")&amp;IF(N(AG286)&gt;0,", "&amp;A286&amp;"-"&amp;AG$2,"")&amp;IF(N(AH286)&gt;0,", "&amp;A286&amp;"-"&amp;AH$2,"")&amp;IF(N(AI286)&gt;0,", "&amp;A286&amp;"-"&amp;AI$2,"")&amp;IF(N(AJ286)&gt;0,", "&amp;A286&amp;"-"&amp;AJ$2,""),3,999))</f>
        <v/>
      </c>
      <c r="AN286" s="81"/>
      <c r="AO286" s="88"/>
      <c r="AP286" s="89" t="str">
        <f aca="false">IF(AO286="","",ROUND(AO286/(1+Справочники!$B$13),2))</f>
        <v/>
      </c>
      <c r="AQ286" s="90" t="str">
        <f aca="false" t="array" ref="AQ286:AQ286">IF(AP286="","",AP286*INDEX(Справочники!$B$4:$B$7,MATCH("RUB",Справочники!$A$4:$A$7,0)))</f>
        <v/>
      </c>
      <c r="AR286" s="90" t="str">
        <f aca="false">IF(AQ286="","",ROUND(AQ286*(1+Справочники!$B$12),0))</f>
        <v/>
      </c>
      <c r="AS286" s="90" t="str">
        <f aca="false">IF(AR286="","",ROUND(AR286*(1-Справочники!$B$11),0))</f>
        <v/>
      </c>
      <c r="AT286" s="88"/>
      <c r="AU286" s="90" t="str">
        <f aca="false">IF(AT286="","",ROUND(AT286/(1+Справочники!$B$12),0))</f>
        <v/>
      </c>
      <c r="AV286" s="90" t="str">
        <f aca="false">IF(AT286="","",ROUND(AT286*(1-Справочники!$B$15),0))</f>
        <v/>
      </c>
      <c r="AW286" s="90" t="str">
        <f aca="false">IF(AT286="","",ROUND(AT286*(1-Справочники!$B$16),0))</f>
        <v/>
      </c>
      <c r="AX286" s="90" t="str">
        <f aca="false">IF(AT286="","",ROUND(AT286*(1-Справочники!$B$17),0))</f>
        <v/>
      </c>
      <c r="AY286" s="90" t="str">
        <f aca="false">IF(AT286="","",ROUND(AT286*(1-Справочники!$B$18),0))</f>
        <v/>
      </c>
      <c r="AZ286" s="90" t="str">
        <f aca="false">IF(AT286="","",ROUND(AT286*(1-Справочники!$B$19),0))</f>
        <v/>
      </c>
      <c r="BA286" s="81"/>
      <c r="BB286" s="81"/>
      <c r="BC286" s="81"/>
      <c r="BD286" s="81"/>
      <c r="BE286" s="91"/>
      <c r="BF286" s="81" t="s">
        <v>103</v>
      </c>
      <c r="BG286" s="89" t="n">
        <f aca="false" t="array" ref="BG286:BG286">IF(BF286="","",IFERROR(INDEX(Справочники!$B$4:$B$7,MATCH(BF286,Справочники!$A$4:$A$7,0)),""))</f>
        <v>68.5</v>
      </c>
      <c r="BH286" s="90" t="str">
        <f aca="false">IF(N(BN286)&gt;0,ROUND(SUMIF(ЗАКАЗЫ!$F$3:$F$500,$A286,ЗАКАЗЫ!$Y$3:$Y$500)/BN286,0),IF(OR(BE286="",BG286=""),"",ROUND(BE286*BG286*(1+Справочники!$B$10),0)))</f>
        <v/>
      </c>
      <c r="BI286" s="92" t="str">
        <f aca="false">IF(OR(AU286="",BH286="",AU286=0),"",(AU286-BH286)/AU286)</f>
        <v/>
      </c>
      <c r="BJ286" s="81"/>
      <c r="BK286" s="83"/>
      <c r="BL286" s="43" t="str">
        <f aca="false">IFERROR(INDEX(ЗАКАЗЫ!$N$3:$N$500,MATCH($A286,ЗАКАЗЫ!$F$3:$F$500,0)),"")</f>
        <v/>
      </c>
      <c r="BM286" s="8" t="str">
        <f aca="false">IF(BL286="","",IFERROR(VLOOKUP(BL286,'ТН ВЭД'!$A$4:$C$40,3,0),""))</f>
        <v/>
      </c>
      <c r="BN286" s="7" t="str">
        <f aca="false">IF(COUNTIF(ЗАКАЗЫ!$F$3:$F$500,$A286)=0,"",SUMIF(ЗАКАЗЫ!$F$3:$F$500,$A286,ЗАКАЗЫ!$J$3:$J$500))</f>
        <v/>
      </c>
      <c r="BO286" s="7" t="str">
        <f aca="false">IF(BN286="","",SUMIF(ЗАКАЗЫ!$F$3:$F$500,$A286,ЗАКАЗЫ!$AL$3:$AL$500))</f>
        <v/>
      </c>
      <c r="BP286" s="7" t="str">
        <f aca="false">IF(BN286="","",BN286-BO286)</f>
        <v/>
      </c>
      <c r="BQ286" s="55" t="str">
        <f aca="false">IF(BN286="","",IF(BO286&gt;=BN286,"На складе",IF(BO286&gt;0,"Частично","Ждём")))</f>
        <v/>
      </c>
      <c r="BR286" s="43"/>
      <c r="BS286" s="47" t="str">
        <f aca="false">IF(BN286="","",IF(_xlfn.MAXIFS(ЗАКАЗЫ!$AK$3:$AK$500,ЗАКАЗЫ!$F$3:$F$500,$A286)=0,"",_xlfn.MAXIFS(ЗАКАЗЫ!$AK$3:$AK$500,ЗАКАЗЫ!$F$3:$F$500,$A286)))</f>
        <v/>
      </c>
    </row>
    <row r="287" customFormat="false" ht="15.75" hidden="false" customHeight="true" outlineLevel="0" collapsed="false">
      <c r="A287" s="80" t="s">
        <v>2827</v>
      </c>
      <c r="B287" s="81"/>
      <c r="C287" s="81"/>
      <c r="D287" s="81"/>
      <c r="E287" s="83"/>
      <c r="F287" s="81"/>
      <c r="G287" s="83"/>
      <c r="H287" s="83"/>
      <c r="I287" s="84" t="str">
        <f aca="false">IF(E287="","",A287&amp;"_1.jpg")</f>
        <v/>
      </c>
      <c r="J287" s="84" t="str">
        <f aca="false">IF(E287="","",A287&amp;"_2.jpg; "&amp;A287&amp;"_3.jpg")</f>
        <v/>
      </c>
      <c r="K287" s="84" t="str">
        <f aca="false">IF(E287="","",A287&amp;"_schema.jpg")</f>
        <v/>
      </c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 t="s">
        <v>96</v>
      </c>
      <c r="W287" s="81"/>
      <c r="X287" s="81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6" t="str">
        <f aca="false">IF(SUM(Y287:AJ287)=0,"",SUM(Y287:AJ287))</f>
        <v/>
      </c>
      <c r="AL287" s="84" t="str">
        <f aca="false">MID(IF(N(Y287)&gt;0,", "&amp;Y$2,"")&amp;IF(N(Z287)&gt;0,", "&amp;Z$2,"")&amp;IF(N(AA287)&gt;0,", "&amp;AA$2,"")&amp;IF(N(AB287)&gt;0,", "&amp;AB$2,"")&amp;IF(N(AC287)&gt;0,", "&amp;AC$2,"")&amp;IF(N(AD287)&gt;0,", "&amp;AD$2,"")&amp;IF(N(AE287)&gt;0,", "&amp;AE$2,"")&amp;IF(N(AF287)&gt;0,", "&amp;AF$2,"")&amp;IF(N(AG287)&gt;0,", "&amp;AG$2,"")&amp;IF(N(AH287)&gt;0,", "&amp;AH$2,"")&amp;IF(N(AI287)&gt;0,", "&amp;AI$2,"")&amp;IF(N(AJ287)&gt;0,", "&amp;AJ$2,""),3,999)</f>
        <v/>
      </c>
      <c r="AM287" s="87" t="str">
        <f aca="false">IF(E287="","",MID(IF(N(Y287)&gt;0,", "&amp;A287&amp;"-"&amp;Y$2,"")&amp;IF(N(Z287)&gt;0,", "&amp;A287&amp;"-"&amp;Z$2,"")&amp;IF(N(AA287)&gt;0,", "&amp;A287&amp;"-"&amp;AA$2,"")&amp;IF(N(AB287)&gt;0,", "&amp;A287&amp;"-"&amp;AB$2,"")&amp;IF(N(AC287)&gt;0,", "&amp;A287&amp;"-"&amp;AC$2,"")&amp;IF(N(AD287)&gt;0,", "&amp;A287&amp;"-"&amp;AD$2,"")&amp;IF(N(AE287)&gt;0,", "&amp;A287&amp;"-"&amp;AE$2,"")&amp;IF(N(AF287)&gt;0,", "&amp;A287&amp;"-"&amp;AF$2,"")&amp;IF(N(AG287)&gt;0,", "&amp;A287&amp;"-"&amp;AG$2,"")&amp;IF(N(AH287)&gt;0,", "&amp;A287&amp;"-"&amp;AH$2,"")&amp;IF(N(AI287)&gt;0,", "&amp;A287&amp;"-"&amp;AI$2,"")&amp;IF(N(AJ287)&gt;0,", "&amp;A287&amp;"-"&amp;AJ$2,""),3,999))</f>
        <v/>
      </c>
      <c r="AN287" s="81"/>
      <c r="AO287" s="88"/>
      <c r="AP287" s="89" t="str">
        <f aca="false">IF(AO287="","",ROUND(AO287/(1+Справочники!$B$13),2))</f>
        <v/>
      </c>
      <c r="AQ287" s="90" t="str">
        <f aca="false" t="array" ref="AQ287:AQ287">IF(AP287="","",AP287*INDEX(Справочники!$B$4:$B$7,MATCH("RUB",Справочники!$A$4:$A$7,0)))</f>
        <v/>
      </c>
      <c r="AR287" s="90" t="str">
        <f aca="false">IF(AQ287="","",ROUND(AQ287*(1+Справочники!$B$12),0))</f>
        <v/>
      </c>
      <c r="AS287" s="90" t="str">
        <f aca="false">IF(AR287="","",ROUND(AR287*(1-Справочники!$B$11),0))</f>
        <v/>
      </c>
      <c r="AT287" s="88"/>
      <c r="AU287" s="90" t="str">
        <f aca="false">IF(AT287="","",ROUND(AT287/(1+Справочники!$B$12),0))</f>
        <v/>
      </c>
      <c r="AV287" s="90" t="str">
        <f aca="false">IF(AT287="","",ROUND(AT287*(1-Справочники!$B$15),0))</f>
        <v/>
      </c>
      <c r="AW287" s="90" t="str">
        <f aca="false">IF(AT287="","",ROUND(AT287*(1-Справочники!$B$16),0))</f>
        <v/>
      </c>
      <c r="AX287" s="90" t="str">
        <f aca="false">IF(AT287="","",ROUND(AT287*(1-Справочники!$B$17),0))</f>
        <v/>
      </c>
      <c r="AY287" s="90" t="str">
        <f aca="false">IF(AT287="","",ROUND(AT287*(1-Справочники!$B$18),0))</f>
        <v/>
      </c>
      <c r="AZ287" s="90" t="str">
        <f aca="false">IF(AT287="","",ROUND(AT287*(1-Справочники!$B$19),0))</f>
        <v/>
      </c>
      <c r="BA287" s="81"/>
      <c r="BB287" s="81"/>
      <c r="BC287" s="81"/>
      <c r="BD287" s="81"/>
      <c r="BE287" s="91"/>
      <c r="BF287" s="81" t="s">
        <v>103</v>
      </c>
      <c r="BG287" s="89" t="n">
        <f aca="false" t="array" ref="BG287:BG287">IF(BF287="","",IFERROR(INDEX(Справочники!$B$4:$B$7,MATCH(BF287,Справочники!$A$4:$A$7,0)),""))</f>
        <v>68.5</v>
      </c>
      <c r="BH287" s="90" t="str">
        <f aca="false">IF(N(BN287)&gt;0,ROUND(SUMIF(ЗАКАЗЫ!$F$3:$F$500,$A287,ЗАКАЗЫ!$Y$3:$Y$500)/BN287,0),IF(OR(BE287="",BG287=""),"",ROUND(BE287*BG287*(1+Справочники!$B$10),0)))</f>
        <v/>
      </c>
      <c r="BI287" s="92" t="str">
        <f aca="false">IF(OR(AU287="",BH287="",AU287=0),"",(AU287-BH287)/AU287)</f>
        <v/>
      </c>
      <c r="BJ287" s="81"/>
      <c r="BK287" s="83"/>
      <c r="BL287" s="43" t="str">
        <f aca="false">IFERROR(INDEX(ЗАКАЗЫ!$N$3:$N$500,MATCH($A287,ЗАКАЗЫ!$F$3:$F$500,0)),"")</f>
        <v/>
      </c>
      <c r="BM287" s="8" t="str">
        <f aca="false">IF(BL287="","",IFERROR(VLOOKUP(BL287,'ТН ВЭД'!$A$4:$C$40,3,0),""))</f>
        <v/>
      </c>
      <c r="BN287" s="7" t="str">
        <f aca="false">IF(COUNTIF(ЗАКАЗЫ!$F$3:$F$500,$A287)=0,"",SUMIF(ЗАКАЗЫ!$F$3:$F$500,$A287,ЗАКАЗЫ!$J$3:$J$500))</f>
        <v/>
      </c>
      <c r="BO287" s="7" t="str">
        <f aca="false">IF(BN287="","",SUMIF(ЗАКАЗЫ!$F$3:$F$500,$A287,ЗАКАЗЫ!$AL$3:$AL$500))</f>
        <v/>
      </c>
      <c r="BP287" s="7" t="str">
        <f aca="false">IF(BN287="","",BN287-BO287)</f>
        <v/>
      </c>
      <c r="BQ287" s="55" t="str">
        <f aca="false">IF(BN287="","",IF(BO287&gt;=BN287,"На складе",IF(BO287&gt;0,"Частично","Ждём")))</f>
        <v/>
      </c>
      <c r="BR287" s="43"/>
      <c r="BS287" s="47" t="str">
        <f aca="false">IF(BN287="","",IF(_xlfn.MAXIFS(ЗАКАЗЫ!$AK$3:$AK$500,ЗАКАЗЫ!$F$3:$F$500,$A287)=0,"",_xlfn.MAXIFS(ЗАКАЗЫ!$AK$3:$AK$500,ЗАКАЗЫ!$F$3:$F$500,$A287)))</f>
        <v/>
      </c>
    </row>
    <row r="288" customFormat="false" ht="15.75" hidden="false" customHeight="true" outlineLevel="0" collapsed="false">
      <c r="A288" s="80" t="s">
        <v>2828</v>
      </c>
      <c r="B288" s="81"/>
      <c r="C288" s="81"/>
      <c r="D288" s="81"/>
      <c r="E288" s="83"/>
      <c r="F288" s="81"/>
      <c r="G288" s="83"/>
      <c r="H288" s="83"/>
      <c r="I288" s="84" t="str">
        <f aca="false">IF(E288="","",A288&amp;"_1.jpg")</f>
        <v/>
      </c>
      <c r="J288" s="84" t="str">
        <f aca="false">IF(E288="","",A288&amp;"_2.jpg; "&amp;A288&amp;"_3.jpg")</f>
        <v/>
      </c>
      <c r="K288" s="84" t="str">
        <f aca="false">IF(E288="","",A288&amp;"_schema.jpg")</f>
        <v/>
      </c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 t="s">
        <v>96</v>
      </c>
      <c r="W288" s="81"/>
      <c r="X288" s="81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6" t="str">
        <f aca="false">IF(SUM(Y288:AJ288)=0,"",SUM(Y288:AJ288))</f>
        <v/>
      </c>
      <c r="AL288" s="84" t="str">
        <f aca="false">MID(IF(N(Y288)&gt;0,", "&amp;Y$2,"")&amp;IF(N(Z288)&gt;0,", "&amp;Z$2,"")&amp;IF(N(AA288)&gt;0,", "&amp;AA$2,"")&amp;IF(N(AB288)&gt;0,", "&amp;AB$2,"")&amp;IF(N(AC288)&gt;0,", "&amp;AC$2,"")&amp;IF(N(AD288)&gt;0,", "&amp;AD$2,"")&amp;IF(N(AE288)&gt;0,", "&amp;AE$2,"")&amp;IF(N(AF288)&gt;0,", "&amp;AF$2,"")&amp;IF(N(AG288)&gt;0,", "&amp;AG$2,"")&amp;IF(N(AH288)&gt;0,", "&amp;AH$2,"")&amp;IF(N(AI288)&gt;0,", "&amp;AI$2,"")&amp;IF(N(AJ288)&gt;0,", "&amp;AJ$2,""),3,999)</f>
        <v/>
      </c>
      <c r="AM288" s="87" t="str">
        <f aca="false">IF(E288="","",MID(IF(N(Y288)&gt;0,", "&amp;A288&amp;"-"&amp;Y$2,"")&amp;IF(N(Z288)&gt;0,", "&amp;A288&amp;"-"&amp;Z$2,"")&amp;IF(N(AA288)&gt;0,", "&amp;A288&amp;"-"&amp;AA$2,"")&amp;IF(N(AB288)&gt;0,", "&amp;A288&amp;"-"&amp;AB$2,"")&amp;IF(N(AC288)&gt;0,", "&amp;A288&amp;"-"&amp;AC$2,"")&amp;IF(N(AD288)&gt;0,", "&amp;A288&amp;"-"&amp;AD$2,"")&amp;IF(N(AE288)&gt;0,", "&amp;A288&amp;"-"&amp;AE$2,"")&amp;IF(N(AF288)&gt;0,", "&amp;A288&amp;"-"&amp;AF$2,"")&amp;IF(N(AG288)&gt;0,", "&amp;A288&amp;"-"&amp;AG$2,"")&amp;IF(N(AH288)&gt;0,", "&amp;A288&amp;"-"&amp;AH$2,"")&amp;IF(N(AI288)&gt;0,", "&amp;A288&amp;"-"&amp;AI$2,"")&amp;IF(N(AJ288)&gt;0,", "&amp;A288&amp;"-"&amp;AJ$2,""),3,999))</f>
        <v/>
      </c>
      <c r="AN288" s="81"/>
      <c r="AO288" s="88"/>
      <c r="AP288" s="89" t="str">
        <f aca="false">IF(AO288="","",ROUND(AO288/(1+Справочники!$B$13),2))</f>
        <v/>
      </c>
      <c r="AQ288" s="90" t="str">
        <f aca="false" t="array" ref="AQ288:AQ288">IF(AP288="","",AP288*INDEX(Справочники!$B$4:$B$7,MATCH("RUB",Справочники!$A$4:$A$7,0)))</f>
        <v/>
      </c>
      <c r="AR288" s="90" t="str">
        <f aca="false">IF(AQ288="","",ROUND(AQ288*(1+Справочники!$B$12),0))</f>
        <v/>
      </c>
      <c r="AS288" s="90" t="str">
        <f aca="false">IF(AR288="","",ROUND(AR288*(1-Справочники!$B$11),0))</f>
        <v/>
      </c>
      <c r="AT288" s="88"/>
      <c r="AU288" s="90" t="str">
        <f aca="false">IF(AT288="","",ROUND(AT288/(1+Справочники!$B$12),0))</f>
        <v/>
      </c>
      <c r="AV288" s="90" t="str">
        <f aca="false">IF(AT288="","",ROUND(AT288*(1-Справочники!$B$15),0))</f>
        <v/>
      </c>
      <c r="AW288" s="90" t="str">
        <f aca="false">IF(AT288="","",ROUND(AT288*(1-Справочники!$B$16),0))</f>
        <v/>
      </c>
      <c r="AX288" s="90" t="str">
        <f aca="false">IF(AT288="","",ROUND(AT288*(1-Справочники!$B$17),0))</f>
        <v/>
      </c>
      <c r="AY288" s="90" t="str">
        <f aca="false">IF(AT288="","",ROUND(AT288*(1-Справочники!$B$18),0))</f>
        <v/>
      </c>
      <c r="AZ288" s="90" t="str">
        <f aca="false">IF(AT288="","",ROUND(AT288*(1-Справочники!$B$19),0))</f>
        <v/>
      </c>
      <c r="BA288" s="81"/>
      <c r="BB288" s="81"/>
      <c r="BC288" s="81"/>
      <c r="BD288" s="81"/>
      <c r="BE288" s="91"/>
      <c r="BF288" s="81" t="s">
        <v>103</v>
      </c>
      <c r="BG288" s="89" t="n">
        <f aca="false" t="array" ref="BG288:BG288">IF(BF288="","",IFERROR(INDEX(Справочники!$B$4:$B$7,MATCH(BF288,Справочники!$A$4:$A$7,0)),""))</f>
        <v>68.5</v>
      </c>
      <c r="BH288" s="90" t="str">
        <f aca="false">IF(N(BN288)&gt;0,ROUND(SUMIF(ЗАКАЗЫ!$F$3:$F$500,$A288,ЗАКАЗЫ!$Y$3:$Y$500)/BN288,0),IF(OR(BE288="",BG288=""),"",ROUND(BE288*BG288*(1+Справочники!$B$10),0)))</f>
        <v/>
      </c>
      <c r="BI288" s="92" t="str">
        <f aca="false">IF(OR(AU288="",BH288="",AU288=0),"",(AU288-BH288)/AU288)</f>
        <v/>
      </c>
      <c r="BJ288" s="81"/>
      <c r="BK288" s="83"/>
      <c r="BL288" s="43" t="str">
        <f aca="false">IFERROR(INDEX(ЗАКАЗЫ!$N$3:$N$500,MATCH($A288,ЗАКАЗЫ!$F$3:$F$500,0)),"")</f>
        <v/>
      </c>
      <c r="BM288" s="8" t="str">
        <f aca="false">IF(BL288="","",IFERROR(VLOOKUP(BL288,'ТН ВЭД'!$A$4:$C$40,3,0),""))</f>
        <v/>
      </c>
      <c r="BN288" s="7" t="str">
        <f aca="false">IF(COUNTIF(ЗАКАЗЫ!$F$3:$F$500,$A288)=0,"",SUMIF(ЗАКАЗЫ!$F$3:$F$500,$A288,ЗАКАЗЫ!$J$3:$J$500))</f>
        <v/>
      </c>
      <c r="BO288" s="7" t="str">
        <f aca="false">IF(BN288="","",SUMIF(ЗАКАЗЫ!$F$3:$F$500,$A288,ЗАКАЗЫ!$AL$3:$AL$500))</f>
        <v/>
      </c>
      <c r="BP288" s="7" t="str">
        <f aca="false">IF(BN288="","",BN288-BO288)</f>
        <v/>
      </c>
      <c r="BQ288" s="55" t="str">
        <f aca="false">IF(BN288="","",IF(BO288&gt;=BN288,"На складе",IF(BO288&gt;0,"Частично","Ждём")))</f>
        <v/>
      </c>
      <c r="BR288" s="43"/>
      <c r="BS288" s="47" t="str">
        <f aca="false">IF(BN288="","",IF(_xlfn.MAXIFS(ЗАКАЗЫ!$AK$3:$AK$500,ЗАКАЗЫ!$F$3:$F$500,$A288)=0,"",_xlfn.MAXIFS(ЗАКАЗЫ!$AK$3:$AK$500,ЗАКАЗЫ!$F$3:$F$500,$A288)))</f>
        <v/>
      </c>
    </row>
    <row r="289" customFormat="false" ht="15.75" hidden="false" customHeight="true" outlineLevel="0" collapsed="false">
      <c r="A289" s="80" t="s">
        <v>2829</v>
      </c>
      <c r="B289" s="81"/>
      <c r="C289" s="81"/>
      <c r="D289" s="81"/>
      <c r="E289" s="83"/>
      <c r="F289" s="81"/>
      <c r="G289" s="83"/>
      <c r="H289" s="83"/>
      <c r="I289" s="84" t="str">
        <f aca="false">IF(E289="","",A289&amp;"_1.jpg")</f>
        <v/>
      </c>
      <c r="J289" s="84" t="str">
        <f aca="false">IF(E289="","",A289&amp;"_2.jpg; "&amp;A289&amp;"_3.jpg")</f>
        <v/>
      </c>
      <c r="K289" s="84" t="str">
        <f aca="false">IF(E289="","",A289&amp;"_schema.jpg")</f>
        <v/>
      </c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 t="s">
        <v>96</v>
      </c>
      <c r="W289" s="81"/>
      <c r="X289" s="81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6" t="str">
        <f aca="false">IF(SUM(Y289:AJ289)=0,"",SUM(Y289:AJ289))</f>
        <v/>
      </c>
      <c r="AL289" s="84" t="str">
        <f aca="false">MID(IF(N(Y289)&gt;0,", "&amp;Y$2,"")&amp;IF(N(Z289)&gt;0,", "&amp;Z$2,"")&amp;IF(N(AA289)&gt;0,", "&amp;AA$2,"")&amp;IF(N(AB289)&gt;0,", "&amp;AB$2,"")&amp;IF(N(AC289)&gt;0,", "&amp;AC$2,"")&amp;IF(N(AD289)&gt;0,", "&amp;AD$2,"")&amp;IF(N(AE289)&gt;0,", "&amp;AE$2,"")&amp;IF(N(AF289)&gt;0,", "&amp;AF$2,"")&amp;IF(N(AG289)&gt;0,", "&amp;AG$2,"")&amp;IF(N(AH289)&gt;0,", "&amp;AH$2,"")&amp;IF(N(AI289)&gt;0,", "&amp;AI$2,"")&amp;IF(N(AJ289)&gt;0,", "&amp;AJ$2,""),3,999)</f>
        <v/>
      </c>
      <c r="AM289" s="87" t="str">
        <f aca="false">IF(E289="","",MID(IF(N(Y289)&gt;0,", "&amp;A289&amp;"-"&amp;Y$2,"")&amp;IF(N(Z289)&gt;0,", "&amp;A289&amp;"-"&amp;Z$2,"")&amp;IF(N(AA289)&gt;0,", "&amp;A289&amp;"-"&amp;AA$2,"")&amp;IF(N(AB289)&gt;0,", "&amp;A289&amp;"-"&amp;AB$2,"")&amp;IF(N(AC289)&gt;0,", "&amp;A289&amp;"-"&amp;AC$2,"")&amp;IF(N(AD289)&gt;0,", "&amp;A289&amp;"-"&amp;AD$2,"")&amp;IF(N(AE289)&gt;0,", "&amp;A289&amp;"-"&amp;AE$2,"")&amp;IF(N(AF289)&gt;0,", "&amp;A289&amp;"-"&amp;AF$2,"")&amp;IF(N(AG289)&gt;0,", "&amp;A289&amp;"-"&amp;AG$2,"")&amp;IF(N(AH289)&gt;0,", "&amp;A289&amp;"-"&amp;AH$2,"")&amp;IF(N(AI289)&gt;0,", "&amp;A289&amp;"-"&amp;AI$2,"")&amp;IF(N(AJ289)&gt;0,", "&amp;A289&amp;"-"&amp;AJ$2,""),3,999))</f>
        <v/>
      </c>
      <c r="AN289" s="81"/>
      <c r="AO289" s="88"/>
      <c r="AP289" s="89" t="str">
        <f aca="false">IF(AO289="","",ROUND(AO289/(1+Справочники!$B$13),2))</f>
        <v/>
      </c>
      <c r="AQ289" s="90" t="str">
        <f aca="false" t="array" ref="AQ289:AQ289">IF(AP289="","",AP289*INDEX(Справочники!$B$4:$B$7,MATCH("RUB",Справочники!$A$4:$A$7,0)))</f>
        <v/>
      </c>
      <c r="AR289" s="90" t="str">
        <f aca="false">IF(AQ289="","",ROUND(AQ289*(1+Справочники!$B$12),0))</f>
        <v/>
      </c>
      <c r="AS289" s="90" t="str">
        <f aca="false">IF(AR289="","",ROUND(AR289*(1-Справочники!$B$11),0))</f>
        <v/>
      </c>
      <c r="AT289" s="88"/>
      <c r="AU289" s="90" t="str">
        <f aca="false">IF(AT289="","",ROUND(AT289/(1+Справочники!$B$12),0))</f>
        <v/>
      </c>
      <c r="AV289" s="90" t="str">
        <f aca="false">IF(AT289="","",ROUND(AT289*(1-Справочники!$B$15),0))</f>
        <v/>
      </c>
      <c r="AW289" s="90" t="str">
        <f aca="false">IF(AT289="","",ROUND(AT289*(1-Справочники!$B$16),0))</f>
        <v/>
      </c>
      <c r="AX289" s="90" t="str">
        <f aca="false">IF(AT289="","",ROUND(AT289*(1-Справочники!$B$17),0))</f>
        <v/>
      </c>
      <c r="AY289" s="90" t="str">
        <f aca="false">IF(AT289="","",ROUND(AT289*(1-Справочники!$B$18),0))</f>
        <v/>
      </c>
      <c r="AZ289" s="90" t="str">
        <f aca="false">IF(AT289="","",ROUND(AT289*(1-Справочники!$B$19),0))</f>
        <v/>
      </c>
      <c r="BA289" s="81"/>
      <c r="BB289" s="81"/>
      <c r="BC289" s="81"/>
      <c r="BD289" s="81"/>
      <c r="BE289" s="91"/>
      <c r="BF289" s="81" t="s">
        <v>103</v>
      </c>
      <c r="BG289" s="89" t="n">
        <f aca="false" t="array" ref="BG289:BG289">IF(BF289="","",IFERROR(INDEX(Справочники!$B$4:$B$7,MATCH(BF289,Справочники!$A$4:$A$7,0)),""))</f>
        <v>68.5</v>
      </c>
      <c r="BH289" s="90" t="str">
        <f aca="false">IF(N(BN289)&gt;0,ROUND(SUMIF(ЗАКАЗЫ!$F$3:$F$500,$A289,ЗАКАЗЫ!$Y$3:$Y$500)/BN289,0),IF(OR(BE289="",BG289=""),"",ROUND(BE289*BG289*(1+Справочники!$B$10),0)))</f>
        <v/>
      </c>
      <c r="BI289" s="92" t="str">
        <f aca="false">IF(OR(AU289="",BH289="",AU289=0),"",(AU289-BH289)/AU289)</f>
        <v/>
      </c>
      <c r="BJ289" s="81"/>
      <c r="BK289" s="83"/>
      <c r="BL289" s="43" t="str">
        <f aca="false">IFERROR(INDEX(ЗАКАЗЫ!$N$3:$N$500,MATCH($A289,ЗАКАЗЫ!$F$3:$F$500,0)),"")</f>
        <v/>
      </c>
      <c r="BM289" s="8" t="str">
        <f aca="false">IF(BL289="","",IFERROR(VLOOKUP(BL289,'ТН ВЭД'!$A$4:$C$40,3,0),""))</f>
        <v/>
      </c>
      <c r="BN289" s="7" t="str">
        <f aca="false">IF(COUNTIF(ЗАКАЗЫ!$F$3:$F$500,$A289)=0,"",SUMIF(ЗАКАЗЫ!$F$3:$F$500,$A289,ЗАКАЗЫ!$J$3:$J$500))</f>
        <v/>
      </c>
      <c r="BO289" s="7" t="str">
        <f aca="false">IF(BN289="","",SUMIF(ЗАКАЗЫ!$F$3:$F$500,$A289,ЗАКАЗЫ!$AL$3:$AL$500))</f>
        <v/>
      </c>
      <c r="BP289" s="7" t="str">
        <f aca="false">IF(BN289="","",BN289-BO289)</f>
        <v/>
      </c>
      <c r="BQ289" s="55" t="str">
        <f aca="false">IF(BN289="","",IF(BO289&gt;=BN289,"На складе",IF(BO289&gt;0,"Частично","Ждём")))</f>
        <v/>
      </c>
      <c r="BR289" s="43"/>
      <c r="BS289" s="47" t="str">
        <f aca="false">IF(BN289="","",IF(_xlfn.MAXIFS(ЗАКАЗЫ!$AK$3:$AK$500,ЗАКАЗЫ!$F$3:$F$500,$A289)=0,"",_xlfn.MAXIFS(ЗАКАЗЫ!$AK$3:$AK$500,ЗАКАЗЫ!$F$3:$F$500,$A289)))</f>
        <v/>
      </c>
    </row>
    <row r="290" customFormat="false" ht="15.75" hidden="false" customHeight="true" outlineLevel="0" collapsed="false">
      <c r="A290" s="80" t="s">
        <v>2830</v>
      </c>
      <c r="B290" s="81"/>
      <c r="C290" s="81"/>
      <c r="D290" s="81"/>
      <c r="E290" s="83"/>
      <c r="F290" s="81"/>
      <c r="G290" s="83"/>
      <c r="H290" s="83"/>
      <c r="I290" s="84" t="str">
        <f aca="false">IF(E290="","",A290&amp;"_1.jpg")</f>
        <v/>
      </c>
      <c r="J290" s="84" t="str">
        <f aca="false">IF(E290="","",A290&amp;"_2.jpg; "&amp;A290&amp;"_3.jpg")</f>
        <v/>
      </c>
      <c r="K290" s="84" t="str">
        <f aca="false">IF(E290="","",A290&amp;"_schema.jpg")</f>
        <v/>
      </c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 t="s">
        <v>96</v>
      </c>
      <c r="W290" s="81"/>
      <c r="X290" s="81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6" t="str">
        <f aca="false">IF(SUM(Y290:AJ290)=0,"",SUM(Y290:AJ290))</f>
        <v/>
      </c>
      <c r="AL290" s="84" t="str">
        <f aca="false">MID(IF(N(Y290)&gt;0,", "&amp;Y$2,"")&amp;IF(N(Z290)&gt;0,", "&amp;Z$2,"")&amp;IF(N(AA290)&gt;0,", "&amp;AA$2,"")&amp;IF(N(AB290)&gt;0,", "&amp;AB$2,"")&amp;IF(N(AC290)&gt;0,", "&amp;AC$2,"")&amp;IF(N(AD290)&gt;0,", "&amp;AD$2,"")&amp;IF(N(AE290)&gt;0,", "&amp;AE$2,"")&amp;IF(N(AF290)&gt;0,", "&amp;AF$2,"")&amp;IF(N(AG290)&gt;0,", "&amp;AG$2,"")&amp;IF(N(AH290)&gt;0,", "&amp;AH$2,"")&amp;IF(N(AI290)&gt;0,", "&amp;AI$2,"")&amp;IF(N(AJ290)&gt;0,", "&amp;AJ$2,""),3,999)</f>
        <v/>
      </c>
      <c r="AM290" s="87" t="str">
        <f aca="false">IF(E290="","",MID(IF(N(Y290)&gt;0,", "&amp;A290&amp;"-"&amp;Y$2,"")&amp;IF(N(Z290)&gt;0,", "&amp;A290&amp;"-"&amp;Z$2,"")&amp;IF(N(AA290)&gt;0,", "&amp;A290&amp;"-"&amp;AA$2,"")&amp;IF(N(AB290)&gt;0,", "&amp;A290&amp;"-"&amp;AB$2,"")&amp;IF(N(AC290)&gt;0,", "&amp;A290&amp;"-"&amp;AC$2,"")&amp;IF(N(AD290)&gt;0,", "&amp;A290&amp;"-"&amp;AD$2,"")&amp;IF(N(AE290)&gt;0,", "&amp;A290&amp;"-"&amp;AE$2,"")&amp;IF(N(AF290)&gt;0,", "&amp;A290&amp;"-"&amp;AF$2,"")&amp;IF(N(AG290)&gt;0,", "&amp;A290&amp;"-"&amp;AG$2,"")&amp;IF(N(AH290)&gt;0,", "&amp;A290&amp;"-"&amp;AH$2,"")&amp;IF(N(AI290)&gt;0,", "&amp;A290&amp;"-"&amp;AI$2,"")&amp;IF(N(AJ290)&gt;0,", "&amp;A290&amp;"-"&amp;AJ$2,""),3,999))</f>
        <v/>
      </c>
      <c r="AN290" s="81"/>
      <c r="AO290" s="88"/>
      <c r="AP290" s="89" t="str">
        <f aca="false">IF(AO290="","",ROUND(AO290/(1+Справочники!$B$13),2))</f>
        <v/>
      </c>
      <c r="AQ290" s="90" t="str">
        <f aca="false" t="array" ref="AQ290:AQ290">IF(AP290="","",AP290*INDEX(Справочники!$B$4:$B$7,MATCH("RUB",Справочники!$A$4:$A$7,0)))</f>
        <v/>
      </c>
      <c r="AR290" s="90" t="str">
        <f aca="false">IF(AQ290="","",ROUND(AQ290*(1+Справочники!$B$12),0))</f>
        <v/>
      </c>
      <c r="AS290" s="90" t="str">
        <f aca="false">IF(AR290="","",ROUND(AR290*(1-Справочники!$B$11),0))</f>
        <v/>
      </c>
      <c r="AT290" s="88"/>
      <c r="AU290" s="90" t="str">
        <f aca="false">IF(AT290="","",ROUND(AT290/(1+Справочники!$B$12),0))</f>
        <v/>
      </c>
      <c r="AV290" s="90" t="str">
        <f aca="false">IF(AT290="","",ROUND(AT290*(1-Справочники!$B$15),0))</f>
        <v/>
      </c>
      <c r="AW290" s="90" t="str">
        <f aca="false">IF(AT290="","",ROUND(AT290*(1-Справочники!$B$16),0))</f>
        <v/>
      </c>
      <c r="AX290" s="90" t="str">
        <f aca="false">IF(AT290="","",ROUND(AT290*(1-Справочники!$B$17),0))</f>
        <v/>
      </c>
      <c r="AY290" s="90" t="str">
        <f aca="false">IF(AT290="","",ROUND(AT290*(1-Справочники!$B$18),0))</f>
        <v/>
      </c>
      <c r="AZ290" s="90" t="str">
        <f aca="false">IF(AT290="","",ROUND(AT290*(1-Справочники!$B$19),0))</f>
        <v/>
      </c>
      <c r="BA290" s="81"/>
      <c r="BB290" s="81"/>
      <c r="BC290" s="81"/>
      <c r="BD290" s="81"/>
      <c r="BE290" s="91"/>
      <c r="BF290" s="81" t="s">
        <v>103</v>
      </c>
      <c r="BG290" s="89" t="n">
        <f aca="false" t="array" ref="BG290:BG290">IF(BF290="","",IFERROR(INDEX(Справочники!$B$4:$B$7,MATCH(BF290,Справочники!$A$4:$A$7,0)),""))</f>
        <v>68.5</v>
      </c>
      <c r="BH290" s="90" t="str">
        <f aca="false">IF(N(BN290)&gt;0,ROUND(SUMIF(ЗАКАЗЫ!$F$3:$F$500,$A290,ЗАКАЗЫ!$Y$3:$Y$500)/BN290,0),IF(OR(BE290="",BG290=""),"",ROUND(BE290*BG290*(1+Справочники!$B$10),0)))</f>
        <v/>
      </c>
      <c r="BI290" s="92" t="str">
        <f aca="false">IF(OR(AU290="",BH290="",AU290=0),"",(AU290-BH290)/AU290)</f>
        <v/>
      </c>
      <c r="BJ290" s="81"/>
      <c r="BK290" s="83"/>
      <c r="BL290" s="43" t="str">
        <f aca="false">IFERROR(INDEX(ЗАКАЗЫ!$N$3:$N$500,MATCH($A290,ЗАКАЗЫ!$F$3:$F$500,0)),"")</f>
        <v/>
      </c>
      <c r="BM290" s="8" t="str">
        <f aca="false">IF(BL290="","",IFERROR(VLOOKUP(BL290,'ТН ВЭД'!$A$4:$C$40,3,0),""))</f>
        <v/>
      </c>
      <c r="BN290" s="7" t="str">
        <f aca="false">IF(COUNTIF(ЗАКАЗЫ!$F$3:$F$500,$A290)=0,"",SUMIF(ЗАКАЗЫ!$F$3:$F$500,$A290,ЗАКАЗЫ!$J$3:$J$500))</f>
        <v/>
      </c>
      <c r="BO290" s="7" t="str">
        <f aca="false">IF(BN290="","",SUMIF(ЗАКАЗЫ!$F$3:$F$500,$A290,ЗАКАЗЫ!$AL$3:$AL$500))</f>
        <v/>
      </c>
      <c r="BP290" s="7" t="str">
        <f aca="false">IF(BN290="","",BN290-BO290)</f>
        <v/>
      </c>
      <c r="BQ290" s="55" t="str">
        <f aca="false">IF(BN290="","",IF(BO290&gt;=BN290,"На складе",IF(BO290&gt;0,"Частично","Ждём")))</f>
        <v/>
      </c>
      <c r="BR290" s="43"/>
      <c r="BS290" s="47" t="str">
        <f aca="false">IF(BN290="","",IF(_xlfn.MAXIFS(ЗАКАЗЫ!$AK$3:$AK$500,ЗАКАЗЫ!$F$3:$F$500,$A290)=0,"",_xlfn.MAXIFS(ЗАКАЗЫ!$AK$3:$AK$500,ЗАКАЗЫ!$F$3:$F$500,$A290)))</f>
        <v/>
      </c>
    </row>
    <row r="291" customFormat="false" ht="15.75" hidden="false" customHeight="true" outlineLevel="0" collapsed="false">
      <c r="A291" s="80" t="s">
        <v>2831</v>
      </c>
      <c r="B291" s="81"/>
      <c r="C291" s="81"/>
      <c r="D291" s="81"/>
      <c r="E291" s="83"/>
      <c r="F291" s="81"/>
      <c r="G291" s="83"/>
      <c r="H291" s="83"/>
      <c r="I291" s="84" t="str">
        <f aca="false">IF(E291="","",A291&amp;"_1.jpg")</f>
        <v/>
      </c>
      <c r="J291" s="84" t="str">
        <f aca="false">IF(E291="","",A291&amp;"_2.jpg; "&amp;A291&amp;"_3.jpg")</f>
        <v/>
      </c>
      <c r="K291" s="84" t="str">
        <f aca="false">IF(E291="","",A291&amp;"_schema.jpg")</f>
        <v/>
      </c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 t="s">
        <v>96</v>
      </c>
      <c r="W291" s="81"/>
      <c r="X291" s="81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6" t="str">
        <f aca="false">IF(SUM(Y291:AJ291)=0,"",SUM(Y291:AJ291))</f>
        <v/>
      </c>
      <c r="AL291" s="84" t="str">
        <f aca="false">MID(IF(N(Y291)&gt;0,", "&amp;Y$2,"")&amp;IF(N(Z291)&gt;0,", "&amp;Z$2,"")&amp;IF(N(AA291)&gt;0,", "&amp;AA$2,"")&amp;IF(N(AB291)&gt;0,", "&amp;AB$2,"")&amp;IF(N(AC291)&gt;0,", "&amp;AC$2,"")&amp;IF(N(AD291)&gt;0,", "&amp;AD$2,"")&amp;IF(N(AE291)&gt;0,", "&amp;AE$2,"")&amp;IF(N(AF291)&gt;0,", "&amp;AF$2,"")&amp;IF(N(AG291)&gt;0,", "&amp;AG$2,"")&amp;IF(N(AH291)&gt;0,", "&amp;AH$2,"")&amp;IF(N(AI291)&gt;0,", "&amp;AI$2,"")&amp;IF(N(AJ291)&gt;0,", "&amp;AJ$2,""),3,999)</f>
        <v/>
      </c>
      <c r="AM291" s="87" t="str">
        <f aca="false">IF(E291="","",MID(IF(N(Y291)&gt;0,", "&amp;A291&amp;"-"&amp;Y$2,"")&amp;IF(N(Z291)&gt;0,", "&amp;A291&amp;"-"&amp;Z$2,"")&amp;IF(N(AA291)&gt;0,", "&amp;A291&amp;"-"&amp;AA$2,"")&amp;IF(N(AB291)&gt;0,", "&amp;A291&amp;"-"&amp;AB$2,"")&amp;IF(N(AC291)&gt;0,", "&amp;A291&amp;"-"&amp;AC$2,"")&amp;IF(N(AD291)&gt;0,", "&amp;A291&amp;"-"&amp;AD$2,"")&amp;IF(N(AE291)&gt;0,", "&amp;A291&amp;"-"&amp;AE$2,"")&amp;IF(N(AF291)&gt;0,", "&amp;A291&amp;"-"&amp;AF$2,"")&amp;IF(N(AG291)&gt;0,", "&amp;A291&amp;"-"&amp;AG$2,"")&amp;IF(N(AH291)&gt;0,", "&amp;A291&amp;"-"&amp;AH$2,"")&amp;IF(N(AI291)&gt;0,", "&amp;A291&amp;"-"&amp;AI$2,"")&amp;IF(N(AJ291)&gt;0,", "&amp;A291&amp;"-"&amp;AJ$2,""),3,999))</f>
        <v/>
      </c>
      <c r="AN291" s="81"/>
      <c r="AO291" s="88"/>
      <c r="AP291" s="89" t="str">
        <f aca="false">IF(AO291="","",ROUND(AO291/(1+Справочники!$B$13),2))</f>
        <v/>
      </c>
      <c r="AQ291" s="90" t="str">
        <f aca="false" t="array" ref="AQ291:AQ291">IF(AP291="","",AP291*INDEX(Справочники!$B$4:$B$7,MATCH("RUB",Справочники!$A$4:$A$7,0)))</f>
        <v/>
      </c>
      <c r="AR291" s="90" t="str">
        <f aca="false">IF(AQ291="","",ROUND(AQ291*(1+Справочники!$B$12),0))</f>
        <v/>
      </c>
      <c r="AS291" s="90" t="str">
        <f aca="false">IF(AR291="","",ROUND(AR291*(1-Справочники!$B$11),0))</f>
        <v/>
      </c>
      <c r="AT291" s="88"/>
      <c r="AU291" s="90" t="str">
        <f aca="false">IF(AT291="","",ROUND(AT291/(1+Справочники!$B$12),0))</f>
        <v/>
      </c>
      <c r="AV291" s="90" t="str">
        <f aca="false">IF(AT291="","",ROUND(AT291*(1-Справочники!$B$15),0))</f>
        <v/>
      </c>
      <c r="AW291" s="90" t="str">
        <f aca="false">IF(AT291="","",ROUND(AT291*(1-Справочники!$B$16),0))</f>
        <v/>
      </c>
      <c r="AX291" s="90" t="str">
        <f aca="false">IF(AT291="","",ROUND(AT291*(1-Справочники!$B$17),0))</f>
        <v/>
      </c>
      <c r="AY291" s="90" t="str">
        <f aca="false">IF(AT291="","",ROUND(AT291*(1-Справочники!$B$18),0))</f>
        <v/>
      </c>
      <c r="AZ291" s="90" t="str">
        <f aca="false">IF(AT291="","",ROUND(AT291*(1-Справочники!$B$19),0))</f>
        <v/>
      </c>
      <c r="BA291" s="81"/>
      <c r="BB291" s="81"/>
      <c r="BC291" s="81"/>
      <c r="BD291" s="81"/>
      <c r="BE291" s="91"/>
      <c r="BF291" s="81" t="s">
        <v>103</v>
      </c>
      <c r="BG291" s="89" t="n">
        <f aca="false" t="array" ref="BG291:BG291">IF(BF291="","",IFERROR(INDEX(Справочники!$B$4:$B$7,MATCH(BF291,Справочники!$A$4:$A$7,0)),""))</f>
        <v>68.5</v>
      </c>
      <c r="BH291" s="90" t="str">
        <f aca="false">IF(N(BN291)&gt;0,ROUND(SUMIF(ЗАКАЗЫ!$F$3:$F$500,$A291,ЗАКАЗЫ!$Y$3:$Y$500)/BN291,0),IF(OR(BE291="",BG291=""),"",ROUND(BE291*BG291*(1+Справочники!$B$10),0)))</f>
        <v/>
      </c>
      <c r="BI291" s="92" t="str">
        <f aca="false">IF(OR(AU291="",BH291="",AU291=0),"",(AU291-BH291)/AU291)</f>
        <v/>
      </c>
      <c r="BJ291" s="81"/>
      <c r="BK291" s="83"/>
      <c r="BL291" s="43" t="str">
        <f aca="false">IFERROR(INDEX(ЗАКАЗЫ!$N$3:$N$500,MATCH($A291,ЗАКАЗЫ!$F$3:$F$500,0)),"")</f>
        <v/>
      </c>
      <c r="BM291" s="8" t="str">
        <f aca="false">IF(BL291="","",IFERROR(VLOOKUP(BL291,'ТН ВЭД'!$A$4:$C$40,3,0),""))</f>
        <v/>
      </c>
      <c r="BN291" s="7" t="str">
        <f aca="false">IF(COUNTIF(ЗАКАЗЫ!$F$3:$F$500,$A291)=0,"",SUMIF(ЗАКАЗЫ!$F$3:$F$500,$A291,ЗАКАЗЫ!$J$3:$J$500))</f>
        <v/>
      </c>
      <c r="BO291" s="7" t="str">
        <f aca="false">IF(BN291="","",SUMIF(ЗАКАЗЫ!$F$3:$F$500,$A291,ЗАКАЗЫ!$AL$3:$AL$500))</f>
        <v/>
      </c>
      <c r="BP291" s="7" t="str">
        <f aca="false">IF(BN291="","",BN291-BO291)</f>
        <v/>
      </c>
      <c r="BQ291" s="55" t="str">
        <f aca="false">IF(BN291="","",IF(BO291&gt;=BN291,"На складе",IF(BO291&gt;0,"Частично","Ждём")))</f>
        <v/>
      </c>
      <c r="BR291" s="43"/>
      <c r="BS291" s="47" t="str">
        <f aca="false">IF(BN291="","",IF(_xlfn.MAXIFS(ЗАКАЗЫ!$AK$3:$AK$500,ЗАКАЗЫ!$F$3:$F$500,$A291)=0,"",_xlfn.MAXIFS(ЗАКАЗЫ!$AK$3:$AK$500,ЗАКАЗЫ!$F$3:$F$500,$A291)))</f>
        <v/>
      </c>
    </row>
    <row r="292" customFormat="false" ht="15.75" hidden="false" customHeight="true" outlineLevel="0" collapsed="false">
      <c r="A292" s="80" t="s">
        <v>2832</v>
      </c>
      <c r="B292" s="81"/>
      <c r="C292" s="81"/>
      <c r="D292" s="81"/>
      <c r="E292" s="83"/>
      <c r="F292" s="81"/>
      <c r="G292" s="83"/>
      <c r="H292" s="83"/>
      <c r="I292" s="84" t="str">
        <f aca="false">IF(E292="","",A292&amp;"_1.jpg")</f>
        <v/>
      </c>
      <c r="J292" s="84" t="str">
        <f aca="false">IF(E292="","",A292&amp;"_2.jpg; "&amp;A292&amp;"_3.jpg")</f>
        <v/>
      </c>
      <c r="K292" s="84" t="str">
        <f aca="false">IF(E292="","",A292&amp;"_schema.jpg")</f>
        <v/>
      </c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 t="s">
        <v>96</v>
      </c>
      <c r="W292" s="81"/>
      <c r="X292" s="81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6" t="str">
        <f aca="false">IF(SUM(Y292:AJ292)=0,"",SUM(Y292:AJ292))</f>
        <v/>
      </c>
      <c r="AL292" s="84" t="str">
        <f aca="false">MID(IF(N(Y292)&gt;0,", "&amp;Y$2,"")&amp;IF(N(Z292)&gt;0,", "&amp;Z$2,"")&amp;IF(N(AA292)&gt;0,", "&amp;AA$2,"")&amp;IF(N(AB292)&gt;0,", "&amp;AB$2,"")&amp;IF(N(AC292)&gt;0,", "&amp;AC$2,"")&amp;IF(N(AD292)&gt;0,", "&amp;AD$2,"")&amp;IF(N(AE292)&gt;0,", "&amp;AE$2,"")&amp;IF(N(AF292)&gt;0,", "&amp;AF$2,"")&amp;IF(N(AG292)&gt;0,", "&amp;AG$2,"")&amp;IF(N(AH292)&gt;0,", "&amp;AH$2,"")&amp;IF(N(AI292)&gt;0,", "&amp;AI$2,"")&amp;IF(N(AJ292)&gt;0,", "&amp;AJ$2,""),3,999)</f>
        <v/>
      </c>
      <c r="AM292" s="87" t="str">
        <f aca="false">IF(E292="","",MID(IF(N(Y292)&gt;0,", "&amp;A292&amp;"-"&amp;Y$2,"")&amp;IF(N(Z292)&gt;0,", "&amp;A292&amp;"-"&amp;Z$2,"")&amp;IF(N(AA292)&gt;0,", "&amp;A292&amp;"-"&amp;AA$2,"")&amp;IF(N(AB292)&gt;0,", "&amp;A292&amp;"-"&amp;AB$2,"")&amp;IF(N(AC292)&gt;0,", "&amp;A292&amp;"-"&amp;AC$2,"")&amp;IF(N(AD292)&gt;0,", "&amp;A292&amp;"-"&amp;AD$2,"")&amp;IF(N(AE292)&gt;0,", "&amp;A292&amp;"-"&amp;AE$2,"")&amp;IF(N(AF292)&gt;0,", "&amp;A292&amp;"-"&amp;AF$2,"")&amp;IF(N(AG292)&gt;0,", "&amp;A292&amp;"-"&amp;AG$2,"")&amp;IF(N(AH292)&gt;0,", "&amp;A292&amp;"-"&amp;AH$2,"")&amp;IF(N(AI292)&gt;0,", "&amp;A292&amp;"-"&amp;AI$2,"")&amp;IF(N(AJ292)&gt;0,", "&amp;A292&amp;"-"&amp;AJ$2,""),3,999))</f>
        <v/>
      </c>
      <c r="AN292" s="81"/>
      <c r="AO292" s="88"/>
      <c r="AP292" s="89" t="str">
        <f aca="false">IF(AO292="","",ROUND(AO292/(1+Справочники!$B$13),2))</f>
        <v/>
      </c>
      <c r="AQ292" s="90" t="str">
        <f aca="false" t="array" ref="AQ292:AQ292">IF(AP292="","",AP292*INDEX(Справочники!$B$4:$B$7,MATCH("RUB",Справочники!$A$4:$A$7,0)))</f>
        <v/>
      </c>
      <c r="AR292" s="90" t="str">
        <f aca="false">IF(AQ292="","",ROUND(AQ292*(1+Справочники!$B$12),0))</f>
        <v/>
      </c>
      <c r="AS292" s="90" t="str">
        <f aca="false">IF(AR292="","",ROUND(AR292*(1-Справочники!$B$11),0))</f>
        <v/>
      </c>
      <c r="AT292" s="88"/>
      <c r="AU292" s="90" t="str">
        <f aca="false">IF(AT292="","",ROUND(AT292/(1+Справочники!$B$12),0))</f>
        <v/>
      </c>
      <c r="AV292" s="90" t="str">
        <f aca="false">IF(AT292="","",ROUND(AT292*(1-Справочники!$B$15),0))</f>
        <v/>
      </c>
      <c r="AW292" s="90" t="str">
        <f aca="false">IF(AT292="","",ROUND(AT292*(1-Справочники!$B$16),0))</f>
        <v/>
      </c>
      <c r="AX292" s="90" t="str">
        <f aca="false">IF(AT292="","",ROUND(AT292*(1-Справочники!$B$17),0))</f>
        <v/>
      </c>
      <c r="AY292" s="90" t="str">
        <f aca="false">IF(AT292="","",ROUND(AT292*(1-Справочники!$B$18),0))</f>
        <v/>
      </c>
      <c r="AZ292" s="90" t="str">
        <f aca="false">IF(AT292="","",ROUND(AT292*(1-Справочники!$B$19),0))</f>
        <v/>
      </c>
      <c r="BA292" s="81"/>
      <c r="BB292" s="81"/>
      <c r="BC292" s="81"/>
      <c r="BD292" s="81"/>
      <c r="BE292" s="91"/>
      <c r="BF292" s="81" t="s">
        <v>103</v>
      </c>
      <c r="BG292" s="89" t="n">
        <f aca="false" t="array" ref="BG292:BG292">IF(BF292="","",IFERROR(INDEX(Справочники!$B$4:$B$7,MATCH(BF292,Справочники!$A$4:$A$7,0)),""))</f>
        <v>68.5</v>
      </c>
      <c r="BH292" s="90" t="str">
        <f aca="false">IF(N(BN292)&gt;0,ROUND(SUMIF(ЗАКАЗЫ!$F$3:$F$500,$A292,ЗАКАЗЫ!$Y$3:$Y$500)/BN292,0),IF(OR(BE292="",BG292=""),"",ROUND(BE292*BG292*(1+Справочники!$B$10),0)))</f>
        <v/>
      </c>
      <c r="BI292" s="92" t="str">
        <f aca="false">IF(OR(AU292="",BH292="",AU292=0),"",(AU292-BH292)/AU292)</f>
        <v/>
      </c>
      <c r="BJ292" s="81"/>
      <c r="BK292" s="83"/>
      <c r="BL292" s="43" t="str">
        <f aca="false">IFERROR(INDEX(ЗАКАЗЫ!$N$3:$N$500,MATCH($A292,ЗАКАЗЫ!$F$3:$F$500,0)),"")</f>
        <v/>
      </c>
      <c r="BM292" s="8" t="str">
        <f aca="false">IF(BL292="","",IFERROR(VLOOKUP(BL292,'ТН ВЭД'!$A$4:$C$40,3,0),""))</f>
        <v/>
      </c>
      <c r="BN292" s="7" t="str">
        <f aca="false">IF(COUNTIF(ЗАКАЗЫ!$F$3:$F$500,$A292)=0,"",SUMIF(ЗАКАЗЫ!$F$3:$F$500,$A292,ЗАКАЗЫ!$J$3:$J$500))</f>
        <v/>
      </c>
      <c r="BO292" s="7" t="str">
        <f aca="false">IF(BN292="","",SUMIF(ЗАКАЗЫ!$F$3:$F$500,$A292,ЗАКАЗЫ!$AL$3:$AL$500))</f>
        <v/>
      </c>
      <c r="BP292" s="7" t="str">
        <f aca="false">IF(BN292="","",BN292-BO292)</f>
        <v/>
      </c>
      <c r="BQ292" s="55" t="str">
        <f aca="false">IF(BN292="","",IF(BO292&gt;=BN292,"На складе",IF(BO292&gt;0,"Частично","Ждём")))</f>
        <v/>
      </c>
      <c r="BR292" s="43"/>
      <c r="BS292" s="47" t="str">
        <f aca="false">IF(BN292="","",IF(_xlfn.MAXIFS(ЗАКАЗЫ!$AK$3:$AK$500,ЗАКАЗЫ!$F$3:$F$500,$A292)=0,"",_xlfn.MAXIFS(ЗАКАЗЫ!$AK$3:$AK$500,ЗАКАЗЫ!$F$3:$F$500,$A292)))</f>
        <v/>
      </c>
    </row>
    <row r="293" customFormat="false" ht="15.75" hidden="false" customHeight="true" outlineLevel="0" collapsed="false">
      <c r="A293" s="80" t="s">
        <v>2833</v>
      </c>
      <c r="B293" s="81"/>
      <c r="C293" s="81"/>
      <c r="D293" s="81"/>
      <c r="E293" s="83"/>
      <c r="F293" s="81"/>
      <c r="G293" s="83"/>
      <c r="H293" s="83"/>
      <c r="I293" s="84" t="str">
        <f aca="false">IF(E293="","",A293&amp;"_1.jpg")</f>
        <v/>
      </c>
      <c r="J293" s="84" t="str">
        <f aca="false">IF(E293="","",A293&amp;"_2.jpg; "&amp;A293&amp;"_3.jpg")</f>
        <v/>
      </c>
      <c r="K293" s="84" t="str">
        <f aca="false">IF(E293="","",A293&amp;"_schema.jpg")</f>
        <v/>
      </c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 t="s">
        <v>96</v>
      </c>
      <c r="W293" s="81"/>
      <c r="X293" s="81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6" t="str">
        <f aca="false">IF(SUM(Y293:AJ293)=0,"",SUM(Y293:AJ293))</f>
        <v/>
      </c>
      <c r="AL293" s="84" t="str">
        <f aca="false">MID(IF(N(Y293)&gt;0,", "&amp;Y$2,"")&amp;IF(N(Z293)&gt;0,", "&amp;Z$2,"")&amp;IF(N(AA293)&gt;0,", "&amp;AA$2,"")&amp;IF(N(AB293)&gt;0,", "&amp;AB$2,"")&amp;IF(N(AC293)&gt;0,", "&amp;AC$2,"")&amp;IF(N(AD293)&gt;0,", "&amp;AD$2,"")&amp;IF(N(AE293)&gt;0,", "&amp;AE$2,"")&amp;IF(N(AF293)&gt;0,", "&amp;AF$2,"")&amp;IF(N(AG293)&gt;0,", "&amp;AG$2,"")&amp;IF(N(AH293)&gt;0,", "&amp;AH$2,"")&amp;IF(N(AI293)&gt;0,", "&amp;AI$2,"")&amp;IF(N(AJ293)&gt;0,", "&amp;AJ$2,""),3,999)</f>
        <v/>
      </c>
      <c r="AM293" s="87" t="str">
        <f aca="false">IF(E293="","",MID(IF(N(Y293)&gt;0,", "&amp;A293&amp;"-"&amp;Y$2,"")&amp;IF(N(Z293)&gt;0,", "&amp;A293&amp;"-"&amp;Z$2,"")&amp;IF(N(AA293)&gt;0,", "&amp;A293&amp;"-"&amp;AA$2,"")&amp;IF(N(AB293)&gt;0,", "&amp;A293&amp;"-"&amp;AB$2,"")&amp;IF(N(AC293)&gt;0,", "&amp;A293&amp;"-"&amp;AC$2,"")&amp;IF(N(AD293)&gt;0,", "&amp;A293&amp;"-"&amp;AD$2,"")&amp;IF(N(AE293)&gt;0,", "&amp;A293&amp;"-"&amp;AE$2,"")&amp;IF(N(AF293)&gt;0,", "&amp;A293&amp;"-"&amp;AF$2,"")&amp;IF(N(AG293)&gt;0,", "&amp;A293&amp;"-"&amp;AG$2,"")&amp;IF(N(AH293)&gt;0,", "&amp;A293&amp;"-"&amp;AH$2,"")&amp;IF(N(AI293)&gt;0,", "&amp;A293&amp;"-"&amp;AI$2,"")&amp;IF(N(AJ293)&gt;0,", "&amp;A293&amp;"-"&amp;AJ$2,""),3,999))</f>
        <v/>
      </c>
      <c r="AN293" s="81"/>
      <c r="AO293" s="88"/>
      <c r="AP293" s="89" t="str">
        <f aca="false">IF(AO293="","",ROUND(AO293/(1+Справочники!$B$13),2))</f>
        <v/>
      </c>
      <c r="AQ293" s="90" t="str">
        <f aca="false" t="array" ref="AQ293:AQ293">IF(AP293="","",AP293*INDEX(Справочники!$B$4:$B$7,MATCH("RUB",Справочники!$A$4:$A$7,0)))</f>
        <v/>
      </c>
      <c r="AR293" s="90" t="str">
        <f aca="false">IF(AQ293="","",ROUND(AQ293*(1+Справочники!$B$12),0))</f>
        <v/>
      </c>
      <c r="AS293" s="90" t="str">
        <f aca="false">IF(AR293="","",ROUND(AR293*(1-Справочники!$B$11),0))</f>
        <v/>
      </c>
      <c r="AT293" s="88"/>
      <c r="AU293" s="90" t="str">
        <f aca="false">IF(AT293="","",ROUND(AT293/(1+Справочники!$B$12),0))</f>
        <v/>
      </c>
      <c r="AV293" s="90" t="str">
        <f aca="false">IF(AT293="","",ROUND(AT293*(1-Справочники!$B$15),0))</f>
        <v/>
      </c>
      <c r="AW293" s="90" t="str">
        <f aca="false">IF(AT293="","",ROUND(AT293*(1-Справочники!$B$16),0))</f>
        <v/>
      </c>
      <c r="AX293" s="90" t="str">
        <f aca="false">IF(AT293="","",ROUND(AT293*(1-Справочники!$B$17),0))</f>
        <v/>
      </c>
      <c r="AY293" s="90" t="str">
        <f aca="false">IF(AT293="","",ROUND(AT293*(1-Справочники!$B$18),0))</f>
        <v/>
      </c>
      <c r="AZ293" s="90" t="str">
        <f aca="false">IF(AT293="","",ROUND(AT293*(1-Справочники!$B$19),0))</f>
        <v/>
      </c>
      <c r="BA293" s="81"/>
      <c r="BB293" s="81"/>
      <c r="BC293" s="81"/>
      <c r="BD293" s="81"/>
      <c r="BE293" s="91"/>
      <c r="BF293" s="81" t="s">
        <v>103</v>
      </c>
      <c r="BG293" s="89" t="n">
        <f aca="false" t="array" ref="BG293:BG293">IF(BF293="","",IFERROR(INDEX(Справочники!$B$4:$B$7,MATCH(BF293,Справочники!$A$4:$A$7,0)),""))</f>
        <v>68.5</v>
      </c>
      <c r="BH293" s="90" t="str">
        <f aca="false">IF(N(BN293)&gt;0,ROUND(SUMIF(ЗАКАЗЫ!$F$3:$F$500,$A293,ЗАКАЗЫ!$Y$3:$Y$500)/BN293,0),IF(OR(BE293="",BG293=""),"",ROUND(BE293*BG293*(1+Справочники!$B$10),0)))</f>
        <v/>
      </c>
      <c r="BI293" s="92" t="str">
        <f aca="false">IF(OR(AU293="",BH293="",AU293=0),"",(AU293-BH293)/AU293)</f>
        <v/>
      </c>
      <c r="BJ293" s="81"/>
      <c r="BK293" s="83"/>
      <c r="BL293" s="43" t="str">
        <f aca="false">IFERROR(INDEX(ЗАКАЗЫ!$N$3:$N$500,MATCH($A293,ЗАКАЗЫ!$F$3:$F$500,0)),"")</f>
        <v/>
      </c>
      <c r="BM293" s="8" t="str">
        <f aca="false">IF(BL293="","",IFERROR(VLOOKUP(BL293,'ТН ВЭД'!$A$4:$C$40,3,0),""))</f>
        <v/>
      </c>
      <c r="BN293" s="7" t="str">
        <f aca="false">IF(COUNTIF(ЗАКАЗЫ!$F$3:$F$500,$A293)=0,"",SUMIF(ЗАКАЗЫ!$F$3:$F$500,$A293,ЗАКАЗЫ!$J$3:$J$500))</f>
        <v/>
      </c>
      <c r="BO293" s="7" t="str">
        <f aca="false">IF(BN293="","",SUMIF(ЗАКАЗЫ!$F$3:$F$500,$A293,ЗАКАЗЫ!$AL$3:$AL$500))</f>
        <v/>
      </c>
      <c r="BP293" s="7" t="str">
        <f aca="false">IF(BN293="","",BN293-BO293)</f>
        <v/>
      </c>
      <c r="BQ293" s="55" t="str">
        <f aca="false">IF(BN293="","",IF(BO293&gt;=BN293,"На складе",IF(BO293&gt;0,"Частично","Ждём")))</f>
        <v/>
      </c>
      <c r="BR293" s="43"/>
      <c r="BS293" s="47" t="str">
        <f aca="false">IF(BN293="","",IF(_xlfn.MAXIFS(ЗАКАЗЫ!$AK$3:$AK$500,ЗАКАЗЫ!$F$3:$F$500,$A293)=0,"",_xlfn.MAXIFS(ЗАКАЗЫ!$AK$3:$AK$500,ЗАКАЗЫ!$F$3:$F$500,$A293)))</f>
        <v/>
      </c>
    </row>
    <row r="294" customFormat="false" ht="15.75" hidden="false" customHeight="true" outlineLevel="0" collapsed="false">
      <c r="A294" s="80" t="s">
        <v>2834</v>
      </c>
      <c r="B294" s="81"/>
      <c r="C294" s="81"/>
      <c r="D294" s="81"/>
      <c r="E294" s="83"/>
      <c r="F294" s="81"/>
      <c r="G294" s="83"/>
      <c r="H294" s="83"/>
      <c r="I294" s="84" t="str">
        <f aca="false">IF(E294="","",A294&amp;"_1.jpg")</f>
        <v/>
      </c>
      <c r="J294" s="84" t="str">
        <f aca="false">IF(E294="","",A294&amp;"_2.jpg; "&amp;A294&amp;"_3.jpg")</f>
        <v/>
      </c>
      <c r="K294" s="84" t="str">
        <f aca="false">IF(E294="","",A294&amp;"_schema.jpg")</f>
        <v/>
      </c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 t="s">
        <v>96</v>
      </c>
      <c r="W294" s="81"/>
      <c r="X294" s="81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6" t="str">
        <f aca="false">IF(SUM(Y294:AJ294)=0,"",SUM(Y294:AJ294))</f>
        <v/>
      </c>
      <c r="AL294" s="84" t="str">
        <f aca="false">MID(IF(N(Y294)&gt;0,", "&amp;Y$2,"")&amp;IF(N(Z294)&gt;0,", "&amp;Z$2,"")&amp;IF(N(AA294)&gt;0,", "&amp;AA$2,"")&amp;IF(N(AB294)&gt;0,", "&amp;AB$2,"")&amp;IF(N(AC294)&gt;0,", "&amp;AC$2,"")&amp;IF(N(AD294)&gt;0,", "&amp;AD$2,"")&amp;IF(N(AE294)&gt;0,", "&amp;AE$2,"")&amp;IF(N(AF294)&gt;0,", "&amp;AF$2,"")&amp;IF(N(AG294)&gt;0,", "&amp;AG$2,"")&amp;IF(N(AH294)&gt;0,", "&amp;AH$2,"")&amp;IF(N(AI294)&gt;0,", "&amp;AI$2,"")&amp;IF(N(AJ294)&gt;0,", "&amp;AJ$2,""),3,999)</f>
        <v/>
      </c>
      <c r="AM294" s="87" t="str">
        <f aca="false">IF(E294="","",MID(IF(N(Y294)&gt;0,", "&amp;A294&amp;"-"&amp;Y$2,"")&amp;IF(N(Z294)&gt;0,", "&amp;A294&amp;"-"&amp;Z$2,"")&amp;IF(N(AA294)&gt;0,", "&amp;A294&amp;"-"&amp;AA$2,"")&amp;IF(N(AB294)&gt;0,", "&amp;A294&amp;"-"&amp;AB$2,"")&amp;IF(N(AC294)&gt;0,", "&amp;A294&amp;"-"&amp;AC$2,"")&amp;IF(N(AD294)&gt;0,", "&amp;A294&amp;"-"&amp;AD$2,"")&amp;IF(N(AE294)&gt;0,", "&amp;A294&amp;"-"&amp;AE$2,"")&amp;IF(N(AF294)&gt;0,", "&amp;A294&amp;"-"&amp;AF$2,"")&amp;IF(N(AG294)&gt;0,", "&amp;A294&amp;"-"&amp;AG$2,"")&amp;IF(N(AH294)&gt;0,", "&amp;A294&amp;"-"&amp;AH$2,"")&amp;IF(N(AI294)&gt;0,", "&amp;A294&amp;"-"&amp;AI$2,"")&amp;IF(N(AJ294)&gt;0,", "&amp;A294&amp;"-"&amp;AJ$2,""),3,999))</f>
        <v/>
      </c>
      <c r="AN294" s="81"/>
      <c r="AO294" s="88"/>
      <c r="AP294" s="89" t="str">
        <f aca="false">IF(AO294="","",ROUND(AO294/(1+Справочники!$B$13),2))</f>
        <v/>
      </c>
      <c r="AQ294" s="90" t="str">
        <f aca="false" t="array" ref="AQ294:AQ294">IF(AP294="","",AP294*INDEX(Справочники!$B$4:$B$7,MATCH("RUB",Справочники!$A$4:$A$7,0)))</f>
        <v/>
      </c>
      <c r="AR294" s="90" t="str">
        <f aca="false">IF(AQ294="","",ROUND(AQ294*(1+Справочники!$B$12),0))</f>
        <v/>
      </c>
      <c r="AS294" s="90" t="str">
        <f aca="false">IF(AR294="","",ROUND(AR294*(1-Справочники!$B$11),0))</f>
        <v/>
      </c>
      <c r="AT294" s="88"/>
      <c r="AU294" s="90" t="str">
        <f aca="false">IF(AT294="","",ROUND(AT294/(1+Справочники!$B$12),0))</f>
        <v/>
      </c>
      <c r="AV294" s="90" t="str">
        <f aca="false">IF(AT294="","",ROUND(AT294*(1-Справочники!$B$15),0))</f>
        <v/>
      </c>
      <c r="AW294" s="90" t="str">
        <f aca="false">IF(AT294="","",ROUND(AT294*(1-Справочники!$B$16),0))</f>
        <v/>
      </c>
      <c r="AX294" s="90" t="str">
        <f aca="false">IF(AT294="","",ROUND(AT294*(1-Справочники!$B$17),0))</f>
        <v/>
      </c>
      <c r="AY294" s="90" t="str">
        <f aca="false">IF(AT294="","",ROUND(AT294*(1-Справочники!$B$18),0))</f>
        <v/>
      </c>
      <c r="AZ294" s="90" t="str">
        <f aca="false">IF(AT294="","",ROUND(AT294*(1-Справочники!$B$19),0))</f>
        <v/>
      </c>
      <c r="BA294" s="81"/>
      <c r="BB294" s="81"/>
      <c r="BC294" s="81"/>
      <c r="BD294" s="81"/>
      <c r="BE294" s="91"/>
      <c r="BF294" s="81" t="s">
        <v>103</v>
      </c>
      <c r="BG294" s="89" t="n">
        <f aca="false" t="array" ref="BG294:BG294">IF(BF294="","",IFERROR(INDEX(Справочники!$B$4:$B$7,MATCH(BF294,Справочники!$A$4:$A$7,0)),""))</f>
        <v>68.5</v>
      </c>
      <c r="BH294" s="90" t="str">
        <f aca="false">IF(N(BN294)&gt;0,ROUND(SUMIF(ЗАКАЗЫ!$F$3:$F$500,$A294,ЗАКАЗЫ!$Y$3:$Y$500)/BN294,0),IF(OR(BE294="",BG294=""),"",ROUND(BE294*BG294*(1+Справочники!$B$10),0)))</f>
        <v/>
      </c>
      <c r="BI294" s="92" t="str">
        <f aca="false">IF(OR(AU294="",BH294="",AU294=0),"",(AU294-BH294)/AU294)</f>
        <v/>
      </c>
      <c r="BJ294" s="81"/>
      <c r="BK294" s="83"/>
      <c r="BL294" s="43" t="str">
        <f aca="false">IFERROR(INDEX(ЗАКАЗЫ!$N$3:$N$500,MATCH($A294,ЗАКАЗЫ!$F$3:$F$500,0)),"")</f>
        <v/>
      </c>
      <c r="BM294" s="8" t="str">
        <f aca="false">IF(BL294="","",IFERROR(VLOOKUP(BL294,'ТН ВЭД'!$A$4:$C$40,3,0),""))</f>
        <v/>
      </c>
      <c r="BN294" s="7" t="str">
        <f aca="false">IF(COUNTIF(ЗАКАЗЫ!$F$3:$F$500,$A294)=0,"",SUMIF(ЗАКАЗЫ!$F$3:$F$500,$A294,ЗАКАЗЫ!$J$3:$J$500))</f>
        <v/>
      </c>
      <c r="BO294" s="7" t="str">
        <f aca="false">IF(BN294="","",SUMIF(ЗАКАЗЫ!$F$3:$F$500,$A294,ЗАКАЗЫ!$AL$3:$AL$500))</f>
        <v/>
      </c>
      <c r="BP294" s="7" t="str">
        <f aca="false">IF(BN294="","",BN294-BO294)</f>
        <v/>
      </c>
      <c r="BQ294" s="55" t="str">
        <f aca="false">IF(BN294="","",IF(BO294&gt;=BN294,"На складе",IF(BO294&gt;0,"Частично","Ждём")))</f>
        <v/>
      </c>
      <c r="BR294" s="43"/>
      <c r="BS294" s="47" t="str">
        <f aca="false">IF(BN294="","",IF(_xlfn.MAXIFS(ЗАКАЗЫ!$AK$3:$AK$500,ЗАКАЗЫ!$F$3:$F$500,$A294)=0,"",_xlfn.MAXIFS(ЗАКАЗЫ!$AK$3:$AK$500,ЗАКАЗЫ!$F$3:$F$500,$A294)))</f>
        <v/>
      </c>
    </row>
    <row r="295" customFormat="false" ht="15.75" hidden="false" customHeight="true" outlineLevel="0" collapsed="false">
      <c r="A295" s="80" t="s">
        <v>2835</v>
      </c>
      <c r="B295" s="81"/>
      <c r="C295" s="81"/>
      <c r="D295" s="81"/>
      <c r="E295" s="83"/>
      <c r="F295" s="81"/>
      <c r="G295" s="83"/>
      <c r="H295" s="83"/>
      <c r="I295" s="84" t="str">
        <f aca="false">IF(E295="","",A295&amp;"_1.jpg")</f>
        <v/>
      </c>
      <c r="J295" s="84" t="str">
        <f aca="false">IF(E295="","",A295&amp;"_2.jpg; "&amp;A295&amp;"_3.jpg")</f>
        <v/>
      </c>
      <c r="K295" s="84" t="str">
        <f aca="false">IF(E295="","",A295&amp;"_schema.jpg")</f>
        <v/>
      </c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 t="s">
        <v>96</v>
      </c>
      <c r="W295" s="81"/>
      <c r="X295" s="81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6" t="str">
        <f aca="false">IF(SUM(Y295:AJ295)=0,"",SUM(Y295:AJ295))</f>
        <v/>
      </c>
      <c r="AL295" s="84" t="str">
        <f aca="false">MID(IF(N(Y295)&gt;0,", "&amp;Y$2,"")&amp;IF(N(Z295)&gt;0,", "&amp;Z$2,"")&amp;IF(N(AA295)&gt;0,", "&amp;AA$2,"")&amp;IF(N(AB295)&gt;0,", "&amp;AB$2,"")&amp;IF(N(AC295)&gt;0,", "&amp;AC$2,"")&amp;IF(N(AD295)&gt;0,", "&amp;AD$2,"")&amp;IF(N(AE295)&gt;0,", "&amp;AE$2,"")&amp;IF(N(AF295)&gt;0,", "&amp;AF$2,"")&amp;IF(N(AG295)&gt;0,", "&amp;AG$2,"")&amp;IF(N(AH295)&gt;0,", "&amp;AH$2,"")&amp;IF(N(AI295)&gt;0,", "&amp;AI$2,"")&amp;IF(N(AJ295)&gt;0,", "&amp;AJ$2,""),3,999)</f>
        <v/>
      </c>
      <c r="AM295" s="87" t="str">
        <f aca="false">IF(E295="","",MID(IF(N(Y295)&gt;0,", "&amp;A295&amp;"-"&amp;Y$2,"")&amp;IF(N(Z295)&gt;0,", "&amp;A295&amp;"-"&amp;Z$2,"")&amp;IF(N(AA295)&gt;0,", "&amp;A295&amp;"-"&amp;AA$2,"")&amp;IF(N(AB295)&gt;0,", "&amp;A295&amp;"-"&amp;AB$2,"")&amp;IF(N(AC295)&gt;0,", "&amp;A295&amp;"-"&amp;AC$2,"")&amp;IF(N(AD295)&gt;0,", "&amp;A295&amp;"-"&amp;AD$2,"")&amp;IF(N(AE295)&gt;0,", "&amp;A295&amp;"-"&amp;AE$2,"")&amp;IF(N(AF295)&gt;0,", "&amp;A295&amp;"-"&amp;AF$2,"")&amp;IF(N(AG295)&gt;0,", "&amp;A295&amp;"-"&amp;AG$2,"")&amp;IF(N(AH295)&gt;0,", "&amp;A295&amp;"-"&amp;AH$2,"")&amp;IF(N(AI295)&gt;0,", "&amp;A295&amp;"-"&amp;AI$2,"")&amp;IF(N(AJ295)&gt;0,", "&amp;A295&amp;"-"&amp;AJ$2,""),3,999))</f>
        <v/>
      </c>
      <c r="AN295" s="81"/>
      <c r="AO295" s="88"/>
      <c r="AP295" s="89" t="str">
        <f aca="false">IF(AO295="","",ROUND(AO295/(1+Справочники!$B$13),2))</f>
        <v/>
      </c>
      <c r="AQ295" s="90" t="str">
        <f aca="false" t="array" ref="AQ295:AQ295">IF(AP295="","",AP295*INDEX(Справочники!$B$4:$B$7,MATCH("RUB",Справочники!$A$4:$A$7,0)))</f>
        <v/>
      </c>
      <c r="AR295" s="90" t="str">
        <f aca="false">IF(AQ295="","",ROUND(AQ295*(1+Справочники!$B$12),0))</f>
        <v/>
      </c>
      <c r="AS295" s="90" t="str">
        <f aca="false">IF(AR295="","",ROUND(AR295*(1-Справочники!$B$11),0))</f>
        <v/>
      </c>
      <c r="AT295" s="88"/>
      <c r="AU295" s="90" t="str">
        <f aca="false">IF(AT295="","",ROUND(AT295/(1+Справочники!$B$12),0))</f>
        <v/>
      </c>
      <c r="AV295" s="90" t="str">
        <f aca="false">IF(AT295="","",ROUND(AT295*(1-Справочники!$B$15),0))</f>
        <v/>
      </c>
      <c r="AW295" s="90" t="str">
        <f aca="false">IF(AT295="","",ROUND(AT295*(1-Справочники!$B$16),0))</f>
        <v/>
      </c>
      <c r="AX295" s="90" t="str">
        <f aca="false">IF(AT295="","",ROUND(AT295*(1-Справочники!$B$17),0))</f>
        <v/>
      </c>
      <c r="AY295" s="90" t="str">
        <f aca="false">IF(AT295="","",ROUND(AT295*(1-Справочники!$B$18),0))</f>
        <v/>
      </c>
      <c r="AZ295" s="90" t="str">
        <f aca="false">IF(AT295="","",ROUND(AT295*(1-Справочники!$B$19),0))</f>
        <v/>
      </c>
      <c r="BA295" s="81"/>
      <c r="BB295" s="81"/>
      <c r="BC295" s="81"/>
      <c r="BD295" s="81"/>
      <c r="BE295" s="91"/>
      <c r="BF295" s="81" t="s">
        <v>103</v>
      </c>
      <c r="BG295" s="89" t="n">
        <f aca="false" t="array" ref="BG295:BG295">IF(BF295="","",IFERROR(INDEX(Справочники!$B$4:$B$7,MATCH(BF295,Справочники!$A$4:$A$7,0)),""))</f>
        <v>68.5</v>
      </c>
      <c r="BH295" s="90" t="str">
        <f aca="false">IF(N(BN295)&gt;0,ROUND(SUMIF(ЗАКАЗЫ!$F$3:$F$500,$A295,ЗАКАЗЫ!$Y$3:$Y$500)/BN295,0),IF(OR(BE295="",BG295=""),"",ROUND(BE295*BG295*(1+Справочники!$B$10),0)))</f>
        <v/>
      </c>
      <c r="BI295" s="92" t="str">
        <f aca="false">IF(OR(AU295="",BH295="",AU295=0),"",(AU295-BH295)/AU295)</f>
        <v/>
      </c>
      <c r="BJ295" s="81"/>
      <c r="BK295" s="83"/>
      <c r="BL295" s="43" t="str">
        <f aca="false">IFERROR(INDEX(ЗАКАЗЫ!$N$3:$N$500,MATCH($A295,ЗАКАЗЫ!$F$3:$F$500,0)),"")</f>
        <v/>
      </c>
      <c r="BM295" s="8" t="str">
        <f aca="false">IF(BL295="","",IFERROR(VLOOKUP(BL295,'ТН ВЭД'!$A$4:$C$40,3,0),""))</f>
        <v/>
      </c>
      <c r="BN295" s="7" t="str">
        <f aca="false">IF(COUNTIF(ЗАКАЗЫ!$F$3:$F$500,$A295)=0,"",SUMIF(ЗАКАЗЫ!$F$3:$F$500,$A295,ЗАКАЗЫ!$J$3:$J$500))</f>
        <v/>
      </c>
      <c r="BO295" s="7" t="str">
        <f aca="false">IF(BN295="","",SUMIF(ЗАКАЗЫ!$F$3:$F$500,$A295,ЗАКАЗЫ!$AL$3:$AL$500))</f>
        <v/>
      </c>
      <c r="BP295" s="7" t="str">
        <f aca="false">IF(BN295="","",BN295-BO295)</f>
        <v/>
      </c>
      <c r="BQ295" s="55" t="str">
        <f aca="false">IF(BN295="","",IF(BO295&gt;=BN295,"На складе",IF(BO295&gt;0,"Частично","Ждём")))</f>
        <v/>
      </c>
      <c r="BR295" s="43"/>
      <c r="BS295" s="47" t="str">
        <f aca="false">IF(BN295="","",IF(_xlfn.MAXIFS(ЗАКАЗЫ!$AK$3:$AK$500,ЗАКАЗЫ!$F$3:$F$500,$A295)=0,"",_xlfn.MAXIFS(ЗАКАЗЫ!$AK$3:$AK$500,ЗАКАЗЫ!$F$3:$F$500,$A295)))</f>
        <v/>
      </c>
    </row>
    <row r="296" customFormat="false" ht="15.75" hidden="false" customHeight="true" outlineLevel="0" collapsed="false">
      <c r="A296" s="80" t="s">
        <v>2836</v>
      </c>
      <c r="B296" s="81"/>
      <c r="C296" s="81"/>
      <c r="D296" s="81"/>
      <c r="E296" s="83"/>
      <c r="F296" s="81"/>
      <c r="G296" s="83"/>
      <c r="H296" s="83"/>
      <c r="I296" s="84" t="str">
        <f aca="false">IF(E296="","",A296&amp;"_1.jpg")</f>
        <v/>
      </c>
      <c r="J296" s="84" t="str">
        <f aca="false">IF(E296="","",A296&amp;"_2.jpg; "&amp;A296&amp;"_3.jpg")</f>
        <v/>
      </c>
      <c r="K296" s="84" t="str">
        <f aca="false">IF(E296="","",A296&amp;"_schema.jpg")</f>
        <v/>
      </c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 t="s">
        <v>96</v>
      </c>
      <c r="W296" s="81"/>
      <c r="X296" s="81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6" t="str">
        <f aca="false">IF(SUM(Y296:AJ296)=0,"",SUM(Y296:AJ296))</f>
        <v/>
      </c>
      <c r="AL296" s="84" t="str">
        <f aca="false">MID(IF(N(Y296)&gt;0,", "&amp;Y$2,"")&amp;IF(N(Z296)&gt;0,", "&amp;Z$2,"")&amp;IF(N(AA296)&gt;0,", "&amp;AA$2,"")&amp;IF(N(AB296)&gt;0,", "&amp;AB$2,"")&amp;IF(N(AC296)&gt;0,", "&amp;AC$2,"")&amp;IF(N(AD296)&gt;0,", "&amp;AD$2,"")&amp;IF(N(AE296)&gt;0,", "&amp;AE$2,"")&amp;IF(N(AF296)&gt;0,", "&amp;AF$2,"")&amp;IF(N(AG296)&gt;0,", "&amp;AG$2,"")&amp;IF(N(AH296)&gt;0,", "&amp;AH$2,"")&amp;IF(N(AI296)&gt;0,", "&amp;AI$2,"")&amp;IF(N(AJ296)&gt;0,", "&amp;AJ$2,""),3,999)</f>
        <v/>
      </c>
      <c r="AM296" s="87" t="str">
        <f aca="false">IF(E296="","",MID(IF(N(Y296)&gt;0,", "&amp;A296&amp;"-"&amp;Y$2,"")&amp;IF(N(Z296)&gt;0,", "&amp;A296&amp;"-"&amp;Z$2,"")&amp;IF(N(AA296)&gt;0,", "&amp;A296&amp;"-"&amp;AA$2,"")&amp;IF(N(AB296)&gt;0,", "&amp;A296&amp;"-"&amp;AB$2,"")&amp;IF(N(AC296)&gt;0,", "&amp;A296&amp;"-"&amp;AC$2,"")&amp;IF(N(AD296)&gt;0,", "&amp;A296&amp;"-"&amp;AD$2,"")&amp;IF(N(AE296)&gt;0,", "&amp;A296&amp;"-"&amp;AE$2,"")&amp;IF(N(AF296)&gt;0,", "&amp;A296&amp;"-"&amp;AF$2,"")&amp;IF(N(AG296)&gt;0,", "&amp;A296&amp;"-"&amp;AG$2,"")&amp;IF(N(AH296)&gt;0,", "&amp;A296&amp;"-"&amp;AH$2,"")&amp;IF(N(AI296)&gt;0,", "&amp;A296&amp;"-"&amp;AI$2,"")&amp;IF(N(AJ296)&gt;0,", "&amp;A296&amp;"-"&amp;AJ$2,""),3,999))</f>
        <v/>
      </c>
      <c r="AN296" s="81"/>
      <c r="AO296" s="88"/>
      <c r="AP296" s="89" t="str">
        <f aca="false">IF(AO296="","",ROUND(AO296/(1+Справочники!$B$13),2))</f>
        <v/>
      </c>
      <c r="AQ296" s="90" t="str">
        <f aca="false" t="array" ref="AQ296:AQ296">IF(AP296="","",AP296*INDEX(Справочники!$B$4:$B$7,MATCH("RUB",Справочники!$A$4:$A$7,0)))</f>
        <v/>
      </c>
      <c r="AR296" s="90" t="str">
        <f aca="false">IF(AQ296="","",ROUND(AQ296*(1+Справочники!$B$12),0))</f>
        <v/>
      </c>
      <c r="AS296" s="90" t="str">
        <f aca="false">IF(AR296="","",ROUND(AR296*(1-Справочники!$B$11),0))</f>
        <v/>
      </c>
      <c r="AT296" s="88"/>
      <c r="AU296" s="90" t="str">
        <f aca="false">IF(AT296="","",ROUND(AT296/(1+Справочники!$B$12),0))</f>
        <v/>
      </c>
      <c r="AV296" s="90" t="str">
        <f aca="false">IF(AT296="","",ROUND(AT296*(1-Справочники!$B$15),0))</f>
        <v/>
      </c>
      <c r="AW296" s="90" t="str">
        <f aca="false">IF(AT296="","",ROUND(AT296*(1-Справочники!$B$16),0))</f>
        <v/>
      </c>
      <c r="AX296" s="90" t="str">
        <f aca="false">IF(AT296="","",ROUND(AT296*(1-Справочники!$B$17),0))</f>
        <v/>
      </c>
      <c r="AY296" s="90" t="str">
        <f aca="false">IF(AT296="","",ROUND(AT296*(1-Справочники!$B$18),0))</f>
        <v/>
      </c>
      <c r="AZ296" s="90" t="str">
        <f aca="false">IF(AT296="","",ROUND(AT296*(1-Справочники!$B$19),0))</f>
        <v/>
      </c>
      <c r="BA296" s="81"/>
      <c r="BB296" s="81"/>
      <c r="BC296" s="81"/>
      <c r="BD296" s="81"/>
      <c r="BE296" s="91"/>
      <c r="BF296" s="81" t="s">
        <v>103</v>
      </c>
      <c r="BG296" s="89" t="n">
        <f aca="false" t="array" ref="BG296:BG296">IF(BF296="","",IFERROR(INDEX(Справочники!$B$4:$B$7,MATCH(BF296,Справочники!$A$4:$A$7,0)),""))</f>
        <v>68.5</v>
      </c>
      <c r="BH296" s="90" t="str">
        <f aca="false">IF(N(BN296)&gt;0,ROUND(SUMIF(ЗАКАЗЫ!$F$3:$F$500,$A296,ЗАКАЗЫ!$Y$3:$Y$500)/BN296,0),IF(OR(BE296="",BG296=""),"",ROUND(BE296*BG296*(1+Справочники!$B$10),0)))</f>
        <v/>
      </c>
      <c r="BI296" s="92" t="str">
        <f aca="false">IF(OR(AU296="",BH296="",AU296=0),"",(AU296-BH296)/AU296)</f>
        <v/>
      </c>
      <c r="BJ296" s="81"/>
      <c r="BK296" s="83"/>
      <c r="BL296" s="43" t="str">
        <f aca="false">IFERROR(INDEX(ЗАКАЗЫ!$N$3:$N$500,MATCH($A296,ЗАКАЗЫ!$F$3:$F$500,0)),"")</f>
        <v/>
      </c>
      <c r="BM296" s="8" t="str">
        <f aca="false">IF(BL296="","",IFERROR(VLOOKUP(BL296,'ТН ВЭД'!$A$4:$C$40,3,0),""))</f>
        <v/>
      </c>
      <c r="BN296" s="7" t="str">
        <f aca="false">IF(COUNTIF(ЗАКАЗЫ!$F$3:$F$500,$A296)=0,"",SUMIF(ЗАКАЗЫ!$F$3:$F$500,$A296,ЗАКАЗЫ!$J$3:$J$500))</f>
        <v/>
      </c>
      <c r="BO296" s="7" t="str">
        <f aca="false">IF(BN296="","",SUMIF(ЗАКАЗЫ!$F$3:$F$500,$A296,ЗАКАЗЫ!$AL$3:$AL$500))</f>
        <v/>
      </c>
      <c r="BP296" s="7" t="str">
        <f aca="false">IF(BN296="","",BN296-BO296)</f>
        <v/>
      </c>
      <c r="BQ296" s="55" t="str">
        <f aca="false">IF(BN296="","",IF(BO296&gt;=BN296,"На складе",IF(BO296&gt;0,"Частично","Ждём")))</f>
        <v/>
      </c>
      <c r="BR296" s="43"/>
      <c r="BS296" s="47" t="str">
        <f aca="false">IF(BN296="","",IF(_xlfn.MAXIFS(ЗАКАЗЫ!$AK$3:$AK$500,ЗАКАЗЫ!$F$3:$F$500,$A296)=0,"",_xlfn.MAXIFS(ЗАКАЗЫ!$AK$3:$AK$500,ЗАКАЗЫ!$F$3:$F$500,$A296)))</f>
        <v/>
      </c>
    </row>
    <row r="297" customFormat="false" ht="15.75" hidden="false" customHeight="true" outlineLevel="0" collapsed="false">
      <c r="A297" s="80" t="s">
        <v>2837</v>
      </c>
      <c r="B297" s="81"/>
      <c r="C297" s="81"/>
      <c r="D297" s="81"/>
      <c r="E297" s="83"/>
      <c r="F297" s="81"/>
      <c r="G297" s="83"/>
      <c r="H297" s="83"/>
      <c r="I297" s="84" t="str">
        <f aca="false">IF(E297="","",A297&amp;"_1.jpg")</f>
        <v/>
      </c>
      <c r="J297" s="84" t="str">
        <f aca="false">IF(E297="","",A297&amp;"_2.jpg; "&amp;A297&amp;"_3.jpg")</f>
        <v/>
      </c>
      <c r="K297" s="84" t="str">
        <f aca="false">IF(E297="","",A297&amp;"_schema.jpg")</f>
        <v/>
      </c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 t="s">
        <v>96</v>
      </c>
      <c r="W297" s="81"/>
      <c r="X297" s="81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6" t="str">
        <f aca="false">IF(SUM(Y297:AJ297)=0,"",SUM(Y297:AJ297))</f>
        <v/>
      </c>
      <c r="AL297" s="84" t="str">
        <f aca="false">MID(IF(N(Y297)&gt;0,", "&amp;Y$2,"")&amp;IF(N(Z297)&gt;0,", "&amp;Z$2,"")&amp;IF(N(AA297)&gt;0,", "&amp;AA$2,"")&amp;IF(N(AB297)&gt;0,", "&amp;AB$2,"")&amp;IF(N(AC297)&gt;0,", "&amp;AC$2,"")&amp;IF(N(AD297)&gt;0,", "&amp;AD$2,"")&amp;IF(N(AE297)&gt;0,", "&amp;AE$2,"")&amp;IF(N(AF297)&gt;0,", "&amp;AF$2,"")&amp;IF(N(AG297)&gt;0,", "&amp;AG$2,"")&amp;IF(N(AH297)&gt;0,", "&amp;AH$2,"")&amp;IF(N(AI297)&gt;0,", "&amp;AI$2,"")&amp;IF(N(AJ297)&gt;0,", "&amp;AJ$2,""),3,999)</f>
        <v/>
      </c>
      <c r="AM297" s="87" t="str">
        <f aca="false">IF(E297="","",MID(IF(N(Y297)&gt;0,", "&amp;A297&amp;"-"&amp;Y$2,"")&amp;IF(N(Z297)&gt;0,", "&amp;A297&amp;"-"&amp;Z$2,"")&amp;IF(N(AA297)&gt;0,", "&amp;A297&amp;"-"&amp;AA$2,"")&amp;IF(N(AB297)&gt;0,", "&amp;A297&amp;"-"&amp;AB$2,"")&amp;IF(N(AC297)&gt;0,", "&amp;A297&amp;"-"&amp;AC$2,"")&amp;IF(N(AD297)&gt;0,", "&amp;A297&amp;"-"&amp;AD$2,"")&amp;IF(N(AE297)&gt;0,", "&amp;A297&amp;"-"&amp;AE$2,"")&amp;IF(N(AF297)&gt;0,", "&amp;A297&amp;"-"&amp;AF$2,"")&amp;IF(N(AG297)&gt;0,", "&amp;A297&amp;"-"&amp;AG$2,"")&amp;IF(N(AH297)&gt;0,", "&amp;A297&amp;"-"&amp;AH$2,"")&amp;IF(N(AI297)&gt;0,", "&amp;A297&amp;"-"&amp;AI$2,"")&amp;IF(N(AJ297)&gt;0,", "&amp;A297&amp;"-"&amp;AJ$2,""),3,999))</f>
        <v/>
      </c>
      <c r="AN297" s="81"/>
      <c r="AO297" s="88"/>
      <c r="AP297" s="89" t="str">
        <f aca="false">IF(AO297="","",ROUND(AO297/(1+Справочники!$B$13),2))</f>
        <v/>
      </c>
      <c r="AQ297" s="90" t="str">
        <f aca="false" t="array" ref="AQ297:AQ297">IF(AP297="","",AP297*INDEX(Справочники!$B$4:$B$7,MATCH("RUB",Справочники!$A$4:$A$7,0)))</f>
        <v/>
      </c>
      <c r="AR297" s="90" t="str">
        <f aca="false">IF(AQ297="","",ROUND(AQ297*(1+Справочники!$B$12),0))</f>
        <v/>
      </c>
      <c r="AS297" s="90" t="str">
        <f aca="false">IF(AR297="","",ROUND(AR297*(1-Справочники!$B$11),0))</f>
        <v/>
      </c>
      <c r="AT297" s="88"/>
      <c r="AU297" s="90" t="str">
        <f aca="false">IF(AT297="","",ROUND(AT297/(1+Справочники!$B$12),0))</f>
        <v/>
      </c>
      <c r="AV297" s="90" t="str">
        <f aca="false">IF(AT297="","",ROUND(AT297*(1-Справочники!$B$15),0))</f>
        <v/>
      </c>
      <c r="AW297" s="90" t="str">
        <f aca="false">IF(AT297="","",ROUND(AT297*(1-Справочники!$B$16),0))</f>
        <v/>
      </c>
      <c r="AX297" s="90" t="str">
        <f aca="false">IF(AT297="","",ROUND(AT297*(1-Справочники!$B$17),0))</f>
        <v/>
      </c>
      <c r="AY297" s="90" t="str">
        <f aca="false">IF(AT297="","",ROUND(AT297*(1-Справочники!$B$18),0))</f>
        <v/>
      </c>
      <c r="AZ297" s="90" t="str">
        <f aca="false">IF(AT297="","",ROUND(AT297*(1-Справочники!$B$19),0))</f>
        <v/>
      </c>
      <c r="BA297" s="81"/>
      <c r="BB297" s="81"/>
      <c r="BC297" s="81"/>
      <c r="BD297" s="81"/>
      <c r="BE297" s="91"/>
      <c r="BF297" s="81" t="s">
        <v>103</v>
      </c>
      <c r="BG297" s="89" t="n">
        <f aca="false" t="array" ref="BG297:BG297">IF(BF297="","",IFERROR(INDEX(Справочники!$B$4:$B$7,MATCH(BF297,Справочники!$A$4:$A$7,0)),""))</f>
        <v>68.5</v>
      </c>
      <c r="BH297" s="90" t="str">
        <f aca="false">IF(N(BN297)&gt;0,ROUND(SUMIF(ЗАКАЗЫ!$F$3:$F$500,$A297,ЗАКАЗЫ!$Y$3:$Y$500)/BN297,0),IF(OR(BE297="",BG297=""),"",ROUND(BE297*BG297*(1+Справочники!$B$10),0)))</f>
        <v/>
      </c>
      <c r="BI297" s="92" t="str">
        <f aca="false">IF(OR(AU297="",BH297="",AU297=0),"",(AU297-BH297)/AU297)</f>
        <v/>
      </c>
      <c r="BJ297" s="81"/>
      <c r="BK297" s="83"/>
      <c r="BL297" s="43" t="str">
        <f aca="false">IFERROR(INDEX(ЗАКАЗЫ!$N$3:$N$500,MATCH($A297,ЗАКАЗЫ!$F$3:$F$500,0)),"")</f>
        <v/>
      </c>
      <c r="BM297" s="8" t="str">
        <f aca="false">IF(BL297="","",IFERROR(VLOOKUP(BL297,'ТН ВЭД'!$A$4:$C$40,3,0),""))</f>
        <v/>
      </c>
      <c r="BN297" s="7" t="str">
        <f aca="false">IF(COUNTIF(ЗАКАЗЫ!$F$3:$F$500,$A297)=0,"",SUMIF(ЗАКАЗЫ!$F$3:$F$500,$A297,ЗАКАЗЫ!$J$3:$J$500))</f>
        <v/>
      </c>
      <c r="BO297" s="7" t="str">
        <f aca="false">IF(BN297="","",SUMIF(ЗАКАЗЫ!$F$3:$F$500,$A297,ЗАКАЗЫ!$AL$3:$AL$500))</f>
        <v/>
      </c>
      <c r="BP297" s="7" t="str">
        <f aca="false">IF(BN297="","",BN297-BO297)</f>
        <v/>
      </c>
      <c r="BQ297" s="55" t="str">
        <f aca="false">IF(BN297="","",IF(BO297&gt;=BN297,"На складе",IF(BO297&gt;0,"Частично","Ждём")))</f>
        <v/>
      </c>
      <c r="BR297" s="43"/>
      <c r="BS297" s="47" t="str">
        <f aca="false">IF(BN297="","",IF(_xlfn.MAXIFS(ЗАКАЗЫ!$AK$3:$AK$500,ЗАКАЗЫ!$F$3:$F$500,$A297)=0,"",_xlfn.MAXIFS(ЗАКАЗЫ!$AK$3:$AK$500,ЗАКАЗЫ!$F$3:$F$500,$A297)))</f>
        <v/>
      </c>
    </row>
    <row r="298" customFormat="false" ht="15.75" hidden="false" customHeight="true" outlineLevel="0" collapsed="false">
      <c r="A298" s="80" t="s">
        <v>2838</v>
      </c>
      <c r="B298" s="81"/>
      <c r="C298" s="81"/>
      <c r="D298" s="81"/>
      <c r="E298" s="83"/>
      <c r="F298" s="81"/>
      <c r="G298" s="83"/>
      <c r="H298" s="83"/>
      <c r="I298" s="84" t="str">
        <f aca="false">IF(E298="","",A298&amp;"_1.jpg")</f>
        <v/>
      </c>
      <c r="J298" s="84" t="str">
        <f aca="false">IF(E298="","",A298&amp;"_2.jpg; "&amp;A298&amp;"_3.jpg")</f>
        <v/>
      </c>
      <c r="K298" s="84" t="str">
        <f aca="false">IF(E298="","",A298&amp;"_schema.jpg")</f>
        <v/>
      </c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 t="s">
        <v>96</v>
      </c>
      <c r="W298" s="81"/>
      <c r="X298" s="81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6" t="str">
        <f aca="false">IF(SUM(Y298:AJ298)=0,"",SUM(Y298:AJ298))</f>
        <v/>
      </c>
      <c r="AL298" s="84" t="str">
        <f aca="false">MID(IF(N(Y298)&gt;0,", "&amp;Y$2,"")&amp;IF(N(Z298)&gt;0,", "&amp;Z$2,"")&amp;IF(N(AA298)&gt;0,", "&amp;AA$2,"")&amp;IF(N(AB298)&gt;0,", "&amp;AB$2,"")&amp;IF(N(AC298)&gt;0,", "&amp;AC$2,"")&amp;IF(N(AD298)&gt;0,", "&amp;AD$2,"")&amp;IF(N(AE298)&gt;0,", "&amp;AE$2,"")&amp;IF(N(AF298)&gt;0,", "&amp;AF$2,"")&amp;IF(N(AG298)&gt;0,", "&amp;AG$2,"")&amp;IF(N(AH298)&gt;0,", "&amp;AH$2,"")&amp;IF(N(AI298)&gt;0,", "&amp;AI$2,"")&amp;IF(N(AJ298)&gt;0,", "&amp;AJ$2,""),3,999)</f>
        <v/>
      </c>
      <c r="AM298" s="87" t="str">
        <f aca="false">IF(E298="","",MID(IF(N(Y298)&gt;0,", "&amp;A298&amp;"-"&amp;Y$2,"")&amp;IF(N(Z298)&gt;0,", "&amp;A298&amp;"-"&amp;Z$2,"")&amp;IF(N(AA298)&gt;0,", "&amp;A298&amp;"-"&amp;AA$2,"")&amp;IF(N(AB298)&gt;0,", "&amp;A298&amp;"-"&amp;AB$2,"")&amp;IF(N(AC298)&gt;0,", "&amp;A298&amp;"-"&amp;AC$2,"")&amp;IF(N(AD298)&gt;0,", "&amp;A298&amp;"-"&amp;AD$2,"")&amp;IF(N(AE298)&gt;0,", "&amp;A298&amp;"-"&amp;AE$2,"")&amp;IF(N(AF298)&gt;0,", "&amp;A298&amp;"-"&amp;AF$2,"")&amp;IF(N(AG298)&gt;0,", "&amp;A298&amp;"-"&amp;AG$2,"")&amp;IF(N(AH298)&gt;0,", "&amp;A298&amp;"-"&amp;AH$2,"")&amp;IF(N(AI298)&gt;0,", "&amp;A298&amp;"-"&amp;AI$2,"")&amp;IF(N(AJ298)&gt;0,", "&amp;A298&amp;"-"&amp;AJ$2,""),3,999))</f>
        <v/>
      </c>
      <c r="AN298" s="81"/>
      <c r="AO298" s="88"/>
      <c r="AP298" s="89" t="str">
        <f aca="false">IF(AO298="","",ROUND(AO298/(1+Справочники!$B$13),2))</f>
        <v/>
      </c>
      <c r="AQ298" s="90" t="str">
        <f aca="false" t="array" ref="AQ298:AQ298">IF(AP298="","",AP298*INDEX(Справочники!$B$4:$B$7,MATCH("RUB",Справочники!$A$4:$A$7,0)))</f>
        <v/>
      </c>
      <c r="AR298" s="90" t="str">
        <f aca="false">IF(AQ298="","",ROUND(AQ298*(1+Справочники!$B$12),0))</f>
        <v/>
      </c>
      <c r="AS298" s="90" t="str">
        <f aca="false">IF(AR298="","",ROUND(AR298*(1-Справочники!$B$11),0))</f>
        <v/>
      </c>
      <c r="AT298" s="88"/>
      <c r="AU298" s="90" t="str">
        <f aca="false">IF(AT298="","",ROUND(AT298/(1+Справочники!$B$12),0))</f>
        <v/>
      </c>
      <c r="AV298" s="90" t="str">
        <f aca="false">IF(AT298="","",ROUND(AT298*(1-Справочники!$B$15),0))</f>
        <v/>
      </c>
      <c r="AW298" s="90" t="str">
        <f aca="false">IF(AT298="","",ROUND(AT298*(1-Справочники!$B$16),0))</f>
        <v/>
      </c>
      <c r="AX298" s="90" t="str">
        <f aca="false">IF(AT298="","",ROUND(AT298*(1-Справочники!$B$17),0))</f>
        <v/>
      </c>
      <c r="AY298" s="90" t="str">
        <f aca="false">IF(AT298="","",ROUND(AT298*(1-Справочники!$B$18),0))</f>
        <v/>
      </c>
      <c r="AZ298" s="90" t="str">
        <f aca="false">IF(AT298="","",ROUND(AT298*(1-Справочники!$B$19),0))</f>
        <v/>
      </c>
      <c r="BA298" s="81"/>
      <c r="BB298" s="81"/>
      <c r="BC298" s="81"/>
      <c r="BD298" s="81"/>
      <c r="BE298" s="91"/>
      <c r="BF298" s="81" t="s">
        <v>103</v>
      </c>
      <c r="BG298" s="89" t="n">
        <f aca="false" t="array" ref="BG298:BG298">IF(BF298="","",IFERROR(INDEX(Справочники!$B$4:$B$7,MATCH(BF298,Справочники!$A$4:$A$7,0)),""))</f>
        <v>68.5</v>
      </c>
      <c r="BH298" s="90" t="str">
        <f aca="false">IF(N(BN298)&gt;0,ROUND(SUMIF(ЗАКАЗЫ!$F$3:$F$500,$A298,ЗАКАЗЫ!$Y$3:$Y$500)/BN298,0),IF(OR(BE298="",BG298=""),"",ROUND(BE298*BG298*(1+Справочники!$B$10),0)))</f>
        <v/>
      </c>
      <c r="BI298" s="92" t="str">
        <f aca="false">IF(OR(AU298="",BH298="",AU298=0),"",(AU298-BH298)/AU298)</f>
        <v/>
      </c>
      <c r="BJ298" s="81"/>
      <c r="BK298" s="83"/>
      <c r="BL298" s="43" t="str">
        <f aca="false">IFERROR(INDEX(ЗАКАЗЫ!$N$3:$N$500,MATCH($A298,ЗАКАЗЫ!$F$3:$F$500,0)),"")</f>
        <v/>
      </c>
      <c r="BM298" s="8" t="str">
        <f aca="false">IF(BL298="","",IFERROR(VLOOKUP(BL298,'ТН ВЭД'!$A$4:$C$40,3,0),""))</f>
        <v/>
      </c>
      <c r="BN298" s="7" t="str">
        <f aca="false">IF(COUNTIF(ЗАКАЗЫ!$F$3:$F$500,$A298)=0,"",SUMIF(ЗАКАЗЫ!$F$3:$F$500,$A298,ЗАКАЗЫ!$J$3:$J$500))</f>
        <v/>
      </c>
      <c r="BO298" s="7" t="str">
        <f aca="false">IF(BN298="","",SUMIF(ЗАКАЗЫ!$F$3:$F$500,$A298,ЗАКАЗЫ!$AL$3:$AL$500))</f>
        <v/>
      </c>
      <c r="BP298" s="7" t="str">
        <f aca="false">IF(BN298="","",BN298-BO298)</f>
        <v/>
      </c>
      <c r="BQ298" s="55" t="str">
        <f aca="false">IF(BN298="","",IF(BO298&gt;=BN298,"На складе",IF(BO298&gt;0,"Частично","Ждём")))</f>
        <v/>
      </c>
      <c r="BR298" s="43"/>
      <c r="BS298" s="47" t="str">
        <f aca="false">IF(BN298="","",IF(_xlfn.MAXIFS(ЗАКАЗЫ!$AK$3:$AK$500,ЗАКАЗЫ!$F$3:$F$500,$A298)=0,"",_xlfn.MAXIFS(ЗАКАЗЫ!$AK$3:$AK$500,ЗАКАЗЫ!$F$3:$F$500,$A298)))</f>
        <v/>
      </c>
    </row>
    <row r="299" customFormat="false" ht="15.75" hidden="false" customHeight="true" outlineLevel="0" collapsed="false">
      <c r="A299" s="80" t="s">
        <v>2839</v>
      </c>
      <c r="B299" s="81"/>
      <c r="C299" s="81"/>
      <c r="D299" s="81"/>
      <c r="E299" s="83"/>
      <c r="F299" s="81"/>
      <c r="G299" s="83"/>
      <c r="H299" s="83"/>
      <c r="I299" s="84" t="str">
        <f aca="false">IF(E299="","",A299&amp;"_1.jpg")</f>
        <v/>
      </c>
      <c r="J299" s="84" t="str">
        <f aca="false">IF(E299="","",A299&amp;"_2.jpg; "&amp;A299&amp;"_3.jpg")</f>
        <v/>
      </c>
      <c r="K299" s="84" t="str">
        <f aca="false">IF(E299="","",A299&amp;"_schema.jpg")</f>
        <v/>
      </c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 t="s">
        <v>96</v>
      </c>
      <c r="W299" s="81"/>
      <c r="X299" s="81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6" t="str">
        <f aca="false">IF(SUM(Y299:AJ299)=0,"",SUM(Y299:AJ299))</f>
        <v/>
      </c>
      <c r="AL299" s="84" t="str">
        <f aca="false">MID(IF(N(Y299)&gt;0,", "&amp;Y$2,"")&amp;IF(N(Z299)&gt;0,", "&amp;Z$2,"")&amp;IF(N(AA299)&gt;0,", "&amp;AA$2,"")&amp;IF(N(AB299)&gt;0,", "&amp;AB$2,"")&amp;IF(N(AC299)&gt;0,", "&amp;AC$2,"")&amp;IF(N(AD299)&gt;0,", "&amp;AD$2,"")&amp;IF(N(AE299)&gt;0,", "&amp;AE$2,"")&amp;IF(N(AF299)&gt;0,", "&amp;AF$2,"")&amp;IF(N(AG299)&gt;0,", "&amp;AG$2,"")&amp;IF(N(AH299)&gt;0,", "&amp;AH$2,"")&amp;IF(N(AI299)&gt;0,", "&amp;AI$2,"")&amp;IF(N(AJ299)&gt;0,", "&amp;AJ$2,""),3,999)</f>
        <v/>
      </c>
      <c r="AM299" s="87" t="str">
        <f aca="false">IF(E299="","",MID(IF(N(Y299)&gt;0,", "&amp;A299&amp;"-"&amp;Y$2,"")&amp;IF(N(Z299)&gt;0,", "&amp;A299&amp;"-"&amp;Z$2,"")&amp;IF(N(AA299)&gt;0,", "&amp;A299&amp;"-"&amp;AA$2,"")&amp;IF(N(AB299)&gt;0,", "&amp;A299&amp;"-"&amp;AB$2,"")&amp;IF(N(AC299)&gt;0,", "&amp;A299&amp;"-"&amp;AC$2,"")&amp;IF(N(AD299)&gt;0,", "&amp;A299&amp;"-"&amp;AD$2,"")&amp;IF(N(AE299)&gt;0,", "&amp;A299&amp;"-"&amp;AE$2,"")&amp;IF(N(AF299)&gt;0,", "&amp;A299&amp;"-"&amp;AF$2,"")&amp;IF(N(AG299)&gt;0,", "&amp;A299&amp;"-"&amp;AG$2,"")&amp;IF(N(AH299)&gt;0,", "&amp;A299&amp;"-"&amp;AH$2,"")&amp;IF(N(AI299)&gt;0,", "&amp;A299&amp;"-"&amp;AI$2,"")&amp;IF(N(AJ299)&gt;0,", "&amp;A299&amp;"-"&amp;AJ$2,""),3,999))</f>
        <v/>
      </c>
      <c r="AN299" s="81"/>
      <c r="AO299" s="88"/>
      <c r="AP299" s="89" t="str">
        <f aca="false">IF(AO299="","",ROUND(AO299/(1+Справочники!$B$13),2))</f>
        <v/>
      </c>
      <c r="AQ299" s="90" t="str">
        <f aca="false" t="array" ref="AQ299:AQ299">IF(AP299="","",AP299*INDEX(Справочники!$B$4:$B$7,MATCH("RUB",Справочники!$A$4:$A$7,0)))</f>
        <v/>
      </c>
      <c r="AR299" s="90" t="str">
        <f aca="false">IF(AQ299="","",ROUND(AQ299*(1+Справочники!$B$12),0))</f>
        <v/>
      </c>
      <c r="AS299" s="90" t="str">
        <f aca="false">IF(AR299="","",ROUND(AR299*(1-Справочники!$B$11),0))</f>
        <v/>
      </c>
      <c r="AT299" s="88"/>
      <c r="AU299" s="90" t="str">
        <f aca="false">IF(AT299="","",ROUND(AT299/(1+Справочники!$B$12),0))</f>
        <v/>
      </c>
      <c r="AV299" s="90" t="str">
        <f aca="false">IF(AT299="","",ROUND(AT299*(1-Справочники!$B$15),0))</f>
        <v/>
      </c>
      <c r="AW299" s="90" t="str">
        <f aca="false">IF(AT299="","",ROUND(AT299*(1-Справочники!$B$16),0))</f>
        <v/>
      </c>
      <c r="AX299" s="90" t="str">
        <f aca="false">IF(AT299="","",ROUND(AT299*(1-Справочники!$B$17),0))</f>
        <v/>
      </c>
      <c r="AY299" s="90" t="str">
        <f aca="false">IF(AT299="","",ROUND(AT299*(1-Справочники!$B$18),0))</f>
        <v/>
      </c>
      <c r="AZ299" s="90" t="str">
        <f aca="false">IF(AT299="","",ROUND(AT299*(1-Справочники!$B$19),0))</f>
        <v/>
      </c>
      <c r="BA299" s="81"/>
      <c r="BB299" s="81"/>
      <c r="BC299" s="81"/>
      <c r="BD299" s="81"/>
      <c r="BE299" s="91"/>
      <c r="BF299" s="81" t="s">
        <v>103</v>
      </c>
      <c r="BG299" s="89" t="n">
        <f aca="false" t="array" ref="BG299:BG299">IF(BF299="","",IFERROR(INDEX(Справочники!$B$4:$B$7,MATCH(BF299,Справочники!$A$4:$A$7,0)),""))</f>
        <v>68.5</v>
      </c>
      <c r="BH299" s="90" t="str">
        <f aca="false">IF(N(BN299)&gt;0,ROUND(SUMIF(ЗАКАЗЫ!$F$3:$F$500,$A299,ЗАКАЗЫ!$Y$3:$Y$500)/BN299,0),IF(OR(BE299="",BG299=""),"",ROUND(BE299*BG299*(1+Справочники!$B$10),0)))</f>
        <v/>
      </c>
      <c r="BI299" s="92" t="str">
        <f aca="false">IF(OR(AU299="",BH299="",AU299=0),"",(AU299-BH299)/AU299)</f>
        <v/>
      </c>
      <c r="BJ299" s="81"/>
      <c r="BK299" s="83"/>
      <c r="BL299" s="43" t="str">
        <f aca="false">IFERROR(INDEX(ЗАКАЗЫ!$N$3:$N$500,MATCH($A299,ЗАКАЗЫ!$F$3:$F$500,0)),"")</f>
        <v/>
      </c>
      <c r="BM299" s="8" t="str">
        <f aca="false">IF(BL299="","",IFERROR(VLOOKUP(BL299,'ТН ВЭД'!$A$4:$C$40,3,0),""))</f>
        <v/>
      </c>
      <c r="BN299" s="7" t="str">
        <f aca="false">IF(COUNTIF(ЗАКАЗЫ!$F$3:$F$500,$A299)=0,"",SUMIF(ЗАКАЗЫ!$F$3:$F$500,$A299,ЗАКАЗЫ!$J$3:$J$500))</f>
        <v/>
      </c>
      <c r="BO299" s="7" t="str">
        <f aca="false">IF(BN299="","",SUMIF(ЗАКАЗЫ!$F$3:$F$500,$A299,ЗАКАЗЫ!$AL$3:$AL$500))</f>
        <v/>
      </c>
      <c r="BP299" s="7" t="str">
        <f aca="false">IF(BN299="","",BN299-BO299)</f>
        <v/>
      </c>
      <c r="BQ299" s="55" t="str">
        <f aca="false">IF(BN299="","",IF(BO299&gt;=BN299,"На складе",IF(BO299&gt;0,"Частично","Ждём")))</f>
        <v/>
      </c>
      <c r="BR299" s="43"/>
      <c r="BS299" s="47" t="str">
        <f aca="false">IF(BN299="","",IF(_xlfn.MAXIFS(ЗАКАЗЫ!$AK$3:$AK$500,ЗАКАЗЫ!$F$3:$F$500,$A299)=0,"",_xlfn.MAXIFS(ЗАКАЗЫ!$AK$3:$AK$500,ЗАКАЗЫ!$F$3:$F$500,$A299)))</f>
        <v/>
      </c>
    </row>
    <row r="300" customFormat="false" ht="15.75" hidden="false" customHeight="true" outlineLevel="0" collapsed="false">
      <c r="A300" s="80" t="s">
        <v>2840</v>
      </c>
      <c r="B300" s="81"/>
      <c r="C300" s="81"/>
      <c r="D300" s="81"/>
      <c r="E300" s="83"/>
      <c r="F300" s="81"/>
      <c r="G300" s="83"/>
      <c r="H300" s="83"/>
      <c r="I300" s="84" t="str">
        <f aca="false">IF(E300="","",A300&amp;"_1.jpg")</f>
        <v/>
      </c>
      <c r="J300" s="84" t="str">
        <f aca="false">IF(E300="","",A300&amp;"_2.jpg; "&amp;A300&amp;"_3.jpg")</f>
        <v/>
      </c>
      <c r="K300" s="84" t="str">
        <f aca="false">IF(E300="","",A300&amp;"_schema.jpg")</f>
        <v/>
      </c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 t="s">
        <v>96</v>
      </c>
      <c r="W300" s="81"/>
      <c r="X300" s="81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6" t="str">
        <f aca="false">IF(SUM(Y300:AJ300)=0,"",SUM(Y300:AJ300))</f>
        <v/>
      </c>
      <c r="AL300" s="84" t="str">
        <f aca="false">MID(IF(N(Y300)&gt;0,", "&amp;Y$2,"")&amp;IF(N(Z300)&gt;0,", "&amp;Z$2,"")&amp;IF(N(AA300)&gt;0,", "&amp;AA$2,"")&amp;IF(N(AB300)&gt;0,", "&amp;AB$2,"")&amp;IF(N(AC300)&gt;0,", "&amp;AC$2,"")&amp;IF(N(AD300)&gt;0,", "&amp;AD$2,"")&amp;IF(N(AE300)&gt;0,", "&amp;AE$2,"")&amp;IF(N(AF300)&gt;0,", "&amp;AF$2,"")&amp;IF(N(AG300)&gt;0,", "&amp;AG$2,"")&amp;IF(N(AH300)&gt;0,", "&amp;AH$2,"")&amp;IF(N(AI300)&gt;0,", "&amp;AI$2,"")&amp;IF(N(AJ300)&gt;0,", "&amp;AJ$2,""),3,999)</f>
        <v/>
      </c>
      <c r="AM300" s="87" t="str">
        <f aca="false">IF(E300="","",MID(IF(N(Y300)&gt;0,", "&amp;A300&amp;"-"&amp;Y$2,"")&amp;IF(N(Z300)&gt;0,", "&amp;A300&amp;"-"&amp;Z$2,"")&amp;IF(N(AA300)&gt;0,", "&amp;A300&amp;"-"&amp;AA$2,"")&amp;IF(N(AB300)&gt;0,", "&amp;A300&amp;"-"&amp;AB$2,"")&amp;IF(N(AC300)&gt;0,", "&amp;A300&amp;"-"&amp;AC$2,"")&amp;IF(N(AD300)&gt;0,", "&amp;A300&amp;"-"&amp;AD$2,"")&amp;IF(N(AE300)&gt;0,", "&amp;A300&amp;"-"&amp;AE$2,"")&amp;IF(N(AF300)&gt;0,", "&amp;A300&amp;"-"&amp;AF$2,"")&amp;IF(N(AG300)&gt;0,", "&amp;A300&amp;"-"&amp;AG$2,"")&amp;IF(N(AH300)&gt;0,", "&amp;A300&amp;"-"&amp;AH$2,"")&amp;IF(N(AI300)&gt;0,", "&amp;A300&amp;"-"&amp;AI$2,"")&amp;IF(N(AJ300)&gt;0,", "&amp;A300&amp;"-"&amp;AJ$2,""),3,999))</f>
        <v/>
      </c>
      <c r="AN300" s="81"/>
      <c r="AO300" s="88"/>
      <c r="AP300" s="89" t="str">
        <f aca="false">IF(AO300="","",ROUND(AO300/(1+Справочники!$B$13),2))</f>
        <v/>
      </c>
      <c r="AQ300" s="90" t="str">
        <f aca="false" t="array" ref="AQ300:AQ300">IF(AP300="","",AP300*INDEX(Справочники!$B$4:$B$7,MATCH("RUB",Справочники!$A$4:$A$7,0)))</f>
        <v/>
      </c>
      <c r="AR300" s="90" t="str">
        <f aca="false">IF(AQ300="","",ROUND(AQ300*(1+Справочники!$B$12),0))</f>
        <v/>
      </c>
      <c r="AS300" s="90" t="str">
        <f aca="false">IF(AR300="","",ROUND(AR300*(1-Справочники!$B$11),0))</f>
        <v/>
      </c>
      <c r="AT300" s="88"/>
      <c r="AU300" s="90" t="str">
        <f aca="false">IF(AT300="","",ROUND(AT300/(1+Справочники!$B$12),0))</f>
        <v/>
      </c>
      <c r="AV300" s="90" t="str">
        <f aca="false">IF(AT300="","",ROUND(AT300*(1-Справочники!$B$15),0))</f>
        <v/>
      </c>
      <c r="AW300" s="90" t="str">
        <f aca="false">IF(AT300="","",ROUND(AT300*(1-Справочники!$B$16),0))</f>
        <v/>
      </c>
      <c r="AX300" s="90" t="str">
        <f aca="false">IF(AT300="","",ROUND(AT300*(1-Справочники!$B$17),0))</f>
        <v/>
      </c>
      <c r="AY300" s="90" t="str">
        <f aca="false">IF(AT300="","",ROUND(AT300*(1-Справочники!$B$18),0))</f>
        <v/>
      </c>
      <c r="AZ300" s="90" t="str">
        <f aca="false">IF(AT300="","",ROUND(AT300*(1-Справочники!$B$19),0))</f>
        <v/>
      </c>
      <c r="BA300" s="81"/>
      <c r="BB300" s="81"/>
      <c r="BC300" s="81"/>
      <c r="BD300" s="81"/>
      <c r="BE300" s="91"/>
      <c r="BF300" s="81" t="s">
        <v>103</v>
      </c>
      <c r="BG300" s="89" t="n">
        <f aca="false" t="array" ref="BG300:BG300">IF(BF300="","",IFERROR(INDEX(Справочники!$B$4:$B$7,MATCH(BF300,Справочники!$A$4:$A$7,0)),""))</f>
        <v>68.5</v>
      </c>
      <c r="BH300" s="90" t="str">
        <f aca="false">IF(N(BN300)&gt;0,ROUND(SUMIF(ЗАКАЗЫ!$F$3:$F$500,$A300,ЗАКАЗЫ!$Y$3:$Y$500)/BN300,0),IF(OR(BE300="",BG300=""),"",ROUND(BE300*BG300*(1+Справочники!$B$10),0)))</f>
        <v/>
      </c>
      <c r="BI300" s="92" t="str">
        <f aca="false">IF(OR(AU300="",BH300="",AU300=0),"",(AU300-BH300)/AU300)</f>
        <v/>
      </c>
      <c r="BJ300" s="81"/>
      <c r="BK300" s="83"/>
      <c r="BL300" s="43" t="str">
        <f aca="false">IFERROR(INDEX(ЗАКАЗЫ!$N$3:$N$500,MATCH($A300,ЗАКАЗЫ!$F$3:$F$500,0)),"")</f>
        <v/>
      </c>
      <c r="BM300" s="8" t="str">
        <f aca="false">IF(BL300="","",IFERROR(VLOOKUP(BL300,'ТН ВЭД'!$A$4:$C$40,3,0),""))</f>
        <v/>
      </c>
      <c r="BN300" s="7" t="str">
        <f aca="false">IF(COUNTIF(ЗАКАЗЫ!$F$3:$F$500,$A300)=0,"",SUMIF(ЗАКАЗЫ!$F$3:$F$500,$A300,ЗАКАЗЫ!$J$3:$J$500))</f>
        <v/>
      </c>
      <c r="BO300" s="7" t="str">
        <f aca="false">IF(BN300="","",SUMIF(ЗАКАЗЫ!$F$3:$F$500,$A300,ЗАКАЗЫ!$AL$3:$AL$500))</f>
        <v/>
      </c>
      <c r="BP300" s="7" t="str">
        <f aca="false">IF(BN300="","",BN300-BO300)</f>
        <v/>
      </c>
      <c r="BQ300" s="55" t="str">
        <f aca="false">IF(BN300="","",IF(BO300&gt;=BN300,"На складе",IF(BO300&gt;0,"Частично","Ждём")))</f>
        <v/>
      </c>
      <c r="BR300" s="43"/>
      <c r="BS300" s="47" t="str">
        <f aca="false">IF(BN300="","",IF(_xlfn.MAXIFS(ЗАКАЗЫ!$AK$3:$AK$500,ЗАКАЗЫ!$F$3:$F$500,$A300)=0,"",_xlfn.MAXIFS(ЗАКАЗЫ!$AK$3:$AK$500,ЗАКАЗЫ!$F$3:$F$500,$A300)))</f>
        <v/>
      </c>
    </row>
    <row r="301" customFormat="false" ht="15.75" hidden="false" customHeight="true" outlineLevel="0" collapsed="false">
      <c r="A301" s="80" t="s">
        <v>2841</v>
      </c>
      <c r="B301" s="81"/>
      <c r="C301" s="81"/>
      <c r="D301" s="81"/>
      <c r="E301" s="83"/>
      <c r="F301" s="81"/>
      <c r="G301" s="83"/>
      <c r="H301" s="83"/>
      <c r="I301" s="84" t="str">
        <f aca="false">IF(E301="","",A301&amp;"_1.jpg")</f>
        <v/>
      </c>
      <c r="J301" s="84" t="str">
        <f aca="false">IF(E301="","",A301&amp;"_2.jpg; "&amp;A301&amp;"_3.jpg")</f>
        <v/>
      </c>
      <c r="K301" s="84" t="str">
        <f aca="false">IF(E301="","",A301&amp;"_schema.jpg")</f>
        <v/>
      </c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 t="s">
        <v>96</v>
      </c>
      <c r="W301" s="81"/>
      <c r="X301" s="81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6" t="str">
        <f aca="false">IF(SUM(Y301:AJ301)=0,"",SUM(Y301:AJ301))</f>
        <v/>
      </c>
      <c r="AL301" s="84" t="str">
        <f aca="false">MID(IF(N(Y301)&gt;0,", "&amp;Y$2,"")&amp;IF(N(Z301)&gt;0,", "&amp;Z$2,"")&amp;IF(N(AA301)&gt;0,", "&amp;AA$2,"")&amp;IF(N(AB301)&gt;0,", "&amp;AB$2,"")&amp;IF(N(AC301)&gt;0,", "&amp;AC$2,"")&amp;IF(N(AD301)&gt;0,", "&amp;AD$2,"")&amp;IF(N(AE301)&gt;0,", "&amp;AE$2,"")&amp;IF(N(AF301)&gt;0,", "&amp;AF$2,"")&amp;IF(N(AG301)&gt;0,", "&amp;AG$2,"")&amp;IF(N(AH301)&gt;0,", "&amp;AH$2,"")&amp;IF(N(AI301)&gt;0,", "&amp;AI$2,"")&amp;IF(N(AJ301)&gt;0,", "&amp;AJ$2,""),3,999)</f>
        <v/>
      </c>
      <c r="AM301" s="87" t="str">
        <f aca="false">IF(E301="","",MID(IF(N(Y301)&gt;0,", "&amp;A301&amp;"-"&amp;Y$2,"")&amp;IF(N(Z301)&gt;0,", "&amp;A301&amp;"-"&amp;Z$2,"")&amp;IF(N(AA301)&gt;0,", "&amp;A301&amp;"-"&amp;AA$2,"")&amp;IF(N(AB301)&gt;0,", "&amp;A301&amp;"-"&amp;AB$2,"")&amp;IF(N(AC301)&gt;0,", "&amp;A301&amp;"-"&amp;AC$2,"")&amp;IF(N(AD301)&gt;0,", "&amp;A301&amp;"-"&amp;AD$2,"")&amp;IF(N(AE301)&gt;0,", "&amp;A301&amp;"-"&amp;AE$2,"")&amp;IF(N(AF301)&gt;0,", "&amp;A301&amp;"-"&amp;AF$2,"")&amp;IF(N(AG301)&gt;0,", "&amp;A301&amp;"-"&amp;AG$2,"")&amp;IF(N(AH301)&gt;0,", "&amp;A301&amp;"-"&amp;AH$2,"")&amp;IF(N(AI301)&gt;0,", "&amp;A301&amp;"-"&amp;AI$2,"")&amp;IF(N(AJ301)&gt;0,", "&amp;A301&amp;"-"&amp;AJ$2,""),3,999))</f>
        <v/>
      </c>
      <c r="AN301" s="81"/>
      <c r="AO301" s="88"/>
      <c r="AP301" s="89" t="str">
        <f aca="false">IF(AO301="","",ROUND(AO301/(1+Справочники!$B$13),2))</f>
        <v/>
      </c>
      <c r="AQ301" s="90" t="str">
        <f aca="false" t="array" ref="AQ301:AQ301">IF(AP301="","",AP301*INDEX(Справочники!$B$4:$B$7,MATCH("RUB",Справочники!$A$4:$A$7,0)))</f>
        <v/>
      </c>
      <c r="AR301" s="90" t="str">
        <f aca="false">IF(AQ301="","",ROUND(AQ301*(1+Справочники!$B$12),0))</f>
        <v/>
      </c>
      <c r="AS301" s="90" t="str">
        <f aca="false">IF(AR301="","",ROUND(AR301*(1-Справочники!$B$11),0))</f>
        <v/>
      </c>
      <c r="AT301" s="88"/>
      <c r="AU301" s="90" t="str">
        <f aca="false">IF(AT301="","",ROUND(AT301/(1+Справочники!$B$12),0))</f>
        <v/>
      </c>
      <c r="AV301" s="90" t="str">
        <f aca="false">IF(AT301="","",ROUND(AT301*(1-Справочники!$B$15),0))</f>
        <v/>
      </c>
      <c r="AW301" s="90" t="str">
        <f aca="false">IF(AT301="","",ROUND(AT301*(1-Справочники!$B$16),0))</f>
        <v/>
      </c>
      <c r="AX301" s="90" t="str">
        <f aca="false">IF(AT301="","",ROUND(AT301*(1-Справочники!$B$17),0))</f>
        <v/>
      </c>
      <c r="AY301" s="90" t="str">
        <f aca="false">IF(AT301="","",ROUND(AT301*(1-Справочники!$B$18),0))</f>
        <v/>
      </c>
      <c r="AZ301" s="90" t="str">
        <f aca="false">IF(AT301="","",ROUND(AT301*(1-Справочники!$B$19),0))</f>
        <v/>
      </c>
      <c r="BA301" s="81"/>
      <c r="BB301" s="81"/>
      <c r="BC301" s="81"/>
      <c r="BD301" s="81"/>
      <c r="BE301" s="91"/>
      <c r="BF301" s="81" t="s">
        <v>103</v>
      </c>
      <c r="BG301" s="89" t="n">
        <f aca="false" t="array" ref="BG301:BG301">IF(BF301="","",IFERROR(INDEX(Справочники!$B$4:$B$7,MATCH(BF301,Справочники!$A$4:$A$7,0)),""))</f>
        <v>68.5</v>
      </c>
      <c r="BH301" s="90" t="str">
        <f aca="false">IF(N(BN301)&gt;0,ROUND(SUMIF(ЗАКАЗЫ!$F$3:$F$500,$A301,ЗАКАЗЫ!$Y$3:$Y$500)/BN301,0),IF(OR(BE301="",BG301=""),"",ROUND(BE301*BG301*(1+Справочники!$B$10),0)))</f>
        <v/>
      </c>
      <c r="BI301" s="92" t="str">
        <f aca="false">IF(OR(AU301="",BH301="",AU301=0),"",(AU301-BH301)/AU301)</f>
        <v/>
      </c>
      <c r="BJ301" s="81"/>
      <c r="BK301" s="83"/>
      <c r="BL301" s="43" t="str">
        <f aca="false">IFERROR(INDEX(ЗАКАЗЫ!$N$3:$N$500,MATCH($A301,ЗАКАЗЫ!$F$3:$F$500,0)),"")</f>
        <v/>
      </c>
      <c r="BM301" s="8" t="str">
        <f aca="false">IF(BL301="","",IFERROR(VLOOKUP(BL301,'ТН ВЭД'!$A$4:$C$40,3,0),""))</f>
        <v/>
      </c>
      <c r="BN301" s="7" t="str">
        <f aca="false">IF(COUNTIF(ЗАКАЗЫ!$F$3:$F$500,$A301)=0,"",SUMIF(ЗАКАЗЫ!$F$3:$F$500,$A301,ЗАКАЗЫ!$J$3:$J$500))</f>
        <v/>
      </c>
      <c r="BO301" s="7" t="str">
        <f aca="false">IF(BN301="","",SUMIF(ЗАКАЗЫ!$F$3:$F$500,$A301,ЗАКАЗЫ!$AL$3:$AL$500))</f>
        <v/>
      </c>
      <c r="BP301" s="7" t="str">
        <f aca="false">IF(BN301="","",BN301-BO301)</f>
        <v/>
      </c>
      <c r="BQ301" s="55" t="str">
        <f aca="false">IF(BN301="","",IF(BO301&gt;=BN301,"На складе",IF(BO301&gt;0,"Частично","Ждём")))</f>
        <v/>
      </c>
      <c r="BR301" s="43"/>
      <c r="BS301" s="47" t="str">
        <f aca="false">IF(BN301="","",IF(_xlfn.MAXIFS(ЗАКАЗЫ!$AK$3:$AK$500,ЗАКАЗЫ!$F$3:$F$500,$A301)=0,"",_xlfn.MAXIFS(ЗАКАЗЫ!$AK$3:$AK$500,ЗАКАЗЫ!$F$3:$F$500,$A301)))</f>
        <v/>
      </c>
    </row>
    <row r="302" customFormat="false" ht="15.75" hidden="false" customHeight="true" outlineLevel="0" collapsed="false">
      <c r="A302" s="80" t="s">
        <v>2842</v>
      </c>
      <c r="B302" s="81"/>
      <c r="C302" s="81"/>
      <c r="D302" s="81"/>
      <c r="E302" s="83"/>
      <c r="F302" s="81"/>
      <c r="G302" s="83"/>
      <c r="H302" s="83"/>
      <c r="I302" s="84" t="str">
        <f aca="false">IF(E302="","",A302&amp;"_1.jpg")</f>
        <v/>
      </c>
      <c r="J302" s="84" t="str">
        <f aca="false">IF(E302="","",A302&amp;"_2.jpg; "&amp;A302&amp;"_3.jpg")</f>
        <v/>
      </c>
      <c r="K302" s="84" t="str">
        <f aca="false">IF(E302="","",A302&amp;"_schema.jpg")</f>
        <v/>
      </c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 t="s">
        <v>96</v>
      </c>
      <c r="W302" s="81"/>
      <c r="X302" s="81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6" t="str">
        <f aca="false">IF(SUM(Y302:AJ302)=0,"",SUM(Y302:AJ302))</f>
        <v/>
      </c>
      <c r="AL302" s="84" t="str">
        <f aca="false">MID(IF(N(Y302)&gt;0,", "&amp;Y$2,"")&amp;IF(N(Z302)&gt;0,", "&amp;Z$2,"")&amp;IF(N(AA302)&gt;0,", "&amp;AA$2,"")&amp;IF(N(AB302)&gt;0,", "&amp;AB$2,"")&amp;IF(N(AC302)&gt;0,", "&amp;AC$2,"")&amp;IF(N(AD302)&gt;0,", "&amp;AD$2,"")&amp;IF(N(AE302)&gt;0,", "&amp;AE$2,"")&amp;IF(N(AF302)&gt;0,", "&amp;AF$2,"")&amp;IF(N(AG302)&gt;0,", "&amp;AG$2,"")&amp;IF(N(AH302)&gt;0,", "&amp;AH$2,"")&amp;IF(N(AI302)&gt;0,", "&amp;AI$2,"")&amp;IF(N(AJ302)&gt;0,", "&amp;AJ$2,""),3,999)</f>
        <v/>
      </c>
      <c r="AM302" s="87" t="str">
        <f aca="false">IF(E302="","",MID(IF(N(Y302)&gt;0,", "&amp;A302&amp;"-"&amp;Y$2,"")&amp;IF(N(Z302)&gt;0,", "&amp;A302&amp;"-"&amp;Z$2,"")&amp;IF(N(AA302)&gt;0,", "&amp;A302&amp;"-"&amp;AA$2,"")&amp;IF(N(AB302)&gt;0,", "&amp;A302&amp;"-"&amp;AB$2,"")&amp;IF(N(AC302)&gt;0,", "&amp;A302&amp;"-"&amp;AC$2,"")&amp;IF(N(AD302)&gt;0,", "&amp;A302&amp;"-"&amp;AD$2,"")&amp;IF(N(AE302)&gt;0,", "&amp;A302&amp;"-"&amp;AE$2,"")&amp;IF(N(AF302)&gt;0,", "&amp;A302&amp;"-"&amp;AF$2,"")&amp;IF(N(AG302)&gt;0,", "&amp;A302&amp;"-"&amp;AG$2,"")&amp;IF(N(AH302)&gt;0,", "&amp;A302&amp;"-"&amp;AH$2,"")&amp;IF(N(AI302)&gt;0,", "&amp;A302&amp;"-"&amp;AI$2,"")&amp;IF(N(AJ302)&gt;0,", "&amp;A302&amp;"-"&amp;AJ$2,""),3,999))</f>
        <v/>
      </c>
      <c r="AN302" s="81"/>
      <c r="AO302" s="88"/>
      <c r="AP302" s="89" t="str">
        <f aca="false">IF(AO302="","",ROUND(AO302/(1+Справочники!$B$13),2))</f>
        <v/>
      </c>
      <c r="AQ302" s="90" t="str">
        <f aca="false" t="array" ref="AQ302:AQ302">IF(AP302="","",AP302*INDEX(Справочники!$B$4:$B$7,MATCH("RUB",Справочники!$A$4:$A$7,0)))</f>
        <v/>
      </c>
      <c r="AR302" s="90" t="str">
        <f aca="false">IF(AQ302="","",ROUND(AQ302*(1+Справочники!$B$12),0))</f>
        <v/>
      </c>
      <c r="AS302" s="90" t="str">
        <f aca="false">IF(AR302="","",ROUND(AR302*(1-Справочники!$B$11),0))</f>
        <v/>
      </c>
      <c r="AT302" s="88"/>
      <c r="AU302" s="90" t="str">
        <f aca="false">IF(AT302="","",ROUND(AT302/(1+Справочники!$B$12),0))</f>
        <v/>
      </c>
      <c r="AV302" s="90" t="str">
        <f aca="false">IF(AT302="","",ROUND(AT302*(1-Справочники!$B$15),0))</f>
        <v/>
      </c>
      <c r="AW302" s="90" t="str">
        <f aca="false">IF(AT302="","",ROUND(AT302*(1-Справочники!$B$16),0))</f>
        <v/>
      </c>
      <c r="AX302" s="90" t="str">
        <f aca="false">IF(AT302="","",ROUND(AT302*(1-Справочники!$B$17),0))</f>
        <v/>
      </c>
      <c r="AY302" s="90" t="str">
        <f aca="false">IF(AT302="","",ROUND(AT302*(1-Справочники!$B$18),0))</f>
        <v/>
      </c>
      <c r="AZ302" s="90" t="str">
        <f aca="false">IF(AT302="","",ROUND(AT302*(1-Справочники!$B$19),0))</f>
        <v/>
      </c>
      <c r="BA302" s="81"/>
      <c r="BB302" s="81"/>
      <c r="BC302" s="81"/>
      <c r="BD302" s="81"/>
      <c r="BE302" s="91"/>
      <c r="BF302" s="81" t="s">
        <v>103</v>
      </c>
      <c r="BG302" s="89" t="n">
        <f aca="false" t="array" ref="BG302:BG302">IF(BF302="","",IFERROR(INDEX(Справочники!$B$4:$B$7,MATCH(BF302,Справочники!$A$4:$A$7,0)),""))</f>
        <v>68.5</v>
      </c>
      <c r="BH302" s="90" t="str">
        <f aca="false">IF(N(BN302)&gt;0,ROUND(SUMIF(ЗАКАЗЫ!$F$3:$F$500,$A302,ЗАКАЗЫ!$Y$3:$Y$500)/BN302,0),IF(OR(BE302="",BG302=""),"",ROUND(BE302*BG302*(1+Справочники!$B$10),0)))</f>
        <v/>
      </c>
      <c r="BI302" s="92" t="str">
        <f aca="false">IF(OR(AU302="",BH302="",AU302=0),"",(AU302-BH302)/AU302)</f>
        <v/>
      </c>
      <c r="BJ302" s="81"/>
      <c r="BK302" s="83"/>
      <c r="BL302" s="43" t="str">
        <f aca="false">IFERROR(INDEX(ЗАКАЗЫ!$N$3:$N$500,MATCH($A302,ЗАКАЗЫ!$F$3:$F$500,0)),"")</f>
        <v/>
      </c>
      <c r="BM302" s="8" t="str">
        <f aca="false">IF(BL302="","",IFERROR(VLOOKUP(BL302,'ТН ВЭД'!$A$4:$C$40,3,0),""))</f>
        <v/>
      </c>
      <c r="BN302" s="7" t="str">
        <f aca="false">IF(COUNTIF(ЗАКАЗЫ!$F$3:$F$500,$A302)=0,"",SUMIF(ЗАКАЗЫ!$F$3:$F$500,$A302,ЗАКАЗЫ!$J$3:$J$500))</f>
        <v/>
      </c>
      <c r="BO302" s="7" t="str">
        <f aca="false">IF(BN302="","",SUMIF(ЗАКАЗЫ!$F$3:$F$500,$A302,ЗАКАЗЫ!$AL$3:$AL$500))</f>
        <v/>
      </c>
      <c r="BP302" s="7" t="str">
        <f aca="false">IF(BN302="","",BN302-BO302)</f>
        <v/>
      </c>
      <c r="BQ302" s="55" t="str">
        <f aca="false">IF(BN302="","",IF(BO302&gt;=BN302,"На складе",IF(BO302&gt;0,"Частично","Ждём")))</f>
        <v/>
      </c>
      <c r="BR302" s="43"/>
      <c r="BS302" s="47" t="str">
        <f aca="false">IF(BN302="","",IF(_xlfn.MAXIFS(ЗАКАЗЫ!$AK$3:$AK$500,ЗАКАЗЫ!$F$3:$F$500,$A302)=0,"",_xlfn.MAXIFS(ЗАКАЗЫ!$AK$3:$AK$500,ЗАКАЗЫ!$F$3:$F$500,$A302)))</f>
        <v/>
      </c>
    </row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A1:H1"/>
    <mergeCell ref="I1:M1"/>
    <mergeCell ref="N1:X1"/>
    <mergeCell ref="Y1:AM1"/>
    <mergeCell ref="AN1:BA1"/>
    <mergeCell ref="BB1:BK1"/>
    <mergeCell ref="BL1:BS1"/>
  </mergeCells>
  <conditionalFormatting sqref="Y3:AJ302">
    <cfRule type="expression" priority="2" aboveAverage="0" equalAverage="0" bottom="0" percent="0" rank="0" text="" dxfId="28">
      <formula>N(Y3)&gt;0</formula>
    </cfRule>
  </conditionalFormatting>
  <conditionalFormatting sqref="A3:A302">
    <cfRule type="expression" priority="3" aboveAverage="0" equalAverage="0" bottom="0" percent="0" rank="0" text="" dxfId="29">
      <formula>$E3=""</formula>
    </cfRule>
  </conditionalFormatting>
  <conditionalFormatting sqref="A3:BK302">
    <cfRule type="expression" priority="4" aboveAverage="0" equalAverage="0" bottom="0" percent="0" rank="0" text="" dxfId="30">
      <formula>$B3="Снят"</formula>
    </cfRule>
  </conditionalFormatting>
  <conditionalFormatting sqref="D3:D302">
    <cfRule type="expression" priority="5" aboveAverage="0" equalAverage="0" bottom="0" percent="0" rank="0" text="" dxfId="31">
      <formula>AND($D3="Да",COUNTIF($D$3:$D$302,"Да")&gt;5)</formula>
    </cfRule>
  </conditionalFormatting>
  <conditionalFormatting sqref="BI3:BI302">
    <cfRule type="expression" priority="6" aboveAverage="0" equalAverage="0" bottom="0" percent="0" rank="0" text="" dxfId="31">
      <formula>AND(ISNUMBER($BI3),$BI3&lt;0.2)</formula>
    </cfRule>
  </conditionalFormatting>
  <conditionalFormatting sqref="BQ3:BQ302">
    <cfRule type="expression" priority="7" aboveAverage="0" equalAverage="0" bottom="0" percent="0" rank="0" text="" dxfId="8">
      <formula>BQ3="На складе"</formula>
    </cfRule>
    <cfRule type="expression" priority="8" aboveAverage="0" equalAverage="0" bottom="0" percent="0" rank="0" text="" dxfId="9">
      <formula>BQ3="Частично"</formula>
    </cfRule>
  </conditionalFormatting>
  <conditionalFormatting sqref="AK3:AK302">
    <cfRule type="expression" priority="9" aboveAverage="0" equalAverage="0" bottom="0" percent="0" rank="0" text="" dxfId="32">
      <formula>AND(N($BN3)&gt;0,N($AK3)&lt;&gt;N($BN3))</formula>
    </cfRule>
  </conditionalFormatting>
  <dataValidations count="7">
    <dataValidation allowBlank="true" errorStyle="stop" operator="greaterThanOrEqual" prompt="Только целое число штук" showDropDown="false" showErrorMessage="true" showInputMessage="true" sqref="Y3:AJ302" type="decimal">
      <formula1>0</formula1>
      <formula2>0</formula2>
    </dataValidation>
    <dataValidation allowBlank="true" errorStyle="stop" operator="between" showDropDown="false" showErrorMessage="true" showInputMessage="false" sqref="D3:D302 L3:M302" type="list">
      <formula1>Справочники!$F$4:$F$40</formula1>
      <formula2>0</formula2>
    </dataValidation>
    <dataValidation allowBlank="true" errorStyle="stop" operator="between" showDropDown="false" showErrorMessage="true" showInputMessage="false" sqref="B3:B302" type="list">
      <formula1>Справочники!$E$4:$E$40</formula1>
      <formula2>0</formula2>
    </dataValidation>
    <dataValidation allowBlank="true" errorStyle="stop" operator="between" showDropDown="false" showErrorMessage="false" showInputMessage="false" sqref="BB3:BB302" type="list">
      <formula1>Поставщики!$A$2:$A$101</formula1>
      <formula2>0</formula2>
    </dataValidation>
    <dataValidation allowBlank="true" errorStyle="stop" operator="between" showDropDown="false" showErrorMessage="false" showInputMessage="false" sqref="V3:V302" type="list">
      <formula1>Справочники!$G$4:$G$40</formula1>
      <formula2>0</formula2>
    </dataValidation>
    <dataValidation allowBlank="true" errorStyle="stop" operator="between" showDropDown="false" showErrorMessage="false" showInputMessage="false" sqref="N3:N302" type="list">
      <formula1>Справочники!$H$4:$H$40</formula1>
      <formula2>0</formula2>
    </dataValidation>
    <dataValidation allowBlank="true" errorStyle="stop" operator="between" showDropDown="false" showErrorMessage="true" showInputMessage="false" sqref="BF3:BF302" type="list">
      <formula1>"KZT,CNY,USD,RUB"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7.5"/>
    <col collapsed="false" customWidth="true" hidden="false" outlineLevel="0" max="4" min="4" style="0" width="9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8" min="8" style="0" width="46"/>
    <col collapsed="false" customWidth="true" hidden="false" outlineLevel="0" max="9" min="9" style="0" width="20"/>
    <col collapsed="false" customWidth="true" hidden="false" outlineLevel="0" max="11" min="10" style="0" width="22"/>
    <col collapsed="false" customWidth="true" hidden="false" outlineLevel="0" max="13" min="12" style="0" width="9"/>
    <col collapsed="false" customWidth="true" hidden="false" outlineLevel="0" max="14" min="14" style="0" width="18"/>
    <col collapsed="false" customWidth="true" hidden="false" outlineLevel="0" max="20" min="15" style="0" width="15"/>
    <col collapsed="false" customWidth="true" hidden="false" outlineLevel="0" max="21" min="21" style="0" width="9"/>
    <col collapsed="false" customWidth="true" hidden="false" outlineLevel="0" max="22" min="22" style="0" width="8"/>
    <col collapsed="false" customWidth="true" hidden="false" outlineLevel="0" max="23" min="23" style="0" width="9"/>
    <col collapsed="false" customWidth="true" hidden="false" outlineLevel="0" max="24" min="24" style="0" width="18"/>
    <col collapsed="false" customWidth="true" hidden="false" outlineLevel="0" max="36" min="25" style="0" width="9"/>
    <col collapsed="false" customWidth="true" hidden="false" outlineLevel="0" max="37" min="37" style="0" width="11"/>
    <col collapsed="false" customWidth="true" hidden="false" outlineLevel="0" max="38" min="38" style="0" width="26"/>
    <col collapsed="false" customWidth="true" hidden="false" outlineLevel="0" max="39" min="39" style="0" width="34"/>
    <col collapsed="false" customWidth="true" hidden="false" outlineLevel="0" max="40" min="40" style="0" width="10"/>
    <col collapsed="false" customWidth="true" hidden="false" outlineLevel="0" max="44" min="41" style="0" width="11"/>
    <col collapsed="false" customWidth="true" hidden="false" outlineLevel="0" max="46" min="45" style="0" width="12"/>
    <col collapsed="false" customWidth="true" hidden="false" outlineLevel="0" max="52" min="47" style="0" width="11"/>
    <col collapsed="false" customWidth="true" hidden="false" outlineLevel="0" max="53" min="53" style="0" width="10"/>
    <col collapsed="false" customWidth="true" hidden="false" outlineLevel="0" max="54" min="54" style="0" width="18"/>
    <col collapsed="false" customWidth="true" hidden="false" outlineLevel="0" max="55" min="55" style="0" width="14"/>
    <col collapsed="false" customWidth="true" hidden="false" outlineLevel="0" max="56" min="56" style="0" width="24"/>
    <col collapsed="false" customWidth="true" hidden="false" outlineLevel="0" max="57" min="57" style="0" width="10"/>
    <col collapsed="false" customWidth="true" hidden="false" outlineLevel="0" max="59" min="58" style="0" width="8"/>
    <col collapsed="false" customWidth="true" hidden="false" outlineLevel="0" max="60" min="60" style="0" width="12"/>
    <col collapsed="false" customWidth="true" hidden="false" outlineLevel="0" max="61" min="61" style="0" width="9"/>
    <col collapsed="false" customWidth="true" hidden="false" outlineLevel="0" max="62" min="62" style="0" width="10"/>
    <col collapsed="false" customWidth="true" hidden="false" outlineLevel="0" max="63" min="63" style="0" width="30"/>
    <col collapsed="false" customWidth="true" hidden="false" outlineLevel="0" max="64" min="64" style="0" width="14"/>
    <col collapsed="false" customWidth="true" hidden="false" outlineLevel="0" max="65" min="65" style="0" width="8"/>
    <col collapsed="false" customWidth="true" hidden="false" outlineLevel="0" max="66" min="66" style="0" width="11"/>
    <col collapsed="false" customWidth="true" hidden="false" outlineLevel="0" max="67" min="67" style="0" width="10"/>
    <col collapsed="false" customWidth="true" hidden="false" outlineLevel="0" max="68" min="68" style="0" width="9"/>
    <col collapsed="false" customWidth="true" hidden="false" outlineLevel="0" max="69" min="69" style="0" width="11"/>
    <col collapsed="false" customWidth="true" hidden="false" outlineLevel="0" max="70" min="70" style="0" width="22"/>
    <col collapsed="false" customWidth="true" hidden="false" outlineLevel="0" max="71" min="71" style="0" width="11"/>
  </cols>
  <sheetData>
    <row r="1" customFormat="false" ht="19.5" hidden="false" customHeight="true" outlineLevel="0" collapsed="false">
      <c r="A1" s="56" t="s">
        <v>416</v>
      </c>
      <c r="B1" s="56"/>
      <c r="C1" s="56"/>
      <c r="D1" s="56"/>
      <c r="E1" s="56"/>
      <c r="F1" s="56"/>
      <c r="G1" s="56"/>
      <c r="H1" s="56"/>
      <c r="I1" s="57" t="s">
        <v>417</v>
      </c>
      <c r="J1" s="57"/>
      <c r="K1" s="57"/>
      <c r="L1" s="57"/>
      <c r="M1" s="57"/>
      <c r="N1" s="58" t="s">
        <v>418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59" t="s">
        <v>419</v>
      </c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60" t="s">
        <v>420</v>
      </c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1" t="s">
        <v>421</v>
      </c>
      <c r="BC1" s="61"/>
      <c r="BD1" s="61"/>
      <c r="BE1" s="61"/>
      <c r="BF1" s="61"/>
      <c r="BG1" s="61"/>
      <c r="BH1" s="61"/>
      <c r="BI1" s="61"/>
      <c r="BJ1" s="61"/>
      <c r="BK1" s="61"/>
      <c r="BL1" s="37" t="s">
        <v>422</v>
      </c>
      <c r="BM1" s="37"/>
      <c r="BN1" s="37"/>
      <c r="BO1" s="37"/>
      <c r="BP1" s="37"/>
      <c r="BQ1" s="37"/>
      <c r="BR1" s="37"/>
      <c r="BS1" s="37"/>
    </row>
    <row r="2" customFormat="false" ht="48" hidden="false" customHeight="true" outlineLevel="0" collapsed="false">
      <c r="A2" s="62" t="s">
        <v>73</v>
      </c>
      <c r="B2" s="62" t="s">
        <v>46</v>
      </c>
      <c r="C2" s="62" t="s">
        <v>186</v>
      </c>
      <c r="D2" s="62" t="s">
        <v>423</v>
      </c>
      <c r="E2" s="62" t="s">
        <v>424</v>
      </c>
      <c r="F2" s="62" t="s">
        <v>80</v>
      </c>
      <c r="G2" s="62" t="s">
        <v>425</v>
      </c>
      <c r="H2" s="62" t="s">
        <v>426</v>
      </c>
      <c r="I2" s="64" t="s">
        <v>427</v>
      </c>
      <c r="J2" s="64" t="s">
        <v>428</v>
      </c>
      <c r="K2" s="64" t="s">
        <v>429</v>
      </c>
      <c r="L2" s="64" t="s">
        <v>430</v>
      </c>
      <c r="M2" s="64" t="s">
        <v>431</v>
      </c>
      <c r="N2" s="65" t="s">
        <v>84</v>
      </c>
      <c r="O2" s="65" t="s">
        <v>2843</v>
      </c>
      <c r="P2" s="65" t="s">
        <v>2844</v>
      </c>
      <c r="Q2" s="65" t="s">
        <v>2845</v>
      </c>
      <c r="R2" s="65" t="s">
        <v>2846</v>
      </c>
      <c r="S2" s="65" t="s">
        <v>1507</v>
      </c>
      <c r="T2" s="65" t="s">
        <v>778</v>
      </c>
      <c r="U2" s="65" t="s">
        <v>94</v>
      </c>
      <c r="V2" s="65" t="s">
        <v>95</v>
      </c>
      <c r="W2" s="65" t="s">
        <v>438</v>
      </c>
      <c r="X2" s="65" t="s">
        <v>439</v>
      </c>
      <c r="Y2" s="66" t="str">
        <f aca="false">Справочники!$K$4</f>
        <v>BLACK</v>
      </c>
      <c r="Z2" s="67" t="str">
        <f aca="false">Справочники!$K$5</f>
        <v>ORANGE</v>
      </c>
      <c r="AA2" s="68" t="str">
        <f aca="false">Справочники!$K$6</f>
        <v>RED</v>
      </c>
      <c r="AB2" s="69" t="str">
        <f aca="false">Справочники!$K$7</f>
        <v>BLUE</v>
      </c>
      <c r="AC2" s="70" t="str">
        <f aca="false">Справочники!$K$8</f>
        <v>GRAY</v>
      </c>
      <c r="AD2" s="71" t="str">
        <f aca="false">Справочники!$K$9</f>
        <v>GREEN</v>
      </c>
      <c r="AE2" s="72" t="str">
        <f aca="false">Справочники!$K$10</f>
        <v>YELLOW</v>
      </c>
      <c r="AF2" s="73" t="str">
        <f aca="false">Справочники!$K$11</f>
        <v>WHITE</v>
      </c>
      <c r="AG2" s="74" t="str">
        <f aca="false">Справочники!$K$12</f>
        <v>BEIGE</v>
      </c>
      <c r="AH2" s="75" t="str">
        <f aca="false">Справочники!$K$13</f>
        <v>BROWN</v>
      </c>
      <c r="AI2" s="76" t="str">
        <f aca="false">Справочники!$K$14</f>
        <v>NATURAL</v>
      </c>
      <c r="AJ2" s="76" t="str">
        <f aca="false">Справочники!$K$15</f>
        <v>MULTI</v>
      </c>
      <c r="AK2" s="77" t="s">
        <v>440</v>
      </c>
      <c r="AL2" s="77" t="s">
        <v>441</v>
      </c>
      <c r="AM2" s="77" t="s">
        <v>442</v>
      </c>
      <c r="AN2" s="78" t="s">
        <v>443</v>
      </c>
      <c r="AO2" s="78" t="s">
        <v>98</v>
      </c>
      <c r="AP2" s="78" t="s">
        <v>444</v>
      </c>
      <c r="AQ2" s="78" t="s">
        <v>445</v>
      </c>
      <c r="AR2" s="78" t="s">
        <v>206</v>
      </c>
      <c r="AS2" s="78" t="s">
        <v>446</v>
      </c>
      <c r="AT2" s="78" t="s">
        <v>99</v>
      </c>
      <c r="AU2" s="78" t="s">
        <v>208</v>
      </c>
      <c r="AV2" s="78" t="s">
        <v>447</v>
      </c>
      <c r="AW2" s="78" t="s">
        <v>448</v>
      </c>
      <c r="AX2" s="78" t="s">
        <v>449</v>
      </c>
      <c r="AY2" s="78" t="s">
        <v>450</v>
      </c>
      <c r="AZ2" s="78" t="s">
        <v>451</v>
      </c>
      <c r="BA2" s="78" t="s">
        <v>452</v>
      </c>
      <c r="BB2" s="79" t="s">
        <v>38</v>
      </c>
      <c r="BC2" s="79" t="s">
        <v>453</v>
      </c>
      <c r="BD2" s="79" t="s">
        <v>454</v>
      </c>
      <c r="BE2" s="79" t="s">
        <v>101</v>
      </c>
      <c r="BF2" s="79" t="s">
        <v>102</v>
      </c>
      <c r="BG2" s="79" t="s">
        <v>455</v>
      </c>
      <c r="BH2" s="79" t="s">
        <v>456</v>
      </c>
      <c r="BI2" s="79" t="s">
        <v>457</v>
      </c>
      <c r="BJ2" s="79" t="s">
        <v>104</v>
      </c>
      <c r="BK2" s="79" t="s">
        <v>145</v>
      </c>
      <c r="BL2" s="4" t="s">
        <v>458</v>
      </c>
      <c r="BM2" s="4" t="s">
        <v>193</v>
      </c>
      <c r="BN2" s="4" t="s">
        <v>459</v>
      </c>
      <c r="BO2" s="4" t="s">
        <v>211</v>
      </c>
      <c r="BP2" s="4" t="s">
        <v>460</v>
      </c>
      <c r="BQ2" s="4" t="s">
        <v>461</v>
      </c>
      <c r="BR2" s="4" t="s">
        <v>462</v>
      </c>
      <c r="BS2" s="4" t="s">
        <v>44</v>
      </c>
    </row>
    <row r="3" customFormat="false" ht="79.5" hidden="false" customHeight="true" outlineLevel="0" collapsed="false">
      <c r="A3" s="80" t="s">
        <v>228</v>
      </c>
      <c r="B3" s="81" t="s">
        <v>841</v>
      </c>
      <c r="C3" s="81"/>
      <c r="D3" s="81"/>
      <c r="E3" s="83" t="s">
        <v>2847</v>
      </c>
      <c r="F3" s="81" t="s">
        <v>2848</v>
      </c>
      <c r="G3" s="83" t="s">
        <v>2849</v>
      </c>
      <c r="H3" s="83" t="s">
        <v>2850</v>
      </c>
      <c r="I3" s="84" t="str">
        <f aca="false">IF(E3="","",A3&amp;"_1.jpg")</f>
        <v>AKO-KT-001_1.jpg</v>
      </c>
      <c r="J3" s="84" t="str">
        <f aca="false">IF(E3="","",A3&amp;"_2.jpg; "&amp;A3&amp;"_3.jpg")</f>
        <v>AKO-KT-001_2.jpg; AKO-KT-001_3.jpg</v>
      </c>
      <c r="K3" s="84" t="str">
        <f aca="false">IF(E3="","",A3&amp;"_schema.jpg")</f>
        <v>AKO-KT-001_schema.jpg</v>
      </c>
      <c r="L3" s="81" t="s">
        <v>150</v>
      </c>
      <c r="M3" s="81"/>
      <c r="N3" s="81" t="s">
        <v>85</v>
      </c>
      <c r="O3" s="81" t="s">
        <v>2851</v>
      </c>
      <c r="P3" s="81"/>
      <c r="Q3" s="81"/>
      <c r="R3" s="81" t="n">
        <v>114</v>
      </c>
      <c r="S3" s="81"/>
      <c r="T3" s="81"/>
      <c r="U3" s="81" t="n">
        <v>285</v>
      </c>
      <c r="V3" s="81" t="s">
        <v>96</v>
      </c>
      <c r="W3" s="81"/>
      <c r="X3" s="81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 t="n">
        <v>100</v>
      </c>
      <c r="AJ3" s="85"/>
      <c r="AK3" s="86" t="n">
        <f aca="false">IF(SUM(Y3:AJ3)=0,"",SUM(Y3:AJ3))</f>
        <v>100</v>
      </c>
      <c r="AL3" s="84" t="str">
        <f aca="false">MID(IF(N(Y3)&gt;0,", "&amp;Y$2,"")&amp;IF(N(Z3)&gt;0,", "&amp;Z$2,"")&amp;IF(N(AA3)&gt;0,", "&amp;AA$2,"")&amp;IF(N(AB3)&gt;0,", "&amp;AB$2,"")&amp;IF(N(AC3)&gt;0,", "&amp;AC$2,"")&amp;IF(N(AD3)&gt;0,", "&amp;AD$2,"")&amp;IF(N(AE3)&gt;0,", "&amp;AE$2,"")&amp;IF(N(AF3)&gt;0,", "&amp;AF$2,"")&amp;IF(N(AG3)&gt;0,", "&amp;AG$2,"")&amp;IF(N(AH3)&gt;0,", "&amp;AH$2,"")&amp;IF(N(AI3)&gt;0,", "&amp;AI$2,"")&amp;IF(N(AJ3)&gt;0,", "&amp;AJ$2,""),3,999)</f>
        <v>NATURAL</v>
      </c>
      <c r="AM3" s="87" t="str">
        <f aca="false">IF(E3="","",MID(IF(N(Y3)&gt;0,", "&amp;A3&amp;"-"&amp;Y$2,"")&amp;IF(N(Z3)&gt;0,", "&amp;A3&amp;"-"&amp;Z$2,"")&amp;IF(N(AA3)&gt;0,", "&amp;A3&amp;"-"&amp;AA$2,"")&amp;IF(N(AB3)&gt;0,", "&amp;A3&amp;"-"&amp;AB$2,"")&amp;IF(N(AC3)&gt;0,", "&amp;A3&amp;"-"&amp;AC$2,"")&amp;IF(N(AD3)&gt;0,", "&amp;A3&amp;"-"&amp;AD$2,"")&amp;IF(N(AE3)&gt;0,", "&amp;A3&amp;"-"&amp;AE$2,"")&amp;IF(N(AF3)&gt;0,", "&amp;A3&amp;"-"&amp;AF$2,"")&amp;IF(N(AG3)&gt;0,", "&amp;A3&amp;"-"&amp;AG$2,"")&amp;IF(N(AH3)&gt;0,", "&amp;A3&amp;"-"&amp;AH$2,"")&amp;IF(N(AI3)&gt;0,", "&amp;A3&amp;"-"&amp;AI$2,"")&amp;IF(N(AJ3)&gt;0,", "&amp;A3&amp;"-"&amp;AJ$2,""),3,999))</f>
        <v>AKO-KT-001-NATURAL</v>
      </c>
      <c r="AN3" s="81" t="n">
        <v>1</v>
      </c>
      <c r="AO3" s="88"/>
      <c r="AP3" s="89" t="str">
        <f aca="false">IF(AO3="","",ROUND(AO3/(1+Справочники!$B$13),2))</f>
        <v/>
      </c>
      <c r="AQ3" s="90" t="str">
        <f aca="false" t="array" ref="AQ3:AQ3">IF(AP3="","",AP3*INDEX(Справочники!$B$4:$B$7,MATCH("RUB",Справочники!$A$4:$A$7,0)))</f>
        <v/>
      </c>
      <c r="AR3" s="90" t="str">
        <f aca="false">IF(AQ3="","",ROUND(AQ3*(1+Справочники!$B$12),0))</f>
        <v/>
      </c>
      <c r="AS3" s="90" t="str">
        <f aca="false">IF(AR3="","",ROUND(AR3*(1-Справочники!$B$11),0))</f>
        <v/>
      </c>
      <c r="AT3" s="93" t="n">
        <f aca="false">IF(BH3="","",IF(AS3="",ROUNDUP(BH3/(1-Справочники!$B$23)*(1+Справочники!$B$12),-1),MAX(AS3,ROUNDUP(BH3/(1-Справочники!$B$24)*(1+Справочники!$B$12),-1))))</f>
        <v>3650</v>
      </c>
      <c r="AU3" s="90" t="n">
        <f aca="false">IF(AT3="","",ROUND(AT3/(1+Справочники!$B$12),0))</f>
        <v>3147</v>
      </c>
      <c r="AV3" s="90" t="n">
        <f aca="false">IF(AT3="","",ROUND(AT3*(1-Справочники!$B$15),0))</f>
        <v>3541</v>
      </c>
      <c r="AW3" s="90" t="n">
        <f aca="false">IF(AT3="","",ROUND(AT3*(1-Справочники!$B$16),0))</f>
        <v>3431</v>
      </c>
      <c r="AX3" s="90" t="n">
        <f aca="false">IF(AT3="","",ROUND(AT3*(1-Справочники!$B$17),0))</f>
        <v>3322</v>
      </c>
      <c r="AY3" s="90" t="n">
        <f aca="false">IF(AT3="","",ROUND(AT3*(1-Справочники!$B$18),0))</f>
        <v>3212</v>
      </c>
      <c r="AZ3" s="90" t="n">
        <f aca="false">IF(AT3="","",ROUND(AT3*(1-Справочники!$B$19),0))</f>
        <v>3103</v>
      </c>
      <c r="BA3" s="81"/>
      <c r="BB3" s="81" t="s">
        <v>147</v>
      </c>
      <c r="BC3" s="81" t="s">
        <v>229</v>
      </c>
      <c r="BD3" s="81"/>
      <c r="BE3" s="91" t="n">
        <v>18.5</v>
      </c>
      <c r="BF3" s="81" t="s">
        <v>103</v>
      </c>
      <c r="BG3" s="89" t="n">
        <f aca="false" t="array" ref="BG3:BG3">IF(BF3="","",IFERROR(INDEX(Справочники!$B$4:$B$7,MATCH(BF3,Справочники!$A$4:$A$7,0)),""))</f>
        <v>68.5</v>
      </c>
      <c r="BH3" s="90" t="n">
        <f aca="false">IF(N(BN3)&gt;0,ROUND(SUMIF(ЗАКАЗЫ!$F$3:$F$500,$A3,ЗАКАЗЫ!$Y$3:$Y$500)/BN3,0),IF(OR(BE3="",BG3=""),"",ROUND(BE3*BG3*(1+Справочники!$B$10),0)))</f>
        <v>1571</v>
      </c>
      <c r="BI3" s="92" t="n">
        <f aca="false">IF(OR(AU3="",BH3="",AU3=0),"",(AU3-BH3)/AU3)</f>
        <v>0.500794407372101</v>
      </c>
      <c r="BJ3" s="81" t="n">
        <v>12</v>
      </c>
      <c r="BK3" s="83"/>
      <c r="BL3" s="43" t="str">
        <f aca="false">IFERROR(INDEX(ЗАКАЗЫ!$N$3:$N$500,MATCH($A3,ЗАКАЗЫ!$F$3:$F$500,0)),"")</f>
        <v>7616 99 900 8</v>
      </c>
      <c r="BM3" s="8" t="n">
        <f aca="false">IF(BL3="","",IFERROR(VLOOKUP(BL3,'ТН ВЭД'!$A$4:$C$40,3,0),""))</f>
        <v>0.09</v>
      </c>
      <c r="BN3" s="7" t="n">
        <f aca="false">IF(COUNTIF(ЗАКАЗЫ!$F$3:$F$500,$A3)=0,"",SUMIF(ЗАКАЗЫ!$F$3:$F$500,$A3,ЗАКАЗЫ!$J$3:$J$500))</f>
        <v>100</v>
      </c>
      <c r="BO3" s="7" t="n">
        <f aca="false">IF(BN3="","",SUMIF(ЗАКАЗЫ!$F$3:$F$500,$A3,ЗАКАЗЫ!$AL$3:$AL$500))</f>
        <v>0</v>
      </c>
      <c r="BP3" s="7" t="n">
        <f aca="false">IF(BN3="","",BN3-BO3)</f>
        <v>100</v>
      </c>
      <c r="BQ3" s="55" t="str">
        <f aca="false">IF(BN3="","",IF(BO3&gt;=BN3,"На складе",IF(BO3&gt;0,"Частично","Ждём")))</f>
        <v>Ждём</v>
      </c>
      <c r="BR3" s="43" t="s">
        <v>2852</v>
      </c>
      <c r="BS3" s="47" t="n">
        <f aca="false">IF(BN3="","",IF(_xlfn.MAXIFS(ЗАКАЗЫ!$AK$3:$AK$500,ЗАКАЗЫ!$F$3:$F$500,$A3)=0,"",_xlfn.MAXIFS(ЗАКАЗЫ!$AK$3:$AK$500,ЗАКАЗЫ!$F$3:$F$500,$A3)))</f>
        <v>46323</v>
      </c>
    </row>
    <row r="4" customFormat="false" ht="79.5" hidden="false" customHeight="true" outlineLevel="0" collapsed="false">
      <c r="A4" s="80" t="s">
        <v>230</v>
      </c>
      <c r="B4" s="81" t="s">
        <v>841</v>
      </c>
      <c r="C4" s="81"/>
      <c r="D4" s="81"/>
      <c r="E4" s="83" t="s">
        <v>2853</v>
      </c>
      <c r="F4" s="81" t="s">
        <v>2848</v>
      </c>
      <c r="G4" s="83" t="s">
        <v>2854</v>
      </c>
      <c r="H4" s="83" t="s">
        <v>2855</v>
      </c>
      <c r="I4" s="84" t="str">
        <f aca="false">IF(E4="","",A4&amp;"_1.jpg")</f>
        <v>AKO-KT-002_1.jpg</v>
      </c>
      <c r="J4" s="84" t="str">
        <f aca="false">IF(E4="","",A4&amp;"_2.jpg; "&amp;A4&amp;"_3.jpg")</f>
        <v>AKO-KT-002_2.jpg; AKO-KT-002_3.jpg</v>
      </c>
      <c r="K4" s="84" t="str">
        <f aca="false">IF(E4="","",A4&amp;"_schema.jpg")</f>
        <v>AKO-KT-002_schema.jpg</v>
      </c>
      <c r="L4" s="81" t="s">
        <v>150</v>
      </c>
      <c r="M4" s="81"/>
      <c r="N4" s="81" t="s">
        <v>85</v>
      </c>
      <c r="O4" s="81" t="s">
        <v>2856</v>
      </c>
      <c r="P4" s="81"/>
      <c r="Q4" s="81"/>
      <c r="R4" s="81" t="n">
        <v>114</v>
      </c>
      <c r="S4" s="81"/>
      <c r="T4" s="81"/>
      <c r="U4" s="81"/>
      <c r="V4" s="81" t="s">
        <v>96</v>
      </c>
      <c r="W4" s="81"/>
      <c r="X4" s="81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 t="n">
        <v>100</v>
      </c>
      <c r="AJ4" s="85"/>
      <c r="AK4" s="86" t="n">
        <f aca="false">IF(SUM(Y4:AJ4)=0,"",SUM(Y4:AJ4))</f>
        <v>100</v>
      </c>
      <c r="AL4" s="84" t="str">
        <f aca="false">MID(IF(N(Y4)&gt;0,", "&amp;Y$2,"")&amp;IF(N(Z4)&gt;0,", "&amp;Z$2,"")&amp;IF(N(AA4)&gt;0,", "&amp;AA$2,"")&amp;IF(N(AB4)&gt;0,", "&amp;AB$2,"")&amp;IF(N(AC4)&gt;0,", "&amp;AC$2,"")&amp;IF(N(AD4)&gt;0,", "&amp;AD$2,"")&amp;IF(N(AE4)&gt;0,", "&amp;AE$2,"")&amp;IF(N(AF4)&gt;0,", "&amp;AF$2,"")&amp;IF(N(AG4)&gt;0,", "&amp;AG$2,"")&amp;IF(N(AH4)&gt;0,", "&amp;AH$2,"")&amp;IF(N(AI4)&gt;0,", "&amp;AI$2,"")&amp;IF(N(AJ4)&gt;0,", "&amp;AJ$2,""),3,999)</f>
        <v>NATURAL</v>
      </c>
      <c r="AM4" s="87" t="str">
        <f aca="false">IF(E4="","",MID(IF(N(Y4)&gt;0,", "&amp;A4&amp;"-"&amp;Y$2,"")&amp;IF(N(Z4)&gt;0,", "&amp;A4&amp;"-"&amp;Z$2,"")&amp;IF(N(AA4)&gt;0,", "&amp;A4&amp;"-"&amp;AA$2,"")&amp;IF(N(AB4)&gt;0,", "&amp;A4&amp;"-"&amp;AB$2,"")&amp;IF(N(AC4)&gt;0,", "&amp;A4&amp;"-"&amp;AC$2,"")&amp;IF(N(AD4)&gt;0,", "&amp;A4&amp;"-"&amp;AD$2,"")&amp;IF(N(AE4)&gt;0,", "&amp;A4&amp;"-"&amp;AE$2,"")&amp;IF(N(AF4)&gt;0,", "&amp;A4&amp;"-"&amp;AF$2,"")&amp;IF(N(AG4)&gt;0,", "&amp;A4&amp;"-"&amp;AG$2,"")&amp;IF(N(AH4)&gt;0,", "&amp;A4&amp;"-"&amp;AH$2,"")&amp;IF(N(AI4)&gt;0,", "&amp;A4&amp;"-"&amp;AI$2,"")&amp;IF(N(AJ4)&gt;0,", "&amp;A4&amp;"-"&amp;AJ$2,""),3,999))</f>
        <v>AKO-KT-002-NATURAL</v>
      </c>
      <c r="AN4" s="81" t="n">
        <v>1</v>
      </c>
      <c r="AO4" s="88"/>
      <c r="AP4" s="89" t="str">
        <f aca="false">IF(AO4="","",ROUND(AO4/(1+Справочники!$B$13),2))</f>
        <v/>
      </c>
      <c r="AQ4" s="90" t="str">
        <f aca="false" t="array" ref="AQ4:AQ4">IF(AP4="","",AP4*INDEX(Справочники!$B$4:$B$7,MATCH("RUB",Справочники!$A$4:$A$7,0)))</f>
        <v/>
      </c>
      <c r="AR4" s="90" t="str">
        <f aca="false">IF(AQ4="","",ROUND(AQ4*(1+Справочники!$B$12),0))</f>
        <v/>
      </c>
      <c r="AS4" s="90" t="str">
        <f aca="false">IF(AR4="","",ROUND(AR4*(1-Справочники!$B$11),0))</f>
        <v/>
      </c>
      <c r="AT4" s="93" t="n">
        <f aca="false">IF(BH4="","",IF(AS4="",ROUNDUP(BH4/(1-Справочники!$B$23)*(1+Справочники!$B$12),-1),MAX(AS4,ROUNDUP(BH4/(1-Справочники!$B$24)*(1+Справочники!$B$12),-1))))</f>
        <v>1970</v>
      </c>
      <c r="AU4" s="90" t="n">
        <f aca="false">IF(AT4="","",ROUND(AT4/(1+Справочники!$B$12),0))</f>
        <v>1698</v>
      </c>
      <c r="AV4" s="90" t="n">
        <f aca="false">IF(AT4="","",ROUND(AT4*(1-Справочники!$B$15),0))</f>
        <v>1911</v>
      </c>
      <c r="AW4" s="90" t="n">
        <f aca="false">IF(AT4="","",ROUND(AT4*(1-Справочники!$B$16),0))</f>
        <v>1852</v>
      </c>
      <c r="AX4" s="90" t="n">
        <f aca="false">IF(AT4="","",ROUND(AT4*(1-Справочники!$B$17),0))</f>
        <v>1793</v>
      </c>
      <c r="AY4" s="90" t="n">
        <f aca="false">IF(AT4="","",ROUND(AT4*(1-Справочники!$B$18),0))</f>
        <v>1734</v>
      </c>
      <c r="AZ4" s="90" t="n">
        <f aca="false">IF(AT4="","",ROUND(AT4*(1-Справочники!$B$19),0))</f>
        <v>1675</v>
      </c>
      <c r="BA4" s="81"/>
      <c r="BB4" s="81" t="s">
        <v>147</v>
      </c>
      <c r="BC4" s="81" t="s">
        <v>231</v>
      </c>
      <c r="BD4" s="81"/>
      <c r="BE4" s="91" t="n">
        <v>10</v>
      </c>
      <c r="BF4" s="81" t="s">
        <v>103</v>
      </c>
      <c r="BG4" s="89" t="n">
        <f aca="false" t="array" ref="BG4:BG4">IF(BF4="","",IFERROR(INDEX(Справочники!$B$4:$B$7,MATCH(BF4,Справочники!$A$4:$A$7,0)),""))</f>
        <v>68.5</v>
      </c>
      <c r="BH4" s="90" t="n">
        <f aca="false">IF(N(BN4)&gt;0,ROUND(SUMIF(ЗАКАЗЫ!$F$3:$F$500,$A4,ЗАКАЗЫ!$Y$3:$Y$500)/BN4,0),IF(OR(BE4="",BG4=""),"",ROUND(BE4*BG4*(1+Справочники!$B$10),0)))</f>
        <v>849</v>
      </c>
      <c r="BI4" s="92" t="n">
        <f aca="false">IF(OR(AU4="",BH4="",AU4=0),"",(AU4-BH4)/AU4)</f>
        <v>0.5</v>
      </c>
      <c r="BJ4" s="81" t="n">
        <v>12</v>
      </c>
      <c r="BK4" s="83"/>
      <c r="BL4" s="43" t="str">
        <f aca="false">IFERROR(INDEX(ЗАКАЗЫ!$N$3:$N$500,MATCH($A4,ЗАКАЗЫ!$F$3:$F$500,0)),"")</f>
        <v>7616 99 900 8</v>
      </c>
      <c r="BM4" s="8" t="n">
        <f aca="false">IF(BL4="","",IFERROR(VLOOKUP(BL4,'ТН ВЭД'!$A$4:$C$40,3,0),""))</f>
        <v>0.09</v>
      </c>
      <c r="BN4" s="7" t="n">
        <f aca="false">IF(COUNTIF(ЗАКАЗЫ!$F$3:$F$500,$A4)=0,"",SUMIF(ЗАКАЗЫ!$F$3:$F$500,$A4,ЗАКАЗЫ!$J$3:$J$500))</f>
        <v>100</v>
      </c>
      <c r="BO4" s="7" t="n">
        <f aca="false">IF(BN4="","",SUMIF(ЗАКАЗЫ!$F$3:$F$500,$A4,ЗАКАЗЫ!$AL$3:$AL$500))</f>
        <v>0</v>
      </c>
      <c r="BP4" s="7" t="n">
        <f aca="false">IF(BN4="","",BN4-BO4)</f>
        <v>100</v>
      </c>
      <c r="BQ4" s="55" t="str">
        <f aca="false">IF(BN4="","",IF(BO4&gt;=BN4,"На складе",IF(BO4&gt;0,"Частично","Ждём")))</f>
        <v>Ждём</v>
      </c>
      <c r="BR4" s="43" t="s">
        <v>2857</v>
      </c>
      <c r="BS4" s="47" t="n">
        <f aca="false">IF(BN4="","",IF(_xlfn.MAXIFS(ЗАКАЗЫ!$AK$3:$AK$500,ЗАКАЗЫ!$F$3:$F$500,$A4)=0,"",_xlfn.MAXIFS(ЗАКАЗЫ!$AK$3:$AK$500,ЗАКАЗЫ!$F$3:$F$500,$A4)))</f>
        <v>46323</v>
      </c>
    </row>
    <row r="5" customFormat="false" ht="79.5" hidden="false" customHeight="true" outlineLevel="0" collapsed="false">
      <c r="A5" s="80" t="s">
        <v>232</v>
      </c>
      <c r="B5" s="81" t="s">
        <v>841</v>
      </c>
      <c r="C5" s="81"/>
      <c r="D5" s="81"/>
      <c r="E5" s="83" t="s">
        <v>2858</v>
      </c>
      <c r="F5" s="81" t="s">
        <v>2859</v>
      </c>
      <c r="G5" s="83" t="s">
        <v>2860</v>
      </c>
      <c r="H5" s="83" t="s">
        <v>2861</v>
      </c>
      <c r="I5" s="84" t="str">
        <f aca="false">IF(E5="","",A5&amp;"_1.jpg")</f>
        <v>AKO-KT-003_1.jpg</v>
      </c>
      <c r="J5" s="84" t="str">
        <f aca="false">IF(E5="","",A5&amp;"_2.jpg; "&amp;A5&amp;"_3.jpg")</f>
        <v>AKO-KT-003_2.jpg; AKO-KT-003_3.jpg</v>
      </c>
      <c r="K5" s="84" t="str">
        <f aca="false">IF(E5="","",A5&amp;"_schema.jpg")</f>
        <v>AKO-KT-003_schema.jpg</v>
      </c>
      <c r="L5" s="81" t="s">
        <v>150</v>
      </c>
      <c r="M5" s="81"/>
      <c r="N5" s="81" t="s">
        <v>1141</v>
      </c>
      <c r="O5" s="81" t="s">
        <v>2862</v>
      </c>
      <c r="P5" s="81" t="s">
        <v>2863</v>
      </c>
      <c r="Q5" s="81"/>
      <c r="R5" s="81"/>
      <c r="S5" s="81"/>
      <c r="T5" s="81"/>
      <c r="U5" s="81"/>
      <c r="V5" s="81" t="s">
        <v>96</v>
      </c>
      <c r="W5" s="81"/>
      <c r="X5" s="81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 t="n">
        <v>600</v>
      </c>
      <c r="AJ5" s="85"/>
      <c r="AK5" s="86" t="n">
        <f aca="false">IF(SUM(Y5:AJ5)=0,"",SUM(Y5:AJ5))</f>
        <v>600</v>
      </c>
      <c r="AL5" s="84" t="str">
        <f aca="false">MID(IF(N(Y5)&gt;0,", "&amp;Y$2,"")&amp;IF(N(Z5)&gt;0,", "&amp;Z$2,"")&amp;IF(N(AA5)&gt;0,", "&amp;AA$2,"")&amp;IF(N(AB5)&gt;0,", "&amp;AB$2,"")&amp;IF(N(AC5)&gt;0,", "&amp;AC$2,"")&amp;IF(N(AD5)&gt;0,", "&amp;AD$2,"")&amp;IF(N(AE5)&gt;0,", "&amp;AE$2,"")&amp;IF(N(AF5)&gt;0,", "&amp;AF$2,"")&amp;IF(N(AG5)&gt;0,", "&amp;AG$2,"")&amp;IF(N(AH5)&gt;0,", "&amp;AH$2,"")&amp;IF(N(AI5)&gt;0,", "&amp;AI$2,"")&amp;IF(N(AJ5)&gt;0,", "&amp;AJ$2,""),3,999)</f>
        <v>NATURAL</v>
      </c>
      <c r="AM5" s="87" t="str">
        <f aca="false">IF(E5="","",MID(IF(N(Y5)&gt;0,", "&amp;A5&amp;"-"&amp;Y$2,"")&amp;IF(N(Z5)&gt;0,", "&amp;A5&amp;"-"&amp;Z$2,"")&amp;IF(N(AA5)&gt;0,", "&amp;A5&amp;"-"&amp;AA$2,"")&amp;IF(N(AB5)&gt;0,", "&amp;A5&amp;"-"&amp;AB$2,"")&amp;IF(N(AC5)&gt;0,", "&amp;A5&amp;"-"&amp;AC$2,"")&amp;IF(N(AD5)&gt;0,", "&amp;A5&amp;"-"&amp;AD$2,"")&amp;IF(N(AE5)&gt;0,", "&amp;A5&amp;"-"&amp;AE$2,"")&amp;IF(N(AF5)&gt;0,", "&amp;A5&amp;"-"&amp;AF$2,"")&amp;IF(N(AG5)&gt;0,", "&amp;A5&amp;"-"&amp;AG$2,"")&amp;IF(N(AH5)&gt;0,", "&amp;A5&amp;"-"&amp;AH$2,"")&amp;IF(N(AI5)&gt;0,", "&amp;A5&amp;"-"&amp;AI$2,"")&amp;IF(N(AJ5)&gt;0,", "&amp;A5&amp;"-"&amp;AJ$2,""),3,999))</f>
        <v>AKO-KT-003-NATURAL</v>
      </c>
      <c r="AN5" s="81" t="n">
        <v>1</v>
      </c>
      <c r="AO5" s="88"/>
      <c r="AP5" s="89" t="str">
        <f aca="false">IF(AO5="","",ROUND(AO5/(1+Справочники!$B$13),2))</f>
        <v/>
      </c>
      <c r="AQ5" s="90" t="str">
        <f aca="false" t="array" ref="AQ5:AQ5">IF(AP5="","",AP5*INDEX(Справочники!$B$4:$B$7,MATCH("RUB",Справочники!$A$4:$A$7,0)))</f>
        <v/>
      </c>
      <c r="AR5" s="90" t="str">
        <f aca="false">IF(AQ5="","",ROUND(AQ5*(1+Справочники!$B$12),0))</f>
        <v/>
      </c>
      <c r="AS5" s="90" t="str">
        <f aca="false">IF(AR5="","",ROUND(AR5*(1-Справочники!$B$11),0))</f>
        <v/>
      </c>
      <c r="AT5" s="93" t="n">
        <f aca="false">IF(BH5="","",IF(AS5="",ROUNDUP(BH5/(1-Справочники!$B$23)*(1+Справочники!$B$12),-1),MAX(AS5,ROUNDUP(BH5/(1-Справочники!$B$24)*(1+Справочники!$B$12),-1))))</f>
        <v>1060</v>
      </c>
      <c r="AU5" s="90" t="n">
        <f aca="false">IF(AT5="","",ROUND(AT5/(1+Справочники!$B$12),0))</f>
        <v>914</v>
      </c>
      <c r="AV5" s="90" t="n">
        <f aca="false">IF(AT5="","",ROUND(AT5*(1-Справочники!$B$15),0))</f>
        <v>1028</v>
      </c>
      <c r="AW5" s="90" t="n">
        <f aca="false">IF(AT5="","",ROUND(AT5*(1-Справочники!$B$16),0))</f>
        <v>996</v>
      </c>
      <c r="AX5" s="90" t="n">
        <f aca="false">IF(AT5="","",ROUND(AT5*(1-Справочники!$B$17),0))</f>
        <v>965</v>
      </c>
      <c r="AY5" s="90" t="n">
        <f aca="false">IF(AT5="","",ROUND(AT5*(1-Справочники!$B$18),0))</f>
        <v>933</v>
      </c>
      <c r="AZ5" s="90" t="n">
        <f aca="false">IF(AT5="","",ROUND(AT5*(1-Справочники!$B$19),0))</f>
        <v>901</v>
      </c>
      <c r="BA5" s="81"/>
      <c r="BB5" s="81" t="s">
        <v>147</v>
      </c>
      <c r="BC5" s="81" t="s">
        <v>233</v>
      </c>
      <c r="BD5" s="81"/>
      <c r="BE5" s="91" t="n">
        <v>5.4</v>
      </c>
      <c r="BF5" s="81" t="s">
        <v>103</v>
      </c>
      <c r="BG5" s="89" t="n">
        <f aca="false" t="array" ref="BG5:BG5">IF(BF5="","",IFERROR(INDEX(Справочники!$B$4:$B$7,MATCH(BF5,Справочники!$A$4:$A$7,0)),""))</f>
        <v>68.5</v>
      </c>
      <c r="BH5" s="90" t="n">
        <f aca="false">IF(N(BN5)&gt;0,ROUND(SUMIF(ЗАКАЗЫ!$F$3:$F$500,$A5,ЗАКАЗЫ!$Y$3:$Y$500)/BN5,0),IF(OR(BE5="",BG5=""),"",ROUND(BE5*BG5*(1+Справочники!$B$10),0)))</f>
        <v>453</v>
      </c>
      <c r="BI5" s="92" t="n">
        <f aca="false">IF(OR(AU5="",BH5="",AU5=0),"",(AU5-BH5)/AU5)</f>
        <v>0.50437636761488</v>
      </c>
      <c r="BJ5" s="81" t="n">
        <v>12</v>
      </c>
      <c r="BK5" s="83"/>
      <c r="BL5" s="43" t="str">
        <f aca="false">IFERROR(INDEX(ЗАКАЗЫ!$N$3:$N$500,MATCH($A5,ЗАКАЗЫ!$F$3:$F$500,0)),"")</f>
        <v>7326 90 980 7</v>
      </c>
      <c r="BM5" s="8" t="n">
        <f aca="false">IF(BL5="","",IFERROR(VLOOKUP(BL5,'ТН ВЭД'!$A$4:$C$40,3,0),""))</f>
        <v>0.075</v>
      </c>
      <c r="BN5" s="7" t="n">
        <f aca="false">IF(COUNTIF(ЗАКАЗЫ!$F$3:$F$500,$A5)=0,"",SUMIF(ЗАКАЗЫ!$F$3:$F$500,$A5,ЗАКАЗЫ!$J$3:$J$500))</f>
        <v>600</v>
      </c>
      <c r="BO5" s="7" t="n">
        <f aca="false">IF(BN5="","",SUMIF(ЗАКАЗЫ!$F$3:$F$500,$A5,ЗАКАЗЫ!$AL$3:$AL$500))</f>
        <v>0</v>
      </c>
      <c r="BP5" s="7" t="n">
        <f aca="false">IF(BN5="","",BN5-BO5)</f>
        <v>600</v>
      </c>
      <c r="BQ5" s="55" t="str">
        <f aca="false">IF(BN5="","",IF(BO5&gt;=BN5,"На складе",IF(BO5&gt;0,"Частично","Ждём")))</f>
        <v>Ждём</v>
      </c>
      <c r="BR5" s="43" t="s">
        <v>2864</v>
      </c>
      <c r="BS5" s="47" t="n">
        <f aca="false">IF(BN5="","",IF(_xlfn.MAXIFS(ЗАКАЗЫ!$AK$3:$AK$500,ЗАКАЗЫ!$F$3:$F$500,$A5)=0,"",_xlfn.MAXIFS(ЗАКАЗЫ!$AK$3:$AK$500,ЗАКАЗЫ!$F$3:$F$500,$A5)))</f>
        <v>46323</v>
      </c>
    </row>
    <row r="6" customFormat="false" ht="79.5" hidden="false" customHeight="true" outlineLevel="0" collapsed="false">
      <c r="A6" s="80" t="s">
        <v>234</v>
      </c>
      <c r="B6" s="81" t="s">
        <v>841</v>
      </c>
      <c r="C6" s="81"/>
      <c r="D6" s="81"/>
      <c r="E6" s="83" t="s">
        <v>2865</v>
      </c>
      <c r="F6" s="81" t="s">
        <v>2859</v>
      </c>
      <c r="G6" s="83" t="s">
        <v>2866</v>
      </c>
      <c r="H6" s="83" t="s">
        <v>2867</v>
      </c>
      <c r="I6" s="84" t="str">
        <f aca="false">IF(E6="","",A6&amp;"_1.jpg")</f>
        <v>AKO-KT-004_1.jpg</v>
      </c>
      <c r="J6" s="84" t="str">
        <f aca="false">IF(E6="","",A6&amp;"_2.jpg; "&amp;A6&amp;"_3.jpg")</f>
        <v>AKO-KT-004_2.jpg; AKO-KT-004_3.jpg</v>
      </c>
      <c r="K6" s="84" t="str">
        <f aca="false">IF(E6="","",A6&amp;"_schema.jpg")</f>
        <v>AKO-KT-004_schema.jpg</v>
      </c>
      <c r="L6" s="81" t="s">
        <v>150</v>
      </c>
      <c r="M6" s="81"/>
      <c r="N6" s="81" t="s">
        <v>1141</v>
      </c>
      <c r="O6" s="81" t="s">
        <v>2868</v>
      </c>
      <c r="P6" s="81" t="s">
        <v>2863</v>
      </c>
      <c r="Q6" s="81"/>
      <c r="R6" s="81"/>
      <c r="S6" s="81"/>
      <c r="T6" s="81"/>
      <c r="U6" s="81" t="n">
        <v>112</v>
      </c>
      <c r="V6" s="81" t="s">
        <v>96</v>
      </c>
      <c r="W6" s="81"/>
      <c r="X6" s="81" t="s">
        <v>2869</v>
      </c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 t="n">
        <v>500</v>
      </c>
      <c r="AJ6" s="85"/>
      <c r="AK6" s="86" t="n">
        <f aca="false">IF(SUM(Y6:AJ6)=0,"",SUM(Y6:AJ6))</f>
        <v>500</v>
      </c>
      <c r="AL6" s="84" t="str">
        <f aca="false">MID(IF(N(Y6)&gt;0,", "&amp;Y$2,"")&amp;IF(N(Z6)&gt;0,", "&amp;Z$2,"")&amp;IF(N(AA6)&gt;0,", "&amp;AA$2,"")&amp;IF(N(AB6)&gt;0,", "&amp;AB$2,"")&amp;IF(N(AC6)&gt;0,", "&amp;AC$2,"")&amp;IF(N(AD6)&gt;0,", "&amp;AD$2,"")&amp;IF(N(AE6)&gt;0,", "&amp;AE$2,"")&amp;IF(N(AF6)&gt;0,", "&amp;AF$2,"")&amp;IF(N(AG6)&gt;0,", "&amp;AG$2,"")&amp;IF(N(AH6)&gt;0,", "&amp;AH$2,"")&amp;IF(N(AI6)&gt;0,", "&amp;AI$2,"")&amp;IF(N(AJ6)&gt;0,", "&amp;AJ$2,""),3,999)</f>
        <v>NATURAL</v>
      </c>
      <c r="AM6" s="87" t="str">
        <f aca="false">IF(E6="","",MID(IF(N(Y6)&gt;0,", "&amp;A6&amp;"-"&amp;Y$2,"")&amp;IF(N(Z6)&gt;0,", "&amp;A6&amp;"-"&amp;Z$2,"")&amp;IF(N(AA6)&gt;0,", "&amp;A6&amp;"-"&amp;AA$2,"")&amp;IF(N(AB6)&gt;0,", "&amp;A6&amp;"-"&amp;AB$2,"")&amp;IF(N(AC6)&gt;0,", "&amp;A6&amp;"-"&amp;AC$2,"")&amp;IF(N(AD6)&gt;0,", "&amp;A6&amp;"-"&amp;AD$2,"")&amp;IF(N(AE6)&gt;0,", "&amp;A6&amp;"-"&amp;AE$2,"")&amp;IF(N(AF6)&gt;0,", "&amp;A6&amp;"-"&amp;AF$2,"")&amp;IF(N(AG6)&gt;0,", "&amp;A6&amp;"-"&amp;AG$2,"")&amp;IF(N(AH6)&gt;0,", "&amp;A6&amp;"-"&amp;AH$2,"")&amp;IF(N(AI6)&gt;0,", "&amp;A6&amp;"-"&amp;AI$2,"")&amp;IF(N(AJ6)&gt;0,", "&amp;A6&amp;"-"&amp;AJ$2,""),3,999))</f>
        <v>AKO-KT-004-NATURAL</v>
      </c>
      <c r="AN6" s="81" t="n">
        <v>1</v>
      </c>
      <c r="AO6" s="88" t="n">
        <v>560</v>
      </c>
      <c r="AP6" s="89" t="n">
        <f aca="false">IF(AO6="","",ROUND(AO6/(1+Справочники!$B$13),2))</f>
        <v>560</v>
      </c>
      <c r="AQ6" s="90" t="n">
        <f aca="false" t="array" ref="AQ6:AQ6">IF(AP6="","",AP6*INDEX(Справочники!$B$4:$B$7,MATCH("RUB",Справочники!$A$4:$A$7,0)))</f>
        <v>2968</v>
      </c>
      <c r="AR6" s="90" t="n">
        <f aca="false">IF(AQ6="","",ROUND(AQ6*(1+Справочники!$B$12),0))</f>
        <v>3443</v>
      </c>
      <c r="AS6" s="90" t="n">
        <f aca="false">IF(AR6="","",ROUND(AR6*(1-Справочники!$B$11),0))</f>
        <v>3168</v>
      </c>
      <c r="AT6" s="93" t="n">
        <f aca="false">IF(BH6="","",IF(AS6="",ROUNDUP(BH6/(1-Справочники!$B$23)*(1+Справочники!$B$12),-1),MAX(AS6,ROUNDUP(BH6/(1-Справочники!$B$24)*(1+Справочники!$B$12),-1))))</f>
        <v>3168</v>
      </c>
      <c r="AU6" s="90" t="n">
        <f aca="false">IF(AT6="","",ROUND(AT6/(1+Справочники!$B$12),0))</f>
        <v>2731</v>
      </c>
      <c r="AV6" s="90" t="n">
        <f aca="false">IF(AT6="","",ROUND(AT6*(1-Справочники!$B$15),0))</f>
        <v>3073</v>
      </c>
      <c r="AW6" s="90" t="n">
        <f aca="false">IF(AT6="","",ROUND(AT6*(1-Справочники!$B$16),0))</f>
        <v>2978</v>
      </c>
      <c r="AX6" s="90" t="n">
        <f aca="false">IF(AT6="","",ROUND(AT6*(1-Справочники!$B$17),0))</f>
        <v>2883</v>
      </c>
      <c r="AY6" s="90" t="n">
        <f aca="false">IF(AT6="","",ROUND(AT6*(1-Справочники!$B$18),0))</f>
        <v>2788</v>
      </c>
      <c r="AZ6" s="90" t="n">
        <f aca="false">IF(AT6="","",ROUND(AT6*(1-Справочники!$B$19),0))</f>
        <v>2693</v>
      </c>
      <c r="BA6" s="81"/>
      <c r="BB6" s="81" t="s">
        <v>147</v>
      </c>
      <c r="BC6" s="81" t="s">
        <v>235</v>
      </c>
      <c r="BD6" s="81"/>
      <c r="BE6" s="91" t="n">
        <v>7.2</v>
      </c>
      <c r="BF6" s="81" t="s">
        <v>103</v>
      </c>
      <c r="BG6" s="89" t="n">
        <f aca="false" t="array" ref="BG6:BG6">IF(BF6="","",IFERROR(INDEX(Справочники!$B$4:$B$7,MATCH(BF6,Справочники!$A$4:$A$7,0)),""))</f>
        <v>68.5</v>
      </c>
      <c r="BH6" s="90" t="n">
        <f aca="false">IF(N(BN6)&gt;0,ROUND(SUMIF(ЗАКАЗЫ!$F$3:$F$500,$A6,ЗАКАЗЫ!$Y$3:$Y$500)/BN6,0),IF(OR(BE6="",BG6=""),"",ROUND(BE6*BG6*(1+Справочники!$B$10),0)))</f>
        <v>604</v>
      </c>
      <c r="BI6" s="92" t="n">
        <f aca="false">IF(OR(AU6="",BH6="",AU6=0),"",(AU6-BH6)/AU6)</f>
        <v>0.778835591358477</v>
      </c>
      <c r="BJ6" s="81" t="n">
        <v>12</v>
      </c>
      <c r="BK6" s="83"/>
      <c r="BL6" s="43" t="str">
        <f aca="false">IFERROR(INDEX(ЗАКАЗЫ!$N$3:$N$500,MATCH($A6,ЗАКАЗЫ!$F$3:$F$500,0)),"")</f>
        <v>7326 90 980 7</v>
      </c>
      <c r="BM6" s="8" t="n">
        <f aca="false">IF(BL6="","",IFERROR(VLOOKUP(BL6,'ТН ВЭД'!$A$4:$C$40,3,0),""))</f>
        <v>0.075</v>
      </c>
      <c r="BN6" s="7" t="n">
        <f aca="false">IF(COUNTIF(ЗАКАЗЫ!$F$3:$F$500,$A6)=0,"",SUMIF(ЗАКАЗЫ!$F$3:$F$500,$A6,ЗАКАЗЫ!$J$3:$J$500))</f>
        <v>500</v>
      </c>
      <c r="BO6" s="7" t="n">
        <f aca="false">IF(BN6="","",SUMIF(ЗАКАЗЫ!$F$3:$F$500,$A6,ЗАКАЗЫ!$AL$3:$AL$500))</f>
        <v>0</v>
      </c>
      <c r="BP6" s="7" t="n">
        <f aca="false">IF(BN6="","",BN6-BO6)</f>
        <v>500</v>
      </c>
      <c r="BQ6" s="55" t="str">
        <f aca="false">IF(BN6="","",IF(BO6&gt;=BN6,"На складе",IF(BO6&gt;0,"Частично","Ждём")))</f>
        <v>Ждём</v>
      </c>
      <c r="BR6" s="43" t="s">
        <v>2870</v>
      </c>
      <c r="BS6" s="47" t="n">
        <f aca="false">IF(BN6="","",IF(_xlfn.MAXIFS(ЗАКАЗЫ!$AK$3:$AK$500,ЗАКАЗЫ!$F$3:$F$500,$A6)=0,"",_xlfn.MAXIFS(ЗАКАЗЫ!$AK$3:$AK$500,ЗАКАЗЫ!$F$3:$F$500,$A6)))</f>
        <v>46323</v>
      </c>
    </row>
    <row r="7" customFormat="false" ht="79.5" hidden="false" customHeight="true" outlineLevel="0" collapsed="false">
      <c r="A7" s="80" t="s">
        <v>309</v>
      </c>
      <c r="B7" s="81" t="s">
        <v>841</v>
      </c>
      <c r="C7" s="81"/>
      <c r="D7" s="81"/>
      <c r="E7" s="83" t="s">
        <v>2871</v>
      </c>
      <c r="F7" s="81" t="s">
        <v>2859</v>
      </c>
      <c r="G7" s="83" t="s">
        <v>2872</v>
      </c>
      <c r="H7" s="83" t="s">
        <v>2873</v>
      </c>
      <c r="I7" s="84" t="str">
        <f aca="false">IF(E7="","",A7&amp;"_1.jpg")</f>
        <v>AKO-KT-005_1.jpg</v>
      </c>
      <c r="J7" s="84" t="str">
        <f aca="false">IF(E7="","",A7&amp;"_2.jpg; "&amp;A7&amp;"_3.jpg")</f>
        <v>AKO-KT-005_2.jpg; AKO-KT-005_3.jpg</v>
      </c>
      <c r="K7" s="84" t="str">
        <f aca="false">IF(E7="","",A7&amp;"_schema.jpg")</f>
        <v>AKO-KT-005_schema.jpg</v>
      </c>
      <c r="L7" s="81" t="s">
        <v>150</v>
      </c>
      <c r="M7" s="81"/>
      <c r="N7" s="81" t="s">
        <v>1141</v>
      </c>
      <c r="O7" s="81" t="s">
        <v>2868</v>
      </c>
      <c r="P7" s="81" t="s">
        <v>2874</v>
      </c>
      <c r="Q7" s="81" t="s">
        <v>2875</v>
      </c>
      <c r="R7" s="81"/>
      <c r="S7" s="81"/>
      <c r="T7" s="81"/>
      <c r="U7" s="81"/>
      <c r="V7" s="81" t="s">
        <v>96</v>
      </c>
      <c r="W7" s="81"/>
      <c r="X7" s="81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 t="n">
        <v>1000</v>
      </c>
      <c r="AJ7" s="85"/>
      <c r="AK7" s="86" t="n">
        <f aca="false">IF(SUM(Y7:AJ7)=0,"",SUM(Y7:AJ7))</f>
        <v>1000</v>
      </c>
      <c r="AL7" s="84" t="str">
        <f aca="false">MID(IF(N(Y7)&gt;0,", "&amp;Y$2,"")&amp;IF(N(Z7)&gt;0,", "&amp;Z$2,"")&amp;IF(N(AA7)&gt;0,", "&amp;AA$2,"")&amp;IF(N(AB7)&gt;0,", "&amp;AB$2,"")&amp;IF(N(AC7)&gt;0,", "&amp;AC$2,"")&amp;IF(N(AD7)&gt;0,", "&amp;AD$2,"")&amp;IF(N(AE7)&gt;0,", "&amp;AE$2,"")&amp;IF(N(AF7)&gt;0,", "&amp;AF$2,"")&amp;IF(N(AG7)&gt;0,", "&amp;AG$2,"")&amp;IF(N(AH7)&gt;0,", "&amp;AH$2,"")&amp;IF(N(AI7)&gt;0,", "&amp;AI$2,"")&amp;IF(N(AJ7)&gt;0,", "&amp;AJ$2,""),3,999)</f>
        <v>NATURAL</v>
      </c>
      <c r="AM7" s="87" t="str">
        <f aca="false">IF(E7="","",MID(IF(N(Y7)&gt;0,", "&amp;A7&amp;"-"&amp;Y$2,"")&amp;IF(N(Z7)&gt;0,", "&amp;A7&amp;"-"&amp;Z$2,"")&amp;IF(N(AA7)&gt;0,", "&amp;A7&amp;"-"&amp;AA$2,"")&amp;IF(N(AB7)&gt;0,", "&amp;A7&amp;"-"&amp;AB$2,"")&amp;IF(N(AC7)&gt;0,", "&amp;A7&amp;"-"&amp;AC$2,"")&amp;IF(N(AD7)&gt;0,", "&amp;A7&amp;"-"&amp;AD$2,"")&amp;IF(N(AE7)&gt;0,", "&amp;A7&amp;"-"&amp;AE$2,"")&amp;IF(N(AF7)&gt;0,", "&amp;A7&amp;"-"&amp;AF$2,"")&amp;IF(N(AG7)&gt;0,", "&amp;A7&amp;"-"&amp;AG$2,"")&amp;IF(N(AH7)&gt;0,", "&amp;A7&amp;"-"&amp;AH$2,"")&amp;IF(N(AI7)&gt;0,", "&amp;A7&amp;"-"&amp;AI$2,"")&amp;IF(N(AJ7)&gt;0,", "&amp;A7&amp;"-"&amp;AJ$2,""),3,999))</f>
        <v>AKO-KT-005-NATURAL</v>
      </c>
      <c r="AN7" s="81" t="n">
        <v>1</v>
      </c>
      <c r="AO7" s="88"/>
      <c r="AP7" s="89" t="str">
        <f aca="false">IF(AO7="","",ROUND(AO7/(1+Справочники!$B$13),2))</f>
        <v/>
      </c>
      <c r="AQ7" s="90" t="str">
        <f aca="false" t="array" ref="AQ7:AQ7">IF(AP7="","",AP7*INDEX(Справочники!$B$4:$B$7,MATCH("RUB",Справочники!$A$4:$A$7,0)))</f>
        <v/>
      </c>
      <c r="AR7" s="90" t="str">
        <f aca="false">IF(AQ7="","",ROUND(AQ7*(1+Справочники!$B$12),0))</f>
        <v/>
      </c>
      <c r="AS7" s="90" t="str">
        <f aca="false">IF(AR7="","",ROUND(AR7*(1-Справочники!$B$11),0))</f>
        <v/>
      </c>
      <c r="AT7" s="93" t="n">
        <f aca="false">IF(BH7="","",IF(AS7="",ROUNDUP(BH7/(1-Справочники!$B$23)*(1+Справочники!$B$12),-1),MAX(AS7,ROUNDUP(BH7/(1-Справочники!$B$24)*(1+Справочники!$B$12),-1))))</f>
        <v>490</v>
      </c>
      <c r="AU7" s="90" t="n">
        <f aca="false">IF(AT7="","",ROUND(AT7/(1+Справочники!$B$12),0))</f>
        <v>422</v>
      </c>
      <c r="AV7" s="90" t="n">
        <f aca="false">IF(AT7="","",ROUND(AT7*(1-Справочники!$B$15),0))</f>
        <v>475</v>
      </c>
      <c r="AW7" s="90" t="n">
        <f aca="false">IF(AT7="","",ROUND(AT7*(1-Справочники!$B$16),0))</f>
        <v>461</v>
      </c>
      <c r="AX7" s="90" t="n">
        <f aca="false">IF(AT7="","",ROUND(AT7*(1-Справочники!$B$17),0))</f>
        <v>446</v>
      </c>
      <c r="AY7" s="90" t="n">
        <f aca="false">IF(AT7="","",ROUND(AT7*(1-Справочники!$B$18),0))</f>
        <v>431</v>
      </c>
      <c r="AZ7" s="90" t="n">
        <f aca="false">IF(AT7="","",ROUND(AT7*(1-Справочники!$B$19),0))</f>
        <v>417</v>
      </c>
      <c r="BA7" s="81"/>
      <c r="BB7" s="81" t="s">
        <v>147</v>
      </c>
      <c r="BC7" s="81" t="s">
        <v>310</v>
      </c>
      <c r="BD7" s="81"/>
      <c r="BE7" s="91" t="n">
        <v>2.5</v>
      </c>
      <c r="BF7" s="81" t="s">
        <v>103</v>
      </c>
      <c r="BG7" s="89" t="n">
        <f aca="false" t="array" ref="BG7:BG7">IF(BF7="","",IFERROR(INDEX(Справочники!$B$4:$B$7,MATCH(BF7,Справочники!$A$4:$A$7,0)),""))</f>
        <v>68.5</v>
      </c>
      <c r="BH7" s="90" t="n">
        <f aca="false">IF(N(BN7)&gt;0,ROUND(SUMIF(ЗАКАЗЫ!$F$3:$F$500,$A7,ЗАКАЗЫ!$Y$3:$Y$500)/BN7,0),IF(OR(BE7="",BG7=""),"",ROUND(BE7*BG7*(1+Справочники!$B$10),0)))</f>
        <v>210</v>
      </c>
      <c r="BI7" s="92" t="n">
        <f aca="false">IF(OR(AU7="",BH7="",AU7=0),"",(AU7-BH7)/AU7)</f>
        <v>0.502369668246446</v>
      </c>
      <c r="BJ7" s="81" t="n">
        <v>12</v>
      </c>
      <c r="BK7" s="83"/>
      <c r="BL7" s="43" t="str">
        <f aca="false">IFERROR(INDEX(ЗАКАЗЫ!$N$3:$N$500,MATCH($A7,ЗАКАЗЫ!$F$3:$F$500,0)),"")</f>
        <v>7326 90 980 7</v>
      </c>
      <c r="BM7" s="8" t="n">
        <f aca="false">IF(BL7="","",IFERROR(VLOOKUP(BL7,'ТН ВЭД'!$A$4:$C$40,3,0),""))</f>
        <v>0.075</v>
      </c>
      <c r="BN7" s="7" t="n">
        <f aca="false">IF(COUNTIF(ЗАКАЗЫ!$F$3:$F$500,$A7)=0,"",SUMIF(ЗАКАЗЫ!$F$3:$F$500,$A7,ЗАКАЗЫ!$J$3:$J$500))</f>
        <v>1000</v>
      </c>
      <c r="BO7" s="7" t="n">
        <f aca="false">IF(BN7="","",SUMIF(ЗАКАЗЫ!$F$3:$F$500,$A7,ЗАКАЗЫ!$AL$3:$AL$500))</f>
        <v>0</v>
      </c>
      <c r="BP7" s="7" t="n">
        <f aca="false">IF(BN7="","",BN7-BO7)</f>
        <v>1000</v>
      </c>
      <c r="BQ7" s="55" t="str">
        <f aca="false">IF(BN7="","",IF(BO7&gt;=BN7,"На складе",IF(BO7&gt;0,"Частично","Ждём")))</f>
        <v>Ждём</v>
      </c>
      <c r="BR7" s="43" t="s">
        <v>2876</v>
      </c>
      <c r="BS7" s="47" t="n">
        <f aca="false">IF(BN7="","",IF(_xlfn.MAXIFS(ЗАКАЗЫ!$AK$3:$AK$500,ЗАКАЗЫ!$F$3:$F$500,$A7)=0,"",_xlfn.MAXIFS(ЗАКАЗЫ!$AK$3:$AK$500,ЗАКАЗЫ!$F$3:$F$500,$A7)))</f>
        <v>46346</v>
      </c>
    </row>
    <row r="8" customFormat="false" ht="79.5" hidden="false" customHeight="true" outlineLevel="0" collapsed="false">
      <c r="A8" s="80" t="s">
        <v>311</v>
      </c>
      <c r="B8" s="81" t="s">
        <v>841</v>
      </c>
      <c r="C8" s="81"/>
      <c r="D8" s="81"/>
      <c r="E8" s="83" t="s">
        <v>2877</v>
      </c>
      <c r="F8" s="81" t="s">
        <v>2859</v>
      </c>
      <c r="G8" s="83" t="s">
        <v>2878</v>
      </c>
      <c r="H8" s="83" t="s">
        <v>2879</v>
      </c>
      <c r="I8" s="84" t="str">
        <f aca="false">IF(E8="","",A8&amp;"_1.jpg")</f>
        <v>AKO-KT-006_1.jpg</v>
      </c>
      <c r="J8" s="84" t="str">
        <f aca="false">IF(E8="","",A8&amp;"_2.jpg; "&amp;A8&amp;"_3.jpg")</f>
        <v>AKO-KT-006_2.jpg; AKO-KT-006_3.jpg</v>
      </c>
      <c r="K8" s="84" t="str">
        <f aca="false">IF(E8="","",A8&amp;"_schema.jpg")</f>
        <v>AKO-KT-006_schema.jpg</v>
      </c>
      <c r="L8" s="81" t="s">
        <v>150</v>
      </c>
      <c r="M8" s="81"/>
      <c r="N8" s="81" t="s">
        <v>1141</v>
      </c>
      <c r="O8" s="81" t="s">
        <v>2868</v>
      </c>
      <c r="P8" s="81" t="s">
        <v>2880</v>
      </c>
      <c r="Q8" s="81" t="s">
        <v>2881</v>
      </c>
      <c r="R8" s="81"/>
      <c r="S8" s="81"/>
      <c r="T8" s="81"/>
      <c r="U8" s="81"/>
      <c r="V8" s="81" t="s">
        <v>96</v>
      </c>
      <c r="W8" s="81"/>
      <c r="X8" s="81" t="s">
        <v>2882</v>
      </c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 t="n">
        <v>5000</v>
      </c>
      <c r="AJ8" s="85"/>
      <c r="AK8" s="86" t="n">
        <f aca="false">IF(SUM(Y8:AJ8)=0,"",SUM(Y8:AJ8))</f>
        <v>5000</v>
      </c>
      <c r="AL8" s="84" t="str">
        <f aca="false">MID(IF(N(Y8)&gt;0,", "&amp;Y$2,"")&amp;IF(N(Z8)&gt;0,", "&amp;Z$2,"")&amp;IF(N(AA8)&gt;0,", "&amp;AA$2,"")&amp;IF(N(AB8)&gt;0,", "&amp;AB$2,"")&amp;IF(N(AC8)&gt;0,", "&amp;AC$2,"")&amp;IF(N(AD8)&gt;0,", "&amp;AD$2,"")&amp;IF(N(AE8)&gt;0,", "&amp;AE$2,"")&amp;IF(N(AF8)&gt;0,", "&amp;AF$2,"")&amp;IF(N(AG8)&gt;0,", "&amp;AG$2,"")&amp;IF(N(AH8)&gt;0,", "&amp;AH$2,"")&amp;IF(N(AI8)&gt;0,", "&amp;AI$2,"")&amp;IF(N(AJ8)&gt;0,", "&amp;AJ$2,""),3,999)</f>
        <v>NATURAL</v>
      </c>
      <c r="AM8" s="87" t="str">
        <f aca="false">IF(E8="","",MID(IF(N(Y8)&gt;0,", "&amp;A8&amp;"-"&amp;Y$2,"")&amp;IF(N(Z8)&gt;0,", "&amp;A8&amp;"-"&amp;Z$2,"")&amp;IF(N(AA8)&gt;0,", "&amp;A8&amp;"-"&amp;AA$2,"")&amp;IF(N(AB8)&gt;0,", "&amp;A8&amp;"-"&amp;AB$2,"")&amp;IF(N(AC8)&gt;0,", "&amp;A8&amp;"-"&amp;AC$2,"")&amp;IF(N(AD8)&gt;0,", "&amp;A8&amp;"-"&amp;AD$2,"")&amp;IF(N(AE8)&gt;0,", "&amp;A8&amp;"-"&amp;AE$2,"")&amp;IF(N(AF8)&gt;0,", "&amp;A8&amp;"-"&amp;AF$2,"")&amp;IF(N(AG8)&gt;0,", "&amp;A8&amp;"-"&amp;AG$2,"")&amp;IF(N(AH8)&gt;0,", "&amp;A8&amp;"-"&amp;AH$2,"")&amp;IF(N(AI8)&gt;0,", "&amp;A8&amp;"-"&amp;AI$2,"")&amp;IF(N(AJ8)&gt;0,", "&amp;A8&amp;"-"&amp;AJ$2,""),3,999))</f>
        <v>AKO-KT-006-NATURAL</v>
      </c>
      <c r="AN8" s="81" t="n">
        <v>1</v>
      </c>
      <c r="AO8" s="88" t="n">
        <v>333.5</v>
      </c>
      <c r="AP8" s="89" t="n">
        <f aca="false">IF(AO8="","",ROUND(AO8/(1+Справочники!$B$13),2))</f>
        <v>333.5</v>
      </c>
      <c r="AQ8" s="90" t="n">
        <f aca="false" t="array" ref="AQ8:AQ8">IF(AP8="","",AP8*INDEX(Справочники!$B$4:$B$7,MATCH("RUB",Справочники!$A$4:$A$7,0)))</f>
        <v>1767.55</v>
      </c>
      <c r="AR8" s="90" t="n">
        <f aca="false">IF(AQ8="","",ROUND(AQ8*(1+Справочники!$B$12),0))</f>
        <v>2050</v>
      </c>
      <c r="AS8" s="90" t="n">
        <f aca="false">IF(AR8="","",ROUND(AR8*(1-Справочники!$B$11),0))</f>
        <v>1886</v>
      </c>
      <c r="AT8" s="93" t="n">
        <f aca="false">IF(BH8="","",IF(AS8="",ROUNDUP(BH8/(1-Справочники!$B$23)*(1+Справочники!$B$12),-1),MAX(AS8,ROUNDUP(BH8/(1-Справочники!$B$24)*(1+Справочники!$B$12),-1))))</f>
        <v>1886</v>
      </c>
      <c r="AU8" s="90" t="n">
        <f aca="false">IF(AT8="","",ROUND(AT8/(1+Справочники!$B$12),0))</f>
        <v>1626</v>
      </c>
      <c r="AV8" s="90" t="n">
        <f aca="false">IF(AT8="","",ROUND(AT8*(1-Справочники!$B$15),0))</f>
        <v>1829</v>
      </c>
      <c r="AW8" s="90" t="n">
        <f aca="false">IF(AT8="","",ROUND(AT8*(1-Справочники!$B$16),0))</f>
        <v>1773</v>
      </c>
      <c r="AX8" s="90" t="n">
        <f aca="false">IF(AT8="","",ROUND(AT8*(1-Справочники!$B$17),0))</f>
        <v>1716</v>
      </c>
      <c r="AY8" s="90" t="n">
        <f aca="false">IF(AT8="","",ROUND(AT8*(1-Справочники!$B$18),0))</f>
        <v>1660</v>
      </c>
      <c r="AZ8" s="90" t="n">
        <f aca="false">IF(AT8="","",ROUND(AT8*(1-Справочники!$B$19),0))</f>
        <v>1603</v>
      </c>
      <c r="BA8" s="81"/>
      <c r="BB8" s="81" t="s">
        <v>147</v>
      </c>
      <c r="BC8" s="81" t="s">
        <v>312</v>
      </c>
      <c r="BD8" s="81"/>
      <c r="BE8" s="91" t="n">
        <v>3.1</v>
      </c>
      <c r="BF8" s="81" t="s">
        <v>103</v>
      </c>
      <c r="BG8" s="89" t="n">
        <f aca="false" t="array" ref="BG8:BG8">IF(BF8="","",IFERROR(INDEX(Справочники!$B$4:$B$7,MATCH(BF8,Справочники!$A$4:$A$7,0)),""))</f>
        <v>68.5</v>
      </c>
      <c r="BH8" s="90" t="n">
        <f aca="false">IF(N(BN8)&gt;0,ROUND(SUMIF(ЗАКАЗЫ!$F$3:$F$500,$A8,ЗАКАЗЫ!$Y$3:$Y$500)/BN8,0),IF(OR(BE8="",BG8=""),"",ROUND(BE8*BG8*(1+Справочники!$B$10),0)))</f>
        <v>260</v>
      </c>
      <c r="BI8" s="92" t="n">
        <f aca="false">IF(OR(AU8="",BH8="",AU8=0),"",(AU8-BH8)/AU8)</f>
        <v>0.84009840098401</v>
      </c>
      <c r="BJ8" s="81" t="n">
        <v>12</v>
      </c>
      <c r="BK8" s="83"/>
      <c r="BL8" s="43" t="str">
        <f aca="false">IFERROR(INDEX(ЗАКАЗЫ!$N$3:$N$500,MATCH($A8,ЗАКАЗЫ!$F$3:$F$500,0)),"")</f>
        <v>7326 90 980 7</v>
      </c>
      <c r="BM8" s="8" t="n">
        <f aca="false">IF(BL8="","",IFERROR(VLOOKUP(BL8,'ТН ВЭД'!$A$4:$C$40,3,0),""))</f>
        <v>0.075</v>
      </c>
      <c r="BN8" s="7" t="n">
        <f aca="false">IF(COUNTIF(ЗАКАЗЫ!$F$3:$F$500,$A8)=0,"",SUMIF(ЗАКАЗЫ!$F$3:$F$500,$A8,ЗАКАЗЫ!$J$3:$J$500))</f>
        <v>5000</v>
      </c>
      <c r="BO8" s="7" t="n">
        <f aca="false">IF(BN8="","",SUMIF(ЗАКАЗЫ!$F$3:$F$500,$A8,ЗАКАЗЫ!$AL$3:$AL$500))</f>
        <v>0</v>
      </c>
      <c r="BP8" s="7" t="n">
        <f aca="false">IF(BN8="","",BN8-BO8)</f>
        <v>5000</v>
      </c>
      <c r="BQ8" s="55" t="str">
        <f aca="false">IF(BN8="","",IF(BO8&gt;=BN8,"На складе",IF(BO8&gt;0,"Частично","Ждём")))</f>
        <v>Ждём</v>
      </c>
      <c r="BR8" s="43" t="s">
        <v>2883</v>
      </c>
      <c r="BS8" s="47" t="n">
        <f aca="false">IF(BN8="","",IF(_xlfn.MAXIFS(ЗАКАЗЫ!$AK$3:$AK$500,ЗАКАЗЫ!$F$3:$F$500,$A8)=0,"",_xlfn.MAXIFS(ЗАКАЗЫ!$AK$3:$AK$500,ЗАКАЗЫ!$F$3:$F$500,$A8)))</f>
        <v>46346</v>
      </c>
    </row>
    <row r="9" customFormat="false" ht="79.5" hidden="false" customHeight="true" outlineLevel="0" collapsed="false">
      <c r="A9" s="80" t="s">
        <v>313</v>
      </c>
      <c r="B9" s="81" t="s">
        <v>841</v>
      </c>
      <c r="C9" s="81"/>
      <c r="D9" s="81"/>
      <c r="E9" s="83" t="s">
        <v>2884</v>
      </c>
      <c r="F9" s="81" t="s">
        <v>2859</v>
      </c>
      <c r="G9" s="83" t="s">
        <v>2885</v>
      </c>
      <c r="H9" s="83" t="s">
        <v>2886</v>
      </c>
      <c r="I9" s="84" t="str">
        <f aca="false">IF(E9="","",A9&amp;"_1.jpg")</f>
        <v>AKO-KT-007_1.jpg</v>
      </c>
      <c r="J9" s="84" t="str">
        <f aca="false">IF(E9="","",A9&amp;"_2.jpg; "&amp;A9&amp;"_3.jpg")</f>
        <v>AKO-KT-007_2.jpg; AKO-KT-007_3.jpg</v>
      </c>
      <c r="K9" s="84" t="str">
        <f aca="false">IF(E9="","",A9&amp;"_schema.jpg")</f>
        <v>AKO-KT-007_schema.jpg</v>
      </c>
      <c r="L9" s="81" t="s">
        <v>150</v>
      </c>
      <c r="M9" s="81"/>
      <c r="N9" s="81" t="s">
        <v>1141</v>
      </c>
      <c r="O9" s="81" t="s">
        <v>2887</v>
      </c>
      <c r="P9" s="81" t="s">
        <v>2880</v>
      </c>
      <c r="Q9" s="81" t="s">
        <v>2888</v>
      </c>
      <c r="R9" s="81"/>
      <c r="S9" s="81"/>
      <c r="T9" s="81"/>
      <c r="U9" s="81"/>
      <c r="V9" s="81" t="s">
        <v>96</v>
      </c>
      <c r="W9" s="81"/>
      <c r="X9" s="81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 t="n">
        <v>2000</v>
      </c>
      <c r="AJ9" s="85"/>
      <c r="AK9" s="86" t="n">
        <f aca="false">IF(SUM(Y9:AJ9)=0,"",SUM(Y9:AJ9))</f>
        <v>2000</v>
      </c>
      <c r="AL9" s="84" t="str">
        <f aca="false">MID(IF(N(Y9)&gt;0,", "&amp;Y$2,"")&amp;IF(N(Z9)&gt;0,", "&amp;Z$2,"")&amp;IF(N(AA9)&gt;0,", "&amp;AA$2,"")&amp;IF(N(AB9)&gt;0,", "&amp;AB$2,"")&amp;IF(N(AC9)&gt;0,", "&amp;AC$2,"")&amp;IF(N(AD9)&gt;0,", "&amp;AD$2,"")&amp;IF(N(AE9)&gt;0,", "&amp;AE$2,"")&amp;IF(N(AF9)&gt;0,", "&amp;AF$2,"")&amp;IF(N(AG9)&gt;0,", "&amp;AG$2,"")&amp;IF(N(AH9)&gt;0,", "&amp;AH$2,"")&amp;IF(N(AI9)&gt;0,", "&amp;AI$2,"")&amp;IF(N(AJ9)&gt;0,", "&amp;AJ$2,""),3,999)</f>
        <v>NATURAL</v>
      </c>
      <c r="AM9" s="87" t="str">
        <f aca="false">IF(E9="","",MID(IF(N(Y9)&gt;0,", "&amp;A9&amp;"-"&amp;Y$2,"")&amp;IF(N(Z9)&gt;0,", "&amp;A9&amp;"-"&amp;Z$2,"")&amp;IF(N(AA9)&gt;0,", "&amp;A9&amp;"-"&amp;AA$2,"")&amp;IF(N(AB9)&gt;0,", "&amp;A9&amp;"-"&amp;AB$2,"")&amp;IF(N(AC9)&gt;0,", "&amp;A9&amp;"-"&amp;AC$2,"")&amp;IF(N(AD9)&gt;0,", "&amp;A9&amp;"-"&amp;AD$2,"")&amp;IF(N(AE9)&gt;0,", "&amp;A9&amp;"-"&amp;AE$2,"")&amp;IF(N(AF9)&gt;0,", "&amp;A9&amp;"-"&amp;AF$2,"")&amp;IF(N(AG9)&gt;0,", "&amp;A9&amp;"-"&amp;AG$2,"")&amp;IF(N(AH9)&gt;0,", "&amp;A9&amp;"-"&amp;AH$2,"")&amp;IF(N(AI9)&gt;0,", "&amp;A9&amp;"-"&amp;AI$2,"")&amp;IF(N(AJ9)&gt;0,", "&amp;A9&amp;"-"&amp;AJ$2,""),3,999))</f>
        <v>AKO-KT-007-NATURAL</v>
      </c>
      <c r="AN9" s="81" t="n">
        <v>1</v>
      </c>
      <c r="AO9" s="88"/>
      <c r="AP9" s="89" t="str">
        <f aca="false">IF(AO9="","",ROUND(AO9/(1+Справочники!$B$13),2))</f>
        <v/>
      </c>
      <c r="AQ9" s="90" t="str">
        <f aca="false" t="array" ref="AQ9:AQ9">IF(AP9="","",AP9*INDEX(Справочники!$B$4:$B$7,MATCH("RUB",Справочники!$A$4:$A$7,0)))</f>
        <v/>
      </c>
      <c r="AR9" s="90" t="str">
        <f aca="false">IF(AQ9="","",ROUND(AQ9*(1+Справочники!$B$12),0))</f>
        <v/>
      </c>
      <c r="AS9" s="90" t="str">
        <f aca="false">IF(AR9="","",ROUND(AR9*(1-Справочники!$B$11),0))</f>
        <v/>
      </c>
      <c r="AT9" s="93" t="n">
        <f aca="false">IF(BH9="","",IF(AS9="",ROUNDUP(BH9/(1-Справочники!$B$23)*(1+Справочники!$B$12),-1),MAX(AS9,ROUNDUP(BH9/(1-Справочники!$B$24)*(1+Справочники!$B$12),-1))))</f>
        <v>550</v>
      </c>
      <c r="AU9" s="90" t="n">
        <f aca="false">IF(AT9="","",ROUND(AT9/(1+Справочники!$B$12),0))</f>
        <v>474</v>
      </c>
      <c r="AV9" s="90" t="n">
        <f aca="false">IF(AT9="","",ROUND(AT9*(1-Справочники!$B$15),0))</f>
        <v>534</v>
      </c>
      <c r="AW9" s="90" t="n">
        <f aca="false">IF(AT9="","",ROUND(AT9*(1-Справочники!$B$16),0))</f>
        <v>517</v>
      </c>
      <c r="AX9" s="90" t="n">
        <f aca="false">IF(AT9="","",ROUND(AT9*(1-Справочники!$B$17),0))</f>
        <v>501</v>
      </c>
      <c r="AY9" s="90" t="n">
        <f aca="false">IF(AT9="","",ROUND(AT9*(1-Справочники!$B$18),0))</f>
        <v>484</v>
      </c>
      <c r="AZ9" s="90" t="n">
        <f aca="false">IF(AT9="","",ROUND(AT9*(1-Справочники!$B$19),0))</f>
        <v>468</v>
      </c>
      <c r="BA9" s="81"/>
      <c r="BB9" s="81" t="s">
        <v>147</v>
      </c>
      <c r="BC9" s="81" t="s">
        <v>314</v>
      </c>
      <c r="BD9" s="81"/>
      <c r="BE9" s="91" t="n">
        <v>2.8</v>
      </c>
      <c r="BF9" s="81" t="s">
        <v>103</v>
      </c>
      <c r="BG9" s="89" t="n">
        <f aca="false" t="array" ref="BG9:BG9">IF(BF9="","",IFERROR(INDEX(Справочники!$B$4:$B$7,MATCH(BF9,Справочники!$A$4:$A$7,0)),""))</f>
        <v>68.5</v>
      </c>
      <c r="BH9" s="90" t="n">
        <f aca="false">IF(N(BN9)&gt;0,ROUND(SUMIF(ЗАКАЗЫ!$F$3:$F$500,$A9,ЗАКАЗЫ!$Y$3:$Y$500)/BN9,0),IF(OR(BE9="",BG9=""),"",ROUND(BE9*BG9*(1+Справочники!$B$10),0)))</f>
        <v>235</v>
      </c>
      <c r="BI9" s="92" t="n">
        <f aca="false">IF(OR(AU9="",BH9="",AU9=0),"",(AU9-BH9)/AU9)</f>
        <v>0.5042194092827</v>
      </c>
      <c r="BJ9" s="81" t="n">
        <v>12</v>
      </c>
      <c r="BK9" s="83"/>
      <c r="BL9" s="43" t="str">
        <f aca="false">IFERROR(INDEX(ЗАКАЗЫ!$N$3:$N$500,MATCH($A9,ЗАКАЗЫ!$F$3:$F$500,0)),"")</f>
        <v>7326 90 980 7</v>
      </c>
      <c r="BM9" s="8" t="n">
        <f aca="false">IF(BL9="","",IFERROR(VLOOKUP(BL9,'ТН ВЭД'!$A$4:$C$40,3,0),""))</f>
        <v>0.075</v>
      </c>
      <c r="BN9" s="7" t="n">
        <f aca="false">IF(COUNTIF(ЗАКАЗЫ!$F$3:$F$500,$A9)=0,"",SUMIF(ЗАКАЗЫ!$F$3:$F$500,$A9,ЗАКАЗЫ!$J$3:$J$500))</f>
        <v>2000</v>
      </c>
      <c r="BO9" s="7" t="n">
        <f aca="false">IF(BN9="","",SUMIF(ЗАКАЗЫ!$F$3:$F$500,$A9,ЗАКАЗЫ!$AL$3:$AL$500))</f>
        <v>0</v>
      </c>
      <c r="BP9" s="7" t="n">
        <f aca="false">IF(BN9="","",BN9-BO9)</f>
        <v>2000</v>
      </c>
      <c r="BQ9" s="55" t="str">
        <f aca="false">IF(BN9="","",IF(BO9&gt;=BN9,"На складе",IF(BO9&gt;0,"Частично","Ждём")))</f>
        <v>Ждём</v>
      </c>
      <c r="BR9" s="43" t="s">
        <v>2889</v>
      </c>
      <c r="BS9" s="47" t="n">
        <f aca="false">IF(BN9="","",IF(_xlfn.MAXIFS(ЗАКАЗЫ!$AK$3:$AK$500,ЗАКАЗЫ!$F$3:$F$500,$A9)=0,"",_xlfn.MAXIFS(ЗАКАЗЫ!$AK$3:$AK$500,ЗАКАЗЫ!$F$3:$F$500,$A9)))</f>
        <v>46346</v>
      </c>
    </row>
    <row r="10" customFormat="false" ht="79.5" hidden="false" customHeight="true" outlineLevel="0" collapsed="false">
      <c r="A10" s="80" t="s">
        <v>315</v>
      </c>
      <c r="B10" s="81" t="s">
        <v>841</v>
      </c>
      <c r="C10" s="81"/>
      <c r="D10" s="81"/>
      <c r="E10" s="83" t="s">
        <v>2890</v>
      </c>
      <c r="F10" s="81" t="s">
        <v>2859</v>
      </c>
      <c r="G10" s="83" t="s">
        <v>2891</v>
      </c>
      <c r="H10" s="83" t="s">
        <v>2892</v>
      </c>
      <c r="I10" s="84" t="str">
        <f aca="false">IF(E10="","",A10&amp;"_1.jpg")</f>
        <v>AKO-KT-008_1.jpg</v>
      </c>
      <c r="J10" s="84" t="str">
        <f aca="false">IF(E10="","",A10&amp;"_2.jpg; "&amp;A10&amp;"_3.jpg")</f>
        <v>AKO-KT-008_2.jpg; AKO-KT-008_3.jpg</v>
      </c>
      <c r="K10" s="84" t="str">
        <f aca="false">IF(E10="","",A10&amp;"_schema.jpg")</f>
        <v>AKO-KT-008_schema.jpg</v>
      </c>
      <c r="L10" s="81" t="s">
        <v>150</v>
      </c>
      <c r="M10" s="81"/>
      <c r="N10" s="81" t="s">
        <v>1141</v>
      </c>
      <c r="O10" s="81" t="s">
        <v>2868</v>
      </c>
      <c r="P10" s="81" t="s">
        <v>2880</v>
      </c>
      <c r="Q10" s="81" t="s">
        <v>2893</v>
      </c>
      <c r="R10" s="81"/>
      <c r="S10" s="81"/>
      <c r="T10" s="81"/>
      <c r="U10" s="81"/>
      <c r="V10" s="81" t="s">
        <v>96</v>
      </c>
      <c r="W10" s="81"/>
      <c r="X10" s="81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 t="n">
        <v>2000</v>
      </c>
      <c r="AJ10" s="85"/>
      <c r="AK10" s="86" t="n">
        <f aca="false">IF(SUM(Y10:AJ10)=0,"",SUM(Y10:AJ10))</f>
        <v>2000</v>
      </c>
      <c r="AL10" s="84" t="str">
        <f aca="false">MID(IF(N(Y10)&gt;0,", "&amp;Y$2,"")&amp;IF(N(Z10)&gt;0,", "&amp;Z$2,"")&amp;IF(N(AA10)&gt;0,", "&amp;AA$2,"")&amp;IF(N(AB10)&gt;0,", "&amp;AB$2,"")&amp;IF(N(AC10)&gt;0,", "&amp;AC$2,"")&amp;IF(N(AD10)&gt;0,", "&amp;AD$2,"")&amp;IF(N(AE10)&gt;0,", "&amp;AE$2,"")&amp;IF(N(AF10)&gt;0,", "&amp;AF$2,"")&amp;IF(N(AG10)&gt;0,", "&amp;AG$2,"")&amp;IF(N(AH10)&gt;0,", "&amp;AH$2,"")&amp;IF(N(AI10)&gt;0,", "&amp;AI$2,"")&amp;IF(N(AJ10)&gt;0,", "&amp;AJ$2,""),3,999)</f>
        <v>NATURAL</v>
      </c>
      <c r="AM10" s="87" t="str">
        <f aca="false">IF(E10="","",MID(IF(N(Y10)&gt;0,", "&amp;A10&amp;"-"&amp;Y$2,"")&amp;IF(N(Z10)&gt;0,", "&amp;A10&amp;"-"&amp;Z$2,"")&amp;IF(N(AA10)&gt;0,", "&amp;A10&amp;"-"&amp;AA$2,"")&amp;IF(N(AB10)&gt;0,", "&amp;A10&amp;"-"&amp;AB$2,"")&amp;IF(N(AC10)&gt;0,", "&amp;A10&amp;"-"&amp;AC$2,"")&amp;IF(N(AD10)&gt;0,", "&amp;A10&amp;"-"&amp;AD$2,"")&amp;IF(N(AE10)&gt;0,", "&amp;A10&amp;"-"&amp;AE$2,"")&amp;IF(N(AF10)&gt;0,", "&amp;A10&amp;"-"&amp;AF$2,"")&amp;IF(N(AG10)&gt;0,", "&amp;A10&amp;"-"&amp;AG$2,"")&amp;IF(N(AH10)&gt;0,", "&amp;A10&amp;"-"&amp;AH$2,"")&amp;IF(N(AI10)&gt;0,", "&amp;A10&amp;"-"&amp;AI$2,"")&amp;IF(N(AJ10)&gt;0,", "&amp;A10&amp;"-"&amp;AJ$2,""),3,999))</f>
        <v>AKO-KT-008-NATURAL</v>
      </c>
      <c r="AN10" s="81" t="n">
        <v>1</v>
      </c>
      <c r="AO10" s="88"/>
      <c r="AP10" s="89" t="str">
        <f aca="false">IF(AO10="","",ROUND(AO10/(1+Справочники!$B$13),2))</f>
        <v/>
      </c>
      <c r="AQ10" s="90" t="str">
        <f aca="false" t="array" ref="AQ10:AQ10">IF(AP10="","",AP10*INDEX(Справочники!$B$4:$B$7,MATCH("RUB",Справочники!$A$4:$A$7,0)))</f>
        <v/>
      </c>
      <c r="AR10" s="90" t="str">
        <f aca="false">IF(AQ10="","",ROUND(AQ10*(1+Справочники!$B$12),0))</f>
        <v/>
      </c>
      <c r="AS10" s="90" t="str">
        <f aca="false">IF(AR10="","",ROUND(AR10*(1-Справочники!$B$11),0))</f>
        <v/>
      </c>
      <c r="AT10" s="93" t="n">
        <f aca="false">IF(BH10="","",IF(AS10="",ROUNDUP(BH10/(1-Справочники!$B$23)*(1+Справочники!$B$12),-1),MAX(AS10,ROUNDUP(BH10/(1-Справочники!$B$24)*(1+Справочники!$B$12),-1))))</f>
        <v>590</v>
      </c>
      <c r="AU10" s="90" t="n">
        <f aca="false">IF(AT10="","",ROUND(AT10/(1+Справочники!$B$12),0))</f>
        <v>509</v>
      </c>
      <c r="AV10" s="90" t="n">
        <f aca="false">IF(AT10="","",ROUND(AT10*(1-Справочники!$B$15),0))</f>
        <v>572</v>
      </c>
      <c r="AW10" s="90" t="n">
        <f aca="false">IF(AT10="","",ROUND(AT10*(1-Справочники!$B$16),0))</f>
        <v>555</v>
      </c>
      <c r="AX10" s="90" t="n">
        <f aca="false">IF(AT10="","",ROUND(AT10*(1-Справочники!$B$17),0))</f>
        <v>537</v>
      </c>
      <c r="AY10" s="90" t="n">
        <f aca="false">IF(AT10="","",ROUND(AT10*(1-Справочники!$B$18),0))</f>
        <v>519</v>
      </c>
      <c r="AZ10" s="90" t="n">
        <f aca="false">IF(AT10="","",ROUND(AT10*(1-Справочники!$B$19),0))</f>
        <v>502</v>
      </c>
      <c r="BA10" s="81"/>
      <c r="BB10" s="81" t="s">
        <v>147</v>
      </c>
      <c r="BC10" s="81" t="s">
        <v>316</v>
      </c>
      <c r="BD10" s="81"/>
      <c r="BE10" s="91" t="n">
        <v>3</v>
      </c>
      <c r="BF10" s="81" t="s">
        <v>103</v>
      </c>
      <c r="BG10" s="89" t="n">
        <f aca="false" t="array" ref="BG10:BG10">IF(BF10="","",IFERROR(INDEX(Справочники!$B$4:$B$7,MATCH(BF10,Справочники!$A$4:$A$7,0)),""))</f>
        <v>68.5</v>
      </c>
      <c r="BH10" s="90" t="n">
        <f aca="false">IF(N(BN10)&gt;0,ROUND(SUMIF(ЗАКАЗЫ!$F$3:$F$500,$A10,ЗАКАЗЫ!$Y$3:$Y$500)/BN10,0),IF(OR(BE10="",BG10=""),"",ROUND(BE10*BG10*(1+Справочники!$B$10),0)))</f>
        <v>252</v>
      </c>
      <c r="BI10" s="92" t="n">
        <f aca="false">IF(OR(AU10="",BH10="",AU10=0),"",(AU10-BH10)/AU10)</f>
        <v>0.504911591355599</v>
      </c>
      <c r="BJ10" s="81" t="n">
        <v>12</v>
      </c>
      <c r="BK10" s="83"/>
      <c r="BL10" s="43" t="str">
        <f aca="false">IFERROR(INDEX(ЗАКАЗЫ!$N$3:$N$500,MATCH($A10,ЗАКАЗЫ!$F$3:$F$500,0)),"")</f>
        <v>7326 90 980 7</v>
      </c>
      <c r="BM10" s="8" t="n">
        <f aca="false">IF(BL10="","",IFERROR(VLOOKUP(BL10,'ТН ВЭД'!$A$4:$C$40,3,0),""))</f>
        <v>0.075</v>
      </c>
      <c r="BN10" s="7" t="n">
        <f aca="false">IF(COUNTIF(ЗАКАЗЫ!$F$3:$F$500,$A10)=0,"",SUMIF(ЗАКАЗЫ!$F$3:$F$500,$A10,ЗАКАЗЫ!$J$3:$J$500))</f>
        <v>2000</v>
      </c>
      <c r="BO10" s="7" t="n">
        <f aca="false">IF(BN10="","",SUMIF(ЗАКАЗЫ!$F$3:$F$500,$A10,ЗАКАЗЫ!$AL$3:$AL$500))</f>
        <v>0</v>
      </c>
      <c r="BP10" s="7" t="n">
        <f aca="false">IF(BN10="","",BN10-BO10)</f>
        <v>2000</v>
      </c>
      <c r="BQ10" s="55" t="str">
        <f aca="false">IF(BN10="","",IF(BO10&gt;=BN10,"На складе",IF(BO10&gt;0,"Частично","Ждём")))</f>
        <v>Ждём</v>
      </c>
      <c r="BR10" s="43" t="s">
        <v>2894</v>
      </c>
      <c r="BS10" s="47" t="n">
        <f aca="false">IF(BN10="","",IF(_xlfn.MAXIFS(ЗАКАЗЫ!$AK$3:$AK$500,ЗАКАЗЫ!$F$3:$F$500,$A10)=0,"",_xlfn.MAXIFS(ЗАКАЗЫ!$AK$3:$AK$500,ЗАКАЗЫ!$F$3:$F$500,$A10)))</f>
        <v>46346</v>
      </c>
    </row>
    <row r="11" customFormat="false" ht="79.5" hidden="false" customHeight="true" outlineLevel="0" collapsed="false">
      <c r="A11" s="80" t="s">
        <v>317</v>
      </c>
      <c r="B11" s="81" t="s">
        <v>841</v>
      </c>
      <c r="C11" s="81"/>
      <c r="D11" s="81"/>
      <c r="E11" s="83" t="s">
        <v>2895</v>
      </c>
      <c r="F11" s="81" t="s">
        <v>2896</v>
      </c>
      <c r="G11" s="83" t="s">
        <v>2897</v>
      </c>
      <c r="H11" s="83" t="s">
        <v>2898</v>
      </c>
      <c r="I11" s="84" t="str">
        <f aca="false">IF(E11="","",A11&amp;"_1.jpg")</f>
        <v>AKO-KT-009_1.jpg</v>
      </c>
      <c r="J11" s="84" t="str">
        <f aca="false">IF(E11="","",A11&amp;"_2.jpg; "&amp;A11&amp;"_3.jpg")</f>
        <v>AKO-KT-009_2.jpg; AKO-KT-009_3.jpg</v>
      </c>
      <c r="K11" s="84" t="str">
        <f aca="false">IF(E11="","",A11&amp;"_schema.jpg")</f>
        <v>AKO-KT-009_schema.jpg</v>
      </c>
      <c r="L11" s="81" t="s">
        <v>150</v>
      </c>
      <c r="M11" s="81"/>
      <c r="N11" s="81" t="s">
        <v>1141</v>
      </c>
      <c r="O11" s="81" t="s">
        <v>2899</v>
      </c>
      <c r="P11" s="81" t="s">
        <v>2880</v>
      </c>
      <c r="Q11" s="81"/>
      <c r="R11" s="81"/>
      <c r="S11" s="81"/>
      <c r="T11" s="81"/>
      <c r="U11" s="81"/>
      <c r="V11" s="81" t="s">
        <v>96</v>
      </c>
      <c r="W11" s="81"/>
      <c r="X11" s="81" t="s">
        <v>2900</v>
      </c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 t="n">
        <v>1000</v>
      </c>
      <c r="AJ11" s="85"/>
      <c r="AK11" s="86" t="n">
        <f aca="false">IF(SUM(Y11:AJ11)=0,"",SUM(Y11:AJ11))</f>
        <v>1000</v>
      </c>
      <c r="AL11" s="84" t="str">
        <f aca="false">MID(IF(N(Y11)&gt;0,", "&amp;Y$2,"")&amp;IF(N(Z11)&gt;0,", "&amp;Z$2,"")&amp;IF(N(AA11)&gt;0,", "&amp;AA$2,"")&amp;IF(N(AB11)&gt;0,", "&amp;AB$2,"")&amp;IF(N(AC11)&gt;0,", "&amp;AC$2,"")&amp;IF(N(AD11)&gt;0,", "&amp;AD$2,"")&amp;IF(N(AE11)&gt;0,", "&amp;AE$2,"")&amp;IF(N(AF11)&gt;0,", "&amp;AF$2,"")&amp;IF(N(AG11)&gt;0,", "&amp;AG$2,"")&amp;IF(N(AH11)&gt;0,", "&amp;AH$2,"")&amp;IF(N(AI11)&gt;0,", "&amp;AI$2,"")&amp;IF(N(AJ11)&gt;0,", "&amp;AJ$2,""),3,999)</f>
        <v>NATURAL</v>
      </c>
      <c r="AM11" s="87" t="str">
        <f aca="false">IF(E11="","",MID(IF(N(Y11)&gt;0,", "&amp;A11&amp;"-"&amp;Y$2,"")&amp;IF(N(Z11)&gt;0,", "&amp;A11&amp;"-"&amp;Z$2,"")&amp;IF(N(AA11)&gt;0,", "&amp;A11&amp;"-"&amp;AA$2,"")&amp;IF(N(AB11)&gt;0,", "&amp;A11&amp;"-"&amp;AB$2,"")&amp;IF(N(AC11)&gt;0,", "&amp;A11&amp;"-"&amp;AC$2,"")&amp;IF(N(AD11)&gt;0,", "&amp;A11&amp;"-"&amp;AD$2,"")&amp;IF(N(AE11)&gt;0,", "&amp;A11&amp;"-"&amp;AE$2,"")&amp;IF(N(AF11)&gt;0,", "&amp;A11&amp;"-"&amp;AF$2,"")&amp;IF(N(AG11)&gt;0,", "&amp;A11&amp;"-"&amp;AG$2,"")&amp;IF(N(AH11)&gt;0,", "&amp;A11&amp;"-"&amp;AH$2,"")&amp;IF(N(AI11)&gt;0,", "&amp;A11&amp;"-"&amp;AI$2,"")&amp;IF(N(AJ11)&gt;0,", "&amp;A11&amp;"-"&amp;AJ$2,""),3,999))</f>
        <v>AKO-KT-009-NATURAL</v>
      </c>
      <c r="AN11" s="81" t="n">
        <v>1</v>
      </c>
      <c r="AO11" s="88"/>
      <c r="AP11" s="89" t="str">
        <f aca="false">IF(AO11="","",ROUND(AO11/(1+Справочники!$B$13),2))</f>
        <v/>
      </c>
      <c r="AQ11" s="90" t="str">
        <f aca="false" t="array" ref="AQ11:AQ11">IF(AP11="","",AP11*INDEX(Справочники!$B$4:$B$7,MATCH("RUB",Справочники!$A$4:$A$7,0)))</f>
        <v/>
      </c>
      <c r="AR11" s="90" t="str">
        <f aca="false">IF(AQ11="","",ROUND(AQ11*(1+Справочники!$B$12),0))</f>
        <v/>
      </c>
      <c r="AS11" s="90" t="str">
        <f aca="false">IF(AR11="","",ROUND(AR11*(1-Справочники!$B$11),0))</f>
        <v/>
      </c>
      <c r="AT11" s="93" t="n">
        <f aca="false">IF(BH11="","",IF(AS11="",ROUNDUP(BH11/(1-Справочники!$B$23)*(1+Справочники!$B$12),-1),MAX(AS11,ROUNDUP(BH11/(1-Справочники!$B$24)*(1+Справочники!$B$12),-1))))</f>
        <v>360</v>
      </c>
      <c r="AU11" s="90" t="n">
        <f aca="false">IF(AT11="","",ROUND(AT11/(1+Справочники!$B$12),0))</f>
        <v>310</v>
      </c>
      <c r="AV11" s="90" t="n">
        <f aca="false">IF(AT11="","",ROUND(AT11*(1-Справочники!$B$15),0))</f>
        <v>349</v>
      </c>
      <c r="AW11" s="90" t="n">
        <f aca="false">IF(AT11="","",ROUND(AT11*(1-Справочники!$B$16),0))</f>
        <v>338</v>
      </c>
      <c r="AX11" s="90" t="n">
        <f aca="false">IF(AT11="","",ROUND(AT11*(1-Справочники!$B$17),0))</f>
        <v>328</v>
      </c>
      <c r="AY11" s="90" t="n">
        <f aca="false">IF(AT11="","",ROUND(AT11*(1-Справочники!$B$18),0))</f>
        <v>317</v>
      </c>
      <c r="AZ11" s="90" t="n">
        <f aca="false">IF(AT11="","",ROUND(AT11*(1-Справочники!$B$19),0))</f>
        <v>306</v>
      </c>
      <c r="BA11" s="81"/>
      <c r="BB11" s="81" t="s">
        <v>147</v>
      </c>
      <c r="BC11" s="81" t="s">
        <v>318</v>
      </c>
      <c r="BD11" s="81"/>
      <c r="BE11" s="91" t="n">
        <v>1.8</v>
      </c>
      <c r="BF11" s="81" t="s">
        <v>103</v>
      </c>
      <c r="BG11" s="89" t="n">
        <f aca="false" t="array" ref="BG11:BG11">IF(BF11="","",IFERROR(INDEX(Справочники!$B$4:$B$7,MATCH(BF11,Справочники!$A$4:$A$7,0)),""))</f>
        <v>68.5</v>
      </c>
      <c r="BH11" s="90" t="n">
        <f aca="false">IF(N(BN11)&gt;0,ROUND(SUMIF(ЗАКАЗЫ!$F$3:$F$500,$A11,ЗАКАЗЫ!$Y$3:$Y$500)/BN11,0),IF(OR(BE11="",BG11=""),"",ROUND(BE11*BG11*(1+Справочники!$B$10),0)))</f>
        <v>152</v>
      </c>
      <c r="BI11" s="92" t="n">
        <f aca="false">IF(OR(AU11="",BH11="",AU11=0),"",(AU11-BH11)/AU11)</f>
        <v>0.509677419354839</v>
      </c>
      <c r="BJ11" s="81" t="n">
        <v>12</v>
      </c>
      <c r="BK11" s="83" t="s">
        <v>2901</v>
      </c>
      <c r="BL11" s="43" t="str">
        <f aca="false">IFERROR(INDEX(ЗАКАЗЫ!$N$3:$N$500,MATCH($A11,ЗАКАЗЫ!$F$3:$F$500,0)),"")</f>
        <v>7318 16</v>
      </c>
      <c r="BM11" s="8" t="n">
        <f aca="false">IF(BL11="","",IFERROR(VLOOKUP(BL11,'ТН ВЭД'!$A$4:$C$40,3,0),""))</f>
        <v>0.08</v>
      </c>
      <c r="BN11" s="7" t="n">
        <f aca="false">IF(COUNTIF(ЗАКАЗЫ!$F$3:$F$500,$A11)=0,"",SUMIF(ЗАКАЗЫ!$F$3:$F$500,$A11,ЗАКАЗЫ!$J$3:$J$500))</f>
        <v>1000</v>
      </c>
      <c r="BO11" s="7" t="n">
        <f aca="false">IF(BN11="","",SUMIF(ЗАКАЗЫ!$F$3:$F$500,$A11,ЗАКАЗЫ!$AL$3:$AL$500))</f>
        <v>0</v>
      </c>
      <c r="BP11" s="7" t="n">
        <f aca="false">IF(BN11="","",BN11-BO11)</f>
        <v>1000</v>
      </c>
      <c r="BQ11" s="55" t="str">
        <f aca="false">IF(BN11="","",IF(BO11&gt;=BN11,"На складе",IF(BO11&gt;0,"Частично","Ждём")))</f>
        <v>Ждём</v>
      </c>
      <c r="BR11" s="43" t="s">
        <v>2902</v>
      </c>
      <c r="BS11" s="47" t="n">
        <f aca="false">IF(BN11="","",IF(_xlfn.MAXIFS(ЗАКАЗЫ!$AK$3:$AK$500,ЗАКАЗЫ!$F$3:$F$500,$A11)=0,"",_xlfn.MAXIFS(ЗАКАЗЫ!$AK$3:$AK$500,ЗАКАЗЫ!$F$3:$F$500,$A11)))</f>
        <v>46346</v>
      </c>
    </row>
    <row r="12" customFormat="false" ht="79.5" hidden="false" customHeight="true" outlineLevel="0" collapsed="false">
      <c r="A12" s="80" t="s">
        <v>320</v>
      </c>
      <c r="B12" s="81" t="s">
        <v>841</v>
      </c>
      <c r="C12" s="81"/>
      <c r="D12" s="81"/>
      <c r="E12" s="83" t="s">
        <v>2903</v>
      </c>
      <c r="F12" s="81" t="s">
        <v>2896</v>
      </c>
      <c r="G12" s="83" t="s">
        <v>2904</v>
      </c>
      <c r="H12" s="83" t="s">
        <v>2905</v>
      </c>
      <c r="I12" s="84" t="str">
        <f aca="false">IF(E12="","",A12&amp;"_1.jpg")</f>
        <v>AKO-KT-010_1.jpg</v>
      </c>
      <c r="J12" s="84" t="str">
        <f aca="false">IF(E12="","",A12&amp;"_2.jpg; "&amp;A12&amp;"_3.jpg")</f>
        <v>AKO-KT-010_2.jpg; AKO-KT-010_3.jpg</v>
      </c>
      <c r="K12" s="84" t="str">
        <f aca="false">IF(E12="","",A12&amp;"_schema.jpg")</f>
        <v>AKO-KT-010_schema.jpg</v>
      </c>
      <c r="L12" s="81" t="s">
        <v>150</v>
      </c>
      <c r="M12" s="81"/>
      <c r="N12" s="81" t="s">
        <v>1141</v>
      </c>
      <c r="O12" s="81" t="s">
        <v>2899</v>
      </c>
      <c r="P12" s="81" t="s">
        <v>2863</v>
      </c>
      <c r="Q12" s="81"/>
      <c r="R12" s="81"/>
      <c r="S12" s="81" t="n">
        <v>230</v>
      </c>
      <c r="T12" s="81"/>
      <c r="U12" s="81"/>
      <c r="V12" s="81" t="s">
        <v>96</v>
      </c>
      <c r="W12" s="81"/>
      <c r="X12" s="81" t="s">
        <v>2906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 t="n">
        <v>1000</v>
      </c>
      <c r="AJ12" s="85"/>
      <c r="AK12" s="86" t="n">
        <f aca="false">IF(SUM(Y12:AJ12)=0,"",SUM(Y12:AJ12))</f>
        <v>1000</v>
      </c>
      <c r="AL12" s="84" t="str">
        <f aca="false">MID(IF(N(Y12)&gt;0,", "&amp;Y$2,"")&amp;IF(N(Z12)&gt;0,", "&amp;Z$2,"")&amp;IF(N(AA12)&gt;0,", "&amp;AA$2,"")&amp;IF(N(AB12)&gt;0,", "&amp;AB$2,"")&amp;IF(N(AC12)&gt;0,", "&amp;AC$2,"")&amp;IF(N(AD12)&gt;0,", "&amp;AD$2,"")&amp;IF(N(AE12)&gt;0,", "&amp;AE$2,"")&amp;IF(N(AF12)&gt;0,", "&amp;AF$2,"")&amp;IF(N(AG12)&gt;0,", "&amp;AG$2,"")&amp;IF(N(AH12)&gt;0,", "&amp;AH$2,"")&amp;IF(N(AI12)&gt;0,", "&amp;AI$2,"")&amp;IF(N(AJ12)&gt;0,", "&amp;AJ$2,""),3,999)</f>
        <v>NATURAL</v>
      </c>
      <c r="AM12" s="87" t="str">
        <f aca="false">IF(E12="","",MID(IF(N(Y12)&gt;0,", "&amp;A12&amp;"-"&amp;Y$2,"")&amp;IF(N(Z12)&gt;0,", "&amp;A12&amp;"-"&amp;Z$2,"")&amp;IF(N(AA12)&gt;0,", "&amp;A12&amp;"-"&amp;AA$2,"")&amp;IF(N(AB12)&gt;0,", "&amp;A12&amp;"-"&amp;AB$2,"")&amp;IF(N(AC12)&gt;0,", "&amp;A12&amp;"-"&amp;AC$2,"")&amp;IF(N(AD12)&gt;0,", "&amp;A12&amp;"-"&amp;AD$2,"")&amp;IF(N(AE12)&gt;0,", "&amp;A12&amp;"-"&amp;AE$2,"")&amp;IF(N(AF12)&gt;0,", "&amp;A12&amp;"-"&amp;AF$2,"")&amp;IF(N(AG12)&gt;0,", "&amp;A12&amp;"-"&amp;AG$2,"")&amp;IF(N(AH12)&gt;0,", "&amp;A12&amp;"-"&amp;AH$2,"")&amp;IF(N(AI12)&gt;0,", "&amp;A12&amp;"-"&amp;AI$2,"")&amp;IF(N(AJ12)&gt;0,", "&amp;A12&amp;"-"&amp;AJ$2,""),3,999))</f>
        <v>AKO-KT-010-NATURAL</v>
      </c>
      <c r="AN12" s="81" t="n">
        <v>1</v>
      </c>
      <c r="AO12" s="88"/>
      <c r="AP12" s="89" t="str">
        <f aca="false">IF(AO12="","",ROUND(AO12/(1+Справочники!$B$13),2))</f>
        <v/>
      </c>
      <c r="AQ12" s="90" t="str">
        <f aca="false" t="array" ref="AQ12:AQ12">IF(AP12="","",AP12*INDEX(Справочники!$B$4:$B$7,MATCH("RUB",Справочники!$A$4:$A$7,0)))</f>
        <v/>
      </c>
      <c r="AR12" s="90" t="str">
        <f aca="false">IF(AQ12="","",ROUND(AQ12*(1+Справочники!$B$12),0))</f>
        <v/>
      </c>
      <c r="AS12" s="90" t="str">
        <f aca="false">IF(AR12="","",ROUND(AR12*(1-Справочники!$B$11),0))</f>
        <v/>
      </c>
      <c r="AT12" s="93" t="n">
        <f aca="false">IF(BH12="","",IF(AS12="",ROUNDUP(BH12/(1-Справочники!$B$23)*(1+Справочники!$B$12),-1),MAX(AS12,ROUNDUP(BH12/(1-Справочники!$B$24)*(1+Справочники!$B$12),-1))))</f>
        <v>590</v>
      </c>
      <c r="AU12" s="90" t="n">
        <f aca="false">IF(AT12="","",ROUND(AT12/(1+Справочники!$B$12),0))</f>
        <v>509</v>
      </c>
      <c r="AV12" s="90" t="n">
        <f aca="false">IF(AT12="","",ROUND(AT12*(1-Справочники!$B$15),0))</f>
        <v>572</v>
      </c>
      <c r="AW12" s="90" t="n">
        <f aca="false">IF(AT12="","",ROUND(AT12*(1-Справочники!$B$16),0))</f>
        <v>555</v>
      </c>
      <c r="AX12" s="90" t="n">
        <f aca="false">IF(AT12="","",ROUND(AT12*(1-Справочники!$B$17),0))</f>
        <v>537</v>
      </c>
      <c r="AY12" s="90" t="n">
        <f aca="false">IF(AT12="","",ROUND(AT12*(1-Справочники!$B$18),0))</f>
        <v>519</v>
      </c>
      <c r="AZ12" s="90" t="n">
        <f aca="false">IF(AT12="","",ROUND(AT12*(1-Справочники!$B$19),0))</f>
        <v>502</v>
      </c>
      <c r="BA12" s="81"/>
      <c r="BB12" s="81" t="s">
        <v>147</v>
      </c>
      <c r="BC12" s="81" t="s">
        <v>321</v>
      </c>
      <c r="BD12" s="81"/>
      <c r="BE12" s="91" t="n">
        <v>3</v>
      </c>
      <c r="BF12" s="81" t="s">
        <v>103</v>
      </c>
      <c r="BG12" s="89" t="n">
        <f aca="false" t="array" ref="BG12:BG12">IF(BF12="","",IFERROR(INDEX(Справочники!$B$4:$B$7,MATCH(BF12,Справочники!$A$4:$A$7,0)),""))</f>
        <v>68.5</v>
      </c>
      <c r="BH12" s="90" t="n">
        <f aca="false">IF(N(BN12)&gt;0,ROUND(SUMIF(ЗАКАЗЫ!$F$3:$F$500,$A12,ЗАКАЗЫ!$Y$3:$Y$500)/BN12,0),IF(OR(BE12="",BG12=""),"",ROUND(BE12*BG12*(1+Справочники!$B$10),0)))</f>
        <v>253</v>
      </c>
      <c r="BI12" s="92" t="n">
        <f aca="false">IF(OR(AU12="",BH12="",AU12=0),"",(AU12-BH12)/AU12)</f>
        <v>0.50294695481336</v>
      </c>
      <c r="BJ12" s="81" t="n">
        <v>12</v>
      </c>
      <c r="BK12" s="83" t="s">
        <v>2901</v>
      </c>
      <c r="BL12" s="43" t="str">
        <f aca="false">IFERROR(INDEX(ЗАКАЗЫ!$N$3:$N$500,MATCH($A12,ЗАКАЗЫ!$F$3:$F$500,0)),"")</f>
        <v>7318 16</v>
      </c>
      <c r="BM12" s="8" t="n">
        <f aca="false">IF(BL12="","",IFERROR(VLOOKUP(BL12,'ТН ВЭД'!$A$4:$C$40,3,0),""))</f>
        <v>0.08</v>
      </c>
      <c r="BN12" s="7" t="n">
        <f aca="false">IF(COUNTIF(ЗАКАЗЫ!$F$3:$F$500,$A12)=0,"",SUMIF(ЗАКАЗЫ!$F$3:$F$500,$A12,ЗАКАЗЫ!$J$3:$J$500))</f>
        <v>1000</v>
      </c>
      <c r="BO12" s="7" t="n">
        <f aca="false">IF(BN12="","",SUMIF(ЗАКАЗЫ!$F$3:$F$500,$A12,ЗАКАЗЫ!$AL$3:$AL$500))</f>
        <v>0</v>
      </c>
      <c r="BP12" s="7" t="n">
        <f aca="false">IF(BN12="","",BN12-BO12)</f>
        <v>1000</v>
      </c>
      <c r="BQ12" s="55" t="str">
        <f aca="false">IF(BN12="","",IF(BO12&gt;=BN12,"На складе",IF(BO12&gt;0,"Частично","Ждём")))</f>
        <v>Ждём</v>
      </c>
      <c r="BR12" s="43" t="s">
        <v>2907</v>
      </c>
      <c r="BS12" s="47" t="n">
        <f aca="false">IF(BN12="","",IF(_xlfn.MAXIFS(ЗАКАЗЫ!$AK$3:$AK$500,ЗАКАЗЫ!$F$3:$F$500,$A12)=0,"",_xlfn.MAXIFS(ЗАКАЗЫ!$AK$3:$AK$500,ЗАКАЗЫ!$F$3:$F$500,$A12)))</f>
        <v>46346</v>
      </c>
    </row>
    <row r="13" customFormat="false" ht="79.5" hidden="false" customHeight="true" outlineLevel="0" collapsed="false">
      <c r="A13" s="80" t="s">
        <v>322</v>
      </c>
      <c r="B13" s="81" t="s">
        <v>841</v>
      </c>
      <c r="C13" s="81"/>
      <c r="D13" s="81"/>
      <c r="E13" s="83" t="s">
        <v>2908</v>
      </c>
      <c r="F13" s="81" t="s">
        <v>2896</v>
      </c>
      <c r="G13" s="83" t="s">
        <v>2909</v>
      </c>
      <c r="H13" s="83" t="s">
        <v>2910</v>
      </c>
      <c r="I13" s="84" t="str">
        <f aca="false">IF(E13="","",A13&amp;"_1.jpg")</f>
        <v>AKO-KT-011_1.jpg</v>
      </c>
      <c r="J13" s="84" t="str">
        <f aca="false">IF(E13="","",A13&amp;"_2.jpg; "&amp;A13&amp;"_3.jpg")</f>
        <v>AKO-KT-011_2.jpg; AKO-KT-011_3.jpg</v>
      </c>
      <c r="K13" s="84" t="str">
        <f aca="false">IF(E13="","",A13&amp;"_schema.jpg")</f>
        <v>AKO-KT-011_schema.jpg</v>
      </c>
      <c r="L13" s="81" t="s">
        <v>150</v>
      </c>
      <c r="M13" s="81"/>
      <c r="N13" s="81" t="s">
        <v>1141</v>
      </c>
      <c r="O13" s="81" t="s">
        <v>2911</v>
      </c>
      <c r="P13" s="81" t="s">
        <v>2863</v>
      </c>
      <c r="Q13" s="81" t="s">
        <v>2912</v>
      </c>
      <c r="R13" s="81"/>
      <c r="S13" s="81"/>
      <c r="T13" s="81"/>
      <c r="U13" s="81"/>
      <c r="V13" s="81" t="s">
        <v>96</v>
      </c>
      <c r="W13" s="81"/>
      <c r="X13" s="81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 t="n">
        <v>1000</v>
      </c>
      <c r="AJ13" s="85"/>
      <c r="AK13" s="86" t="n">
        <f aca="false">IF(SUM(Y13:AJ13)=0,"",SUM(Y13:AJ13))</f>
        <v>1000</v>
      </c>
      <c r="AL13" s="84" t="str">
        <f aca="false">MID(IF(N(Y13)&gt;0,", "&amp;Y$2,"")&amp;IF(N(Z13)&gt;0,", "&amp;Z$2,"")&amp;IF(N(AA13)&gt;0,", "&amp;AA$2,"")&amp;IF(N(AB13)&gt;0,", "&amp;AB$2,"")&amp;IF(N(AC13)&gt;0,", "&amp;AC$2,"")&amp;IF(N(AD13)&gt;0,", "&amp;AD$2,"")&amp;IF(N(AE13)&gt;0,", "&amp;AE$2,"")&amp;IF(N(AF13)&gt;0,", "&amp;AF$2,"")&amp;IF(N(AG13)&gt;0,", "&amp;AG$2,"")&amp;IF(N(AH13)&gt;0,", "&amp;AH$2,"")&amp;IF(N(AI13)&gt;0,", "&amp;AI$2,"")&amp;IF(N(AJ13)&gt;0,", "&amp;AJ$2,""),3,999)</f>
        <v>NATURAL</v>
      </c>
      <c r="AM13" s="87" t="str">
        <f aca="false">IF(E13="","",MID(IF(N(Y13)&gt;0,", "&amp;A13&amp;"-"&amp;Y$2,"")&amp;IF(N(Z13)&gt;0,", "&amp;A13&amp;"-"&amp;Z$2,"")&amp;IF(N(AA13)&gt;0,", "&amp;A13&amp;"-"&amp;AA$2,"")&amp;IF(N(AB13)&gt;0,", "&amp;A13&amp;"-"&amp;AB$2,"")&amp;IF(N(AC13)&gt;0,", "&amp;A13&amp;"-"&amp;AC$2,"")&amp;IF(N(AD13)&gt;0,", "&amp;A13&amp;"-"&amp;AD$2,"")&amp;IF(N(AE13)&gt;0,", "&amp;A13&amp;"-"&amp;AE$2,"")&amp;IF(N(AF13)&gt;0,", "&amp;A13&amp;"-"&amp;AF$2,"")&amp;IF(N(AG13)&gt;0,", "&amp;A13&amp;"-"&amp;AG$2,"")&amp;IF(N(AH13)&gt;0,", "&amp;A13&amp;"-"&amp;AH$2,"")&amp;IF(N(AI13)&gt;0,", "&amp;A13&amp;"-"&amp;AI$2,"")&amp;IF(N(AJ13)&gt;0,", "&amp;A13&amp;"-"&amp;AJ$2,""),3,999))</f>
        <v>AKO-KT-011-NATURAL</v>
      </c>
      <c r="AN13" s="81" t="n">
        <v>1</v>
      </c>
      <c r="AO13" s="88"/>
      <c r="AP13" s="89" t="str">
        <f aca="false">IF(AO13="","",ROUND(AO13/(1+Справочники!$B$13),2))</f>
        <v/>
      </c>
      <c r="AQ13" s="90" t="str">
        <f aca="false" t="array" ref="AQ13:AQ13">IF(AP13="","",AP13*INDEX(Справочники!$B$4:$B$7,MATCH("RUB",Справочники!$A$4:$A$7,0)))</f>
        <v/>
      </c>
      <c r="AR13" s="90" t="str">
        <f aca="false">IF(AQ13="","",ROUND(AQ13*(1+Справочники!$B$12),0))</f>
        <v/>
      </c>
      <c r="AS13" s="90" t="str">
        <f aca="false">IF(AR13="","",ROUND(AR13*(1-Справочники!$B$11),0))</f>
        <v/>
      </c>
      <c r="AT13" s="93" t="n">
        <f aca="false">IF(BH13="","",IF(AS13="",ROUNDUP(BH13/(1-Справочники!$B$23)*(1+Справочники!$B$12),-1),MAX(AS13,ROUNDUP(BH13/(1-Справочники!$B$24)*(1+Справочники!$B$12),-1))))</f>
        <v>1570</v>
      </c>
      <c r="AU13" s="90" t="n">
        <f aca="false">IF(AT13="","",ROUND(AT13/(1+Справочники!$B$12),0))</f>
        <v>1353</v>
      </c>
      <c r="AV13" s="90" t="n">
        <f aca="false">IF(AT13="","",ROUND(AT13*(1-Справочники!$B$15),0))</f>
        <v>1523</v>
      </c>
      <c r="AW13" s="90" t="n">
        <f aca="false">IF(AT13="","",ROUND(AT13*(1-Справочники!$B$16),0))</f>
        <v>1476</v>
      </c>
      <c r="AX13" s="90" t="n">
        <f aca="false">IF(AT13="","",ROUND(AT13*(1-Справочники!$B$17),0))</f>
        <v>1429</v>
      </c>
      <c r="AY13" s="90" t="n">
        <f aca="false">IF(AT13="","",ROUND(AT13*(1-Справочники!$B$18),0))</f>
        <v>1382</v>
      </c>
      <c r="AZ13" s="90" t="n">
        <f aca="false">IF(AT13="","",ROUND(AT13*(1-Справочники!$B$19),0))</f>
        <v>1335</v>
      </c>
      <c r="BA13" s="81"/>
      <c r="BB13" s="81" t="s">
        <v>147</v>
      </c>
      <c r="BC13" s="81" t="s">
        <v>323</v>
      </c>
      <c r="BD13" s="81"/>
      <c r="BE13" s="91" t="n">
        <v>8</v>
      </c>
      <c r="BF13" s="81" t="s">
        <v>103</v>
      </c>
      <c r="BG13" s="89" t="n">
        <f aca="false" t="array" ref="BG13:BG13">IF(BF13="","",IFERROR(INDEX(Справочники!$B$4:$B$7,MATCH(BF13,Справочники!$A$4:$A$7,0)),""))</f>
        <v>68.5</v>
      </c>
      <c r="BH13" s="90" t="n">
        <f aca="false">IF(N(BN13)&gt;0,ROUND(SUMIF(ЗАКАЗЫ!$F$3:$F$500,$A13,ЗАКАЗЫ!$Y$3:$Y$500)/BN13,0),IF(OR(BE13="",BG13=""),"",ROUND(BE13*BG13*(1+Справочники!$B$10),0)))</f>
        <v>674</v>
      </c>
      <c r="BI13" s="92" t="n">
        <f aca="false">IF(OR(AU13="",BH13="",AU13=0),"",(AU13-BH13)/AU13)</f>
        <v>0.501847745750185</v>
      </c>
      <c r="BJ13" s="81" t="n">
        <v>12</v>
      </c>
      <c r="BK13" s="83"/>
      <c r="BL13" s="43" t="str">
        <f aca="false">IFERROR(INDEX(ЗАКАЗЫ!$N$3:$N$500,MATCH($A13,ЗАКАЗЫ!$F$3:$F$500,0)),"")</f>
        <v>7318 13</v>
      </c>
      <c r="BM13" s="8" t="n">
        <f aca="false">IF(BL13="","",IFERROR(VLOOKUP(BL13,'ТН ВЭД'!$A$4:$C$40,3,0),""))</f>
        <v>0.08</v>
      </c>
      <c r="BN13" s="7" t="n">
        <f aca="false">IF(COUNTIF(ЗАКАЗЫ!$F$3:$F$500,$A13)=0,"",SUMIF(ЗАКАЗЫ!$F$3:$F$500,$A13,ЗАКАЗЫ!$J$3:$J$500))</f>
        <v>1000</v>
      </c>
      <c r="BO13" s="7" t="n">
        <f aca="false">IF(BN13="","",SUMIF(ЗАКАЗЫ!$F$3:$F$500,$A13,ЗАКАЗЫ!$AL$3:$AL$500))</f>
        <v>0</v>
      </c>
      <c r="BP13" s="7" t="n">
        <f aca="false">IF(BN13="","",BN13-BO13)</f>
        <v>1000</v>
      </c>
      <c r="BQ13" s="55" t="str">
        <f aca="false">IF(BN13="","",IF(BO13&gt;=BN13,"На складе",IF(BO13&gt;0,"Частично","Ждём")))</f>
        <v>Ждём</v>
      </c>
      <c r="BR13" s="43" t="s">
        <v>2913</v>
      </c>
      <c r="BS13" s="47" t="n">
        <f aca="false">IF(BN13="","",IF(_xlfn.MAXIFS(ЗАКАЗЫ!$AK$3:$AK$500,ЗАКАЗЫ!$F$3:$F$500,$A13)=0,"",_xlfn.MAXIFS(ЗАКАЗЫ!$AK$3:$AK$500,ЗАКАЗЫ!$F$3:$F$500,$A13)))</f>
        <v>46346</v>
      </c>
    </row>
    <row r="14" customFormat="false" ht="79.5" hidden="false" customHeight="true" outlineLevel="0" collapsed="false">
      <c r="A14" s="80" t="s">
        <v>400</v>
      </c>
      <c r="B14" s="81" t="s">
        <v>841</v>
      </c>
      <c r="C14" s="81"/>
      <c r="D14" s="81"/>
      <c r="E14" s="83" t="s">
        <v>2914</v>
      </c>
      <c r="F14" s="81" t="s">
        <v>2915</v>
      </c>
      <c r="G14" s="83" t="s">
        <v>2916</v>
      </c>
      <c r="H14" s="83" t="s">
        <v>2917</v>
      </c>
      <c r="I14" s="84" t="str">
        <f aca="false">IF(E14="","",A14&amp;"_1.jpg")</f>
        <v>AKO-KT-012_1.jpg</v>
      </c>
      <c r="J14" s="84" t="str">
        <f aca="false">IF(E14="","",A14&amp;"_2.jpg; "&amp;A14&amp;"_3.jpg")</f>
        <v>AKO-KT-012_2.jpg; AKO-KT-012_3.jpg</v>
      </c>
      <c r="K14" s="84" t="str">
        <f aca="false">IF(E14="","",A14&amp;"_schema.jpg")</f>
        <v>AKO-KT-012_schema.jpg</v>
      </c>
      <c r="L14" s="81" t="s">
        <v>150</v>
      </c>
      <c r="M14" s="81"/>
      <c r="N14" s="81" t="s">
        <v>2918</v>
      </c>
      <c r="O14" s="81" t="s">
        <v>2919</v>
      </c>
      <c r="P14" s="81" t="s">
        <v>2920</v>
      </c>
      <c r="Q14" s="81"/>
      <c r="R14" s="81"/>
      <c r="S14" s="81"/>
      <c r="T14" s="81"/>
      <c r="U14" s="81"/>
      <c r="V14" s="81" t="s">
        <v>96</v>
      </c>
      <c r="W14" s="81"/>
      <c r="X14" s="81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 t="n">
        <v>150</v>
      </c>
      <c r="AJ14" s="85"/>
      <c r="AK14" s="86" t="n">
        <f aca="false">IF(SUM(Y14:AJ14)=0,"",SUM(Y14:AJ14))</f>
        <v>150</v>
      </c>
      <c r="AL14" s="84" t="str">
        <f aca="false">MID(IF(N(Y14)&gt;0,", "&amp;Y$2,"")&amp;IF(N(Z14)&gt;0,", "&amp;Z$2,"")&amp;IF(N(AA14)&gt;0,", "&amp;AA$2,"")&amp;IF(N(AB14)&gt;0,", "&amp;AB$2,"")&amp;IF(N(AC14)&gt;0,", "&amp;AC$2,"")&amp;IF(N(AD14)&gt;0,", "&amp;AD$2,"")&amp;IF(N(AE14)&gt;0,", "&amp;AE$2,"")&amp;IF(N(AF14)&gt;0,", "&amp;AF$2,"")&amp;IF(N(AG14)&gt;0,", "&amp;AG$2,"")&amp;IF(N(AH14)&gt;0,", "&amp;AH$2,"")&amp;IF(N(AI14)&gt;0,", "&amp;AI$2,"")&amp;IF(N(AJ14)&gt;0,", "&amp;AJ$2,""),3,999)</f>
        <v>NATURAL</v>
      </c>
      <c r="AM14" s="87" t="str">
        <f aca="false">IF(E14="","",MID(IF(N(Y14)&gt;0,", "&amp;A14&amp;"-"&amp;Y$2,"")&amp;IF(N(Z14)&gt;0,", "&amp;A14&amp;"-"&amp;Z$2,"")&amp;IF(N(AA14)&gt;0,", "&amp;A14&amp;"-"&amp;AA$2,"")&amp;IF(N(AB14)&gt;0,", "&amp;A14&amp;"-"&amp;AB$2,"")&amp;IF(N(AC14)&gt;0,", "&amp;A14&amp;"-"&amp;AC$2,"")&amp;IF(N(AD14)&gt;0,", "&amp;A14&amp;"-"&amp;AD$2,"")&amp;IF(N(AE14)&gt;0,", "&amp;A14&amp;"-"&amp;AE$2,"")&amp;IF(N(AF14)&gt;0,", "&amp;A14&amp;"-"&amp;AF$2,"")&amp;IF(N(AG14)&gt;0,", "&amp;A14&amp;"-"&amp;AG$2,"")&amp;IF(N(AH14)&gt;0,", "&amp;A14&amp;"-"&amp;AH$2,"")&amp;IF(N(AI14)&gt;0,", "&amp;A14&amp;"-"&amp;AI$2,"")&amp;IF(N(AJ14)&gt;0,", "&amp;A14&amp;"-"&amp;AJ$2,""),3,999))</f>
        <v>AKO-KT-012-NATURAL</v>
      </c>
      <c r="AN14" s="81" t="n">
        <v>1</v>
      </c>
      <c r="AO14" s="88"/>
      <c r="AP14" s="89" t="str">
        <f aca="false">IF(AO14="","",ROUND(AO14/(1+Справочники!$B$13),2))</f>
        <v/>
      </c>
      <c r="AQ14" s="90" t="str">
        <f aca="false" t="array" ref="AQ14:AQ14">IF(AP14="","",AP14*INDEX(Справочники!$B$4:$B$7,MATCH("RUB",Справочники!$A$4:$A$7,0)))</f>
        <v/>
      </c>
      <c r="AR14" s="90" t="str">
        <f aca="false">IF(AQ14="","",ROUND(AQ14*(1+Справочники!$B$12),0))</f>
        <v/>
      </c>
      <c r="AS14" s="90" t="str">
        <f aca="false">IF(AR14="","",ROUND(AR14*(1-Справочники!$B$11),0))</f>
        <v/>
      </c>
      <c r="AT14" s="93" t="n">
        <f aca="false">IF(BH14="","",IF(AS14="",ROUNDUP(BH14/(1-Справочники!$B$23)*(1+Справочники!$B$12),-1),MAX(AS14,ROUNDUP(BH14/(1-Справочники!$B$24)*(1+Справочники!$B$12),-1))))</f>
        <v>810</v>
      </c>
      <c r="AU14" s="90" t="n">
        <f aca="false">IF(AT14="","",ROUND(AT14/(1+Справочники!$B$12),0))</f>
        <v>698</v>
      </c>
      <c r="AV14" s="90" t="n">
        <f aca="false">IF(AT14="","",ROUND(AT14*(1-Справочники!$B$15),0))</f>
        <v>786</v>
      </c>
      <c r="AW14" s="90" t="n">
        <f aca="false">IF(AT14="","",ROUND(AT14*(1-Справочники!$B$16),0))</f>
        <v>761</v>
      </c>
      <c r="AX14" s="90" t="n">
        <f aca="false">IF(AT14="","",ROUND(AT14*(1-Справочники!$B$17),0))</f>
        <v>737</v>
      </c>
      <c r="AY14" s="90" t="n">
        <f aca="false">IF(AT14="","",ROUND(AT14*(1-Справочники!$B$18),0))</f>
        <v>713</v>
      </c>
      <c r="AZ14" s="90" t="n">
        <f aca="false">IF(AT14="","",ROUND(AT14*(1-Справочники!$B$19),0))</f>
        <v>689</v>
      </c>
      <c r="BA14" s="81"/>
      <c r="BB14" s="81" t="s">
        <v>166</v>
      </c>
      <c r="BC14" s="81" t="s">
        <v>401</v>
      </c>
      <c r="BD14" s="81"/>
      <c r="BE14" s="91" t="n">
        <v>4</v>
      </c>
      <c r="BF14" s="81" t="s">
        <v>103</v>
      </c>
      <c r="BG14" s="89" t="n">
        <f aca="false" t="array" ref="BG14:BG14">IF(BF14="","",IFERROR(INDEX(Справочники!$B$4:$B$7,MATCH(BF14,Справочники!$A$4:$A$7,0)),""))</f>
        <v>68.5</v>
      </c>
      <c r="BH14" s="90" t="n">
        <f aca="false">IF(N(BN14)&gt;0,ROUND(SUMIF(ЗАКАЗЫ!$F$3:$F$500,$A14,ЗАКАЗЫ!$Y$3:$Y$500)/BN14,0),IF(OR(BE14="",BG14=""),"",ROUND(BE14*BG14*(1+Справочники!$B$10),0)))</f>
        <v>348</v>
      </c>
      <c r="BI14" s="92" t="n">
        <f aca="false">IF(OR(AU14="",BH14="",AU14=0),"",(AU14-BH14)/AU14)</f>
        <v>0.501432664756447</v>
      </c>
      <c r="BJ14" s="81"/>
      <c r="BK14" s="83"/>
      <c r="BL14" s="43" t="str">
        <f aca="false">IFERROR(INDEX(ЗАКАЗЫ!$N$3:$N$500,MATCH($A14,ЗАКАЗЫ!$F$3:$F$500,0)),"")</f>
        <v>7318 13</v>
      </c>
      <c r="BM14" s="8" t="n">
        <f aca="false">IF(BL14="","",IFERROR(VLOOKUP(BL14,'ТН ВЭД'!$A$4:$C$40,3,0),""))</f>
        <v>0.08</v>
      </c>
      <c r="BN14" s="7" t="n">
        <f aca="false">IF(COUNTIF(ЗАКАЗЫ!$F$3:$F$500,$A14)=0,"",SUMIF(ЗАКАЗЫ!$F$3:$F$500,$A14,ЗАКАЗЫ!$J$3:$J$500))</f>
        <v>150</v>
      </c>
      <c r="BO14" s="7" t="n">
        <f aca="false">IF(BN14="","",SUMIF(ЗАКАЗЫ!$F$3:$F$500,$A14,ЗАКАЗЫ!$AL$3:$AL$500))</f>
        <v>0</v>
      </c>
      <c r="BP14" s="7" t="n">
        <f aca="false">IF(BN14="","",BN14-BO14)</f>
        <v>150</v>
      </c>
      <c r="BQ14" s="55" t="str">
        <f aca="false">IF(BN14="","",IF(BO14&gt;=BN14,"На складе",IF(BO14&gt;0,"Частично","Ждём")))</f>
        <v>Ждём</v>
      </c>
      <c r="BR14" s="43" t="s">
        <v>2921</v>
      </c>
      <c r="BS14" s="47" t="str">
        <f aca="false">IF(BN14="","",IF(_xlfn.MAXIFS(ЗАКАЗЫ!$AK$3:$AK$500,ЗАКАЗЫ!$F$3:$F$500,$A14)=0,"",_xlfn.MAXIFS(ЗАКАЗЫ!$AK$3:$AK$500,ЗАКАЗЫ!$F$3:$F$500,$A14)))</f>
        <v/>
      </c>
    </row>
    <row r="15" customFormat="false" ht="79.5" hidden="false" customHeight="true" outlineLevel="0" collapsed="false">
      <c r="A15" s="80" t="s">
        <v>414</v>
      </c>
      <c r="B15" s="81" t="s">
        <v>841</v>
      </c>
      <c r="C15" s="81"/>
      <c r="D15" s="81"/>
      <c r="E15" s="83" t="s">
        <v>2922</v>
      </c>
      <c r="F15" s="81" t="s">
        <v>2915</v>
      </c>
      <c r="G15" s="83" t="s">
        <v>2923</v>
      </c>
      <c r="H15" s="83" t="s">
        <v>2924</v>
      </c>
      <c r="I15" s="84" t="str">
        <f aca="false">IF(E15="","",A15&amp;"_1.jpg")</f>
        <v>AKO-KT-013_1.jpg</v>
      </c>
      <c r="J15" s="84" t="str">
        <f aca="false">IF(E15="","",A15&amp;"_2.jpg; "&amp;A15&amp;"_3.jpg")</f>
        <v>AKO-KT-013_2.jpg; AKO-KT-013_3.jpg</v>
      </c>
      <c r="K15" s="84" t="str">
        <f aca="false">IF(E15="","",A15&amp;"_schema.jpg")</f>
        <v>AKO-KT-013_schema.jpg</v>
      </c>
      <c r="L15" s="81" t="s">
        <v>150</v>
      </c>
      <c r="M15" s="81"/>
      <c r="N15" s="81" t="s">
        <v>1141</v>
      </c>
      <c r="O15" s="81" t="s">
        <v>2919</v>
      </c>
      <c r="P15" s="81" t="s">
        <v>2925</v>
      </c>
      <c r="Q15" s="81"/>
      <c r="R15" s="81"/>
      <c r="S15" s="81"/>
      <c r="T15" s="81"/>
      <c r="U15" s="81"/>
      <c r="V15" s="81" t="s">
        <v>96</v>
      </c>
      <c r="W15" s="81"/>
      <c r="X15" s="81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 t="n">
        <v>500</v>
      </c>
      <c r="AJ15" s="85"/>
      <c r="AK15" s="86" t="n">
        <f aca="false">IF(SUM(Y15:AJ15)=0,"",SUM(Y15:AJ15))</f>
        <v>500</v>
      </c>
      <c r="AL15" s="84" t="str">
        <f aca="false">MID(IF(N(Y15)&gt;0,", "&amp;Y$2,"")&amp;IF(N(Z15)&gt;0,", "&amp;Z$2,"")&amp;IF(N(AA15)&gt;0,", "&amp;AA$2,"")&amp;IF(N(AB15)&gt;0,", "&amp;AB$2,"")&amp;IF(N(AC15)&gt;0,", "&amp;AC$2,"")&amp;IF(N(AD15)&gt;0,", "&amp;AD$2,"")&amp;IF(N(AE15)&gt;0,", "&amp;AE$2,"")&amp;IF(N(AF15)&gt;0,", "&amp;AF$2,"")&amp;IF(N(AG15)&gt;0,", "&amp;AG$2,"")&amp;IF(N(AH15)&gt;0,", "&amp;AH$2,"")&amp;IF(N(AI15)&gt;0,", "&amp;AI$2,"")&amp;IF(N(AJ15)&gt;0,", "&amp;AJ$2,""),3,999)</f>
        <v>NATURAL</v>
      </c>
      <c r="AM15" s="87" t="str">
        <f aca="false">IF(E15="","",MID(IF(N(Y15)&gt;0,", "&amp;A15&amp;"-"&amp;Y$2,"")&amp;IF(N(Z15)&gt;0,", "&amp;A15&amp;"-"&amp;Z$2,"")&amp;IF(N(AA15)&gt;0,", "&amp;A15&amp;"-"&amp;AA$2,"")&amp;IF(N(AB15)&gt;0,", "&amp;A15&amp;"-"&amp;AB$2,"")&amp;IF(N(AC15)&gt;0,", "&amp;A15&amp;"-"&amp;AC$2,"")&amp;IF(N(AD15)&gt;0,", "&amp;A15&amp;"-"&amp;AD$2,"")&amp;IF(N(AE15)&gt;0,", "&amp;A15&amp;"-"&amp;AE$2,"")&amp;IF(N(AF15)&gt;0,", "&amp;A15&amp;"-"&amp;AF$2,"")&amp;IF(N(AG15)&gt;0,", "&amp;A15&amp;"-"&amp;AG$2,"")&amp;IF(N(AH15)&gt;0,", "&amp;A15&amp;"-"&amp;AH$2,"")&amp;IF(N(AI15)&gt;0,", "&amp;A15&amp;"-"&amp;AI$2,"")&amp;IF(N(AJ15)&gt;0,", "&amp;A15&amp;"-"&amp;AJ$2,""),3,999))</f>
        <v>AKO-KT-013-NATURAL</v>
      </c>
      <c r="AN15" s="81" t="n">
        <v>1</v>
      </c>
      <c r="AO15" s="88"/>
      <c r="AP15" s="89" t="str">
        <f aca="false">IF(AO15="","",ROUND(AO15/(1+Справочники!$B$13),2))</f>
        <v/>
      </c>
      <c r="AQ15" s="90" t="str">
        <f aca="false" t="array" ref="AQ15:AQ15">IF(AP15="","",AP15*INDEX(Справочники!$B$4:$B$7,MATCH("RUB",Справочники!$A$4:$A$7,0)))</f>
        <v/>
      </c>
      <c r="AR15" s="90" t="str">
        <f aca="false">IF(AQ15="","",ROUND(AQ15*(1+Справочники!$B$12),0))</f>
        <v/>
      </c>
      <c r="AS15" s="90" t="str">
        <f aca="false">IF(AR15="","",ROUND(AR15*(1-Справочники!$B$11),0))</f>
        <v/>
      </c>
      <c r="AT15" s="93" t="n">
        <f aca="false">IF(BH15="","",IF(AS15="",ROUNDUP(BH15/(1-Справочники!$B$23)*(1+Справочники!$B$12),-1),MAX(AS15,ROUNDUP(BH15/(1-Справочники!$B$24)*(1+Справочники!$B$12),-1))))</f>
        <v>1620</v>
      </c>
      <c r="AU15" s="90" t="n">
        <f aca="false">IF(AT15="","",ROUND(AT15/(1+Справочники!$B$12),0))</f>
        <v>1397</v>
      </c>
      <c r="AV15" s="90" t="n">
        <f aca="false">IF(AT15="","",ROUND(AT15*(1-Справочники!$B$15),0))</f>
        <v>1571</v>
      </c>
      <c r="AW15" s="90" t="n">
        <f aca="false">IF(AT15="","",ROUND(AT15*(1-Справочники!$B$16),0))</f>
        <v>1523</v>
      </c>
      <c r="AX15" s="90" t="n">
        <f aca="false">IF(AT15="","",ROUND(AT15*(1-Справочники!$B$17),0))</f>
        <v>1474</v>
      </c>
      <c r="AY15" s="90" t="n">
        <f aca="false">IF(AT15="","",ROUND(AT15*(1-Справочники!$B$18),0))</f>
        <v>1426</v>
      </c>
      <c r="AZ15" s="90" t="n">
        <f aca="false">IF(AT15="","",ROUND(AT15*(1-Справочники!$B$19),0))</f>
        <v>1377</v>
      </c>
      <c r="BA15" s="81"/>
      <c r="BB15" s="81" t="s">
        <v>166</v>
      </c>
      <c r="BC15" s="81" t="s">
        <v>415</v>
      </c>
      <c r="BD15" s="81"/>
      <c r="BE15" s="91" t="n">
        <v>8</v>
      </c>
      <c r="BF15" s="81" t="s">
        <v>103</v>
      </c>
      <c r="BG15" s="89" t="n">
        <f aca="false" t="array" ref="BG15:BG15">IF(BF15="","",IFERROR(INDEX(Справочники!$B$4:$B$7,MATCH(BF15,Справочники!$A$4:$A$7,0)),""))</f>
        <v>68.5</v>
      </c>
      <c r="BH15" s="90" t="n">
        <f aca="false">IF(N(BN15)&gt;0,ROUND(SUMIF(ЗАКАЗЫ!$F$3:$F$500,$A15,ЗАКАЗЫ!$Y$3:$Y$500)/BN15,0),IF(OR(BE15="",BG15=""),"",ROUND(BE15*BG15*(1+Справочники!$B$10),0)))</f>
        <v>695</v>
      </c>
      <c r="BI15" s="92" t="n">
        <f aca="false">IF(OR(AU15="",BH15="",AU15=0),"",(AU15-BH15)/AU15)</f>
        <v>0.502505368647101</v>
      </c>
      <c r="BJ15" s="81"/>
      <c r="BK15" s="83"/>
      <c r="BL15" s="43" t="str">
        <f aca="false">IFERROR(INDEX(ЗАКАЗЫ!$N$3:$N$500,MATCH($A15,ЗАКАЗЫ!$F$3:$F$500,0)),"")</f>
        <v>7318 13</v>
      </c>
      <c r="BM15" s="8" t="n">
        <f aca="false">IF(BL15="","",IFERROR(VLOOKUP(BL15,'ТН ВЭД'!$A$4:$C$40,3,0),""))</f>
        <v>0.08</v>
      </c>
      <c r="BN15" s="7" t="n">
        <f aca="false">IF(COUNTIF(ЗАКАЗЫ!$F$3:$F$500,$A15)=0,"",SUMIF(ЗАКАЗЫ!$F$3:$F$500,$A15,ЗАКАЗЫ!$J$3:$J$500))</f>
        <v>500</v>
      </c>
      <c r="BO15" s="7" t="n">
        <f aca="false">IF(BN15="","",SUMIF(ЗАКАЗЫ!$F$3:$F$500,$A15,ЗАКАЗЫ!$AL$3:$AL$500))</f>
        <v>0</v>
      </c>
      <c r="BP15" s="7" t="n">
        <f aca="false">IF(BN15="","",BN15-BO15)</f>
        <v>500</v>
      </c>
      <c r="BQ15" s="55" t="str">
        <f aca="false">IF(BN15="","",IF(BO15&gt;=BN15,"На складе",IF(BO15&gt;0,"Частично","Ждём")))</f>
        <v>Ждём</v>
      </c>
      <c r="BR15" s="43" t="s">
        <v>2926</v>
      </c>
      <c r="BS15" s="47" t="str">
        <f aca="false">IF(BN15="","",IF(_xlfn.MAXIFS(ЗАКАЗЫ!$AK$3:$AK$500,ЗАКАЗЫ!$F$3:$F$500,$A15)=0,"",_xlfn.MAXIFS(ЗАКАЗЫ!$AK$3:$AK$500,ЗАКАЗЫ!$F$3:$F$500,$A15)))</f>
        <v/>
      </c>
    </row>
    <row r="16" customFormat="false" ht="15.75" hidden="false" customHeight="true" outlineLevel="0" collapsed="false">
      <c r="A16" s="80" t="s">
        <v>2927</v>
      </c>
      <c r="B16" s="81"/>
      <c r="C16" s="81"/>
      <c r="D16" s="81"/>
      <c r="E16" s="83"/>
      <c r="F16" s="81"/>
      <c r="G16" s="83"/>
      <c r="H16" s="83"/>
      <c r="I16" s="84" t="str">
        <f aca="false">IF(E16="","",A16&amp;"_1.jpg")</f>
        <v/>
      </c>
      <c r="J16" s="84" t="str">
        <f aca="false">IF(E16="","",A16&amp;"_2.jpg; "&amp;A16&amp;"_3.jpg")</f>
        <v/>
      </c>
      <c r="K16" s="84" t="str">
        <f aca="false">IF(E16="","",A16&amp;"_schema.jpg")</f>
        <v/>
      </c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 t="s">
        <v>96</v>
      </c>
      <c r="W16" s="81"/>
      <c r="X16" s="81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6" t="str">
        <f aca="false">IF(SUM(Y16:AJ16)=0,"",SUM(Y16:AJ16))</f>
        <v/>
      </c>
      <c r="AL16" s="84" t="str">
        <f aca="false">MID(IF(N(Y16)&gt;0,", "&amp;Y$2,"")&amp;IF(N(Z16)&gt;0,", "&amp;Z$2,"")&amp;IF(N(AA16)&gt;0,", "&amp;AA$2,"")&amp;IF(N(AB16)&gt;0,", "&amp;AB$2,"")&amp;IF(N(AC16)&gt;0,", "&amp;AC$2,"")&amp;IF(N(AD16)&gt;0,", "&amp;AD$2,"")&amp;IF(N(AE16)&gt;0,", "&amp;AE$2,"")&amp;IF(N(AF16)&gt;0,", "&amp;AF$2,"")&amp;IF(N(AG16)&gt;0,", "&amp;AG$2,"")&amp;IF(N(AH16)&gt;0,", "&amp;AH$2,"")&amp;IF(N(AI16)&gt;0,", "&amp;AI$2,"")&amp;IF(N(AJ16)&gt;0,", "&amp;AJ$2,""),3,999)</f>
        <v/>
      </c>
      <c r="AM16" s="87" t="str">
        <f aca="false">IF(E16="","",MID(IF(N(Y16)&gt;0,", "&amp;A16&amp;"-"&amp;Y$2,"")&amp;IF(N(Z16)&gt;0,", "&amp;A16&amp;"-"&amp;Z$2,"")&amp;IF(N(AA16)&gt;0,", "&amp;A16&amp;"-"&amp;AA$2,"")&amp;IF(N(AB16)&gt;0,", "&amp;A16&amp;"-"&amp;AB$2,"")&amp;IF(N(AC16)&gt;0,", "&amp;A16&amp;"-"&amp;AC$2,"")&amp;IF(N(AD16)&gt;0,", "&amp;A16&amp;"-"&amp;AD$2,"")&amp;IF(N(AE16)&gt;0,", "&amp;A16&amp;"-"&amp;AE$2,"")&amp;IF(N(AF16)&gt;0,", "&amp;A16&amp;"-"&amp;AF$2,"")&amp;IF(N(AG16)&gt;0,", "&amp;A16&amp;"-"&amp;AG$2,"")&amp;IF(N(AH16)&gt;0,", "&amp;A16&amp;"-"&amp;AH$2,"")&amp;IF(N(AI16)&gt;0,", "&amp;A16&amp;"-"&amp;AI$2,"")&amp;IF(N(AJ16)&gt;0,", "&amp;A16&amp;"-"&amp;AJ$2,""),3,999))</f>
        <v/>
      </c>
      <c r="AN16" s="81"/>
      <c r="AO16" s="88"/>
      <c r="AP16" s="89" t="str">
        <f aca="false">IF(AO16="","",ROUND(AO16/(1+Справочники!$B$13),2))</f>
        <v/>
      </c>
      <c r="AQ16" s="90" t="str">
        <f aca="false" t="array" ref="AQ16:AQ16">IF(AP16="","",AP16*INDEX(Справочники!$B$4:$B$7,MATCH("RUB",Справочники!$A$4:$A$7,0)))</f>
        <v/>
      </c>
      <c r="AR16" s="90" t="str">
        <f aca="false">IF(AQ16="","",ROUND(AQ16*(1+Справочники!$B$12),0))</f>
        <v/>
      </c>
      <c r="AS16" s="90" t="str">
        <f aca="false">IF(AR16="","",ROUND(AR16*(1-Справочники!$B$11),0))</f>
        <v/>
      </c>
      <c r="AT16" s="88"/>
      <c r="AU16" s="90" t="str">
        <f aca="false">IF(AT16="","",ROUND(AT16/(1+Справочники!$B$12),0))</f>
        <v/>
      </c>
      <c r="AV16" s="90" t="str">
        <f aca="false">IF(AT16="","",ROUND(AT16*(1-Справочники!$B$15),0))</f>
        <v/>
      </c>
      <c r="AW16" s="90" t="str">
        <f aca="false">IF(AT16="","",ROUND(AT16*(1-Справочники!$B$16),0))</f>
        <v/>
      </c>
      <c r="AX16" s="90" t="str">
        <f aca="false">IF(AT16="","",ROUND(AT16*(1-Справочники!$B$17),0))</f>
        <v/>
      </c>
      <c r="AY16" s="90" t="str">
        <f aca="false">IF(AT16="","",ROUND(AT16*(1-Справочники!$B$18),0))</f>
        <v/>
      </c>
      <c r="AZ16" s="90" t="str">
        <f aca="false">IF(AT16="","",ROUND(AT16*(1-Справочники!$B$19),0))</f>
        <v/>
      </c>
      <c r="BA16" s="81"/>
      <c r="BB16" s="81"/>
      <c r="BC16" s="81"/>
      <c r="BD16" s="81"/>
      <c r="BE16" s="91"/>
      <c r="BF16" s="81" t="s">
        <v>103</v>
      </c>
      <c r="BG16" s="89" t="n">
        <f aca="false" t="array" ref="BG16:BG16">IF(BF16="","",IFERROR(INDEX(Справочники!$B$4:$B$7,MATCH(BF16,Справочники!$A$4:$A$7,0)),""))</f>
        <v>68.5</v>
      </c>
      <c r="BH16" s="90" t="str">
        <f aca="false">IF(N(BN16)&gt;0,ROUND(SUMIF(ЗАКАЗЫ!$F$3:$F$500,$A16,ЗАКАЗЫ!$Y$3:$Y$500)/BN16,0),IF(OR(BE16="",BG16=""),"",ROUND(BE16*BG16*(1+Справочники!$B$10),0)))</f>
        <v/>
      </c>
      <c r="BI16" s="92" t="str">
        <f aca="false">IF(OR(AU16="",BH16="",AU16=0),"",(AU16-BH16)/AU16)</f>
        <v/>
      </c>
      <c r="BJ16" s="81"/>
      <c r="BK16" s="83"/>
      <c r="BL16" s="43" t="str">
        <f aca="false">IFERROR(INDEX(ЗАКАЗЫ!$N$3:$N$500,MATCH($A16,ЗАКАЗЫ!$F$3:$F$500,0)),"")</f>
        <v/>
      </c>
      <c r="BM16" s="8" t="str">
        <f aca="false">IF(BL16="","",IFERROR(VLOOKUP(BL16,'ТН ВЭД'!$A$4:$C$40,3,0),""))</f>
        <v/>
      </c>
      <c r="BN16" s="7" t="str">
        <f aca="false">IF(COUNTIF(ЗАКАЗЫ!$F$3:$F$500,$A16)=0,"",SUMIF(ЗАКАЗЫ!$F$3:$F$500,$A16,ЗАКАЗЫ!$J$3:$J$500))</f>
        <v/>
      </c>
      <c r="BO16" s="7" t="str">
        <f aca="false">IF(BN16="","",SUMIF(ЗАКАЗЫ!$F$3:$F$500,$A16,ЗАКАЗЫ!$AL$3:$AL$500))</f>
        <v/>
      </c>
      <c r="BP16" s="7" t="str">
        <f aca="false">IF(BN16="","",BN16-BO16)</f>
        <v/>
      </c>
      <c r="BQ16" s="55" t="str">
        <f aca="false">IF(BN16="","",IF(BO16&gt;=BN16,"На складе",IF(BO16&gt;0,"Частично","Ждём")))</f>
        <v/>
      </c>
      <c r="BR16" s="43"/>
      <c r="BS16" s="47" t="str">
        <f aca="false">IF(BN16="","",IF(_xlfn.MAXIFS(ЗАКАЗЫ!$AK$3:$AK$500,ЗАКАЗЫ!$F$3:$F$500,$A16)=0,"",_xlfn.MAXIFS(ЗАКАЗЫ!$AK$3:$AK$500,ЗАКАЗЫ!$F$3:$F$500,$A16)))</f>
        <v/>
      </c>
    </row>
    <row r="17" customFormat="false" ht="15.75" hidden="false" customHeight="true" outlineLevel="0" collapsed="false">
      <c r="A17" s="80" t="s">
        <v>2928</v>
      </c>
      <c r="B17" s="81"/>
      <c r="C17" s="81"/>
      <c r="D17" s="81"/>
      <c r="E17" s="83"/>
      <c r="F17" s="81"/>
      <c r="G17" s="83"/>
      <c r="H17" s="83"/>
      <c r="I17" s="84" t="str">
        <f aca="false">IF(E17="","",A17&amp;"_1.jpg")</f>
        <v/>
      </c>
      <c r="J17" s="84" t="str">
        <f aca="false">IF(E17="","",A17&amp;"_2.jpg; "&amp;A17&amp;"_3.jpg")</f>
        <v/>
      </c>
      <c r="K17" s="84" t="str">
        <f aca="false">IF(E17="","",A17&amp;"_schema.jpg")</f>
        <v/>
      </c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 t="s">
        <v>96</v>
      </c>
      <c r="W17" s="81"/>
      <c r="X17" s="81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6" t="str">
        <f aca="false">IF(SUM(Y17:AJ17)=0,"",SUM(Y17:AJ17))</f>
        <v/>
      </c>
      <c r="AL17" s="84" t="str">
        <f aca="false">MID(IF(N(Y17)&gt;0,", "&amp;Y$2,"")&amp;IF(N(Z17)&gt;0,", "&amp;Z$2,"")&amp;IF(N(AA17)&gt;0,", "&amp;AA$2,"")&amp;IF(N(AB17)&gt;0,", "&amp;AB$2,"")&amp;IF(N(AC17)&gt;0,", "&amp;AC$2,"")&amp;IF(N(AD17)&gt;0,", "&amp;AD$2,"")&amp;IF(N(AE17)&gt;0,", "&amp;AE$2,"")&amp;IF(N(AF17)&gt;0,", "&amp;AF$2,"")&amp;IF(N(AG17)&gt;0,", "&amp;AG$2,"")&amp;IF(N(AH17)&gt;0,", "&amp;AH$2,"")&amp;IF(N(AI17)&gt;0,", "&amp;AI$2,"")&amp;IF(N(AJ17)&gt;0,", "&amp;AJ$2,""),3,999)</f>
        <v/>
      </c>
      <c r="AM17" s="87" t="str">
        <f aca="false">IF(E17="","",MID(IF(N(Y17)&gt;0,", "&amp;A17&amp;"-"&amp;Y$2,"")&amp;IF(N(Z17)&gt;0,", "&amp;A17&amp;"-"&amp;Z$2,"")&amp;IF(N(AA17)&gt;0,", "&amp;A17&amp;"-"&amp;AA$2,"")&amp;IF(N(AB17)&gt;0,", "&amp;A17&amp;"-"&amp;AB$2,"")&amp;IF(N(AC17)&gt;0,", "&amp;A17&amp;"-"&amp;AC$2,"")&amp;IF(N(AD17)&gt;0,", "&amp;A17&amp;"-"&amp;AD$2,"")&amp;IF(N(AE17)&gt;0,", "&amp;A17&amp;"-"&amp;AE$2,"")&amp;IF(N(AF17)&gt;0,", "&amp;A17&amp;"-"&amp;AF$2,"")&amp;IF(N(AG17)&gt;0,", "&amp;A17&amp;"-"&amp;AG$2,"")&amp;IF(N(AH17)&gt;0,", "&amp;A17&amp;"-"&amp;AH$2,"")&amp;IF(N(AI17)&gt;0,", "&amp;A17&amp;"-"&amp;AI$2,"")&amp;IF(N(AJ17)&gt;0,", "&amp;A17&amp;"-"&amp;AJ$2,""),3,999))</f>
        <v/>
      </c>
      <c r="AN17" s="81"/>
      <c r="AO17" s="88"/>
      <c r="AP17" s="89" t="str">
        <f aca="false">IF(AO17="","",ROUND(AO17/(1+Справочники!$B$13),2))</f>
        <v/>
      </c>
      <c r="AQ17" s="90" t="str">
        <f aca="false" t="array" ref="AQ17:AQ17">IF(AP17="","",AP17*INDEX(Справочники!$B$4:$B$7,MATCH("RUB",Справочники!$A$4:$A$7,0)))</f>
        <v/>
      </c>
      <c r="AR17" s="90" t="str">
        <f aca="false">IF(AQ17="","",ROUND(AQ17*(1+Справочники!$B$12),0))</f>
        <v/>
      </c>
      <c r="AS17" s="90" t="str">
        <f aca="false">IF(AR17="","",ROUND(AR17*(1-Справочники!$B$11),0))</f>
        <v/>
      </c>
      <c r="AT17" s="88"/>
      <c r="AU17" s="90" t="str">
        <f aca="false">IF(AT17="","",ROUND(AT17/(1+Справочники!$B$12),0))</f>
        <v/>
      </c>
      <c r="AV17" s="90" t="str">
        <f aca="false">IF(AT17="","",ROUND(AT17*(1-Справочники!$B$15),0))</f>
        <v/>
      </c>
      <c r="AW17" s="90" t="str">
        <f aca="false">IF(AT17="","",ROUND(AT17*(1-Справочники!$B$16),0))</f>
        <v/>
      </c>
      <c r="AX17" s="90" t="str">
        <f aca="false">IF(AT17="","",ROUND(AT17*(1-Справочники!$B$17),0))</f>
        <v/>
      </c>
      <c r="AY17" s="90" t="str">
        <f aca="false">IF(AT17="","",ROUND(AT17*(1-Справочники!$B$18),0))</f>
        <v/>
      </c>
      <c r="AZ17" s="90" t="str">
        <f aca="false">IF(AT17="","",ROUND(AT17*(1-Справочники!$B$19),0))</f>
        <v/>
      </c>
      <c r="BA17" s="81"/>
      <c r="BB17" s="81"/>
      <c r="BC17" s="81"/>
      <c r="BD17" s="81"/>
      <c r="BE17" s="91"/>
      <c r="BF17" s="81" t="s">
        <v>103</v>
      </c>
      <c r="BG17" s="89" t="n">
        <f aca="false" t="array" ref="BG17:BG17">IF(BF17="","",IFERROR(INDEX(Справочники!$B$4:$B$7,MATCH(BF17,Справочники!$A$4:$A$7,0)),""))</f>
        <v>68.5</v>
      </c>
      <c r="BH17" s="90" t="str">
        <f aca="false">IF(N(BN17)&gt;0,ROUND(SUMIF(ЗАКАЗЫ!$F$3:$F$500,$A17,ЗАКАЗЫ!$Y$3:$Y$500)/BN17,0),IF(OR(BE17="",BG17=""),"",ROUND(BE17*BG17*(1+Справочники!$B$10),0)))</f>
        <v/>
      </c>
      <c r="BI17" s="92" t="str">
        <f aca="false">IF(OR(AU17="",BH17="",AU17=0),"",(AU17-BH17)/AU17)</f>
        <v/>
      </c>
      <c r="BJ17" s="81"/>
      <c r="BK17" s="83"/>
      <c r="BL17" s="43" t="str">
        <f aca="false">IFERROR(INDEX(ЗАКАЗЫ!$N$3:$N$500,MATCH($A17,ЗАКАЗЫ!$F$3:$F$500,0)),"")</f>
        <v/>
      </c>
      <c r="BM17" s="8" t="str">
        <f aca="false">IF(BL17="","",IFERROR(VLOOKUP(BL17,'ТН ВЭД'!$A$4:$C$40,3,0),""))</f>
        <v/>
      </c>
      <c r="BN17" s="7" t="str">
        <f aca="false">IF(COUNTIF(ЗАКАЗЫ!$F$3:$F$500,$A17)=0,"",SUMIF(ЗАКАЗЫ!$F$3:$F$500,$A17,ЗАКАЗЫ!$J$3:$J$500))</f>
        <v/>
      </c>
      <c r="BO17" s="7" t="str">
        <f aca="false">IF(BN17="","",SUMIF(ЗАКАЗЫ!$F$3:$F$500,$A17,ЗАКАЗЫ!$AL$3:$AL$500))</f>
        <v/>
      </c>
      <c r="BP17" s="7" t="str">
        <f aca="false">IF(BN17="","",BN17-BO17)</f>
        <v/>
      </c>
      <c r="BQ17" s="55" t="str">
        <f aca="false">IF(BN17="","",IF(BO17&gt;=BN17,"На складе",IF(BO17&gt;0,"Частично","Ждём")))</f>
        <v/>
      </c>
      <c r="BR17" s="43"/>
      <c r="BS17" s="47" t="str">
        <f aca="false">IF(BN17="","",IF(_xlfn.MAXIFS(ЗАКАЗЫ!$AK$3:$AK$500,ЗАКАЗЫ!$F$3:$F$500,$A17)=0,"",_xlfn.MAXIFS(ЗАКАЗЫ!$AK$3:$AK$500,ЗАКАЗЫ!$F$3:$F$500,$A17)))</f>
        <v/>
      </c>
    </row>
    <row r="18" customFormat="false" ht="15.75" hidden="false" customHeight="true" outlineLevel="0" collapsed="false">
      <c r="A18" s="80" t="s">
        <v>2929</v>
      </c>
      <c r="B18" s="81"/>
      <c r="C18" s="81"/>
      <c r="D18" s="81"/>
      <c r="E18" s="83"/>
      <c r="F18" s="81"/>
      <c r="G18" s="83"/>
      <c r="H18" s="83"/>
      <c r="I18" s="84" t="str">
        <f aca="false">IF(E18="","",A18&amp;"_1.jpg")</f>
        <v/>
      </c>
      <c r="J18" s="84" t="str">
        <f aca="false">IF(E18="","",A18&amp;"_2.jpg; "&amp;A18&amp;"_3.jpg")</f>
        <v/>
      </c>
      <c r="K18" s="84" t="str">
        <f aca="false">IF(E18="","",A18&amp;"_schema.jpg")</f>
        <v/>
      </c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 t="s">
        <v>96</v>
      </c>
      <c r="W18" s="81"/>
      <c r="X18" s="81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6" t="str">
        <f aca="false">IF(SUM(Y18:AJ18)=0,"",SUM(Y18:AJ18))</f>
        <v/>
      </c>
      <c r="AL18" s="84" t="str">
        <f aca="false">MID(IF(N(Y18)&gt;0,", "&amp;Y$2,"")&amp;IF(N(Z18)&gt;0,", "&amp;Z$2,"")&amp;IF(N(AA18)&gt;0,", "&amp;AA$2,"")&amp;IF(N(AB18)&gt;0,", "&amp;AB$2,"")&amp;IF(N(AC18)&gt;0,", "&amp;AC$2,"")&amp;IF(N(AD18)&gt;0,", "&amp;AD$2,"")&amp;IF(N(AE18)&gt;0,", "&amp;AE$2,"")&amp;IF(N(AF18)&gt;0,", "&amp;AF$2,"")&amp;IF(N(AG18)&gt;0,", "&amp;AG$2,"")&amp;IF(N(AH18)&gt;0,", "&amp;AH$2,"")&amp;IF(N(AI18)&gt;0,", "&amp;AI$2,"")&amp;IF(N(AJ18)&gt;0,", "&amp;AJ$2,""),3,999)</f>
        <v/>
      </c>
      <c r="AM18" s="87" t="str">
        <f aca="false">IF(E18="","",MID(IF(N(Y18)&gt;0,", "&amp;A18&amp;"-"&amp;Y$2,"")&amp;IF(N(Z18)&gt;0,", "&amp;A18&amp;"-"&amp;Z$2,"")&amp;IF(N(AA18)&gt;0,", "&amp;A18&amp;"-"&amp;AA$2,"")&amp;IF(N(AB18)&gt;0,", "&amp;A18&amp;"-"&amp;AB$2,"")&amp;IF(N(AC18)&gt;0,", "&amp;A18&amp;"-"&amp;AC$2,"")&amp;IF(N(AD18)&gt;0,", "&amp;A18&amp;"-"&amp;AD$2,"")&amp;IF(N(AE18)&gt;0,", "&amp;A18&amp;"-"&amp;AE$2,"")&amp;IF(N(AF18)&gt;0,", "&amp;A18&amp;"-"&amp;AF$2,"")&amp;IF(N(AG18)&gt;0,", "&amp;A18&amp;"-"&amp;AG$2,"")&amp;IF(N(AH18)&gt;0,", "&amp;A18&amp;"-"&amp;AH$2,"")&amp;IF(N(AI18)&gt;0,", "&amp;A18&amp;"-"&amp;AI$2,"")&amp;IF(N(AJ18)&gt;0,", "&amp;A18&amp;"-"&amp;AJ$2,""),3,999))</f>
        <v/>
      </c>
      <c r="AN18" s="81"/>
      <c r="AO18" s="88"/>
      <c r="AP18" s="89" t="str">
        <f aca="false">IF(AO18="","",ROUND(AO18/(1+Справочники!$B$13),2))</f>
        <v/>
      </c>
      <c r="AQ18" s="90" t="str">
        <f aca="false" t="array" ref="AQ18:AQ18">IF(AP18="","",AP18*INDEX(Справочники!$B$4:$B$7,MATCH("RUB",Справочники!$A$4:$A$7,0)))</f>
        <v/>
      </c>
      <c r="AR18" s="90" t="str">
        <f aca="false">IF(AQ18="","",ROUND(AQ18*(1+Справочники!$B$12),0))</f>
        <v/>
      </c>
      <c r="AS18" s="90" t="str">
        <f aca="false">IF(AR18="","",ROUND(AR18*(1-Справочники!$B$11),0))</f>
        <v/>
      </c>
      <c r="AT18" s="88"/>
      <c r="AU18" s="90" t="str">
        <f aca="false">IF(AT18="","",ROUND(AT18/(1+Справочники!$B$12),0))</f>
        <v/>
      </c>
      <c r="AV18" s="90" t="str">
        <f aca="false">IF(AT18="","",ROUND(AT18*(1-Справочники!$B$15),0))</f>
        <v/>
      </c>
      <c r="AW18" s="90" t="str">
        <f aca="false">IF(AT18="","",ROUND(AT18*(1-Справочники!$B$16),0))</f>
        <v/>
      </c>
      <c r="AX18" s="90" t="str">
        <f aca="false">IF(AT18="","",ROUND(AT18*(1-Справочники!$B$17),0))</f>
        <v/>
      </c>
      <c r="AY18" s="90" t="str">
        <f aca="false">IF(AT18="","",ROUND(AT18*(1-Справочники!$B$18),0))</f>
        <v/>
      </c>
      <c r="AZ18" s="90" t="str">
        <f aca="false">IF(AT18="","",ROUND(AT18*(1-Справочники!$B$19),0))</f>
        <v/>
      </c>
      <c r="BA18" s="81"/>
      <c r="BB18" s="81"/>
      <c r="BC18" s="81"/>
      <c r="BD18" s="81"/>
      <c r="BE18" s="91"/>
      <c r="BF18" s="81" t="s">
        <v>103</v>
      </c>
      <c r="BG18" s="89" t="n">
        <f aca="false" t="array" ref="BG18:BG18">IF(BF18="","",IFERROR(INDEX(Справочники!$B$4:$B$7,MATCH(BF18,Справочники!$A$4:$A$7,0)),""))</f>
        <v>68.5</v>
      </c>
      <c r="BH18" s="90" t="str">
        <f aca="false">IF(N(BN18)&gt;0,ROUND(SUMIF(ЗАКАЗЫ!$F$3:$F$500,$A18,ЗАКАЗЫ!$Y$3:$Y$500)/BN18,0),IF(OR(BE18="",BG18=""),"",ROUND(BE18*BG18*(1+Справочники!$B$10),0)))</f>
        <v/>
      </c>
      <c r="BI18" s="92" t="str">
        <f aca="false">IF(OR(AU18="",BH18="",AU18=0),"",(AU18-BH18)/AU18)</f>
        <v/>
      </c>
      <c r="BJ18" s="81"/>
      <c r="BK18" s="83"/>
      <c r="BL18" s="43" t="str">
        <f aca="false">IFERROR(INDEX(ЗАКАЗЫ!$N$3:$N$500,MATCH($A18,ЗАКАЗЫ!$F$3:$F$500,0)),"")</f>
        <v/>
      </c>
      <c r="BM18" s="8" t="str">
        <f aca="false">IF(BL18="","",IFERROR(VLOOKUP(BL18,'ТН ВЭД'!$A$4:$C$40,3,0),""))</f>
        <v/>
      </c>
      <c r="BN18" s="7" t="str">
        <f aca="false">IF(COUNTIF(ЗАКАЗЫ!$F$3:$F$500,$A18)=0,"",SUMIF(ЗАКАЗЫ!$F$3:$F$500,$A18,ЗАКАЗЫ!$J$3:$J$500))</f>
        <v/>
      </c>
      <c r="BO18" s="7" t="str">
        <f aca="false">IF(BN18="","",SUMIF(ЗАКАЗЫ!$F$3:$F$500,$A18,ЗАКАЗЫ!$AL$3:$AL$500))</f>
        <v/>
      </c>
      <c r="BP18" s="7" t="str">
        <f aca="false">IF(BN18="","",BN18-BO18)</f>
        <v/>
      </c>
      <c r="BQ18" s="55" t="str">
        <f aca="false">IF(BN18="","",IF(BO18&gt;=BN18,"На складе",IF(BO18&gt;0,"Частично","Ждём")))</f>
        <v/>
      </c>
      <c r="BR18" s="43"/>
      <c r="BS18" s="47" t="str">
        <f aca="false">IF(BN18="","",IF(_xlfn.MAXIFS(ЗАКАЗЫ!$AK$3:$AK$500,ЗАКАЗЫ!$F$3:$F$500,$A18)=0,"",_xlfn.MAXIFS(ЗАКАЗЫ!$AK$3:$AK$500,ЗАКАЗЫ!$F$3:$F$500,$A18)))</f>
        <v/>
      </c>
    </row>
    <row r="19" customFormat="false" ht="15.75" hidden="false" customHeight="true" outlineLevel="0" collapsed="false">
      <c r="A19" s="80" t="s">
        <v>2930</v>
      </c>
      <c r="B19" s="81"/>
      <c r="C19" s="81"/>
      <c r="D19" s="81"/>
      <c r="E19" s="83"/>
      <c r="F19" s="81"/>
      <c r="G19" s="83"/>
      <c r="H19" s="83"/>
      <c r="I19" s="84" t="str">
        <f aca="false">IF(E19="","",A19&amp;"_1.jpg")</f>
        <v/>
      </c>
      <c r="J19" s="84" t="str">
        <f aca="false">IF(E19="","",A19&amp;"_2.jpg; "&amp;A19&amp;"_3.jpg")</f>
        <v/>
      </c>
      <c r="K19" s="84" t="str">
        <f aca="false">IF(E19="","",A19&amp;"_schema.jpg")</f>
        <v/>
      </c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 t="s">
        <v>96</v>
      </c>
      <c r="W19" s="81"/>
      <c r="X19" s="81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6" t="str">
        <f aca="false">IF(SUM(Y19:AJ19)=0,"",SUM(Y19:AJ19))</f>
        <v/>
      </c>
      <c r="AL19" s="84" t="str">
        <f aca="false">MID(IF(N(Y19)&gt;0,", "&amp;Y$2,"")&amp;IF(N(Z19)&gt;0,", "&amp;Z$2,"")&amp;IF(N(AA19)&gt;0,", "&amp;AA$2,"")&amp;IF(N(AB19)&gt;0,", "&amp;AB$2,"")&amp;IF(N(AC19)&gt;0,", "&amp;AC$2,"")&amp;IF(N(AD19)&gt;0,", "&amp;AD$2,"")&amp;IF(N(AE19)&gt;0,", "&amp;AE$2,"")&amp;IF(N(AF19)&gt;0,", "&amp;AF$2,"")&amp;IF(N(AG19)&gt;0,", "&amp;AG$2,"")&amp;IF(N(AH19)&gt;0,", "&amp;AH$2,"")&amp;IF(N(AI19)&gt;0,", "&amp;AI$2,"")&amp;IF(N(AJ19)&gt;0,", "&amp;AJ$2,""),3,999)</f>
        <v/>
      </c>
      <c r="AM19" s="87" t="str">
        <f aca="false">IF(E19="","",MID(IF(N(Y19)&gt;0,", "&amp;A19&amp;"-"&amp;Y$2,"")&amp;IF(N(Z19)&gt;0,", "&amp;A19&amp;"-"&amp;Z$2,"")&amp;IF(N(AA19)&gt;0,", "&amp;A19&amp;"-"&amp;AA$2,"")&amp;IF(N(AB19)&gt;0,", "&amp;A19&amp;"-"&amp;AB$2,"")&amp;IF(N(AC19)&gt;0,", "&amp;A19&amp;"-"&amp;AC$2,"")&amp;IF(N(AD19)&gt;0,", "&amp;A19&amp;"-"&amp;AD$2,"")&amp;IF(N(AE19)&gt;0,", "&amp;A19&amp;"-"&amp;AE$2,"")&amp;IF(N(AF19)&gt;0,", "&amp;A19&amp;"-"&amp;AF$2,"")&amp;IF(N(AG19)&gt;0,", "&amp;A19&amp;"-"&amp;AG$2,"")&amp;IF(N(AH19)&gt;0,", "&amp;A19&amp;"-"&amp;AH$2,"")&amp;IF(N(AI19)&gt;0,", "&amp;A19&amp;"-"&amp;AI$2,"")&amp;IF(N(AJ19)&gt;0,", "&amp;A19&amp;"-"&amp;AJ$2,""),3,999))</f>
        <v/>
      </c>
      <c r="AN19" s="81"/>
      <c r="AO19" s="88"/>
      <c r="AP19" s="89" t="str">
        <f aca="false">IF(AO19="","",ROUND(AO19/(1+Справочники!$B$13),2))</f>
        <v/>
      </c>
      <c r="AQ19" s="90" t="str">
        <f aca="false" t="array" ref="AQ19:AQ19">IF(AP19="","",AP19*INDEX(Справочники!$B$4:$B$7,MATCH("RUB",Справочники!$A$4:$A$7,0)))</f>
        <v/>
      </c>
      <c r="AR19" s="90" t="str">
        <f aca="false">IF(AQ19="","",ROUND(AQ19*(1+Справочники!$B$12),0))</f>
        <v/>
      </c>
      <c r="AS19" s="90" t="str">
        <f aca="false">IF(AR19="","",ROUND(AR19*(1-Справочники!$B$11),0))</f>
        <v/>
      </c>
      <c r="AT19" s="88"/>
      <c r="AU19" s="90" t="str">
        <f aca="false">IF(AT19="","",ROUND(AT19/(1+Справочники!$B$12),0))</f>
        <v/>
      </c>
      <c r="AV19" s="90" t="str">
        <f aca="false">IF(AT19="","",ROUND(AT19*(1-Справочники!$B$15),0))</f>
        <v/>
      </c>
      <c r="AW19" s="90" t="str">
        <f aca="false">IF(AT19="","",ROUND(AT19*(1-Справочники!$B$16),0))</f>
        <v/>
      </c>
      <c r="AX19" s="90" t="str">
        <f aca="false">IF(AT19="","",ROUND(AT19*(1-Справочники!$B$17),0))</f>
        <v/>
      </c>
      <c r="AY19" s="90" t="str">
        <f aca="false">IF(AT19="","",ROUND(AT19*(1-Справочники!$B$18),0))</f>
        <v/>
      </c>
      <c r="AZ19" s="90" t="str">
        <f aca="false">IF(AT19="","",ROUND(AT19*(1-Справочники!$B$19),0))</f>
        <v/>
      </c>
      <c r="BA19" s="81"/>
      <c r="BB19" s="81"/>
      <c r="BC19" s="81"/>
      <c r="BD19" s="81"/>
      <c r="BE19" s="91"/>
      <c r="BF19" s="81" t="s">
        <v>103</v>
      </c>
      <c r="BG19" s="89" t="n">
        <f aca="false" t="array" ref="BG19:BG19">IF(BF19="","",IFERROR(INDEX(Справочники!$B$4:$B$7,MATCH(BF19,Справочники!$A$4:$A$7,0)),""))</f>
        <v>68.5</v>
      </c>
      <c r="BH19" s="90" t="str">
        <f aca="false">IF(N(BN19)&gt;0,ROUND(SUMIF(ЗАКАЗЫ!$F$3:$F$500,$A19,ЗАКАЗЫ!$Y$3:$Y$500)/BN19,0),IF(OR(BE19="",BG19=""),"",ROUND(BE19*BG19*(1+Справочники!$B$10),0)))</f>
        <v/>
      </c>
      <c r="BI19" s="92" t="str">
        <f aca="false">IF(OR(AU19="",BH19="",AU19=0),"",(AU19-BH19)/AU19)</f>
        <v/>
      </c>
      <c r="BJ19" s="81"/>
      <c r="BK19" s="83"/>
      <c r="BL19" s="43" t="str">
        <f aca="false">IFERROR(INDEX(ЗАКАЗЫ!$N$3:$N$500,MATCH($A19,ЗАКАЗЫ!$F$3:$F$500,0)),"")</f>
        <v/>
      </c>
      <c r="BM19" s="8" t="str">
        <f aca="false">IF(BL19="","",IFERROR(VLOOKUP(BL19,'ТН ВЭД'!$A$4:$C$40,3,0),""))</f>
        <v/>
      </c>
      <c r="BN19" s="7" t="str">
        <f aca="false">IF(COUNTIF(ЗАКАЗЫ!$F$3:$F$500,$A19)=0,"",SUMIF(ЗАКАЗЫ!$F$3:$F$500,$A19,ЗАКАЗЫ!$J$3:$J$500))</f>
        <v/>
      </c>
      <c r="BO19" s="7" t="str">
        <f aca="false">IF(BN19="","",SUMIF(ЗАКАЗЫ!$F$3:$F$500,$A19,ЗАКАЗЫ!$AL$3:$AL$500))</f>
        <v/>
      </c>
      <c r="BP19" s="7" t="str">
        <f aca="false">IF(BN19="","",BN19-BO19)</f>
        <v/>
      </c>
      <c r="BQ19" s="55" t="str">
        <f aca="false">IF(BN19="","",IF(BO19&gt;=BN19,"На складе",IF(BO19&gt;0,"Частично","Ждём")))</f>
        <v/>
      </c>
      <c r="BR19" s="43"/>
      <c r="BS19" s="47" t="str">
        <f aca="false">IF(BN19="","",IF(_xlfn.MAXIFS(ЗАКАЗЫ!$AK$3:$AK$500,ЗАКАЗЫ!$F$3:$F$500,$A19)=0,"",_xlfn.MAXIFS(ЗАКАЗЫ!$AK$3:$AK$500,ЗАКАЗЫ!$F$3:$F$500,$A19)))</f>
        <v/>
      </c>
    </row>
    <row r="20" customFormat="false" ht="15.75" hidden="false" customHeight="true" outlineLevel="0" collapsed="false">
      <c r="A20" s="80" t="s">
        <v>2931</v>
      </c>
      <c r="B20" s="81"/>
      <c r="C20" s="81"/>
      <c r="D20" s="81"/>
      <c r="E20" s="83"/>
      <c r="F20" s="81"/>
      <c r="G20" s="83"/>
      <c r="H20" s="83"/>
      <c r="I20" s="84" t="str">
        <f aca="false">IF(E20="","",A20&amp;"_1.jpg")</f>
        <v/>
      </c>
      <c r="J20" s="84" t="str">
        <f aca="false">IF(E20="","",A20&amp;"_2.jpg; "&amp;A20&amp;"_3.jpg")</f>
        <v/>
      </c>
      <c r="K20" s="84" t="str">
        <f aca="false">IF(E20="","",A20&amp;"_schema.jpg")</f>
        <v/>
      </c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 t="s">
        <v>96</v>
      </c>
      <c r="W20" s="81"/>
      <c r="X20" s="81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6" t="str">
        <f aca="false">IF(SUM(Y20:AJ20)=0,"",SUM(Y20:AJ20))</f>
        <v/>
      </c>
      <c r="AL20" s="84" t="str">
        <f aca="false">MID(IF(N(Y20)&gt;0,", "&amp;Y$2,"")&amp;IF(N(Z20)&gt;0,", "&amp;Z$2,"")&amp;IF(N(AA20)&gt;0,", "&amp;AA$2,"")&amp;IF(N(AB20)&gt;0,", "&amp;AB$2,"")&amp;IF(N(AC20)&gt;0,", "&amp;AC$2,"")&amp;IF(N(AD20)&gt;0,", "&amp;AD$2,"")&amp;IF(N(AE20)&gt;0,", "&amp;AE$2,"")&amp;IF(N(AF20)&gt;0,", "&amp;AF$2,"")&amp;IF(N(AG20)&gt;0,", "&amp;AG$2,"")&amp;IF(N(AH20)&gt;0,", "&amp;AH$2,"")&amp;IF(N(AI20)&gt;0,", "&amp;AI$2,"")&amp;IF(N(AJ20)&gt;0,", "&amp;AJ$2,""),3,999)</f>
        <v/>
      </c>
      <c r="AM20" s="87" t="str">
        <f aca="false">IF(E20="","",MID(IF(N(Y20)&gt;0,", "&amp;A20&amp;"-"&amp;Y$2,"")&amp;IF(N(Z20)&gt;0,", "&amp;A20&amp;"-"&amp;Z$2,"")&amp;IF(N(AA20)&gt;0,", "&amp;A20&amp;"-"&amp;AA$2,"")&amp;IF(N(AB20)&gt;0,", "&amp;A20&amp;"-"&amp;AB$2,"")&amp;IF(N(AC20)&gt;0,", "&amp;A20&amp;"-"&amp;AC$2,"")&amp;IF(N(AD20)&gt;0,", "&amp;A20&amp;"-"&amp;AD$2,"")&amp;IF(N(AE20)&gt;0,", "&amp;A20&amp;"-"&amp;AE$2,"")&amp;IF(N(AF20)&gt;0,", "&amp;A20&amp;"-"&amp;AF$2,"")&amp;IF(N(AG20)&gt;0,", "&amp;A20&amp;"-"&amp;AG$2,"")&amp;IF(N(AH20)&gt;0,", "&amp;A20&amp;"-"&amp;AH$2,"")&amp;IF(N(AI20)&gt;0,", "&amp;A20&amp;"-"&amp;AI$2,"")&amp;IF(N(AJ20)&gt;0,", "&amp;A20&amp;"-"&amp;AJ$2,""),3,999))</f>
        <v/>
      </c>
      <c r="AN20" s="81"/>
      <c r="AO20" s="88"/>
      <c r="AP20" s="89" t="str">
        <f aca="false">IF(AO20="","",ROUND(AO20/(1+Справочники!$B$13),2))</f>
        <v/>
      </c>
      <c r="AQ20" s="90" t="str">
        <f aca="false" t="array" ref="AQ20:AQ20">IF(AP20="","",AP20*INDEX(Справочники!$B$4:$B$7,MATCH("RUB",Справочники!$A$4:$A$7,0)))</f>
        <v/>
      </c>
      <c r="AR20" s="90" t="str">
        <f aca="false">IF(AQ20="","",ROUND(AQ20*(1+Справочники!$B$12),0))</f>
        <v/>
      </c>
      <c r="AS20" s="90" t="str">
        <f aca="false">IF(AR20="","",ROUND(AR20*(1-Справочники!$B$11),0))</f>
        <v/>
      </c>
      <c r="AT20" s="88"/>
      <c r="AU20" s="90" t="str">
        <f aca="false">IF(AT20="","",ROUND(AT20/(1+Справочники!$B$12),0))</f>
        <v/>
      </c>
      <c r="AV20" s="90" t="str">
        <f aca="false">IF(AT20="","",ROUND(AT20*(1-Справочники!$B$15),0))</f>
        <v/>
      </c>
      <c r="AW20" s="90" t="str">
        <f aca="false">IF(AT20="","",ROUND(AT20*(1-Справочники!$B$16),0))</f>
        <v/>
      </c>
      <c r="AX20" s="90" t="str">
        <f aca="false">IF(AT20="","",ROUND(AT20*(1-Справочники!$B$17),0))</f>
        <v/>
      </c>
      <c r="AY20" s="90" t="str">
        <f aca="false">IF(AT20="","",ROUND(AT20*(1-Справочники!$B$18),0))</f>
        <v/>
      </c>
      <c r="AZ20" s="90" t="str">
        <f aca="false">IF(AT20="","",ROUND(AT20*(1-Справочники!$B$19),0))</f>
        <v/>
      </c>
      <c r="BA20" s="81"/>
      <c r="BB20" s="81"/>
      <c r="BC20" s="81"/>
      <c r="BD20" s="81"/>
      <c r="BE20" s="91"/>
      <c r="BF20" s="81" t="s">
        <v>103</v>
      </c>
      <c r="BG20" s="89" t="n">
        <f aca="false" t="array" ref="BG20:BG20">IF(BF20="","",IFERROR(INDEX(Справочники!$B$4:$B$7,MATCH(BF20,Справочники!$A$4:$A$7,0)),""))</f>
        <v>68.5</v>
      </c>
      <c r="BH20" s="90" t="str">
        <f aca="false">IF(N(BN20)&gt;0,ROUND(SUMIF(ЗАКАЗЫ!$F$3:$F$500,$A20,ЗАКАЗЫ!$Y$3:$Y$500)/BN20,0),IF(OR(BE20="",BG20=""),"",ROUND(BE20*BG20*(1+Справочники!$B$10),0)))</f>
        <v/>
      </c>
      <c r="BI20" s="92" t="str">
        <f aca="false">IF(OR(AU20="",BH20="",AU20=0),"",(AU20-BH20)/AU20)</f>
        <v/>
      </c>
      <c r="BJ20" s="81"/>
      <c r="BK20" s="83"/>
      <c r="BL20" s="43" t="str">
        <f aca="false">IFERROR(INDEX(ЗАКАЗЫ!$N$3:$N$500,MATCH($A20,ЗАКАЗЫ!$F$3:$F$500,0)),"")</f>
        <v/>
      </c>
      <c r="BM20" s="8" t="str">
        <f aca="false">IF(BL20="","",IFERROR(VLOOKUP(BL20,'ТН ВЭД'!$A$4:$C$40,3,0),""))</f>
        <v/>
      </c>
      <c r="BN20" s="7" t="str">
        <f aca="false">IF(COUNTIF(ЗАКАЗЫ!$F$3:$F$500,$A20)=0,"",SUMIF(ЗАКАЗЫ!$F$3:$F$500,$A20,ЗАКАЗЫ!$J$3:$J$500))</f>
        <v/>
      </c>
      <c r="BO20" s="7" t="str">
        <f aca="false">IF(BN20="","",SUMIF(ЗАКАЗЫ!$F$3:$F$500,$A20,ЗАКАЗЫ!$AL$3:$AL$500))</f>
        <v/>
      </c>
      <c r="BP20" s="7" t="str">
        <f aca="false">IF(BN20="","",BN20-BO20)</f>
        <v/>
      </c>
      <c r="BQ20" s="55" t="str">
        <f aca="false">IF(BN20="","",IF(BO20&gt;=BN20,"На складе",IF(BO20&gt;0,"Частично","Ждём")))</f>
        <v/>
      </c>
      <c r="BR20" s="43"/>
      <c r="BS20" s="47" t="str">
        <f aca="false">IF(BN20="","",IF(_xlfn.MAXIFS(ЗАКАЗЫ!$AK$3:$AK$500,ЗАКАЗЫ!$F$3:$F$500,$A20)=0,"",_xlfn.MAXIFS(ЗАКАЗЫ!$AK$3:$AK$500,ЗАКАЗЫ!$F$3:$F$500,$A20)))</f>
        <v/>
      </c>
    </row>
    <row r="21" customFormat="false" ht="15.75" hidden="false" customHeight="true" outlineLevel="0" collapsed="false">
      <c r="A21" s="80" t="s">
        <v>2932</v>
      </c>
      <c r="B21" s="81"/>
      <c r="C21" s="81"/>
      <c r="D21" s="81"/>
      <c r="E21" s="83"/>
      <c r="F21" s="81"/>
      <c r="G21" s="83"/>
      <c r="H21" s="83"/>
      <c r="I21" s="84" t="str">
        <f aca="false">IF(E21="","",A21&amp;"_1.jpg")</f>
        <v/>
      </c>
      <c r="J21" s="84" t="str">
        <f aca="false">IF(E21="","",A21&amp;"_2.jpg; "&amp;A21&amp;"_3.jpg")</f>
        <v/>
      </c>
      <c r="K21" s="84" t="str">
        <f aca="false">IF(E21="","",A21&amp;"_schema.jpg")</f>
        <v/>
      </c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 t="s">
        <v>96</v>
      </c>
      <c r="W21" s="81"/>
      <c r="X21" s="81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6" t="str">
        <f aca="false">IF(SUM(Y21:AJ21)=0,"",SUM(Y21:AJ21))</f>
        <v/>
      </c>
      <c r="AL21" s="84" t="str">
        <f aca="false">MID(IF(N(Y21)&gt;0,", "&amp;Y$2,"")&amp;IF(N(Z21)&gt;0,", "&amp;Z$2,"")&amp;IF(N(AA21)&gt;0,", "&amp;AA$2,"")&amp;IF(N(AB21)&gt;0,", "&amp;AB$2,"")&amp;IF(N(AC21)&gt;0,", "&amp;AC$2,"")&amp;IF(N(AD21)&gt;0,", "&amp;AD$2,"")&amp;IF(N(AE21)&gt;0,", "&amp;AE$2,"")&amp;IF(N(AF21)&gt;0,", "&amp;AF$2,"")&amp;IF(N(AG21)&gt;0,", "&amp;AG$2,"")&amp;IF(N(AH21)&gt;0,", "&amp;AH$2,"")&amp;IF(N(AI21)&gt;0,", "&amp;AI$2,"")&amp;IF(N(AJ21)&gt;0,", "&amp;AJ$2,""),3,999)</f>
        <v/>
      </c>
      <c r="AM21" s="87" t="str">
        <f aca="false">IF(E21="","",MID(IF(N(Y21)&gt;0,", "&amp;A21&amp;"-"&amp;Y$2,"")&amp;IF(N(Z21)&gt;0,", "&amp;A21&amp;"-"&amp;Z$2,"")&amp;IF(N(AA21)&gt;0,", "&amp;A21&amp;"-"&amp;AA$2,"")&amp;IF(N(AB21)&gt;0,", "&amp;A21&amp;"-"&amp;AB$2,"")&amp;IF(N(AC21)&gt;0,", "&amp;A21&amp;"-"&amp;AC$2,"")&amp;IF(N(AD21)&gt;0,", "&amp;A21&amp;"-"&amp;AD$2,"")&amp;IF(N(AE21)&gt;0,", "&amp;A21&amp;"-"&amp;AE$2,"")&amp;IF(N(AF21)&gt;0,", "&amp;A21&amp;"-"&amp;AF$2,"")&amp;IF(N(AG21)&gt;0,", "&amp;A21&amp;"-"&amp;AG$2,"")&amp;IF(N(AH21)&gt;0,", "&amp;A21&amp;"-"&amp;AH$2,"")&amp;IF(N(AI21)&gt;0,", "&amp;A21&amp;"-"&amp;AI$2,"")&amp;IF(N(AJ21)&gt;0,", "&amp;A21&amp;"-"&amp;AJ$2,""),3,999))</f>
        <v/>
      </c>
      <c r="AN21" s="81"/>
      <c r="AO21" s="88"/>
      <c r="AP21" s="89" t="str">
        <f aca="false">IF(AO21="","",ROUND(AO21/(1+Справочники!$B$13),2))</f>
        <v/>
      </c>
      <c r="AQ21" s="90" t="str">
        <f aca="false" t="array" ref="AQ21:AQ21">IF(AP21="","",AP21*INDEX(Справочники!$B$4:$B$7,MATCH("RUB",Справочники!$A$4:$A$7,0)))</f>
        <v/>
      </c>
      <c r="AR21" s="90" t="str">
        <f aca="false">IF(AQ21="","",ROUND(AQ21*(1+Справочники!$B$12),0))</f>
        <v/>
      </c>
      <c r="AS21" s="90" t="str">
        <f aca="false">IF(AR21="","",ROUND(AR21*(1-Справочники!$B$11),0))</f>
        <v/>
      </c>
      <c r="AT21" s="88"/>
      <c r="AU21" s="90" t="str">
        <f aca="false">IF(AT21="","",ROUND(AT21/(1+Справочники!$B$12),0))</f>
        <v/>
      </c>
      <c r="AV21" s="90" t="str">
        <f aca="false">IF(AT21="","",ROUND(AT21*(1-Справочники!$B$15),0))</f>
        <v/>
      </c>
      <c r="AW21" s="90" t="str">
        <f aca="false">IF(AT21="","",ROUND(AT21*(1-Справочники!$B$16),0))</f>
        <v/>
      </c>
      <c r="AX21" s="90" t="str">
        <f aca="false">IF(AT21="","",ROUND(AT21*(1-Справочники!$B$17),0))</f>
        <v/>
      </c>
      <c r="AY21" s="90" t="str">
        <f aca="false">IF(AT21="","",ROUND(AT21*(1-Справочники!$B$18),0))</f>
        <v/>
      </c>
      <c r="AZ21" s="90" t="str">
        <f aca="false">IF(AT21="","",ROUND(AT21*(1-Справочники!$B$19),0))</f>
        <v/>
      </c>
      <c r="BA21" s="81"/>
      <c r="BB21" s="81"/>
      <c r="BC21" s="81"/>
      <c r="BD21" s="81"/>
      <c r="BE21" s="91"/>
      <c r="BF21" s="81" t="s">
        <v>103</v>
      </c>
      <c r="BG21" s="89" t="n">
        <f aca="false" t="array" ref="BG21:BG21">IF(BF21="","",IFERROR(INDEX(Справочники!$B$4:$B$7,MATCH(BF21,Справочники!$A$4:$A$7,0)),""))</f>
        <v>68.5</v>
      </c>
      <c r="BH21" s="90" t="str">
        <f aca="false">IF(N(BN21)&gt;0,ROUND(SUMIF(ЗАКАЗЫ!$F$3:$F$500,$A21,ЗАКАЗЫ!$Y$3:$Y$500)/BN21,0),IF(OR(BE21="",BG21=""),"",ROUND(BE21*BG21*(1+Справочники!$B$10),0)))</f>
        <v/>
      </c>
      <c r="BI21" s="92" t="str">
        <f aca="false">IF(OR(AU21="",BH21="",AU21=0),"",(AU21-BH21)/AU21)</f>
        <v/>
      </c>
      <c r="BJ21" s="81"/>
      <c r="BK21" s="83"/>
      <c r="BL21" s="43" t="str">
        <f aca="false">IFERROR(INDEX(ЗАКАЗЫ!$N$3:$N$500,MATCH($A21,ЗАКАЗЫ!$F$3:$F$500,0)),"")</f>
        <v/>
      </c>
      <c r="BM21" s="8" t="str">
        <f aca="false">IF(BL21="","",IFERROR(VLOOKUP(BL21,'ТН ВЭД'!$A$4:$C$40,3,0),""))</f>
        <v/>
      </c>
      <c r="BN21" s="7" t="str">
        <f aca="false">IF(COUNTIF(ЗАКАЗЫ!$F$3:$F$500,$A21)=0,"",SUMIF(ЗАКАЗЫ!$F$3:$F$500,$A21,ЗАКАЗЫ!$J$3:$J$500))</f>
        <v/>
      </c>
      <c r="BO21" s="7" t="str">
        <f aca="false">IF(BN21="","",SUMIF(ЗАКАЗЫ!$F$3:$F$500,$A21,ЗАКАЗЫ!$AL$3:$AL$500))</f>
        <v/>
      </c>
      <c r="BP21" s="7" t="str">
        <f aca="false">IF(BN21="","",BN21-BO21)</f>
        <v/>
      </c>
      <c r="BQ21" s="55" t="str">
        <f aca="false">IF(BN21="","",IF(BO21&gt;=BN21,"На складе",IF(BO21&gt;0,"Частично","Ждём")))</f>
        <v/>
      </c>
      <c r="BR21" s="43"/>
      <c r="BS21" s="47" t="str">
        <f aca="false">IF(BN21="","",IF(_xlfn.MAXIFS(ЗАКАЗЫ!$AK$3:$AK$500,ЗАКАЗЫ!$F$3:$F$500,$A21)=0,"",_xlfn.MAXIFS(ЗАКАЗЫ!$AK$3:$AK$500,ЗАКАЗЫ!$F$3:$F$500,$A21)))</f>
        <v/>
      </c>
    </row>
    <row r="22" customFormat="false" ht="15.75" hidden="false" customHeight="true" outlineLevel="0" collapsed="false">
      <c r="A22" s="80" t="s">
        <v>2933</v>
      </c>
      <c r="B22" s="81"/>
      <c r="C22" s="81"/>
      <c r="D22" s="81"/>
      <c r="E22" s="83"/>
      <c r="F22" s="81"/>
      <c r="G22" s="83"/>
      <c r="H22" s="83"/>
      <c r="I22" s="84" t="str">
        <f aca="false">IF(E22="","",A22&amp;"_1.jpg")</f>
        <v/>
      </c>
      <c r="J22" s="84" t="str">
        <f aca="false">IF(E22="","",A22&amp;"_2.jpg; "&amp;A22&amp;"_3.jpg")</f>
        <v/>
      </c>
      <c r="K22" s="84" t="str">
        <f aca="false">IF(E22="","",A22&amp;"_schema.jpg")</f>
        <v/>
      </c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 t="s">
        <v>96</v>
      </c>
      <c r="W22" s="81"/>
      <c r="X22" s="81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6" t="str">
        <f aca="false">IF(SUM(Y22:AJ22)=0,"",SUM(Y22:AJ22))</f>
        <v/>
      </c>
      <c r="AL22" s="84" t="str">
        <f aca="false">MID(IF(N(Y22)&gt;0,", "&amp;Y$2,"")&amp;IF(N(Z22)&gt;0,", "&amp;Z$2,"")&amp;IF(N(AA22)&gt;0,", "&amp;AA$2,"")&amp;IF(N(AB22)&gt;0,", "&amp;AB$2,"")&amp;IF(N(AC22)&gt;0,", "&amp;AC$2,"")&amp;IF(N(AD22)&gt;0,", "&amp;AD$2,"")&amp;IF(N(AE22)&gt;0,", "&amp;AE$2,"")&amp;IF(N(AF22)&gt;0,", "&amp;AF$2,"")&amp;IF(N(AG22)&gt;0,", "&amp;AG$2,"")&amp;IF(N(AH22)&gt;0,", "&amp;AH$2,"")&amp;IF(N(AI22)&gt;0,", "&amp;AI$2,"")&amp;IF(N(AJ22)&gt;0,", "&amp;AJ$2,""),3,999)</f>
        <v/>
      </c>
      <c r="AM22" s="87" t="str">
        <f aca="false">IF(E22="","",MID(IF(N(Y22)&gt;0,", "&amp;A22&amp;"-"&amp;Y$2,"")&amp;IF(N(Z22)&gt;0,", "&amp;A22&amp;"-"&amp;Z$2,"")&amp;IF(N(AA22)&gt;0,", "&amp;A22&amp;"-"&amp;AA$2,"")&amp;IF(N(AB22)&gt;0,", "&amp;A22&amp;"-"&amp;AB$2,"")&amp;IF(N(AC22)&gt;0,", "&amp;A22&amp;"-"&amp;AC$2,"")&amp;IF(N(AD22)&gt;0,", "&amp;A22&amp;"-"&amp;AD$2,"")&amp;IF(N(AE22)&gt;0,", "&amp;A22&amp;"-"&amp;AE$2,"")&amp;IF(N(AF22)&gt;0,", "&amp;A22&amp;"-"&amp;AF$2,"")&amp;IF(N(AG22)&gt;0,", "&amp;A22&amp;"-"&amp;AG$2,"")&amp;IF(N(AH22)&gt;0,", "&amp;A22&amp;"-"&amp;AH$2,"")&amp;IF(N(AI22)&gt;0,", "&amp;A22&amp;"-"&amp;AI$2,"")&amp;IF(N(AJ22)&gt;0,", "&amp;A22&amp;"-"&amp;AJ$2,""),3,999))</f>
        <v/>
      </c>
      <c r="AN22" s="81"/>
      <c r="AO22" s="88"/>
      <c r="AP22" s="89" t="str">
        <f aca="false">IF(AO22="","",ROUND(AO22/(1+Справочники!$B$13),2))</f>
        <v/>
      </c>
      <c r="AQ22" s="90" t="str">
        <f aca="false" t="array" ref="AQ22:AQ22">IF(AP22="","",AP22*INDEX(Справочники!$B$4:$B$7,MATCH("RUB",Справочники!$A$4:$A$7,0)))</f>
        <v/>
      </c>
      <c r="AR22" s="90" t="str">
        <f aca="false">IF(AQ22="","",ROUND(AQ22*(1+Справочники!$B$12),0))</f>
        <v/>
      </c>
      <c r="AS22" s="90" t="str">
        <f aca="false">IF(AR22="","",ROUND(AR22*(1-Справочники!$B$11),0))</f>
        <v/>
      </c>
      <c r="AT22" s="88"/>
      <c r="AU22" s="90" t="str">
        <f aca="false">IF(AT22="","",ROUND(AT22/(1+Справочники!$B$12),0))</f>
        <v/>
      </c>
      <c r="AV22" s="90" t="str">
        <f aca="false">IF(AT22="","",ROUND(AT22*(1-Справочники!$B$15),0))</f>
        <v/>
      </c>
      <c r="AW22" s="90" t="str">
        <f aca="false">IF(AT22="","",ROUND(AT22*(1-Справочники!$B$16),0))</f>
        <v/>
      </c>
      <c r="AX22" s="90" t="str">
        <f aca="false">IF(AT22="","",ROUND(AT22*(1-Справочники!$B$17),0))</f>
        <v/>
      </c>
      <c r="AY22" s="90" t="str">
        <f aca="false">IF(AT22="","",ROUND(AT22*(1-Справочники!$B$18),0))</f>
        <v/>
      </c>
      <c r="AZ22" s="90" t="str">
        <f aca="false">IF(AT22="","",ROUND(AT22*(1-Справочники!$B$19),0))</f>
        <v/>
      </c>
      <c r="BA22" s="81"/>
      <c r="BB22" s="81"/>
      <c r="BC22" s="81"/>
      <c r="BD22" s="81"/>
      <c r="BE22" s="91"/>
      <c r="BF22" s="81" t="s">
        <v>103</v>
      </c>
      <c r="BG22" s="89" t="n">
        <f aca="false" t="array" ref="BG22:BG22">IF(BF22="","",IFERROR(INDEX(Справочники!$B$4:$B$7,MATCH(BF22,Справочники!$A$4:$A$7,0)),""))</f>
        <v>68.5</v>
      </c>
      <c r="BH22" s="90" t="str">
        <f aca="false">IF(N(BN22)&gt;0,ROUND(SUMIF(ЗАКАЗЫ!$F$3:$F$500,$A22,ЗАКАЗЫ!$Y$3:$Y$500)/BN22,0),IF(OR(BE22="",BG22=""),"",ROUND(BE22*BG22*(1+Справочники!$B$10),0)))</f>
        <v/>
      </c>
      <c r="BI22" s="92" t="str">
        <f aca="false">IF(OR(AU22="",BH22="",AU22=0),"",(AU22-BH22)/AU22)</f>
        <v/>
      </c>
      <c r="BJ22" s="81"/>
      <c r="BK22" s="83"/>
      <c r="BL22" s="43" t="str">
        <f aca="false">IFERROR(INDEX(ЗАКАЗЫ!$N$3:$N$500,MATCH($A22,ЗАКАЗЫ!$F$3:$F$500,0)),"")</f>
        <v/>
      </c>
      <c r="BM22" s="8" t="str">
        <f aca="false">IF(BL22="","",IFERROR(VLOOKUP(BL22,'ТН ВЭД'!$A$4:$C$40,3,0),""))</f>
        <v/>
      </c>
      <c r="BN22" s="7" t="str">
        <f aca="false">IF(COUNTIF(ЗАКАЗЫ!$F$3:$F$500,$A22)=0,"",SUMIF(ЗАКАЗЫ!$F$3:$F$500,$A22,ЗАКАЗЫ!$J$3:$J$500))</f>
        <v/>
      </c>
      <c r="BO22" s="7" t="str">
        <f aca="false">IF(BN22="","",SUMIF(ЗАКАЗЫ!$F$3:$F$500,$A22,ЗАКАЗЫ!$AL$3:$AL$500))</f>
        <v/>
      </c>
      <c r="BP22" s="7" t="str">
        <f aca="false">IF(BN22="","",BN22-BO22)</f>
        <v/>
      </c>
      <c r="BQ22" s="55" t="str">
        <f aca="false">IF(BN22="","",IF(BO22&gt;=BN22,"На складе",IF(BO22&gt;0,"Частично","Ждём")))</f>
        <v/>
      </c>
      <c r="BR22" s="43"/>
      <c r="BS22" s="47" t="str">
        <f aca="false">IF(BN22="","",IF(_xlfn.MAXIFS(ЗАКАЗЫ!$AK$3:$AK$500,ЗАКАЗЫ!$F$3:$F$500,$A22)=0,"",_xlfn.MAXIFS(ЗАКАЗЫ!$AK$3:$AK$500,ЗАКАЗЫ!$F$3:$F$500,$A22)))</f>
        <v/>
      </c>
    </row>
    <row r="23" customFormat="false" ht="15.75" hidden="false" customHeight="true" outlineLevel="0" collapsed="false">
      <c r="A23" s="80" t="s">
        <v>2934</v>
      </c>
      <c r="B23" s="81"/>
      <c r="C23" s="81"/>
      <c r="D23" s="81"/>
      <c r="E23" s="83"/>
      <c r="F23" s="81"/>
      <c r="G23" s="83"/>
      <c r="H23" s="83"/>
      <c r="I23" s="84" t="str">
        <f aca="false">IF(E23="","",A23&amp;"_1.jpg")</f>
        <v/>
      </c>
      <c r="J23" s="84" t="str">
        <f aca="false">IF(E23="","",A23&amp;"_2.jpg; "&amp;A23&amp;"_3.jpg")</f>
        <v/>
      </c>
      <c r="K23" s="84" t="str">
        <f aca="false">IF(E23="","",A23&amp;"_schema.jpg")</f>
        <v/>
      </c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 t="s">
        <v>96</v>
      </c>
      <c r="W23" s="81"/>
      <c r="X23" s="81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6" t="str">
        <f aca="false">IF(SUM(Y23:AJ23)=0,"",SUM(Y23:AJ23))</f>
        <v/>
      </c>
      <c r="AL23" s="84" t="str">
        <f aca="false">MID(IF(N(Y23)&gt;0,", "&amp;Y$2,"")&amp;IF(N(Z23)&gt;0,", "&amp;Z$2,"")&amp;IF(N(AA23)&gt;0,", "&amp;AA$2,"")&amp;IF(N(AB23)&gt;0,", "&amp;AB$2,"")&amp;IF(N(AC23)&gt;0,", "&amp;AC$2,"")&amp;IF(N(AD23)&gt;0,", "&amp;AD$2,"")&amp;IF(N(AE23)&gt;0,", "&amp;AE$2,"")&amp;IF(N(AF23)&gt;0,", "&amp;AF$2,"")&amp;IF(N(AG23)&gt;0,", "&amp;AG$2,"")&amp;IF(N(AH23)&gt;0,", "&amp;AH$2,"")&amp;IF(N(AI23)&gt;0,", "&amp;AI$2,"")&amp;IF(N(AJ23)&gt;0,", "&amp;AJ$2,""),3,999)</f>
        <v/>
      </c>
      <c r="AM23" s="87" t="str">
        <f aca="false">IF(E23="","",MID(IF(N(Y23)&gt;0,", "&amp;A23&amp;"-"&amp;Y$2,"")&amp;IF(N(Z23)&gt;0,", "&amp;A23&amp;"-"&amp;Z$2,"")&amp;IF(N(AA23)&gt;0,", "&amp;A23&amp;"-"&amp;AA$2,"")&amp;IF(N(AB23)&gt;0,", "&amp;A23&amp;"-"&amp;AB$2,"")&amp;IF(N(AC23)&gt;0,", "&amp;A23&amp;"-"&amp;AC$2,"")&amp;IF(N(AD23)&gt;0,", "&amp;A23&amp;"-"&amp;AD$2,"")&amp;IF(N(AE23)&gt;0,", "&amp;A23&amp;"-"&amp;AE$2,"")&amp;IF(N(AF23)&gt;0,", "&amp;A23&amp;"-"&amp;AF$2,"")&amp;IF(N(AG23)&gt;0,", "&amp;A23&amp;"-"&amp;AG$2,"")&amp;IF(N(AH23)&gt;0,", "&amp;A23&amp;"-"&amp;AH$2,"")&amp;IF(N(AI23)&gt;0,", "&amp;A23&amp;"-"&amp;AI$2,"")&amp;IF(N(AJ23)&gt;0,", "&amp;A23&amp;"-"&amp;AJ$2,""),3,999))</f>
        <v/>
      </c>
      <c r="AN23" s="81"/>
      <c r="AO23" s="88"/>
      <c r="AP23" s="89" t="str">
        <f aca="false">IF(AO23="","",ROUND(AO23/(1+Справочники!$B$13),2))</f>
        <v/>
      </c>
      <c r="AQ23" s="90" t="str">
        <f aca="false" t="array" ref="AQ23:AQ23">IF(AP23="","",AP23*INDEX(Справочники!$B$4:$B$7,MATCH("RUB",Справочники!$A$4:$A$7,0)))</f>
        <v/>
      </c>
      <c r="AR23" s="90" t="str">
        <f aca="false">IF(AQ23="","",ROUND(AQ23*(1+Справочники!$B$12),0))</f>
        <v/>
      </c>
      <c r="AS23" s="90" t="str">
        <f aca="false">IF(AR23="","",ROUND(AR23*(1-Справочники!$B$11),0))</f>
        <v/>
      </c>
      <c r="AT23" s="88"/>
      <c r="AU23" s="90" t="str">
        <f aca="false">IF(AT23="","",ROUND(AT23/(1+Справочники!$B$12),0))</f>
        <v/>
      </c>
      <c r="AV23" s="90" t="str">
        <f aca="false">IF(AT23="","",ROUND(AT23*(1-Справочники!$B$15),0))</f>
        <v/>
      </c>
      <c r="AW23" s="90" t="str">
        <f aca="false">IF(AT23="","",ROUND(AT23*(1-Справочники!$B$16),0))</f>
        <v/>
      </c>
      <c r="AX23" s="90" t="str">
        <f aca="false">IF(AT23="","",ROUND(AT23*(1-Справочники!$B$17),0))</f>
        <v/>
      </c>
      <c r="AY23" s="90" t="str">
        <f aca="false">IF(AT23="","",ROUND(AT23*(1-Справочники!$B$18),0))</f>
        <v/>
      </c>
      <c r="AZ23" s="90" t="str">
        <f aca="false">IF(AT23="","",ROUND(AT23*(1-Справочники!$B$19),0))</f>
        <v/>
      </c>
      <c r="BA23" s="81"/>
      <c r="BB23" s="81"/>
      <c r="BC23" s="81"/>
      <c r="BD23" s="81"/>
      <c r="BE23" s="91"/>
      <c r="BF23" s="81" t="s">
        <v>103</v>
      </c>
      <c r="BG23" s="89" t="n">
        <f aca="false" t="array" ref="BG23:BG23">IF(BF23="","",IFERROR(INDEX(Справочники!$B$4:$B$7,MATCH(BF23,Справочники!$A$4:$A$7,0)),""))</f>
        <v>68.5</v>
      </c>
      <c r="BH23" s="90" t="str">
        <f aca="false">IF(N(BN23)&gt;0,ROUND(SUMIF(ЗАКАЗЫ!$F$3:$F$500,$A23,ЗАКАЗЫ!$Y$3:$Y$500)/BN23,0),IF(OR(BE23="",BG23=""),"",ROUND(BE23*BG23*(1+Справочники!$B$10),0)))</f>
        <v/>
      </c>
      <c r="BI23" s="92" t="str">
        <f aca="false">IF(OR(AU23="",BH23="",AU23=0),"",(AU23-BH23)/AU23)</f>
        <v/>
      </c>
      <c r="BJ23" s="81"/>
      <c r="BK23" s="83"/>
      <c r="BL23" s="43" t="str">
        <f aca="false">IFERROR(INDEX(ЗАКАЗЫ!$N$3:$N$500,MATCH($A23,ЗАКАЗЫ!$F$3:$F$500,0)),"")</f>
        <v/>
      </c>
      <c r="BM23" s="8" t="str">
        <f aca="false">IF(BL23="","",IFERROR(VLOOKUP(BL23,'ТН ВЭД'!$A$4:$C$40,3,0),""))</f>
        <v/>
      </c>
      <c r="BN23" s="7" t="str">
        <f aca="false">IF(COUNTIF(ЗАКАЗЫ!$F$3:$F$500,$A23)=0,"",SUMIF(ЗАКАЗЫ!$F$3:$F$500,$A23,ЗАКАЗЫ!$J$3:$J$500))</f>
        <v/>
      </c>
      <c r="BO23" s="7" t="str">
        <f aca="false">IF(BN23="","",SUMIF(ЗАКАЗЫ!$F$3:$F$500,$A23,ЗАКАЗЫ!$AL$3:$AL$500))</f>
        <v/>
      </c>
      <c r="BP23" s="7" t="str">
        <f aca="false">IF(BN23="","",BN23-BO23)</f>
        <v/>
      </c>
      <c r="BQ23" s="55" t="str">
        <f aca="false">IF(BN23="","",IF(BO23&gt;=BN23,"На складе",IF(BO23&gt;0,"Частично","Ждём")))</f>
        <v/>
      </c>
      <c r="BR23" s="43"/>
      <c r="BS23" s="47" t="str">
        <f aca="false">IF(BN23="","",IF(_xlfn.MAXIFS(ЗАКАЗЫ!$AK$3:$AK$500,ЗАКАЗЫ!$F$3:$F$500,$A23)=0,"",_xlfn.MAXIFS(ЗАКАЗЫ!$AK$3:$AK$500,ЗАКАЗЫ!$F$3:$F$500,$A23)))</f>
        <v/>
      </c>
    </row>
    <row r="24" customFormat="false" ht="15.75" hidden="false" customHeight="true" outlineLevel="0" collapsed="false">
      <c r="A24" s="80" t="s">
        <v>2935</v>
      </c>
      <c r="B24" s="81"/>
      <c r="C24" s="81"/>
      <c r="D24" s="81"/>
      <c r="E24" s="83"/>
      <c r="F24" s="81"/>
      <c r="G24" s="83"/>
      <c r="H24" s="83"/>
      <c r="I24" s="84" t="str">
        <f aca="false">IF(E24="","",A24&amp;"_1.jpg")</f>
        <v/>
      </c>
      <c r="J24" s="84" t="str">
        <f aca="false">IF(E24="","",A24&amp;"_2.jpg; "&amp;A24&amp;"_3.jpg")</f>
        <v/>
      </c>
      <c r="K24" s="84" t="str">
        <f aca="false">IF(E24="","",A24&amp;"_schema.jpg")</f>
        <v/>
      </c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 t="s">
        <v>96</v>
      </c>
      <c r="W24" s="81"/>
      <c r="X24" s="81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6" t="str">
        <f aca="false">IF(SUM(Y24:AJ24)=0,"",SUM(Y24:AJ24))</f>
        <v/>
      </c>
      <c r="AL24" s="84" t="str">
        <f aca="false">MID(IF(N(Y24)&gt;0,", "&amp;Y$2,"")&amp;IF(N(Z24)&gt;0,", "&amp;Z$2,"")&amp;IF(N(AA24)&gt;0,", "&amp;AA$2,"")&amp;IF(N(AB24)&gt;0,", "&amp;AB$2,"")&amp;IF(N(AC24)&gt;0,", "&amp;AC$2,"")&amp;IF(N(AD24)&gt;0,", "&amp;AD$2,"")&amp;IF(N(AE24)&gt;0,", "&amp;AE$2,"")&amp;IF(N(AF24)&gt;0,", "&amp;AF$2,"")&amp;IF(N(AG24)&gt;0,", "&amp;AG$2,"")&amp;IF(N(AH24)&gt;0,", "&amp;AH$2,"")&amp;IF(N(AI24)&gt;0,", "&amp;AI$2,"")&amp;IF(N(AJ24)&gt;0,", "&amp;AJ$2,""),3,999)</f>
        <v/>
      </c>
      <c r="AM24" s="87" t="str">
        <f aca="false">IF(E24="","",MID(IF(N(Y24)&gt;0,", "&amp;A24&amp;"-"&amp;Y$2,"")&amp;IF(N(Z24)&gt;0,", "&amp;A24&amp;"-"&amp;Z$2,"")&amp;IF(N(AA24)&gt;0,", "&amp;A24&amp;"-"&amp;AA$2,"")&amp;IF(N(AB24)&gt;0,", "&amp;A24&amp;"-"&amp;AB$2,"")&amp;IF(N(AC24)&gt;0,", "&amp;A24&amp;"-"&amp;AC$2,"")&amp;IF(N(AD24)&gt;0,", "&amp;A24&amp;"-"&amp;AD$2,"")&amp;IF(N(AE24)&gt;0,", "&amp;A24&amp;"-"&amp;AE$2,"")&amp;IF(N(AF24)&gt;0,", "&amp;A24&amp;"-"&amp;AF$2,"")&amp;IF(N(AG24)&gt;0,", "&amp;A24&amp;"-"&amp;AG$2,"")&amp;IF(N(AH24)&gt;0,", "&amp;A24&amp;"-"&amp;AH$2,"")&amp;IF(N(AI24)&gt;0,", "&amp;A24&amp;"-"&amp;AI$2,"")&amp;IF(N(AJ24)&gt;0,", "&amp;A24&amp;"-"&amp;AJ$2,""),3,999))</f>
        <v/>
      </c>
      <c r="AN24" s="81"/>
      <c r="AO24" s="88"/>
      <c r="AP24" s="89" t="str">
        <f aca="false">IF(AO24="","",ROUND(AO24/(1+Справочники!$B$13),2))</f>
        <v/>
      </c>
      <c r="AQ24" s="90" t="str">
        <f aca="false" t="array" ref="AQ24:AQ24">IF(AP24="","",AP24*INDEX(Справочники!$B$4:$B$7,MATCH("RUB",Справочники!$A$4:$A$7,0)))</f>
        <v/>
      </c>
      <c r="AR24" s="90" t="str">
        <f aca="false">IF(AQ24="","",ROUND(AQ24*(1+Справочники!$B$12),0))</f>
        <v/>
      </c>
      <c r="AS24" s="90" t="str">
        <f aca="false">IF(AR24="","",ROUND(AR24*(1-Справочники!$B$11),0))</f>
        <v/>
      </c>
      <c r="AT24" s="88"/>
      <c r="AU24" s="90" t="str">
        <f aca="false">IF(AT24="","",ROUND(AT24/(1+Справочники!$B$12),0))</f>
        <v/>
      </c>
      <c r="AV24" s="90" t="str">
        <f aca="false">IF(AT24="","",ROUND(AT24*(1-Справочники!$B$15),0))</f>
        <v/>
      </c>
      <c r="AW24" s="90" t="str">
        <f aca="false">IF(AT24="","",ROUND(AT24*(1-Справочники!$B$16),0))</f>
        <v/>
      </c>
      <c r="AX24" s="90" t="str">
        <f aca="false">IF(AT24="","",ROUND(AT24*(1-Справочники!$B$17),0))</f>
        <v/>
      </c>
      <c r="AY24" s="90" t="str">
        <f aca="false">IF(AT24="","",ROUND(AT24*(1-Справочники!$B$18),0))</f>
        <v/>
      </c>
      <c r="AZ24" s="90" t="str">
        <f aca="false">IF(AT24="","",ROUND(AT24*(1-Справочники!$B$19),0))</f>
        <v/>
      </c>
      <c r="BA24" s="81"/>
      <c r="BB24" s="81"/>
      <c r="BC24" s="81"/>
      <c r="BD24" s="81"/>
      <c r="BE24" s="91"/>
      <c r="BF24" s="81" t="s">
        <v>103</v>
      </c>
      <c r="BG24" s="89" t="n">
        <f aca="false" t="array" ref="BG24:BG24">IF(BF24="","",IFERROR(INDEX(Справочники!$B$4:$B$7,MATCH(BF24,Справочники!$A$4:$A$7,0)),""))</f>
        <v>68.5</v>
      </c>
      <c r="BH24" s="90" t="str">
        <f aca="false">IF(N(BN24)&gt;0,ROUND(SUMIF(ЗАКАЗЫ!$F$3:$F$500,$A24,ЗАКАЗЫ!$Y$3:$Y$500)/BN24,0),IF(OR(BE24="",BG24=""),"",ROUND(BE24*BG24*(1+Справочники!$B$10),0)))</f>
        <v/>
      </c>
      <c r="BI24" s="92" t="str">
        <f aca="false">IF(OR(AU24="",BH24="",AU24=0),"",(AU24-BH24)/AU24)</f>
        <v/>
      </c>
      <c r="BJ24" s="81"/>
      <c r="BK24" s="83"/>
      <c r="BL24" s="43" t="str">
        <f aca="false">IFERROR(INDEX(ЗАКАЗЫ!$N$3:$N$500,MATCH($A24,ЗАКАЗЫ!$F$3:$F$500,0)),"")</f>
        <v/>
      </c>
      <c r="BM24" s="8" t="str">
        <f aca="false">IF(BL24="","",IFERROR(VLOOKUP(BL24,'ТН ВЭД'!$A$4:$C$40,3,0),""))</f>
        <v/>
      </c>
      <c r="BN24" s="7" t="str">
        <f aca="false">IF(COUNTIF(ЗАКАЗЫ!$F$3:$F$500,$A24)=0,"",SUMIF(ЗАКАЗЫ!$F$3:$F$500,$A24,ЗАКАЗЫ!$J$3:$J$500))</f>
        <v/>
      </c>
      <c r="BO24" s="7" t="str">
        <f aca="false">IF(BN24="","",SUMIF(ЗАКАЗЫ!$F$3:$F$500,$A24,ЗАКАЗЫ!$AL$3:$AL$500))</f>
        <v/>
      </c>
      <c r="BP24" s="7" t="str">
        <f aca="false">IF(BN24="","",BN24-BO24)</f>
        <v/>
      </c>
      <c r="BQ24" s="55" t="str">
        <f aca="false">IF(BN24="","",IF(BO24&gt;=BN24,"На складе",IF(BO24&gt;0,"Частично","Ждём")))</f>
        <v/>
      </c>
      <c r="BR24" s="43"/>
      <c r="BS24" s="47" t="str">
        <f aca="false">IF(BN24="","",IF(_xlfn.MAXIFS(ЗАКАЗЫ!$AK$3:$AK$500,ЗАКАЗЫ!$F$3:$F$500,$A24)=0,"",_xlfn.MAXIFS(ЗАКАЗЫ!$AK$3:$AK$500,ЗАКАЗЫ!$F$3:$F$500,$A24)))</f>
        <v/>
      </c>
    </row>
    <row r="25" customFormat="false" ht="15.75" hidden="false" customHeight="true" outlineLevel="0" collapsed="false">
      <c r="A25" s="80" t="s">
        <v>2936</v>
      </c>
      <c r="B25" s="81"/>
      <c r="C25" s="81"/>
      <c r="D25" s="81"/>
      <c r="E25" s="83"/>
      <c r="F25" s="81"/>
      <c r="G25" s="83"/>
      <c r="H25" s="83"/>
      <c r="I25" s="84" t="str">
        <f aca="false">IF(E25="","",A25&amp;"_1.jpg")</f>
        <v/>
      </c>
      <c r="J25" s="84" t="str">
        <f aca="false">IF(E25="","",A25&amp;"_2.jpg; "&amp;A25&amp;"_3.jpg")</f>
        <v/>
      </c>
      <c r="K25" s="84" t="str">
        <f aca="false">IF(E25="","",A25&amp;"_schema.jpg")</f>
        <v/>
      </c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 t="s">
        <v>96</v>
      </c>
      <c r="W25" s="81"/>
      <c r="X25" s="81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6" t="str">
        <f aca="false">IF(SUM(Y25:AJ25)=0,"",SUM(Y25:AJ25))</f>
        <v/>
      </c>
      <c r="AL25" s="84" t="str">
        <f aca="false">MID(IF(N(Y25)&gt;0,", "&amp;Y$2,"")&amp;IF(N(Z25)&gt;0,", "&amp;Z$2,"")&amp;IF(N(AA25)&gt;0,", "&amp;AA$2,"")&amp;IF(N(AB25)&gt;0,", "&amp;AB$2,"")&amp;IF(N(AC25)&gt;0,", "&amp;AC$2,"")&amp;IF(N(AD25)&gt;0,", "&amp;AD$2,"")&amp;IF(N(AE25)&gt;0,", "&amp;AE$2,"")&amp;IF(N(AF25)&gt;0,", "&amp;AF$2,"")&amp;IF(N(AG25)&gt;0,", "&amp;AG$2,"")&amp;IF(N(AH25)&gt;0,", "&amp;AH$2,"")&amp;IF(N(AI25)&gt;0,", "&amp;AI$2,"")&amp;IF(N(AJ25)&gt;0,", "&amp;AJ$2,""),3,999)</f>
        <v/>
      </c>
      <c r="AM25" s="87" t="str">
        <f aca="false">IF(E25="","",MID(IF(N(Y25)&gt;0,", "&amp;A25&amp;"-"&amp;Y$2,"")&amp;IF(N(Z25)&gt;0,", "&amp;A25&amp;"-"&amp;Z$2,"")&amp;IF(N(AA25)&gt;0,", "&amp;A25&amp;"-"&amp;AA$2,"")&amp;IF(N(AB25)&gt;0,", "&amp;A25&amp;"-"&amp;AB$2,"")&amp;IF(N(AC25)&gt;0,", "&amp;A25&amp;"-"&amp;AC$2,"")&amp;IF(N(AD25)&gt;0,", "&amp;A25&amp;"-"&amp;AD$2,"")&amp;IF(N(AE25)&gt;0,", "&amp;A25&amp;"-"&amp;AE$2,"")&amp;IF(N(AF25)&gt;0,", "&amp;A25&amp;"-"&amp;AF$2,"")&amp;IF(N(AG25)&gt;0,", "&amp;A25&amp;"-"&amp;AG$2,"")&amp;IF(N(AH25)&gt;0,", "&amp;A25&amp;"-"&amp;AH$2,"")&amp;IF(N(AI25)&gt;0,", "&amp;A25&amp;"-"&amp;AI$2,"")&amp;IF(N(AJ25)&gt;0,", "&amp;A25&amp;"-"&amp;AJ$2,""),3,999))</f>
        <v/>
      </c>
      <c r="AN25" s="81"/>
      <c r="AO25" s="88"/>
      <c r="AP25" s="89" t="str">
        <f aca="false">IF(AO25="","",ROUND(AO25/(1+Справочники!$B$13),2))</f>
        <v/>
      </c>
      <c r="AQ25" s="90" t="str">
        <f aca="false" t="array" ref="AQ25:AQ25">IF(AP25="","",AP25*INDEX(Справочники!$B$4:$B$7,MATCH("RUB",Справочники!$A$4:$A$7,0)))</f>
        <v/>
      </c>
      <c r="AR25" s="90" t="str">
        <f aca="false">IF(AQ25="","",ROUND(AQ25*(1+Справочники!$B$12),0))</f>
        <v/>
      </c>
      <c r="AS25" s="90" t="str">
        <f aca="false">IF(AR25="","",ROUND(AR25*(1-Справочники!$B$11),0))</f>
        <v/>
      </c>
      <c r="AT25" s="88"/>
      <c r="AU25" s="90" t="str">
        <f aca="false">IF(AT25="","",ROUND(AT25/(1+Справочники!$B$12),0))</f>
        <v/>
      </c>
      <c r="AV25" s="90" t="str">
        <f aca="false">IF(AT25="","",ROUND(AT25*(1-Справочники!$B$15),0))</f>
        <v/>
      </c>
      <c r="AW25" s="90" t="str">
        <f aca="false">IF(AT25="","",ROUND(AT25*(1-Справочники!$B$16),0))</f>
        <v/>
      </c>
      <c r="AX25" s="90" t="str">
        <f aca="false">IF(AT25="","",ROUND(AT25*(1-Справочники!$B$17),0))</f>
        <v/>
      </c>
      <c r="AY25" s="90" t="str">
        <f aca="false">IF(AT25="","",ROUND(AT25*(1-Справочники!$B$18),0))</f>
        <v/>
      </c>
      <c r="AZ25" s="90" t="str">
        <f aca="false">IF(AT25="","",ROUND(AT25*(1-Справочники!$B$19),0))</f>
        <v/>
      </c>
      <c r="BA25" s="81"/>
      <c r="BB25" s="81"/>
      <c r="BC25" s="81"/>
      <c r="BD25" s="81"/>
      <c r="BE25" s="91"/>
      <c r="BF25" s="81" t="s">
        <v>103</v>
      </c>
      <c r="BG25" s="89" t="n">
        <f aca="false" t="array" ref="BG25:BG25">IF(BF25="","",IFERROR(INDEX(Справочники!$B$4:$B$7,MATCH(BF25,Справочники!$A$4:$A$7,0)),""))</f>
        <v>68.5</v>
      </c>
      <c r="BH25" s="90" t="str">
        <f aca="false">IF(N(BN25)&gt;0,ROUND(SUMIF(ЗАКАЗЫ!$F$3:$F$500,$A25,ЗАКАЗЫ!$Y$3:$Y$500)/BN25,0),IF(OR(BE25="",BG25=""),"",ROUND(BE25*BG25*(1+Справочники!$B$10),0)))</f>
        <v/>
      </c>
      <c r="BI25" s="92" t="str">
        <f aca="false">IF(OR(AU25="",BH25="",AU25=0),"",(AU25-BH25)/AU25)</f>
        <v/>
      </c>
      <c r="BJ25" s="81"/>
      <c r="BK25" s="83"/>
      <c r="BL25" s="43" t="str">
        <f aca="false">IFERROR(INDEX(ЗАКАЗЫ!$N$3:$N$500,MATCH($A25,ЗАКАЗЫ!$F$3:$F$500,0)),"")</f>
        <v/>
      </c>
      <c r="BM25" s="8" t="str">
        <f aca="false">IF(BL25="","",IFERROR(VLOOKUP(BL25,'ТН ВЭД'!$A$4:$C$40,3,0),""))</f>
        <v/>
      </c>
      <c r="BN25" s="7" t="str">
        <f aca="false">IF(COUNTIF(ЗАКАЗЫ!$F$3:$F$500,$A25)=0,"",SUMIF(ЗАКАЗЫ!$F$3:$F$500,$A25,ЗАКАЗЫ!$J$3:$J$500))</f>
        <v/>
      </c>
      <c r="BO25" s="7" t="str">
        <f aca="false">IF(BN25="","",SUMIF(ЗАКАЗЫ!$F$3:$F$500,$A25,ЗАКАЗЫ!$AL$3:$AL$500))</f>
        <v/>
      </c>
      <c r="BP25" s="7" t="str">
        <f aca="false">IF(BN25="","",BN25-BO25)</f>
        <v/>
      </c>
      <c r="BQ25" s="55" t="str">
        <f aca="false">IF(BN25="","",IF(BO25&gt;=BN25,"На складе",IF(BO25&gt;0,"Частично","Ждём")))</f>
        <v/>
      </c>
      <c r="BR25" s="43"/>
      <c r="BS25" s="47" t="str">
        <f aca="false">IF(BN25="","",IF(_xlfn.MAXIFS(ЗАКАЗЫ!$AK$3:$AK$500,ЗАКАЗЫ!$F$3:$F$500,$A25)=0,"",_xlfn.MAXIFS(ЗАКАЗЫ!$AK$3:$AK$500,ЗАКАЗЫ!$F$3:$F$500,$A25)))</f>
        <v/>
      </c>
    </row>
    <row r="26" customFormat="false" ht="15.75" hidden="false" customHeight="true" outlineLevel="0" collapsed="false">
      <c r="A26" s="80" t="s">
        <v>2937</v>
      </c>
      <c r="B26" s="81"/>
      <c r="C26" s="81"/>
      <c r="D26" s="81"/>
      <c r="E26" s="83"/>
      <c r="F26" s="81"/>
      <c r="G26" s="83"/>
      <c r="H26" s="83"/>
      <c r="I26" s="84" t="str">
        <f aca="false">IF(E26="","",A26&amp;"_1.jpg")</f>
        <v/>
      </c>
      <c r="J26" s="84" t="str">
        <f aca="false">IF(E26="","",A26&amp;"_2.jpg; "&amp;A26&amp;"_3.jpg")</f>
        <v/>
      </c>
      <c r="K26" s="84" t="str">
        <f aca="false">IF(E26="","",A26&amp;"_schema.jpg")</f>
        <v/>
      </c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 t="s">
        <v>96</v>
      </c>
      <c r="W26" s="81"/>
      <c r="X26" s="81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6" t="str">
        <f aca="false">IF(SUM(Y26:AJ26)=0,"",SUM(Y26:AJ26))</f>
        <v/>
      </c>
      <c r="AL26" s="84" t="str">
        <f aca="false">MID(IF(N(Y26)&gt;0,", "&amp;Y$2,"")&amp;IF(N(Z26)&gt;0,", "&amp;Z$2,"")&amp;IF(N(AA26)&gt;0,", "&amp;AA$2,"")&amp;IF(N(AB26)&gt;0,", "&amp;AB$2,"")&amp;IF(N(AC26)&gt;0,", "&amp;AC$2,"")&amp;IF(N(AD26)&gt;0,", "&amp;AD$2,"")&amp;IF(N(AE26)&gt;0,", "&amp;AE$2,"")&amp;IF(N(AF26)&gt;0,", "&amp;AF$2,"")&amp;IF(N(AG26)&gt;0,", "&amp;AG$2,"")&amp;IF(N(AH26)&gt;0,", "&amp;AH$2,"")&amp;IF(N(AI26)&gt;0,", "&amp;AI$2,"")&amp;IF(N(AJ26)&gt;0,", "&amp;AJ$2,""),3,999)</f>
        <v/>
      </c>
      <c r="AM26" s="87" t="str">
        <f aca="false">IF(E26="","",MID(IF(N(Y26)&gt;0,", "&amp;A26&amp;"-"&amp;Y$2,"")&amp;IF(N(Z26)&gt;0,", "&amp;A26&amp;"-"&amp;Z$2,"")&amp;IF(N(AA26)&gt;0,", "&amp;A26&amp;"-"&amp;AA$2,"")&amp;IF(N(AB26)&gt;0,", "&amp;A26&amp;"-"&amp;AB$2,"")&amp;IF(N(AC26)&gt;0,", "&amp;A26&amp;"-"&amp;AC$2,"")&amp;IF(N(AD26)&gt;0,", "&amp;A26&amp;"-"&amp;AD$2,"")&amp;IF(N(AE26)&gt;0,", "&amp;A26&amp;"-"&amp;AE$2,"")&amp;IF(N(AF26)&gt;0,", "&amp;A26&amp;"-"&amp;AF$2,"")&amp;IF(N(AG26)&gt;0,", "&amp;A26&amp;"-"&amp;AG$2,"")&amp;IF(N(AH26)&gt;0,", "&amp;A26&amp;"-"&amp;AH$2,"")&amp;IF(N(AI26)&gt;0,", "&amp;A26&amp;"-"&amp;AI$2,"")&amp;IF(N(AJ26)&gt;0,", "&amp;A26&amp;"-"&amp;AJ$2,""),3,999))</f>
        <v/>
      </c>
      <c r="AN26" s="81"/>
      <c r="AO26" s="88"/>
      <c r="AP26" s="89" t="str">
        <f aca="false">IF(AO26="","",ROUND(AO26/(1+Справочники!$B$13),2))</f>
        <v/>
      </c>
      <c r="AQ26" s="90" t="str">
        <f aca="false" t="array" ref="AQ26:AQ26">IF(AP26="","",AP26*INDEX(Справочники!$B$4:$B$7,MATCH("RUB",Справочники!$A$4:$A$7,0)))</f>
        <v/>
      </c>
      <c r="AR26" s="90" t="str">
        <f aca="false">IF(AQ26="","",ROUND(AQ26*(1+Справочники!$B$12),0))</f>
        <v/>
      </c>
      <c r="AS26" s="90" t="str">
        <f aca="false">IF(AR26="","",ROUND(AR26*(1-Справочники!$B$11),0))</f>
        <v/>
      </c>
      <c r="AT26" s="88"/>
      <c r="AU26" s="90" t="str">
        <f aca="false">IF(AT26="","",ROUND(AT26/(1+Справочники!$B$12),0))</f>
        <v/>
      </c>
      <c r="AV26" s="90" t="str">
        <f aca="false">IF(AT26="","",ROUND(AT26*(1-Справочники!$B$15),0))</f>
        <v/>
      </c>
      <c r="AW26" s="90" t="str">
        <f aca="false">IF(AT26="","",ROUND(AT26*(1-Справочники!$B$16),0))</f>
        <v/>
      </c>
      <c r="AX26" s="90" t="str">
        <f aca="false">IF(AT26="","",ROUND(AT26*(1-Справочники!$B$17),0))</f>
        <v/>
      </c>
      <c r="AY26" s="90" t="str">
        <f aca="false">IF(AT26="","",ROUND(AT26*(1-Справочники!$B$18),0))</f>
        <v/>
      </c>
      <c r="AZ26" s="90" t="str">
        <f aca="false">IF(AT26="","",ROUND(AT26*(1-Справочники!$B$19),0))</f>
        <v/>
      </c>
      <c r="BA26" s="81"/>
      <c r="BB26" s="81"/>
      <c r="BC26" s="81"/>
      <c r="BD26" s="81"/>
      <c r="BE26" s="91"/>
      <c r="BF26" s="81" t="s">
        <v>103</v>
      </c>
      <c r="BG26" s="89" t="n">
        <f aca="false" t="array" ref="BG26:BG26">IF(BF26="","",IFERROR(INDEX(Справочники!$B$4:$B$7,MATCH(BF26,Справочники!$A$4:$A$7,0)),""))</f>
        <v>68.5</v>
      </c>
      <c r="BH26" s="90" t="str">
        <f aca="false">IF(N(BN26)&gt;0,ROUND(SUMIF(ЗАКАЗЫ!$F$3:$F$500,$A26,ЗАКАЗЫ!$Y$3:$Y$500)/BN26,0),IF(OR(BE26="",BG26=""),"",ROUND(BE26*BG26*(1+Справочники!$B$10),0)))</f>
        <v/>
      </c>
      <c r="BI26" s="92" t="str">
        <f aca="false">IF(OR(AU26="",BH26="",AU26=0),"",(AU26-BH26)/AU26)</f>
        <v/>
      </c>
      <c r="BJ26" s="81"/>
      <c r="BK26" s="83"/>
      <c r="BL26" s="43" t="str">
        <f aca="false">IFERROR(INDEX(ЗАКАЗЫ!$N$3:$N$500,MATCH($A26,ЗАКАЗЫ!$F$3:$F$500,0)),"")</f>
        <v/>
      </c>
      <c r="BM26" s="8" t="str">
        <f aca="false">IF(BL26="","",IFERROR(VLOOKUP(BL26,'ТН ВЭД'!$A$4:$C$40,3,0),""))</f>
        <v/>
      </c>
      <c r="BN26" s="7" t="str">
        <f aca="false">IF(COUNTIF(ЗАКАЗЫ!$F$3:$F$500,$A26)=0,"",SUMIF(ЗАКАЗЫ!$F$3:$F$500,$A26,ЗАКАЗЫ!$J$3:$J$500))</f>
        <v/>
      </c>
      <c r="BO26" s="7" t="str">
        <f aca="false">IF(BN26="","",SUMIF(ЗАКАЗЫ!$F$3:$F$500,$A26,ЗАКАЗЫ!$AL$3:$AL$500))</f>
        <v/>
      </c>
      <c r="BP26" s="7" t="str">
        <f aca="false">IF(BN26="","",BN26-BO26)</f>
        <v/>
      </c>
      <c r="BQ26" s="55" t="str">
        <f aca="false">IF(BN26="","",IF(BO26&gt;=BN26,"На складе",IF(BO26&gt;0,"Частично","Ждём")))</f>
        <v/>
      </c>
      <c r="BR26" s="43"/>
      <c r="BS26" s="47" t="str">
        <f aca="false">IF(BN26="","",IF(_xlfn.MAXIFS(ЗАКАЗЫ!$AK$3:$AK$500,ЗАКАЗЫ!$F$3:$F$500,$A26)=0,"",_xlfn.MAXIFS(ЗАКАЗЫ!$AK$3:$AK$500,ЗАКАЗЫ!$F$3:$F$500,$A26)))</f>
        <v/>
      </c>
    </row>
    <row r="27" customFormat="false" ht="15.75" hidden="false" customHeight="true" outlineLevel="0" collapsed="false">
      <c r="A27" s="80" t="s">
        <v>2938</v>
      </c>
      <c r="B27" s="81"/>
      <c r="C27" s="81"/>
      <c r="D27" s="81"/>
      <c r="E27" s="83"/>
      <c r="F27" s="81"/>
      <c r="G27" s="83"/>
      <c r="H27" s="83"/>
      <c r="I27" s="84" t="str">
        <f aca="false">IF(E27="","",A27&amp;"_1.jpg")</f>
        <v/>
      </c>
      <c r="J27" s="84" t="str">
        <f aca="false">IF(E27="","",A27&amp;"_2.jpg; "&amp;A27&amp;"_3.jpg")</f>
        <v/>
      </c>
      <c r="K27" s="84" t="str">
        <f aca="false">IF(E27="","",A27&amp;"_schema.jpg")</f>
        <v/>
      </c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 t="s">
        <v>96</v>
      </c>
      <c r="W27" s="81"/>
      <c r="X27" s="81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6" t="str">
        <f aca="false">IF(SUM(Y27:AJ27)=0,"",SUM(Y27:AJ27))</f>
        <v/>
      </c>
      <c r="AL27" s="84" t="str">
        <f aca="false">MID(IF(N(Y27)&gt;0,", "&amp;Y$2,"")&amp;IF(N(Z27)&gt;0,", "&amp;Z$2,"")&amp;IF(N(AA27)&gt;0,", "&amp;AA$2,"")&amp;IF(N(AB27)&gt;0,", "&amp;AB$2,"")&amp;IF(N(AC27)&gt;0,", "&amp;AC$2,"")&amp;IF(N(AD27)&gt;0,", "&amp;AD$2,"")&amp;IF(N(AE27)&gt;0,", "&amp;AE$2,"")&amp;IF(N(AF27)&gt;0,", "&amp;AF$2,"")&amp;IF(N(AG27)&gt;0,", "&amp;AG$2,"")&amp;IF(N(AH27)&gt;0,", "&amp;AH$2,"")&amp;IF(N(AI27)&gt;0,", "&amp;AI$2,"")&amp;IF(N(AJ27)&gt;0,", "&amp;AJ$2,""),3,999)</f>
        <v/>
      </c>
      <c r="AM27" s="87" t="str">
        <f aca="false">IF(E27="","",MID(IF(N(Y27)&gt;0,", "&amp;A27&amp;"-"&amp;Y$2,"")&amp;IF(N(Z27)&gt;0,", "&amp;A27&amp;"-"&amp;Z$2,"")&amp;IF(N(AA27)&gt;0,", "&amp;A27&amp;"-"&amp;AA$2,"")&amp;IF(N(AB27)&gt;0,", "&amp;A27&amp;"-"&amp;AB$2,"")&amp;IF(N(AC27)&gt;0,", "&amp;A27&amp;"-"&amp;AC$2,"")&amp;IF(N(AD27)&gt;0,", "&amp;A27&amp;"-"&amp;AD$2,"")&amp;IF(N(AE27)&gt;0,", "&amp;A27&amp;"-"&amp;AE$2,"")&amp;IF(N(AF27)&gt;0,", "&amp;A27&amp;"-"&amp;AF$2,"")&amp;IF(N(AG27)&gt;0,", "&amp;A27&amp;"-"&amp;AG$2,"")&amp;IF(N(AH27)&gt;0,", "&amp;A27&amp;"-"&amp;AH$2,"")&amp;IF(N(AI27)&gt;0,", "&amp;A27&amp;"-"&amp;AI$2,"")&amp;IF(N(AJ27)&gt;0,", "&amp;A27&amp;"-"&amp;AJ$2,""),3,999))</f>
        <v/>
      </c>
      <c r="AN27" s="81"/>
      <c r="AO27" s="88"/>
      <c r="AP27" s="89" t="str">
        <f aca="false">IF(AO27="","",ROUND(AO27/(1+Справочники!$B$13),2))</f>
        <v/>
      </c>
      <c r="AQ27" s="90" t="str">
        <f aca="false" t="array" ref="AQ27:AQ27">IF(AP27="","",AP27*INDEX(Справочники!$B$4:$B$7,MATCH("RUB",Справочники!$A$4:$A$7,0)))</f>
        <v/>
      </c>
      <c r="AR27" s="90" t="str">
        <f aca="false">IF(AQ27="","",ROUND(AQ27*(1+Справочники!$B$12),0))</f>
        <v/>
      </c>
      <c r="AS27" s="90" t="str">
        <f aca="false">IF(AR27="","",ROUND(AR27*(1-Справочники!$B$11),0))</f>
        <v/>
      </c>
      <c r="AT27" s="88"/>
      <c r="AU27" s="90" t="str">
        <f aca="false">IF(AT27="","",ROUND(AT27/(1+Справочники!$B$12),0))</f>
        <v/>
      </c>
      <c r="AV27" s="90" t="str">
        <f aca="false">IF(AT27="","",ROUND(AT27*(1-Справочники!$B$15),0))</f>
        <v/>
      </c>
      <c r="AW27" s="90" t="str">
        <f aca="false">IF(AT27="","",ROUND(AT27*(1-Справочники!$B$16),0))</f>
        <v/>
      </c>
      <c r="AX27" s="90" t="str">
        <f aca="false">IF(AT27="","",ROUND(AT27*(1-Справочники!$B$17),0))</f>
        <v/>
      </c>
      <c r="AY27" s="90" t="str">
        <f aca="false">IF(AT27="","",ROUND(AT27*(1-Справочники!$B$18),0))</f>
        <v/>
      </c>
      <c r="AZ27" s="90" t="str">
        <f aca="false">IF(AT27="","",ROUND(AT27*(1-Справочники!$B$19),0))</f>
        <v/>
      </c>
      <c r="BA27" s="81"/>
      <c r="BB27" s="81"/>
      <c r="BC27" s="81"/>
      <c r="BD27" s="81"/>
      <c r="BE27" s="91"/>
      <c r="BF27" s="81" t="s">
        <v>103</v>
      </c>
      <c r="BG27" s="89" t="n">
        <f aca="false" t="array" ref="BG27:BG27">IF(BF27="","",IFERROR(INDEX(Справочники!$B$4:$B$7,MATCH(BF27,Справочники!$A$4:$A$7,0)),""))</f>
        <v>68.5</v>
      </c>
      <c r="BH27" s="90" t="str">
        <f aca="false">IF(N(BN27)&gt;0,ROUND(SUMIF(ЗАКАЗЫ!$F$3:$F$500,$A27,ЗАКАЗЫ!$Y$3:$Y$500)/BN27,0),IF(OR(BE27="",BG27=""),"",ROUND(BE27*BG27*(1+Справочники!$B$10),0)))</f>
        <v/>
      </c>
      <c r="BI27" s="92" t="str">
        <f aca="false">IF(OR(AU27="",BH27="",AU27=0),"",(AU27-BH27)/AU27)</f>
        <v/>
      </c>
      <c r="BJ27" s="81"/>
      <c r="BK27" s="83"/>
      <c r="BL27" s="43" t="str">
        <f aca="false">IFERROR(INDEX(ЗАКАЗЫ!$N$3:$N$500,MATCH($A27,ЗАКАЗЫ!$F$3:$F$500,0)),"")</f>
        <v/>
      </c>
      <c r="BM27" s="8" t="str">
        <f aca="false">IF(BL27="","",IFERROR(VLOOKUP(BL27,'ТН ВЭД'!$A$4:$C$40,3,0),""))</f>
        <v/>
      </c>
      <c r="BN27" s="7" t="str">
        <f aca="false">IF(COUNTIF(ЗАКАЗЫ!$F$3:$F$500,$A27)=0,"",SUMIF(ЗАКАЗЫ!$F$3:$F$500,$A27,ЗАКАЗЫ!$J$3:$J$500))</f>
        <v/>
      </c>
      <c r="BO27" s="7" t="str">
        <f aca="false">IF(BN27="","",SUMIF(ЗАКАЗЫ!$F$3:$F$500,$A27,ЗАКАЗЫ!$AL$3:$AL$500))</f>
        <v/>
      </c>
      <c r="BP27" s="7" t="str">
        <f aca="false">IF(BN27="","",BN27-BO27)</f>
        <v/>
      </c>
      <c r="BQ27" s="55" t="str">
        <f aca="false">IF(BN27="","",IF(BO27&gt;=BN27,"На складе",IF(BO27&gt;0,"Частично","Ждём")))</f>
        <v/>
      </c>
      <c r="BR27" s="43"/>
      <c r="BS27" s="47" t="str">
        <f aca="false">IF(BN27="","",IF(_xlfn.MAXIFS(ЗАКАЗЫ!$AK$3:$AK$500,ЗАКАЗЫ!$F$3:$F$500,$A27)=0,"",_xlfn.MAXIFS(ЗАКАЗЫ!$AK$3:$AK$500,ЗАКАЗЫ!$F$3:$F$500,$A27)))</f>
        <v/>
      </c>
    </row>
    <row r="28" customFormat="false" ht="15.75" hidden="false" customHeight="true" outlineLevel="0" collapsed="false">
      <c r="A28" s="80" t="s">
        <v>2939</v>
      </c>
      <c r="B28" s="81"/>
      <c r="C28" s="81"/>
      <c r="D28" s="81"/>
      <c r="E28" s="83"/>
      <c r="F28" s="81"/>
      <c r="G28" s="83"/>
      <c r="H28" s="83"/>
      <c r="I28" s="84" t="str">
        <f aca="false">IF(E28="","",A28&amp;"_1.jpg")</f>
        <v/>
      </c>
      <c r="J28" s="84" t="str">
        <f aca="false">IF(E28="","",A28&amp;"_2.jpg; "&amp;A28&amp;"_3.jpg")</f>
        <v/>
      </c>
      <c r="K28" s="84" t="str">
        <f aca="false">IF(E28="","",A28&amp;"_schema.jpg")</f>
        <v/>
      </c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 t="s">
        <v>96</v>
      </c>
      <c r="W28" s="81"/>
      <c r="X28" s="81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6" t="str">
        <f aca="false">IF(SUM(Y28:AJ28)=0,"",SUM(Y28:AJ28))</f>
        <v/>
      </c>
      <c r="AL28" s="84" t="str">
        <f aca="false">MID(IF(N(Y28)&gt;0,", "&amp;Y$2,"")&amp;IF(N(Z28)&gt;0,", "&amp;Z$2,"")&amp;IF(N(AA28)&gt;0,", "&amp;AA$2,"")&amp;IF(N(AB28)&gt;0,", "&amp;AB$2,"")&amp;IF(N(AC28)&gt;0,", "&amp;AC$2,"")&amp;IF(N(AD28)&gt;0,", "&amp;AD$2,"")&amp;IF(N(AE28)&gt;0,", "&amp;AE$2,"")&amp;IF(N(AF28)&gt;0,", "&amp;AF$2,"")&amp;IF(N(AG28)&gt;0,", "&amp;AG$2,"")&amp;IF(N(AH28)&gt;0,", "&amp;AH$2,"")&amp;IF(N(AI28)&gt;0,", "&amp;AI$2,"")&amp;IF(N(AJ28)&gt;0,", "&amp;AJ$2,""),3,999)</f>
        <v/>
      </c>
      <c r="AM28" s="87" t="str">
        <f aca="false">IF(E28="","",MID(IF(N(Y28)&gt;0,", "&amp;A28&amp;"-"&amp;Y$2,"")&amp;IF(N(Z28)&gt;0,", "&amp;A28&amp;"-"&amp;Z$2,"")&amp;IF(N(AA28)&gt;0,", "&amp;A28&amp;"-"&amp;AA$2,"")&amp;IF(N(AB28)&gt;0,", "&amp;A28&amp;"-"&amp;AB$2,"")&amp;IF(N(AC28)&gt;0,", "&amp;A28&amp;"-"&amp;AC$2,"")&amp;IF(N(AD28)&gt;0,", "&amp;A28&amp;"-"&amp;AD$2,"")&amp;IF(N(AE28)&gt;0,", "&amp;A28&amp;"-"&amp;AE$2,"")&amp;IF(N(AF28)&gt;0,", "&amp;A28&amp;"-"&amp;AF$2,"")&amp;IF(N(AG28)&gt;0,", "&amp;A28&amp;"-"&amp;AG$2,"")&amp;IF(N(AH28)&gt;0,", "&amp;A28&amp;"-"&amp;AH$2,"")&amp;IF(N(AI28)&gt;0,", "&amp;A28&amp;"-"&amp;AI$2,"")&amp;IF(N(AJ28)&gt;0,", "&amp;A28&amp;"-"&amp;AJ$2,""),3,999))</f>
        <v/>
      </c>
      <c r="AN28" s="81"/>
      <c r="AO28" s="88"/>
      <c r="AP28" s="89" t="str">
        <f aca="false">IF(AO28="","",ROUND(AO28/(1+Справочники!$B$13),2))</f>
        <v/>
      </c>
      <c r="AQ28" s="90" t="str">
        <f aca="false" t="array" ref="AQ28:AQ28">IF(AP28="","",AP28*INDEX(Справочники!$B$4:$B$7,MATCH("RUB",Справочники!$A$4:$A$7,0)))</f>
        <v/>
      </c>
      <c r="AR28" s="90" t="str">
        <f aca="false">IF(AQ28="","",ROUND(AQ28*(1+Справочники!$B$12),0))</f>
        <v/>
      </c>
      <c r="AS28" s="90" t="str">
        <f aca="false">IF(AR28="","",ROUND(AR28*(1-Справочники!$B$11),0))</f>
        <v/>
      </c>
      <c r="AT28" s="88"/>
      <c r="AU28" s="90" t="str">
        <f aca="false">IF(AT28="","",ROUND(AT28/(1+Справочники!$B$12),0))</f>
        <v/>
      </c>
      <c r="AV28" s="90" t="str">
        <f aca="false">IF(AT28="","",ROUND(AT28*(1-Справочники!$B$15),0))</f>
        <v/>
      </c>
      <c r="AW28" s="90" t="str">
        <f aca="false">IF(AT28="","",ROUND(AT28*(1-Справочники!$B$16),0))</f>
        <v/>
      </c>
      <c r="AX28" s="90" t="str">
        <f aca="false">IF(AT28="","",ROUND(AT28*(1-Справочники!$B$17),0))</f>
        <v/>
      </c>
      <c r="AY28" s="90" t="str">
        <f aca="false">IF(AT28="","",ROUND(AT28*(1-Справочники!$B$18),0))</f>
        <v/>
      </c>
      <c r="AZ28" s="90" t="str">
        <f aca="false">IF(AT28="","",ROUND(AT28*(1-Справочники!$B$19),0))</f>
        <v/>
      </c>
      <c r="BA28" s="81"/>
      <c r="BB28" s="81"/>
      <c r="BC28" s="81"/>
      <c r="BD28" s="81"/>
      <c r="BE28" s="91"/>
      <c r="BF28" s="81" t="s">
        <v>103</v>
      </c>
      <c r="BG28" s="89" t="n">
        <f aca="false" t="array" ref="BG28:BG28">IF(BF28="","",IFERROR(INDEX(Справочники!$B$4:$B$7,MATCH(BF28,Справочники!$A$4:$A$7,0)),""))</f>
        <v>68.5</v>
      </c>
      <c r="BH28" s="90" t="str">
        <f aca="false">IF(N(BN28)&gt;0,ROUND(SUMIF(ЗАКАЗЫ!$F$3:$F$500,$A28,ЗАКАЗЫ!$Y$3:$Y$500)/BN28,0),IF(OR(BE28="",BG28=""),"",ROUND(BE28*BG28*(1+Справочники!$B$10),0)))</f>
        <v/>
      </c>
      <c r="BI28" s="92" t="str">
        <f aca="false">IF(OR(AU28="",BH28="",AU28=0),"",(AU28-BH28)/AU28)</f>
        <v/>
      </c>
      <c r="BJ28" s="81"/>
      <c r="BK28" s="83"/>
      <c r="BL28" s="43" t="str">
        <f aca="false">IFERROR(INDEX(ЗАКАЗЫ!$N$3:$N$500,MATCH($A28,ЗАКАЗЫ!$F$3:$F$500,0)),"")</f>
        <v/>
      </c>
      <c r="BM28" s="8" t="str">
        <f aca="false">IF(BL28="","",IFERROR(VLOOKUP(BL28,'ТН ВЭД'!$A$4:$C$40,3,0),""))</f>
        <v/>
      </c>
      <c r="BN28" s="7" t="str">
        <f aca="false">IF(COUNTIF(ЗАКАЗЫ!$F$3:$F$500,$A28)=0,"",SUMIF(ЗАКАЗЫ!$F$3:$F$500,$A28,ЗАКАЗЫ!$J$3:$J$500))</f>
        <v/>
      </c>
      <c r="BO28" s="7" t="str">
        <f aca="false">IF(BN28="","",SUMIF(ЗАКАЗЫ!$F$3:$F$500,$A28,ЗАКАЗЫ!$AL$3:$AL$500))</f>
        <v/>
      </c>
      <c r="BP28" s="7" t="str">
        <f aca="false">IF(BN28="","",BN28-BO28)</f>
        <v/>
      </c>
      <c r="BQ28" s="55" t="str">
        <f aca="false">IF(BN28="","",IF(BO28&gt;=BN28,"На складе",IF(BO28&gt;0,"Частично","Ждём")))</f>
        <v/>
      </c>
      <c r="BR28" s="43"/>
      <c r="BS28" s="47" t="str">
        <f aca="false">IF(BN28="","",IF(_xlfn.MAXIFS(ЗАКАЗЫ!$AK$3:$AK$500,ЗАКАЗЫ!$F$3:$F$500,$A28)=0,"",_xlfn.MAXIFS(ЗАКАЗЫ!$AK$3:$AK$500,ЗАКАЗЫ!$F$3:$F$500,$A28)))</f>
        <v/>
      </c>
    </row>
    <row r="29" customFormat="false" ht="15.75" hidden="false" customHeight="true" outlineLevel="0" collapsed="false">
      <c r="A29" s="80" t="s">
        <v>2940</v>
      </c>
      <c r="B29" s="81"/>
      <c r="C29" s="81"/>
      <c r="D29" s="81"/>
      <c r="E29" s="83"/>
      <c r="F29" s="81"/>
      <c r="G29" s="83"/>
      <c r="H29" s="83"/>
      <c r="I29" s="84" t="str">
        <f aca="false">IF(E29="","",A29&amp;"_1.jpg")</f>
        <v/>
      </c>
      <c r="J29" s="84" t="str">
        <f aca="false">IF(E29="","",A29&amp;"_2.jpg; "&amp;A29&amp;"_3.jpg")</f>
        <v/>
      </c>
      <c r="K29" s="84" t="str">
        <f aca="false">IF(E29="","",A29&amp;"_schema.jpg")</f>
        <v/>
      </c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 t="s">
        <v>96</v>
      </c>
      <c r="W29" s="81"/>
      <c r="X29" s="81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6" t="str">
        <f aca="false">IF(SUM(Y29:AJ29)=0,"",SUM(Y29:AJ29))</f>
        <v/>
      </c>
      <c r="AL29" s="84" t="str">
        <f aca="false">MID(IF(N(Y29)&gt;0,", "&amp;Y$2,"")&amp;IF(N(Z29)&gt;0,", "&amp;Z$2,"")&amp;IF(N(AA29)&gt;0,", "&amp;AA$2,"")&amp;IF(N(AB29)&gt;0,", "&amp;AB$2,"")&amp;IF(N(AC29)&gt;0,", "&amp;AC$2,"")&amp;IF(N(AD29)&gt;0,", "&amp;AD$2,"")&amp;IF(N(AE29)&gt;0,", "&amp;AE$2,"")&amp;IF(N(AF29)&gt;0,", "&amp;AF$2,"")&amp;IF(N(AG29)&gt;0,", "&amp;AG$2,"")&amp;IF(N(AH29)&gt;0,", "&amp;AH$2,"")&amp;IF(N(AI29)&gt;0,", "&amp;AI$2,"")&amp;IF(N(AJ29)&gt;0,", "&amp;AJ$2,""),3,999)</f>
        <v/>
      </c>
      <c r="AM29" s="87" t="str">
        <f aca="false">IF(E29="","",MID(IF(N(Y29)&gt;0,", "&amp;A29&amp;"-"&amp;Y$2,"")&amp;IF(N(Z29)&gt;0,", "&amp;A29&amp;"-"&amp;Z$2,"")&amp;IF(N(AA29)&gt;0,", "&amp;A29&amp;"-"&amp;AA$2,"")&amp;IF(N(AB29)&gt;0,", "&amp;A29&amp;"-"&amp;AB$2,"")&amp;IF(N(AC29)&gt;0,", "&amp;A29&amp;"-"&amp;AC$2,"")&amp;IF(N(AD29)&gt;0,", "&amp;A29&amp;"-"&amp;AD$2,"")&amp;IF(N(AE29)&gt;0,", "&amp;A29&amp;"-"&amp;AE$2,"")&amp;IF(N(AF29)&gt;0,", "&amp;A29&amp;"-"&amp;AF$2,"")&amp;IF(N(AG29)&gt;0,", "&amp;A29&amp;"-"&amp;AG$2,"")&amp;IF(N(AH29)&gt;0,", "&amp;A29&amp;"-"&amp;AH$2,"")&amp;IF(N(AI29)&gt;0,", "&amp;A29&amp;"-"&amp;AI$2,"")&amp;IF(N(AJ29)&gt;0,", "&amp;A29&amp;"-"&amp;AJ$2,""),3,999))</f>
        <v/>
      </c>
      <c r="AN29" s="81"/>
      <c r="AO29" s="88"/>
      <c r="AP29" s="89" t="str">
        <f aca="false">IF(AO29="","",ROUND(AO29/(1+Справочники!$B$13),2))</f>
        <v/>
      </c>
      <c r="AQ29" s="90" t="str">
        <f aca="false" t="array" ref="AQ29:AQ29">IF(AP29="","",AP29*INDEX(Справочники!$B$4:$B$7,MATCH("RUB",Справочники!$A$4:$A$7,0)))</f>
        <v/>
      </c>
      <c r="AR29" s="90" t="str">
        <f aca="false">IF(AQ29="","",ROUND(AQ29*(1+Справочники!$B$12),0))</f>
        <v/>
      </c>
      <c r="AS29" s="90" t="str">
        <f aca="false">IF(AR29="","",ROUND(AR29*(1-Справочники!$B$11),0))</f>
        <v/>
      </c>
      <c r="AT29" s="88"/>
      <c r="AU29" s="90" t="str">
        <f aca="false">IF(AT29="","",ROUND(AT29/(1+Справочники!$B$12),0))</f>
        <v/>
      </c>
      <c r="AV29" s="90" t="str">
        <f aca="false">IF(AT29="","",ROUND(AT29*(1-Справочники!$B$15),0))</f>
        <v/>
      </c>
      <c r="AW29" s="90" t="str">
        <f aca="false">IF(AT29="","",ROUND(AT29*(1-Справочники!$B$16),0))</f>
        <v/>
      </c>
      <c r="AX29" s="90" t="str">
        <f aca="false">IF(AT29="","",ROUND(AT29*(1-Справочники!$B$17),0))</f>
        <v/>
      </c>
      <c r="AY29" s="90" t="str">
        <f aca="false">IF(AT29="","",ROUND(AT29*(1-Справочники!$B$18),0))</f>
        <v/>
      </c>
      <c r="AZ29" s="90" t="str">
        <f aca="false">IF(AT29="","",ROUND(AT29*(1-Справочники!$B$19),0))</f>
        <v/>
      </c>
      <c r="BA29" s="81"/>
      <c r="BB29" s="81"/>
      <c r="BC29" s="81"/>
      <c r="BD29" s="81"/>
      <c r="BE29" s="91"/>
      <c r="BF29" s="81" t="s">
        <v>103</v>
      </c>
      <c r="BG29" s="89" t="n">
        <f aca="false" t="array" ref="BG29:BG29">IF(BF29="","",IFERROR(INDEX(Справочники!$B$4:$B$7,MATCH(BF29,Справочники!$A$4:$A$7,0)),""))</f>
        <v>68.5</v>
      </c>
      <c r="BH29" s="90" t="str">
        <f aca="false">IF(N(BN29)&gt;0,ROUND(SUMIF(ЗАКАЗЫ!$F$3:$F$500,$A29,ЗАКАЗЫ!$Y$3:$Y$500)/BN29,0),IF(OR(BE29="",BG29=""),"",ROUND(BE29*BG29*(1+Справочники!$B$10),0)))</f>
        <v/>
      </c>
      <c r="BI29" s="92" t="str">
        <f aca="false">IF(OR(AU29="",BH29="",AU29=0),"",(AU29-BH29)/AU29)</f>
        <v/>
      </c>
      <c r="BJ29" s="81"/>
      <c r="BK29" s="83"/>
      <c r="BL29" s="43" t="str">
        <f aca="false">IFERROR(INDEX(ЗАКАЗЫ!$N$3:$N$500,MATCH($A29,ЗАКАЗЫ!$F$3:$F$500,0)),"")</f>
        <v/>
      </c>
      <c r="BM29" s="8" t="str">
        <f aca="false">IF(BL29="","",IFERROR(VLOOKUP(BL29,'ТН ВЭД'!$A$4:$C$40,3,0),""))</f>
        <v/>
      </c>
      <c r="BN29" s="7" t="str">
        <f aca="false">IF(COUNTIF(ЗАКАЗЫ!$F$3:$F$500,$A29)=0,"",SUMIF(ЗАКАЗЫ!$F$3:$F$500,$A29,ЗАКАЗЫ!$J$3:$J$500))</f>
        <v/>
      </c>
      <c r="BO29" s="7" t="str">
        <f aca="false">IF(BN29="","",SUMIF(ЗАКАЗЫ!$F$3:$F$500,$A29,ЗАКАЗЫ!$AL$3:$AL$500))</f>
        <v/>
      </c>
      <c r="BP29" s="7" t="str">
        <f aca="false">IF(BN29="","",BN29-BO29)</f>
        <v/>
      </c>
      <c r="BQ29" s="55" t="str">
        <f aca="false">IF(BN29="","",IF(BO29&gt;=BN29,"На складе",IF(BO29&gt;0,"Частично","Ждём")))</f>
        <v/>
      </c>
      <c r="BR29" s="43"/>
      <c r="BS29" s="47" t="str">
        <f aca="false">IF(BN29="","",IF(_xlfn.MAXIFS(ЗАКАЗЫ!$AK$3:$AK$500,ЗАКАЗЫ!$F$3:$F$500,$A29)=0,"",_xlfn.MAXIFS(ЗАКАЗЫ!$AK$3:$AK$500,ЗАКАЗЫ!$F$3:$F$500,$A29)))</f>
        <v/>
      </c>
    </row>
    <row r="30" customFormat="false" ht="15.75" hidden="false" customHeight="true" outlineLevel="0" collapsed="false">
      <c r="A30" s="80" t="s">
        <v>2941</v>
      </c>
      <c r="B30" s="81"/>
      <c r="C30" s="81"/>
      <c r="D30" s="81"/>
      <c r="E30" s="83"/>
      <c r="F30" s="81"/>
      <c r="G30" s="83"/>
      <c r="H30" s="83"/>
      <c r="I30" s="84" t="str">
        <f aca="false">IF(E30="","",A30&amp;"_1.jpg")</f>
        <v/>
      </c>
      <c r="J30" s="84" t="str">
        <f aca="false">IF(E30="","",A30&amp;"_2.jpg; "&amp;A30&amp;"_3.jpg")</f>
        <v/>
      </c>
      <c r="K30" s="84" t="str">
        <f aca="false">IF(E30="","",A30&amp;"_schema.jpg")</f>
        <v/>
      </c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 t="s">
        <v>96</v>
      </c>
      <c r="W30" s="81"/>
      <c r="X30" s="81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6" t="str">
        <f aca="false">IF(SUM(Y30:AJ30)=0,"",SUM(Y30:AJ30))</f>
        <v/>
      </c>
      <c r="AL30" s="84" t="str">
        <f aca="false">MID(IF(N(Y30)&gt;0,", "&amp;Y$2,"")&amp;IF(N(Z30)&gt;0,", "&amp;Z$2,"")&amp;IF(N(AA30)&gt;0,", "&amp;AA$2,"")&amp;IF(N(AB30)&gt;0,", "&amp;AB$2,"")&amp;IF(N(AC30)&gt;0,", "&amp;AC$2,"")&amp;IF(N(AD30)&gt;0,", "&amp;AD$2,"")&amp;IF(N(AE30)&gt;0,", "&amp;AE$2,"")&amp;IF(N(AF30)&gt;0,", "&amp;AF$2,"")&amp;IF(N(AG30)&gt;0,", "&amp;AG$2,"")&amp;IF(N(AH30)&gt;0,", "&amp;AH$2,"")&amp;IF(N(AI30)&gt;0,", "&amp;AI$2,"")&amp;IF(N(AJ30)&gt;0,", "&amp;AJ$2,""),3,999)</f>
        <v/>
      </c>
      <c r="AM30" s="87" t="str">
        <f aca="false">IF(E30="","",MID(IF(N(Y30)&gt;0,", "&amp;A30&amp;"-"&amp;Y$2,"")&amp;IF(N(Z30)&gt;0,", "&amp;A30&amp;"-"&amp;Z$2,"")&amp;IF(N(AA30)&gt;0,", "&amp;A30&amp;"-"&amp;AA$2,"")&amp;IF(N(AB30)&gt;0,", "&amp;A30&amp;"-"&amp;AB$2,"")&amp;IF(N(AC30)&gt;0,", "&amp;A30&amp;"-"&amp;AC$2,"")&amp;IF(N(AD30)&gt;0,", "&amp;A30&amp;"-"&amp;AD$2,"")&amp;IF(N(AE30)&gt;0,", "&amp;A30&amp;"-"&amp;AE$2,"")&amp;IF(N(AF30)&gt;0,", "&amp;A30&amp;"-"&amp;AF$2,"")&amp;IF(N(AG30)&gt;0,", "&amp;A30&amp;"-"&amp;AG$2,"")&amp;IF(N(AH30)&gt;0,", "&amp;A30&amp;"-"&amp;AH$2,"")&amp;IF(N(AI30)&gt;0,", "&amp;A30&amp;"-"&amp;AI$2,"")&amp;IF(N(AJ30)&gt;0,", "&amp;A30&amp;"-"&amp;AJ$2,""),3,999))</f>
        <v/>
      </c>
      <c r="AN30" s="81"/>
      <c r="AO30" s="88"/>
      <c r="AP30" s="89" t="str">
        <f aca="false">IF(AO30="","",ROUND(AO30/(1+Справочники!$B$13),2))</f>
        <v/>
      </c>
      <c r="AQ30" s="90" t="str">
        <f aca="false" t="array" ref="AQ30:AQ30">IF(AP30="","",AP30*INDEX(Справочники!$B$4:$B$7,MATCH("RUB",Справочники!$A$4:$A$7,0)))</f>
        <v/>
      </c>
      <c r="AR30" s="90" t="str">
        <f aca="false">IF(AQ30="","",ROUND(AQ30*(1+Справочники!$B$12),0))</f>
        <v/>
      </c>
      <c r="AS30" s="90" t="str">
        <f aca="false">IF(AR30="","",ROUND(AR30*(1-Справочники!$B$11),0))</f>
        <v/>
      </c>
      <c r="AT30" s="88"/>
      <c r="AU30" s="90" t="str">
        <f aca="false">IF(AT30="","",ROUND(AT30/(1+Справочники!$B$12),0))</f>
        <v/>
      </c>
      <c r="AV30" s="90" t="str">
        <f aca="false">IF(AT30="","",ROUND(AT30*(1-Справочники!$B$15),0))</f>
        <v/>
      </c>
      <c r="AW30" s="90" t="str">
        <f aca="false">IF(AT30="","",ROUND(AT30*(1-Справочники!$B$16),0))</f>
        <v/>
      </c>
      <c r="AX30" s="90" t="str">
        <f aca="false">IF(AT30="","",ROUND(AT30*(1-Справочники!$B$17),0))</f>
        <v/>
      </c>
      <c r="AY30" s="90" t="str">
        <f aca="false">IF(AT30="","",ROUND(AT30*(1-Справочники!$B$18),0))</f>
        <v/>
      </c>
      <c r="AZ30" s="90" t="str">
        <f aca="false">IF(AT30="","",ROUND(AT30*(1-Справочники!$B$19),0))</f>
        <v/>
      </c>
      <c r="BA30" s="81"/>
      <c r="BB30" s="81"/>
      <c r="BC30" s="81"/>
      <c r="BD30" s="81"/>
      <c r="BE30" s="91"/>
      <c r="BF30" s="81" t="s">
        <v>103</v>
      </c>
      <c r="BG30" s="89" t="n">
        <f aca="false" t="array" ref="BG30:BG30">IF(BF30="","",IFERROR(INDEX(Справочники!$B$4:$B$7,MATCH(BF30,Справочники!$A$4:$A$7,0)),""))</f>
        <v>68.5</v>
      </c>
      <c r="BH30" s="90" t="str">
        <f aca="false">IF(N(BN30)&gt;0,ROUND(SUMIF(ЗАКАЗЫ!$F$3:$F$500,$A30,ЗАКАЗЫ!$Y$3:$Y$500)/BN30,0),IF(OR(BE30="",BG30=""),"",ROUND(BE30*BG30*(1+Справочники!$B$10),0)))</f>
        <v/>
      </c>
      <c r="BI30" s="92" t="str">
        <f aca="false">IF(OR(AU30="",BH30="",AU30=0),"",(AU30-BH30)/AU30)</f>
        <v/>
      </c>
      <c r="BJ30" s="81"/>
      <c r="BK30" s="83"/>
      <c r="BL30" s="43" t="str">
        <f aca="false">IFERROR(INDEX(ЗАКАЗЫ!$N$3:$N$500,MATCH($A30,ЗАКАЗЫ!$F$3:$F$500,0)),"")</f>
        <v/>
      </c>
      <c r="BM30" s="8" t="str">
        <f aca="false">IF(BL30="","",IFERROR(VLOOKUP(BL30,'ТН ВЭД'!$A$4:$C$40,3,0),""))</f>
        <v/>
      </c>
      <c r="BN30" s="7" t="str">
        <f aca="false">IF(COUNTIF(ЗАКАЗЫ!$F$3:$F$500,$A30)=0,"",SUMIF(ЗАКАЗЫ!$F$3:$F$500,$A30,ЗАКАЗЫ!$J$3:$J$500))</f>
        <v/>
      </c>
      <c r="BO30" s="7" t="str">
        <f aca="false">IF(BN30="","",SUMIF(ЗАКАЗЫ!$F$3:$F$500,$A30,ЗАКАЗЫ!$AL$3:$AL$500))</f>
        <v/>
      </c>
      <c r="BP30" s="7" t="str">
        <f aca="false">IF(BN30="","",BN30-BO30)</f>
        <v/>
      </c>
      <c r="BQ30" s="55" t="str">
        <f aca="false">IF(BN30="","",IF(BO30&gt;=BN30,"На складе",IF(BO30&gt;0,"Частично","Ждём")))</f>
        <v/>
      </c>
      <c r="BR30" s="43"/>
      <c r="BS30" s="47" t="str">
        <f aca="false">IF(BN30="","",IF(_xlfn.MAXIFS(ЗАКАЗЫ!$AK$3:$AK$500,ЗАКАЗЫ!$F$3:$F$500,$A30)=0,"",_xlfn.MAXIFS(ЗАКАЗЫ!$AK$3:$AK$500,ЗАКАЗЫ!$F$3:$F$500,$A30)))</f>
        <v/>
      </c>
    </row>
    <row r="31" customFormat="false" ht="15.75" hidden="false" customHeight="true" outlineLevel="0" collapsed="false">
      <c r="A31" s="80" t="s">
        <v>2942</v>
      </c>
      <c r="B31" s="81"/>
      <c r="C31" s="81"/>
      <c r="D31" s="81"/>
      <c r="E31" s="83"/>
      <c r="F31" s="81"/>
      <c r="G31" s="83"/>
      <c r="H31" s="83"/>
      <c r="I31" s="84" t="str">
        <f aca="false">IF(E31="","",A31&amp;"_1.jpg")</f>
        <v/>
      </c>
      <c r="J31" s="84" t="str">
        <f aca="false">IF(E31="","",A31&amp;"_2.jpg; "&amp;A31&amp;"_3.jpg")</f>
        <v/>
      </c>
      <c r="K31" s="84" t="str">
        <f aca="false">IF(E31="","",A31&amp;"_schema.jpg")</f>
        <v/>
      </c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 t="s">
        <v>96</v>
      </c>
      <c r="W31" s="81"/>
      <c r="X31" s="81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6" t="str">
        <f aca="false">IF(SUM(Y31:AJ31)=0,"",SUM(Y31:AJ31))</f>
        <v/>
      </c>
      <c r="AL31" s="84" t="str">
        <f aca="false">MID(IF(N(Y31)&gt;0,", "&amp;Y$2,"")&amp;IF(N(Z31)&gt;0,", "&amp;Z$2,"")&amp;IF(N(AA31)&gt;0,", "&amp;AA$2,"")&amp;IF(N(AB31)&gt;0,", "&amp;AB$2,"")&amp;IF(N(AC31)&gt;0,", "&amp;AC$2,"")&amp;IF(N(AD31)&gt;0,", "&amp;AD$2,"")&amp;IF(N(AE31)&gt;0,", "&amp;AE$2,"")&amp;IF(N(AF31)&gt;0,", "&amp;AF$2,"")&amp;IF(N(AG31)&gt;0,", "&amp;AG$2,"")&amp;IF(N(AH31)&gt;0,", "&amp;AH$2,"")&amp;IF(N(AI31)&gt;0,", "&amp;AI$2,"")&amp;IF(N(AJ31)&gt;0,", "&amp;AJ$2,""),3,999)</f>
        <v/>
      </c>
      <c r="AM31" s="87" t="str">
        <f aca="false">IF(E31="","",MID(IF(N(Y31)&gt;0,", "&amp;A31&amp;"-"&amp;Y$2,"")&amp;IF(N(Z31)&gt;0,", "&amp;A31&amp;"-"&amp;Z$2,"")&amp;IF(N(AA31)&gt;0,", "&amp;A31&amp;"-"&amp;AA$2,"")&amp;IF(N(AB31)&gt;0,", "&amp;A31&amp;"-"&amp;AB$2,"")&amp;IF(N(AC31)&gt;0,", "&amp;A31&amp;"-"&amp;AC$2,"")&amp;IF(N(AD31)&gt;0,", "&amp;A31&amp;"-"&amp;AD$2,"")&amp;IF(N(AE31)&gt;0,", "&amp;A31&amp;"-"&amp;AE$2,"")&amp;IF(N(AF31)&gt;0,", "&amp;A31&amp;"-"&amp;AF$2,"")&amp;IF(N(AG31)&gt;0,", "&amp;A31&amp;"-"&amp;AG$2,"")&amp;IF(N(AH31)&gt;0,", "&amp;A31&amp;"-"&amp;AH$2,"")&amp;IF(N(AI31)&gt;0,", "&amp;A31&amp;"-"&amp;AI$2,"")&amp;IF(N(AJ31)&gt;0,", "&amp;A31&amp;"-"&amp;AJ$2,""),3,999))</f>
        <v/>
      </c>
      <c r="AN31" s="81"/>
      <c r="AO31" s="88"/>
      <c r="AP31" s="89" t="str">
        <f aca="false">IF(AO31="","",ROUND(AO31/(1+Справочники!$B$13),2))</f>
        <v/>
      </c>
      <c r="AQ31" s="90" t="str">
        <f aca="false" t="array" ref="AQ31:AQ31">IF(AP31="","",AP31*INDEX(Справочники!$B$4:$B$7,MATCH("RUB",Справочники!$A$4:$A$7,0)))</f>
        <v/>
      </c>
      <c r="AR31" s="90" t="str">
        <f aca="false">IF(AQ31="","",ROUND(AQ31*(1+Справочники!$B$12),0))</f>
        <v/>
      </c>
      <c r="AS31" s="90" t="str">
        <f aca="false">IF(AR31="","",ROUND(AR31*(1-Справочники!$B$11),0))</f>
        <v/>
      </c>
      <c r="AT31" s="88"/>
      <c r="AU31" s="90" t="str">
        <f aca="false">IF(AT31="","",ROUND(AT31/(1+Справочники!$B$12),0))</f>
        <v/>
      </c>
      <c r="AV31" s="90" t="str">
        <f aca="false">IF(AT31="","",ROUND(AT31*(1-Справочники!$B$15),0))</f>
        <v/>
      </c>
      <c r="AW31" s="90" t="str">
        <f aca="false">IF(AT31="","",ROUND(AT31*(1-Справочники!$B$16),0))</f>
        <v/>
      </c>
      <c r="AX31" s="90" t="str">
        <f aca="false">IF(AT31="","",ROUND(AT31*(1-Справочники!$B$17),0))</f>
        <v/>
      </c>
      <c r="AY31" s="90" t="str">
        <f aca="false">IF(AT31="","",ROUND(AT31*(1-Справочники!$B$18),0))</f>
        <v/>
      </c>
      <c r="AZ31" s="90" t="str">
        <f aca="false">IF(AT31="","",ROUND(AT31*(1-Справочники!$B$19),0))</f>
        <v/>
      </c>
      <c r="BA31" s="81"/>
      <c r="BB31" s="81"/>
      <c r="BC31" s="81"/>
      <c r="BD31" s="81"/>
      <c r="BE31" s="91"/>
      <c r="BF31" s="81" t="s">
        <v>103</v>
      </c>
      <c r="BG31" s="89" t="n">
        <f aca="false" t="array" ref="BG31:BG31">IF(BF31="","",IFERROR(INDEX(Справочники!$B$4:$B$7,MATCH(BF31,Справочники!$A$4:$A$7,0)),""))</f>
        <v>68.5</v>
      </c>
      <c r="BH31" s="90" t="str">
        <f aca="false">IF(N(BN31)&gt;0,ROUND(SUMIF(ЗАКАЗЫ!$F$3:$F$500,$A31,ЗАКАЗЫ!$Y$3:$Y$500)/BN31,0),IF(OR(BE31="",BG31=""),"",ROUND(BE31*BG31*(1+Справочники!$B$10),0)))</f>
        <v/>
      </c>
      <c r="BI31" s="92" t="str">
        <f aca="false">IF(OR(AU31="",BH31="",AU31=0),"",(AU31-BH31)/AU31)</f>
        <v/>
      </c>
      <c r="BJ31" s="81"/>
      <c r="BK31" s="83"/>
      <c r="BL31" s="43" t="str">
        <f aca="false">IFERROR(INDEX(ЗАКАЗЫ!$N$3:$N$500,MATCH($A31,ЗАКАЗЫ!$F$3:$F$500,0)),"")</f>
        <v/>
      </c>
      <c r="BM31" s="8" t="str">
        <f aca="false">IF(BL31="","",IFERROR(VLOOKUP(BL31,'ТН ВЭД'!$A$4:$C$40,3,0),""))</f>
        <v/>
      </c>
      <c r="BN31" s="7" t="str">
        <f aca="false">IF(COUNTIF(ЗАКАЗЫ!$F$3:$F$500,$A31)=0,"",SUMIF(ЗАКАЗЫ!$F$3:$F$500,$A31,ЗАКАЗЫ!$J$3:$J$500))</f>
        <v/>
      </c>
      <c r="BO31" s="7" t="str">
        <f aca="false">IF(BN31="","",SUMIF(ЗАКАЗЫ!$F$3:$F$500,$A31,ЗАКАЗЫ!$AL$3:$AL$500))</f>
        <v/>
      </c>
      <c r="BP31" s="7" t="str">
        <f aca="false">IF(BN31="","",BN31-BO31)</f>
        <v/>
      </c>
      <c r="BQ31" s="55" t="str">
        <f aca="false">IF(BN31="","",IF(BO31&gt;=BN31,"На складе",IF(BO31&gt;0,"Частично","Ждём")))</f>
        <v/>
      </c>
      <c r="BR31" s="43"/>
      <c r="BS31" s="47" t="str">
        <f aca="false">IF(BN31="","",IF(_xlfn.MAXIFS(ЗАКАЗЫ!$AK$3:$AK$500,ЗАКАЗЫ!$F$3:$F$500,$A31)=0,"",_xlfn.MAXIFS(ЗАКАЗЫ!$AK$3:$AK$500,ЗАКАЗЫ!$F$3:$F$500,$A31)))</f>
        <v/>
      </c>
    </row>
    <row r="32" customFormat="false" ht="15.75" hidden="false" customHeight="true" outlineLevel="0" collapsed="false">
      <c r="A32" s="80" t="s">
        <v>2943</v>
      </c>
      <c r="B32" s="81"/>
      <c r="C32" s="81"/>
      <c r="D32" s="81"/>
      <c r="E32" s="83"/>
      <c r="F32" s="81"/>
      <c r="G32" s="83"/>
      <c r="H32" s="83"/>
      <c r="I32" s="84" t="str">
        <f aca="false">IF(E32="","",A32&amp;"_1.jpg")</f>
        <v/>
      </c>
      <c r="J32" s="84" t="str">
        <f aca="false">IF(E32="","",A32&amp;"_2.jpg; "&amp;A32&amp;"_3.jpg")</f>
        <v/>
      </c>
      <c r="K32" s="84" t="str">
        <f aca="false">IF(E32="","",A32&amp;"_schema.jpg")</f>
        <v/>
      </c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 t="s">
        <v>96</v>
      </c>
      <c r="W32" s="81"/>
      <c r="X32" s="81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6" t="str">
        <f aca="false">IF(SUM(Y32:AJ32)=0,"",SUM(Y32:AJ32))</f>
        <v/>
      </c>
      <c r="AL32" s="84" t="str">
        <f aca="false">MID(IF(N(Y32)&gt;0,", "&amp;Y$2,"")&amp;IF(N(Z32)&gt;0,", "&amp;Z$2,"")&amp;IF(N(AA32)&gt;0,", "&amp;AA$2,"")&amp;IF(N(AB32)&gt;0,", "&amp;AB$2,"")&amp;IF(N(AC32)&gt;0,", "&amp;AC$2,"")&amp;IF(N(AD32)&gt;0,", "&amp;AD$2,"")&amp;IF(N(AE32)&gt;0,", "&amp;AE$2,"")&amp;IF(N(AF32)&gt;0,", "&amp;AF$2,"")&amp;IF(N(AG32)&gt;0,", "&amp;AG$2,"")&amp;IF(N(AH32)&gt;0,", "&amp;AH$2,"")&amp;IF(N(AI32)&gt;0,", "&amp;AI$2,"")&amp;IF(N(AJ32)&gt;0,", "&amp;AJ$2,""),3,999)</f>
        <v/>
      </c>
      <c r="AM32" s="87" t="str">
        <f aca="false">IF(E32="","",MID(IF(N(Y32)&gt;0,", "&amp;A32&amp;"-"&amp;Y$2,"")&amp;IF(N(Z32)&gt;0,", "&amp;A32&amp;"-"&amp;Z$2,"")&amp;IF(N(AA32)&gt;0,", "&amp;A32&amp;"-"&amp;AA$2,"")&amp;IF(N(AB32)&gt;0,", "&amp;A32&amp;"-"&amp;AB$2,"")&amp;IF(N(AC32)&gt;0,", "&amp;A32&amp;"-"&amp;AC$2,"")&amp;IF(N(AD32)&gt;0,", "&amp;A32&amp;"-"&amp;AD$2,"")&amp;IF(N(AE32)&gt;0,", "&amp;A32&amp;"-"&amp;AE$2,"")&amp;IF(N(AF32)&gt;0,", "&amp;A32&amp;"-"&amp;AF$2,"")&amp;IF(N(AG32)&gt;0,", "&amp;A32&amp;"-"&amp;AG$2,"")&amp;IF(N(AH32)&gt;0,", "&amp;A32&amp;"-"&amp;AH$2,"")&amp;IF(N(AI32)&gt;0,", "&amp;A32&amp;"-"&amp;AI$2,"")&amp;IF(N(AJ32)&gt;0,", "&amp;A32&amp;"-"&amp;AJ$2,""),3,999))</f>
        <v/>
      </c>
      <c r="AN32" s="81"/>
      <c r="AO32" s="88"/>
      <c r="AP32" s="89" t="str">
        <f aca="false">IF(AO32="","",ROUND(AO32/(1+Справочники!$B$13),2))</f>
        <v/>
      </c>
      <c r="AQ32" s="90" t="str">
        <f aca="false" t="array" ref="AQ32:AQ32">IF(AP32="","",AP32*INDEX(Справочники!$B$4:$B$7,MATCH("RUB",Справочники!$A$4:$A$7,0)))</f>
        <v/>
      </c>
      <c r="AR32" s="90" t="str">
        <f aca="false">IF(AQ32="","",ROUND(AQ32*(1+Справочники!$B$12),0))</f>
        <v/>
      </c>
      <c r="AS32" s="90" t="str">
        <f aca="false">IF(AR32="","",ROUND(AR32*(1-Справочники!$B$11),0))</f>
        <v/>
      </c>
      <c r="AT32" s="88"/>
      <c r="AU32" s="90" t="str">
        <f aca="false">IF(AT32="","",ROUND(AT32/(1+Справочники!$B$12),0))</f>
        <v/>
      </c>
      <c r="AV32" s="90" t="str">
        <f aca="false">IF(AT32="","",ROUND(AT32*(1-Справочники!$B$15),0))</f>
        <v/>
      </c>
      <c r="AW32" s="90" t="str">
        <f aca="false">IF(AT32="","",ROUND(AT32*(1-Справочники!$B$16),0))</f>
        <v/>
      </c>
      <c r="AX32" s="90" t="str">
        <f aca="false">IF(AT32="","",ROUND(AT32*(1-Справочники!$B$17),0))</f>
        <v/>
      </c>
      <c r="AY32" s="90" t="str">
        <f aca="false">IF(AT32="","",ROUND(AT32*(1-Справочники!$B$18),0))</f>
        <v/>
      </c>
      <c r="AZ32" s="90" t="str">
        <f aca="false">IF(AT32="","",ROUND(AT32*(1-Справочники!$B$19),0))</f>
        <v/>
      </c>
      <c r="BA32" s="81"/>
      <c r="BB32" s="81"/>
      <c r="BC32" s="81"/>
      <c r="BD32" s="81"/>
      <c r="BE32" s="91"/>
      <c r="BF32" s="81" t="s">
        <v>103</v>
      </c>
      <c r="BG32" s="89" t="n">
        <f aca="false" t="array" ref="BG32:BG32">IF(BF32="","",IFERROR(INDEX(Справочники!$B$4:$B$7,MATCH(BF32,Справочники!$A$4:$A$7,0)),""))</f>
        <v>68.5</v>
      </c>
      <c r="BH32" s="90" t="str">
        <f aca="false">IF(N(BN32)&gt;0,ROUND(SUMIF(ЗАКАЗЫ!$F$3:$F$500,$A32,ЗАКАЗЫ!$Y$3:$Y$500)/BN32,0),IF(OR(BE32="",BG32=""),"",ROUND(BE32*BG32*(1+Справочники!$B$10),0)))</f>
        <v/>
      </c>
      <c r="BI32" s="92" t="str">
        <f aca="false">IF(OR(AU32="",BH32="",AU32=0),"",(AU32-BH32)/AU32)</f>
        <v/>
      </c>
      <c r="BJ32" s="81"/>
      <c r="BK32" s="83"/>
      <c r="BL32" s="43" t="str">
        <f aca="false">IFERROR(INDEX(ЗАКАЗЫ!$N$3:$N$500,MATCH($A32,ЗАКАЗЫ!$F$3:$F$500,0)),"")</f>
        <v/>
      </c>
      <c r="BM32" s="8" t="str">
        <f aca="false">IF(BL32="","",IFERROR(VLOOKUP(BL32,'ТН ВЭД'!$A$4:$C$40,3,0),""))</f>
        <v/>
      </c>
      <c r="BN32" s="7" t="str">
        <f aca="false">IF(COUNTIF(ЗАКАЗЫ!$F$3:$F$500,$A32)=0,"",SUMIF(ЗАКАЗЫ!$F$3:$F$500,$A32,ЗАКАЗЫ!$J$3:$J$500))</f>
        <v/>
      </c>
      <c r="BO32" s="7" t="str">
        <f aca="false">IF(BN32="","",SUMIF(ЗАКАЗЫ!$F$3:$F$500,$A32,ЗАКАЗЫ!$AL$3:$AL$500))</f>
        <v/>
      </c>
      <c r="BP32" s="7" t="str">
        <f aca="false">IF(BN32="","",BN32-BO32)</f>
        <v/>
      </c>
      <c r="BQ32" s="55" t="str">
        <f aca="false">IF(BN32="","",IF(BO32&gt;=BN32,"На складе",IF(BO32&gt;0,"Частично","Ждём")))</f>
        <v/>
      </c>
      <c r="BR32" s="43"/>
      <c r="BS32" s="47" t="str">
        <f aca="false">IF(BN32="","",IF(_xlfn.MAXIFS(ЗАКАЗЫ!$AK$3:$AK$500,ЗАКАЗЫ!$F$3:$F$500,$A32)=0,"",_xlfn.MAXIFS(ЗАКАЗЫ!$AK$3:$AK$500,ЗАКАЗЫ!$F$3:$F$500,$A32)))</f>
        <v/>
      </c>
    </row>
    <row r="33" customFormat="false" ht="15.75" hidden="false" customHeight="true" outlineLevel="0" collapsed="false">
      <c r="A33" s="80" t="s">
        <v>2944</v>
      </c>
      <c r="B33" s="81"/>
      <c r="C33" s="81"/>
      <c r="D33" s="81"/>
      <c r="E33" s="83"/>
      <c r="F33" s="81"/>
      <c r="G33" s="83"/>
      <c r="H33" s="83"/>
      <c r="I33" s="84" t="str">
        <f aca="false">IF(E33="","",A33&amp;"_1.jpg")</f>
        <v/>
      </c>
      <c r="J33" s="84" t="str">
        <f aca="false">IF(E33="","",A33&amp;"_2.jpg; "&amp;A33&amp;"_3.jpg")</f>
        <v/>
      </c>
      <c r="K33" s="84" t="str">
        <f aca="false">IF(E33="","",A33&amp;"_schema.jpg")</f>
        <v/>
      </c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 t="s">
        <v>96</v>
      </c>
      <c r="W33" s="81"/>
      <c r="X33" s="81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6" t="str">
        <f aca="false">IF(SUM(Y33:AJ33)=0,"",SUM(Y33:AJ33))</f>
        <v/>
      </c>
      <c r="AL33" s="84" t="str">
        <f aca="false">MID(IF(N(Y33)&gt;0,", "&amp;Y$2,"")&amp;IF(N(Z33)&gt;0,", "&amp;Z$2,"")&amp;IF(N(AA33)&gt;0,", "&amp;AA$2,"")&amp;IF(N(AB33)&gt;0,", "&amp;AB$2,"")&amp;IF(N(AC33)&gt;0,", "&amp;AC$2,"")&amp;IF(N(AD33)&gt;0,", "&amp;AD$2,"")&amp;IF(N(AE33)&gt;0,", "&amp;AE$2,"")&amp;IF(N(AF33)&gt;0,", "&amp;AF$2,"")&amp;IF(N(AG33)&gt;0,", "&amp;AG$2,"")&amp;IF(N(AH33)&gt;0,", "&amp;AH$2,"")&amp;IF(N(AI33)&gt;0,", "&amp;AI$2,"")&amp;IF(N(AJ33)&gt;0,", "&amp;AJ$2,""),3,999)</f>
        <v/>
      </c>
      <c r="AM33" s="87" t="str">
        <f aca="false">IF(E33="","",MID(IF(N(Y33)&gt;0,", "&amp;A33&amp;"-"&amp;Y$2,"")&amp;IF(N(Z33)&gt;0,", "&amp;A33&amp;"-"&amp;Z$2,"")&amp;IF(N(AA33)&gt;0,", "&amp;A33&amp;"-"&amp;AA$2,"")&amp;IF(N(AB33)&gt;0,", "&amp;A33&amp;"-"&amp;AB$2,"")&amp;IF(N(AC33)&gt;0,", "&amp;A33&amp;"-"&amp;AC$2,"")&amp;IF(N(AD33)&gt;0,", "&amp;A33&amp;"-"&amp;AD$2,"")&amp;IF(N(AE33)&gt;0,", "&amp;A33&amp;"-"&amp;AE$2,"")&amp;IF(N(AF33)&gt;0,", "&amp;A33&amp;"-"&amp;AF$2,"")&amp;IF(N(AG33)&gt;0,", "&amp;A33&amp;"-"&amp;AG$2,"")&amp;IF(N(AH33)&gt;0,", "&amp;A33&amp;"-"&amp;AH$2,"")&amp;IF(N(AI33)&gt;0,", "&amp;A33&amp;"-"&amp;AI$2,"")&amp;IF(N(AJ33)&gt;0,", "&amp;A33&amp;"-"&amp;AJ$2,""),3,999))</f>
        <v/>
      </c>
      <c r="AN33" s="81"/>
      <c r="AO33" s="88"/>
      <c r="AP33" s="89" t="str">
        <f aca="false">IF(AO33="","",ROUND(AO33/(1+Справочники!$B$13),2))</f>
        <v/>
      </c>
      <c r="AQ33" s="90" t="str">
        <f aca="false" t="array" ref="AQ33:AQ33">IF(AP33="","",AP33*INDEX(Справочники!$B$4:$B$7,MATCH("RUB",Справочники!$A$4:$A$7,0)))</f>
        <v/>
      </c>
      <c r="AR33" s="90" t="str">
        <f aca="false">IF(AQ33="","",ROUND(AQ33*(1+Справочники!$B$12),0))</f>
        <v/>
      </c>
      <c r="AS33" s="90" t="str">
        <f aca="false">IF(AR33="","",ROUND(AR33*(1-Справочники!$B$11),0))</f>
        <v/>
      </c>
      <c r="AT33" s="88"/>
      <c r="AU33" s="90" t="str">
        <f aca="false">IF(AT33="","",ROUND(AT33/(1+Справочники!$B$12),0))</f>
        <v/>
      </c>
      <c r="AV33" s="90" t="str">
        <f aca="false">IF(AT33="","",ROUND(AT33*(1-Справочники!$B$15),0))</f>
        <v/>
      </c>
      <c r="AW33" s="90" t="str">
        <f aca="false">IF(AT33="","",ROUND(AT33*(1-Справочники!$B$16),0))</f>
        <v/>
      </c>
      <c r="AX33" s="90" t="str">
        <f aca="false">IF(AT33="","",ROUND(AT33*(1-Справочники!$B$17),0))</f>
        <v/>
      </c>
      <c r="AY33" s="90" t="str">
        <f aca="false">IF(AT33="","",ROUND(AT33*(1-Справочники!$B$18),0))</f>
        <v/>
      </c>
      <c r="AZ33" s="90" t="str">
        <f aca="false">IF(AT33="","",ROUND(AT33*(1-Справочники!$B$19),0))</f>
        <v/>
      </c>
      <c r="BA33" s="81"/>
      <c r="BB33" s="81"/>
      <c r="BC33" s="81"/>
      <c r="BD33" s="81"/>
      <c r="BE33" s="91"/>
      <c r="BF33" s="81" t="s">
        <v>103</v>
      </c>
      <c r="BG33" s="89" t="n">
        <f aca="false" t="array" ref="BG33:BG33">IF(BF33="","",IFERROR(INDEX(Справочники!$B$4:$B$7,MATCH(BF33,Справочники!$A$4:$A$7,0)),""))</f>
        <v>68.5</v>
      </c>
      <c r="BH33" s="90" t="str">
        <f aca="false">IF(N(BN33)&gt;0,ROUND(SUMIF(ЗАКАЗЫ!$F$3:$F$500,$A33,ЗАКАЗЫ!$Y$3:$Y$500)/BN33,0),IF(OR(BE33="",BG33=""),"",ROUND(BE33*BG33*(1+Справочники!$B$10),0)))</f>
        <v/>
      </c>
      <c r="BI33" s="92" t="str">
        <f aca="false">IF(OR(AU33="",BH33="",AU33=0),"",(AU33-BH33)/AU33)</f>
        <v/>
      </c>
      <c r="BJ33" s="81"/>
      <c r="BK33" s="83"/>
      <c r="BL33" s="43" t="str">
        <f aca="false">IFERROR(INDEX(ЗАКАЗЫ!$N$3:$N$500,MATCH($A33,ЗАКАЗЫ!$F$3:$F$500,0)),"")</f>
        <v/>
      </c>
      <c r="BM33" s="8" t="str">
        <f aca="false">IF(BL33="","",IFERROR(VLOOKUP(BL33,'ТН ВЭД'!$A$4:$C$40,3,0),""))</f>
        <v/>
      </c>
      <c r="BN33" s="7" t="str">
        <f aca="false">IF(COUNTIF(ЗАКАЗЫ!$F$3:$F$500,$A33)=0,"",SUMIF(ЗАКАЗЫ!$F$3:$F$500,$A33,ЗАКАЗЫ!$J$3:$J$500))</f>
        <v/>
      </c>
      <c r="BO33" s="7" t="str">
        <f aca="false">IF(BN33="","",SUMIF(ЗАКАЗЫ!$F$3:$F$500,$A33,ЗАКАЗЫ!$AL$3:$AL$500))</f>
        <v/>
      </c>
      <c r="BP33" s="7" t="str">
        <f aca="false">IF(BN33="","",BN33-BO33)</f>
        <v/>
      </c>
      <c r="BQ33" s="55" t="str">
        <f aca="false">IF(BN33="","",IF(BO33&gt;=BN33,"На складе",IF(BO33&gt;0,"Частично","Ждём")))</f>
        <v/>
      </c>
      <c r="BR33" s="43"/>
      <c r="BS33" s="47" t="str">
        <f aca="false">IF(BN33="","",IF(_xlfn.MAXIFS(ЗАКАЗЫ!$AK$3:$AK$500,ЗАКАЗЫ!$F$3:$F$500,$A33)=0,"",_xlfn.MAXIFS(ЗАКАЗЫ!$AK$3:$AK$500,ЗАКАЗЫ!$F$3:$F$500,$A33)))</f>
        <v/>
      </c>
    </row>
    <row r="34" customFormat="false" ht="15.75" hidden="false" customHeight="true" outlineLevel="0" collapsed="false">
      <c r="A34" s="80" t="s">
        <v>2945</v>
      </c>
      <c r="B34" s="81"/>
      <c r="C34" s="81"/>
      <c r="D34" s="81"/>
      <c r="E34" s="83"/>
      <c r="F34" s="81"/>
      <c r="G34" s="83"/>
      <c r="H34" s="83"/>
      <c r="I34" s="84" t="str">
        <f aca="false">IF(E34="","",A34&amp;"_1.jpg")</f>
        <v/>
      </c>
      <c r="J34" s="84" t="str">
        <f aca="false">IF(E34="","",A34&amp;"_2.jpg; "&amp;A34&amp;"_3.jpg")</f>
        <v/>
      </c>
      <c r="K34" s="84" t="str">
        <f aca="false">IF(E34="","",A34&amp;"_schema.jpg")</f>
        <v/>
      </c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 t="s">
        <v>96</v>
      </c>
      <c r="W34" s="81"/>
      <c r="X34" s="81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6" t="str">
        <f aca="false">IF(SUM(Y34:AJ34)=0,"",SUM(Y34:AJ34))</f>
        <v/>
      </c>
      <c r="AL34" s="84" t="str">
        <f aca="false">MID(IF(N(Y34)&gt;0,", "&amp;Y$2,"")&amp;IF(N(Z34)&gt;0,", "&amp;Z$2,"")&amp;IF(N(AA34)&gt;0,", "&amp;AA$2,"")&amp;IF(N(AB34)&gt;0,", "&amp;AB$2,"")&amp;IF(N(AC34)&gt;0,", "&amp;AC$2,"")&amp;IF(N(AD34)&gt;0,", "&amp;AD$2,"")&amp;IF(N(AE34)&gt;0,", "&amp;AE$2,"")&amp;IF(N(AF34)&gt;0,", "&amp;AF$2,"")&amp;IF(N(AG34)&gt;0,", "&amp;AG$2,"")&amp;IF(N(AH34)&gt;0,", "&amp;AH$2,"")&amp;IF(N(AI34)&gt;0,", "&amp;AI$2,"")&amp;IF(N(AJ34)&gt;0,", "&amp;AJ$2,""),3,999)</f>
        <v/>
      </c>
      <c r="AM34" s="87" t="str">
        <f aca="false">IF(E34="","",MID(IF(N(Y34)&gt;0,", "&amp;A34&amp;"-"&amp;Y$2,"")&amp;IF(N(Z34)&gt;0,", "&amp;A34&amp;"-"&amp;Z$2,"")&amp;IF(N(AA34)&gt;0,", "&amp;A34&amp;"-"&amp;AA$2,"")&amp;IF(N(AB34)&gt;0,", "&amp;A34&amp;"-"&amp;AB$2,"")&amp;IF(N(AC34)&gt;0,", "&amp;A34&amp;"-"&amp;AC$2,"")&amp;IF(N(AD34)&gt;0,", "&amp;A34&amp;"-"&amp;AD$2,"")&amp;IF(N(AE34)&gt;0,", "&amp;A34&amp;"-"&amp;AE$2,"")&amp;IF(N(AF34)&gt;0,", "&amp;A34&amp;"-"&amp;AF$2,"")&amp;IF(N(AG34)&gt;0,", "&amp;A34&amp;"-"&amp;AG$2,"")&amp;IF(N(AH34)&gt;0,", "&amp;A34&amp;"-"&amp;AH$2,"")&amp;IF(N(AI34)&gt;0,", "&amp;A34&amp;"-"&amp;AI$2,"")&amp;IF(N(AJ34)&gt;0,", "&amp;A34&amp;"-"&amp;AJ$2,""),3,999))</f>
        <v/>
      </c>
      <c r="AN34" s="81"/>
      <c r="AO34" s="88"/>
      <c r="AP34" s="89" t="str">
        <f aca="false">IF(AO34="","",ROUND(AO34/(1+Справочники!$B$13),2))</f>
        <v/>
      </c>
      <c r="AQ34" s="90" t="str">
        <f aca="false" t="array" ref="AQ34:AQ34">IF(AP34="","",AP34*INDEX(Справочники!$B$4:$B$7,MATCH("RUB",Справочники!$A$4:$A$7,0)))</f>
        <v/>
      </c>
      <c r="AR34" s="90" t="str">
        <f aca="false">IF(AQ34="","",ROUND(AQ34*(1+Справочники!$B$12),0))</f>
        <v/>
      </c>
      <c r="AS34" s="90" t="str">
        <f aca="false">IF(AR34="","",ROUND(AR34*(1-Справочники!$B$11),0))</f>
        <v/>
      </c>
      <c r="AT34" s="88"/>
      <c r="AU34" s="90" t="str">
        <f aca="false">IF(AT34="","",ROUND(AT34/(1+Справочники!$B$12),0))</f>
        <v/>
      </c>
      <c r="AV34" s="90" t="str">
        <f aca="false">IF(AT34="","",ROUND(AT34*(1-Справочники!$B$15),0))</f>
        <v/>
      </c>
      <c r="AW34" s="90" t="str">
        <f aca="false">IF(AT34="","",ROUND(AT34*(1-Справочники!$B$16),0))</f>
        <v/>
      </c>
      <c r="AX34" s="90" t="str">
        <f aca="false">IF(AT34="","",ROUND(AT34*(1-Справочники!$B$17),0))</f>
        <v/>
      </c>
      <c r="AY34" s="90" t="str">
        <f aca="false">IF(AT34="","",ROUND(AT34*(1-Справочники!$B$18),0))</f>
        <v/>
      </c>
      <c r="AZ34" s="90" t="str">
        <f aca="false">IF(AT34="","",ROUND(AT34*(1-Справочники!$B$19),0))</f>
        <v/>
      </c>
      <c r="BA34" s="81"/>
      <c r="BB34" s="81"/>
      <c r="BC34" s="81"/>
      <c r="BD34" s="81"/>
      <c r="BE34" s="91"/>
      <c r="BF34" s="81" t="s">
        <v>103</v>
      </c>
      <c r="BG34" s="89" t="n">
        <f aca="false" t="array" ref="BG34:BG34">IF(BF34="","",IFERROR(INDEX(Справочники!$B$4:$B$7,MATCH(BF34,Справочники!$A$4:$A$7,0)),""))</f>
        <v>68.5</v>
      </c>
      <c r="BH34" s="90" t="str">
        <f aca="false">IF(N(BN34)&gt;0,ROUND(SUMIF(ЗАКАЗЫ!$F$3:$F$500,$A34,ЗАКАЗЫ!$Y$3:$Y$500)/BN34,0),IF(OR(BE34="",BG34=""),"",ROUND(BE34*BG34*(1+Справочники!$B$10),0)))</f>
        <v/>
      </c>
      <c r="BI34" s="92" t="str">
        <f aca="false">IF(OR(AU34="",BH34="",AU34=0),"",(AU34-BH34)/AU34)</f>
        <v/>
      </c>
      <c r="BJ34" s="81"/>
      <c r="BK34" s="83"/>
      <c r="BL34" s="43" t="str">
        <f aca="false">IFERROR(INDEX(ЗАКАЗЫ!$N$3:$N$500,MATCH($A34,ЗАКАЗЫ!$F$3:$F$500,0)),"")</f>
        <v/>
      </c>
      <c r="BM34" s="8" t="str">
        <f aca="false">IF(BL34="","",IFERROR(VLOOKUP(BL34,'ТН ВЭД'!$A$4:$C$40,3,0),""))</f>
        <v/>
      </c>
      <c r="BN34" s="7" t="str">
        <f aca="false">IF(COUNTIF(ЗАКАЗЫ!$F$3:$F$500,$A34)=0,"",SUMIF(ЗАКАЗЫ!$F$3:$F$500,$A34,ЗАКАЗЫ!$J$3:$J$500))</f>
        <v/>
      </c>
      <c r="BO34" s="7" t="str">
        <f aca="false">IF(BN34="","",SUMIF(ЗАКАЗЫ!$F$3:$F$500,$A34,ЗАКАЗЫ!$AL$3:$AL$500))</f>
        <v/>
      </c>
      <c r="BP34" s="7" t="str">
        <f aca="false">IF(BN34="","",BN34-BO34)</f>
        <v/>
      </c>
      <c r="BQ34" s="55" t="str">
        <f aca="false">IF(BN34="","",IF(BO34&gt;=BN34,"На складе",IF(BO34&gt;0,"Частично","Ждём")))</f>
        <v/>
      </c>
      <c r="BR34" s="43"/>
      <c r="BS34" s="47" t="str">
        <f aca="false">IF(BN34="","",IF(_xlfn.MAXIFS(ЗАКАЗЫ!$AK$3:$AK$500,ЗАКАЗЫ!$F$3:$F$500,$A34)=0,"",_xlfn.MAXIFS(ЗАКАЗЫ!$AK$3:$AK$500,ЗАКАЗЫ!$F$3:$F$500,$A34)))</f>
        <v/>
      </c>
    </row>
    <row r="35" customFormat="false" ht="15.75" hidden="false" customHeight="true" outlineLevel="0" collapsed="false">
      <c r="A35" s="80" t="s">
        <v>2946</v>
      </c>
      <c r="B35" s="81"/>
      <c r="C35" s="81"/>
      <c r="D35" s="81"/>
      <c r="E35" s="83"/>
      <c r="F35" s="81"/>
      <c r="G35" s="83"/>
      <c r="H35" s="83"/>
      <c r="I35" s="84" t="str">
        <f aca="false">IF(E35="","",A35&amp;"_1.jpg")</f>
        <v/>
      </c>
      <c r="J35" s="84" t="str">
        <f aca="false">IF(E35="","",A35&amp;"_2.jpg; "&amp;A35&amp;"_3.jpg")</f>
        <v/>
      </c>
      <c r="K35" s="84" t="str">
        <f aca="false">IF(E35="","",A35&amp;"_schema.jpg")</f>
        <v/>
      </c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 t="s">
        <v>96</v>
      </c>
      <c r="W35" s="81"/>
      <c r="X35" s="81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6" t="str">
        <f aca="false">IF(SUM(Y35:AJ35)=0,"",SUM(Y35:AJ35))</f>
        <v/>
      </c>
      <c r="AL35" s="84" t="str">
        <f aca="false">MID(IF(N(Y35)&gt;0,", "&amp;Y$2,"")&amp;IF(N(Z35)&gt;0,", "&amp;Z$2,"")&amp;IF(N(AA35)&gt;0,", "&amp;AA$2,"")&amp;IF(N(AB35)&gt;0,", "&amp;AB$2,"")&amp;IF(N(AC35)&gt;0,", "&amp;AC$2,"")&amp;IF(N(AD35)&gt;0,", "&amp;AD$2,"")&amp;IF(N(AE35)&gt;0,", "&amp;AE$2,"")&amp;IF(N(AF35)&gt;0,", "&amp;AF$2,"")&amp;IF(N(AG35)&gt;0,", "&amp;AG$2,"")&amp;IF(N(AH35)&gt;0,", "&amp;AH$2,"")&amp;IF(N(AI35)&gt;0,", "&amp;AI$2,"")&amp;IF(N(AJ35)&gt;0,", "&amp;AJ$2,""),3,999)</f>
        <v/>
      </c>
      <c r="AM35" s="87" t="str">
        <f aca="false">IF(E35="","",MID(IF(N(Y35)&gt;0,", "&amp;A35&amp;"-"&amp;Y$2,"")&amp;IF(N(Z35)&gt;0,", "&amp;A35&amp;"-"&amp;Z$2,"")&amp;IF(N(AA35)&gt;0,", "&amp;A35&amp;"-"&amp;AA$2,"")&amp;IF(N(AB35)&gt;0,", "&amp;A35&amp;"-"&amp;AB$2,"")&amp;IF(N(AC35)&gt;0,", "&amp;A35&amp;"-"&amp;AC$2,"")&amp;IF(N(AD35)&gt;0,", "&amp;A35&amp;"-"&amp;AD$2,"")&amp;IF(N(AE35)&gt;0,", "&amp;A35&amp;"-"&amp;AE$2,"")&amp;IF(N(AF35)&gt;0,", "&amp;A35&amp;"-"&amp;AF$2,"")&amp;IF(N(AG35)&gt;0,", "&amp;A35&amp;"-"&amp;AG$2,"")&amp;IF(N(AH35)&gt;0,", "&amp;A35&amp;"-"&amp;AH$2,"")&amp;IF(N(AI35)&gt;0,", "&amp;A35&amp;"-"&amp;AI$2,"")&amp;IF(N(AJ35)&gt;0,", "&amp;A35&amp;"-"&amp;AJ$2,""),3,999))</f>
        <v/>
      </c>
      <c r="AN35" s="81"/>
      <c r="AO35" s="88"/>
      <c r="AP35" s="89" t="str">
        <f aca="false">IF(AO35="","",ROUND(AO35/(1+Справочники!$B$13),2))</f>
        <v/>
      </c>
      <c r="AQ35" s="90" t="str">
        <f aca="false" t="array" ref="AQ35:AQ35">IF(AP35="","",AP35*INDEX(Справочники!$B$4:$B$7,MATCH("RUB",Справочники!$A$4:$A$7,0)))</f>
        <v/>
      </c>
      <c r="AR35" s="90" t="str">
        <f aca="false">IF(AQ35="","",ROUND(AQ35*(1+Справочники!$B$12),0))</f>
        <v/>
      </c>
      <c r="AS35" s="90" t="str">
        <f aca="false">IF(AR35="","",ROUND(AR35*(1-Справочники!$B$11),0))</f>
        <v/>
      </c>
      <c r="AT35" s="88"/>
      <c r="AU35" s="90" t="str">
        <f aca="false">IF(AT35="","",ROUND(AT35/(1+Справочники!$B$12),0))</f>
        <v/>
      </c>
      <c r="AV35" s="90" t="str">
        <f aca="false">IF(AT35="","",ROUND(AT35*(1-Справочники!$B$15),0))</f>
        <v/>
      </c>
      <c r="AW35" s="90" t="str">
        <f aca="false">IF(AT35="","",ROUND(AT35*(1-Справочники!$B$16),0))</f>
        <v/>
      </c>
      <c r="AX35" s="90" t="str">
        <f aca="false">IF(AT35="","",ROUND(AT35*(1-Справочники!$B$17),0))</f>
        <v/>
      </c>
      <c r="AY35" s="90" t="str">
        <f aca="false">IF(AT35="","",ROUND(AT35*(1-Справочники!$B$18),0))</f>
        <v/>
      </c>
      <c r="AZ35" s="90" t="str">
        <f aca="false">IF(AT35="","",ROUND(AT35*(1-Справочники!$B$19),0))</f>
        <v/>
      </c>
      <c r="BA35" s="81"/>
      <c r="BB35" s="81"/>
      <c r="BC35" s="81"/>
      <c r="BD35" s="81"/>
      <c r="BE35" s="91"/>
      <c r="BF35" s="81" t="s">
        <v>103</v>
      </c>
      <c r="BG35" s="89" t="n">
        <f aca="false" t="array" ref="BG35:BG35">IF(BF35="","",IFERROR(INDEX(Справочники!$B$4:$B$7,MATCH(BF35,Справочники!$A$4:$A$7,0)),""))</f>
        <v>68.5</v>
      </c>
      <c r="BH35" s="90" t="str">
        <f aca="false">IF(N(BN35)&gt;0,ROUND(SUMIF(ЗАКАЗЫ!$F$3:$F$500,$A35,ЗАКАЗЫ!$Y$3:$Y$500)/BN35,0),IF(OR(BE35="",BG35=""),"",ROUND(BE35*BG35*(1+Справочники!$B$10),0)))</f>
        <v/>
      </c>
      <c r="BI35" s="92" t="str">
        <f aca="false">IF(OR(AU35="",BH35="",AU35=0),"",(AU35-BH35)/AU35)</f>
        <v/>
      </c>
      <c r="BJ35" s="81"/>
      <c r="BK35" s="83"/>
      <c r="BL35" s="43" t="str">
        <f aca="false">IFERROR(INDEX(ЗАКАЗЫ!$N$3:$N$500,MATCH($A35,ЗАКАЗЫ!$F$3:$F$500,0)),"")</f>
        <v/>
      </c>
      <c r="BM35" s="8" t="str">
        <f aca="false">IF(BL35="","",IFERROR(VLOOKUP(BL35,'ТН ВЭД'!$A$4:$C$40,3,0),""))</f>
        <v/>
      </c>
      <c r="BN35" s="7" t="str">
        <f aca="false">IF(COUNTIF(ЗАКАЗЫ!$F$3:$F$500,$A35)=0,"",SUMIF(ЗАКАЗЫ!$F$3:$F$500,$A35,ЗАКАЗЫ!$J$3:$J$500))</f>
        <v/>
      </c>
      <c r="BO35" s="7" t="str">
        <f aca="false">IF(BN35="","",SUMIF(ЗАКАЗЫ!$F$3:$F$500,$A35,ЗАКАЗЫ!$AL$3:$AL$500))</f>
        <v/>
      </c>
      <c r="BP35" s="7" t="str">
        <f aca="false">IF(BN35="","",BN35-BO35)</f>
        <v/>
      </c>
      <c r="BQ35" s="55" t="str">
        <f aca="false">IF(BN35="","",IF(BO35&gt;=BN35,"На складе",IF(BO35&gt;0,"Частично","Ждём")))</f>
        <v/>
      </c>
      <c r="BR35" s="43"/>
      <c r="BS35" s="47" t="str">
        <f aca="false">IF(BN35="","",IF(_xlfn.MAXIFS(ЗАКАЗЫ!$AK$3:$AK$500,ЗАКАЗЫ!$F$3:$F$500,$A35)=0,"",_xlfn.MAXIFS(ЗАКАЗЫ!$AK$3:$AK$500,ЗАКАЗЫ!$F$3:$F$500,$A35)))</f>
        <v/>
      </c>
    </row>
    <row r="36" customFormat="false" ht="15.75" hidden="false" customHeight="true" outlineLevel="0" collapsed="false">
      <c r="A36" s="80" t="s">
        <v>2947</v>
      </c>
      <c r="B36" s="81"/>
      <c r="C36" s="81"/>
      <c r="D36" s="81"/>
      <c r="E36" s="83"/>
      <c r="F36" s="81"/>
      <c r="G36" s="83"/>
      <c r="H36" s="83"/>
      <c r="I36" s="84" t="str">
        <f aca="false">IF(E36="","",A36&amp;"_1.jpg")</f>
        <v/>
      </c>
      <c r="J36" s="84" t="str">
        <f aca="false">IF(E36="","",A36&amp;"_2.jpg; "&amp;A36&amp;"_3.jpg")</f>
        <v/>
      </c>
      <c r="K36" s="84" t="str">
        <f aca="false">IF(E36="","",A36&amp;"_schema.jpg")</f>
        <v/>
      </c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 t="s">
        <v>96</v>
      </c>
      <c r="W36" s="81"/>
      <c r="X36" s="81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6" t="str">
        <f aca="false">IF(SUM(Y36:AJ36)=0,"",SUM(Y36:AJ36))</f>
        <v/>
      </c>
      <c r="AL36" s="84" t="str">
        <f aca="false">MID(IF(N(Y36)&gt;0,", "&amp;Y$2,"")&amp;IF(N(Z36)&gt;0,", "&amp;Z$2,"")&amp;IF(N(AA36)&gt;0,", "&amp;AA$2,"")&amp;IF(N(AB36)&gt;0,", "&amp;AB$2,"")&amp;IF(N(AC36)&gt;0,", "&amp;AC$2,"")&amp;IF(N(AD36)&gt;0,", "&amp;AD$2,"")&amp;IF(N(AE36)&gt;0,", "&amp;AE$2,"")&amp;IF(N(AF36)&gt;0,", "&amp;AF$2,"")&amp;IF(N(AG36)&gt;0,", "&amp;AG$2,"")&amp;IF(N(AH36)&gt;0,", "&amp;AH$2,"")&amp;IF(N(AI36)&gt;0,", "&amp;AI$2,"")&amp;IF(N(AJ36)&gt;0,", "&amp;AJ$2,""),3,999)</f>
        <v/>
      </c>
      <c r="AM36" s="87" t="str">
        <f aca="false">IF(E36="","",MID(IF(N(Y36)&gt;0,", "&amp;A36&amp;"-"&amp;Y$2,"")&amp;IF(N(Z36)&gt;0,", "&amp;A36&amp;"-"&amp;Z$2,"")&amp;IF(N(AA36)&gt;0,", "&amp;A36&amp;"-"&amp;AA$2,"")&amp;IF(N(AB36)&gt;0,", "&amp;A36&amp;"-"&amp;AB$2,"")&amp;IF(N(AC36)&gt;0,", "&amp;A36&amp;"-"&amp;AC$2,"")&amp;IF(N(AD36)&gt;0,", "&amp;A36&amp;"-"&amp;AD$2,"")&amp;IF(N(AE36)&gt;0,", "&amp;A36&amp;"-"&amp;AE$2,"")&amp;IF(N(AF36)&gt;0,", "&amp;A36&amp;"-"&amp;AF$2,"")&amp;IF(N(AG36)&gt;0,", "&amp;A36&amp;"-"&amp;AG$2,"")&amp;IF(N(AH36)&gt;0,", "&amp;A36&amp;"-"&amp;AH$2,"")&amp;IF(N(AI36)&gt;0,", "&amp;A36&amp;"-"&amp;AI$2,"")&amp;IF(N(AJ36)&gt;0,", "&amp;A36&amp;"-"&amp;AJ$2,""),3,999))</f>
        <v/>
      </c>
      <c r="AN36" s="81"/>
      <c r="AO36" s="88"/>
      <c r="AP36" s="89" t="str">
        <f aca="false">IF(AO36="","",ROUND(AO36/(1+Справочники!$B$13),2))</f>
        <v/>
      </c>
      <c r="AQ36" s="90" t="str">
        <f aca="false" t="array" ref="AQ36:AQ36">IF(AP36="","",AP36*INDEX(Справочники!$B$4:$B$7,MATCH("RUB",Справочники!$A$4:$A$7,0)))</f>
        <v/>
      </c>
      <c r="AR36" s="90" t="str">
        <f aca="false">IF(AQ36="","",ROUND(AQ36*(1+Справочники!$B$12),0))</f>
        <v/>
      </c>
      <c r="AS36" s="90" t="str">
        <f aca="false">IF(AR36="","",ROUND(AR36*(1-Справочники!$B$11),0))</f>
        <v/>
      </c>
      <c r="AT36" s="88"/>
      <c r="AU36" s="90" t="str">
        <f aca="false">IF(AT36="","",ROUND(AT36/(1+Справочники!$B$12),0))</f>
        <v/>
      </c>
      <c r="AV36" s="90" t="str">
        <f aca="false">IF(AT36="","",ROUND(AT36*(1-Справочники!$B$15),0))</f>
        <v/>
      </c>
      <c r="AW36" s="90" t="str">
        <f aca="false">IF(AT36="","",ROUND(AT36*(1-Справочники!$B$16),0))</f>
        <v/>
      </c>
      <c r="AX36" s="90" t="str">
        <f aca="false">IF(AT36="","",ROUND(AT36*(1-Справочники!$B$17),0))</f>
        <v/>
      </c>
      <c r="AY36" s="90" t="str">
        <f aca="false">IF(AT36="","",ROUND(AT36*(1-Справочники!$B$18),0))</f>
        <v/>
      </c>
      <c r="AZ36" s="90" t="str">
        <f aca="false">IF(AT36="","",ROUND(AT36*(1-Справочники!$B$19),0))</f>
        <v/>
      </c>
      <c r="BA36" s="81"/>
      <c r="BB36" s="81"/>
      <c r="BC36" s="81"/>
      <c r="BD36" s="81"/>
      <c r="BE36" s="91"/>
      <c r="BF36" s="81" t="s">
        <v>103</v>
      </c>
      <c r="BG36" s="89" t="n">
        <f aca="false" t="array" ref="BG36:BG36">IF(BF36="","",IFERROR(INDEX(Справочники!$B$4:$B$7,MATCH(BF36,Справочники!$A$4:$A$7,0)),""))</f>
        <v>68.5</v>
      </c>
      <c r="BH36" s="90" t="str">
        <f aca="false">IF(N(BN36)&gt;0,ROUND(SUMIF(ЗАКАЗЫ!$F$3:$F$500,$A36,ЗАКАЗЫ!$Y$3:$Y$500)/BN36,0),IF(OR(BE36="",BG36=""),"",ROUND(BE36*BG36*(1+Справочники!$B$10),0)))</f>
        <v/>
      </c>
      <c r="BI36" s="92" t="str">
        <f aca="false">IF(OR(AU36="",BH36="",AU36=0),"",(AU36-BH36)/AU36)</f>
        <v/>
      </c>
      <c r="BJ36" s="81"/>
      <c r="BK36" s="83"/>
      <c r="BL36" s="43" t="str">
        <f aca="false">IFERROR(INDEX(ЗАКАЗЫ!$N$3:$N$500,MATCH($A36,ЗАКАЗЫ!$F$3:$F$500,0)),"")</f>
        <v/>
      </c>
      <c r="BM36" s="8" t="str">
        <f aca="false">IF(BL36="","",IFERROR(VLOOKUP(BL36,'ТН ВЭД'!$A$4:$C$40,3,0),""))</f>
        <v/>
      </c>
      <c r="BN36" s="7" t="str">
        <f aca="false">IF(COUNTIF(ЗАКАЗЫ!$F$3:$F$500,$A36)=0,"",SUMIF(ЗАКАЗЫ!$F$3:$F$500,$A36,ЗАКАЗЫ!$J$3:$J$500))</f>
        <v/>
      </c>
      <c r="BO36" s="7" t="str">
        <f aca="false">IF(BN36="","",SUMIF(ЗАКАЗЫ!$F$3:$F$500,$A36,ЗАКАЗЫ!$AL$3:$AL$500))</f>
        <v/>
      </c>
      <c r="BP36" s="7" t="str">
        <f aca="false">IF(BN36="","",BN36-BO36)</f>
        <v/>
      </c>
      <c r="BQ36" s="55" t="str">
        <f aca="false">IF(BN36="","",IF(BO36&gt;=BN36,"На складе",IF(BO36&gt;0,"Частично","Ждём")))</f>
        <v/>
      </c>
      <c r="BR36" s="43"/>
      <c r="BS36" s="47" t="str">
        <f aca="false">IF(BN36="","",IF(_xlfn.MAXIFS(ЗАКАЗЫ!$AK$3:$AK$500,ЗАКАЗЫ!$F$3:$F$500,$A36)=0,"",_xlfn.MAXIFS(ЗАКАЗЫ!$AK$3:$AK$500,ЗАКАЗЫ!$F$3:$F$500,$A36)))</f>
        <v/>
      </c>
    </row>
    <row r="37" customFormat="false" ht="15.75" hidden="false" customHeight="true" outlineLevel="0" collapsed="false">
      <c r="A37" s="80" t="s">
        <v>2948</v>
      </c>
      <c r="B37" s="81"/>
      <c r="C37" s="81"/>
      <c r="D37" s="81"/>
      <c r="E37" s="83"/>
      <c r="F37" s="81"/>
      <c r="G37" s="83"/>
      <c r="H37" s="83"/>
      <c r="I37" s="84" t="str">
        <f aca="false">IF(E37="","",A37&amp;"_1.jpg")</f>
        <v/>
      </c>
      <c r="J37" s="84" t="str">
        <f aca="false">IF(E37="","",A37&amp;"_2.jpg; "&amp;A37&amp;"_3.jpg")</f>
        <v/>
      </c>
      <c r="K37" s="84" t="str">
        <f aca="false">IF(E37="","",A37&amp;"_schema.jpg")</f>
        <v/>
      </c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 t="s">
        <v>96</v>
      </c>
      <c r="W37" s="81"/>
      <c r="X37" s="81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6" t="str">
        <f aca="false">IF(SUM(Y37:AJ37)=0,"",SUM(Y37:AJ37))</f>
        <v/>
      </c>
      <c r="AL37" s="84" t="str">
        <f aca="false">MID(IF(N(Y37)&gt;0,", "&amp;Y$2,"")&amp;IF(N(Z37)&gt;0,", "&amp;Z$2,"")&amp;IF(N(AA37)&gt;0,", "&amp;AA$2,"")&amp;IF(N(AB37)&gt;0,", "&amp;AB$2,"")&amp;IF(N(AC37)&gt;0,", "&amp;AC$2,"")&amp;IF(N(AD37)&gt;0,", "&amp;AD$2,"")&amp;IF(N(AE37)&gt;0,", "&amp;AE$2,"")&amp;IF(N(AF37)&gt;0,", "&amp;AF$2,"")&amp;IF(N(AG37)&gt;0,", "&amp;AG$2,"")&amp;IF(N(AH37)&gt;0,", "&amp;AH$2,"")&amp;IF(N(AI37)&gt;0,", "&amp;AI$2,"")&amp;IF(N(AJ37)&gt;0,", "&amp;AJ$2,""),3,999)</f>
        <v/>
      </c>
      <c r="AM37" s="87" t="str">
        <f aca="false">IF(E37="","",MID(IF(N(Y37)&gt;0,", "&amp;A37&amp;"-"&amp;Y$2,"")&amp;IF(N(Z37)&gt;0,", "&amp;A37&amp;"-"&amp;Z$2,"")&amp;IF(N(AA37)&gt;0,", "&amp;A37&amp;"-"&amp;AA$2,"")&amp;IF(N(AB37)&gt;0,", "&amp;A37&amp;"-"&amp;AB$2,"")&amp;IF(N(AC37)&gt;0,", "&amp;A37&amp;"-"&amp;AC$2,"")&amp;IF(N(AD37)&gt;0,", "&amp;A37&amp;"-"&amp;AD$2,"")&amp;IF(N(AE37)&gt;0,", "&amp;A37&amp;"-"&amp;AE$2,"")&amp;IF(N(AF37)&gt;0,", "&amp;A37&amp;"-"&amp;AF$2,"")&amp;IF(N(AG37)&gt;0,", "&amp;A37&amp;"-"&amp;AG$2,"")&amp;IF(N(AH37)&gt;0,", "&amp;A37&amp;"-"&amp;AH$2,"")&amp;IF(N(AI37)&gt;0,", "&amp;A37&amp;"-"&amp;AI$2,"")&amp;IF(N(AJ37)&gt;0,", "&amp;A37&amp;"-"&amp;AJ$2,""),3,999))</f>
        <v/>
      </c>
      <c r="AN37" s="81"/>
      <c r="AO37" s="88"/>
      <c r="AP37" s="89" t="str">
        <f aca="false">IF(AO37="","",ROUND(AO37/(1+Справочники!$B$13),2))</f>
        <v/>
      </c>
      <c r="AQ37" s="90" t="str">
        <f aca="false" t="array" ref="AQ37:AQ37">IF(AP37="","",AP37*INDEX(Справочники!$B$4:$B$7,MATCH("RUB",Справочники!$A$4:$A$7,0)))</f>
        <v/>
      </c>
      <c r="AR37" s="90" t="str">
        <f aca="false">IF(AQ37="","",ROUND(AQ37*(1+Справочники!$B$12),0))</f>
        <v/>
      </c>
      <c r="AS37" s="90" t="str">
        <f aca="false">IF(AR37="","",ROUND(AR37*(1-Справочники!$B$11),0))</f>
        <v/>
      </c>
      <c r="AT37" s="88"/>
      <c r="AU37" s="90" t="str">
        <f aca="false">IF(AT37="","",ROUND(AT37/(1+Справочники!$B$12),0))</f>
        <v/>
      </c>
      <c r="AV37" s="90" t="str">
        <f aca="false">IF(AT37="","",ROUND(AT37*(1-Справочники!$B$15),0))</f>
        <v/>
      </c>
      <c r="AW37" s="90" t="str">
        <f aca="false">IF(AT37="","",ROUND(AT37*(1-Справочники!$B$16),0))</f>
        <v/>
      </c>
      <c r="AX37" s="90" t="str">
        <f aca="false">IF(AT37="","",ROUND(AT37*(1-Справочники!$B$17),0))</f>
        <v/>
      </c>
      <c r="AY37" s="90" t="str">
        <f aca="false">IF(AT37="","",ROUND(AT37*(1-Справочники!$B$18),0))</f>
        <v/>
      </c>
      <c r="AZ37" s="90" t="str">
        <f aca="false">IF(AT37="","",ROUND(AT37*(1-Справочники!$B$19),0))</f>
        <v/>
      </c>
      <c r="BA37" s="81"/>
      <c r="BB37" s="81"/>
      <c r="BC37" s="81"/>
      <c r="BD37" s="81"/>
      <c r="BE37" s="91"/>
      <c r="BF37" s="81" t="s">
        <v>103</v>
      </c>
      <c r="BG37" s="89" t="n">
        <f aca="false" t="array" ref="BG37:BG37">IF(BF37="","",IFERROR(INDEX(Справочники!$B$4:$B$7,MATCH(BF37,Справочники!$A$4:$A$7,0)),""))</f>
        <v>68.5</v>
      </c>
      <c r="BH37" s="90" t="str">
        <f aca="false">IF(N(BN37)&gt;0,ROUND(SUMIF(ЗАКАЗЫ!$F$3:$F$500,$A37,ЗАКАЗЫ!$Y$3:$Y$500)/BN37,0),IF(OR(BE37="",BG37=""),"",ROUND(BE37*BG37*(1+Справочники!$B$10),0)))</f>
        <v/>
      </c>
      <c r="BI37" s="92" t="str">
        <f aca="false">IF(OR(AU37="",BH37="",AU37=0),"",(AU37-BH37)/AU37)</f>
        <v/>
      </c>
      <c r="BJ37" s="81"/>
      <c r="BK37" s="83"/>
      <c r="BL37" s="43" t="str">
        <f aca="false">IFERROR(INDEX(ЗАКАЗЫ!$N$3:$N$500,MATCH($A37,ЗАКАЗЫ!$F$3:$F$500,0)),"")</f>
        <v/>
      </c>
      <c r="BM37" s="8" t="str">
        <f aca="false">IF(BL37="","",IFERROR(VLOOKUP(BL37,'ТН ВЭД'!$A$4:$C$40,3,0),""))</f>
        <v/>
      </c>
      <c r="BN37" s="7" t="str">
        <f aca="false">IF(COUNTIF(ЗАКАЗЫ!$F$3:$F$500,$A37)=0,"",SUMIF(ЗАКАЗЫ!$F$3:$F$500,$A37,ЗАКАЗЫ!$J$3:$J$500))</f>
        <v/>
      </c>
      <c r="BO37" s="7" t="str">
        <f aca="false">IF(BN37="","",SUMIF(ЗАКАЗЫ!$F$3:$F$500,$A37,ЗАКАЗЫ!$AL$3:$AL$500))</f>
        <v/>
      </c>
      <c r="BP37" s="7" t="str">
        <f aca="false">IF(BN37="","",BN37-BO37)</f>
        <v/>
      </c>
      <c r="BQ37" s="55" t="str">
        <f aca="false">IF(BN37="","",IF(BO37&gt;=BN37,"На складе",IF(BO37&gt;0,"Частично","Ждём")))</f>
        <v/>
      </c>
      <c r="BR37" s="43"/>
      <c r="BS37" s="47" t="str">
        <f aca="false">IF(BN37="","",IF(_xlfn.MAXIFS(ЗАКАЗЫ!$AK$3:$AK$500,ЗАКАЗЫ!$F$3:$F$500,$A37)=0,"",_xlfn.MAXIFS(ЗАКАЗЫ!$AK$3:$AK$500,ЗАКАЗЫ!$F$3:$F$500,$A37)))</f>
        <v/>
      </c>
    </row>
    <row r="38" customFormat="false" ht="15.75" hidden="false" customHeight="true" outlineLevel="0" collapsed="false">
      <c r="A38" s="80" t="s">
        <v>2949</v>
      </c>
      <c r="B38" s="81"/>
      <c r="C38" s="81"/>
      <c r="D38" s="81"/>
      <c r="E38" s="83"/>
      <c r="F38" s="81"/>
      <c r="G38" s="83"/>
      <c r="H38" s="83"/>
      <c r="I38" s="84" t="str">
        <f aca="false">IF(E38="","",A38&amp;"_1.jpg")</f>
        <v/>
      </c>
      <c r="J38" s="84" t="str">
        <f aca="false">IF(E38="","",A38&amp;"_2.jpg; "&amp;A38&amp;"_3.jpg")</f>
        <v/>
      </c>
      <c r="K38" s="84" t="str">
        <f aca="false">IF(E38="","",A38&amp;"_schema.jpg")</f>
        <v/>
      </c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 t="s">
        <v>96</v>
      </c>
      <c r="W38" s="81"/>
      <c r="X38" s="81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6" t="str">
        <f aca="false">IF(SUM(Y38:AJ38)=0,"",SUM(Y38:AJ38))</f>
        <v/>
      </c>
      <c r="AL38" s="84" t="str">
        <f aca="false">MID(IF(N(Y38)&gt;0,", "&amp;Y$2,"")&amp;IF(N(Z38)&gt;0,", "&amp;Z$2,"")&amp;IF(N(AA38)&gt;0,", "&amp;AA$2,"")&amp;IF(N(AB38)&gt;0,", "&amp;AB$2,"")&amp;IF(N(AC38)&gt;0,", "&amp;AC$2,"")&amp;IF(N(AD38)&gt;0,", "&amp;AD$2,"")&amp;IF(N(AE38)&gt;0,", "&amp;AE$2,"")&amp;IF(N(AF38)&gt;0,", "&amp;AF$2,"")&amp;IF(N(AG38)&gt;0,", "&amp;AG$2,"")&amp;IF(N(AH38)&gt;0,", "&amp;AH$2,"")&amp;IF(N(AI38)&gt;0,", "&amp;AI$2,"")&amp;IF(N(AJ38)&gt;0,", "&amp;AJ$2,""),3,999)</f>
        <v/>
      </c>
      <c r="AM38" s="87" t="str">
        <f aca="false">IF(E38="","",MID(IF(N(Y38)&gt;0,", "&amp;A38&amp;"-"&amp;Y$2,"")&amp;IF(N(Z38)&gt;0,", "&amp;A38&amp;"-"&amp;Z$2,"")&amp;IF(N(AA38)&gt;0,", "&amp;A38&amp;"-"&amp;AA$2,"")&amp;IF(N(AB38)&gt;0,", "&amp;A38&amp;"-"&amp;AB$2,"")&amp;IF(N(AC38)&gt;0,", "&amp;A38&amp;"-"&amp;AC$2,"")&amp;IF(N(AD38)&gt;0,", "&amp;A38&amp;"-"&amp;AD$2,"")&amp;IF(N(AE38)&gt;0,", "&amp;A38&amp;"-"&amp;AE$2,"")&amp;IF(N(AF38)&gt;0,", "&amp;A38&amp;"-"&amp;AF$2,"")&amp;IF(N(AG38)&gt;0,", "&amp;A38&amp;"-"&amp;AG$2,"")&amp;IF(N(AH38)&gt;0,", "&amp;A38&amp;"-"&amp;AH$2,"")&amp;IF(N(AI38)&gt;0,", "&amp;A38&amp;"-"&amp;AI$2,"")&amp;IF(N(AJ38)&gt;0,", "&amp;A38&amp;"-"&amp;AJ$2,""),3,999))</f>
        <v/>
      </c>
      <c r="AN38" s="81"/>
      <c r="AO38" s="88"/>
      <c r="AP38" s="89" t="str">
        <f aca="false">IF(AO38="","",ROUND(AO38/(1+Справочники!$B$13),2))</f>
        <v/>
      </c>
      <c r="AQ38" s="90" t="str">
        <f aca="false" t="array" ref="AQ38:AQ38">IF(AP38="","",AP38*INDEX(Справочники!$B$4:$B$7,MATCH("RUB",Справочники!$A$4:$A$7,0)))</f>
        <v/>
      </c>
      <c r="AR38" s="90" t="str">
        <f aca="false">IF(AQ38="","",ROUND(AQ38*(1+Справочники!$B$12),0))</f>
        <v/>
      </c>
      <c r="AS38" s="90" t="str">
        <f aca="false">IF(AR38="","",ROUND(AR38*(1-Справочники!$B$11),0))</f>
        <v/>
      </c>
      <c r="AT38" s="88"/>
      <c r="AU38" s="90" t="str">
        <f aca="false">IF(AT38="","",ROUND(AT38/(1+Справочники!$B$12),0))</f>
        <v/>
      </c>
      <c r="AV38" s="90" t="str">
        <f aca="false">IF(AT38="","",ROUND(AT38*(1-Справочники!$B$15),0))</f>
        <v/>
      </c>
      <c r="AW38" s="90" t="str">
        <f aca="false">IF(AT38="","",ROUND(AT38*(1-Справочники!$B$16),0))</f>
        <v/>
      </c>
      <c r="AX38" s="90" t="str">
        <f aca="false">IF(AT38="","",ROUND(AT38*(1-Справочники!$B$17),0))</f>
        <v/>
      </c>
      <c r="AY38" s="90" t="str">
        <f aca="false">IF(AT38="","",ROUND(AT38*(1-Справочники!$B$18),0))</f>
        <v/>
      </c>
      <c r="AZ38" s="90" t="str">
        <f aca="false">IF(AT38="","",ROUND(AT38*(1-Справочники!$B$19),0))</f>
        <v/>
      </c>
      <c r="BA38" s="81"/>
      <c r="BB38" s="81"/>
      <c r="BC38" s="81"/>
      <c r="BD38" s="81"/>
      <c r="BE38" s="91"/>
      <c r="BF38" s="81" t="s">
        <v>103</v>
      </c>
      <c r="BG38" s="89" t="n">
        <f aca="false" t="array" ref="BG38:BG38">IF(BF38="","",IFERROR(INDEX(Справочники!$B$4:$B$7,MATCH(BF38,Справочники!$A$4:$A$7,0)),""))</f>
        <v>68.5</v>
      </c>
      <c r="BH38" s="90" t="str">
        <f aca="false">IF(N(BN38)&gt;0,ROUND(SUMIF(ЗАКАЗЫ!$F$3:$F$500,$A38,ЗАКАЗЫ!$Y$3:$Y$500)/BN38,0),IF(OR(BE38="",BG38=""),"",ROUND(BE38*BG38*(1+Справочники!$B$10),0)))</f>
        <v/>
      </c>
      <c r="BI38" s="92" t="str">
        <f aca="false">IF(OR(AU38="",BH38="",AU38=0),"",(AU38-BH38)/AU38)</f>
        <v/>
      </c>
      <c r="BJ38" s="81"/>
      <c r="BK38" s="83"/>
      <c r="BL38" s="43" t="str">
        <f aca="false">IFERROR(INDEX(ЗАКАЗЫ!$N$3:$N$500,MATCH($A38,ЗАКАЗЫ!$F$3:$F$500,0)),"")</f>
        <v/>
      </c>
      <c r="BM38" s="8" t="str">
        <f aca="false">IF(BL38="","",IFERROR(VLOOKUP(BL38,'ТН ВЭД'!$A$4:$C$40,3,0),""))</f>
        <v/>
      </c>
      <c r="BN38" s="7" t="str">
        <f aca="false">IF(COUNTIF(ЗАКАЗЫ!$F$3:$F$500,$A38)=0,"",SUMIF(ЗАКАЗЫ!$F$3:$F$500,$A38,ЗАКАЗЫ!$J$3:$J$500))</f>
        <v/>
      </c>
      <c r="BO38" s="7" t="str">
        <f aca="false">IF(BN38="","",SUMIF(ЗАКАЗЫ!$F$3:$F$500,$A38,ЗАКАЗЫ!$AL$3:$AL$500))</f>
        <v/>
      </c>
      <c r="BP38" s="7" t="str">
        <f aca="false">IF(BN38="","",BN38-BO38)</f>
        <v/>
      </c>
      <c r="BQ38" s="55" t="str">
        <f aca="false">IF(BN38="","",IF(BO38&gt;=BN38,"На складе",IF(BO38&gt;0,"Частично","Ждём")))</f>
        <v/>
      </c>
      <c r="BR38" s="43"/>
      <c r="BS38" s="47" t="str">
        <f aca="false">IF(BN38="","",IF(_xlfn.MAXIFS(ЗАКАЗЫ!$AK$3:$AK$500,ЗАКАЗЫ!$F$3:$F$500,$A38)=0,"",_xlfn.MAXIFS(ЗАКАЗЫ!$AK$3:$AK$500,ЗАКАЗЫ!$F$3:$F$500,$A38)))</f>
        <v/>
      </c>
    </row>
    <row r="39" customFormat="false" ht="15.75" hidden="false" customHeight="true" outlineLevel="0" collapsed="false">
      <c r="A39" s="80" t="s">
        <v>2950</v>
      </c>
      <c r="B39" s="81"/>
      <c r="C39" s="81"/>
      <c r="D39" s="81"/>
      <c r="E39" s="83"/>
      <c r="F39" s="81"/>
      <c r="G39" s="83"/>
      <c r="H39" s="83"/>
      <c r="I39" s="84" t="str">
        <f aca="false">IF(E39="","",A39&amp;"_1.jpg")</f>
        <v/>
      </c>
      <c r="J39" s="84" t="str">
        <f aca="false">IF(E39="","",A39&amp;"_2.jpg; "&amp;A39&amp;"_3.jpg")</f>
        <v/>
      </c>
      <c r="K39" s="84" t="str">
        <f aca="false">IF(E39="","",A39&amp;"_schema.jpg")</f>
        <v/>
      </c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 t="s">
        <v>96</v>
      </c>
      <c r="W39" s="81"/>
      <c r="X39" s="81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6" t="str">
        <f aca="false">IF(SUM(Y39:AJ39)=0,"",SUM(Y39:AJ39))</f>
        <v/>
      </c>
      <c r="AL39" s="84" t="str">
        <f aca="false">MID(IF(N(Y39)&gt;0,", "&amp;Y$2,"")&amp;IF(N(Z39)&gt;0,", "&amp;Z$2,"")&amp;IF(N(AA39)&gt;0,", "&amp;AA$2,"")&amp;IF(N(AB39)&gt;0,", "&amp;AB$2,"")&amp;IF(N(AC39)&gt;0,", "&amp;AC$2,"")&amp;IF(N(AD39)&gt;0,", "&amp;AD$2,"")&amp;IF(N(AE39)&gt;0,", "&amp;AE$2,"")&amp;IF(N(AF39)&gt;0,", "&amp;AF$2,"")&amp;IF(N(AG39)&gt;0,", "&amp;AG$2,"")&amp;IF(N(AH39)&gt;0,", "&amp;AH$2,"")&amp;IF(N(AI39)&gt;0,", "&amp;AI$2,"")&amp;IF(N(AJ39)&gt;0,", "&amp;AJ$2,""),3,999)</f>
        <v/>
      </c>
      <c r="AM39" s="87" t="str">
        <f aca="false">IF(E39="","",MID(IF(N(Y39)&gt;0,", "&amp;A39&amp;"-"&amp;Y$2,"")&amp;IF(N(Z39)&gt;0,", "&amp;A39&amp;"-"&amp;Z$2,"")&amp;IF(N(AA39)&gt;0,", "&amp;A39&amp;"-"&amp;AA$2,"")&amp;IF(N(AB39)&gt;0,", "&amp;A39&amp;"-"&amp;AB$2,"")&amp;IF(N(AC39)&gt;0,", "&amp;A39&amp;"-"&amp;AC$2,"")&amp;IF(N(AD39)&gt;0,", "&amp;A39&amp;"-"&amp;AD$2,"")&amp;IF(N(AE39)&gt;0,", "&amp;A39&amp;"-"&amp;AE$2,"")&amp;IF(N(AF39)&gt;0,", "&amp;A39&amp;"-"&amp;AF$2,"")&amp;IF(N(AG39)&gt;0,", "&amp;A39&amp;"-"&amp;AG$2,"")&amp;IF(N(AH39)&gt;0,", "&amp;A39&amp;"-"&amp;AH$2,"")&amp;IF(N(AI39)&gt;0,", "&amp;A39&amp;"-"&amp;AI$2,"")&amp;IF(N(AJ39)&gt;0,", "&amp;A39&amp;"-"&amp;AJ$2,""),3,999))</f>
        <v/>
      </c>
      <c r="AN39" s="81"/>
      <c r="AO39" s="88"/>
      <c r="AP39" s="89" t="str">
        <f aca="false">IF(AO39="","",ROUND(AO39/(1+Справочники!$B$13),2))</f>
        <v/>
      </c>
      <c r="AQ39" s="90" t="str">
        <f aca="false" t="array" ref="AQ39:AQ39">IF(AP39="","",AP39*INDEX(Справочники!$B$4:$B$7,MATCH("RUB",Справочники!$A$4:$A$7,0)))</f>
        <v/>
      </c>
      <c r="AR39" s="90" t="str">
        <f aca="false">IF(AQ39="","",ROUND(AQ39*(1+Справочники!$B$12),0))</f>
        <v/>
      </c>
      <c r="AS39" s="90" t="str">
        <f aca="false">IF(AR39="","",ROUND(AR39*(1-Справочники!$B$11),0))</f>
        <v/>
      </c>
      <c r="AT39" s="88"/>
      <c r="AU39" s="90" t="str">
        <f aca="false">IF(AT39="","",ROUND(AT39/(1+Справочники!$B$12),0))</f>
        <v/>
      </c>
      <c r="AV39" s="90" t="str">
        <f aca="false">IF(AT39="","",ROUND(AT39*(1-Справочники!$B$15),0))</f>
        <v/>
      </c>
      <c r="AW39" s="90" t="str">
        <f aca="false">IF(AT39="","",ROUND(AT39*(1-Справочники!$B$16),0))</f>
        <v/>
      </c>
      <c r="AX39" s="90" t="str">
        <f aca="false">IF(AT39="","",ROUND(AT39*(1-Справочники!$B$17),0))</f>
        <v/>
      </c>
      <c r="AY39" s="90" t="str">
        <f aca="false">IF(AT39="","",ROUND(AT39*(1-Справочники!$B$18),0))</f>
        <v/>
      </c>
      <c r="AZ39" s="90" t="str">
        <f aca="false">IF(AT39="","",ROUND(AT39*(1-Справочники!$B$19),0))</f>
        <v/>
      </c>
      <c r="BA39" s="81"/>
      <c r="BB39" s="81"/>
      <c r="BC39" s="81"/>
      <c r="BD39" s="81"/>
      <c r="BE39" s="91"/>
      <c r="BF39" s="81" t="s">
        <v>103</v>
      </c>
      <c r="BG39" s="89" t="n">
        <f aca="false" t="array" ref="BG39:BG39">IF(BF39="","",IFERROR(INDEX(Справочники!$B$4:$B$7,MATCH(BF39,Справочники!$A$4:$A$7,0)),""))</f>
        <v>68.5</v>
      </c>
      <c r="BH39" s="90" t="str">
        <f aca="false">IF(N(BN39)&gt;0,ROUND(SUMIF(ЗАКАЗЫ!$F$3:$F$500,$A39,ЗАКАЗЫ!$Y$3:$Y$500)/BN39,0),IF(OR(BE39="",BG39=""),"",ROUND(BE39*BG39*(1+Справочники!$B$10),0)))</f>
        <v/>
      </c>
      <c r="BI39" s="92" t="str">
        <f aca="false">IF(OR(AU39="",BH39="",AU39=0),"",(AU39-BH39)/AU39)</f>
        <v/>
      </c>
      <c r="BJ39" s="81"/>
      <c r="BK39" s="83"/>
      <c r="BL39" s="43" t="str">
        <f aca="false">IFERROR(INDEX(ЗАКАЗЫ!$N$3:$N$500,MATCH($A39,ЗАКАЗЫ!$F$3:$F$500,0)),"")</f>
        <v/>
      </c>
      <c r="BM39" s="8" t="str">
        <f aca="false">IF(BL39="","",IFERROR(VLOOKUP(BL39,'ТН ВЭД'!$A$4:$C$40,3,0),""))</f>
        <v/>
      </c>
      <c r="BN39" s="7" t="str">
        <f aca="false">IF(COUNTIF(ЗАКАЗЫ!$F$3:$F$500,$A39)=0,"",SUMIF(ЗАКАЗЫ!$F$3:$F$500,$A39,ЗАКАЗЫ!$J$3:$J$500))</f>
        <v/>
      </c>
      <c r="BO39" s="7" t="str">
        <f aca="false">IF(BN39="","",SUMIF(ЗАКАЗЫ!$F$3:$F$500,$A39,ЗАКАЗЫ!$AL$3:$AL$500))</f>
        <v/>
      </c>
      <c r="BP39" s="7" t="str">
        <f aca="false">IF(BN39="","",BN39-BO39)</f>
        <v/>
      </c>
      <c r="BQ39" s="55" t="str">
        <f aca="false">IF(BN39="","",IF(BO39&gt;=BN39,"На складе",IF(BO39&gt;0,"Частично","Ждём")))</f>
        <v/>
      </c>
      <c r="BR39" s="43"/>
      <c r="BS39" s="47" t="str">
        <f aca="false">IF(BN39="","",IF(_xlfn.MAXIFS(ЗАКАЗЫ!$AK$3:$AK$500,ЗАКАЗЫ!$F$3:$F$500,$A39)=0,"",_xlfn.MAXIFS(ЗАКАЗЫ!$AK$3:$AK$500,ЗАКАЗЫ!$F$3:$F$500,$A39)))</f>
        <v/>
      </c>
    </row>
    <row r="40" customFormat="false" ht="15.75" hidden="false" customHeight="true" outlineLevel="0" collapsed="false">
      <c r="A40" s="80" t="s">
        <v>2951</v>
      </c>
      <c r="B40" s="81"/>
      <c r="C40" s="81"/>
      <c r="D40" s="81"/>
      <c r="E40" s="83"/>
      <c r="F40" s="81"/>
      <c r="G40" s="83"/>
      <c r="H40" s="83"/>
      <c r="I40" s="84" t="str">
        <f aca="false">IF(E40="","",A40&amp;"_1.jpg")</f>
        <v/>
      </c>
      <c r="J40" s="84" t="str">
        <f aca="false">IF(E40="","",A40&amp;"_2.jpg; "&amp;A40&amp;"_3.jpg")</f>
        <v/>
      </c>
      <c r="K40" s="84" t="str">
        <f aca="false">IF(E40="","",A40&amp;"_schema.jpg")</f>
        <v/>
      </c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 t="s">
        <v>96</v>
      </c>
      <c r="W40" s="81"/>
      <c r="X40" s="81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6" t="str">
        <f aca="false">IF(SUM(Y40:AJ40)=0,"",SUM(Y40:AJ40))</f>
        <v/>
      </c>
      <c r="AL40" s="84" t="str">
        <f aca="false">MID(IF(N(Y40)&gt;0,", "&amp;Y$2,"")&amp;IF(N(Z40)&gt;0,", "&amp;Z$2,"")&amp;IF(N(AA40)&gt;0,", "&amp;AA$2,"")&amp;IF(N(AB40)&gt;0,", "&amp;AB$2,"")&amp;IF(N(AC40)&gt;0,", "&amp;AC$2,"")&amp;IF(N(AD40)&gt;0,", "&amp;AD$2,"")&amp;IF(N(AE40)&gt;0,", "&amp;AE$2,"")&amp;IF(N(AF40)&gt;0,", "&amp;AF$2,"")&amp;IF(N(AG40)&gt;0,", "&amp;AG$2,"")&amp;IF(N(AH40)&gt;0,", "&amp;AH$2,"")&amp;IF(N(AI40)&gt;0,", "&amp;AI$2,"")&amp;IF(N(AJ40)&gt;0,", "&amp;AJ$2,""),3,999)</f>
        <v/>
      </c>
      <c r="AM40" s="87" t="str">
        <f aca="false">IF(E40="","",MID(IF(N(Y40)&gt;0,", "&amp;A40&amp;"-"&amp;Y$2,"")&amp;IF(N(Z40)&gt;0,", "&amp;A40&amp;"-"&amp;Z$2,"")&amp;IF(N(AA40)&gt;0,", "&amp;A40&amp;"-"&amp;AA$2,"")&amp;IF(N(AB40)&gt;0,", "&amp;A40&amp;"-"&amp;AB$2,"")&amp;IF(N(AC40)&gt;0,", "&amp;A40&amp;"-"&amp;AC$2,"")&amp;IF(N(AD40)&gt;0,", "&amp;A40&amp;"-"&amp;AD$2,"")&amp;IF(N(AE40)&gt;0,", "&amp;A40&amp;"-"&amp;AE$2,"")&amp;IF(N(AF40)&gt;0,", "&amp;A40&amp;"-"&amp;AF$2,"")&amp;IF(N(AG40)&gt;0,", "&amp;A40&amp;"-"&amp;AG$2,"")&amp;IF(N(AH40)&gt;0,", "&amp;A40&amp;"-"&amp;AH$2,"")&amp;IF(N(AI40)&gt;0,", "&amp;A40&amp;"-"&amp;AI$2,"")&amp;IF(N(AJ40)&gt;0,", "&amp;A40&amp;"-"&amp;AJ$2,""),3,999))</f>
        <v/>
      </c>
      <c r="AN40" s="81"/>
      <c r="AO40" s="88"/>
      <c r="AP40" s="89" t="str">
        <f aca="false">IF(AO40="","",ROUND(AO40/(1+Справочники!$B$13),2))</f>
        <v/>
      </c>
      <c r="AQ40" s="90" t="str">
        <f aca="false" t="array" ref="AQ40:AQ40">IF(AP40="","",AP40*INDEX(Справочники!$B$4:$B$7,MATCH("RUB",Справочники!$A$4:$A$7,0)))</f>
        <v/>
      </c>
      <c r="AR40" s="90" t="str">
        <f aca="false">IF(AQ40="","",ROUND(AQ40*(1+Справочники!$B$12),0))</f>
        <v/>
      </c>
      <c r="AS40" s="90" t="str">
        <f aca="false">IF(AR40="","",ROUND(AR40*(1-Справочники!$B$11),0))</f>
        <v/>
      </c>
      <c r="AT40" s="88"/>
      <c r="AU40" s="90" t="str">
        <f aca="false">IF(AT40="","",ROUND(AT40/(1+Справочники!$B$12),0))</f>
        <v/>
      </c>
      <c r="AV40" s="90" t="str">
        <f aca="false">IF(AT40="","",ROUND(AT40*(1-Справочники!$B$15),0))</f>
        <v/>
      </c>
      <c r="AW40" s="90" t="str">
        <f aca="false">IF(AT40="","",ROUND(AT40*(1-Справочники!$B$16),0))</f>
        <v/>
      </c>
      <c r="AX40" s="90" t="str">
        <f aca="false">IF(AT40="","",ROUND(AT40*(1-Справочники!$B$17),0))</f>
        <v/>
      </c>
      <c r="AY40" s="90" t="str">
        <f aca="false">IF(AT40="","",ROUND(AT40*(1-Справочники!$B$18),0))</f>
        <v/>
      </c>
      <c r="AZ40" s="90" t="str">
        <f aca="false">IF(AT40="","",ROUND(AT40*(1-Справочники!$B$19),0))</f>
        <v/>
      </c>
      <c r="BA40" s="81"/>
      <c r="BB40" s="81"/>
      <c r="BC40" s="81"/>
      <c r="BD40" s="81"/>
      <c r="BE40" s="91"/>
      <c r="BF40" s="81" t="s">
        <v>103</v>
      </c>
      <c r="BG40" s="89" t="n">
        <f aca="false" t="array" ref="BG40:BG40">IF(BF40="","",IFERROR(INDEX(Справочники!$B$4:$B$7,MATCH(BF40,Справочники!$A$4:$A$7,0)),""))</f>
        <v>68.5</v>
      </c>
      <c r="BH40" s="90" t="str">
        <f aca="false">IF(N(BN40)&gt;0,ROUND(SUMIF(ЗАКАЗЫ!$F$3:$F$500,$A40,ЗАКАЗЫ!$Y$3:$Y$500)/BN40,0),IF(OR(BE40="",BG40=""),"",ROUND(BE40*BG40*(1+Справочники!$B$10),0)))</f>
        <v/>
      </c>
      <c r="BI40" s="92" t="str">
        <f aca="false">IF(OR(AU40="",BH40="",AU40=0),"",(AU40-BH40)/AU40)</f>
        <v/>
      </c>
      <c r="BJ40" s="81"/>
      <c r="BK40" s="83"/>
      <c r="BL40" s="43" t="str">
        <f aca="false">IFERROR(INDEX(ЗАКАЗЫ!$N$3:$N$500,MATCH($A40,ЗАКАЗЫ!$F$3:$F$500,0)),"")</f>
        <v/>
      </c>
      <c r="BM40" s="8" t="str">
        <f aca="false">IF(BL40="","",IFERROR(VLOOKUP(BL40,'ТН ВЭД'!$A$4:$C$40,3,0),""))</f>
        <v/>
      </c>
      <c r="BN40" s="7" t="str">
        <f aca="false">IF(COUNTIF(ЗАКАЗЫ!$F$3:$F$500,$A40)=0,"",SUMIF(ЗАКАЗЫ!$F$3:$F$500,$A40,ЗАКАЗЫ!$J$3:$J$500))</f>
        <v/>
      </c>
      <c r="BO40" s="7" t="str">
        <f aca="false">IF(BN40="","",SUMIF(ЗАКАЗЫ!$F$3:$F$500,$A40,ЗАКАЗЫ!$AL$3:$AL$500))</f>
        <v/>
      </c>
      <c r="BP40" s="7" t="str">
        <f aca="false">IF(BN40="","",BN40-BO40)</f>
        <v/>
      </c>
      <c r="BQ40" s="55" t="str">
        <f aca="false">IF(BN40="","",IF(BO40&gt;=BN40,"На складе",IF(BO40&gt;0,"Частично","Ждём")))</f>
        <v/>
      </c>
      <c r="BR40" s="43"/>
      <c r="BS40" s="47" t="str">
        <f aca="false">IF(BN40="","",IF(_xlfn.MAXIFS(ЗАКАЗЫ!$AK$3:$AK$500,ЗАКАЗЫ!$F$3:$F$500,$A40)=0,"",_xlfn.MAXIFS(ЗАКАЗЫ!$AK$3:$AK$500,ЗАКАЗЫ!$F$3:$F$500,$A40)))</f>
        <v/>
      </c>
    </row>
    <row r="41" customFormat="false" ht="15.75" hidden="false" customHeight="true" outlineLevel="0" collapsed="false">
      <c r="A41" s="80" t="s">
        <v>2952</v>
      </c>
      <c r="B41" s="81"/>
      <c r="C41" s="81"/>
      <c r="D41" s="81"/>
      <c r="E41" s="83"/>
      <c r="F41" s="81"/>
      <c r="G41" s="83"/>
      <c r="H41" s="83"/>
      <c r="I41" s="84" t="str">
        <f aca="false">IF(E41="","",A41&amp;"_1.jpg")</f>
        <v/>
      </c>
      <c r="J41" s="84" t="str">
        <f aca="false">IF(E41="","",A41&amp;"_2.jpg; "&amp;A41&amp;"_3.jpg")</f>
        <v/>
      </c>
      <c r="K41" s="84" t="str">
        <f aca="false">IF(E41="","",A41&amp;"_schema.jpg")</f>
        <v/>
      </c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 t="s">
        <v>96</v>
      </c>
      <c r="W41" s="81"/>
      <c r="X41" s="81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6" t="str">
        <f aca="false">IF(SUM(Y41:AJ41)=0,"",SUM(Y41:AJ41))</f>
        <v/>
      </c>
      <c r="AL41" s="84" t="str">
        <f aca="false">MID(IF(N(Y41)&gt;0,", "&amp;Y$2,"")&amp;IF(N(Z41)&gt;0,", "&amp;Z$2,"")&amp;IF(N(AA41)&gt;0,", "&amp;AA$2,"")&amp;IF(N(AB41)&gt;0,", "&amp;AB$2,"")&amp;IF(N(AC41)&gt;0,", "&amp;AC$2,"")&amp;IF(N(AD41)&gt;0,", "&amp;AD$2,"")&amp;IF(N(AE41)&gt;0,", "&amp;AE$2,"")&amp;IF(N(AF41)&gt;0,", "&amp;AF$2,"")&amp;IF(N(AG41)&gt;0,", "&amp;AG$2,"")&amp;IF(N(AH41)&gt;0,", "&amp;AH$2,"")&amp;IF(N(AI41)&gt;0,", "&amp;AI$2,"")&amp;IF(N(AJ41)&gt;0,", "&amp;AJ$2,""),3,999)</f>
        <v/>
      </c>
      <c r="AM41" s="87" t="str">
        <f aca="false">IF(E41="","",MID(IF(N(Y41)&gt;0,", "&amp;A41&amp;"-"&amp;Y$2,"")&amp;IF(N(Z41)&gt;0,", "&amp;A41&amp;"-"&amp;Z$2,"")&amp;IF(N(AA41)&gt;0,", "&amp;A41&amp;"-"&amp;AA$2,"")&amp;IF(N(AB41)&gt;0,", "&amp;A41&amp;"-"&amp;AB$2,"")&amp;IF(N(AC41)&gt;0,", "&amp;A41&amp;"-"&amp;AC$2,"")&amp;IF(N(AD41)&gt;0,", "&amp;A41&amp;"-"&amp;AD$2,"")&amp;IF(N(AE41)&gt;0,", "&amp;A41&amp;"-"&amp;AE$2,"")&amp;IF(N(AF41)&gt;0,", "&amp;A41&amp;"-"&amp;AF$2,"")&amp;IF(N(AG41)&gt;0,", "&amp;A41&amp;"-"&amp;AG$2,"")&amp;IF(N(AH41)&gt;0,", "&amp;A41&amp;"-"&amp;AH$2,"")&amp;IF(N(AI41)&gt;0,", "&amp;A41&amp;"-"&amp;AI$2,"")&amp;IF(N(AJ41)&gt;0,", "&amp;A41&amp;"-"&amp;AJ$2,""),3,999))</f>
        <v/>
      </c>
      <c r="AN41" s="81"/>
      <c r="AO41" s="88"/>
      <c r="AP41" s="89" t="str">
        <f aca="false">IF(AO41="","",ROUND(AO41/(1+Справочники!$B$13),2))</f>
        <v/>
      </c>
      <c r="AQ41" s="90" t="str">
        <f aca="false" t="array" ref="AQ41:AQ41">IF(AP41="","",AP41*INDEX(Справочники!$B$4:$B$7,MATCH("RUB",Справочники!$A$4:$A$7,0)))</f>
        <v/>
      </c>
      <c r="AR41" s="90" t="str">
        <f aca="false">IF(AQ41="","",ROUND(AQ41*(1+Справочники!$B$12),0))</f>
        <v/>
      </c>
      <c r="AS41" s="90" t="str">
        <f aca="false">IF(AR41="","",ROUND(AR41*(1-Справочники!$B$11),0))</f>
        <v/>
      </c>
      <c r="AT41" s="88"/>
      <c r="AU41" s="90" t="str">
        <f aca="false">IF(AT41="","",ROUND(AT41/(1+Справочники!$B$12),0))</f>
        <v/>
      </c>
      <c r="AV41" s="90" t="str">
        <f aca="false">IF(AT41="","",ROUND(AT41*(1-Справочники!$B$15),0))</f>
        <v/>
      </c>
      <c r="AW41" s="90" t="str">
        <f aca="false">IF(AT41="","",ROUND(AT41*(1-Справочники!$B$16),0))</f>
        <v/>
      </c>
      <c r="AX41" s="90" t="str">
        <f aca="false">IF(AT41="","",ROUND(AT41*(1-Справочники!$B$17),0))</f>
        <v/>
      </c>
      <c r="AY41" s="90" t="str">
        <f aca="false">IF(AT41="","",ROUND(AT41*(1-Справочники!$B$18),0))</f>
        <v/>
      </c>
      <c r="AZ41" s="90" t="str">
        <f aca="false">IF(AT41="","",ROUND(AT41*(1-Справочники!$B$19),0))</f>
        <v/>
      </c>
      <c r="BA41" s="81"/>
      <c r="BB41" s="81"/>
      <c r="BC41" s="81"/>
      <c r="BD41" s="81"/>
      <c r="BE41" s="91"/>
      <c r="BF41" s="81" t="s">
        <v>103</v>
      </c>
      <c r="BG41" s="89" t="n">
        <f aca="false" t="array" ref="BG41:BG41">IF(BF41="","",IFERROR(INDEX(Справочники!$B$4:$B$7,MATCH(BF41,Справочники!$A$4:$A$7,0)),""))</f>
        <v>68.5</v>
      </c>
      <c r="BH41" s="90" t="str">
        <f aca="false">IF(N(BN41)&gt;0,ROUND(SUMIF(ЗАКАЗЫ!$F$3:$F$500,$A41,ЗАКАЗЫ!$Y$3:$Y$500)/BN41,0),IF(OR(BE41="",BG41=""),"",ROUND(BE41*BG41*(1+Справочники!$B$10),0)))</f>
        <v/>
      </c>
      <c r="BI41" s="92" t="str">
        <f aca="false">IF(OR(AU41="",BH41="",AU41=0),"",(AU41-BH41)/AU41)</f>
        <v/>
      </c>
      <c r="BJ41" s="81"/>
      <c r="BK41" s="83"/>
      <c r="BL41" s="43" t="str">
        <f aca="false">IFERROR(INDEX(ЗАКАЗЫ!$N$3:$N$500,MATCH($A41,ЗАКАЗЫ!$F$3:$F$500,0)),"")</f>
        <v/>
      </c>
      <c r="BM41" s="8" t="str">
        <f aca="false">IF(BL41="","",IFERROR(VLOOKUP(BL41,'ТН ВЭД'!$A$4:$C$40,3,0),""))</f>
        <v/>
      </c>
      <c r="BN41" s="7" t="str">
        <f aca="false">IF(COUNTIF(ЗАКАЗЫ!$F$3:$F$500,$A41)=0,"",SUMIF(ЗАКАЗЫ!$F$3:$F$500,$A41,ЗАКАЗЫ!$J$3:$J$500))</f>
        <v/>
      </c>
      <c r="BO41" s="7" t="str">
        <f aca="false">IF(BN41="","",SUMIF(ЗАКАЗЫ!$F$3:$F$500,$A41,ЗАКАЗЫ!$AL$3:$AL$500))</f>
        <v/>
      </c>
      <c r="BP41" s="7" t="str">
        <f aca="false">IF(BN41="","",BN41-BO41)</f>
        <v/>
      </c>
      <c r="BQ41" s="55" t="str">
        <f aca="false">IF(BN41="","",IF(BO41&gt;=BN41,"На складе",IF(BO41&gt;0,"Частично","Ждём")))</f>
        <v/>
      </c>
      <c r="BR41" s="43"/>
      <c r="BS41" s="47" t="str">
        <f aca="false">IF(BN41="","",IF(_xlfn.MAXIFS(ЗАКАЗЫ!$AK$3:$AK$500,ЗАКАЗЫ!$F$3:$F$500,$A41)=0,"",_xlfn.MAXIFS(ЗАКАЗЫ!$AK$3:$AK$500,ЗАКАЗЫ!$F$3:$F$500,$A41)))</f>
        <v/>
      </c>
    </row>
    <row r="42" customFormat="false" ht="15.75" hidden="false" customHeight="true" outlineLevel="0" collapsed="false">
      <c r="A42" s="80" t="s">
        <v>2953</v>
      </c>
      <c r="B42" s="81"/>
      <c r="C42" s="81"/>
      <c r="D42" s="81"/>
      <c r="E42" s="83"/>
      <c r="F42" s="81"/>
      <c r="G42" s="83"/>
      <c r="H42" s="83"/>
      <c r="I42" s="84" t="str">
        <f aca="false">IF(E42="","",A42&amp;"_1.jpg")</f>
        <v/>
      </c>
      <c r="J42" s="84" t="str">
        <f aca="false">IF(E42="","",A42&amp;"_2.jpg; "&amp;A42&amp;"_3.jpg")</f>
        <v/>
      </c>
      <c r="K42" s="84" t="str">
        <f aca="false">IF(E42="","",A42&amp;"_schema.jpg")</f>
        <v/>
      </c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 t="s">
        <v>96</v>
      </c>
      <c r="W42" s="81"/>
      <c r="X42" s="81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6" t="str">
        <f aca="false">IF(SUM(Y42:AJ42)=0,"",SUM(Y42:AJ42))</f>
        <v/>
      </c>
      <c r="AL42" s="84" t="str">
        <f aca="false">MID(IF(N(Y42)&gt;0,", "&amp;Y$2,"")&amp;IF(N(Z42)&gt;0,", "&amp;Z$2,"")&amp;IF(N(AA42)&gt;0,", "&amp;AA$2,"")&amp;IF(N(AB42)&gt;0,", "&amp;AB$2,"")&amp;IF(N(AC42)&gt;0,", "&amp;AC$2,"")&amp;IF(N(AD42)&gt;0,", "&amp;AD$2,"")&amp;IF(N(AE42)&gt;0,", "&amp;AE$2,"")&amp;IF(N(AF42)&gt;0,", "&amp;AF$2,"")&amp;IF(N(AG42)&gt;0,", "&amp;AG$2,"")&amp;IF(N(AH42)&gt;0,", "&amp;AH$2,"")&amp;IF(N(AI42)&gt;0,", "&amp;AI$2,"")&amp;IF(N(AJ42)&gt;0,", "&amp;AJ$2,""),3,999)</f>
        <v/>
      </c>
      <c r="AM42" s="87" t="str">
        <f aca="false">IF(E42="","",MID(IF(N(Y42)&gt;0,", "&amp;A42&amp;"-"&amp;Y$2,"")&amp;IF(N(Z42)&gt;0,", "&amp;A42&amp;"-"&amp;Z$2,"")&amp;IF(N(AA42)&gt;0,", "&amp;A42&amp;"-"&amp;AA$2,"")&amp;IF(N(AB42)&gt;0,", "&amp;A42&amp;"-"&amp;AB$2,"")&amp;IF(N(AC42)&gt;0,", "&amp;A42&amp;"-"&amp;AC$2,"")&amp;IF(N(AD42)&gt;0,", "&amp;A42&amp;"-"&amp;AD$2,"")&amp;IF(N(AE42)&gt;0,", "&amp;A42&amp;"-"&amp;AE$2,"")&amp;IF(N(AF42)&gt;0,", "&amp;A42&amp;"-"&amp;AF$2,"")&amp;IF(N(AG42)&gt;0,", "&amp;A42&amp;"-"&amp;AG$2,"")&amp;IF(N(AH42)&gt;0,", "&amp;A42&amp;"-"&amp;AH$2,"")&amp;IF(N(AI42)&gt;0,", "&amp;A42&amp;"-"&amp;AI$2,"")&amp;IF(N(AJ42)&gt;0,", "&amp;A42&amp;"-"&amp;AJ$2,""),3,999))</f>
        <v/>
      </c>
      <c r="AN42" s="81"/>
      <c r="AO42" s="88"/>
      <c r="AP42" s="89" t="str">
        <f aca="false">IF(AO42="","",ROUND(AO42/(1+Справочники!$B$13),2))</f>
        <v/>
      </c>
      <c r="AQ42" s="90" t="str">
        <f aca="false" t="array" ref="AQ42:AQ42">IF(AP42="","",AP42*INDEX(Справочники!$B$4:$B$7,MATCH("RUB",Справочники!$A$4:$A$7,0)))</f>
        <v/>
      </c>
      <c r="AR42" s="90" t="str">
        <f aca="false">IF(AQ42="","",ROUND(AQ42*(1+Справочники!$B$12),0))</f>
        <v/>
      </c>
      <c r="AS42" s="90" t="str">
        <f aca="false">IF(AR42="","",ROUND(AR42*(1-Справочники!$B$11),0))</f>
        <v/>
      </c>
      <c r="AT42" s="88"/>
      <c r="AU42" s="90" t="str">
        <f aca="false">IF(AT42="","",ROUND(AT42/(1+Справочники!$B$12),0))</f>
        <v/>
      </c>
      <c r="AV42" s="90" t="str">
        <f aca="false">IF(AT42="","",ROUND(AT42*(1-Справочники!$B$15),0))</f>
        <v/>
      </c>
      <c r="AW42" s="90" t="str">
        <f aca="false">IF(AT42="","",ROUND(AT42*(1-Справочники!$B$16),0))</f>
        <v/>
      </c>
      <c r="AX42" s="90" t="str">
        <f aca="false">IF(AT42="","",ROUND(AT42*(1-Справочники!$B$17),0))</f>
        <v/>
      </c>
      <c r="AY42" s="90" t="str">
        <f aca="false">IF(AT42="","",ROUND(AT42*(1-Справочники!$B$18),0))</f>
        <v/>
      </c>
      <c r="AZ42" s="90" t="str">
        <f aca="false">IF(AT42="","",ROUND(AT42*(1-Справочники!$B$19),0))</f>
        <v/>
      </c>
      <c r="BA42" s="81"/>
      <c r="BB42" s="81"/>
      <c r="BC42" s="81"/>
      <c r="BD42" s="81"/>
      <c r="BE42" s="91"/>
      <c r="BF42" s="81" t="s">
        <v>103</v>
      </c>
      <c r="BG42" s="89" t="n">
        <f aca="false" t="array" ref="BG42:BG42">IF(BF42="","",IFERROR(INDEX(Справочники!$B$4:$B$7,MATCH(BF42,Справочники!$A$4:$A$7,0)),""))</f>
        <v>68.5</v>
      </c>
      <c r="BH42" s="90" t="str">
        <f aca="false">IF(N(BN42)&gt;0,ROUND(SUMIF(ЗАКАЗЫ!$F$3:$F$500,$A42,ЗАКАЗЫ!$Y$3:$Y$500)/BN42,0),IF(OR(BE42="",BG42=""),"",ROUND(BE42*BG42*(1+Справочники!$B$10),0)))</f>
        <v/>
      </c>
      <c r="BI42" s="92" t="str">
        <f aca="false">IF(OR(AU42="",BH42="",AU42=0),"",(AU42-BH42)/AU42)</f>
        <v/>
      </c>
      <c r="BJ42" s="81"/>
      <c r="BK42" s="83"/>
      <c r="BL42" s="43" t="str">
        <f aca="false">IFERROR(INDEX(ЗАКАЗЫ!$N$3:$N$500,MATCH($A42,ЗАКАЗЫ!$F$3:$F$500,0)),"")</f>
        <v/>
      </c>
      <c r="BM42" s="8" t="str">
        <f aca="false">IF(BL42="","",IFERROR(VLOOKUP(BL42,'ТН ВЭД'!$A$4:$C$40,3,0),""))</f>
        <v/>
      </c>
      <c r="BN42" s="7" t="str">
        <f aca="false">IF(COUNTIF(ЗАКАЗЫ!$F$3:$F$500,$A42)=0,"",SUMIF(ЗАКАЗЫ!$F$3:$F$500,$A42,ЗАКАЗЫ!$J$3:$J$500))</f>
        <v/>
      </c>
      <c r="BO42" s="7" t="str">
        <f aca="false">IF(BN42="","",SUMIF(ЗАКАЗЫ!$F$3:$F$500,$A42,ЗАКАЗЫ!$AL$3:$AL$500))</f>
        <v/>
      </c>
      <c r="BP42" s="7" t="str">
        <f aca="false">IF(BN42="","",BN42-BO42)</f>
        <v/>
      </c>
      <c r="BQ42" s="55" t="str">
        <f aca="false">IF(BN42="","",IF(BO42&gt;=BN42,"На складе",IF(BO42&gt;0,"Частично","Ждём")))</f>
        <v/>
      </c>
      <c r="BR42" s="43"/>
      <c r="BS42" s="47" t="str">
        <f aca="false">IF(BN42="","",IF(_xlfn.MAXIFS(ЗАКАЗЫ!$AK$3:$AK$500,ЗАКАЗЫ!$F$3:$F$500,$A42)=0,"",_xlfn.MAXIFS(ЗАКАЗЫ!$AK$3:$AK$500,ЗАКАЗЫ!$F$3:$F$500,$A42)))</f>
        <v/>
      </c>
    </row>
    <row r="43" customFormat="false" ht="15.75" hidden="false" customHeight="true" outlineLevel="0" collapsed="false">
      <c r="A43" s="80" t="s">
        <v>2954</v>
      </c>
      <c r="B43" s="81"/>
      <c r="C43" s="81"/>
      <c r="D43" s="81"/>
      <c r="E43" s="83"/>
      <c r="F43" s="81"/>
      <c r="G43" s="83"/>
      <c r="H43" s="83"/>
      <c r="I43" s="84" t="str">
        <f aca="false">IF(E43="","",A43&amp;"_1.jpg")</f>
        <v/>
      </c>
      <c r="J43" s="84" t="str">
        <f aca="false">IF(E43="","",A43&amp;"_2.jpg; "&amp;A43&amp;"_3.jpg")</f>
        <v/>
      </c>
      <c r="K43" s="84" t="str">
        <f aca="false">IF(E43="","",A43&amp;"_schema.jpg")</f>
        <v/>
      </c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 t="s">
        <v>96</v>
      </c>
      <c r="W43" s="81"/>
      <c r="X43" s="81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6" t="str">
        <f aca="false">IF(SUM(Y43:AJ43)=0,"",SUM(Y43:AJ43))</f>
        <v/>
      </c>
      <c r="AL43" s="84" t="str">
        <f aca="false">MID(IF(N(Y43)&gt;0,", "&amp;Y$2,"")&amp;IF(N(Z43)&gt;0,", "&amp;Z$2,"")&amp;IF(N(AA43)&gt;0,", "&amp;AA$2,"")&amp;IF(N(AB43)&gt;0,", "&amp;AB$2,"")&amp;IF(N(AC43)&gt;0,", "&amp;AC$2,"")&amp;IF(N(AD43)&gt;0,", "&amp;AD$2,"")&amp;IF(N(AE43)&gt;0,", "&amp;AE$2,"")&amp;IF(N(AF43)&gt;0,", "&amp;AF$2,"")&amp;IF(N(AG43)&gt;0,", "&amp;AG$2,"")&amp;IF(N(AH43)&gt;0,", "&amp;AH$2,"")&amp;IF(N(AI43)&gt;0,", "&amp;AI$2,"")&amp;IF(N(AJ43)&gt;0,", "&amp;AJ$2,""),3,999)</f>
        <v/>
      </c>
      <c r="AM43" s="87" t="str">
        <f aca="false">IF(E43="","",MID(IF(N(Y43)&gt;0,", "&amp;A43&amp;"-"&amp;Y$2,"")&amp;IF(N(Z43)&gt;0,", "&amp;A43&amp;"-"&amp;Z$2,"")&amp;IF(N(AA43)&gt;0,", "&amp;A43&amp;"-"&amp;AA$2,"")&amp;IF(N(AB43)&gt;0,", "&amp;A43&amp;"-"&amp;AB$2,"")&amp;IF(N(AC43)&gt;0,", "&amp;A43&amp;"-"&amp;AC$2,"")&amp;IF(N(AD43)&gt;0,", "&amp;A43&amp;"-"&amp;AD$2,"")&amp;IF(N(AE43)&gt;0,", "&amp;A43&amp;"-"&amp;AE$2,"")&amp;IF(N(AF43)&gt;0,", "&amp;A43&amp;"-"&amp;AF$2,"")&amp;IF(N(AG43)&gt;0,", "&amp;A43&amp;"-"&amp;AG$2,"")&amp;IF(N(AH43)&gt;0,", "&amp;A43&amp;"-"&amp;AH$2,"")&amp;IF(N(AI43)&gt;0,", "&amp;A43&amp;"-"&amp;AI$2,"")&amp;IF(N(AJ43)&gt;0,", "&amp;A43&amp;"-"&amp;AJ$2,""),3,999))</f>
        <v/>
      </c>
      <c r="AN43" s="81"/>
      <c r="AO43" s="88"/>
      <c r="AP43" s="89" t="str">
        <f aca="false">IF(AO43="","",ROUND(AO43/(1+Справочники!$B$13),2))</f>
        <v/>
      </c>
      <c r="AQ43" s="90" t="str">
        <f aca="false" t="array" ref="AQ43:AQ43">IF(AP43="","",AP43*INDEX(Справочники!$B$4:$B$7,MATCH("RUB",Справочники!$A$4:$A$7,0)))</f>
        <v/>
      </c>
      <c r="AR43" s="90" t="str">
        <f aca="false">IF(AQ43="","",ROUND(AQ43*(1+Справочники!$B$12),0))</f>
        <v/>
      </c>
      <c r="AS43" s="90" t="str">
        <f aca="false">IF(AR43="","",ROUND(AR43*(1-Справочники!$B$11),0))</f>
        <v/>
      </c>
      <c r="AT43" s="88"/>
      <c r="AU43" s="90" t="str">
        <f aca="false">IF(AT43="","",ROUND(AT43/(1+Справочники!$B$12),0))</f>
        <v/>
      </c>
      <c r="AV43" s="90" t="str">
        <f aca="false">IF(AT43="","",ROUND(AT43*(1-Справочники!$B$15),0))</f>
        <v/>
      </c>
      <c r="AW43" s="90" t="str">
        <f aca="false">IF(AT43="","",ROUND(AT43*(1-Справочники!$B$16),0))</f>
        <v/>
      </c>
      <c r="AX43" s="90" t="str">
        <f aca="false">IF(AT43="","",ROUND(AT43*(1-Справочники!$B$17),0))</f>
        <v/>
      </c>
      <c r="AY43" s="90" t="str">
        <f aca="false">IF(AT43="","",ROUND(AT43*(1-Справочники!$B$18),0))</f>
        <v/>
      </c>
      <c r="AZ43" s="90" t="str">
        <f aca="false">IF(AT43="","",ROUND(AT43*(1-Справочники!$B$19),0))</f>
        <v/>
      </c>
      <c r="BA43" s="81"/>
      <c r="BB43" s="81"/>
      <c r="BC43" s="81"/>
      <c r="BD43" s="81"/>
      <c r="BE43" s="91"/>
      <c r="BF43" s="81" t="s">
        <v>103</v>
      </c>
      <c r="BG43" s="89" t="n">
        <f aca="false" t="array" ref="BG43:BG43">IF(BF43="","",IFERROR(INDEX(Справочники!$B$4:$B$7,MATCH(BF43,Справочники!$A$4:$A$7,0)),""))</f>
        <v>68.5</v>
      </c>
      <c r="BH43" s="90" t="str">
        <f aca="false">IF(N(BN43)&gt;0,ROUND(SUMIF(ЗАКАЗЫ!$F$3:$F$500,$A43,ЗАКАЗЫ!$Y$3:$Y$500)/BN43,0),IF(OR(BE43="",BG43=""),"",ROUND(BE43*BG43*(1+Справочники!$B$10),0)))</f>
        <v/>
      </c>
      <c r="BI43" s="92" t="str">
        <f aca="false">IF(OR(AU43="",BH43="",AU43=0),"",(AU43-BH43)/AU43)</f>
        <v/>
      </c>
      <c r="BJ43" s="81"/>
      <c r="BK43" s="83"/>
      <c r="BL43" s="43" t="str">
        <f aca="false">IFERROR(INDEX(ЗАКАЗЫ!$N$3:$N$500,MATCH($A43,ЗАКАЗЫ!$F$3:$F$500,0)),"")</f>
        <v/>
      </c>
      <c r="BM43" s="8" t="str">
        <f aca="false">IF(BL43="","",IFERROR(VLOOKUP(BL43,'ТН ВЭД'!$A$4:$C$40,3,0),""))</f>
        <v/>
      </c>
      <c r="BN43" s="7" t="str">
        <f aca="false">IF(COUNTIF(ЗАКАЗЫ!$F$3:$F$500,$A43)=0,"",SUMIF(ЗАКАЗЫ!$F$3:$F$500,$A43,ЗАКАЗЫ!$J$3:$J$500))</f>
        <v/>
      </c>
      <c r="BO43" s="7" t="str">
        <f aca="false">IF(BN43="","",SUMIF(ЗАКАЗЫ!$F$3:$F$500,$A43,ЗАКАЗЫ!$AL$3:$AL$500))</f>
        <v/>
      </c>
      <c r="BP43" s="7" t="str">
        <f aca="false">IF(BN43="","",BN43-BO43)</f>
        <v/>
      </c>
      <c r="BQ43" s="55" t="str">
        <f aca="false">IF(BN43="","",IF(BO43&gt;=BN43,"На складе",IF(BO43&gt;0,"Частично","Ждём")))</f>
        <v/>
      </c>
      <c r="BR43" s="43"/>
      <c r="BS43" s="47" t="str">
        <f aca="false">IF(BN43="","",IF(_xlfn.MAXIFS(ЗАКАЗЫ!$AK$3:$AK$500,ЗАКАЗЫ!$F$3:$F$500,$A43)=0,"",_xlfn.MAXIFS(ЗАКАЗЫ!$AK$3:$AK$500,ЗАКАЗЫ!$F$3:$F$500,$A43)))</f>
        <v/>
      </c>
    </row>
    <row r="44" customFormat="false" ht="15.75" hidden="false" customHeight="true" outlineLevel="0" collapsed="false">
      <c r="A44" s="80" t="s">
        <v>2955</v>
      </c>
      <c r="B44" s="81"/>
      <c r="C44" s="81"/>
      <c r="D44" s="81"/>
      <c r="E44" s="83"/>
      <c r="F44" s="81"/>
      <c r="G44" s="83"/>
      <c r="H44" s="83"/>
      <c r="I44" s="84" t="str">
        <f aca="false">IF(E44="","",A44&amp;"_1.jpg")</f>
        <v/>
      </c>
      <c r="J44" s="84" t="str">
        <f aca="false">IF(E44="","",A44&amp;"_2.jpg; "&amp;A44&amp;"_3.jpg")</f>
        <v/>
      </c>
      <c r="K44" s="84" t="str">
        <f aca="false">IF(E44="","",A44&amp;"_schema.jpg")</f>
        <v/>
      </c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 t="s">
        <v>96</v>
      </c>
      <c r="W44" s="81"/>
      <c r="X44" s="81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6" t="str">
        <f aca="false">IF(SUM(Y44:AJ44)=0,"",SUM(Y44:AJ44))</f>
        <v/>
      </c>
      <c r="AL44" s="84" t="str">
        <f aca="false">MID(IF(N(Y44)&gt;0,", "&amp;Y$2,"")&amp;IF(N(Z44)&gt;0,", "&amp;Z$2,"")&amp;IF(N(AA44)&gt;0,", "&amp;AA$2,"")&amp;IF(N(AB44)&gt;0,", "&amp;AB$2,"")&amp;IF(N(AC44)&gt;0,", "&amp;AC$2,"")&amp;IF(N(AD44)&gt;0,", "&amp;AD$2,"")&amp;IF(N(AE44)&gt;0,", "&amp;AE$2,"")&amp;IF(N(AF44)&gt;0,", "&amp;AF$2,"")&amp;IF(N(AG44)&gt;0,", "&amp;AG$2,"")&amp;IF(N(AH44)&gt;0,", "&amp;AH$2,"")&amp;IF(N(AI44)&gt;0,", "&amp;AI$2,"")&amp;IF(N(AJ44)&gt;0,", "&amp;AJ$2,""),3,999)</f>
        <v/>
      </c>
      <c r="AM44" s="87" t="str">
        <f aca="false">IF(E44="","",MID(IF(N(Y44)&gt;0,", "&amp;A44&amp;"-"&amp;Y$2,"")&amp;IF(N(Z44)&gt;0,", "&amp;A44&amp;"-"&amp;Z$2,"")&amp;IF(N(AA44)&gt;0,", "&amp;A44&amp;"-"&amp;AA$2,"")&amp;IF(N(AB44)&gt;0,", "&amp;A44&amp;"-"&amp;AB$2,"")&amp;IF(N(AC44)&gt;0,", "&amp;A44&amp;"-"&amp;AC$2,"")&amp;IF(N(AD44)&gt;0,", "&amp;A44&amp;"-"&amp;AD$2,"")&amp;IF(N(AE44)&gt;0,", "&amp;A44&amp;"-"&amp;AE$2,"")&amp;IF(N(AF44)&gt;0,", "&amp;A44&amp;"-"&amp;AF$2,"")&amp;IF(N(AG44)&gt;0,", "&amp;A44&amp;"-"&amp;AG$2,"")&amp;IF(N(AH44)&gt;0,", "&amp;A44&amp;"-"&amp;AH$2,"")&amp;IF(N(AI44)&gt;0,", "&amp;A44&amp;"-"&amp;AI$2,"")&amp;IF(N(AJ44)&gt;0,", "&amp;A44&amp;"-"&amp;AJ$2,""),3,999))</f>
        <v/>
      </c>
      <c r="AN44" s="81"/>
      <c r="AO44" s="88"/>
      <c r="AP44" s="89" t="str">
        <f aca="false">IF(AO44="","",ROUND(AO44/(1+Справочники!$B$13),2))</f>
        <v/>
      </c>
      <c r="AQ44" s="90" t="str">
        <f aca="false" t="array" ref="AQ44:AQ44">IF(AP44="","",AP44*INDEX(Справочники!$B$4:$B$7,MATCH("RUB",Справочники!$A$4:$A$7,0)))</f>
        <v/>
      </c>
      <c r="AR44" s="90" t="str">
        <f aca="false">IF(AQ44="","",ROUND(AQ44*(1+Справочники!$B$12),0))</f>
        <v/>
      </c>
      <c r="AS44" s="90" t="str">
        <f aca="false">IF(AR44="","",ROUND(AR44*(1-Справочники!$B$11),0))</f>
        <v/>
      </c>
      <c r="AT44" s="88"/>
      <c r="AU44" s="90" t="str">
        <f aca="false">IF(AT44="","",ROUND(AT44/(1+Справочники!$B$12),0))</f>
        <v/>
      </c>
      <c r="AV44" s="90" t="str">
        <f aca="false">IF(AT44="","",ROUND(AT44*(1-Справочники!$B$15),0))</f>
        <v/>
      </c>
      <c r="AW44" s="90" t="str">
        <f aca="false">IF(AT44="","",ROUND(AT44*(1-Справочники!$B$16),0))</f>
        <v/>
      </c>
      <c r="AX44" s="90" t="str">
        <f aca="false">IF(AT44="","",ROUND(AT44*(1-Справочники!$B$17),0))</f>
        <v/>
      </c>
      <c r="AY44" s="90" t="str">
        <f aca="false">IF(AT44="","",ROUND(AT44*(1-Справочники!$B$18),0))</f>
        <v/>
      </c>
      <c r="AZ44" s="90" t="str">
        <f aca="false">IF(AT44="","",ROUND(AT44*(1-Справочники!$B$19),0))</f>
        <v/>
      </c>
      <c r="BA44" s="81"/>
      <c r="BB44" s="81"/>
      <c r="BC44" s="81"/>
      <c r="BD44" s="81"/>
      <c r="BE44" s="91"/>
      <c r="BF44" s="81" t="s">
        <v>103</v>
      </c>
      <c r="BG44" s="89" t="n">
        <f aca="false" t="array" ref="BG44:BG44">IF(BF44="","",IFERROR(INDEX(Справочники!$B$4:$B$7,MATCH(BF44,Справочники!$A$4:$A$7,0)),""))</f>
        <v>68.5</v>
      </c>
      <c r="BH44" s="90" t="str">
        <f aca="false">IF(N(BN44)&gt;0,ROUND(SUMIF(ЗАКАЗЫ!$F$3:$F$500,$A44,ЗАКАЗЫ!$Y$3:$Y$500)/BN44,0),IF(OR(BE44="",BG44=""),"",ROUND(BE44*BG44*(1+Справочники!$B$10),0)))</f>
        <v/>
      </c>
      <c r="BI44" s="92" t="str">
        <f aca="false">IF(OR(AU44="",BH44="",AU44=0),"",(AU44-BH44)/AU44)</f>
        <v/>
      </c>
      <c r="BJ44" s="81"/>
      <c r="BK44" s="83"/>
      <c r="BL44" s="43" t="str">
        <f aca="false">IFERROR(INDEX(ЗАКАЗЫ!$N$3:$N$500,MATCH($A44,ЗАКАЗЫ!$F$3:$F$500,0)),"")</f>
        <v/>
      </c>
      <c r="BM44" s="8" t="str">
        <f aca="false">IF(BL44="","",IFERROR(VLOOKUP(BL44,'ТН ВЭД'!$A$4:$C$40,3,0),""))</f>
        <v/>
      </c>
      <c r="BN44" s="7" t="str">
        <f aca="false">IF(COUNTIF(ЗАКАЗЫ!$F$3:$F$500,$A44)=0,"",SUMIF(ЗАКАЗЫ!$F$3:$F$500,$A44,ЗАКАЗЫ!$J$3:$J$500))</f>
        <v/>
      </c>
      <c r="BO44" s="7" t="str">
        <f aca="false">IF(BN44="","",SUMIF(ЗАКАЗЫ!$F$3:$F$500,$A44,ЗАКАЗЫ!$AL$3:$AL$500))</f>
        <v/>
      </c>
      <c r="BP44" s="7" t="str">
        <f aca="false">IF(BN44="","",BN44-BO44)</f>
        <v/>
      </c>
      <c r="BQ44" s="55" t="str">
        <f aca="false">IF(BN44="","",IF(BO44&gt;=BN44,"На складе",IF(BO44&gt;0,"Частично","Ждём")))</f>
        <v/>
      </c>
      <c r="BR44" s="43"/>
      <c r="BS44" s="47" t="str">
        <f aca="false">IF(BN44="","",IF(_xlfn.MAXIFS(ЗАКАЗЫ!$AK$3:$AK$500,ЗАКАЗЫ!$F$3:$F$500,$A44)=0,"",_xlfn.MAXIFS(ЗАКАЗЫ!$AK$3:$AK$500,ЗАКАЗЫ!$F$3:$F$500,$A44)))</f>
        <v/>
      </c>
    </row>
    <row r="45" customFormat="false" ht="15.75" hidden="false" customHeight="true" outlineLevel="0" collapsed="false">
      <c r="A45" s="80" t="s">
        <v>2956</v>
      </c>
      <c r="B45" s="81"/>
      <c r="C45" s="81"/>
      <c r="D45" s="81"/>
      <c r="E45" s="83"/>
      <c r="F45" s="81"/>
      <c r="G45" s="83"/>
      <c r="H45" s="83"/>
      <c r="I45" s="84" t="str">
        <f aca="false">IF(E45="","",A45&amp;"_1.jpg")</f>
        <v/>
      </c>
      <c r="J45" s="84" t="str">
        <f aca="false">IF(E45="","",A45&amp;"_2.jpg; "&amp;A45&amp;"_3.jpg")</f>
        <v/>
      </c>
      <c r="K45" s="84" t="str">
        <f aca="false">IF(E45="","",A45&amp;"_schema.jpg")</f>
        <v/>
      </c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 t="s">
        <v>96</v>
      </c>
      <c r="W45" s="81"/>
      <c r="X45" s="81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6" t="str">
        <f aca="false">IF(SUM(Y45:AJ45)=0,"",SUM(Y45:AJ45))</f>
        <v/>
      </c>
      <c r="AL45" s="84" t="str">
        <f aca="false">MID(IF(N(Y45)&gt;0,", "&amp;Y$2,"")&amp;IF(N(Z45)&gt;0,", "&amp;Z$2,"")&amp;IF(N(AA45)&gt;0,", "&amp;AA$2,"")&amp;IF(N(AB45)&gt;0,", "&amp;AB$2,"")&amp;IF(N(AC45)&gt;0,", "&amp;AC$2,"")&amp;IF(N(AD45)&gt;0,", "&amp;AD$2,"")&amp;IF(N(AE45)&gt;0,", "&amp;AE$2,"")&amp;IF(N(AF45)&gt;0,", "&amp;AF$2,"")&amp;IF(N(AG45)&gt;0,", "&amp;AG$2,"")&amp;IF(N(AH45)&gt;0,", "&amp;AH$2,"")&amp;IF(N(AI45)&gt;0,", "&amp;AI$2,"")&amp;IF(N(AJ45)&gt;0,", "&amp;AJ$2,""),3,999)</f>
        <v/>
      </c>
      <c r="AM45" s="87" t="str">
        <f aca="false">IF(E45="","",MID(IF(N(Y45)&gt;0,", "&amp;A45&amp;"-"&amp;Y$2,"")&amp;IF(N(Z45)&gt;0,", "&amp;A45&amp;"-"&amp;Z$2,"")&amp;IF(N(AA45)&gt;0,", "&amp;A45&amp;"-"&amp;AA$2,"")&amp;IF(N(AB45)&gt;0,", "&amp;A45&amp;"-"&amp;AB$2,"")&amp;IF(N(AC45)&gt;0,", "&amp;A45&amp;"-"&amp;AC$2,"")&amp;IF(N(AD45)&gt;0,", "&amp;A45&amp;"-"&amp;AD$2,"")&amp;IF(N(AE45)&gt;0,", "&amp;A45&amp;"-"&amp;AE$2,"")&amp;IF(N(AF45)&gt;0,", "&amp;A45&amp;"-"&amp;AF$2,"")&amp;IF(N(AG45)&gt;0,", "&amp;A45&amp;"-"&amp;AG$2,"")&amp;IF(N(AH45)&gt;0,", "&amp;A45&amp;"-"&amp;AH$2,"")&amp;IF(N(AI45)&gt;0,", "&amp;A45&amp;"-"&amp;AI$2,"")&amp;IF(N(AJ45)&gt;0,", "&amp;A45&amp;"-"&amp;AJ$2,""),3,999))</f>
        <v/>
      </c>
      <c r="AN45" s="81"/>
      <c r="AO45" s="88"/>
      <c r="AP45" s="89" t="str">
        <f aca="false">IF(AO45="","",ROUND(AO45/(1+Справочники!$B$13),2))</f>
        <v/>
      </c>
      <c r="AQ45" s="90" t="str">
        <f aca="false" t="array" ref="AQ45:AQ45">IF(AP45="","",AP45*INDEX(Справочники!$B$4:$B$7,MATCH("RUB",Справочники!$A$4:$A$7,0)))</f>
        <v/>
      </c>
      <c r="AR45" s="90" t="str">
        <f aca="false">IF(AQ45="","",ROUND(AQ45*(1+Справочники!$B$12),0))</f>
        <v/>
      </c>
      <c r="AS45" s="90" t="str">
        <f aca="false">IF(AR45="","",ROUND(AR45*(1-Справочники!$B$11),0))</f>
        <v/>
      </c>
      <c r="AT45" s="88"/>
      <c r="AU45" s="90" t="str">
        <f aca="false">IF(AT45="","",ROUND(AT45/(1+Справочники!$B$12),0))</f>
        <v/>
      </c>
      <c r="AV45" s="90" t="str">
        <f aca="false">IF(AT45="","",ROUND(AT45*(1-Справочники!$B$15),0))</f>
        <v/>
      </c>
      <c r="AW45" s="90" t="str">
        <f aca="false">IF(AT45="","",ROUND(AT45*(1-Справочники!$B$16),0))</f>
        <v/>
      </c>
      <c r="AX45" s="90" t="str">
        <f aca="false">IF(AT45="","",ROUND(AT45*(1-Справочники!$B$17),0))</f>
        <v/>
      </c>
      <c r="AY45" s="90" t="str">
        <f aca="false">IF(AT45="","",ROUND(AT45*(1-Справочники!$B$18),0))</f>
        <v/>
      </c>
      <c r="AZ45" s="90" t="str">
        <f aca="false">IF(AT45="","",ROUND(AT45*(1-Справочники!$B$19),0))</f>
        <v/>
      </c>
      <c r="BA45" s="81"/>
      <c r="BB45" s="81"/>
      <c r="BC45" s="81"/>
      <c r="BD45" s="81"/>
      <c r="BE45" s="91"/>
      <c r="BF45" s="81" t="s">
        <v>103</v>
      </c>
      <c r="BG45" s="89" t="n">
        <f aca="false" t="array" ref="BG45:BG45">IF(BF45="","",IFERROR(INDEX(Справочники!$B$4:$B$7,MATCH(BF45,Справочники!$A$4:$A$7,0)),""))</f>
        <v>68.5</v>
      </c>
      <c r="BH45" s="90" t="str">
        <f aca="false">IF(N(BN45)&gt;0,ROUND(SUMIF(ЗАКАЗЫ!$F$3:$F$500,$A45,ЗАКАЗЫ!$Y$3:$Y$500)/BN45,0),IF(OR(BE45="",BG45=""),"",ROUND(BE45*BG45*(1+Справочники!$B$10),0)))</f>
        <v/>
      </c>
      <c r="BI45" s="92" t="str">
        <f aca="false">IF(OR(AU45="",BH45="",AU45=0),"",(AU45-BH45)/AU45)</f>
        <v/>
      </c>
      <c r="BJ45" s="81"/>
      <c r="BK45" s="83"/>
      <c r="BL45" s="43" t="str">
        <f aca="false">IFERROR(INDEX(ЗАКАЗЫ!$N$3:$N$500,MATCH($A45,ЗАКАЗЫ!$F$3:$F$500,0)),"")</f>
        <v/>
      </c>
      <c r="BM45" s="8" t="str">
        <f aca="false">IF(BL45="","",IFERROR(VLOOKUP(BL45,'ТН ВЭД'!$A$4:$C$40,3,0),""))</f>
        <v/>
      </c>
      <c r="BN45" s="7" t="str">
        <f aca="false">IF(COUNTIF(ЗАКАЗЫ!$F$3:$F$500,$A45)=0,"",SUMIF(ЗАКАЗЫ!$F$3:$F$500,$A45,ЗАКАЗЫ!$J$3:$J$500))</f>
        <v/>
      </c>
      <c r="BO45" s="7" t="str">
        <f aca="false">IF(BN45="","",SUMIF(ЗАКАЗЫ!$F$3:$F$500,$A45,ЗАКАЗЫ!$AL$3:$AL$500))</f>
        <v/>
      </c>
      <c r="BP45" s="7" t="str">
        <f aca="false">IF(BN45="","",BN45-BO45)</f>
        <v/>
      </c>
      <c r="BQ45" s="55" t="str">
        <f aca="false">IF(BN45="","",IF(BO45&gt;=BN45,"На складе",IF(BO45&gt;0,"Частично","Ждём")))</f>
        <v/>
      </c>
      <c r="BR45" s="43"/>
      <c r="BS45" s="47" t="str">
        <f aca="false">IF(BN45="","",IF(_xlfn.MAXIFS(ЗАКАЗЫ!$AK$3:$AK$500,ЗАКАЗЫ!$F$3:$F$500,$A45)=0,"",_xlfn.MAXIFS(ЗАКАЗЫ!$AK$3:$AK$500,ЗАКАЗЫ!$F$3:$F$500,$A45)))</f>
        <v/>
      </c>
    </row>
    <row r="46" customFormat="false" ht="15.75" hidden="false" customHeight="true" outlineLevel="0" collapsed="false">
      <c r="A46" s="80" t="s">
        <v>2957</v>
      </c>
      <c r="B46" s="81"/>
      <c r="C46" s="81"/>
      <c r="D46" s="81"/>
      <c r="E46" s="83"/>
      <c r="F46" s="81"/>
      <c r="G46" s="83"/>
      <c r="H46" s="83"/>
      <c r="I46" s="84" t="str">
        <f aca="false">IF(E46="","",A46&amp;"_1.jpg")</f>
        <v/>
      </c>
      <c r="J46" s="84" t="str">
        <f aca="false">IF(E46="","",A46&amp;"_2.jpg; "&amp;A46&amp;"_3.jpg")</f>
        <v/>
      </c>
      <c r="K46" s="84" t="str">
        <f aca="false">IF(E46="","",A46&amp;"_schema.jpg")</f>
        <v/>
      </c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 t="s">
        <v>96</v>
      </c>
      <c r="W46" s="81"/>
      <c r="X46" s="81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6" t="str">
        <f aca="false">IF(SUM(Y46:AJ46)=0,"",SUM(Y46:AJ46))</f>
        <v/>
      </c>
      <c r="AL46" s="84" t="str">
        <f aca="false">MID(IF(N(Y46)&gt;0,", "&amp;Y$2,"")&amp;IF(N(Z46)&gt;0,", "&amp;Z$2,"")&amp;IF(N(AA46)&gt;0,", "&amp;AA$2,"")&amp;IF(N(AB46)&gt;0,", "&amp;AB$2,"")&amp;IF(N(AC46)&gt;0,", "&amp;AC$2,"")&amp;IF(N(AD46)&gt;0,", "&amp;AD$2,"")&amp;IF(N(AE46)&gt;0,", "&amp;AE$2,"")&amp;IF(N(AF46)&gt;0,", "&amp;AF$2,"")&amp;IF(N(AG46)&gt;0,", "&amp;AG$2,"")&amp;IF(N(AH46)&gt;0,", "&amp;AH$2,"")&amp;IF(N(AI46)&gt;0,", "&amp;AI$2,"")&amp;IF(N(AJ46)&gt;0,", "&amp;AJ$2,""),3,999)</f>
        <v/>
      </c>
      <c r="AM46" s="87" t="str">
        <f aca="false">IF(E46="","",MID(IF(N(Y46)&gt;0,", "&amp;A46&amp;"-"&amp;Y$2,"")&amp;IF(N(Z46)&gt;0,", "&amp;A46&amp;"-"&amp;Z$2,"")&amp;IF(N(AA46)&gt;0,", "&amp;A46&amp;"-"&amp;AA$2,"")&amp;IF(N(AB46)&gt;0,", "&amp;A46&amp;"-"&amp;AB$2,"")&amp;IF(N(AC46)&gt;0,", "&amp;A46&amp;"-"&amp;AC$2,"")&amp;IF(N(AD46)&gt;0,", "&amp;A46&amp;"-"&amp;AD$2,"")&amp;IF(N(AE46)&gt;0,", "&amp;A46&amp;"-"&amp;AE$2,"")&amp;IF(N(AF46)&gt;0,", "&amp;A46&amp;"-"&amp;AF$2,"")&amp;IF(N(AG46)&gt;0,", "&amp;A46&amp;"-"&amp;AG$2,"")&amp;IF(N(AH46)&gt;0,", "&amp;A46&amp;"-"&amp;AH$2,"")&amp;IF(N(AI46)&gt;0,", "&amp;A46&amp;"-"&amp;AI$2,"")&amp;IF(N(AJ46)&gt;0,", "&amp;A46&amp;"-"&amp;AJ$2,""),3,999))</f>
        <v/>
      </c>
      <c r="AN46" s="81"/>
      <c r="AO46" s="88"/>
      <c r="AP46" s="89" t="str">
        <f aca="false">IF(AO46="","",ROUND(AO46/(1+Справочники!$B$13),2))</f>
        <v/>
      </c>
      <c r="AQ46" s="90" t="str">
        <f aca="false" t="array" ref="AQ46:AQ46">IF(AP46="","",AP46*INDEX(Справочники!$B$4:$B$7,MATCH("RUB",Справочники!$A$4:$A$7,0)))</f>
        <v/>
      </c>
      <c r="AR46" s="90" t="str">
        <f aca="false">IF(AQ46="","",ROUND(AQ46*(1+Справочники!$B$12),0))</f>
        <v/>
      </c>
      <c r="AS46" s="90" t="str">
        <f aca="false">IF(AR46="","",ROUND(AR46*(1-Справочники!$B$11),0))</f>
        <v/>
      </c>
      <c r="AT46" s="88"/>
      <c r="AU46" s="90" t="str">
        <f aca="false">IF(AT46="","",ROUND(AT46/(1+Справочники!$B$12),0))</f>
        <v/>
      </c>
      <c r="AV46" s="90" t="str">
        <f aca="false">IF(AT46="","",ROUND(AT46*(1-Справочники!$B$15),0))</f>
        <v/>
      </c>
      <c r="AW46" s="90" t="str">
        <f aca="false">IF(AT46="","",ROUND(AT46*(1-Справочники!$B$16),0))</f>
        <v/>
      </c>
      <c r="AX46" s="90" t="str">
        <f aca="false">IF(AT46="","",ROUND(AT46*(1-Справочники!$B$17),0))</f>
        <v/>
      </c>
      <c r="AY46" s="90" t="str">
        <f aca="false">IF(AT46="","",ROUND(AT46*(1-Справочники!$B$18),0))</f>
        <v/>
      </c>
      <c r="AZ46" s="90" t="str">
        <f aca="false">IF(AT46="","",ROUND(AT46*(1-Справочники!$B$19),0))</f>
        <v/>
      </c>
      <c r="BA46" s="81"/>
      <c r="BB46" s="81"/>
      <c r="BC46" s="81"/>
      <c r="BD46" s="81"/>
      <c r="BE46" s="91"/>
      <c r="BF46" s="81" t="s">
        <v>103</v>
      </c>
      <c r="BG46" s="89" t="n">
        <f aca="false" t="array" ref="BG46:BG46">IF(BF46="","",IFERROR(INDEX(Справочники!$B$4:$B$7,MATCH(BF46,Справочники!$A$4:$A$7,0)),""))</f>
        <v>68.5</v>
      </c>
      <c r="BH46" s="90" t="str">
        <f aca="false">IF(N(BN46)&gt;0,ROUND(SUMIF(ЗАКАЗЫ!$F$3:$F$500,$A46,ЗАКАЗЫ!$Y$3:$Y$500)/BN46,0),IF(OR(BE46="",BG46=""),"",ROUND(BE46*BG46*(1+Справочники!$B$10),0)))</f>
        <v/>
      </c>
      <c r="BI46" s="92" t="str">
        <f aca="false">IF(OR(AU46="",BH46="",AU46=0),"",(AU46-BH46)/AU46)</f>
        <v/>
      </c>
      <c r="BJ46" s="81"/>
      <c r="BK46" s="83"/>
      <c r="BL46" s="43" t="str">
        <f aca="false">IFERROR(INDEX(ЗАКАЗЫ!$N$3:$N$500,MATCH($A46,ЗАКАЗЫ!$F$3:$F$500,0)),"")</f>
        <v/>
      </c>
      <c r="BM46" s="8" t="str">
        <f aca="false">IF(BL46="","",IFERROR(VLOOKUP(BL46,'ТН ВЭД'!$A$4:$C$40,3,0),""))</f>
        <v/>
      </c>
      <c r="BN46" s="7" t="str">
        <f aca="false">IF(COUNTIF(ЗАКАЗЫ!$F$3:$F$500,$A46)=0,"",SUMIF(ЗАКАЗЫ!$F$3:$F$500,$A46,ЗАКАЗЫ!$J$3:$J$500))</f>
        <v/>
      </c>
      <c r="BO46" s="7" t="str">
        <f aca="false">IF(BN46="","",SUMIF(ЗАКАЗЫ!$F$3:$F$500,$A46,ЗАКАЗЫ!$AL$3:$AL$500))</f>
        <v/>
      </c>
      <c r="BP46" s="7" t="str">
        <f aca="false">IF(BN46="","",BN46-BO46)</f>
        <v/>
      </c>
      <c r="BQ46" s="55" t="str">
        <f aca="false">IF(BN46="","",IF(BO46&gt;=BN46,"На складе",IF(BO46&gt;0,"Частично","Ждём")))</f>
        <v/>
      </c>
      <c r="BR46" s="43"/>
      <c r="BS46" s="47" t="str">
        <f aca="false">IF(BN46="","",IF(_xlfn.MAXIFS(ЗАКАЗЫ!$AK$3:$AK$500,ЗАКАЗЫ!$F$3:$F$500,$A46)=0,"",_xlfn.MAXIFS(ЗАКАЗЫ!$AK$3:$AK$500,ЗАКАЗЫ!$F$3:$F$500,$A46)))</f>
        <v/>
      </c>
    </row>
    <row r="47" customFormat="false" ht="15.75" hidden="false" customHeight="true" outlineLevel="0" collapsed="false">
      <c r="A47" s="80" t="s">
        <v>2958</v>
      </c>
      <c r="B47" s="81"/>
      <c r="C47" s="81"/>
      <c r="D47" s="81"/>
      <c r="E47" s="83"/>
      <c r="F47" s="81"/>
      <c r="G47" s="83"/>
      <c r="H47" s="83"/>
      <c r="I47" s="84" t="str">
        <f aca="false">IF(E47="","",A47&amp;"_1.jpg")</f>
        <v/>
      </c>
      <c r="J47" s="84" t="str">
        <f aca="false">IF(E47="","",A47&amp;"_2.jpg; "&amp;A47&amp;"_3.jpg")</f>
        <v/>
      </c>
      <c r="K47" s="84" t="str">
        <f aca="false">IF(E47="","",A47&amp;"_schema.jpg")</f>
        <v/>
      </c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 t="s">
        <v>96</v>
      </c>
      <c r="W47" s="81"/>
      <c r="X47" s="81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6" t="str">
        <f aca="false">IF(SUM(Y47:AJ47)=0,"",SUM(Y47:AJ47))</f>
        <v/>
      </c>
      <c r="AL47" s="84" t="str">
        <f aca="false">MID(IF(N(Y47)&gt;0,", "&amp;Y$2,"")&amp;IF(N(Z47)&gt;0,", "&amp;Z$2,"")&amp;IF(N(AA47)&gt;0,", "&amp;AA$2,"")&amp;IF(N(AB47)&gt;0,", "&amp;AB$2,"")&amp;IF(N(AC47)&gt;0,", "&amp;AC$2,"")&amp;IF(N(AD47)&gt;0,", "&amp;AD$2,"")&amp;IF(N(AE47)&gt;0,", "&amp;AE$2,"")&amp;IF(N(AF47)&gt;0,", "&amp;AF$2,"")&amp;IF(N(AG47)&gt;0,", "&amp;AG$2,"")&amp;IF(N(AH47)&gt;0,", "&amp;AH$2,"")&amp;IF(N(AI47)&gt;0,", "&amp;AI$2,"")&amp;IF(N(AJ47)&gt;0,", "&amp;AJ$2,""),3,999)</f>
        <v/>
      </c>
      <c r="AM47" s="87" t="str">
        <f aca="false">IF(E47="","",MID(IF(N(Y47)&gt;0,", "&amp;A47&amp;"-"&amp;Y$2,"")&amp;IF(N(Z47)&gt;0,", "&amp;A47&amp;"-"&amp;Z$2,"")&amp;IF(N(AA47)&gt;0,", "&amp;A47&amp;"-"&amp;AA$2,"")&amp;IF(N(AB47)&gt;0,", "&amp;A47&amp;"-"&amp;AB$2,"")&amp;IF(N(AC47)&gt;0,", "&amp;A47&amp;"-"&amp;AC$2,"")&amp;IF(N(AD47)&gt;0,", "&amp;A47&amp;"-"&amp;AD$2,"")&amp;IF(N(AE47)&gt;0,", "&amp;A47&amp;"-"&amp;AE$2,"")&amp;IF(N(AF47)&gt;0,", "&amp;A47&amp;"-"&amp;AF$2,"")&amp;IF(N(AG47)&gt;0,", "&amp;A47&amp;"-"&amp;AG$2,"")&amp;IF(N(AH47)&gt;0,", "&amp;A47&amp;"-"&amp;AH$2,"")&amp;IF(N(AI47)&gt;0,", "&amp;A47&amp;"-"&amp;AI$2,"")&amp;IF(N(AJ47)&gt;0,", "&amp;A47&amp;"-"&amp;AJ$2,""),3,999))</f>
        <v/>
      </c>
      <c r="AN47" s="81"/>
      <c r="AO47" s="88"/>
      <c r="AP47" s="89" t="str">
        <f aca="false">IF(AO47="","",ROUND(AO47/(1+Справочники!$B$13),2))</f>
        <v/>
      </c>
      <c r="AQ47" s="90" t="str">
        <f aca="false" t="array" ref="AQ47:AQ47">IF(AP47="","",AP47*INDEX(Справочники!$B$4:$B$7,MATCH("RUB",Справочники!$A$4:$A$7,0)))</f>
        <v/>
      </c>
      <c r="AR47" s="90" t="str">
        <f aca="false">IF(AQ47="","",ROUND(AQ47*(1+Справочники!$B$12),0))</f>
        <v/>
      </c>
      <c r="AS47" s="90" t="str">
        <f aca="false">IF(AR47="","",ROUND(AR47*(1-Справочники!$B$11),0))</f>
        <v/>
      </c>
      <c r="AT47" s="88"/>
      <c r="AU47" s="90" t="str">
        <f aca="false">IF(AT47="","",ROUND(AT47/(1+Справочники!$B$12),0))</f>
        <v/>
      </c>
      <c r="AV47" s="90" t="str">
        <f aca="false">IF(AT47="","",ROUND(AT47*(1-Справочники!$B$15),0))</f>
        <v/>
      </c>
      <c r="AW47" s="90" t="str">
        <f aca="false">IF(AT47="","",ROUND(AT47*(1-Справочники!$B$16),0))</f>
        <v/>
      </c>
      <c r="AX47" s="90" t="str">
        <f aca="false">IF(AT47="","",ROUND(AT47*(1-Справочники!$B$17),0))</f>
        <v/>
      </c>
      <c r="AY47" s="90" t="str">
        <f aca="false">IF(AT47="","",ROUND(AT47*(1-Справочники!$B$18),0))</f>
        <v/>
      </c>
      <c r="AZ47" s="90" t="str">
        <f aca="false">IF(AT47="","",ROUND(AT47*(1-Справочники!$B$19),0))</f>
        <v/>
      </c>
      <c r="BA47" s="81"/>
      <c r="BB47" s="81"/>
      <c r="BC47" s="81"/>
      <c r="BD47" s="81"/>
      <c r="BE47" s="91"/>
      <c r="BF47" s="81" t="s">
        <v>103</v>
      </c>
      <c r="BG47" s="89" t="n">
        <f aca="false" t="array" ref="BG47:BG47">IF(BF47="","",IFERROR(INDEX(Справочники!$B$4:$B$7,MATCH(BF47,Справочники!$A$4:$A$7,0)),""))</f>
        <v>68.5</v>
      </c>
      <c r="BH47" s="90" t="str">
        <f aca="false">IF(N(BN47)&gt;0,ROUND(SUMIF(ЗАКАЗЫ!$F$3:$F$500,$A47,ЗАКАЗЫ!$Y$3:$Y$500)/BN47,0),IF(OR(BE47="",BG47=""),"",ROUND(BE47*BG47*(1+Справочники!$B$10),0)))</f>
        <v/>
      </c>
      <c r="BI47" s="92" t="str">
        <f aca="false">IF(OR(AU47="",BH47="",AU47=0),"",(AU47-BH47)/AU47)</f>
        <v/>
      </c>
      <c r="BJ47" s="81"/>
      <c r="BK47" s="83"/>
      <c r="BL47" s="43" t="str">
        <f aca="false">IFERROR(INDEX(ЗАКАЗЫ!$N$3:$N$500,MATCH($A47,ЗАКАЗЫ!$F$3:$F$500,0)),"")</f>
        <v/>
      </c>
      <c r="BM47" s="8" t="str">
        <f aca="false">IF(BL47="","",IFERROR(VLOOKUP(BL47,'ТН ВЭД'!$A$4:$C$40,3,0),""))</f>
        <v/>
      </c>
      <c r="BN47" s="7" t="str">
        <f aca="false">IF(COUNTIF(ЗАКАЗЫ!$F$3:$F$500,$A47)=0,"",SUMIF(ЗАКАЗЫ!$F$3:$F$500,$A47,ЗАКАЗЫ!$J$3:$J$500))</f>
        <v/>
      </c>
      <c r="BO47" s="7" t="str">
        <f aca="false">IF(BN47="","",SUMIF(ЗАКАЗЫ!$F$3:$F$500,$A47,ЗАКАЗЫ!$AL$3:$AL$500))</f>
        <v/>
      </c>
      <c r="BP47" s="7" t="str">
        <f aca="false">IF(BN47="","",BN47-BO47)</f>
        <v/>
      </c>
      <c r="BQ47" s="55" t="str">
        <f aca="false">IF(BN47="","",IF(BO47&gt;=BN47,"На складе",IF(BO47&gt;0,"Частично","Ждём")))</f>
        <v/>
      </c>
      <c r="BR47" s="43"/>
      <c r="BS47" s="47" t="str">
        <f aca="false">IF(BN47="","",IF(_xlfn.MAXIFS(ЗАКАЗЫ!$AK$3:$AK$500,ЗАКАЗЫ!$F$3:$F$500,$A47)=0,"",_xlfn.MAXIFS(ЗАКАЗЫ!$AK$3:$AK$500,ЗАКАЗЫ!$F$3:$F$500,$A47)))</f>
        <v/>
      </c>
    </row>
    <row r="48" customFormat="false" ht="15.75" hidden="false" customHeight="true" outlineLevel="0" collapsed="false">
      <c r="A48" s="80" t="s">
        <v>2959</v>
      </c>
      <c r="B48" s="81"/>
      <c r="C48" s="81"/>
      <c r="D48" s="81"/>
      <c r="E48" s="83"/>
      <c r="F48" s="81"/>
      <c r="G48" s="83"/>
      <c r="H48" s="83"/>
      <c r="I48" s="84" t="str">
        <f aca="false">IF(E48="","",A48&amp;"_1.jpg")</f>
        <v/>
      </c>
      <c r="J48" s="84" t="str">
        <f aca="false">IF(E48="","",A48&amp;"_2.jpg; "&amp;A48&amp;"_3.jpg")</f>
        <v/>
      </c>
      <c r="K48" s="84" t="str">
        <f aca="false">IF(E48="","",A48&amp;"_schema.jpg")</f>
        <v/>
      </c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 t="s">
        <v>96</v>
      </c>
      <c r="W48" s="81"/>
      <c r="X48" s="81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6" t="str">
        <f aca="false">IF(SUM(Y48:AJ48)=0,"",SUM(Y48:AJ48))</f>
        <v/>
      </c>
      <c r="AL48" s="84" t="str">
        <f aca="false">MID(IF(N(Y48)&gt;0,", "&amp;Y$2,"")&amp;IF(N(Z48)&gt;0,", "&amp;Z$2,"")&amp;IF(N(AA48)&gt;0,", "&amp;AA$2,"")&amp;IF(N(AB48)&gt;0,", "&amp;AB$2,"")&amp;IF(N(AC48)&gt;0,", "&amp;AC$2,"")&amp;IF(N(AD48)&gt;0,", "&amp;AD$2,"")&amp;IF(N(AE48)&gt;0,", "&amp;AE$2,"")&amp;IF(N(AF48)&gt;0,", "&amp;AF$2,"")&amp;IF(N(AG48)&gt;0,", "&amp;AG$2,"")&amp;IF(N(AH48)&gt;0,", "&amp;AH$2,"")&amp;IF(N(AI48)&gt;0,", "&amp;AI$2,"")&amp;IF(N(AJ48)&gt;0,", "&amp;AJ$2,""),3,999)</f>
        <v/>
      </c>
      <c r="AM48" s="87" t="str">
        <f aca="false">IF(E48="","",MID(IF(N(Y48)&gt;0,", "&amp;A48&amp;"-"&amp;Y$2,"")&amp;IF(N(Z48)&gt;0,", "&amp;A48&amp;"-"&amp;Z$2,"")&amp;IF(N(AA48)&gt;0,", "&amp;A48&amp;"-"&amp;AA$2,"")&amp;IF(N(AB48)&gt;0,", "&amp;A48&amp;"-"&amp;AB$2,"")&amp;IF(N(AC48)&gt;0,", "&amp;A48&amp;"-"&amp;AC$2,"")&amp;IF(N(AD48)&gt;0,", "&amp;A48&amp;"-"&amp;AD$2,"")&amp;IF(N(AE48)&gt;0,", "&amp;A48&amp;"-"&amp;AE$2,"")&amp;IF(N(AF48)&gt;0,", "&amp;A48&amp;"-"&amp;AF$2,"")&amp;IF(N(AG48)&gt;0,", "&amp;A48&amp;"-"&amp;AG$2,"")&amp;IF(N(AH48)&gt;0,", "&amp;A48&amp;"-"&amp;AH$2,"")&amp;IF(N(AI48)&gt;0,", "&amp;A48&amp;"-"&amp;AI$2,"")&amp;IF(N(AJ48)&gt;0,", "&amp;A48&amp;"-"&amp;AJ$2,""),3,999))</f>
        <v/>
      </c>
      <c r="AN48" s="81"/>
      <c r="AO48" s="88"/>
      <c r="AP48" s="89" t="str">
        <f aca="false">IF(AO48="","",ROUND(AO48/(1+Справочники!$B$13),2))</f>
        <v/>
      </c>
      <c r="AQ48" s="90" t="str">
        <f aca="false" t="array" ref="AQ48:AQ48">IF(AP48="","",AP48*INDEX(Справочники!$B$4:$B$7,MATCH("RUB",Справочники!$A$4:$A$7,0)))</f>
        <v/>
      </c>
      <c r="AR48" s="90" t="str">
        <f aca="false">IF(AQ48="","",ROUND(AQ48*(1+Справочники!$B$12),0))</f>
        <v/>
      </c>
      <c r="AS48" s="90" t="str">
        <f aca="false">IF(AR48="","",ROUND(AR48*(1-Справочники!$B$11),0))</f>
        <v/>
      </c>
      <c r="AT48" s="88"/>
      <c r="AU48" s="90" t="str">
        <f aca="false">IF(AT48="","",ROUND(AT48/(1+Справочники!$B$12),0))</f>
        <v/>
      </c>
      <c r="AV48" s="90" t="str">
        <f aca="false">IF(AT48="","",ROUND(AT48*(1-Справочники!$B$15),0))</f>
        <v/>
      </c>
      <c r="AW48" s="90" t="str">
        <f aca="false">IF(AT48="","",ROUND(AT48*(1-Справочники!$B$16),0))</f>
        <v/>
      </c>
      <c r="AX48" s="90" t="str">
        <f aca="false">IF(AT48="","",ROUND(AT48*(1-Справочники!$B$17),0))</f>
        <v/>
      </c>
      <c r="AY48" s="90" t="str">
        <f aca="false">IF(AT48="","",ROUND(AT48*(1-Справочники!$B$18),0))</f>
        <v/>
      </c>
      <c r="AZ48" s="90" t="str">
        <f aca="false">IF(AT48="","",ROUND(AT48*(1-Справочники!$B$19),0))</f>
        <v/>
      </c>
      <c r="BA48" s="81"/>
      <c r="BB48" s="81"/>
      <c r="BC48" s="81"/>
      <c r="BD48" s="81"/>
      <c r="BE48" s="91"/>
      <c r="BF48" s="81" t="s">
        <v>103</v>
      </c>
      <c r="BG48" s="89" t="n">
        <f aca="false" t="array" ref="BG48:BG48">IF(BF48="","",IFERROR(INDEX(Справочники!$B$4:$B$7,MATCH(BF48,Справочники!$A$4:$A$7,0)),""))</f>
        <v>68.5</v>
      </c>
      <c r="BH48" s="90" t="str">
        <f aca="false">IF(N(BN48)&gt;0,ROUND(SUMIF(ЗАКАЗЫ!$F$3:$F$500,$A48,ЗАКАЗЫ!$Y$3:$Y$500)/BN48,0),IF(OR(BE48="",BG48=""),"",ROUND(BE48*BG48*(1+Справочники!$B$10),0)))</f>
        <v/>
      </c>
      <c r="BI48" s="92" t="str">
        <f aca="false">IF(OR(AU48="",BH48="",AU48=0),"",(AU48-BH48)/AU48)</f>
        <v/>
      </c>
      <c r="BJ48" s="81"/>
      <c r="BK48" s="83"/>
      <c r="BL48" s="43" t="str">
        <f aca="false">IFERROR(INDEX(ЗАКАЗЫ!$N$3:$N$500,MATCH($A48,ЗАКАЗЫ!$F$3:$F$500,0)),"")</f>
        <v/>
      </c>
      <c r="BM48" s="8" t="str">
        <f aca="false">IF(BL48="","",IFERROR(VLOOKUP(BL48,'ТН ВЭД'!$A$4:$C$40,3,0),""))</f>
        <v/>
      </c>
      <c r="BN48" s="7" t="str">
        <f aca="false">IF(COUNTIF(ЗАКАЗЫ!$F$3:$F$500,$A48)=0,"",SUMIF(ЗАКАЗЫ!$F$3:$F$500,$A48,ЗАКАЗЫ!$J$3:$J$500))</f>
        <v/>
      </c>
      <c r="BO48" s="7" t="str">
        <f aca="false">IF(BN48="","",SUMIF(ЗАКАЗЫ!$F$3:$F$500,$A48,ЗАКАЗЫ!$AL$3:$AL$500))</f>
        <v/>
      </c>
      <c r="BP48" s="7" t="str">
        <f aca="false">IF(BN48="","",BN48-BO48)</f>
        <v/>
      </c>
      <c r="BQ48" s="55" t="str">
        <f aca="false">IF(BN48="","",IF(BO48&gt;=BN48,"На складе",IF(BO48&gt;0,"Частично","Ждём")))</f>
        <v/>
      </c>
      <c r="BR48" s="43"/>
      <c r="BS48" s="47" t="str">
        <f aca="false">IF(BN48="","",IF(_xlfn.MAXIFS(ЗАКАЗЫ!$AK$3:$AK$500,ЗАКАЗЫ!$F$3:$F$500,$A48)=0,"",_xlfn.MAXIFS(ЗАКАЗЫ!$AK$3:$AK$500,ЗАКАЗЫ!$F$3:$F$500,$A48)))</f>
        <v/>
      </c>
    </row>
    <row r="49" customFormat="false" ht="15.75" hidden="false" customHeight="true" outlineLevel="0" collapsed="false">
      <c r="A49" s="80" t="s">
        <v>2960</v>
      </c>
      <c r="B49" s="81"/>
      <c r="C49" s="81"/>
      <c r="D49" s="81"/>
      <c r="E49" s="83"/>
      <c r="F49" s="81"/>
      <c r="G49" s="83"/>
      <c r="H49" s="83"/>
      <c r="I49" s="84" t="str">
        <f aca="false">IF(E49="","",A49&amp;"_1.jpg")</f>
        <v/>
      </c>
      <c r="J49" s="84" t="str">
        <f aca="false">IF(E49="","",A49&amp;"_2.jpg; "&amp;A49&amp;"_3.jpg")</f>
        <v/>
      </c>
      <c r="K49" s="84" t="str">
        <f aca="false">IF(E49="","",A49&amp;"_schema.jpg")</f>
        <v/>
      </c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 t="s">
        <v>96</v>
      </c>
      <c r="W49" s="81"/>
      <c r="X49" s="81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6" t="str">
        <f aca="false">IF(SUM(Y49:AJ49)=0,"",SUM(Y49:AJ49))</f>
        <v/>
      </c>
      <c r="AL49" s="84" t="str">
        <f aca="false">MID(IF(N(Y49)&gt;0,", "&amp;Y$2,"")&amp;IF(N(Z49)&gt;0,", "&amp;Z$2,"")&amp;IF(N(AA49)&gt;0,", "&amp;AA$2,"")&amp;IF(N(AB49)&gt;0,", "&amp;AB$2,"")&amp;IF(N(AC49)&gt;0,", "&amp;AC$2,"")&amp;IF(N(AD49)&gt;0,", "&amp;AD$2,"")&amp;IF(N(AE49)&gt;0,", "&amp;AE$2,"")&amp;IF(N(AF49)&gt;0,", "&amp;AF$2,"")&amp;IF(N(AG49)&gt;0,", "&amp;AG$2,"")&amp;IF(N(AH49)&gt;0,", "&amp;AH$2,"")&amp;IF(N(AI49)&gt;0,", "&amp;AI$2,"")&amp;IF(N(AJ49)&gt;0,", "&amp;AJ$2,""),3,999)</f>
        <v/>
      </c>
      <c r="AM49" s="87" t="str">
        <f aca="false">IF(E49="","",MID(IF(N(Y49)&gt;0,", "&amp;A49&amp;"-"&amp;Y$2,"")&amp;IF(N(Z49)&gt;0,", "&amp;A49&amp;"-"&amp;Z$2,"")&amp;IF(N(AA49)&gt;0,", "&amp;A49&amp;"-"&amp;AA$2,"")&amp;IF(N(AB49)&gt;0,", "&amp;A49&amp;"-"&amp;AB$2,"")&amp;IF(N(AC49)&gt;0,", "&amp;A49&amp;"-"&amp;AC$2,"")&amp;IF(N(AD49)&gt;0,", "&amp;A49&amp;"-"&amp;AD$2,"")&amp;IF(N(AE49)&gt;0,", "&amp;A49&amp;"-"&amp;AE$2,"")&amp;IF(N(AF49)&gt;0,", "&amp;A49&amp;"-"&amp;AF$2,"")&amp;IF(N(AG49)&gt;0,", "&amp;A49&amp;"-"&amp;AG$2,"")&amp;IF(N(AH49)&gt;0,", "&amp;A49&amp;"-"&amp;AH$2,"")&amp;IF(N(AI49)&gt;0,", "&amp;A49&amp;"-"&amp;AI$2,"")&amp;IF(N(AJ49)&gt;0,", "&amp;A49&amp;"-"&amp;AJ$2,""),3,999))</f>
        <v/>
      </c>
      <c r="AN49" s="81"/>
      <c r="AO49" s="88"/>
      <c r="AP49" s="89" t="str">
        <f aca="false">IF(AO49="","",ROUND(AO49/(1+Справочники!$B$13),2))</f>
        <v/>
      </c>
      <c r="AQ49" s="90" t="str">
        <f aca="false" t="array" ref="AQ49:AQ49">IF(AP49="","",AP49*INDEX(Справочники!$B$4:$B$7,MATCH("RUB",Справочники!$A$4:$A$7,0)))</f>
        <v/>
      </c>
      <c r="AR49" s="90" t="str">
        <f aca="false">IF(AQ49="","",ROUND(AQ49*(1+Справочники!$B$12),0))</f>
        <v/>
      </c>
      <c r="AS49" s="90" t="str">
        <f aca="false">IF(AR49="","",ROUND(AR49*(1-Справочники!$B$11),0))</f>
        <v/>
      </c>
      <c r="AT49" s="88"/>
      <c r="AU49" s="90" t="str">
        <f aca="false">IF(AT49="","",ROUND(AT49/(1+Справочники!$B$12),0))</f>
        <v/>
      </c>
      <c r="AV49" s="90" t="str">
        <f aca="false">IF(AT49="","",ROUND(AT49*(1-Справочники!$B$15),0))</f>
        <v/>
      </c>
      <c r="AW49" s="90" t="str">
        <f aca="false">IF(AT49="","",ROUND(AT49*(1-Справочники!$B$16),0))</f>
        <v/>
      </c>
      <c r="AX49" s="90" t="str">
        <f aca="false">IF(AT49="","",ROUND(AT49*(1-Справочники!$B$17),0))</f>
        <v/>
      </c>
      <c r="AY49" s="90" t="str">
        <f aca="false">IF(AT49="","",ROUND(AT49*(1-Справочники!$B$18),0))</f>
        <v/>
      </c>
      <c r="AZ49" s="90" t="str">
        <f aca="false">IF(AT49="","",ROUND(AT49*(1-Справочники!$B$19),0))</f>
        <v/>
      </c>
      <c r="BA49" s="81"/>
      <c r="BB49" s="81"/>
      <c r="BC49" s="81"/>
      <c r="BD49" s="81"/>
      <c r="BE49" s="91"/>
      <c r="BF49" s="81" t="s">
        <v>103</v>
      </c>
      <c r="BG49" s="89" t="n">
        <f aca="false" t="array" ref="BG49:BG49">IF(BF49="","",IFERROR(INDEX(Справочники!$B$4:$B$7,MATCH(BF49,Справочники!$A$4:$A$7,0)),""))</f>
        <v>68.5</v>
      </c>
      <c r="BH49" s="90" t="str">
        <f aca="false">IF(N(BN49)&gt;0,ROUND(SUMIF(ЗАКАЗЫ!$F$3:$F$500,$A49,ЗАКАЗЫ!$Y$3:$Y$500)/BN49,0),IF(OR(BE49="",BG49=""),"",ROUND(BE49*BG49*(1+Справочники!$B$10),0)))</f>
        <v/>
      </c>
      <c r="BI49" s="92" t="str">
        <f aca="false">IF(OR(AU49="",BH49="",AU49=0),"",(AU49-BH49)/AU49)</f>
        <v/>
      </c>
      <c r="BJ49" s="81"/>
      <c r="BK49" s="83"/>
      <c r="BL49" s="43" t="str">
        <f aca="false">IFERROR(INDEX(ЗАКАЗЫ!$N$3:$N$500,MATCH($A49,ЗАКАЗЫ!$F$3:$F$500,0)),"")</f>
        <v/>
      </c>
      <c r="BM49" s="8" t="str">
        <f aca="false">IF(BL49="","",IFERROR(VLOOKUP(BL49,'ТН ВЭД'!$A$4:$C$40,3,0),""))</f>
        <v/>
      </c>
      <c r="BN49" s="7" t="str">
        <f aca="false">IF(COUNTIF(ЗАКАЗЫ!$F$3:$F$500,$A49)=0,"",SUMIF(ЗАКАЗЫ!$F$3:$F$500,$A49,ЗАКАЗЫ!$J$3:$J$500))</f>
        <v/>
      </c>
      <c r="BO49" s="7" t="str">
        <f aca="false">IF(BN49="","",SUMIF(ЗАКАЗЫ!$F$3:$F$500,$A49,ЗАКАЗЫ!$AL$3:$AL$500))</f>
        <v/>
      </c>
      <c r="BP49" s="7" t="str">
        <f aca="false">IF(BN49="","",BN49-BO49)</f>
        <v/>
      </c>
      <c r="BQ49" s="55" t="str">
        <f aca="false">IF(BN49="","",IF(BO49&gt;=BN49,"На складе",IF(BO49&gt;0,"Частично","Ждём")))</f>
        <v/>
      </c>
      <c r="BR49" s="43"/>
      <c r="BS49" s="47" t="str">
        <f aca="false">IF(BN49="","",IF(_xlfn.MAXIFS(ЗАКАЗЫ!$AK$3:$AK$500,ЗАКАЗЫ!$F$3:$F$500,$A49)=0,"",_xlfn.MAXIFS(ЗАКАЗЫ!$AK$3:$AK$500,ЗАКАЗЫ!$F$3:$F$500,$A49)))</f>
        <v/>
      </c>
    </row>
    <row r="50" customFormat="false" ht="15.75" hidden="false" customHeight="true" outlineLevel="0" collapsed="false">
      <c r="A50" s="80" t="s">
        <v>2961</v>
      </c>
      <c r="B50" s="81"/>
      <c r="C50" s="81"/>
      <c r="D50" s="81"/>
      <c r="E50" s="83"/>
      <c r="F50" s="81"/>
      <c r="G50" s="83"/>
      <c r="H50" s="83"/>
      <c r="I50" s="84" t="str">
        <f aca="false">IF(E50="","",A50&amp;"_1.jpg")</f>
        <v/>
      </c>
      <c r="J50" s="84" t="str">
        <f aca="false">IF(E50="","",A50&amp;"_2.jpg; "&amp;A50&amp;"_3.jpg")</f>
        <v/>
      </c>
      <c r="K50" s="84" t="str">
        <f aca="false">IF(E50="","",A50&amp;"_schema.jpg")</f>
        <v/>
      </c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 t="s">
        <v>96</v>
      </c>
      <c r="W50" s="81"/>
      <c r="X50" s="81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6" t="str">
        <f aca="false">IF(SUM(Y50:AJ50)=0,"",SUM(Y50:AJ50))</f>
        <v/>
      </c>
      <c r="AL50" s="84" t="str">
        <f aca="false">MID(IF(N(Y50)&gt;0,", "&amp;Y$2,"")&amp;IF(N(Z50)&gt;0,", "&amp;Z$2,"")&amp;IF(N(AA50)&gt;0,", "&amp;AA$2,"")&amp;IF(N(AB50)&gt;0,", "&amp;AB$2,"")&amp;IF(N(AC50)&gt;0,", "&amp;AC$2,"")&amp;IF(N(AD50)&gt;0,", "&amp;AD$2,"")&amp;IF(N(AE50)&gt;0,", "&amp;AE$2,"")&amp;IF(N(AF50)&gt;0,", "&amp;AF$2,"")&amp;IF(N(AG50)&gt;0,", "&amp;AG$2,"")&amp;IF(N(AH50)&gt;0,", "&amp;AH$2,"")&amp;IF(N(AI50)&gt;0,", "&amp;AI$2,"")&amp;IF(N(AJ50)&gt;0,", "&amp;AJ$2,""),3,999)</f>
        <v/>
      </c>
      <c r="AM50" s="87" t="str">
        <f aca="false">IF(E50="","",MID(IF(N(Y50)&gt;0,", "&amp;A50&amp;"-"&amp;Y$2,"")&amp;IF(N(Z50)&gt;0,", "&amp;A50&amp;"-"&amp;Z$2,"")&amp;IF(N(AA50)&gt;0,", "&amp;A50&amp;"-"&amp;AA$2,"")&amp;IF(N(AB50)&gt;0,", "&amp;A50&amp;"-"&amp;AB$2,"")&amp;IF(N(AC50)&gt;0,", "&amp;A50&amp;"-"&amp;AC$2,"")&amp;IF(N(AD50)&gt;0,", "&amp;A50&amp;"-"&amp;AD$2,"")&amp;IF(N(AE50)&gt;0,", "&amp;A50&amp;"-"&amp;AE$2,"")&amp;IF(N(AF50)&gt;0,", "&amp;A50&amp;"-"&amp;AF$2,"")&amp;IF(N(AG50)&gt;0,", "&amp;A50&amp;"-"&amp;AG$2,"")&amp;IF(N(AH50)&gt;0,", "&amp;A50&amp;"-"&amp;AH$2,"")&amp;IF(N(AI50)&gt;0,", "&amp;A50&amp;"-"&amp;AI$2,"")&amp;IF(N(AJ50)&gt;0,", "&amp;A50&amp;"-"&amp;AJ$2,""),3,999))</f>
        <v/>
      </c>
      <c r="AN50" s="81"/>
      <c r="AO50" s="88"/>
      <c r="AP50" s="89" t="str">
        <f aca="false">IF(AO50="","",ROUND(AO50/(1+Справочники!$B$13),2))</f>
        <v/>
      </c>
      <c r="AQ50" s="90" t="str">
        <f aca="false" t="array" ref="AQ50:AQ50">IF(AP50="","",AP50*INDEX(Справочники!$B$4:$B$7,MATCH("RUB",Справочники!$A$4:$A$7,0)))</f>
        <v/>
      </c>
      <c r="AR50" s="90" t="str">
        <f aca="false">IF(AQ50="","",ROUND(AQ50*(1+Справочники!$B$12),0))</f>
        <v/>
      </c>
      <c r="AS50" s="90" t="str">
        <f aca="false">IF(AR50="","",ROUND(AR50*(1-Справочники!$B$11),0))</f>
        <v/>
      </c>
      <c r="AT50" s="88"/>
      <c r="AU50" s="90" t="str">
        <f aca="false">IF(AT50="","",ROUND(AT50/(1+Справочники!$B$12),0))</f>
        <v/>
      </c>
      <c r="AV50" s="90" t="str">
        <f aca="false">IF(AT50="","",ROUND(AT50*(1-Справочники!$B$15),0))</f>
        <v/>
      </c>
      <c r="AW50" s="90" t="str">
        <f aca="false">IF(AT50="","",ROUND(AT50*(1-Справочники!$B$16),0))</f>
        <v/>
      </c>
      <c r="AX50" s="90" t="str">
        <f aca="false">IF(AT50="","",ROUND(AT50*(1-Справочники!$B$17),0))</f>
        <v/>
      </c>
      <c r="AY50" s="90" t="str">
        <f aca="false">IF(AT50="","",ROUND(AT50*(1-Справочники!$B$18),0))</f>
        <v/>
      </c>
      <c r="AZ50" s="90" t="str">
        <f aca="false">IF(AT50="","",ROUND(AT50*(1-Справочники!$B$19),0))</f>
        <v/>
      </c>
      <c r="BA50" s="81"/>
      <c r="BB50" s="81"/>
      <c r="BC50" s="81"/>
      <c r="BD50" s="81"/>
      <c r="BE50" s="91"/>
      <c r="BF50" s="81" t="s">
        <v>103</v>
      </c>
      <c r="BG50" s="89" t="n">
        <f aca="false" t="array" ref="BG50:BG50">IF(BF50="","",IFERROR(INDEX(Справочники!$B$4:$B$7,MATCH(BF50,Справочники!$A$4:$A$7,0)),""))</f>
        <v>68.5</v>
      </c>
      <c r="BH50" s="90" t="str">
        <f aca="false">IF(N(BN50)&gt;0,ROUND(SUMIF(ЗАКАЗЫ!$F$3:$F$500,$A50,ЗАКАЗЫ!$Y$3:$Y$500)/BN50,0),IF(OR(BE50="",BG50=""),"",ROUND(BE50*BG50*(1+Справочники!$B$10),0)))</f>
        <v/>
      </c>
      <c r="BI50" s="92" t="str">
        <f aca="false">IF(OR(AU50="",BH50="",AU50=0),"",(AU50-BH50)/AU50)</f>
        <v/>
      </c>
      <c r="BJ50" s="81"/>
      <c r="BK50" s="83"/>
      <c r="BL50" s="43" t="str">
        <f aca="false">IFERROR(INDEX(ЗАКАЗЫ!$N$3:$N$500,MATCH($A50,ЗАКАЗЫ!$F$3:$F$500,0)),"")</f>
        <v/>
      </c>
      <c r="BM50" s="8" t="str">
        <f aca="false">IF(BL50="","",IFERROR(VLOOKUP(BL50,'ТН ВЭД'!$A$4:$C$40,3,0),""))</f>
        <v/>
      </c>
      <c r="BN50" s="7" t="str">
        <f aca="false">IF(COUNTIF(ЗАКАЗЫ!$F$3:$F$500,$A50)=0,"",SUMIF(ЗАКАЗЫ!$F$3:$F$500,$A50,ЗАКАЗЫ!$J$3:$J$500))</f>
        <v/>
      </c>
      <c r="BO50" s="7" t="str">
        <f aca="false">IF(BN50="","",SUMIF(ЗАКАЗЫ!$F$3:$F$500,$A50,ЗАКАЗЫ!$AL$3:$AL$500))</f>
        <v/>
      </c>
      <c r="BP50" s="7" t="str">
        <f aca="false">IF(BN50="","",BN50-BO50)</f>
        <v/>
      </c>
      <c r="BQ50" s="55" t="str">
        <f aca="false">IF(BN50="","",IF(BO50&gt;=BN50,"На складе",IF(BO50&gt;0,"Частично","Ждём")))</f>
        <v/>
      </c>
      <c r="BR50" s="43"/>
      <c r="BS50" s="47" t="str">
        <f aca="false">IF(BN50="","",IF(_xlfn.MAXIFS(ЗАКАЗЫ!$AK$3:$AK$500,ЗАКАЗЫ!$F$3:$F$500,$A50)=0,"",_xlfn.MAXIFS(ЗАКАЗЫ!$AK$3:$AK$500,ЗАКАЗЫ!$F$3:$F$500,$A50)))</f>
        <v/>
      </c>
    </row>
    <row r="51" customFormat="false" ht="15.75" hidden="false" customHeight="true" outlineLevel="0" collapsed="false">
      <c r="A51" s="80" t="s">
        <v>2962</v>
      </c>
      <c r="B51" s="81"/>
      <c r="C51" s="81"/>
      <c r="D51" s="81"/>
      <c r="E51" s="83"/>
      <c r="F51" s="81"/>
      <c r="G51" s="83"/>
      <c r="H51" s="83"/>
      <c r="I51" s="84" t="str">
        <f aca="false">IF(E51="","",A51&amp;"_1.jpg")</f>
        <v/>
      </c>
      <c r="J51" s="84" t="str">
        <f aca="false">IF(E51="","",A51&amp;"_2.jpg; "&amp;A51&amp;"_3.jpg")</f>
        <v/>
      </c>
      <c r="K51" s="84" t="str">
        <f aca="false">IF(E51="","",A51&amp;"_schema.jpg")</f>
        <v/>
      </c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 t="s">
        <v>96</v>
      </c>
      <c r="W51" s="81"/>
      <c r="X51" s="81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6" t="str">
        <f aca="false">IF(SUM(Y51:AJ51)=0,"",SUM(Y51:AJ51))</f>
        <v/>
      </c>
      <c r="AL51" s="84" t="str">
        <f aca="false">MID(IF(N(Y51)&gt;0,", "&amp;Y$2,"")&amp;IF(N(Z51)&gt;0,", "&amp;Z$2,"")&amp;IF(N(AA51)&gt;0,", "&amp;AA$2,"")&amp;IF(N(AB51)&gt;0,", "&amp;AB$2,"")&amp;IF(N(AC51)&gt;0,", "&amp;AC$2,"")&amp;IF(N(AD51)&gt;0,", "&amp;AD$2,"")&amp;IF(N(AE51)&gt;0,", "&amp;AE$2,"")&amp;IF(N(AF51)&gt;0,", "&amp;AF$2,"")&amp;IF(N(AG51)&gt;0,", "&amp;AG$2,"")&amp;IF(N(AH51)&gt;0,", "&amp;AH$2,"")&amp;IF(N(AI51)&gt;0,", "&amp;AI$2,"")&amp;IF(N(AJ51)&gt;0,", "&amp;AJ$2,""),3,999)</f>
        <v/>
      </c>
      <c r="AM51" s="87" t="str">
        <f aca="false">IF(E51="","",MID(IF(N(Y51)&gt;0,", "&amp;A51&amp;"-"&amp;Y$2,"")&amp;IF(N(Z51)&gt;0,", "&amp;A51&amp;"-"&amp;Z$2,"")&amp;IF(N(AA51)&gt;0,", "&amp;A51&amp;"-"&amp;AA$2,"")&amp;IF(N(AB51)&gt;0,", "&amp;A51&amp;"-"&amp;AB$2,"")&amp;IF(N(AC51)&gt;0,", "&amp;A51&amp;"-"&amp;AC$2,"")&amp;IF(N(AD51)&gt;0,", "&amp;A51&amp;"-"&amp;AD$2,"")&amp;IF(N(AE51)&gt;0,", "&amp;A51&amp;"-"&amp;AE$2,"")&amp;IF(N(AF51)&gt;0,", "&amp;A51&amp;"-"&amp;AF$2,"")&amp;IF(N(AG51)&gt;0,", "&amp;A51&amp;"-"&amp;AG$2,"")&amp;IF(N(AH51)&gt;0,", "&amp;A51&amp;"-"&amp;AH$2,"")&amp;IF(N(AI51)&gt;0,", "&amp;A51&amp;"-"&amp;AI$2,"")&amp;IF(N(AJ51)&gt;0,", "&amp;A51&amp;"-"&amp;AJ$2,""),3,999))</f>
        <v/>
      </c>
      <c r="AN51" s="81"/>
      <c r="AO51" s="88"/>
      <c r="AP51" s="89" t="str">
        <f aca="false">IF(AO51="","",ROUND(AO51/(1+Справочники!$B$13),2))</f>
        <v/>
      </c>
      <c r="AQ51" s="90" t="str">
        <f aca="false" t="array" ref="AQ51:AQ51">IF(AP51="","",AP51*INDEX(Справочники!$B$4:$B$7,MATCH("RUB",Справочники!$A$4:$A$7,0)))</f>
        <v/>
      </c>
      <c r="AR51" s="90" t="str">
        <f aca="false">IF(AQ51="","",ROUND(AQ51*(1+Справочники!$B$12),0))</f>
        <v/>
      </c>
      <c r="AS51" s="90" t="str">
        <f aca="false">IF(AR51="","",ROUND(AR51*(1-Справочники!$B$11),0))</f>
        <v/>
      </c>
      <c r="AT51" s="88"/>
      <c r="AU51" s="90" t="str">
        <f aca="false">IF(AT51="","",ROUND(AT51/(1+Справочники!$B$12),0))</f>
        <v/>
      </c>
      <c r="AV51" s="90" t="str">
        <f aca="false">IF(AT51="","",ROUND(AT51*(1-Справочники!$B$15),0))</f>
        <v/>
      </c>
      <c r="AW51" s="90" t="str">
        <f aca="false">IF(AT51="","",ROUND(AT51*(1-Справочники!$B$16),0))</f>
        <v/>
      </c>
      <c r="AX51" s="90" t="str">
        <f aca="false">IF(AT51="","",ROUND(AT51*(1-Справочники!$B$17),0))</f>
        <v/>
      </c>
      <c r="AY51" s="90" t="str">
        <f aca="false">IF(AT51="","",ROUND(AT51*(1-Справочники!$B$18),0))</f>
        <v/>
      </c>
      <c r="AZ51" s="90" t="str">
        <f aca="false">IF(AT51="","",ROUND(AT51*(1-Справочники!$B$19),0))</f>
        <v/>
      </c>
      <c r="BA51" s="81"/>
      <c r="BB51" s="81"/>
      <c r="BC51" s="81"/>
      <c r="BD51" s="81"/>
      <c r="BE51" s="91"/>
      <c r="BF51" s="81" t="s">
        <v>103</v>
      </c>
      <c r="BG51" s="89" t="n">
        <f aca="false" t="array" ref="BG51:BG51">IF(BF51="","",IFERROR(INDEX(Справочники!$B$4:$B$7,MATCH(BF51,Справочники!$A$4:$A$7,0)),""))</f>
        <v>68.5</v>
      </c>
      <c r="BH51" s="90" t="str">
        <f aca="false">IF(N(BN51)&gt;0,ROUND(SUMIF(ЗАКАЗЫ!$F$3:$F$500,$A51,ЗАКАЗЫ!$Y$3:$Y$500)/BN51,0),IF(OR(BE51="",BG51=""),"",ROUND(BE51*BG51*(1+Справочники!$B$10),0)))</f>
        <v/>
      </c>
      <c r="BI51" s="92" t="str">
        <f aca="false">IF(OR(AU51="",BH51="",AU51=0),"",(AU51-BH51)/AU51)</f>
        <v/>
      </c>
      <c r="BJ51" s="81"/>
      <c r="BK51" s="83"/>
      <c r="BL51" s="43" t="str">
        <f aca="false">IFERROR(INDEX(ЗАКАЗЫ!$N$3:$N$500,MATCH($A51,ЗАКАЗЫ!$F$3:$F$500,0)),"")</f>
        <v/>
      </c>
      <c r="BM51" s="8" t="str">
        <f aca="false">IF(BL51="","",IFERROR(VLOOKUP(BL51,'ТН ВЭД'!$A$4:$C$40,3,0),""))</f>
        <v/>
      </c>
      <c r="BN51" s="7" t="str">
        <f aca="false">IF(COUNTIF(ЗАКАЗЫ!$F$3:$F$500,$A51)=0,"",SUMIF(ЗАКАЗЫ!$F$3:$F$500,$A51,ЗАКАЗЫ!$J$3:$J$500))</f>
        <v/>
      </c>
      <c r="BO51" s="7" t="str">
        <f aca="false">IF(BN51="","",SUMIF(ЗАКАЗЫ!$F$3:$F$500,$A51,ЗАКАЗЫ!$AL$3:$AL$500))</f>
        <v/>
      </c>
      <c r="BP51" s="7" t="str">
        <f aca="false">IF(BN51="","",BN51-BO51)</f>
        <v/>
      </c>
      <c r="BQ51" s="55" t="str">
        <f aca="false">IF(BN51="","",IF(BO51&gt;=BN51,"На складе",IF(BO51&gt;0,"Частично","Ждём")))</f>
        <v/>
      </c>
      <c r="BR51" s="43"/>
      <c r="BS51" s="47" t="str">
        <f aca="false">IF(BN51="","",IF(_xlfn.MAXIFS(ЗАКАЗЫ!$AK$3:$AK$500,ЗАКАЗЫ!$F$3:$F$500,$A51)=0,"",_xlfn.MAXIFS(ЗАКАЗЫ!$AK$3:$AK$500,ЗАКАЗЫ!$F$3:$F$500,$A51)))</f>
        <v/>
      </c>
    </row>
    <row r="52" customFormat="false" ht="15.75" hidden="false" customHeight="true" outlineLevel="0" collapsed="false">
      <c r="A52" s="80" t="s">
        <v>2963</v>
      </c>
      <c r="B52" s="81"/>
      <c r="C52" s="81"/>
      <c r="D52" s="81"/>
      <c r="E52" s="83"/>
      <c r="F52" s="81"/>
      <c r="G52" s="83"/>
      <c r="H52" s="83"/>
      <c r="I52" s="84" t="str">
        <f aca="false">IF(E52="","",A52&amp;"_1.jpg")</f>
        <v/>
      </c>
      <c r="J52" s="84" t="str">
        <f aca="false">IF(E52="","",A52&amp;"_2.jpg; "&amp;A52&amp;"_3.jpg")</f>
        <v/>
      </c>
      <c r="K52" s="84" t="str">
        <f aca="false">IF(E52="","",A52&amp;"_schema.jpg")</f>
        <v/>
      </c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 t="s">
        <v>96</v>
      </c>
      <c r="W52" s="81"/>
      <c r="X52" s="81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6" t="str">
        <f aca="false">IF(SUM(Y52:AJ52)=0,"",SUM(Y52:AJ52))</f>
        <v/>
      </c>
      <c r="AL52" s="84" t="str">
        <f aca="false">MID(IF(N(Y52)&gt;0,", "&amp;Y$2,"")&amp;IF(N(Z52)&gt;0,", "&amp;Z$2,"")&amp;IF(N(AA52)&gt;0,", "&amp;AA$2,"")&amp;IF(N(AB52)&gt;0,", "&amp;AB$2,"")&amp;IF(N(AC52)&gt;0,", "&amp;AC$2,"")&amp;IF(N(AD52)&gt;0,", "&amp;AD$2,"")&amp;IF(N(AE52)&gt;0,", "&amp;AE$2,"")&amp;IF(N(AF52)&gt;0,", "&amp;AF$2,"")&amp;IF(N(AG52)&gt;0,", "&amp;AG$2,"")&amp;IF(N(AH52)&gt;0,", "&amp;AH$2,"")&amp;IF(N(AI52)&gt;0,", "&amp;AI$2,"")&amp;IF(N(AJ52)&gt;0,", "&amp;AJ$2,""),3,999)</f>
        <v/>
      </c>
      <c r="AM52" s="87" t="str">
        <f aca="false">IF(E52="","",MID(IF(N(Y52)&gt;0,", "&amp;A52&amp;"-"&amp;Y$2,"")&amp;IF(N(Z52)&gt;0,", "&amp;A52&amp;"-"&amp;Z$2,"")&amp;IF(N(AA52)&gt;0,", "&amp;A52&amp;"-"&amp;AA$2,"")&amp;IF(N(AB52)&gt;0,", "&amp;A52&amp;"-"&amp;AB$2,"")&amp;IF(N(AC52)&gt;0,", "&amp;A52&amp;"-"&amp;AC$2,"")&amp;IF(N(AD52)&gt;0,", "&amp;A52&amp;"-"&amp;AD$2,"")&amp;IF(N(AE52)&gt;0,", "&amp;A52&amp;"-"&amp;AE$2,"")&amp;IF(N(AF52)&gt;0,", "&amp;A52&amp;"-"&amp;AF$2,"")&amp;IF(N(AG52)&gt;0,", "&amp;A52&amp;"-"&amp;AG$2,"")&amp;IF(N(AH52)&gt;0,", "&amp;A52&amp;"-"&amp;AH$2,"")&amp;IF(N(AI52)&gt;0,", "&amp;A52&amp;"-"&amp;AI$2,"")&amp;IF(N(AJ52)&gt;0,", "&amp;A52&amp;"-"&amp;AJ$2,""),3,999))</f>
        <v/>
      </c>
      <c r="AN52" s="81"/>
      <c r="AO52" s="88"/>
      <c r="AP52" s="89" t="str">
        <f aca="false">IF(AO52="","",ROUND(AO52/(1+Справочники!$B$13),2))</f>
        <v/>
      </c>
      <c r="AQ52" s="90" t="str">
        <f aca="false" t="array" ref="AQ52:AQ52">IF(AP52="","",AP52*INDEX(Справочники!$B$4:$B$7,MATCH("RUB",Справочники!$A$4:$A$7,0)))</f>
        <v/>
      </c>
      <c r="AR52" s="90" t="str">
        <f aca="false">IF(AQ52="","",ROUND(AQ52*(1+Справочники!$B$12),0))</f>
        <v/>
      </c>
      <c r="AS52" s="90" t="str">
        <f aca="false">IF(AR52="","",ROUND(AR52*(1-Справочники!$B$11),0))</f>
        <v/>
      </c>
      <c r="AT52" s="88"/>
      <c r="AU52" s="90" t="str">
        <f aca="false">IF(AT52="","",ROUND(AT52/(1+Справочники!$B$12),0))</f>
        <v/>
      </c>
      <c r="AV52" s="90" t="str">
        <f aca="false">IF(AT52="","",ROUND(AT52*(1-Справочники!$B$15),0))</f>
        <v/>
      </c>
      <c r="AW52" s="90" t="str">
        <f aca="false">IF(AT52="","",ROUND(AT52*(1-Справочники!$B$16),0))</f>
        <v/>
      </c>
      <c r="AX52" s="90" t="str">
        <f aca="false">IF(AT52="","",ROUND(AT52*(1-Справочники!$B$17),0))</f>
        <v/>
      </c>
      <c r="AY52" s="90" t="str">
        <f aca="false">IF(AT52="","",ROUND(AT52*(1-Справочники!$B$18),0))</f>
        <v/>
      </c>
      <c r="AZ52" s="90" t="str">
        <f aca="false">IF(AT52="","",ROUND(AT52*(1-Справочники!$B$19),0))</f>
        <v/>
      </c>
      <c r="BA52" s="81"/>
      <c r="BB52" s="81"/>
      <c r="BC52" s="81"/>
      <c r="BD52" s="81"/>
      <c r="BE52" s="91"/>
      <c r="BF52" s="81" t="s">
        <v>103</v>
      </c>
      <c r="BG52" s="89" t="n">
        <f aca="false" t="array" ref="BG52:BG52">IF(BF52="","",IFERROR(INDEX(Справочники!$B$4:$B$7,MATCH(BF52,Справочники!$A$4:$A$7,0)),""))</f>
        <v>68.5</v>
      </c>
      <c r="BH52" s="90" t="str">
        <f aca="false">IF(N(BN52)&gt;0,ROUND(SUMIF(ЗАКАЗЫ!$F$3:$F$500,$A52,ЗАКАЗЫ!$Y$3:$Y$500)/BN52,0),IF(OR(BE52="",BG52=""),"",ROUND(BE52*BG52*(1+Справочники!$B$10),0)))</f>
        <v/>
      </c>
      <c r="BI52" s="92" t="str">
        <f aca="false">IF(OR(AU52="",BH52="",AU52=0),"",(AU52-BH52)/AU52)</f>
        <v/>
      </c>
      <c r="BJ52" s="81"/>
      <c r="BK52" s="83"/>
      <c r="BL52" s="43" t="str">
        <f aca="false">IFERROR(INDEX(ЗАКАЗЫ!$N$3:$N$500,MATCH($A52,ЗАКАЗЫ!$F$3:$F$500,0)),"")</f>
        <v/>
      </c>
      <c r="BM52" s="8" t="str">
        <f aca="false">IF(BL52="","",IFERROR(VLOOKUP(BL52,'ТН ВЭД'!$A$4:$C$40,3,0),""))</f>
        <v/>
      </c>
      <c r="BN52" s="7" t="str">
        <f aca="false">IF(COUNTIF(ЗАКАЗЫ!$F$3:$F$500,$A52)=0,"",SUMIF(ЗАКАЗЫ!$F$3:$F$500,$A52,ЗАКАЗЫ!$J$3:$J$500))</f>
        <v/>
      </c>
      <c r="BO52" s="7" t="str">
        <f aca="false">IF(BN52="","",SUMIF(ЗАКАЗЫ!$F$3:$F$500,$A52,ЗАКАЗЫ!$AL$3:$AL$500))</f>
        <v/>
      </c>
      <c r="BP52" s="7" t="str">
        <f aca="false">IF(BN52="","",BN52-BO52)</f>
        <v/>
      </c>
      <c r="BQ52" s="55" t="str">
        <f aca="false">IF(BN52="","",IF(BO52&gt;=BN52,"На складе",IF(BO52&gt;0,"Частично","Ждём")))</f>
        <v/>
      </c>
      <c r="BR52" s="43"/>
      <c r="BS52" s="47" t="str">
        <f aca="false">IF(BN52="","",IF(_xlfn.MAXIFS(ЗАКАЗЫ!$AK$3:$AK$500,ЗАКАЗЫ!$F$3:$F$500,$A52)=0,"",_xlfn.MAXIFS(ЗАКАЗЫ!$AK$3:$AK$500,ЗАКАЗЫ!$F$3:$F$500,$A52)))</f>
        <v/>
      </c>
    </row>
    <row r="53" customFormat="false" ht="15.75" hidden="false" customHeight="true" outlineLevel="0" collapsed="false">
      <c r="A53" s="80" t="s">
        <v>2964</v>
      </c>
      <c r="B53" s="81"/>
      <c r="C53" s="81"/>
      <c r="D53" s="81"/>
      <c r="E53" s="83"/>
      <c r="F53" s="81"/>
      <c r="G53" s="83"/>
      <c r="H53" s="83"/>
      <c r="I53" s="84" t="str">
        <f aca="false">IF(E53="","",A53&amp;"_1.jpg")</f>
        <v/>
      </c>
      <c r="J53" s="84" t="str">
        <f aca="false">IF(E53="","",A53&amp;"_2.jpg; "&amp;A53&amp;"_3.jpg")</f>
        <v/>
      </c>
      <c r="K53" s="84" t="str">
        <f aca="false">IF(E53="","",A53&amp;"_schema.jpg")</f>
        <v/>
      </c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 t="s">
        <v>96</v>
      </c>
      <c r="W53" s="81"/>
      <c r="X53" s="81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6" t="str">
        <f aca="false">IF(SUM(Y53:AJ53)=0,"",SUM(Y53:AJ53))</f>
        <v/>
      </c>
      <c r="AL53" s="84" t="str">
        <f aca="false">MID(IF(N(Y53)&gt;0,", "&amp;Y$2,"")&amp;IF(N(Z53)&gt;0,", "&amp;Z$2,"")&amp;IF(N(AA53)&gt;0,", "&amp;AA$2,"")&amp;IF(N(AB53)&gt;0,", "&amp;AB$2,"")&amp;IF(N(AC53)&gt;0,", "&amp;AC$2,"")&amp;IF(N(AD53)&gt;0,", "&amp;AD$2,"")&amp;IF(N(AE53)&gt;0,", "&amp;AE$2,"")&amp;IF(N(AF53)&gt;0,", "&amp;AF$2,"")&amp;IF(N(AG53)&gt;0,", "&amp;AG$2,"")&amp;IF(N(AH53)&gt;0,", "&amp;AH$2,"")&amp;IF(N(AI53)&gt;0,", "&amp;AI$2,"")&amp;IF(N(AJ53)&gt;0,", "&amp;AJ$2,""),3,999)</f>
        <v/>
      </c>
      <c r="AM53" s="87" t="str">
        <f aca="false">IF(E53="","",MID(IF(N(Y53)&gt;0,", "&amp;A53&amp;"-"&amp;Y$2,"")&amp;IF(N(Z53)&gt;0,", "&amp;A53&amp;"-"&amp;Z$2,"")&amp;IF(N(AA53)&gt;0,", "&amp;A53&amp;"-"&amp;AA$2,"")&amp;IF(N(AB53)&gt;0,", "&amp;A53&amp;"-"&amp;AB$2,"")&amp;IF(N(AC53)&gt;0,", "&amp;A53&amp;"-"&amp;AC$2,"")&amp;IF(N(AD53)&gt;0,", "&amp;A53&amp;"-"&amp;AD$2,"")&amp;IF(N(AE53)&gt;0,", "&amp;A53&amp;"-"&amp;AE$2,"")&amp;IF(N(AF53)&gt;0,", "&amp;A53&amp;"-"&amp;AF$2,"")&amp;IF(N(AG53)&gt;0,", "&amp;A53&amp;"-"&amp;AG$2,"")&amp;IF(N(AH53)&gt;0,", "&amp;A53&amp;"-"&amp;AH$2,"")&amp;IF(N(AI53)&gt;0,", "&amp;A53&amp;"-"&amp;AI$2,"")&amp;IF(N(AJ53)&gt;0,", "&amp;A53&amp;"-"&amp;AJ$2,""),3,999))</f>
        <v/>
      </c>
      <c r="AN53" s="81"/>
      <c r="AO53" s="88"/>
      <c r="AP53" s="89" t="str">
        <f aca="false">IF(AO53="","",ROUND(AO53/(1+Справочники!$B$13),2))</f>
        <v/>
      </c>
      <c r="AQ53" s="90" t="str">
        <f aca="false" t="array" ref="AQ53:AQ53">IF(AP53="","",AP53*INDEX(Справочники!$B$4:$B$7,MATCH("RUB",Справочники!$A$4:$A$7,0)))</f>
        <v/>
      </c>
      <c r="AR53" s="90" t="str">
        <f aca="false">IF(AQ53="","",ROUND(AQ53*(1+Справочники!$B$12),0))</f>
        <v/>
      </c>
      <c r="AS53" s="90" t="str">
        <f aca="false">IF(AR53="","",ROUND(AR53*(1-Справочники!$B$11),0))</f>
        <v/>
      </c>
      <c r="AT53" s="88"/>
      <c r="AU53" s="90" t="str">
        <f aca="false">IF(AT53="","",ROUND(AT53/(1+Справочники!$B$12),0))</f>
        <v/>
      </c>
      <c r="AV53" s="90" t="str">
        <f aca="false">IF(AT53="","",ROUND(AT53*(1-Справочники!$B$15),0))</f>
        <v/>
      </c>
      <c r="AW53" s="90" t="str">
        <f aca="false">IF(AT53="","",ROUND(AT53*(1-Справочники!$B$16),0))</f>
        <v/>
      </c>
      <c r="AX53" s="90" t="str">
        <f aca="false">IF(AT53="","",ROUND(AT53*(1-Справочники!$B$17),0))</f>
        <v/>
      </c>
      <c r="AY53" s="90" t="str">
        <f aca="false">IF(AT53="","",ROUND(AT53*(1-Справочники!$B$18),0))</f>
        <v/>
      </c>
      <c r="AZ53" s="90" t="str">
        <f aca="false">IF(AT53="","",ROUND(AT53*(1-Справочники!$B$19),0))</f>
        <v/>
      </c>
      <c r="BA53" s="81"/>
      <c r="BB53" s="81"/>
      <c r="BC53" s="81"/>
      <c r="BD53" s="81"/>
      <c r="BE53" s="91"/>
      <c r="BF53" s="81" t="s">
        <v>103</v>
      </c>
      <c r="BG53" s="89" t="n">
        <f aca="false" t="array" ref="BG53:BG53">IF(BF53="","",IFERROR(INDEX(Справочники!$B$4:$B$7,MATCH(BF53,Справочники!$A$4:$A$7,0)),""))</f>
        <v>68.5</v>
      </c>
      <c r="BH53" s="90" t="str">
        <f aca="false">IF(N(BN53)&gt;0,ROUND(SUMIF(ЗАКАЗЫ!$F$3:$F$500,$A53,ЗАКАЗЫ!$Y$3:$Y$500)/BN53,0),IF(OR(BE53="",BG53=""),"",ROUND(BE53*BG53*(1+Справочники!$B$10),0)))</f>
        <v/>
      </c>
      <c r="BI53" s="92" t="str">
        <f aca="false">IF(OR(AU53="",BH53="",AU53=0),"",(AU53-BH53)/AU53)</f>
        <v/>
      </c>
      <c r="BJ53" s="81"/>
      <c r="BK53" s="83"/>
      <c r="BL53" s="43" t="str">
        <f aca="false">IFERROR(INDEX(ЗАКАЗЫ!$N$3:$N$500,MATCH($A53,ЗАКАЗЫ!$F$3:$F$500,0)),"")</f>
        <v/>
      </c>
      <c r="BM53" s="8" t="str">
        <f aca="false">IF(BL53="","",IFERROR(VLOOKUP(BL53,'ТН ВЭД'!$A$4:$C$40,3,0),""))</f>
        <v/>
      </c>
      <c r="BN53" s="7" t="str">
        <f aca="false">IF(COUNTIF(ЗАКАЗЫ!$F$3:$F$500,$A53)=0,"",SUMIF(ЗАКАЗЫ!$F$3:$F$500,$A53,ЗАКАЗЫ!$J$3:$J$500))</f>
        <v/>
      </c>
      <c r="BO53" s="7" t="str">
        <f aca="false">IF(BN53="","",SUMIF(ЗАКАЗЫ!$F$3:$F$500,$A53,ЗАКАЗЫ!$AL$3:$AL$500))</f>
        <v/>
      </c>
      <c r="BP53" s="7" t="str">
        <f aca="false">IF(BN53="","",BN53-BO53)</f>
        <v/>
      </c>
      <c r="BQ53" s="55" t="str">
        <f aca="false">IF(BN53="","",IF(BO53&gt;=BN53,"На складе",IF(BO53&gt;0,"Частично","Ждём")))</f>
        <v/>
      </c>
      <c r="BR53" s="43"/>
      <c r="BS53" s="47" t="str">
        <f aca="false">IF(BN53="","",IF(_xlfn.MAXIFS(ЗАКАЗЫ!$AK$3:$AK$500,ЗАКАЗЫ!$F$3:$F$500,$A53)=0,"",_xlfn.MAXIFS(ЗАКАЗЫ!$AK$3:$AK$500,ЗАКАЗЫ!$F$3:$F$500,$A53)))</f>
        <v/>
      </c>
    </row>
    <row r="54" customFormat="false" ht="15.75" hidden="false" customHeight="true" outlineLevel="0" collapsed="false">
      <c r="A54" s="80" t="s">
        <v>2965</v>
      </c>
      <c r="B54" s="81"/>
      <c r="C54" s="81"/>
      <c r="D54" s="81"/>
      <c r="E54" s="83"/>
      <c r="F54" s="81"/>
      <c r="G54" s="83"/>
      <c r="H54" s="83"/>
      <c r="I54" s="84" t="str">
        <f aca="false">IF(E54="","",A54&amp;"_1.jpg")</f>
        <v/>
      </c>
      <c r="J54" s="84" t="str">
        <f aca="false">IF(E54="","",A54&amp;"_2.jpg; "&amp;A54&amp;"_3.jpg")</f>
        <v/>
      </c>
      <c r="K54" s="84" t="str">
        <f aca="false">IF(E54="","",A54&amp;"_schema.jpg")</f>
        <v/>
      </c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 t="s">
        <v>96</v>
      </c>
      <c r="W54" s="81"/>
      <c r="X54" s="81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6" t="str">
        <f aca="false">IF(SUM(Y54:AJ54)=0,"",SUM(Y54:AJ54))</f>
        <v/>
      </c>
      <c r="AL54" s="84" t="str">
        <f aca="false">MID(IF(N(Y54)&gt;0,", "&amp;Y$2,"")&amp;IF(N(Z54)&gt;0,", "&amp;Z$2,"")&amp;IF(N(AA54)&gt;0,", "&amp;AA$2,"")&amp;IF(N(AB54)&gt;0,", "&amp;AB$2,"")&amp;IF(N(AC54)&gt;0,", "&amp;AC$2,"")&amp;IF(N(AD54)&gt;0,", "&amp;AD$2,"")&amp;IF(N(AE54)&gt;0,", "&amp;AE$2,"")&amp;IF(N(AF54)&gt;0,", "&amp;AF$2,"")&amp;IF(N(AG54)&gt;0,", "&amp;AG$2,"")&amp;IF(N(AH54)&gt;0,", "&amp;AH$2,"")&amp;IF(N(AI54)&gt;0,", "&amp;AI$2,"")&amp;IF(N(AJ54)&gt;0,", "&amp;AJ$2,""),3,999)</f>
        <v/>
      </c>
      <c r="AM54" s="87" t="str">
        <f aca="false">IF(E54="","",MID(IF(N(Y54)&gt;0,", "&amp;A54&amp;"-"&amp;Y$2,"")&amp;IF(N(Z54)&gt;0,", "&amp;A54&amp;"-"&amp;Z$2,"")&amp;IF(N(AA54)&gt;0,", "&amp;A54&amp;"-"&amp;AA$2,"")&amp;IF(N(AB54)&gt;0,", "&amp;A54&amp;"-"&amp;AB$2,"")&amp;IF(N(AC54)&gt;0,", "&amp;A54&amp;"-"&amp;AC$2,"")&amp;IF(N(AD54)&gt;0,", "&amp;A54&amp;"-"&amp;AD$2,"")&amp;IF(N(AE54)&gt;0,", "&amp;A54&amp;"-"&amp;AE$2,"")&amp;IF(N(AF54)&gt;0,", "&amp;A54&amp;"-"&amp;AF$2,"")&amp;IF(N(AG54)&gt;0,", "&amp;A54&amp;"-"&amp;AG$2,"")&amp;IF(N(AH54)&gt;0,", "&amp;A54&amp;"-"&amp;AH$2,"")&amp;IF(N(AI54)&gt;0,", "&amp;A54&amp;"-"&amp;AI$2,"")&amp;IF(N(AJ54)&gt;0,", "&amp;A54&amp;"-"&amp;AJ$2,""),3,999))</f>
        <v/>
      </c>
      <c r="AN54" s="81"/>
      <c r="AO54" s="88"/>
      <c r="AP54" s="89" t="str">
        <f aca="false">IF(AO54="","",ROUND(AO54/(1+Справочники!$B$13),2))</f>
        <v/>
      </c>
      <c r="AQ54" s="90" t="str">
        <f aca="false" t="array" ref="AQ54:AQ54">IF(AP54="","",AP54*INDEX(Справочники!$B$4:$B$7,MATCH("RUB",Справочники!$A$4:$A$7,0)))</f>
        <v/>
      </c>
      <c r="AR54" s="90" t="str">
        <f aca="false">IF(AQ54="","",ROUND(AQ54*(1+Справочники!$B$12),0))</f>
        <v/>
      </c>
      <c r="AS54" s="90" t="str">
        <f aca="false">IF(AR54="","",ROUND(AR54*(1-Справочники!$B$11),0))</f>
        <v/>
      </c>
      <c r="AT54" s="88"/>
      <c r="AU54" s="90" t="str">
        <f aca="false">IF(AT54="","",ROUND(AT54/(1+Справочники!$B$12),0))</f>
        <v/>
      </c>
      <c r="AV54" s="90" t="str">
        <f aca="false">IF(AT54="","",ROUND(AT54*(1-Справочники!$B$15),0))</f>
        <v/>
      </c>
      <c r="AW54" s="90" t="str">
        <f aca="false">IF(AT54="","",ROUND(AT54*(1-Справочники!$B$16),0))</f>
        <v/>
      </c>
      <c r="AX54" s="90" t="str">
        <f aca="false">IF(AT54="","",ROUND(AT54*(1-Справочники!$B$17),0))</f>
        <v/>
      </c>
      <c r="AY54" s="90" t="str">
        <f aca="false">IF(AT54="","",ROUND(AT54*(1-Справочники!$B$18),0))</f>
        <v/>
      </c>
      <c r="AZ54" s="90" t="str">
        <f aca="false">IF(AT54="","",ROUND(AT54*(1-Справочники!$B$19),0))</f>
        <v/>
      </c>
      <c r="BA54" s="81"/>
      <c r="BB54" s="81"/>
      <c r="BC54" s="81"/>
      <c r="BD54" s="81"/>
      <c r="BE54" s="91"/>
      <c r="BF54" s="81" t="s">
        <v>103</v>
      </c>
      <c r="BG54" s="89" t="n">
        <f aca="false" t="array" ref="BG54:BG54">IF(BF54="","",IFERROR(INDEX(Справочники!$B$4:$B$7,MATCH(BF54,Справочники!$A$4:$A$7,0)),""))</f>
        <v>68.5</v>
      </c>
      <c r="BH54" s="90" t="str">
        <f aca="false">IF(N(BN54)&gt;0,ROUND(SUMIF(ЗАКАЗЫ!$F$3:$F$500,$A54,ЗАКАЗЫ!$Y$3:$Y$500)/BN54,0),IF(OR(BE54="",BG54=""),"",ROUND(BE54*BG54*(1+Справочники!$B$10),0)))</f>
        <v/>
      </c>
      <c r="BI54" s="92" t="str">
        <f aca="false">IF(OR(AU54="",BH54="",AU54=0),"",(AU54-BH54)/AU54)</f>
        <v/>
      </c>
      <c r="BJ54" s="81"/>
      <c r="BK54" s="83"/>
      <c r="BL54" s="43" t="str">
        <f aca="false">IFERROR(INDEX(ЗАКАЗЫ!$N$3:$N$500,MATCH($A54,ЗАКАЗЫ!$F$3:$F$500,0)),"")</f>
        <v/>
      </c>
      <c r="BM54" s="8" t="str">
        <f aca="false">IF(BL54="","",IFERROR(VLOOKUP(BL54,'ТН ВЭД'!$A$4:$C$40,3,0),""))</f>
        <v/>
      </c>
      <c r="BN54" s="7" t="str">
        <f aca="false">IF(COUNTIF(ЗАКАЗЫ!$F$3:$F$500,$A54)=0,"",SUMIF(ЗАКАЗЫ!$F$3:$F$500,$A54,ЗАКАЗЫ!$J$3:$J$500))</f>
        <v/>
      </c>
      <c r="BO54" s="7" t="str">
        <f aca="false">IF(BN54="","",SUMIF(ЗАКАЗЫ!$F$3:$F$500,$A54,ЗАКАЗЫ!$AL$3:$AL$500))</f>
        <v/>
      </c>
      <c r="BP54" s="7" t="str">
        <f aca="false">IF(BN54="","",BN54-BO54)</f>
        <v/>
      </c>
      <c r="BQ54" s="55" t="str">
        <f aca="false">IF(BN54="","",IF(BO54&gt;=BN54,"На складе",IF(BO54&gt;0,"Частично","Ждём")))</f>
        <v/>
      </c>
      <c r="BR54" s="43"/>
      <c r="BS54" s="47" t="str">
        <f aca="false">IF(BN54="","",IF(_xlfn.MAXIFS(ЗАКАЗЫ!$AK$3:$AK$500,ЗАКАЗЫ!$F$3:$F$500,$A54)=0,"",_xlfn.MAXIFS(ЗАКАЗЫ!$AK$3:$AK$500,ЗАКАЗЫ!$F$3:$F$500,$A54)))</f>
        <v/>
      </c>
    </row>
    <row r="55" customFormat="false" ht="15.75" hidden="false" customHeight="true" outlineLevel="0" collapsed="false">
      <c r="A55" s="80" t="s">
        <v>2966</v>
      </c>
      <c r="B55" s="81"/>
      <c r="C55" s="81"/>
      <c r="D55" s="81"/>
      <c r="E55" s="83"/>
      <c r="F55" s="81"/>
      <c r="G55" s="83"/>
      <c r="H55" s="83"/>
      <c r="I55" s="84" t="str">
        <f aca="false">IF(E55="","",A55&amp;"_1.jpg")</f>
        <v/>
      </c>
      <c r="J55" s="84" t="str">
        <f aca="false">IF(E55="","",A55&amp;"_2.jpg; "&amp;A55&amp;"_3.jpg")</f>
        <v/>
      </c>
      <c r="K55" s="84" t="str">
        <f aca="false">IF(E55="","",A55&amp;"_schema.jpg")</f>
        <v/>
      </c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 t="s">
        <v>96</v>
      </c>
      <c r="W55" s="81"/>
      <c r="X55" s="81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6" t="str">
        <f aca="false">IF(SUM(Y55:AJ55)=0,"",SUM(Y55:AJ55))</f>
        <v/>
      </c>
      <c r="AL55" s="84" t="str">
        <f aca="false">MID(IF(N(Y55)&gt;0,", "&amp;Y$2,"")&amp;IF(N(Z55)&gt;0,", "&amp;Z$2,"")&amp;IF(N(AA55)&gt;0,", "&amp;AA$2,"")&amp;IF(N(AB55)&gt;0,", "&amp;AB$2,"")&amp;IF(N(AC55)&gt;0,", "&amp;AC$2,"")&amp;IF(N(AD55)&gt;0,", "&amp;AD$2,"")&amp;IF(N(AE55)&gt;0,", "&amp;AE$2,"")&amp;IF(N(AF55)&gt;0,", "&amp;AF$2,"")&amp;IF(N(AG55)&gt;0,", "&amp;AG$2,"")&amp;IF(N(AH55)&gt;0,", "&amp;AH$2,"")&amp;IF(N(AI55)&gt;0,", "&amp;AI$2,"")&amp;IF(N(AJ55)&gt;0,", "&amp;AJ$2,""),3,999)</f>
        <v/>
      </c>
      <c r="AM55" s="87" t="str">
        <f aca="false">IF(E55="","",MID(IF(N(Y55)&gt;0,", "&amp;A55&amp;"-"&amp;Y$2,"")&amp;IF(N(Z55)&gt;0,", "&amp;A55&amp;"-"&amp;Z$2,"")&amp;IF(N(AA55)&gt;0,", "&amp;A55&amp;"-"&amp;AA$2,"")&amp;IF(N(AB55)&gt;0,", "&amp;A55&amp;"-"&amp;AB$2,"")&amp;IF(N(AC55)&gt;0,", "&amp;A55&amp;"-"&amp;AC$2,"")&amp;IF(N(AD55)&gt;0,", "&amp;A55&amp;"-"&amp;AD$2,"")&amp;IF(N(AE55)&gt;0,", "&amp;A55&amp;"-"&amp;AE$2,"")&amp;IF(N(AF55)&gt;0,", "&amp;A55&amp;"-"&amp;AF$2,"")&amp;IF(N(AG55)&gt;0,", "&amp;A55&amp;"-"&amp;AG$2,"")&amp;IF(N(AH55)&gt;0,", "&amp;A55&amp;"-"&amp;AH$2,"")&amp;IF(N(AI55)&gt;0,", "&amp;A55&amp;"-"&amp;AI$2,"")&amp;IF(N(AJ55)&gt;0,", "&amp;A55&amp;"-"&amp;AJ$2,""),3,999))</f>
        <v/>
      </c>
      <c r="AN55" s="81"/>
      <c r="AO55" s="88"/>
      <c r="AP55" s="89" t="str">
        <f aca="false">IF(AO55="","",ROUND(AO55/(1+Справочники!$B$13),2))</f>
        <v/>
      </c>
      <c r="AQ55" s="90" t="str">
        <f aca="false" t="array" ref="AQ55:AQ55">IF(AP55="","",AP55*INDEX(Справочники!$B$4:$B$7,MATCH("RUB",Справочники!$A$4:$A$7,0)))</f>
        <v/>
      </c>
      <c r="AR55" s="90" t="str">
        <f aca="false">IF(AQ55="","",ROUND(AQ55*(1+Справочники!$B$12),0))</f>
        <v/>
      </c>
      <c r="AS55" s="90" t="str">
        <f aca="false">IF(AR55="","",ROUND(AR55*(1-Справочники!$B$11),0))</f>
        <v/>
      </c>
      <c r="AT55" s="88"/>
      <c r="AU55" s="90" t="str">
        <f aca="false">IF(AT55="","",ROUND(AT55/(1+Справочники!$B$12),0))</f>
        <v/>
      </c>
      <c r="AV55" s="90" t="str">
        <f aca="false">IF(AT55="","",ROUND(AT55*(1-Справочники!$B$15),0))</f>
        <v/>
      </c>
      <c r="AW55" s="90" t="str">
        <f aca="false">IF(AT55="","",ROUND(AT55*(1-Справочники!$B$16),0))</f>
        <v/>
      </c>
      <c r="AX55" s="90" t="str">
        <f aca="false">IF(AT55="","",ROUND(AT55*(1-Справочники!$B$17),0))</f>
        <v/>
      </c>
      <c r="AY55" s="90" t="str">
        <f aca="false">IF(AT55="","",ROUND(AT55*(1-Справочники!$B$18),0))</f>
        <v/>
      </c>
      <c r="AZ55" s="90" t="str">
        <f aca="false">IF(AT55="","",ROUND(AT55*(1-Справочники!$B$19),0))</f>
        <v/>
      </c>
      <c r="BA55" s="81"/>
      <c r="BB55" s="81"/>
      <c r="BC55" s="81"/>
      <c r="BD55" s="81"/>
      <c r="BE55" s="91"/>
      <c r="BF55" s="81" t="s">
        <v>103</v>
      </c>
      <c r="BG55" s="89" t="n">
        <f aca="false" t="array" ref="BG55:BG55">IF(BF55="","",IFERROR(INDEX(Справочники!$B$4:$B$7,MATCH(BF55,Справочники!$A$4:$A$7,0)),""))</f>
        <v>68.5</v>
      </c>
      <c r="BH55" s="90" t="str">
        <f aca="false">IF(N(BN55)&gt;0,ROUND(SUMIF(ЗАКАЗЫ!$F$3:$F$500,$A55,ЗАКАЗЫ!$Y$3:$Y$500)/BN55,0),IF(OR(BE55="",BG55=""),"",ROUND(BE55*BG55*(1+Справочники!$B$10),0)))</f>
        <v/>
      </c>
      <c r="BI55" s="92" t="str">
        <f aca="false">IF(OR(AU55="",BH55="",AU55=0),"",(AU55-BH55)/AU55)</f>
        <v/>
      </c>
      <c r="BJ55" s="81"/>
      <c r="BK55" s="83"/>
      <c r="BL55" s="43" t="str">
        <f aca="false">IFERROR(INDEX(ЗАКАЗЫ!$N$3:$N$500,MATCH($A55,ЗАКАЗЫ!$F$3:$F$500,0)),"")</f>
        <v/>
      </c>
      <c r="BM55" s="8" t="str">
        <f aca="false">IF(BL55="","",IFERROR(VLOOKUP(BL55,'ТН ВЭД'!$A$4:$C$40,3,0),""))</f>
        <v/>
      </c>
      <c r="BN55" s="7" t="str">
        <f aca="false">IF(COUNTIF(ЗАКАЗЫ!$F$3:$F$500,$A55)=0,"",SUMIF(ЗАКАЗЫ!$F$3:$F$500,$A55,ЗАКАЗЫ!$J$3:$J$500))</f>
        <v/>
      </c>
      <c r="BO55" s="7" t="str">
        <f aca="false">IF(BN55="","",SUMIF(ЗАКАЗЫ!$F$3:$F$500,$A55,ЗАКАЗЫ!$AL$3:$AL$500))</f>
        <v/>
      </c>
      <c r="BP55" s="7" t="str">
        <f aca="false">IF(BN55="","",BN55-BO55)</f>
        <v/>
      </c>
      <c r="BQ55" s="55" t="str">
        <f aca="false">IF(BN55="","",IF(BO55&gt;=BN55,"На складе",IF(BO55&gt;0,"Частично","Ждём")))</f>
        <v/>
      </c>
      <c r="BR55" s="43"/>
      <c r="BS55" s="47" t="str">
        <f aca="false">IF(BN55="","",IF(_xlfn.MAXIFS(ЗАКАЗЫ!$AK$3:$AK$500,ЗАКАЗЫ!$F$3:$F$500,$A55)=0,"",_xlfn.MAXIFS(ЗАКАЗЫ!$AK$3:$AK$500,ЗАКАЗЫ!$F$3:$F$500,$A55)))</f>
        <v/>
      </c>
    </row>
    <row r="56" customFormat="false" ht="15.75" hidden="false" customHeight="true" outlineLevel="0" collapsed="false">
      <c r="A56" s="80" t="s">
        <v>2967</v>
      </c>
      <c r="B56" s="81"/>
      <c r="C56" s="81"/>
      <c r="D56" s="81"/>
      <c r="E56" s="83"/>
      <c r="F56" s="81"/>
      <c r="G56" s="83"/>
      <c r="H56" s="83"/>
      <c r="I56" s="84" t="str">
        <f aca="false">IF(E56="","",A56&amp;"_1.jpg")</f>
        <v/>
      </c>
      <c r="J56" s="84" t="str">
        <f aca="false">IF(E56="","",A56&amp;"_2.jpg; "&amp;A56&amp;"_3.jpg")</f>
        <v/>
      </c>
      <c r="K56" s="84" t="str">
        <f aca="false">IF(E56="","",A56&amp;"_schema.jpg")</f>
        <v/>
      </c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 t="s">
        <v>96</v>
      </c>
      <c r="W56" s="81"/>
      <c r="X56" s="81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6" t="str">
        <f aca="false">IF(SUM(Y56:AJ56)=0,"",SUM(Y56:AJ56))</f>
        <v/>
      </c>
      <c r="AL56" s="84" t="str">
        <f aca="false">MID(IF(N(Y56)&gt;0,", "&amp;Y$2,"")&amp;IF(N(Z56)&gt;0,", "&amp;Z$2,"")&amp;IF(N(AA56)&gt;0,", "&amp;AA$2,"")&amp;IF(N(AB56)&gt;0,", "&amp;AB$2,"")&amp;IF(N(AC56)&gt;0,", "&amp;AC$2,"")&amp;IF(N(AD56)&gt;0,", "&amp;AD$2,"")&amp;IF(N(AE56)&gt;0,", "&amp;AE$2,"")&amp;IF(N(AF56)&gt;0,", "&amp;AF$2,"")&amp;IF(N(AG56)&gt;0,", "&amp;AG$2,"")&amp;IF(N(AH56)&gt;0,", "&amp;AH$2,"")&amp;IF(N(AI56)&gt;0,", "&amp;AI$2,"")&amp;IF(N(AJ56)&gt;0,", "&amp;AJ$2,""),3,999)</f>
        <v/>
      </c>
      <c r="AM56" s="87" t="str">
        <f aca="false">IF(E56="","",MID(IF(N(Y56)&gt;0,", "&amp;A56&amp;"-"&amp;Y$2,"")&amp;IF(N(Z56)&gt;0,", "&amp;A56&amp;"-"&amp;Z$2,"")&amp;IF(N(AA56)&gt;0,", "&amp;A56&amp;"-"&amp;AA$2,"")&amp;IF(N(AB56)&gt;0,", "&amp;A56&amp;"-"&amp;AB$2,"")&amp;IF(N(AC56)&gt;0,", "&amp;A56&amp;"-"&amp;AC$2,"")&amp;IF(N(AD56)&gt;0,", "&amp;A56&amp;"-"&amp;AD$2,"")&amp;IF(N(AE56)&gt;0,", "&amp;A56&amp;"-"&amp;AE$2,"")&amp;IF(N(AF56)&gt;0,", "&amp;A56&amp;"-"&amp;AF$2,"")&amp;IF(N(AG56)&gt;0,", "&amp;A56&amp;"-"&amp;AG$2,"")&amp;IF(N(AH56)&gt;0,", "&amp;A56&amp;"-"&amp;AH$2,"")&amp;IF(N(AI56)&gt;0,", "&amp;A56&amp;"-"&amp;AI$2,"")&amp;IF(N(AJ56)&gt;0,", "&amp;A56&amp;"-"&amp;AJ$2,""),3,999))</f>
        <v/>
      </c>
      <c r="AN56" s="81"/>
      <c r="AO56" s="88"/>
      <c r="AP56" s="89" t="str">
        <f aca="false">IF(AO56="","",ROUND(AO56/(1+Справочники!$B$13),2))</f>
        <v/>
      </c>
      <c r="AQ56" s="90" t="str">
        <f aca="false" t="array" ref="AQ56:AQ56">IF(AP56="","",AP56*INDEX(Справочники!$B$4:$B$7,MATCH("RUB",Справочники!$A$4:$A$7,0)))</f>
        <v/>
      </c>
      <c r="AR56" s="90" t="str">
        <f aca="false">IF(AQ56="","",ROUND(AQ56*(1+Справочники!$B$12),0))</f>
        <v/>
      </c>
      <c r="AS56" s="90" t="str">
        <f aca="false">IF(AR56="","",ROUND(AR56*(1-Справочники!$B$11),0))</f>
        <v/>
      </c>
      <c r="AT56" s="88"/>
      <c r="AU56" s="90" t="str">
        <f aca="false">IF(AT56="","",ROUND(AT56/(1+Справочники!$B$12),0))</f>
        <v/>
      </c>
      <c r="AV56" s="90" t="str">
        <f aca="false">IF(AT56="","",ROUND(AT56*(1-Справочники!$B$15),0))</f>
        <v/>
      </c>
      <c r="AW56" s="90" t="str">
        <f aca="false">IF(AT56="","",ROUND(AT56*(1-Справочники!$B$16),0))</f>
        <v/>
      </c>
      <c r="AX56" s="90" t="str">
        <f aca="false">IF(AT56="","",ROUND(AT56*(1-Справочники!$B$17),0))</f>
        <v/>
      </c>
      <c r="AY56" s="90" t="str">
        <f aca="false">IF(AT56="","",ROUND(AT56*(1-Справочники!$B$18),0))</f>
        <v/>
      </c>
      <c r="AZ56" s="90" t="str">
        <f aca="false">IF(AT56="","",ROUND(AT56*(1-Справочники!$B$19),0))</f>
        <v/>
      </c>
      <c r="BA56" s="81"/>
      <c r="BB56" s="81"/>
      <c r="BC56" s="81"/>
      <c r="BD56" s="81"/>
      <c r="BE56" s="91"/>
      <c r="BF56" s="81" t="s">
        <v>103</v>
      </c>
      <c r="BG56" s="89" t="n">
        <f aca="false" t="array" ref="BG56:BG56">IF(BF56="","",IFERROR(INDEX(Справочники!$B$4:$B$7,MATCH(BF56,Справочники!$A$4:$A$7,0)),""))</f>
        <v>68.5</v>
      </c>
      <c r="BH56" s="90" t="str">
        <f aca="false">IF(N(BN56)&gt;0,ROUND(SUMIF(ЗАКАЗЫ!$F$3:$F$500,$A56,ЗАКАЗЫ!$Y$3:$Y$500)/BN56,0),IF(OR(BE56="",BG56=""),"",ROUND(BE56*BG56*(1+Справочники!$B$10),0)))</f>
        <v/>
      </c>
      <c r="BI56" s="92" t="str">
        <f aca="false">IF(OR(AU56="",BH56="",AU56=0),"",(AU56-BH56)/AU56)</f>
        <v/>
      </c>
      <c r="BJ56" s="81"/>
      <c r="BK56" s="83"/>
      <c r="BL56" s="43" t="str">
        <f aca="false">IFERROR(INDEX(ЗАКАЗЫ!$N$3:$N$500,MATCH($A56,ЗАКАЗЫ!$F$3:$F$500,0)),"")</f>
        <v/>
      </c>
      <c r="BM56" s="8" t="str">
        <f aca="false">IF(BL56="","",IFERROR(VLOOKUP(BL56,'ТН ВЭД'!$A$4:$C$40,3,0),""))</f>
        <v/>
      </c>
      <c r="BN56" s="7" t="str">
        <f aca="false">IF(COUNTIF(ЗАКАЗЫ!$F$3:$F$500,$A56)=0,"",SUMIF(ЗАКАЗЫ!$F$3:$F$500,$A56,ЗАКАЗЫ!$J$3:$J$500))</f>
        <v/>
      </c>
      <c r="BO56" s="7" t="str">
        <f aca="false">IF(BN56="","",SUMIF(ЗАКАЗЫ!$F$3:$F$500,$A56,ЗАКАЗЫ!$AL$3:$AL$500))</f>
        <v/>
      </c>
      <c r="BP56" s="7" t="str">
        <f aca="false">IF(BN56="","",BN56-BO56)</f>
        <v/>
      </c>
      <c r="BQ56" s="55" t="str">
        <f aca="false">IF(BN56="","",IF(BO56&gt;=BN56,"На складе",IF(BO56&gt;0,"Частично","Ждём")))</f>
        <v/>
      </c>
      <c r="BR56" s="43"/>
      <c r="BS56" s="47" t="str">
        <f aca="false">IF(BN56="","",IF(_xlfn.MAXIFS(ЗАКАЗЫ!$AK$3:$AK$500,ЗАКАЗЫ!$F$3:$F$500,$A56)=0,"",_xlfn.MAXIFS(ЗАКАЗЫ!$AK$3:$AK$500,ЗАКАЗЫ!$F$3:$F$500,$A56)))</f>
        <v/>
      </c>
    </row>
    <row r="57" customFormat="false" ht="15.75" hidden="false" customHeight="true" outlineLevel="0" collapsed="false">
      <c r="A57" s="80" t="s">
        <v>2968</v>
      </c>
      <c r="B57" s="81"/>
      <c r="C57" s="81"/>
      <c r="D57" s="81"/>
      <c r="E57" s="83"/>
      <c r="F57" s="81"/>
      <c r="G57" s="83"/>
      <c r="H57" s="83"/>
      <c r="I57" s="84" t="str">
        <f aca="false">IF(E57="","",A57&amp;"_1.jpg")</f>
        <v/>
      </c>
      <c r="J57" s="84" t="str">
        <f aca="false">IF(E57="","",A57&amp;"_2.jpg; "&amp;A57&amp;"_3.jpg")</f>
        <v/>
      </c>
      <c r="K57" s="84" t="str">
        <f aca="false">IF(E57="","",A57&amp;"_schema.jpg")</f>
        <v/>
      </c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 t="s">
        <v>96</v>
      </c>
      <c r="W57" s="81"/>
      <c r="X57" s="81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6" t="str">
        <f aca="false">IF(SUM(Y57:AJ57)=0,"",SUM(Y57:AJ57))</f>
        <v/>
      </c>
      <c r="AL57" s="84" t="str">
        <f aca="false">MID(IF(N(Y57)&gt;0,", "&amp;Y$2,"")&amp;IF(N(Z57)&gt;0,", "&amp;Z$2,"")&amp;IF(N(AA57)&gt;0,", "&amp;AA$2,"")&amp;IF(N(AB57)&gt;0,", "&amp;AB$2,"")&amp;IF(N(AC57)&gt;0,", "&amp;AC$2,"")&amp;IF(N(AD57)&gt;0,", "&amp;AD$2,"")&amp;IF(N(AE57)&gt;0,", "&amp;AE$2,"")&amp;IF(N(AF57)&gt;0,", "&amp;AF$2,"")&amp;IF(N(AG57)&gt;0,", "&amp;AG$2,"")&amp;IF(N(AH57)&gt;0,", "&amp;AH$2,"")&amp;IF(N(AI57)&gt;0,", "&amp;AI$2,"")&amp;IF(N(AJ57)&gt;0,", "&amp;AJ$2,""),3,999)</f>
        <v/>
      </c>
      <c r="AM57" s="87" t="str">
        <f aca="false">IF(E57="","",MID(IF(N(Y57)&gt;0,", "&amp;A57&amp;"-"&amp;Y$2,"")&amp;IF(N(Z57)&gt;0,", "&amp;A57&amp;"-"&amp;Z$2,"")&amp;IF(N(AA57)&gt;0,", "&amp;A57&amp;"-"&amp;AA$2,"")&amp;IF(N(AB57)&gt;0,", "&amp;A57&amp;"-"&amp;AB$2,"")&amp;IF(N(AC57)&gt;0,", "&amp;A57&amp;"-"&amp;AC$2,"")&amp;IF(N(AD57)&gt;0,", "&amp;A57&amp;"-"&amp;AD$2,"")&amp;IF(N(AE57)&gt;0,", "&amp;A57&amp;"-"&amp;AE$2,"")&amp;IF(N(AF57)&gt;0,", "&amp;A57&amp;"-"&amp;AF$2,"")&amp;IF(N(AG57)&gt;0,", "&amp;A57&amp;"-"&amp;AG$2,"")&amp;IF(N(AH57)&gt;0,", "&amp;A57&amp;"-"&amp;AH$2,"")&amp;IF(N(AI57)&gt;0,", "&amp;A57&amp;"-"&amp;AI$2,"")&amp;IF(N(AJ57)&gt;0,", "&amp;A57&amp;"-"&amp;AJ$2,""),3,999))</f>
        <v/>
      </c>
      <c r="AN57" s="81"/>
      <c r="AO57" s="88"/>
      <c r="AP57" s="89" t="str">
        <f aca="false">IF(AO57="","",ROUND(AO57/(1+Справочники!$B$13),2))</f>
        <v/>
      </c>
      <c r="AQ57" s="90" t="str">
        <f aca="false" t="array" ref="AQ57:AQ57">IF(AP57="","",AP57*INDEX(Справочники!$B$4:$B$7,MATCH("RUB",Справочники!$A$4:$A$7,0)))</f>
        <v/>
      </c>
      <c r="AR57" s="90" t="str">
        <f aca="false">IF(AQ57="","",ROUND(AQ57*(1+Справочники!$B$12),0))</f>
        <v/>
      </c>
      <c r="AS57" s="90" t="str">
        <f aca="false">IF(AR57="","",ROUND(AR57*(1-Справочники!$B$11),0))</f>
        <v/>
      </c>
      <c r="AT57" s="88"/>
      <c r="AU57" s="90" t="str">
        <f aca="false">IF(AT57="","",ROUND(AT57/(1+Справочники!$B$12),0))</f>
        <v/>
      </c>
      <c r="AV57" s="90" t="str">
        <f aca="false">IF(AT57="","",ROUND(AT57*(1-Справочники!$B$15),0))</f>
        <v/>
      </c>
      <c r="AW57" s="90" t="str">
        <f aca="false">IF(AT57="","",ROUND(AT57*(1-Справочники!$B$16),0))</f>
        <v/>
      </c>
      <c r="AX57" s="90" t="str">
        <f aca="false">IF(AT57="","",ROUND(AT57*(1-Справочники!$B$17),0))</f>
        <v/>
      </c>
      <c r="AY57" s="90" t="str">
        <f aca="false">IF(AT57="","",ROUND(AT57*(1-Справочники!$B$18),0))</f>
        <v/>
      </c>
      <c r="AZ57" s="90" t="str">
        <f aca="false">IF(AT57="","",ROUND(AT57*(1-Справочники!$B$19),0))</f>
        <v/>
      </c>
      <c r="BA57" s="81"/>
      <c r="BB57" s="81"/>
      <c r="BC57" s="81"/>
      <c r="BD57" s="81"/>
      <c r="BE57" s="91"/>
      <c r="BF57" s="81" t="s">
        <v>103</v>
      </c>
      <c r="BG57" s="89" t="n">
        <f aca="false" t="array" ref="BG57:BG57">IF(BF57="","",IFERROR(INDEX(Справочники!$B$4:$B$7,MATCH(BF57,Справочники!$A$4:$A$7,0)),""))</f>
        <v>68.5</v>
      </c>
      <c r="BH57" s="90" t="str">
        <f aca="false">IF(N(BN57)&gt;0,ROUND(SUMIF(ЗАКАЗЫ!$F$3:$F$500,$A57,ЗАКАЗЫ!$Y$3:$Y$500)/BN57,0),IF(OR(BE57="",BG57=""),"",ROUND(BE57*BG57*(1+Справочники!$B$10),0)))</f>
        <v/>
      </c>
      <c r="BI57" s="92" t="str">
        <f aca="false">IF(OR(AU57="",BH57="",AU57=0),"",(AU57-BH57)/AU57)</f>
        <v/>
      </c>
      <c r="BJ57" s="81"/>
      <c r="BK57" s="83"/>
      <c r="BL57" s="43" t="str">
        <f aca="false">IFERROR(INDEX(ЗАКАЗЫ!$N$3:$N$500,MATCH($A57,ЗАКАЗЫ!$F$3:$F$500,0)),"")</f>
        <v/>
      </c>
      <c r="BM57" s="8" t="str">
        <f aca="false">IF(BL57="","",IFERROR(VLOOKUP(BL57,'ТН ВЭД'!$A$4:$C$40,3,0),""))</f>
        <v/>
      </c>
      <c r="BN57" s="7" t="str">
        <f aca="false">IF(COUNTIF(ЗАКАЗЫ!$F$3:$F$500,$A57)=0,"",SUMIF(ЗАКАЗЫ!$F$3:$F$500,$A57,ЗАКАЗЫ!$J$3:$J$500))</f>
        <v/>
      </c>
      <c r="BO57" s="7" t="str">
        <f aca="false">IF(BN57="","",SUMIF(ЗАКАЗЫ!$F$3:$F$500,$A57,ЗАКАЗЫ!$AL$3:$AL$500))</f>
        <v/>
      </c>
      <c r="BP57" s="7" t="str">
        <f aca="false">IF(BN57="","",BN57-BO57)</f>
        <v/>
      </c>
      <c r="BQ57" s="55" t="str">
        <f aca="false">IF(BN57="","",IF(BO57&gt;=BN57,"На складе",IF(BO57&gt;0,"Частично","Ждём")))</f>
        <v/>
      </c>
      <c r="BR57" s="43"/>
      <c r="BS57" s="47" t="str">
        <f aca="false">IF(BN57="","",IF(_xlfn.MAXIFS(ЗАКАЗЫ!$AK$3:$AK$500,ЗАКАЗЫ!$F$3:$F$500,$A57)=0,"",_xlfn.MAXIFS(ЗАКАЗЫ!$AK$3:$AK$500,ЗАКАЗЫ!$F$3:$F$500,$A57)))</f>
        <v/>
      </c>
    </row>
    <row r="58" customFormat="false" ht="15.75" hidden="false" customHeight="true" outlineLevel="0" collapsed="false">
      <c r="A58" s="80" t="s">
        <v>2969</v>
      </c>
      <c r="B58" s="81"/>
      <c r="C58" s="81"/>
      <c r="D58" s="81"/>
      <c r="E58" s="83"/>
      <c r="F58" s="81"/>
      <c r="G58" s="83"/>
      <c r="H58" s="83"/>
      <c r="I58" s="84" t="str">
        <f aca="false">IF(E58="","",A58&amp;"_1.jpg")</f>
        <v/>
      </c>
      <c r="J58" s="84" t="str">
        <f aca="false">IF(E58="","",A58&amp;"_2.jpg; "&amp;A58&amp;"_3.jpg")</f>
        <v/>
      </c>
      <c r="K58" s="84" t="str">
        <f aca="false">IF(E58="","",A58&amp;"_schema.jpg")</f>
        <v/>
      </c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 t="s">
        <v>96</v>
      </c>
      <c r="W58" s="81"/>
      <c r="X58" s="81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6" t="str">
        <f aca="false">IF(SUM(Y58:AJ58)=0,"",SUM(Y58:AJ58))</f>
        <v/>
      </c>
      <c r="AL58" s="84" t="str">
        <f aca="false">MID(IF(N(Y58)&gt;0,", "&amp;Y$2,"")&amp;IF(N(Z58)&gt;0,", "&amp;Z$2,"")&amp;IF(N(AA58)&gt;0,", "&amp;AA$2,"")&amp;IF(N(AB58)&gt;0,", "&amp;AB$2,"")&amp;IF(N(AC58)&gt;0,", "&amp;AC$2,"")&amp;IF(N(AD58)&gt;0,", "&amp;AD$2,"")&amp;IF(N(AE58)&gt;0,", "&amp;AE$2,"")&amp;IF(N(AF58)&gt;0,", "&amp;AF$2,"")&amp;IF(N(AG58)&gt;0,", "&amp;AG$2,"")&amp;IF(N(AH58)&gt;0,", "&amp;AH$2,"")&amp;IF(N(AI58)&gt;0,", "&amp;AI$2,"")&amp;IF(N(AJ58)&gt;0,", "&amp;AJ$2,""),3,999)</f>
        <v/>
      </c>
      <c r="AM58" s="87" t="str">
        <f aca="false">IF(E58="","",MID(IF(N(Y58)&gt;0,", "&amp;A58&amp;"-"&amp;Y$2,"")&amp;IF(N(Z58)&gt;0,", "&amp;A58&amp;"-"&amp;Z$2,"")&amp;IF(N(AA58)&gt;0,", "&amp;A58&amp;"-"&amp;AA$2,"")&amp;IF(N(AB58)&gt;0,", "&amp;A58&amp;"-"&amp;AB$2,"")&amp;IF(N(AC58)&gt;0,", "&amp;A58&amp;"-"&amp;AC$2,"")&amp;IF(N(AD58)&gt;0,", "&amp;A58&amp;"-"&amp;AD$2,"")&amp;IF(N(AE58)&gt;0,", "&amp;A58&amp;"-"&amp;AE$2,"")&amp;IF(N(AF58)&gt;0,", "&amp;A58&amp;"-"&amp;AF$2,"")&amp;IF(N(AG58)&gt;0,", "&amp;A58&amp;"-"&amp;AG$2,"")&amp;IF(N(AH58)&gt;0,", "&amp;A58&amp;"-"&amp;AH$2,"")&amp;IF(N(AI58)&gt;0,", "&amp;A58&amp;"-"&amp;AI$2,"")&amp;IF(N(AJ58)&gt;0,", "&amp;A58&amp;"-"&amp;AJ$2,""),3,999))</f>
        <v/>
      </c>
      <c r="AN58" s="81"/>
      <c r="AO58" s="88"/>
      <c r="AP58" s="89" t="str">
        <f aca="false">IF(AO58="","",ROUND(AO58/(1+Справочники!$B$13),2))</f>
        <v/>
      </c>
      <c r="AQ58" s="90" t="str">
        <f aca="false" t="array" ref="AQ58:AQ58">IF(AP58="","",AP58*INDEX(Справочники!$B$4:$B$7,MATCH("RUB",Справочники!$A$4:$A$7,0)))</f>
        <v/>
      </c>
      <c r="AR58" s="90" t="str">
        <f aca="false">IF(AQ58="","",ROUND(AQ58*(1+Справочники!$B$12),0))</f>
        <v/>
      </c>
      <c r="AS58" s="90" t="str">
        <f aca="false">IF(AR58="","",ROUND(AR58*(1-Справочники!$B$11),0))</f>
        <v/>
      </c>
      <c r="AT58" s="88"/>
      <c r="AU58" s="90" t="str">
        <f aca="false">IF(AT58="","",ROUND(AT58/(1+Справочники!$B$12),0))</f>
        <v/>
      </c>
      <c r="AV58" s="90" t="str">
        <f aca="false">IF(AT58="","",ROUND(AT58*(1-Справочники!$B$15),0))</f>
        <v/>
      </c>
      <c r="AW58" s="90" t="str">
        <f aca="false">IF(AT58="","",ROUND(AT58*(1-Справочники!$B$16),0))</f>
        <v/>
      </c>
      <c r="AX58" s="90" t="str">
        <f aca="false">IF(AT58="","",ROUND(AT58*(1-Справочники!$B$17),0))</f>
        <v/>
      </c>
      <c r="AY58" s="90" t="str">
        <f aca="false">IF(AT58="","",ROUND(AT58*(1-Справочники!$B$18),0))</f>
        <v/>
      </c>
      <c r="AZ58" s="90" t="str">
        <f aca="false">IF(AT58="","",ROUND(AT58*(1-Справочники!$B$19),0))</f>
        <v/>
      </c>
      <c r="BA58" s="81"/>
      <c r="BB58" s="81"/>
      <c r="BC58" s="81"/>
      <c r="BD58" s="81"/>
      <c r="BE58" s="91"/>
      <c r="BF58" s="81" t="s">
        <v>103</v>
      </c>
      <c r="BG58" s="89" t="n">
        <f aca="false" t="array" ref="BG58:BG58">IF(BF58="","",IFERROR(INDEX(Справочники!$B$4:$B$7,MATCH(BF58,Справочники!$A$4:$A$7,0)),""))</f>
        <v>68.5</v>
      </c>
      <c r="BH58" s="90" t="str">
        <f aca="false">IF(N(BN58)&gt;0,ROUND(SUMIF(ЗАКАЗЫ!$F$3:$F$500,$A58,ЗАКАЗЫ!$Y$3:$Y$500)/BN58,0),IF(OR(BE58="",BG58=""),"",ROUND(BE58*BG58*(1+Справочники!$B$10),0)))</f>
        <v/>
      </c>
      <c r="BI58" s="92" t="str">
        <f aca="false">IF(OR(AU58="",BH58="",AU58=0),"",(AU58-BH58)/AU58)</f>
        <v/>
      </c>
      <c r="BJ58" s="81"/>
      <c r="BK58" s="83"/>
      <c r="BL58" s="43" t="str">
        <f aca="false">IFERROR(INDEX(ЗАКАЗЫ!$N$3:$N$500,MATCH($A58,ЗАКАЗЫ!$F$3:$F$500,0)),"")</f>
        <v/>
      </c>
      <c r="BM58" s="8" t="str">
        <f aca="false">IF(BL58="","",IFERROR(VLOOKUP(BL58,'ТН ВЭД'!$A$4:$C$40,3,0),""))</f>
        <v/>
      </c>
      <c r="BN58" s="7" t="str">
        <f aca="false">IF(COUNTIF(ЗАКАЗЫ!$F$3:$F$500,$A58)=0,"",SUMIF(ЗАКАЗЫ!$F$3:$F$500,$A58,ЗАКАЗЫ!$J$3:$J$500))</f>
        <v/>
      </c>
      <c r="BO58" s="7" t="str">
        <f aca="false">IF(BN58="","",SUMIF(ЗАКАЗЫ!$F$3:$F$500,$A58,ЗАКАЗЫ!$AL$3:$AL$500))</f>
        <v/>
      </c>
      <c r="BP58" s="7" t="str">
        <f aca="false">IF(BN58="","",BN58-BO58)</f>
        <v/>
      </c>
      <c r="BQ58" s="55" t="str">
        <f aca="false">IF(BN58="","",IF(BO58&gt;=BN58,"На складе",IF(BO58&gt;0,"Частично","Ждём")))</f>
        <v/>
      </c>
      <c r="BR58" s="43"/>
      <c r="BS58" s="47" t="str">
        <f aca="false">IF(BN58="","",IF(_xlfn.MAXIFS(ЗАКАЗЫ!$AK$3:$AK$500,ЗАКАЗЫ!$F$3:$F$500,$A58)=0,"",_xlfn.MAXIFS(ЗАКАЗЫ!$AK$3:$AK$500,ЗАКАЗЫ!$F$3:$F$500,$A58)))</f>
        <v/>
      </c>
    </row>
    <row r="59" customFormat="false" ht="15.75" hidden="false" customHeight="true" outlineLevel="0" collapsed="false">
      <c r="A59" s="80" t="s">
        <v>2970</v>
      </c>
      <c r="B59" s="81"/>
      <c r="C59" s="81"/>
      <c r="D59" s="81"/>
      <c r="E59" s="83"/>
      <c r="F59" s="81"/>
      <c r="G59" s="83"/>
      <c r="H59" s="83"/>
      <c r="I59" s="84" t="str">
        <f aca="false">IF(E59="","",A59&amp;"_1.jpg")</f>
        <v/>
      </c>
      <c r="J59" s="84" t="str">
        <f aca="false">IF(E59="","",A59&amp;"_2.jpg; "&amp;A59&amp;"_3.jpg")</f>
        <v/>
      </c>
      <c r="K59" s="84" t="str">
        <f aca="false">IF(E59="","",A59&amp;"_schema.jpg")</f>
        <v/>
      </c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 t="s">
        <v>96</v>
      </c>
      <c r="W59" s="81"/>
      <c r="X59" s="81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6" t="str">
        <f aca="false">IF(SUM(Y59:AJ59)=0,"",SUM(Y59:AJ59))</f>
        <v/>
      </c>
      <c r="AL59" s="84" t="str">
        <f aca="false">MID(IF(N(Y59)&gt;0,", "&amp;Y$2,"")&amp;IF(N(Z59)&gt;0,", "&amp;Z$2,"")&amp;IF(N(AA59)&gt;0,", "&amp;AA$2,"")&amp;IF(N(AB59)&gt;0,", "&amp;AB$2,"")&amp;IF(N(AC59)&gt;0,", "&amp;AC$2,"")&amp;IF(N(AD59)&gt;0,", "&amp;AD$2,"")&amp;IF(N(AE59)&gt;0,", "&amp;AE$2,"")&amp;IF(N(AF59)&gt;0,", "&amp;AF$2,"")&amp;IF(N(AG59)&gt;0,", "&amp;AG$2,"")&amp;IF(N(AH59)&gt;0,", "&amp;AH$2,"")&amp;IF(N(AI59)&gt;0,", "&amp;AI$2,"")&amp;IF(N(AJ59)&gt;0,", "&amp;AJ$2,""),3,999)</f>
        <v/>
      </c>
      <c r="AM59" s="87" t="str">
        <f aca="false">IF(E59="","",MID(IF(N(Y59)&gt;0,", "&amp;A59&amp;"-"&amp;Y$2,"")&amp;IF(N(Z59)&gt;0,", "&amp;A59&amp;"-"&amp;Z$2,"")&amp;IF(N(AA59)&gt;0,", "&amp;A59&amp;"-"&amp;AA$2,"")&amp;IF(N(AB59)&gt;0,", "&amp;A59&amp;"-"&amp;AB$2,"")&amp;IF(N(AC59)&gt;0,", "&amp;A59&amp;"-"&amp;AC$2,"")&amp;IF(N(AD59)&gt;0,", "&amp;A59&amp;"-"&amp;AD$2,"")&amp;IF(N(AE59)&gt;0,", "&amp;A59&amp;"-"&amp;AE$2,"")&amp;IF(N(AF59)&gt;0,", "&amp;A59&amp;"-"&amp;AF$2,"")&amp;IF(N(AG59)&gt;0,", "&amp;A59&amp;"-"&amp;AG$2,"")&amp;IF(N(AH59)&gt;0,", "&amp;A59&amp;"-"&amp;AH$2,"")&amp;IF(N(AI59)&gt;0,", "&amp;A59&amp;"-"&amp;AI$2,"")&amp;IF(N(AJ59)&gt;0,", "&amp;A59&amp;"-"&amp;AJ$2,""),3,999))</f>
        <v/>
      </c>
      <c r="AN59" s="81"/>
      <c r="AO59" s="88"/>
      <c r="AP59" s="89" t="str">
        <f aca="false">IF(AO59="","",ROUND(AO59/(1+Справочники!$B$13),2))</f>
        <v/>
      </c>
      <c r="AQ59" s="90" t="str">
        <f aca="false" t="array" ref="AQ59:AQ59">IF(AP59="","",AP59*INDEX(Справочники!$B$4:$B$7,MATCH("RUB",Справочники!$A$4:$A$7,0)))</f>
        <v/>
      </c>
      <c r="AR59" s="90" t="str">
        <f aca="false">IF(AQ59="","",ROUND(AQ59*(1+Справочники!$B$12),0))</f>
        <v/>
      </c>
      <c r="AS59" s="90" t="str">
        <f aca="false">IF(AR59="","",ROUND(AR59*(1-Справочники!$B$11),0))</f>
        <v/>
      </c>
      <c r="AT59" s="88"/>
      <c r="AU59" s="90" t="str">
        <f aca="false">IF(AT59="","",ROUND(AT59/(1+Справочники!$B$12),0))</f>
        <v/>
      </c>
      <c r="AV59" s="90" t="str">
        <f aca="false">IF(AT59="","",ROUND(AT59*(1-Справочники!$B$15),0))</f>
        <v/>
      </c>
      <c r="AW59" s="90" t="str">
        <f aca="false">IF(AT59="","",ROUND(AT59*(1-Справочники!$B$16),0))</f>
        <v/>
      </c>
      <c r="AX59" s="90" t="str">
        <f aca="false">IF(AT59="","",ROUND(AT59*(1-Справочники!$B$17),0))</f>
        <v/>
      </c>
      <c r="AY59" s="90" t="str">
        <f aca="false">IF(AT59="","",ROUND(AT59*(1-Справочники!$B$18),0))</f>
        <v/>
      </c>
      <c r="AZ59" s="90" t="str">
        <f aca="false">IF(AT59="","",ROUND(AT59*(1-Справочники!$B$19),0))</f>
        <v/>
      </c>
      <c r="BA59" s="81"/>
      <c r="BB59" s="81"/>
      <c r="BC59" s="81"/>
      <c r="BD59" s="81"/>
      <c r="BE59" s="91"/>
      <c r="BF59" s="81" t="s">
        <v>103</v>
      </c>
      <c r="BG59" s="89" t="n">
        <f aca="false" t="array" ref="BG59:BG59">IF(BF59="","",IFERROR(INDEX(Справочники!$B$4:$B$7,MATCH(BF59,Справочники!$A$4:$A$7,0)),""))</f>
        <v>68.5</v>
      </c>
      <c r="BH59" s="90" t="str">
        <f aca="false">IF(N(BN59)&gt;0,ROUND(SUMIF(ЗАКАЗЫ!$F$3:$F$500,$A59,ЗАКАЗЫ!$Y$3:$Y$500)/BN59,0),IF(OR(BE59="",BG59=""),"",ROUND(BE59*BG59*(1+Справочники!$B$10),0)))</f>
        <v/>
      </c>
      <c r="BI59" s="92" t="str">
        <f aca="false">IF(OR(AU59="",BH59="",AU59=0),"",(AU59-BH59)/AU59)</f>
        <v/>
      </c>
      <c r="BJ59" s="81"/>
      <c r="BK59" s="83"/>
      <c r="BL59" s="43" t="str">
        <f aca="false">IFERROR(INDEX(ЗАКАЗЫ!$N$3:$N$500,MATCH($A59,ЗАКАЗЫ!$F$3:$F$500,0)),"")</f>
        <v/>
      </c>
      <c r="BM59" s="8" t="str">
        <f aca="false">IF(BL59="","",IFERROR(VLOOKUP(BL59,'ТН ВЭД'!$A$4:$C$40,3,0),""))</f>
        <v/>
      </c>
      <c r="BN59" s="7" t="str">
        <f aca="false">IF(COUNTIF(ЗАКАЗЫ!$F$3:$F$500,$A59)=0,"",SUMIF(ЗАКАЗЫ!$F$3:$F$500,$A59,ЗАКАЗЫ!$J$3:$J$500))</f>
        <v/>
      </c>
      <c r="BO59" s="7" t="str">
        <f aca="false">IF(BN59="","",SUMIF(ЗАКАЗЫ!$F$3:$F$500,$A59,ЗАКАЗЫ!$AL$3:$AL$500))</f>
        <v/>
      </c>
      <c r="BP59" s="7" t="str">
        <f aca="false">IF(BN59="","",BN59-BO59)</f>
        <v/>
      </c>
      <c r="BQ59" s="55" t="str">
        <f aca="false">IF(BN59="","",IF(BO59&gt;=BN59,"На складе",IF(BO59&gt;0,"Частично","Ждём")))</f>
        <v/>
      </c>
      <c r="BR59" s="43"/>
      <c r="BS59" s="47" t="str">
        <f aca="false">IF(BN59="","",IF(_xlfn.MAXIFS(ЗАКАЗЫ!$AK$3:$AK$500,ЗАКАЗЫ!$F$3:$F$500,$A59)=0,"",_xlfn.MAXIFS(ЗАКАЗЫ!$AK$3:$AK$500,ЗАКАЗЫ!$F$3:$F$500,$A59)))</f>
        <v/>
      </c>
    </row>
    <row r="60" customFormat="false" ht="15.75" hidden="false" customHeight="true" outlineLevel="0" collapsed="false">
      <c r="A60" s="80" t="s">
        <v>2971</v>
      </c>
      <c r="B60" s="81"/>
      <c r="C60" s="81"/>
      <c r="D60" s="81"/>
      <c r="E60" s="83"/>
      <c r="F60" s="81"/>
      <c r="G60" s="83"/>
      <c r="H60" s="83"/>
      <c r="I60" s="84" t="str">
        <f aca="false">IF(E60="","",A60&amp;"_1.jpg")</f>
        <v/>
      </c>
      <c r="J60" s="84" t="str">
        <f aca="false">IF(E60="","",A60&amp;"_2.jpg; "&amp;A60&amp;"_3.jpg")</f>
        <v/>
      </c>
      <c r="K60" s="84" t="str">
        <f aca="false">IF(E60="","",A60&amp;"_schema.jpg")</f>
        <v/>
      </c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 t="s">
        <v>96</v>
      </c>
      <c r="W60" s="81"/>
      <c r="X60" s="81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6" t="str">
        <f aca="false">IF(SUM(Y60:AJ60)=0,"",SUM(Y60:AJ60))</f>
        <v/>
      </c>
      <c r="AL60" s="84" t="str">
        <f aca="false">MID(IF(N(Y60)&gt;0,", "&amp;Y$2,"")&amp;IF(N(Z60)&gt;0,", "&amp;Z$2,"")&amp;IF(N(AA60)&gt;0,", "&amp;AA$2,"")&amp;IF(N(AB60)&gt;0,", "&amp;AB$2,"")&amp;IF(N(AC60)&gt;0,", "&amp;AC$2,"")&amp;IF(N(AD60)&gt;0,", "&amp;AD$2,"")&amp;IF(N(AE60)&gt;0,", "&amp;AE$2,"")&amp;IF(N(AF60)&gt;0,", "&amp;AF$2,"")&amp;IF(N(AG60)&gt;0,", "&amp;AG$2,"")&amp;IF(N(AH60)&gt;0,", "&amp;AH$2,"")&amp;IF(N(AI60)&gt;0,", "&amp;AI$2,"")&amp;IF(N(AJ60)&gt;0,", "&amp;AJ$2,""),3,999)</f>
        <v/>
      </c>
      <c r="AM60" s="87" t="str">
        <f aca="false">IF(E60="","",MID(IF(N(Y60)&gt;0,", "&amp;A60&amp;"-"&amp;Y$2,"")&amp;IF(N(Z60)&gt;0,", "&amp;A60&amp;"-"&amp;Z$2,"")&amp;IF(N(AA60)&gt;0,", "&amp;A60&amp;"-"&amp;AA$2,"")&amp;IF(N(AB60)&gt;0,", "&amp;A60&amp;"-"&amp;AB$2,"")&amp;IF(N(AC60)&gt;0,", "&amp;A60&amp;"-"&amp;AC$2,"")&amp;IF(N(AD60)&gt;0,", "&amp;A60&amp;"-"&amp;AD$2,"")&amp;IF(N(AE60)&gt;0,", "&amp;A60&amp;"-"&amp;AE$2,"")&amp;IF(N(AF60)&gt;0,", "&amp;A60&amp;"-"&amp;AF$2,"")&amp;IF(N(AG60)&gt;0,", "&amp;A60&amp;"-"&amp;AG$2,"")&amp;IF(N(AH60)&gt;0,", "&amp;A60&amp;"-"&amp;AH$2,"")&amp;IF(N(AI60)&gt;0,", "&amp;A60&amp;"-"&amp;AI$2,"")&amp;IF(N(AJ60)&gt;0,", "&amp;A60&amp;"-"&amp;AJ$2,""),3,999))</f>
        <v/>
      </c>
      <c r="AN60" s="81"/>
      <c r="AO60" s="88"/>
      <c r="AP60" s="89" t="str">
        <f aca="false">IF(AO60="","",ROUND(AO60/(1+Справочники!$B$13),2))</f>
        <v/>
      </c>
      <c r="AQ60" s="90" t="str">
        <f aca="false" t="array" ref="AQ60:AQ60">IF(AP60="","",AP60*INDEX(Справочники!$B$4:$B$7,MATCH("RUB",Справочники!$A$4:$A$7,0)))</f>
        <v/>
      </c>
      <c r="AR60" s="90" t="str">
        <f aca="false">IF(AQ60="","",ROUND(AQ60*(1+Справочники!$B$12),0))</f>
        <v/>
      </c>
      <c r="AS60" s="90" t="str">
        <f aca="false">IF(AR60="","",ROUND(AR60*(1-Справочники!$B$11),0))</f>
        <v/>
      </c>
      <c r="AT60" s="88"/>
      <c r="AU60" s="90" t="str">
        <f aca="false">IF(AT60="","",ROUND(AT60/(1+Справочники!$B$12),0))</f>
        <v/>
      </c>
      <c r="AV60" s="90" t="str">
        <f aca="false">IF(AT60="","",ROUND(AT60*(1-Справочники!$B$15),0))</f>
        <v/>
      </c>
      <c r="AW60" s="90" t="str">
        <f aca="false">IF(AT60="","",ROUND(AT60*(1-Справочники!$B$16),0))</f>
        <v/>
      </c>
      <c r="AX60" s="90" t="str">
        <f aca="false">IF(AT60="","",ROUND(AT60*(1-Справочники!$B$17),0))</f>
        <v/>
      </c>
      <c r="AY60" s="90" t="str">
        <f aca="false">IF(AT60="","",ROUND(AT60*(1-Справочники!$B$18),0))</f>
        <v/>
      </c>
      <c r="AZ60" s="90" t="str">
        <f aca="false">IF(AT60="","",ROUND(AT60*(1-Справочники!$B$19),0))</f>
        <v/>
      </c>
      <c r="BA60" s="81"/>
      <c r="BB60" s="81"/>
      <c r="BC60" s="81"/>
      <c r="BD60" s="81"/>
      <c r="BE60" s="91"/>
      <c r="BF60" s="81" t="s">
        <v>103</v>
      </c>
      <c r="BG60" s="89" t="n">
        <f aca="false" t="array" ref="BG60:BG60">IF(BF60="","",IFERROR(INDEX(Справочники!$B$4:$B$7,MATCH(BF60,Справочники!$A$4:$A$7,0)),""))</f>
        <v>68.5</v>
      </c>
      <c r="BH60" s="90" t="str">
        <f aca="false">IF(N(BN60)&gt;0,ROUND(SUMIF(ЗАКАЗЫ!$F$3:$F$500,$A60,ЗАКАЗЫ!$Y$3:$Y$500)/BN60,0),IF(OR(BE60="",BG60=""),"",ROUND(BE60*BG60*(1+Справочники!$B$10),0)))</f>
        <v/>
      </c>
      <c r="BI60" s="92" t="str">
        <f aca="false">IF(OR(AU60="",BH60="",AU60=0),"",(AU60-BH60)/AU60)</f>
        <v/>
      </c>
      <c r="BJ60" s="81"/>
      <c r="BK60" s="83"/>
      <c r="BL60" s="43" t="str">
        <f aca="false">IFERROR(INDEX(ЗАКАЗЫ!$N$3:$N$500,MATCH($A60,ЗАКАЗЫ!$F$3:$F$500,0)),"")</f>
        <v/>
      </c>
      <c r="BM60" s="8" t="str">
        <f aca="false">IF(BL60="","",IFERROR(VLOOKUP(BL60,'ТН ВЭД'!$A$4:$C$40,3,0),""))</f>
        <v/>
      </c>
      <c r="BN60" s="7" t="str">
        <f aca="false">IF(COUNTIF(ЗАКАЗЫ!$F$3:$F$500,$A60)=0,"",SUMIF(ЗАКАЗЫ!$F$3:$F$500,$A60,ЗАКАЗЫ!$J$3:$J$500))</f>
        <v/>
      </c>
      <c r="BO60" s="7" t="str">
        <f aca="false">IF(BN60="","",SUMIF(ЗАКАЗЫ!$F$3:$F$500,$A60,ЗАКАЗЫ!$AL$3:$AL$500))</f>
        <v/>
      </c>
      <c r="BP60" s="7" t="str">
        <f aca="false">IF(BN60="","",BN60-BO60)</f>
        <v/>
      </c>
      <c r="BQ60" s="55" t="str">
        <f aca="false">IF(BN60="","",IF(BO60&gt;=BN60,"На складе",IF(BO60&gt;0,"Частично","Ждём")))</f>
        <v/>
      </c>
      <c r="BR60" s="43"/>
      <c r="BS60" s="47" t="str">
        <f aca="false">IF(BN60="","",IF(_xlfn.MAXIFS(ЗАКАЗЫ!$AK$3:$AK$500,ЗАКАЗЫ!$F$3:$F$500,$A60)=0,"",_xlfn.MAXIFS(ЗАКАЗЫ!$AK$3:$AK$500,ЗАКАЗЫ!$F$3:$F$500,$A60)))</f>
        <v/>
      </c>
    </row>
    <row r="61" customFormat="false" ht="15.75" hidden="false" customHeight="true" outlineLevel="0" collapsed="false">
      <c r="A61" s="80" t="s">
        <v>2972</v>
      </c>
      <c r="B61" s="81"/>
      <c r="C61" s="81"/>
      <c r="D61" s="81"/>
      <c r="E61" s="83"/>
      <c r="F61" s="81"/>
      <c r="G61" s="83"/>
      <c r="H61" s="83"/>
      <c r="I61" s="84" t="str">
        <f aca="false">IF(E61="","",A61&amp;"_1.jpg")</f>
        <v/>
      </c>
      <c r="J61" s="84" t="str">
        <f aca="false">IF(E61="","",A61&amp;"_2.jpg; "&amp;A61&amp;"_3.jpg")</f>
        <v/>
      </c>
      <c r="K61" s="84" t="str">
        <f aca="false">IF(E61="","",A61&amp;"_schema.jpg")</f>
        <v/>
      </c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 t="s">
        <v>96</v>
      </c>
      <c r="W61" s="81"/>
      <c r="X61" s="81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6" t="str">
        <f aca="false">IF(SUM(Y61:AJ61)=0,"",SUM(Y61:AJ61))</f>
        <v/>
      </c>
      <c r="AL61" s="84" t="str">
        <f aca="false">MID(IF(N(Y61)&gt;0,", "&amp;Y$2,"")&amp;IF(N(Z61)&gt;0,", "&amp;Z$2,"")&amp;IF(N(AA61)&gt;0,", "&amp;AA$2,"")&amp;IF(N(AB61)&gt;0,", "&amp;AB$2,"")&amp;IF(N(AC61)&gt;0,", "&amp;AC$2,"")&amp;IF(N(AD61)&gt;0,", "&amp;AD$2,"")&amp;IF(N(AE61)&gt;0,", "&amp;AE$2,"")&amp;IF(N(AF61)&gt;0,", "&amp;AF$2,"")&amp;IF(N(AG61)&gt;0,", "&amp;AG$2,"")&amp;IF(N(AH61)&gt;0,", "&amp;AH$2,"")&amp;IF(N(AI61)&gt;0,", "&amp;AI$2,"")&amp;IF(N(AJ61)&gt;0,", "&amp;AJ$2,""),3,999)</f>
        <v/>
      </c>
      <c r="AM61" s="87" t="str">
        <f aca="false">IF(E61="","",MID(IF(N(Y61)&gt;0,", "&amp;A61&amp;"-"&amp;Y$2,"")&amp;IF(N(Z61)&gt;0,", "&amp;A61&amp;"-"&amp;Z$2,"")&amp;IF(N(AA61)&gt;0,", "&amp;A61&amp;"-"&amp;AA$2,"")&amp;IF(N(AB61)&gt;0,", "&amp;A61&amp;"-"&amp;AB$2,"")&amp;IF(N(AC61)&gt;0,", "&amp;A61&amp;"-"&amp;AC$2,"")&amp;IF(N(AD61)&gt;0,", "&amp;A61&amp;"-"&amp;AD$2,"")&amp;IF(N(AE61)&gt;0,", "&amp;A61&amp;"-"&amp;AE$2,"")&amp;IF(N(AF61)&gt;0,", "&amp;A61&amp;"-"&amp;AF$2,"")&amp;IF(N(AG61)&gt;0,", "&amp;A61&amp;"-"&amp;AG$2,"")&amp;IF(N(AH61)&gt;0,", "&amp;A61&amp;"-"&amp;AH$2,"")&amp;IF(N(AI61)&gt;0,", "&amp;A61&amp;"-"&amp;AI$2,"")&amp;IF(N(AJ61)&gt;0,", "&amp;A61&amp;"-"&amp;AJ$2,""),3,999))</f>
        <v/>
      </c>
      <c r="AN61" s="81"/>
      <c r="AO61" s="88"/>
      <c r="AP61" s="89" t="str">
        <f aca="false">IF(AO61="","",ROUND(AO61/(1+Справочники!$B$13),2))</f>
        <v/>
      </c>
      <c r="AQ61" s="90" t="str">
        <f aca="false" t="array" ref="AQ61:AQ61">IF(AP61="","",AP61*INDEX(Справочники!$B$4:$B$7,MATCH("RUB",Справочники!$A$4:$A$7,0)))</f>
        <v/>
      </c>
      <c r="AR61" s="90" t="str">
        <f aca="false">IF(AQ61="","",ROUND(AQ61*(1+Справочники!$B$12),0))</f>
        <v/>
      </c>
      <c r="AS61" s="90" t="str">
        <f aca="false">IF(AR61="","",ROUND(AR61*(1-Справочники!$B$11),0))</f>
        <v/>
      </c>
      <c r="AT61" s="88"/>
      <c r="AU61" s="90" t="str">
        <f aca="false">IF(AT61="","",ROUND(AT61/(1+Справочники!$B$12),0))</f>
        <v/>
      </c>
      <c r="AV61" s="90" t="str">
        <f aca="false">IF(AT61="","",ROUND(AT61*(1-Справочники!$B$15),0))</f>
        <v/>
      </c>
      <c r="AW61" s="90" t="str">
        <f aca="false">IF(AT61="","",ROUND(AT61*(1-Справочники!$B$16),0))</f>
        <v/>
      </c>
      <c r="AX61" s="90" t="str">
        <f aca="false">IF(AT61="","",ROUND(AT61*(1-Справочники!$B$17),0))</f>
        <v/>
      </c>
      <c r="AY61" s="90" t="str">
        <f aca="false">IF(AT61="","",ROUND(AT61*(1-Справочники!$B$18),0))</f>
        <v/>
      </c>
      <c r="AZ61" s="90" t="str">
        <f aca="false">IF(AT61="","",ROUND(AT61*(1-Справочники!$B$19),0))</f>
        <v/>
      </c>
      <c r="BA61" s="81"/>
      <c r="BB61" s="81"/>
      <c r="BC61" s="81"/>
      <c r="BD61" s="81"/>
      <c r="BE61" s="91"/>
      <c r="BF61" s="81" t="s">
        <v>103</v>
      </c>
      <c r="BG61" s="89" t="n">
        <f aca="false" t="array" ref="BG61:BG61">IF(BF61="","",IFERROR(INDEX(Справочники!$B$4:$B$7,MATCH(BF61,Справочники!$A$4:$A$7,0)),""))</f>
        <v>68.5</v>
      </c>
      <c r="BH61" s="90" t="str">
        <f aca="false">IF(N(BN61)&gt;0,ROUND(SUMIF(ЗАКАЗЫ!$F$3:$F$500,$A61,ЗАКАЗЫ!$Y$3:$Y$500)/BN61,0),IF(OR(BE61="",BG61=""),"",ROUND(BE61*BG61*(1+Справочники!$B$10),0)))</f>
        <v/>
      </c>
      <c r="BI61" s="92" t="str">
        <f aca="false">IF(OR(AU61="",BH61="",AU61=0),"",(AU61-BH61)/AU61)</f>
        <v/>
      </c>
      <c r="BJ61" s="81"/>
      <c r="BK61" s="83"/>
      <c r="BL61" s="43" t="str">
        <f aca="false">IFERROR(INDEX(ЗАКАЗЫ!$N$3:$N$500,MATCH($A61,ЗАКАЗЫ!$F$3:$F$500,0)),"")</f>
        <v/>
      </c>
      <c r="BM61" s="8" t="str">
        <f aca="false">IF(BL61="","",IFERROR(VLOOKUP(BL61,'ТН ВЭД'!$A$4:$C$40,3,0),""))</f>
        <v/>
      </c>
      <c r="BN61" s="7" t="str">
        <f aca="false">IF(COUNTIF(ЗАКАЗЫ!$F$3:$F$500,$A61)=0,"",SUMIF(ЗАКАЗЫ!$F$3:$F$500,$A61,ЗАКАЗЫ!$J$3:$J$500))</f>
        <v/>
      </c>
      <c r="BO61" s="7" t="str">
        <f aca="false">IF(BN61="","",SUMIF(ЗАКАЗЫ!$F$3:$F$500,$A61,ЗАКАЗЫ!$AL$3:$AL$500))</f>
        <v/>
      </c>
      <c r="BP61" s="7" t="str">
        <f aca="false">IF(BN61="","",BN61-BO61)</f>
        <v/>
      </c>
      <c r="BQ61" s="55" t="str">
        <f aca="false">IF(BN61="","",IF(BO61&gt;=BN61,"На складе",IF(BO61&gt;0,"Частично","Ждём")))</f>
        <v/>
      </c>
      <c r="BR61" s="43"/>
      <c r="BS61" s="47" t="str">
        <f aca="false">IF(BN61="","",IF(_xlfn.MAXIFS(ЗАКАЗЫ!$AK$3:$AK$500,ЗАКАЗЫ!$F$3:$F$500,$A61)=0,"",_xlfn.MAXIFS(ЗАКАЗЫ!$AK$3:$AK$500,ЗАКАЗЫ!$F$3:$F$500,$A61)))</f>
        <v/>
      </c>
    </row>
    <row r="62" customFormat="false" ht="15.75" hidden="false" customHeight="true" outlineLevel="0" collapsed="false">
      <c r="A62" s="80" t="s">
        <v>2973</v>
      </c>
      <c r="B62" s="81"/>
      <c r="C62" s="81"/>
      <c r="D62" s="81"/>
      <c r="E62" s="83"/>
      <c r="F62" s="81"/>
      <c r="G62" s="83"/>
      <c r="H62" s="83"/>
      <c r="I62" s="84" t="str">
        <f aca="false">IF(E62="","",A62&amp;"_1.jpg")</f>
        <v/>
      </c>
      <c r="J62" s="84" t="str">
        <f aca="false">IF(E62="","",A62&amp;"_2.jpg; "&amp;A62&amp;"_3.jpg")</f>
        <v/>
      </c>
      <c r="K62" s="84" t="str">
        <f aca="false">IF(E62="","",A62&amp;"_schema.jpg")</f>
        <v/>
      </c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 t="s">
        <v>96</v>
      </c>
      <c r="W62" s="81"/>
      <c r="X62" s="81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6" t="str">
        <f aca="false">IF(SUM(Y62:AJ62)=0,"",SUM(Y62:AJ62))</f>
        <v/>
      </c>
      <c r="AL62" s="84" t="str">
        <f aca="false">MID(IF(N(Y62)&gt;0,", "&amp;Y$2,"")&amp;IF(N(Z62)&gt;0,", "&amp;Z$2,"")&amp;IF(N(AA62)&gt;0,", "&amp;AA$2,"")&amp;IF(N(AB62)&gt;0,", "&amp;AB$2,"")&amp;IF(N(AC62)&gt;0,", "&amp;AC$2,"")&amp;IF(N(AD62)&gt;0,", "&amp;AD$2,"")&amp;IF(N(AE62)&gt;0,", "&amp;AE$2,"")&amp;IF(N(AF62)&gt;0,", "&amp;AF$2,"")&amp;IF(N(AG62)&gt;0,", "&amp;AG$2,"")&amp;IF(N(AH62)&gt;0,", "&amp;AH$2,"")&amp;IF(N(AI62)&gt;0,", "&amp;AI$2,"")&amp;IF(N(AJ62)&gt;0,", "&amp;AJ$2,""),3,999)</f>
        <v/>
      </c>
      <c r="AM62" s="87" t="str">
        <f aca="false">IF(E62="","",MID(IF(N(Y62)&gt;0,", "&amp;A62&amp;"-"&amp;Y$2,"")&amp;IF(N(Z62)&gt;0,", "&amp;A62&amp;"-"&amp;Z$2,"")&amp;IF(N(AA62)&gt;0,", "&amp;A62&amp;"-"&amp;AA$2,"")&amp;IF(N(AB62)&gt;0,", "&amp;A62&amp;"-"&amp;AB$2,"")&amp;IF(N(AC62)&gt;0,", "&amp;A62&amp;"-"&amp;AC$2,"")&amp;IF(N(AD62)&gt;0,", "&amp;A62&amp;"-"&amp;AD$2,"")&amp;IF(N(AE62)&gt;0,", "&amp;A62&amp;"-"&amp;AE$2,"")&amp;IF(N(AF62)&gt;0,", "&amp;A62&amp;"-"&amp;AF$2,"")&amp;IF(N(AG62)&gt;0,", "&amp;A62&amp;"-"&amp;AG$2,"")&amp;IF(N(AH62)&gt;0,", "&amp;A62&amp;"-"&amp;AH$2,"")&amp;IF(N(AI62)&gt;0,", "&amp;A62&amp;"-"&amp;AI$2,"")&amp;IF(N(AJ62)&gt;0,", "&amp;A62&amp;"-"&amp;AJ$2,""),3,999))</f>
        <v/>
      </c>
      <c r="AN62" s="81"/>
      <c r="AO62" s="88"/>
      <c r="AP62" s="89" t="str">
        <f aca="false">IF(AO62="","",ROUND(AO62/(1+Справочники!$B$13),2))</f>
        <v/>
      </c>
      <c r="AQ62" s="90" t="str">
        <f aca="false" t="array" ref="AQ62:AQ62">IF(AP62="","",AP62*INDEX(Справочники!$B$4:$B$7,MATCH("RUB",Справочники!$A$4:$A$7,0)))</f>
        <v/>
      </c>
      <c r="AR62" s="90" t="str">
        <f aca="false">IF(AQ62="","",ROUND(AQ62*(1+Справочники!$B$12),0))</f>
        <v/>
      </c>
      <c r="AS62" s="90" t="str">
        <f aca="false">IF(AR62="","",ROUND(AR62*(1-Справочники!$B$11),0))</f>
        <v/>
      </c>
      <c r="AT62" s="88"/>
      <c r="AU62" s="90" t="str">
        <f aca="false">IF(AT62="","",ROUND(AT62/(1+Справочники!$B$12),0))</f>
        <v/>
      </c>
      <c r="AV62" s="90" t="str">
        <f aca="false">IF(AT62="","",ROUND(AT62*(1-Справочники!$B$15),0))</f>
        <v/>
      </c>
      <c r="AW62" s="90" t="str">
        <f aca="false">IF(AT62="","",ROUND(AT62*(1-Справочники!$B$16),0))</f>
        <v/>
      </c>
      <c r="AX62" s="90" t="str">
        <f aca="false">IF(AT62="","",ROUND(AT62*(1-Справочники!$B$17),0))</f>
        <v/>
      </c>
      <c r="AY62" s="90" t="str">
        <f aca="false">IF(AT62="","",ROUND(AT62*(1-Справочники!$B$18),0))</f>
        <v/>
      </c>
      <c r="AZ62" s="90" t="str">
        <f aca="false">IF(AT62="","",ROUND(AT62*(1-Справочники!$B$19),0))</f>
        <v/>
      </c>
      <c r="BA62" s="81"/>
      <c r="BB62" s="81"/>
      <c r="BC62" s="81"/>
      <c r="BD62" s="81"/>
      <c r="BE62" s="91"/>
      <c r="BF62" s="81" t="s">
        <v>103</v>
      </c>
      <c r="BG62" s="89" t="n">
        <f aca="false" t="array" ref="BG62:BG62">IF(BF62="","",IFERROR(INDEX(Справочники!$B$4:$B$7,MATCH(BF62,Справочники!$A$4:$A$7,0)),""))</f>
        <v>68.5</v>
      </c>
      <c r="BH62" s="90" t="str">
        <f aca="false">IF(N(BN62)&gt;0,ROUND(SUMIF(ЗАКАЗЫ!$F$3:$F$500,$A62,ЗАКАЗЫ!$Y$3:$Y$500)/BN62,0),IF(OR(BE62="",BG62=""),"",ROUND(BE62*BG62*(1+Справочники!$B$10),0)))</f>
        <v/>
      </c>
      <c r="BI62" s="92" t="str">
        <f aca="false">IF(OR(AU62="",BH62="",AU62=0),"",(AU62-BH62)/AU62)</f>
        <v/>
      </c>
      <c r="BJ62" s="81"/>
      <c r="BK62" s="83"/>
      <c r="BL62" s="43" t="str">
        <f aca="false">IFERROR(INDEX(ЗАКАЗЫ!$N$3:$N$500,MATCH($A62,ЗАКАЗЫ!$F$3:$F$500,0)),"")</f>
        <v/>
      </c>
      <c r="BM62" s="8" t="str">
        <f aca="false">IF(BL62="","",IFERROR(VLOOKUP(BL62,'ТН ВЭД'!$A$4:$C$40,3,0),""))</f>
        <v/>
      </c>
      <c r="BN62" s="7" t="str">
        <f aca="false">IF(COUNTIF(ЗАКАЗЫ!$F$3:$F$500,$A62)=0,"",SUMIF(ЗАКАЗЫ!$F$3:$F$500,$A62,ЗАКАЗЫ!$J$3:$J$500))</f>
        <v/>
      </c>
      <c r="BO62" s="7" t="str">
        <f aca="false">IF(BN62="","",SUMIF(ЗАКАЗЫ!$F$3:$F$500,$A62,ЗАКАЗЫ!$AL$3:$AL$500))</f>
        <v/>
      </c>
      <c r="BP62" s="7" t="str">
        <f aca="false">IF(BN62="","",BN62-BO62)</f>
        <v/>
      </c>
      <c r="BQ62" s="55" t="str">
        <f aca="false">IF(BN62="","",IF(BO62&gt;=BN62,"На складе",IF(BO62&gt;0,"Частично","Ждём")))</f>
        <v/>
      </c>
      <c r="BR62" s="43"/>
      <c r="BS62" s="47" t="str">
        <f aca="false">IF(BN62="","",IF(_xlfn.MAXIFS(ЗАКАЗЫ!$AK$3:$AK$500,ЗАКАЗЫ!$F$3:$F$500,$A62)=0,"",_xlfn.MAXIFS(ЗАКАЗЫ!$AK$3:$AK$500,ЗАКАЗЫ!$F$3:$F$500,$A62)))</f>
        <v/>
      </c>
    </row>
    <row r="63" customFormat="false" ht="15.75" hidden="false" customHeight="true" outlineLevel="0" collapsed="false">
      <c r="A63" s="80" t="s">
        <v>2974</v>
      </c>
      <c r="B63" s="81"/>
      <c r="C63" s="81"/>
      <c r="D63" s="81"/>
      <c r="E63" s="83"/>
      <c r="F63" s="81"/>
      <c r="G63" s="83"/>
      <c r="H63" s="83"/>
      <c r="I63" s="84" t="str">
        <f aca="false">IF(E63="","",A63&amp;"_1.jpg")</f>
        <v/>
      </c>
      <c r="J63" s="84" t="str">
        <f aca="false">IF(E63="","",A63&amp;"_2.jpg; "&amp;A63&amp;"_3.jpg")</f>
        <v/>
      </c>
      <c r="K63" s="84" t="str">
        <f aca="false">IF(E63="","",A63&amp;"_schema.jpg")</f>
        <v/>
      </c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 t="s">
        <v>96</v>
      </c>
      <c r="W63" s="81"/>
      <c r="X63" s="81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6" t="str">
        <f aca="false">IF(SUM(Y63:AJ63)=0,"",SUM(Y63:AJ63))</f>
        <v/>
      </c>
      <c r="AL63" s="84" t="str">
        <f aca="false">MID(IF(N(Y63)&gt;0,", "&amp;Y$2,"")&amp;IF(N(Z63)&gt;0,", "&amp;Z$2,"")&amp;IF(N(AA63)&gt;0,", "&amp;AA$2,"")&amp;IF(N(AB63)&gt;0,", "&amp;AB$2,"")&amp;IF(N(AC63)&gt;0,", "&amp;AC$2,"")&amp;IF(N(AD63)&gt;0,", "&amp;AD$2,"")&amp;IF(N(AE63)&gt;0,", "&amp;AE$2,"")&amp;IF(N(AF63)&gt;0,", "&amp;AF$2,"")&amp;IF(N(AG63)&gt;0,", "&amp;AG$2,"")&amp;IF(N(AH63)&gt;0,", "&amp;AH$2,"")&amp;IF(N(AI63)&gt;0,", "&amp;AI$2,"")&amp;IF(N(AJ63)&gt;0,", "&amp;AJ$2,""),3,999)</f>
        <v/>
      </c>
      <c r="AM63" s="87" t="str">
        <f aca="false">IF(E63="","",MID(IF(N(Y63)&gt;0,", "&amp;A63&amp;"-"&amp;Y$2,"")&amp;IF(N(Z63)&gt;0,", "&amp;A63&amp;"-"&amp;Z$2,"")&amp;IF(N(AA63)&gt;0,", "&amp;A63&amp;"-"&amp;AA$2,"")&amp;IF(N(AB63)&gt;0,", "&amp;A63&amp;"-"&amp;AB$2,"")&amp;IF(N(AC63)&gt;0,", "&amp;A63&amp;"-"&amp;AC$2,"")&amp;IF(N(AD63)&gt;0,", "&amp;A63&amp;"-"&amp;AD$2,"")&amp;IF(N(AE63)&gt;0,", "&amp;A63&amp;"-"&amp;AE$2,"")&amp;IF(N(AF63)&gt;0,", "&amp;A63&amp;"-"&amp;AF$2,"")&amp;IF(N(AG63)&gt;0,", "&amp;A63&amp;"-"&amp;AG$2,"")&amp;IF(N(AH63)&gt;0,", "&amp;A63&amp;"-"&amp;AH$2,"")&amp;IF(N(AI63)&gt;0,", "&amp;A63&amp;"-"&amp;AI$2,"")&amp;IF(N(AJ63)&gt;0,", "&amp;A63&amp;"-"&amp;AJ$2,""),3,999))</f>
        <v/>
      </c>
      <c r="AN63" s="81"/>
      <c r="AO63" s="88"/>
      <c r="AP63" s="89" t="str">
        <f aca="false">IF(AO63="","",ROUND(AO63/(1+Справочники!$B$13),2))</f>
        <v/>
      </c>
      <c r="AQ63" s="90" t="str">
        <f aca="false" t="array" ref="AQ63:AQ63">IF(AP63="","",AP63*INDEX(Справочники!$B$4:$B$7,MATCH("RUB",Справочники!$A$4:$A$7,0)))</f>
        <v/>
      </c>
      <c r="AR63" s="90" t="str">
        <f aca="false">IF(AQ63="","",ROUND(AQ63*(1+Справочники!$B$12),0))</f>
        <v/>
      </c>
      <c r="AS63" s="90" t="str">
        <f aca="false">IF(AR63="","",ROUND(AR63*(1-Справочники!$B$11),0))</f>
        <v/>
      </c>
      <c r="AT63" s="88"/>
      <c r="AU63" s="90" t="str">
        <f aca="false">IF(AT63="","",ROUND(AT63/(1+Справочники!$B$12),0))</f>
        <v/>
      </c>
      <c r="AV63" s="90" t="str">
        <f aca="false">IF(AT63="","",ROUND(AT63*(1-Справочники!$B$15),0))</f>
        <v/>
      </c>
      <c r="AW63" s="90" t="str">
        <f aca="false">IF(AT63="","",ROUND(AT63*(1-Справочники!$B$16),0))</f>
        <v/>
      </c>
      <c r="AX63" s="90" t="str">
        <f aca="false">IF(AT63="","",ROUND(AT63*(1-Справочники!$B$17),0))</f>
        <v/>
      </c>
      <c r="AY63" s="90" t="str">
        <f aca="false">IF(AT63="","",ROUND(AT63*(1-Справочники!$B$18),0))</f>
        <v/>
      </c>
      <c r="AZ63" s="90" t="str">
        <f aca="false">IF(AT63="","",ROUND(AT63*(1-Справочники!$B$19),0))</f>
        <v/>
      </c>
      <c r="BA63" s="81"/>
      <c r="BB63" s="81"/>
      <c r="BC63" s="81"/>
      <c r="BD63" s="81"/>
      <c r="BE63" s="91"/>
      <c r="BF63" s="81" t="s">
        <v>103</v>
      </c>
      <c r="BG63" s="89" t="n">
        <f aca="false" t="array" ref="BG63:BG63">IF(BF63="","",IFERROR(INDEX(Справочники!$B$4:$B$7,MATCH(BF63,Справочники!$A$4:$A$7,0)),""))</f>
        <v>68.5</v>
      </c>
      <c r="BH63" s="90" t="str">
        <f aca="false">IF(N(BN63)&gt;0,ROUND(SUMIF(ЗАКАЗЫ!$F$3:$F$500,$A63,ЗАКАЗЫ!$Y$3:$Y$500)/BN63,0),IF(OR(BE63="",BG63=""),"",ROUND(BE63*BG63*(1+Справочники!$B$10),0)))</f>
        <v/>
      </c>
      <c r="BI63" s="92" t="str">
        <f aca="false">IF(OR(AU63="",BH63="",AU63=0),"",(AU63-BH63)/AU63)</f>
        <v/>
      </c>
      <c r="BJ63" s="81"/>
      <c r="BK63" s="83"/>
      <c r="BL63" s="43" t="str">
        <f aca="false">IFERROR(INDEX(ЗАКАЗЫ!$N$3:$N$500,MATCH($A63,ЗАКАЗЫ!$F$3:$F$500,0)),"")</f>
        <v/>
      </c>
      <c r="BM63" s="8" t="str">
        <f aca="false">IF(BL63="","",IFERROR(VLOOKUP(BL63,'ТН ВЭД'!$A$4:$C$40,3,0),""))</f>
        <v/>
      </c>
      <c r="BN63" s="7" t="str">
        <f aca="false">IF(COUNTIF(ЗАКАЗЫ!$F$3:$F$500,$A63)=0,"",SUMIF(ЗАКАЗЫ!$F$3:$F$500,$A63,ЗАКАЗЫ!$J$3:$J$500))</f>
        <v/>
      </c>
      <c r="BO63" s="7" t="str">
        <f aca="false">IF(BN63="","",SUMIF(ЗАКАЗЫ!$F$3:$F$500,$A63,ЗАКАЗЫ!$AL$3:$AL$500))</f>
        <v/>
      </c>
      <c r="BP63" s="7" t="str">
        <f aca="false">IF(BN63="","",BN63-BO63)</f>
        <v/>
      </c>
      <c r="BQ63" s="55" t="str">
        <f aca="false">IF(BN63="","",IF(BO63&gt;=BN63,"На складе",IF(BO63&gt;0,"Частично","Ждём")))</f>
        <v/>
      </c>
      <c r="BR63" s="43"/>
      <c r="BS63" s="47" t="str">
        <f aca="false">IF(BN63="","",IF(_xlfn.MAXIFS(ЗАКАЗЫ!$AK$3:$AK$500,ЗАКАЗЫ!$F$3:$F$500,$A63)=0,"",_xlfn.MAXIFS(ЗАКАЗЫ!$AK$3:$AK$500,ЗАКАЗЫ!$F$3:$F$500,$A63)))</f>
        <v/>
      </c>
    </row>
    <row r="64" customFormat="false" ht="15.75" hidden="false" customHeight="true" outlineLevel="0" collapsed="false">
      <c r="A64" s="80" t="s">
        <v>2975</v>
      </c>
      <c r="B64" s="81"/>
      <c r="C64" s="81"/>
      <c r="D64" s="81"/>
      <c r="E64" s="83"/>
      <c r="F64" s="81"/>
      <c r="G64" s="83"/>
      <c r="H64" s="83"/>
      <c r="I64" s="84" t="str">
        <f aca="false">IF(E64="","",A64&amp;"_1.jpg")</f>
        <v/>
      </c>
      <c r="J64" s="84" t="str">
        <f aca="false">IF(E64="","",A64&amp;"_2.jpg; "&amp;A64&amp;"_3.jpg")</f>
        <v/>
      </c>
      <c r="K64" s="84" t="str">
        <f aca="false">IF(E64="","",A64&amp;"_schema.jpg")</f>
        <v/>
      </c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 t="s">
        <v>96</v>
      </c>
      <c r="W64" s="81"/>
      <c r="X64" s="81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6" t="str">
        <f aca="false">IF(SUM(Y64:AJ64)=0,"",SUM(Y64:AJ64))</f>
        <v/>
      </c>
      <c r="AL64" s="84" t="str">
        <f aca="false">MID(IF(N(Y64)&gt;0,", "&amp;Y$2,"")&amp;IF(N(Z64)&gt;0,", "&amp;Z$2,"")&amp;IF(N(AA64)&gt;0,", "&amp;AA$2,"")&amp;IF(N(AB64)&gt;0,", "&amp;AB$2,"")&amp;IF(N(AC64)&gt;0,", "&amp;AC$2,"")&amp;IF(N(AD64)&gt;0,", "&amp;AD$2,"")&amp;IF(N(AE64)&gt;0,", "&amp;AE$2,"")&amp;IF(N(AF64)&gt;0,", "&amp;AF$2,"")&amp;IF(N(AG64)&gt;0,", "&amp;AG$2,"")&amp;IF(N(AH64)&gt;0,", "&amp;AH$2,"")&amp;IF(N(AI64)&gt;0,", "&amp;AI$2,"")&amp;IF(N(AJ64)&gt;0,", "&amp;AJ$2,""),3,999)</f>
        <v/>
      </c>
      <c r="AM64" s="87" t="str">
        <f aca="false">IF(E64="","",MID(IF(N(Y64)&gt;0,", "&amp;A64&amp;"-"&amp;Y$2,"")&amp;IF(N(Z64)&gt;0,", "&amp;A64&amp;"-"&amp;Z$2,"")&amp;IF(N(AA64)&gt;0,", "&amp;A64&amp;"-"&amp;AA$2,"")&amp;IF(N(AB64)&gt;0,", "&amp;A64&amp;"-"&amp;AB$2,"")&amp;IF(N(AC64)&gt;0,", "&amp;A64&amp;"-"&amp;AC$2,"")&amp;IF(N(AD64)&gt;0,", "&amp;A64&amp;"-"&amp;AD$2,"")&amp;IF(N(AE64)&gt;0,", "&amp;A64&amp;"-"&amp;AE$2,"")&amp;IF(N(AF64)&gt;0,", "&amp;A64&amp;"-"&amp;AF$2,"")&amp;IF(N(AG64)&gt;0,", "&amp;A64&amp;"-"&amp;AG$2,"")&amp;IF(N(AH64)&gt;0,", "&amp;A64&amp;"-"&amp;AH$2,"")&amp;IF(N(AI64)&gt;0,", "&amp;A64&amp;"-"&amp;AI$2,"")&amp;IF(N(AJ64)&gt;0,", "&amp;A64&amp;"-"&amp;AJ$2,""),3,999))</f>
        <v/>
      </c>
      <c r="AN64" s="81"/>
      <c r="AO64" s="88"/>
      <c r="AP64" s="89" t="str">
        <f aca="false">IF(AO64="","",ROUND(AO64/(1+Справочники!$B$13),2))</f>
        <v/>
      </c>
      <c r="AQ64" s="90" t="str">
        <f aca="false" t="array" ref="AQ64:AQ64">IF(AP64="","",AP64*INDEX(Справочники!$B$4:$B$7,MATCH("RUB",Справочники!$A$4:$A$7,0)))</f>
        <v/>
      </c>
      <c r="AR64" s="90" t="str">
        <f aca="false">IF(AQ64="","",ROUND(AQ64*(1+Справочники!$B$12),0))</f>
        <v/>
      </c>
      <c r="AS64" s="90" t="str">
        <f aca="false">IF(AR64="","",ROUND(AR64*(1-Справочники!$B$11),0))</f>
        <v/>
      </c>
      <c r="AT64" s="88"/>
      <c r="AU64" s="90" t="str">
        <f aca="false">IF(AT64="","",ROUND(AT64/(1+Справочники!$B$12),0))</f>
        <v/>
      </c>
      <c r="AV64" s="90" t="str">
        <f aca="false">IF(AT64="","",ROUND(AT64*(1-Справочники!$B$15),0))</f>
        <v/>
      </c>
      <c r="AW64" s="90" t="str">
        <f aca="false">IF(AT64="","",ROUND(AT64*(1-Справочники!$B$16),0))</f>
        <v/>
      </c>
      <c r="AX64" s="90" t="str">
        <f aca="false">IF(AT64="","",ROUND(AT64*(1-Справочники!$B$17),0))</f>
        <v/>
      </c>
      <c r="AY64" s="90" t="str">
        <f aca="false">IF(AT64="","",ROUND(AT64*(1-Справочники!$B$18),0))</f>
        <v/>
      </c>
      <c r="AZ64" s="90" t="str">
        <f aca="false">IF(AT64="","",ROUND(AT64*(1-Справочники!$B$19),0))</f>
        <v/>
      </c>
      <c r="BA64" s="81"/>
      <c r="BB64" s="81"/>
      <c r="BC64" s="81"/>
      <c r="BD64" s="81"/>
      <c r="BE64" s="91"/>
      <c r="BF64" s="81" t="s">
        <v>103</v>
      </c>
      <c r="BG64" s="89" t="n">
        <f aca="false" t="array" ref="BG64:BG64">IF(BF64="","",IFERROR(INDEX(Справочники!$B$4:$B$7,MATCH(BF64,Справочники!$A$4:$A$7,0)),""))</f>
        <v>68.5</v>
      </c>
      <c r="BH64" s="90" t="str">
        <f aca="false">IF(N(BN64)&gt;0,ROUND(SUMIF(ЗАКАЗЫ!$F$3:$F$500,$A64,ЗАКАЗЫ!$Y$3:$Y$500)/BN64,0),IF(OR(BE64="",BG64=""),"",ROUND(BE64*BG64*(1+Справочники!$B$10),0)))</f>
        <v/>
      </c>
      <c r="BI64" s="92" t="str">
        <f aca="false">IF(OR(AU64="",BH64="",AU64=0),"",(AU64-BH64)/AU64)</f>
        <v/>
      </c>
      <c r="BJ64" s="81"/>
      <c r="BK64" s="83"/>
      <c r="BL64" s="43" t="str">
        <f aca="false">IFERROR(INDEX(ЗАКАЗЫ!$N$3:$N$500,MATCH($A64,ЗАКАЗЫ!$F$3:$F$500,0)),"")</f>
        <v/>
      </c>
      <c r="BM64" s="8" t="str">
        <f aca="false">IF(BL64="","",IFERROR(VLOOKUP(BL64,'ТН ВЭД'!$A$4:$C$40,3,0),""))</f>
        <v/>
      </c>
      <c r="BN64" s="7" t="str">
        <f aca="false">IF(COUNTIF(ЗАКАЗЫ!$F$3:$F$500,$A64)=0,"",SUMIF(ЗАКАЗЫ!$F$3:$F$500,$A64,ЗАКАЗЫ!$J$3:$J$500))</f>
        <v/>
      </c>
      <c r="BO64" s="7" t="str">
        <f aca="false">IF(BN64="","",SUMIF(ЗАКАЗЫ!$F$3:$F$500,$A64,ЗАКАЗЫ!$AL$3:$AL$500))</f>
        <v/>
      </c>
      <c r="BP64" s="7" t="str">
        <f aca="false">IF(BN64="","",BN64-BO64)</f>
        <v/>
      </c>
      <c r="BQ64" s="55" t="str">
        <f aca="false">IF(BN64="","",IF(BO64&gt;=BN64,"На складе",IF(BO64&gt;0,"Частично","Ждём")))</f>
        <v/>
      </c>
      <c r="BR64" s="43"/>
      <c r="BS64" s="47" t="str">
        <f aca="false">IF(BN64="","",IF(_xlfn.MAXIFS(ЗАКАЗЫ!$AK$3:$AK$500,ЗАКАЗЫ!$F$3:$F$500,$A64)=0,"",_xlfn.MAXIFS(ЗАКАЗЫ!$AK$3:$AK$500,ЗАКАЗЫ!$F$3:$F$500,$A64)))</f>
        <v/>
      </c>
    </row>
    <row r="65" customFormat="false" ht="15.75" hidden="false" customHeight="true" outlineLevel="0" collapsed="false">
      <c r="A65" s="80" t="s">
        <v>2976</v>
      </c>
      <c r="B65" s="81"/>
      <c r="C65" s="81"/>
      <c r="D65" s="81"/>
      <c r="E65" s="83"/>
      <c r="F65" s="81"/>
      <c r="G65" s="83"/>
      <c r="H65" s="83"/>
      <c r="I65" s="84" t="str">
        <f aca="false">IF(E65="","",A65&amp;"_1.jpg")</f>
        <v/>
      </c>
      <c r="J65" s="84" t="str">
        <f aca="false">IF(E65="","",A65&amp;"_2.jpg; "&amp;A65&amp;"_3.jpg")</f>
        <v/>
      </c>
      <c r="K65" s="84" t="str">
        <f aca="false">IF(E65="","",A65&amp;"_schema.jpg")</f>
        <v/>
      </c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 t="s">
        <v>96</v>
      </c>
      <c r="W65" s="81"/>
      <c r="X65" s="81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6" t="str">
        <f aca="false">IF(SUM(Y65:AJ65)=0,"",SUM(Y65:AJ65))</f>
        <v/>
      </c>
      <c r="AL65" s="84" t="str">
        <f aca="false">MID(IF(N(Y65)&gt;0,", "&amp;Y$2,"")&amp;IF(N(Z65)&gt;0,", "&amp;Z$2,"")&amp;IF(N(AA65)&gt;0,", "&amp;AA$2,"")&amp;IF(N(AB65)&gt;0,", "&amp;AB$2,"")&amp;IF(N(AC65)&gt;0,", "&amp;AC$2,"")&amp;IF(N(AD65)&gt;0,", "&amp;AD$2,"")&amp;IF(N(AE65)&gt;0,", "&amp;AE$2,"")&amp;IF(N(AF65)&gt;0,", "&amp;AF$2,"")&amp;IF(N(AG65)&gt;0,", "&amp;AG$2,"")&amp;IF(N(AH65)&gt;0,", "&amp;AH$2,"")&amp;IF(N(AI65)&gt;0,", "&amp;AI$2,"")&amp;IF(N(AJ65)&gt;0,", "&amp;AJ$2,""),3,999)</f>
        <v/>
      </c>
      <c r="AM65" s="87" t="str">
        <f aca="false">IF(E65="","",MID(IF(N(Y65)&gt;0,", "&amp;A65&amp;"-"&amp;Y$2,"")&amp;IF(N(Z65)&gt;0,", "&amp;A65&amp;"-"&amp;Z$2,"")&amp;IF(N(AA65)&gt;0,", "&amp;A65&amp;"-"&amp;AA$2,"")&amp;IF(N(AB65)&gt;0,", "&amp;A65&amp;"-"&amp;AB$2,"")&amp;IF(N(AC65)&gt;0,", "&amp;A65&amp;"-"&amp;AC$2,"")&amp;IF(N(AD65)&gt;0,", "&amp;A65&amp;"-"&amp;AD$2,"")&amp;IF(N(AE65)&gt;0,", "&amp;A65&amp;"-"&amp;AE$2,"")&amp;IF(N(AF65)&gt;0,", "&amp;A65&amp;"-"&amp;AF$2,"")&amp;IF(N(AG65)&gt;0,", "&amp;A65&amp;"-"&amp;AG$2,"")&amp;IF(N(AH65)&gt;0,", "&amp;A65&amp;"-"&amp;AH$2,"")&amp;IF(N(AI65)&gt;0,", "&amp;A65&amp;"-"&amp;AI$2,"")&amp;IF(N(AJ65)&gt;0,", "&amp;A65&amp;"-"&amp;AJ$2,""),3,999))</f>
        <v/>
      </c>
      <c r="AN65" s="81"/>
      <c r="AO65" s="88"/>
      <c r="AP65" s="89" t="str">
        <f aca="false">IF(AO65="","",ROUND(AO65/(1+Справочники!$B$13),2))</f>
        <v/>
      </c>
      <c r="AQ65" s="90" t="str">
        <f aca="false" t="array" ref="AQ65:AQ65">IF(AP65="","",AP65*INDEX(Справочники!$B$4:$B$7,MATCH("RUB",Справочники!$A$4:$A$7,0)))</f>
        <v/>
      </c>
      <c r="AR65" s="90" t="str">
        <f aca="false">IF(AQ65="","",ROUND(AQ65*(1+Справочники!$B$12),0))</f>
        <v/>
      </c>
      <c r="AS65" s="90" t="str">
        <f aca="false">IF(AR65="","",ROUND(AR65*(1-Справочники!$B$11),0))</f>
        <v/>
      </c>
      <c r="AT65" s="88"/>
      <c r="AU65" s="90" t="str">
        <f aca="false">IF(AT65="","",ROUND(AT65/(1+Справочники!$B$12),0))</f>
        <v/>
      </c>
      <c r="AV65" s="90" t="str">
        <f aca="false">IF(AT65="","",ROUND(AT65*(1-Справочники!$B$15),0))</f>
        <v/>
      </c>
      <c r="AW65" s="90" t="str">
        <f aca="false">IF(AT65="","",ROUND(AT65*(1-Справочники!$B$16),0))</f>
        <v/>
      </c>
      <c r="AX65" s="90" t="str">
        <f aca="false">IF(AT65="","",ROUND(AT65*(1-Справочники!$B$17),0))</f>
        <v/>
      </c>
      <c r="AY65" s="90" t="str">
        <f aca="false">IF(AT65="","",ROUND(AT65*(1-Справочники!$B$18),0))</f>
        <v/>
      </c>
      <c r="AZ65" s="90" t="str">
        <f aca="false">IF(AT65="","",ROUND(AT65*(1-Справочники!$B$19),0))</f>
        <v/>
      </c>
      <c r="BA65" s="81"/>
      <c r="BB65" s="81"/>
      <c r="BC65" s="81"/>
      <c r="BD65" s="81"/>
      <c r="BE65" s="91"/>
      <c r="BF65" s="81" t="s">
        <v>103</v>
      </c>
      <c r="BG65" s="89" t="n">
        <f aca="false" t="array" ref="BG65:BG65">IF(BF65="","",IFERROR(INDEX(Справочники!$B$4:$B$7,MATCH(BF65,Справочники!$A$4:$A$7,0)),""))</f>
        <v>68.5</v>
      </c>
      <c r="BH65" s="90" t="str">
        <f aca="false">IF(N(BN65)&gt;0,ROUND(SUMIF(ЗАКАЗЫ!$F$3:$F$500,$A65,ЗАКАЗЫ!$Y$3:$Y$500)/BN65,0),IF(OR(BE65="",BG65=""),"",ROUND(BE65*BG65*(1+Справочники!$B$10),0)))</f>
        <v/>
      </c>
      <c r="BI65" s="92" t="str">
        <f aca="false">IF(OR(AU65="",BH65="",AU65=0),"",(AU65-BH65)/AU65)</f>
        <v/>
      </c>
      <c r="BJ65" s="81"/>
      <c r="BK65" s="83"/>
      <c r="BL65" s="43" t="str">
        <f aca="false">IFERROR(INDEX(ЗАКАЗЫ!$N$3:$N$500,MATCH($A65,ЗАКАЗЫ!$F$3:$F$500,0)),"")</f>
        <v/>
      </c>
      <c r="BM65" s="8" t="str">
        <f aca="false">IF(BL65="","",IFERROR(VLOOKUP(BL65,'ТН ВЭД'!$A$4:$C$40,3,0),""))</f>
        <v/>
      </c>
      <c r="BN65" s="7" t="str">
        <f aca="false">IF(COUNTIF(ЗАКАЗЫ!$F$3:$F$500,$A65)=0,"",SUMIF(ЗАКАЗЫ!$F$3:$F$500,$A65,ЗАКАЗЫ!$J$3:$J$500))</f>
        <v/>
      </c>
      <c r="BO65" s="7" t="str">
        <f aca="false">IF(BN65="","",SUMIF(ЗАКАЗЫ!$F$3:$F$500,$A65,ЗАКАЗЫ!$AL$3:$AL$500))</f>
        <v/>
      </c>
      <c r="BP65" s="7" t="str">
        <f aca="false">IF(BN65="","",BN65-BO65)</f>
        <v/>
      </c>
      <c r="BQ65" s="55" t="str">
        <f aca="false">IF(BN65="","",IF(BO65&gt;=BN65,"На складе",IF(BO65&gt;0,"Частично","Ждём")))</f>
        <v/>
      </c>
      <c r="BR65" s="43"/>
      <c r="BS65" s="47" t="str">
        <f aca="false">IF(BN65="","",IF(_xlfn.MAXIFS(ЗАКАЗЫ!$AK$3:$AK$500,ЗАКАЗЫ!$F$3:$F$500,$A65)=0,"",_xlfn.MAXIFS(ЗАКАЗЫ!$AK$3:$AK$500,ЗАКАЗЫ!$F$3:$F$500,$A65)))</f>
        <v/>
      </c>
    </row>
    <row r="66" customFormat="false" ht="15.75" hidden="false" customHeight="true" outlineLevel="0" collapsed="false">
      <c r="A66" s="80" t="s">
        <v>2977</v>
      </c>
      <c r="B66" s="81"/>
      <c r="C66" s="81"/>
      <c r="D66" s="81"/>
      <c r="E66" s="83"/>
      <c r="F66" s="81"/>
      <c r="G66" s="83"/>
      <c r="H66" s="83"/>
      <c r="I66" s="84" t="str">
        <f aca="false">IF(E66="","",A66&amp;"_1.jpg")</f>
        <v/>
      </c>
      <c r="J66" s="84" t="str">
        <f aca="false">IF(E66="","",A66&amp;"_2.jpg; "&amp;A66&amp;"_3.jpg")</f>
        <v/>
      </c>
      <c r="K66" s="84" t="str">
        <f aca="false">IF(E66="","",A66&amp;"_schema.jpg")</f>
        <v/>
      </c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 t="s">
        <v>96</v>
      </c>
      <c r="W66" s="81"/>
      <c r="X66" s="81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6" t="str">
        <f aca="false">IF(SUM(Y66:AJ66)=0,"",SUM(Y66:AJ66))</f>
        <v/>
      </c>
      <c r="AL66" s="84" t="str">
        <f aca="false">MID(IF(N(Y66)&gt;0,", "&amp;Y$2,"")&amp;IF(N(Z66)&gt;0,", "&amp;Z$2,"")&amp;IF(N(AA66)&gt;0,", "&amp;AA$2,"")&amp;IF(N(AB66)&gt;0,", "&amp;AB$2,"")&amp;IF(N(AC66)&gt;0,", "&amp;AC$2,"")&amp;IF(N(AD66)&gt;0,", "&amp;AD$2,"")&amp;IF(N(AE66)&gt;0,", "&amp;AE$2,"")&amp;IF(N(AF66)&gt;0,", "&amp;AF$2,"")&amp;IF(N(AG66)&gt;0,", "&amp;AG$2,"")&amp;IF(N(AH66)&gt;0,", "&amp;AH$2,"")&amp;IF(N(AI66)&gt;0,", "&amp;AI$2,"")&amp;IF(N(AJ66)&gt;0,", "&amp;AJ$2,""),3,999)</f>
        <v/>
      </c>
      <c r="AM66" s="87" t="str">
        <f aca="false">IF(E66="","",MID(IF(N(Y66)&gt;0,", "&amp;A66&amp;"-"&amp;Y$2,"")&amp;IF(N(Z66)&gt;0,", "&amp;A66&amp;"-"&amp;Z$2,"")&amp;IF(N(AA66)&gt;0,", "&amp;A66&amp;"-"&amp;AA$2,"")&amp;IF(N(AB66)&gt;0,", "&amp;A66&amp;"-"&amp;AB$2,"")&amp;IF(N(AC66)&gt;0,", "&amp;A66&amp;"-"&amp;AC$2,"")&amp;IF(N(AD66)&gt;0,", "&amp;A66&amp;"-"&amp;AD$2,"")&amp;IF(N(AE66)&gt;0,", "&amp;A66&amp;"-"&amp;AE$2,"")&amp;IF(N(AF66)&gt;0,", "&amp;A66&amp;"-"&amp;AF$2,"")&amp;IF(N(AG66)&gt;0,", "&amp;A66&amp;"-"&amp;AG$2,"")&amp;IF(N(AH66)&gt;0,", "&amp;A66&amp;"-"&amp;AH$2,"")&amp;IF(N(AI66)&gt;0,", "&amp;A66&amp;"-"&amp;AI$2,"")&amp;IF(N(AJ66)&gt;0,", "&amp;A66&amp;"-"&amp;AJ$2,""),3,999))</f>
        <v/>
      </c>
      <c r="AN66" s="81"/>
      <c r="AO66" s="88"/>
      <c r="AP66" s="89" t="str">
        <f aca="false">IF(AO66="","",ROUND(AO66/(1+Справочники!$B$13),2))</f>
        <v/>
      </c>
      <c r="AQ66" s="90" t="str">
        <f aca="false" t="array" ref="AQ66:AQ66">IF(AP66="","",AP66*INDEX(Справочники!$B$4:$B$7,MATCH("RUB",Справочники!$A$4:$A$7,0)))</f>
        <v/>
      </c>
      <c r="AR66" s="90" t="str">
        <f aca="false">IF(AQ66="","",ROUND(AQ66*(1+Справочники!$B$12),0))</f>
        <v/>
      </c>
      <c r="AS66" s="90" t="str">
        <f aca="false">IF(AR66="","",ROUND(AR66*(1-Справочники!$B$11),0))</f>
        <v/>
      </c>
      <c r="AT66" s="88"/>
      <c r="AU66" s="90" t="str">
        <f aca="false">IF(AT66="","",ROUND(AT66/(1+Справочники!$B$12),0))</f>
        <v/>
      </c>
      <c r="AV66" s="90" t="str">
        <f aca="false">IF(AT66="","",ROUND(AT66*(1-Справочники!$B$15),0))</f>
        <v/>
      </c>
      <c r="AW66" s="90" t="str">
        <f aca="false">IF(AT66="","",ROUND(AT66*(1-Справочники!$B$16),0))</f>
        <v/>
      </c>
      <c r="AX66" s="90" t="str">
        <f aca="false">IF(AT66="","",ROUND(AT66*(1-Справочники!$B$17),0))</f>
        <v/>
      </c>
      <c r="AY66" s="90" t="str">
        <f aca="false">IF(AT66="","",ROUND(AT66*(1-Справочники!$B$18),0))</f>
        <v/>
      </c>
      <c r="AZ66" s="90" t="str">
        <f aca="false">IF(AT66="","",ROUND(AT66*(1-Справочники!$B$19),0))</f>
        <v/>
      </c>
      <c r="BA66" s="81"/>
      <c r="BB66" s="81"/>
      <c r="BC66" s="81"/>
      <c r="BD66" s="81"/>
      <c r="BE66" s="91"/>
      <c r="BF66" s="81" t="s">
        <v>103</v>
      </c>
      <c r="BG66" s="89" t="n">
        <f aca="false" t="array" ref="BG66:BG66">IF(BF66="","",IFERROR(INDEX(Справочники!$B$4:$B$7,MATCH(BF66,Справочники!$A$4:$A$7,0)),""))</f>
        <v>68.5</v>
      </c>
      <c r="BH66" s="90" t="str">
        <f aca="false">IF(N(BN66)&gt;0,ROUND(SUMIF(ЗАКАЗЫ!$F$3:$F$500,$A66,ЗАКАЗЫ!$Y$3:$Y$500)/BN66,0),IF(OR(BE66="",BG66=""),"",ROUND(BE66*BG66*(1+Справочники!$B$10),0)))</f>
        <v/>
      </c>
      <c r="BI66" s="92" t="str">
        <f aca="false">IF(OR(AU66="",BH66="",AU66=0),"",(AU66-BH66)/AU66)</f>
        <v/>
      </c>
      <c r="BJ66" s="81"/>
      <c r="BK66" s="83"/>
      <c r="BL66" s="43" t="str">
        <f aca="false">IFERROR(INDEX(ЗАКАЗЫ!$N$3:$N$500,MATCH($A66,ЗАКАЗЫ!$F$3:$F$500,0)),"")</f>
        <v/>
      </c>
      <c r="BM66" s="8" t="str">
        <f aca="false">IF(BL66="","",IFERROR(VLOOKUP(BL66,'ТН ВЭД'!$A$4:$C$40,3,0),""))</f>
        <v/>
      </c>
      <c r="BN66" s="7" t="str">
        <f aca="false">IF(COUNTIF(ЗАКАЗЫ!$F$3:$F$500,$A66)=0,"",SUMIF(ЗАКАЗЫ!$F$3:$F$500,$A66,ЗАКАЗЫ!$J$3:$J$500))</f>
        <v/>
      </c>
      <c r="BO66" s="7" t="str">
        <f aca="false">IF(BN66="","",SUMIF(ЗАКАЗЫ!$F$3:$F$500,$A66,ЗАКАЗЫ!$AL$3:$AL$500))</f>
        <v/>
      </c>
      <c r="BP66" s="7" t="str">
        <f aca="false">IF(BN66="","",BN66-BO66)</f>
        <v/>
      </c>
      <c r="BQ66" s="55" t="str">
        <f aca="false">IF(BN66="","",IF(BO66&gt;=BN66,"На складе",IF(BO66&gt;0,"Частично","Ждём")))</f>
        <v/>
      </c>
      <c r="BR66" s="43"/>
      <c r="BS66" s="47" t="str">
        <f aca="false">IF(BN66="","",IF(_xlfn.MAXIFS(ЗАКАЗЫ!$AK$3:$AK$500,ЗАКАЗЫ!$F$3:$F$500,$A66)=0,"",_xlfn.MAXIFS(ЗАКАЗЫ!$AK$3:$AK$500,ЗАКАЗЫ!$F$3:$F$500,$A66)))</f>
        <v/>
      </c>
    </row>
    <row r="67" customFormat="false" ht="15.75" hidden="false" customHeight="true" outlineLevel="0" collapsed="false">
      <c r="A67" s="80" t="s">
        <v>2978</v>
      </c>
      <c r="B67" s="81"/>
      <c r="C67" s="81"/>
      <c r="D67" s="81"/>
      <c r="E67" s="83"/>
      <c r="F67" s="81"/>
      <c r="G67" s="83"/>
      <c r="H67" s="83"/>
      <c r="I67" s="84" t="str">
        <f aca="false">IF(E67="","",A67&amp;"_1.jpg")</f>
        <v/>
      </c>
      <c r="J67" s="84" t="str">
        <f aca="false">IF(E67="","",A67&amp;"_2.jpg; "&amp;A67&amp;"_3.jpg")</f>
        <v/>
      </c>
      <c r="K67" s="84" t="str">
        <f aca="false">IF(E67="","",A67&amp;"_schema.jpg")</f>
        <v/>
      </c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 t="s">
        <v>96</v>
      </c>
      <c r="W67" s="81"/>
      <c r="X67" s="81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6" t="str">
        <f aca="false">IF(SUM(Y67:AJ67)=0,"",SUM(Y67:AJ67))</f>
        <v/>
      </c>
      <c r="AL67" s="84" t="str">
        <f aca="false">MID(IF(N(Y67)&gt;0,", "&amp;Y$2,"")&amp;IF(N(Z67)&gt;0,", "&amp;Z$2,"")&amp;IF(N(AA67)&gt;0,", "&amp;AA$2,"")&amp;IF(N(AB67)&gt;0,", "&amp;AB$2,"")&amp;IF(N(AC67)&gt;0,", "&amp;AC$2,"")&amp;IF(N(AD67)&gt;0,", "&amp;AD$2,"")&amp;IF(N(AE67)&gt;0,", "&amp;AE$2,"")&amp;IF(N(AF67)&gt;0,", "&amp;AF$2,"")&amp;IF(N(AG67)&gt;0,", "&amp;AG$2,"")&amp;IF(N(AH67)&gt;0,", "&amp;AH$2,"")&amp;IF(N(AI67)&gt;0,", "&amp;AI$2,"")&amp;IF(N(AJ67)&gt;0,", "&amp;AJ$2,""),3,999)</f>
        <v/>
      </c>
      <c r="AM67" s="87" t="str">
        <f aca="false">IF(E67="","",MID(IF(N(Y67)&gt;0,", "&amp;A67&amp;"-"&amp;Y$2,"")&amp;IF(N(Z67)&gt;0,", "&amp;A67&amp;"-"&amp;Z$2,"")&amp;IF(N(AA67)&gt;0,", "&amp;A67&amp;"-"&amp;AA$2,"")&amp;IF(N(AB67)&gt;0,", "&amp;A67&amp;"-"&amp;AB$2,"")&amp;IF(N(AC67)&gt;0,", "&amp;A67&amp;"-"&amp;AC$2,"")&amp;IF(N(AD67)&gt;0,", "&amp;A67&amp;"-"&amp;AD$2,"")&amp;IF(N(AE67)&gt;0,", "&amp;A67&amp;"-"&amp;AE$2,"")&amp;IF(N(AF67)&gt;0,", "&amp;A67&amp;"-"&amp;AF$2,"")&amp;IF(N(AG67)&gt;0,", "&amp;A67&amp;"-"&amp;AG$2,"")&amp;IF(N(AH67)&gt;0,", "&amp;A67&amp;"-"&amp;AH$2,"")&amp;IF(N(AI67)&gt;0,", "&amp;A67&amp;"-"&amp;AI$2,"")&amp;IF(N(AJ67)&gt;0,", "&amp;A67&amp;"-"&amp;AJ$2,""),3,999))</f>
        <v/>
      </c>
      <c r="AN67" s="81"/>
      <c r="AO67" s="88"/>
      <c r="AP67" s="89" t="str">
        <f aca="false">IF(AO67="","",ROUND(AO67/(1+Справочники!$B$13),2))</f>
        <v/>
      </c>
      <c r="AQ67" s="90" t="str">
        <f aca="false" t="array" ref="AQ67:AQ67">IF(AP67="","",AP67*INDEX(Справочники!$B$4:$B$7,MATCH("RUB",Справочники!$A$4:$A$7,0)))</f>
        <v/>
      </c>
      <c r="AR67" s="90" t="str">
        <f aca="false">IF(AQ67="","",ROUND(AQ67*(1+Справочники!$B$12),0))</f>
        <v/>
      </c>
      <c r="AS67" s="90" t="str">
        <f aca="false">IF(AR67="","",ROUND(AR67*(1-Справочники!$B$11),0))</f>
        <v/>
      </c>
      <c r="AT67" s="88"/>
      <c r="AU67" s="90" t="str">
        <f aca="false">IF(AT67="","",ROUND(AT67/(1+Справочники!$B$12),0))</f>
        <v/>
      </c>
      <c r="AV67" s="90" t="str">
        <f aca="false">IF(AT67="","",ROUND(AT67*(1-Справочники!$B$15),0))</f>
        <v/>
      </c>
      <c r="AW67" s="90" t="str">
        <f aca="false">IF(AT67="","",ROUND(AT67*(1-Справочники!$B$16),0))</f>
        <v/>
      </c>
      <c r="AX67" s="90" t="str">
        <f aca="false">IF(AT67="","",ROUND(AT67*(1-Справочники!$B$17),0))</f>
        <v/>
      </c>
      <c r="AY67" s="90" t="str">
        <f aca="false">IF(AT67="","",ROUND(AT67*(1-Справочники!$B$18),0))</f>
        <v/>
      </c>
      <c r="AZ67" s="90" t="str">
        <f aca="false">IF(AT67="","",ROUND(AT67*(1-Справочники!$B$19),0))</f>
        <v/>
      </c>
      <c r="BA67" s="81"/>
      <c r="BB67" s="81"/>
      <c r="BC67" s="81"/>
      <c r="BD67" s="81"/>
      <c r="BE67" s="91"/>
      <c r="BF67" s="81" t="s">
        <v>103</v>
      </c>
      <c r="BG67" s="89" t="n">
        <f aca="false" t="array" ref="BG67:BG67">IF(BF67="","",IFERROR(INDEX(Справочники!$B$4:$B$7,MATCH(BF67,Справочники!$A$4:$A$7,0)),""))</f>
        <v>68.5</v>
      </c>
      <c r="BH67" s="90" t="str">
        <f aca="false">IF(N(BN67)&gt;0,ROUND(SUMIF(ЗАКАЗЫ!$F$3:$F$500,$A67,ЗАКАЗЫ!$Y$3:$Y$500)/BN67,0),IF(OR(BE67="",BG67=""),"",ROUND(BE67*BG67*(1+Справочники!$B$10),0)))</f>
        <v/>
      </c>
      <c r="BI67" s="92" t="str">
        <f aca="false">IF(OR(AU67="",BH67="",AU67=0),"",(AU67-BH67)/AU67)</f>
        <v/>
      </c>
      <c r="BJ67" s="81"/>
      <c r="BK67" s="83"/>
      <c r="BL67" s="43" t="str">
        <f aca="false">IFERROR(INDEX(ЗАКАЗЫ!$N$3:$N$500,MATCH($A67,ЗАКАЗЫ!$F$3:$F$500,0)),"")</f>
        <v/>
      </c>
      <c r="BM67" s="8" t="str">
        <f aca="false">IF(BL67="","",IFERROR(VLOOKUP(BL67,'ТН ВЭД'!$A$4:$C$40,3,0),""))</f>
        <v/>
      </c>
      <c r="BN67" s="7" t="str">
        <f aca="false">IF(COUNTIF(ЗАКАЗЫ!$F$3:$F$500,$A67)=0,"",SUMIF(ЗАКАЗЫ!$F$3:$F$500,$A67,ЗАКАЗЫ!$J$3:$J$500))</f>
        <v/>
      </c>
      <c r="BO67" s="7" t="str">
        <f aca="false">IF(BN67="","",SUMIF(ЗАКАЗЫ!$F$3:$F$500,$A67,ЗАКАЗЫ!$AL$3:$AL$500))</f>
        <v/>
      </c>
      <c r="BP67" s="7" t="str">
        <f aca="false">IF(BN67="","",BN67-BO67)</f>
        <v/>
      </c>
      <c r="BQ67" s="55" t="str">
        <f aca="false">IF(BN67="","",IF(BO67&gt;=BN67,"На складе",IF(BO67&gt;0,"Частично","Ждём")))</f>
        <v/>
      </c>
      <c r="BR67" s="43"/>
      <c r="BS67" s="47" t="str">
        <f aca="false">IF(BN67="","",IF(_xlfn.MAXIFS(ЗАКАЗЫ!$AK$3:$AK$500,ЗАКАЗЫ!$F$3:$F$500,$A67)=0,"",_xlfn.MAXIFS(ЗАКАЗЫ!$AK$3:$AK$500,ЗАКАЗЫ!$F$3:$F$500,$A67)))</f>
        <v/>
      </c>
    </row>
    <row r="68" customFormat="false" ht="15.75" hidden="false" customHeight="true" outlineLevel="0" collapsed="false">
      <c r="A68" s="80" t="s">
        <v>2979</v>
      </c>
      <c r="B68" s="81"/>
      <c r="C68" s="81"/>
      <c r="D68" s="81"/>
      <c r="E68" s="83"/>
      <c r="F68" s="81"/>
      <c r="G68" s="83"/>
      <c r="H68" s="83"/>
      <c r="I68" s="84" t="str">
        <f aca="false">IF(E68="","",A68&amp;"_1.jpg")</f>
        <v/>
      </c>
      <c r="J68" s="84" t="str">
        <f aca="false">IF(E68="","",A68&amp;"_2.jpg; "&amp;A68&amp;"_3.jpg")</f>
        <v/>
      </c>
      <c r="K68" s="84" t="str">
        <f aca="false">IF(E68="","",A68&amp;"_schema.jpg")</f>
        <v/>
      </c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 t="s">
        <v>96</v>
      </c>
      <c r="W68" s="81"/>
      <c r="X68" s="81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6" t="str">
        <f aca="false">IF(SUM(Y68:AJ68)=0,"",SUM(Y68:AJ68))</f>
        <v/>
      </c>
      <c r="AL68" s="84" t="str">
        <f aca="false">MID(IF(N(Y68)&gt;0,", "&amp;Y$2,"")&amp;IF(N(Z68)&gt;0,", "&amp;Z$2,"")&amp;IF(N(AA68)&gt;0,", "&amp;AA$2,"")&amp;IF(N(AB68)&gt;0,", "&amp;AB$2,"")&amp;IF(N(AC68)&gt;0,", "&amp;AC$2,"")&amp;IF(N(AD68)&gt;0,", "&amp;AD$2,"")&amp;IF(N(AE68)&gt;0,", "&amp;AE$2,"")&amp;IF(N(AF68)&gt;0,", "&amp;AF$2,"")&amp;IF(N(AG68)&gt;0,", "&amp;AG$2,"")&amp;IF(N(AH68)&gt;0,", "&amp;AH$2,"")&amp;IF(N(AI68)&gt;0,", "&amp;AI$2,"")&amp;IF(N(AJ68)&gt;0,", "&amp;AJ$2,""),3,999)</f>
        <v/>
      </c>
      <c r="AM68" s="87" t="str">
        <f aca="false">IF(E68="","",MID(IF(N(Y68)&gt;0,", "&amp;A68&amp;"-"&amp;Y$2,"")&amp;IF(N(Z68)&gt;0,", "&amp;A68&amp;"-"&amp;Z$2,"")&amp;IF(N(AA68)&gt;0,", "&amp;A68&amp;"-"&amp;AA$2,"")&amp;IF(N(AB68)&gt;0,", "&amp;A68&amp;"-"&amp;AB$2,"")&amp;IF(N(AC68)&gt;0,", "&amp;A68&amp;"-"&amp;AC$2,"")&amp;IF(N(AD68)&gt;0,", "&amp;A68&amp;"-"&amp;AD$2,"")&amp;IF(N(AE68)&gt;0,", "&amp;A68&amp;"-"&amp;AE$2,"")&amp;IF(N(AF68)&gt;0,", "&amp;A68&amp;"-"&amp;AF$2,"")&amp;IF(N(AG68)&gt;0,", "&amp;A68&amp;"-"&amp;AG$2,"")&amp;IF(N(AH68)&gt;0,", "&amp;A68&amp;"-"&amp;AH$2,"")&amp;IF(N(AI68)&gt;0,", "&amp;A68&amp;"-"&amp;AI$2,"")&amp;IF(N(AJ68)&gt;0,", "&amp;A68&amp;"-"&amp;AJ$2,""),3,999))</f>
        <v/>
      </c>
      <c r="AN68" s="81"/>
      <c r="AO68" s="88"/>
      <c r="AP68" s="89" t="str">
        <f aca="false">IF(AO68="","",ROUND(AO68/(1+Справочники!$B$13),2))</f>
        <v/>
      </c>
      <c r="AQ68" s="90" t="str">
        <f aca="false" t="array" ref="AQ68:AQ68">IF(AP68="","",AP68*INDEX(Справочники!$B$4:$B$7,MATCH("RUB",Справочники!$A$4:$A$7,0)))</f>
        <v/>
      </c>
      <c r="AR68" s="90" t="str">
        <f aca="false">IF(AQ68="","",ROUND(AQ68*(1+Справочники!$B$12),0))</f>
        <v/>
      </c>
      <c r="AS68" s="90" t="str">
        <f aca="false">IF(AR68="","",ROUND(AR68*(1-Справочники!$B$11),0))</f>
        <v/>
      </c>
      <c r="AT68" s="88"/>
      <c r="AU68" s="90" t="str">
        <f aca="false">IF(AT68="","",ROUND(AT68/(1+Справочники!$B$12),0))</f>
        <v/>
      </c>
      <c r="AV68" s="90" t="str">
        <f aca="false">IF(AT68="","",ROUND(AT68*(1-Справочники!$B$15),0))</f>
        <v/>
      </c>
      <c r="AW68" s="90" t="str">
        <f aca="false">IF(AT68="","",ROUND(AT68*(1-Справочники!$B$16),0))</f>
        <v/>
      </c>
      <c r="AX68" s="90" t="str">
        <f aca="false">IF(AT68="","",ROUND(AT68*(1-Справочники!$B$17),0))</f>
        <v/>
      </c>
      <c r="AY68" s="90" t="str">
        <f aca="false">IF(AT68="","",ROUND(AT68*(1-Справочники!$B$18),0))</f>
        <v/>
      </c>
      <c r="AZ68" s="90" t="str">
        <f aca="false">IF(AT68="","",ROUND(AT68*(1-Справочники!$B$19),0))</f>
        <v/>
      </c>
      <c r="BA68" s="81"/>
      <c r="BB68" s="81"/>
      <c r="BC68" s="81"/>
      <c r="BD68" s="81"/>
      <c r="BE68" s="91"/>
      <c r="BF68" s="81" t="s">
        <v>103</v>
      </c>
      <c r="BG68" s="89" t="n">
        <f aca="false" t="array" ref="BG68:BG68">IF(BF68="","",IFERROR(INDEX(Справочники!$B$4:$B$7,MATCH(BF68,Справочники!$A$4:$A$7,0)),""))</f>
        <v>68.5</v>
      </c>
      <c r="BH68" s="90" t="str">
        <f aca="false">IF(N(BN68)&gt;0,ROUND(SUMIF(ЗАКАЗЫ!$F$3:$F$500,$A68,ЗАКАЗЫ!$Y$3:$Y$500)/BN68,0),IF(OR(BE68="",BG68=""),"",ROUND(BE68*BG68*(1+Справочники!$B$10),0)))</f>
        <v/>
      </c>
      <c r="BI68" s="92" t="str">
        <f aca="false">IF(OR(AU68="",BH68="",AU68=0),"",(AU68-BH68)/AU68)</f>
        <v/>
      </c>
      <c r="BJ68" s="81"/>
      <c r="BK68" s="83"/>
      <c r="BL68" s="43" t="str">
        <f aca="false">IFERROR(INDEX(ЗАКАЗЫ!$N$3:$N$500,MATCH($A68,ЗАКАЗЫ!$F$3:$F$500,0)),"")</f>
        <v/>
      </c>
      <c r="BM68" s="8" t="str">
        <f aca="false">IF(BL68="","",IFERROR(VLOOKUP(BL68,'ТН ВЭД'!$A$4:$C$40,3,0),""))</f>
        <v/>
      </c>
      <c r="BN68" s="7" t="str">
        <f aca="false">IF(COUNTIF(ЗАКАЗЫ!$F$3:$F$500,$A68)=0,"",SUMIF(ЗАКАЗЫ!$F$3:$F$500,$A68,ЗАКАЗЫ!$J$3:$J$500))</f>
        <v/>
      </c>
      <c r="BO68" s="7" t="str">
        <f aca="false">IF(BN68="","",SUMIF(ЗАКАЗЫ!$F$3:$F$500,$A68,ЗАКАЗЫ!$AL$3:$AL$500))</f>
        <v/>
      </c>
      <c r="BP68" s="7" t="str">
        <f aca="false">IF(BN68="","",BN68-BO68)</f>
        <v/>
      </c>
      <c r="BQ68" s="55" t="str">
        <f aca="false">IF(BN68="","",IF(BO68&gt;=BN68,"На складе",IF(BO68&gt;0,"Частично","Ждём")))</f>
        <v/>
      </c>
      <c r="BR68" s="43"/>
      <c r="BS68" s="47" t="str">
        <f aca="false">IF(BN68="","",IF(_xlfn.MAXIFS(ЗАКАЗЫ!$AK$3:$AK$500,ЗАКАЗЫ!$F$3:$F$500,$A68)=0,"",_xlfn.MAXIFS(ЗАКАЗЫ!$AK$3:$AK$500,ЗАКАЗЫ!$F$3:$F$500,$A68)))</f>
        <v/>
      </c>
    </row>
    <row r="69" customFormat="false" ht="15.75" hidden="false" customHeight="true" outlineLevel="0" collapsed="false">
      <c r="A69" s="80" t="s">
        <v>2980</v>
      </c>
      <c r="B69" s="81"/>
      <c r="C69" s="81"/>
      <c r="D69" s="81"/>
      <c r="E69" s="83"/>
      <c r="F69" s="81"/>
      <c r="G69" s="83"/>
      <c r="H69" s="83"/>
      <c r="I69" s="84" t="str">
        <f aca="false">IF(E69="","",A69&amp;"_1.jpg")</f>
        <v/>
      </c>
      <c r="J69" s="84" t="str">
        <f aca="false">IF(E69="","",A69&amp;"_2.jpg; "&amp;A69&amp;"_3.jpg")</f>
        <v/>
      </c>
      <c r="K69" s="84" t="str">
        <f aca="false">IF(E69="","",A69&amp;"_schema.jpg")</f>
        <v/>
      </c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 t="s">
        <v>96</v>
      </c>
      <c r="W69" s="81"/>
      <c r="X69" s="81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6" t="str">
        <f aca="false">IF(SUM(Y69:AJ69)=0,"",SUM(Y69:AJ69))</f>
        <v/>
      </c>
      <c r="AL69" s="84" t="str">
        <f aca="false">MID(IF(N(Y69)&gt;0,", "&amp;Y$2,"")&amp;IF(N(Z69)&gt;0,", "&amp;Z$2,"")&amp;IF(N(AA69)&gt;0,", "&amp;AA$2,"")&amp;IF(N(AB69)&gt;0,", "&amp;AB$2,"")&amp;IF(N(AC69)&gt;0,", "&amp;AC$2,"")&amp;IF(N(AD69)&gt;0,", "&amp;AD$2,"")&amp;IF(N(AE69)&gt;0,", "&amp;AE$2,"")&amp;IF(N(AF69)&gt;0,", "&amp;AF$2,"")&amp;IF(N(AG69)&gt;0,", "&amp;AG$2,"")&amp;IF(N(AH69)&gt;0,", "&amp;AH$2,"")&amp;IF(N(AI69)&gt;0,", "&amp;AI$2,"")&amp;IF(N(AJ69)&gt;0,", "&amp;AJ$2,""),3,999)</f>
        <v/>
      </c>
      <c r="AM69" s="87" t="str">
        <f aca="false">IF(E69="","",MID(IF(N(Y69)&gt;0,", "&amp;A69&amp;"-"&amp;Y$2,"")&amp;IF(N(Z69)&gt;0,", "&amp;A69&amp;"-"&amp;Z$2,"")&amp;IF(N(AA69)&gt;0,", "&amp;A69&amp;"-"&amp;AA$2,"")&amp;IF(N(AB69)&gt;0,", "&amp;A69&amp;"-"&amp;AB$2,"")&amp;IF(N(AC69)&gt;0,", "&amp;A69&amp;"-"&amp;AC$2,"")&amp;IF(N(AD69)&gt;0,", "&amp;A69&amp;"-"&amp;AD$2,"")&amp;IF(N(AE69)&gt;0,", "&amp;A69&amp;"-"&amp;AE$2,"")&amp;IF(N(AF69)&gt;0,", "&amp;A69&amp;"-"&amp;AF$2,"")&amp;IF(N(AG69)&gt;0,", "&amp;A69&amp;"-"&amp;AG$2,"")&amp;IF(N(AH69)&gt;0,", "&amp;A69&amp;"-"&amp;AH$2,"")&amp;IF(N(AI69)&gt;0,", "&amp;A69&amp;"-"&amp;AI$2,"")&amp;IF(N(AJ69)&gt;0,", "&amp;A69&amp;"-"&amp;AJ$2,""),3,999))</f>
        <v/>
      </c>
      <c r="AN69" s="81"/>
      <c r="AO69" s="88"/>
      <c r="AP69" s="89" t="str">
        <f aca="false">IF(AO69="","",ROUND(AO69/(1+Справочники!$B$13),2))</f>
        <v/>
      </c>
      <c r="AQ69" s="90" t="str">
        <f aca="false" t="array" ref="AQ69:AQ69">IF(AP69="","",AP69*INDEX(Справочники!$B$4:$B$7,MATCH("RUB",Справочники!$A$4:$A$7,0)))</f>
        <v/>
      </c>
      <c r="AR69" s="90" t="str">
        <f aca="false">IF(AQ69="","",ROUND(AQ69*(1+Справочники!$B$12),0))</f>
        <v/>
      </c>
      <c r="AS69" s="90" t="str">
        <f aca="false">IF(AR69="","",ROUND(AR69*(1-Справочники!$B$11),0))</f>
        <v/>
      </c>
      <c r="AT69" s="88"/>
      <c r="AU69" s="90" t="str">
        <f aca="false">IF(AT69="","",ROUND(AT69/(1+Справочники!$B$12),0))</f>
        <v/>
      </c>
      <c r="AV69" s="90" t="str">
        <f aca="false">IF(AT69="","",ROUND(AT69*(1-Справочники!$B$15),0))</f>
        <v/>
      </c>
      <c r="AW69" s="90" t="str">
        <f aca="false">IF(AT69="","",ROUND(AT69*(1-Справочники!$B$16),0))</f>
        <v/>
      </c>
      <c r="AX69" s="90" t="str">
        <f aca="false">IF(AT69="","",ROUND(AT69*(1-Справочники!$B$17),0))</f>
        <v/>
      </c>
      <c r="AY69" s="90" t="str">
        <f aca="false">IF(AT69="","",ROUND(AT69*(1-Справочники!$B$18),0))</f>
        <v/>
      </c>
      <c r="AZ69" s="90" t="str">
        <f aca="false">IF(AT69="","",ROUND(AT69*(1-Справочники!$B$19),0))</f>
        <v/>
      </c>
      <c r="BA69" s="81"/>
      <c r="BB69" s="81"/>
      <c r="BC69" s="81"/>
      <c r="BD69" s="81"/>
      <c r="BE69" s="91"/>
      <c r="BF69" s="81" t="s">
        <v>103</v>
      </c>
      <c r="BG69" s="89" t="n">
        <f aca="false" t="array" ref="BG69:BG69">IF(BF69="","",IFERROR(INDEX(Справочники!$B$4:$B$7,MATCH(BF69,Справочники!$A$4:$A$7,0)),""))</f>
        <v>68.5</v>
      </c>
      <c r="BH69" s="90" t="str">
        <f aca="false">IF(N(BN69)&gt;0,ROUND(SUMIF(ЗАКАЗЫ!$F$3:$F$500,$A69,ЗАКАЗЫ!$Y$3:$Y$500)/BN69,0),IF(OR(BE69="",BG69=""),"",ROUND(BE69*BG69*(1+Справочники!$B$10),0)))</f>
        <v/>
      </c>
      <c r="BI69" s="92" t="str">
        <f aca="false">IF(OR(AU69="",BH69="",AU69=0),"",(AU69-BH69)/AU69)</f>
        <v/>
      </c>
      <c r="BJ69" s="81"/>
      <c r="BK69" s="83"/>
      <c r="BL69" s="43" t="str">
        <f aca="false">IFERROR(INDEX(ЗАКАЗЫ!$N$3:$N$500,MATCH($A69,ЗАКАЗЫ!$F$3:$F$500,0)),"")</f>
        <v/>
      </c>
      <c r="BM69" s="8" t="str">
        <f aca="false">IF(BL69="","",IFERROR(VLOOKUP(BL69,'ТН ВЭД'!$A$4:$C$40,3,0),""))</f>
        <v/>
      </c>
      <c r="BN69" s="7" t="str">
        <f aca="false">IF(COUNTIF(ЗАКАЗЫ!$F$3:$F$500,$A69)=0,"",SUMIF(ЗАКАЗЫ!$F$3:$F$500,$A69,ЗАКАЗЫ!$J$3:$J$500))</f>
        <v/>
      </c>
      <c r="BO69" s="7" t="str">
        <f aca="false">IF(BN69="","",SUMIF(ЗАКАЗЫ!$F$3:$F$500,$A69,ЗАКАЗЫ!$AL$3:$AL$500))</f>
        <v/>
      </c>
      <c r="BP69" s="7" t="str">
        <f aca="false">IF(BN69="","",BN69-BO69)</f>
        <v/>
      </c>
      <c r="BQ69" s="55" t="str">
        <f aca="false">IF(BN69="","",IF(BO69&gt;=BN69,"На складе",IF(BO69&gt;0,"Частично","Ждём")))</f>
        <v/>
      </c>
      <c r="BR69" s="43"/>
      <c r="BS69" s="47" t="str">
        <f aca="false">IF(BN69="","",IF(_xlfn.MAXIFS(ЗАКАЗЫ!$AK$3:$AK$500,ЗАКАЗЫ!$F$3:$F$500,$A69)=0,"",_xlfn.MAXIFS(ЗАКАЗЫ!$AK$3:$AK$500,ЗАКАЗЫ!$F$3:$F$500,$A69)))</f>
        <v/>
      </c>
    </row>
    <row r="70" customFormat="false" ht="15.75" hidden="false" customHeight="true" outlineLevel="0" collapsed="false">
      <c r="A70" s="80" t="s">
        <v>2981</v>
      </c>
      <c r="B70" s="81"/>
      <c r="C70" s="81"/>
      <c r="D70" s="81"/>
      <c r="E70" s="83"/>
      <c r="F70" s="81"/>
      <c r="G70" s="83"/>
      <c r="H70" s="83"/>
      <c r="I70" s="84" t="str">
        <f aca="false">IF(E70="","",A70&amp;"_1.jpg")</f>
        <v/>
      </c>
      <c r="J70" s="84" t="str">
        <f aca="false">IF(E70="","",A70&amp;"_2.jpg; "&amp;A70&amp;"_3.jpg")</f>
        <v/>
      </c>
      <c r="K70" s="84" t="str">
        <f aca="false">IF(E70="","",A70&amp;"_schema.jpg")</f>
        <v/>
      </c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 t="s">
        <v>96</v>
      </c>
      <c r="W70" s="81"/>
      <c r="X70" s="81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6" t="str">
        <f aca="false">IF(SUM(Y70:AJ70)=0,"",SUM(Y70:AJ70))</f>
        <v/>
      </c>
      <c r="AL70" s="84" t="str">
        <f aca="false">MID(IF(N(Y70)&gt;0,", "&amp;Y$2,"")&amp;IF(N(Z70)&gt;0,", "&amp;Z$2,"")&amp;IF(N(AA70)&gt;0,", "&amp;AA$2,"")&amp;IF(N(AB70)&gt;0,", "&amp;AB$2,"")&amp;IF(N(AC70)&gt;0,", "&amp;AC$2,"")&amp;IF(N(AD70)&gt;0,", "&amp;AD$2,"")&amp;IF(N(AE70)&gt;0,", "&amp;AE$2,"")&amp;IF(N(AF70)&gt;0,", "&amp;AF$2,"")&amp;IF(N(AG70)&gt;0,", "&amp;AG$2,"")&amp;IF(N(AH70)&gt;0,", "&amp;AH$2,"")&amp;IF(N(AI70)&gt;0,", "&amp;AI$2,"")&amp;IF(N(AJ70)&gt;0,", "&amp;AJ$2,""),3,999)</f>
        <v/>
      </c>
      <c r="AM70" s="87" t="str">
        <f aca="false">IF(E70="","",MID(IF(N(Y70)&gt;0,", "&amp;A70&amp;"-"&amp;Y$2,"")&amp;IF(N(Z70)&gt;0,", "&amp;A70&amp;"-"&amp;Z$2,"")&amp;IF(N(AA70)&gt;0,", "&amp;A70&amp;"-"&amp;AA$2,"")&amp;IF(N(AB70)&gt;0,", "&amp;A70&amp;"-"&amp;AB$2,"")&amp;IF(N(AC70)&gt;0,", "&amp;A70&amp;"-"&amp;AC$2,"")&amp;IF(N(AD70)&gt;0,", "&amp;A70&amp;"-"&amp;AD$2,"")&amp;IF(N(AE70)&gt;0,", "&amp;A70&amp;"-"&amp;AE$2,"")&amp;IF(N(AF70)&gt;0,", "&amp;A70&amp;"-"&amp;AF$2,"")&amp;IF(N(AG70)&gt;0,", "&amp;A70&amp;"-"&amp;AG$2,"")&amp;IF(N(AH70)&gt;0,", "&amp;A70&amp;"-"&amp;AH$2,"")&amp;IF(N(AI70)&gt;0,", "&amp;A70&amp;"-"&amp;AI$2,"")&amp;IF(N(AJ70)&gt;0,", "&amp;A70&amp;"-"&amp;AJ$2,""),3,999))</f>
        <v/>
      </c>
      <c r="AN70" s="81"/>
      <c r="AO70" s="88"/>
      <c r="AP70" s="89" t="str">
        <f aca="false">IF(AO70="","",ROUND(AO70/(1+Справочники!$B$13),2))</f>
        <v/>
      </c>
      <c r="AQ70" s="90" t="str">
        <f aca="false" t="array" ref="AQ70:AQ70">IF(AP70="","",AP70*INDEX(Справочники!$B$4:$B$7,MATCH("RUB",Справочники!$A$4:$A$7,0)))</f>
        <v/>
      </c>
      <c r="AR70" s="90" t="str">
        <f aca="false">IF(AQ70="","",ROUND(AQ70*(1+Справочники!$B$12),0))</f>
        <v/>
      </c>
      <c r="AS70" s="90" t="str">
        <f aca="false">IF(AR70="","",ROUND(AR70*(1-Справочники!$B$11),0))</f>
        <v/>
      </c>
      <c r="AT70" s="88"/>
      <c r="AU70" s="90" t="str">
        <f aca="false">IF(AT70="","",ROUND(AT70/(1+Справочники!$B$12),0))</f>
        <v/>
      </c>
      <c r="AV70" s="90" t="str">
        <f aca="false">IF(AT70="","",ROUND(AT70*(1-Справочники!$B$15),0))</f>
        <v/>
      </c>
      <c r="AW70" s="90" t="str">
        <f aca="false">IF(AT70="","",ROUND(AT70*(1-Справочники!$B$16),0))</f>
        <v/>
      </c>
      <c r="AX70" s="90" t="str">
        <f aca="false">IF(AT70="","",ROUND(AT70*(1-Справочники!$B$17),0))</f>
        <v/>
      </c>
      <c r="AY70" s="90" t="str">
        <f aca="false">IF(AT70="","",ROUND(AT70*(1-Справочники!$B$18),0))</f>
        <v/>
      </c>
      <c r="AZ70" s="90" t="str">
        <f aca="false">IF(AT70="","",ROUND(AT70*(1-Справочники!$B$19),0))</f>
        <v/>
      </c>
      <c r="BA70" s="81"/>
      <c r="BB70" s="81"/>
      <c r="BC70" s="81"/>
      <c r="BD70" s="81"/>
      <c r="BE70" s="91"/>
      <c r="BF70" s="81" t="s">
        <v>103</v>
      </c>
      <c r="BG70" s="89" t="n">
        <f aca="false" t="array" ref="BG70:BG70">IF(BF70="","",IFERROR(INDEX(Справочники!$B$4:$B$7,MATCH(BF70,Справочники!$A$4:$A$7,0)),""))</f>
        <v>68.5</v>
      </c>
      <c r="BH70" s="90" t="str">
        <f aca="false">IF(N(BN70)&gt;0,ROUND(SUMIF(ЗАКАЗЫ!$F$3:$F$500,$A70,ЗАКАЗЫ!$Y$3:$Y$500)/BN70,0),IF(OR(BE70="",BG70=""),"",ROUND(BE70*BG70*(1+Справочники!$B$10),0)))</f>
        <v/>
      </c>
      <c r="BI70" s="92" t="str">
        <f aca="false">IF(OR(AU70="",BH70="",AU70=0),"",(AU70-BH70)/AU70)</f>
        <v/>
      </c>
      <c r="BJ70" s="81"/>
      <c r="BK70" s="83"/>
      <c r="BL70" s="43" t="str">
        <f aca="false">IFERROR(INDEX(ЗАКАЗЫ!$N$3:$N$500,MATCH($A70,ЗАКАЗЫ!$F$3:$F$500,0)),"")</f>
        <v/>
      </c>
      <c r="BM70" s="8" t="str">
        <f aca="false">IF(BL70="","",IFERROR(VLOOKUP(BL70,'ТН ВЭД'!$A$4:$C$40,3,0),""))</f>
        <v/>
      </c>
      <c r="BN70" s="7" t="str">
        <f aca="false">IF(COUNTIF(ЗАКАЗЫ!$F$3:$F$500,$A70)=0,"",SUMIF(ЗАКАЗЫ!$F$3:$F$500,$A70,ЗАКАЗЫ!$J$3:$J$500))</f>
        <v/>
      </c>
      <c r="BO70" s="7" t="str">
        <f aca="false">IF(BN70="","",SUMIF(ЗАКАЗЫ!$F$3:$F$500,$A70,ЗАКАЗЫ!$AL$3:$AL$500))</f>
        <v/>
      </c>
      <c r="BP70" s="7" t="str">
        <f aca="false">IF(BN70="","",BN70-BO70)</f>
        <v/>
      </c>
      <c r="BQ70" s="55" t="str">
        <f aca="false">IF(BN70="","",IF(BO70&gt;=BN70,"На складе",IF(BO70&gt;0,"Частично","Ждём")))</f>
        <v/>
      </c>
      <c r="BR70" s="43"/>
      <c r="BS70" s="47" t="str">
        <f aca="false">IF(BN70="","",IF(_xlfn.MAXIFS(ЗАКАЗЫ!$AK$3:$AK$500,ЗАКАЗЫ!$F$3:$F$500,$A70)=0,"",_xlfn.MAXIFS(ЗАКАЗЫ!$AK$3:$AK$500,ЗАКАЗЫ!$F$3:$F$500,$A70)))</f>
        <v/>
      </c>
    </row>
    <row r="71" customFormat="false" ht="15.75" hidden="false" customHeight="true" outlineLevel="0" collapsed="false">
      <c r="A71" s="80" t="s">
        <v>2982</v>
      </c>
      <c r="B71" s="81"/>
      <c r="C71" s="81"/>
      <c r="D71" s="81"/>
      <c r="E71" s="83"/>
      <c r="F71" s="81"/>
      <c r="G71" s="83"/>
      <c r="H71" s="83"/>
      <c r="I71" s="84" t="str">
        <f aca="false">IF(E71="","",A71&amp;"_1.jpg")</f>
        <v/>
      </c>
      <c r="J71" s="84" t="str">
        <f aca="false">IF(E71="","",A71&amp;"_2.jpg; "&amp;A71&amp;"_3.jpg")</f>
        <v/>
      </c>
      <c r="K71" s="84" t="str">
        <f aca="false">IF(E71="","",A71&amp;"_schema.jpg")</f>
        <v/>
      </c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 t="s">
        <v>96</v>
      </c>
      <c r="W71" s="81"/>
      <c r="X71" s="81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6" t="str">
        <f aca="false">IF(SUM(Y71:AJ71)=0,"",SUM(Y71:AJ71))</f>
        <v/>
      </c>
      <c r="AL71" s="84" t="str">
        <f aca="false">MID(IF(N(Y71)&gt;0,", "&amp;Y$2,"")&amp;IF(N(Z71)&gt;0,", "&amp;Z$2,"")&amp;IF(N(AA71)&gt;0,", "&amp;AA$2,"")&amp;IF(N(AB71)&gt;0,", "&amp;AB$2,"")&amp;IF(N(AC71)&gt;0,", "&amp;AC$2,"")&amp;IF(N(AD71)&gt;0,", "&amp;AD$2,"")&amp;IF(N(AE71)&gt;0,", "&amp;AE$2,"")&amp;IF(N(AF71)&gt;0,", "&amp;AF$2,"")&amp;IF(N(AG71)&gt;0,", "&amp;AG$2,"")&amp;IF(N(AH71)&gt;0,", "&amp;AH$2,"")&amp;IF(N(AI71)&gt;0,", "&amp;AI$2,"")&amp;IF(N(AJ71)&gt;0,", "&amp;AJ$2,""),3,999)</f>
        <v/>
      </c>
      <c r="AM71" s="87" t="str">
        <f aca="false">IF(E71="","",MID(IF(N(Y71)&gt;0,", "&amp;A71&amp;"-"&amp;Y$2,"")&amp;IF(N(Z71)&gt;0,", "&amp;A71&amp;"-"&amp;Z$2,"")&amp;IF(N(AA71)&gt;0,", "&amp;A71&amp;"-"&amp;AA$2,"")&amp;IF(N(AB71)&gt;0,", "&amp;A71&amp;"-"&amp;AB$2,"")&amp;IF(N(AC71)&gt;0,", "&amp;A71&amp;"-"&amp;AC$2,"")&amp;IF(N(AD71)&gt;0,", "&amp;A71&amp;"-"&amp;AD$2,"")&amp;IF(N(AE71)&gt;0,", "&amp;A71&amp;"-"&amp;AE$2,"")&amp;IF(N(AF71)&gt;0,", "&amp;A71&amp;"-"&amp;AF$2,"")&amp;IF(N(AG71)&gt;0,", "&amp;A71&amp;"-"&amp;AG$2,"")&amp;IF(N(AH71)&gt;0,", "&amp;A71&amp;"-"&amp;AH$2,"")&amp;IF(N(AI71)&gt;0,", "&amp;A71&amp;"-"&amp;AI$2,"")&amp;IF(N(AJ71)&gt;0,", "&amp;A71&amp;"-"&amp;AJ$2,""),3,999))</f>
        <v/>
      </c>
      <c r="AN71" s="81"/>
      <c r="AO71" s="88"/>
      <c r="AP71" s="89" t="str">
        <f aca="false">IF(AO71="","",ROUND(AO71/(1+Справочники!$B$13),2))</f>
        <v/>
      </c>
      <c r="AQ71" s="90" t="str">
        <f aca="false" t="array" ref="AQ71:AQ71">IF(AP71="","",AP71*INDEX(Справочники!$B$4:$B$7,MATCH("RUB",Справочники!$A$4:$A$7,0)))</f>
        <v/>
      </c>
      <c r="AR71" s="90" t="str">
        <f aca="false">IF(AQ71="","",ROUND(AQ71*(1+Справочники!$B$12),0))</f>
        <v/>
      </c>
      <c r="AS71" s="90" t="str">
        <f aca="false">IF(AR71="","",ROUND(AR71*(1-Справочники!$B$11),0))</f>
        <v/>
      </c>
      <c r="AT71" s="88"/>
      <c r="AU71" s="90" t="str">
        <f aca="false">IF(AT71="","",ROUND(AT71/(1+Справочники!$B$12),0))</f>
        <v/>
      </c>
      <c r="AV71" s="90" t="str">
        <f aca="false">IF(AT71="","",ROUND(AT71*(1-Справочники!$B$15),0))</f>
        <v/>
      </c>
      <c r="AW71" s="90" t="str">
        <f aca="false">IF(AT71="","",ROUND(AT71*(1-Справочники!$B$16),0))</f>
        <v/>
      </c>
      <c r="AX71" s="90" t="str">
        <f aca="false">IF(AT71="","",ROUND(AT71*(1-Справочники!$B$17),0))</f>
        <v/>
      </c>
      <c r="AY71" s="90" t="str">
        <f aca="false">IF(AT71="","",ROUND(AT71*(1-Справочники!$B$18),0))</f>
        <v/>
      </c>
      <c r="AZ71" s="90" t="str">
        <f aca="false">IF(AT71="","",ROUND(AT71*(1-Справочники!$B$19),0))</f>
        <v/>
      </c>
      <c r="BA71" s="81"/>
      <c r="BB71" s="81"/>
      <c r="BC71" s="81"/>
      <c r="BD71" s="81"/>
      <c r="BE71" s="91"/>
      <c r="BF71" s="81" t="s">
        <v>103</v>
      </c>
      <c r="BG71" s="89" t="n">
        <f aca="false" t="array" ref="BG71:BG71">IF(BF71="","",IFERROR(INDEX(Справочники!$B$4:$B$7,MATCH(BF71,Справочники!$A$4:$A$7,0)),""))</f>
        <v>68.5</v>
      </c>
      <c r="BH71" s="90" t="str">
        <f aca="false">IF(N(BN71)&gt;0,ROUND(SUMIF(ЗАКАЗЫ!$F$3:$F$500,$A71,ЗАКАЗЫ!$Y$3:$Y$500)/BN71,0),IF(OR(BE71="",BG71=""),"",ROUND(BE71*BG71*(1+Справочники!$B$10),0)))</f>
        <v/>
      </c>
      <c r="BI71" s="92" t="str">
        <f aca="false">IF(OR(AU71="",BH71="",AU71=0),"",(AU71-BH71)/AU71)</f>
        <v/>
      </c>
      <c r="BJ71" s="81"/>
      <c r="BK71" s="83"/>
      <c r="BL71" s="43" t="str">
        <f aca="false">IFERROR(INDEX(ЗАКАЗЫ!$N$3:$N$500,MATCH($A71,ЗАКАЗЫ!$F$3:$F$500,0)),"")</f>
        <v/>
      </c>
      <c r="BM71" s="8" t="str">
        <f aca="false">IF(BL71="","",IFERROR(VLOOKUP(BL71,'ТН ВЭД'!$A$4:$C$40,3,0),""))</f>
        <v/>
      </c>
      <c r="BN71" s="7" t="str">
        <f aca="false">IF(COUNTIF(ЗАКАЗЫ!$F$3:$F$500,$A71)=0,"",SUMIF(ЗАКАЗЫ!$F$3:$F$500,$A71,ЗАКАЗЫ!$J$3:$J$500))</f>
        <v/>
      </c>
      <c r="BO71" s="7" t="str">
        <f aca="false">IF(BN71="","",SUMIF(ЗАКАЗЫ!$F$3:$F$500,$A71,ЗАКАЗЫ!$AL$3:$AL$500))</f>
        <v/>
      </c>
      <c r="BP71" s="7" t="str">
        <f aca="false">IF(BN71="","",BN71-BO71)</f>
        <v/>
      </c>
      <c r="BQ71" s="55" t="str">
        <f aca="false">IF(BN71="","",IF(BO71&gt;=BN71,"На складе",IF(BO71&gt;0,"Частично","Ждём")))</f>
        <v/>
      </c>
      <c r="BR71" s="43"/>
      <c r="BS71" s="47" t="str">
        <f aca="false">IF(BN71="","",IF(_xlfn.MAXIFS(ЗАКАЗЫ!$AK$3:$AK$500,ЗАКАЗЫ!$F$3:$F$500,$A71)=0,"",_xlfn.MAXIFS(ЗАКАЗЫ!$AK$3:$AK$500,ЗАКАЗЫ!$F$3:$F$500,$A71)))</f>
        <v/>
      </c>
    </row>
    <row r="72" customFormat="false" ht="15.75" hidden="false" customHeight="true" outlineLevel="0" collapsed="false">
      <c r="A72" s="80" t="s">
        <v>2983</v>
      </c>
      <c r="B72" s="81"/>
      <c r="C72" s="81"/>
      <c r="D72" s="81"/>
      <c r="E72" s="83"/>
      <c r="F72" s="81"/>
      <c r="G72" s="83"/>
      <c r="H72" s="83"/>
      <c r="I72" s="84" t="str">
        <f aca="false">IF(E72="","",A72&amp;"_1.jpg")</f>
        <v/>
      </c>
      <c r="J72" s="84" t="str">
        <f aca="false">IF(E72="","",A72&amp;"_2.jpg; "&amp;A72&amp;"_3.jpg")</f>
        <v/>
      </c>
      <c r="K72" s="84" t="str">
        <f aca="false">IF(E72="","",A72&amp;"_schema.jpg")</f>
        <v/>
      </c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 t="s">
        <v>96</v>
      </c>
      <c r="W72" s="81"/>
      <c r="X72" s="81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6" t="str">
        <f aca="false">IF(SUM(Y72:AJ72)=0,"",SUM(Y72:AJ72))</f>
        <v/>
      </c>
      <c r="AL72" s="84" t="str">
        <f aca="false">MID(IF(N(Y72)&gt;0,", "&amp;Y$2,"")&amp;IF(N(Z72)&gt;0,", "&amp;Z$2,"")&amp;IF(N(AA72)&gt;0,", "&amp;AA$2,"")&amp;IF(N(AB72)&gt;0,", "&amp;AB$2,"")&amp;IF(N(AC72)&gt;0,", "&amp;AC$2,"")&amp;IF(N(AD72)&gt;0,", "&amp;AD$2,"")&amp;IF(N(AE72)&gt;0,", "&amp;AE$2,"")&amp;IF(N(AF72)&gt;0,", "&amp;AF$2,"")&amp;IF(N(AG72)&gt;0,", "&amp;AG$2,"")&amp;IF(N(AH72)&gt;0,", "&amp;AH$2,"")&amp;IF(N(AI72)&gt;0,", "&amp;AI$2,"")&amp;IF(N(AJ72)&gt;0,", "&amp;AJ$2,""),3,999)</f>
        <v/>
      </c>
      <c r="AM72" s="87" t="str">
        <f aca="false">IF(E72="","",MID(IF(N(Y72)&gt;0,", "&amp;A72&amp;"-"&amp;Y$2,"")&amp;IF(N(Z72)&gt;0,", "&amp;A72&amp;"-"&amp;Z$2,"")&amp;IF(N(AA72)&gt;0,", "&amp;A72&amp;"-"&amp;AA$2,"")&amp;IF(N(AB72)&gt;0,", "&amp;A72&amp;"-"&amp;AB$2,"")&amp;IF(N(AC72)&gt;0,", "&amp;A72&amp;"-"&amp;AC$2,"")&amp;IF(N(AD72)&gt;0,", "&amp;A72&amp;"-"&amp;AD$2,"")&amp;IF(N(AE72)&gt;0,", "&amp;A72&amp;"-"&amp;AE$2,"")&amp;IF(N(AF72)&gt;0,", "&amp;A72&amp;"-"&amp;AF$2,"")&amp;IF(N(AG72)&gt;0,", "&amp;A72&amp;"-"&amp;AG$2,"")&amp;IF(N(AH72)&gt;0,", "&amp;A72&amp;"-"&amp;AH$2,"")&amp;IF(N(AI72)&gt;0,", "&amp;A72&amp;"-"&amp;AI$2,"")&amp;IF(N(AJ72)&gt;0,", "&amp;A72&amp;"-"&amp;AJ$2,""),3,999))</f>
        <v/>
      </c>
      <c r="AN72" s="81"/>
      <c r="AO72" s="88"/>
      <c r="AP72" s="89" t="str">
        <f aca="false">IF(AO72="","",ROUND(AO72/(1+Справочники!$B$13),2))</f>
        <v/>
      </c>
      <c r="AQ72" s="90" t="str">
        <f aca="false" t="array" ref="AQ72:AQ72">IF(AP72="","",AP72*INDEX(Справочники!$B$4:$B$7,MATCH("RUB",Справочники!$A$4:$A$7,0)))</f>
        <v/>
      </c>
      <c r="AR72" s="90" t="str">
        <f aca="false">IF(AQ72="","",ROUND(AQ72*(1+Справочники!$B$12),0))</f>
        <v/>
      </c>
      <c r="AS72" s="90" t="str">
        <f aca="false">IF(AR72="","",ROUND(AR72*(1-Справочники!$B$11),0))</f>
        <v/>
      </c>
      <c r="AT72" s="88"/>
      <c r="AU72" s="90" t="str">
        <f aca="false">IF(AT72="","",ROUND(AT72/(1+Справочники!$B$12),0))</f>
        <v/>
      </c>
      <c r="AV72" s="90" t="str">
        <f aca="false">IF(AT72="","",ROUND(AT72*(1-Справочники!$B$15),0))</f>
        <v/>
      </c>
      <c r="AW72" s="90" t="str">
        <f aca="false">IF(AT72="","",ROUND(AT72*(1-Справочники!$B$16),0))</f>
        <v/>
      </c>
      <c r="AX72" s="90" t="str">
        <f aca="false">IF(AT72="","",ROUND(AT72*(1-Справочники!$B$17),0))</f>
        <v/>
      </c>
      <c r="AY72" s="90" t="str">
        <f aca="false">IF(AT72="","",ROUND(AT72*(1-Справочники!$B$18),0))</f>
        <v/>
      </c>
      <c r="AZ72" s="90" t="str">
        <f aca="false">IF(AT72="","",ROUND(AT72*(1-Справочники!$B$19),0))</f>
        <v/>
      </c>
      <c r="BA72" s="81"/>
      <c r="BB72" s="81"/>
      <c r="BC72" s="81"/>
      <c r="BD72" s="81"/>
      <c r="BE72" s="91"/>
      <c r="BF72" s="81" t="s">
        <v>103</v>
      </c>
      <c r="BG72" s="89" t="n">
        <f aca="false" t="array" ref="BG72:BG72">IF(BF72="","",IFERROR(INDEX(Справочники!$B$4:$B$7,MATCH(BF72,Справочники!$A$4:$A$7,0)),""))</f>
        <v>68.5</v>
      </c>
      <c r="BH72" s="90" t="str">
        <f aca="false">IF(N(BN72)&gt;0,ROUND(SUMIF(ЗАКАЗЫ!$F$3:$F$500,$A72,ЗАКАЗЫ!$Y$3:$Y$500)/BN72,0),IF(OR(BE72="",BG72=""),"",ROUND(BE72*BG72*(1+Справочники!$B$10),0)))</f>
        <v/>
      </c>
      <c r="BI72" s="92" t="str">
        <f aca="false">IF(OR(AU72="",BH72="",AU72=0),"",(AU72-BH72)/AU72)</f>
        <v/>
      </c>
      <c r="BJ72" s="81"/>
      <c r="BK72" s="83"/>
      <c r="BL72" s="43" t="str">
        <f aca="false">IFERROR(INDEX(ЗАКАЗЫ!$N$3:$N$500,MATCH($A72,ЗАКАЗЫ!$F$3:$F$500,0)),"")</f>
        <v/>
      </c>
      <c r="BM72" s="8" t="str">
        <f aca="false">IF(BL72="","",IFERROR(VLOOKUP(BL72,'ТН ВЭД'!$A$4:$C$40,3,0),""))</f>
        <v/>
      </c>
      <c r="BN72" s="7" t="str">
        <f aca="false">IF(COUNTIF(ЗАКАЗЫ!$F$3:$F$500,$A72)=0,"",SUMIF(ЗАКАЗЫ!$F$3:$F$500,$A72,ЗАКАЗЫ!$J$3:$J$500))</f>
        <v/>
      </c>
      <c r="BO72" s="7" t="str">
        <f aca="false">IF(BN72="","",SUMIF(ЗАКАЗЫ!$F$3:$F$500,$A72,ЗАКАЗЫ!$AL$3:$AL$500))</f>
        <v/>
      </c>
      <c r="BP72" s="7" t="str">
        <f aca="false">IF(BN72="","",BN72-BO72)</f>
        <v/>
      </c>
      <c r="BQ72" s="55" t="str">
        <f aca="false">IF(BN72="","",IF(BO72&gt;=BN72,"На складе",IF(BO72&gt;0,"Частично","Ждём")))</f>
        <v/>
      </c>
      <c r="BR72" s="43"/>
      <c r="BS72" s="47" t="str">
        <f aca="false">IF(BN72="","",IF(_xlfn.MAXIFS(ЗАКАЗЫ!$AK$3:$AK$500,ЗАКАЗЫ!$F$3:$F$500,$A72)=0,"",_xlfn.MAXIFS(ЗАКАЗЫ!$AK$3:$AK$500,ЗАКАЗЫ!$F$3:$F$500,$A72)))</f>
        <v/>
      </c>
    </row>
    <row r="73" customFormat="false" ht="15.75" hidden="false" customHeight="true" outlineLevel="0" collapsed="false">
      <c r="A73" s="80" t="s">
        <v>2984</v>
      </c>
      <c r="B73" s="81"/>
      <c r="C73" s="81"/>
      <c r="D73" s="81"/>
      <c r="E73" s="83"/>
      <c r="F73" s="81"/>
      <c r="G73" s="83"/>
      <c r="H73" s="83"/>
      <c r="I73" s="84" t="str">
        <f aca="false">IF(E73="","",A73&amp;"_1.jpg")</f>
        <v/>
      </c>
      <c r="J73" s="84" t="str">
        <f aca="false">IF(E73="","",A73&amp;"_2.jpg; "&amp;A73&amp;"_3.jpg")</f>
        <v/>
      </c>
      <c r="K73" s="84" t="str">
        <f aca="false">IF(E73="","",A73&amp;"_schema.jpg")</f>
        <v/>
      </c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 t="s">
        <v>96</v>
      </c>
      <c r="W73" s="81"/>
      <c r="X73" s="81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6" t="str">
        <f aca="false">IF(SUM(Y73:AJ73)=0,"",SUM(Y73:AJ73))</f>
        <v/>
      </c>
      <c r="AL73" s="84" t="str">
        <f aca="false">MID(IF(N(Y73)&gt;0,", "&amp;Y$2,"")&amp;IF(N(Z73)&gt;0,", "&amp;Z$2,"")&amp;IF(N(AA73)&gt;0,", "&amp;AA$2,"")&amp;IF(N(AB73)&gt;0,", "&amp;AB$2,"")&amp;IF(N(AC73)&gt;0,", "&amp;AC$2,"")&amp;IF(N(AD73)&gt;0,", "&amp;AD$2,"")&amp;IF(N(AE73)&gt;0,", "&amp;AE$2,"")&amp;IF(N(AF73)&gt;0,", "&amp;AF$2,"")&amp;IF(N(AG73)&gt;0,", "&amp;AG$2,"")&amp;IF(N(AH73)&gt;0,", "&amp;AH$2,"")&amp;IF(N(AI73)&gt;0,", "&amp;AI$2,"")&amp;IF(N(AJ73)&gt;0,", "&amp;AJ$2,""),3,999)</f>
        <v/>
      </c>
      <c r="AM73" s="87" t="str">
        <f aca="false">IF(E73="","",MID(IF(N(Y73)&gt;0,", "&amp;A73&amp;"-"&amp;Y$2,"")&amp;IF(N(Z73)&gt;0,", "&amp;A73&amp;"-"&amp;Z$2,"")&amp;IF(N(AA73)&gt;0,", "&amp;A73&amp;"-"&amp;AA$2,"")&amp;IF(N(AB73)&gt;0,", "&amp;A73&amp;"-"&amp;AB$2,"")&amp;IF(N(AC73)&gt;0,", "&amp;A73&amp;"-"&amp;AC$2,"")&amp;IF(N(AD73)&gt;0,", "&amp;A73&amp;"-"&amp;AD$2,"")&amp;IF(N(AE73)&gt;0,", "&amp;A73&amp;"-"&amp;AE$2,"")&amp;IF(N(AF73)&gt;0,", "&amp;A73&amp;"-"&amp;AF$2,"")&amp;IF(N(AG73)&gt;0,", "&amp;A73&amp;"-"&amp;AG$2,"")&amp;IF(N(AH73)&gt;0,", "&amp;A73&amp;"-"&amp;AH$2,"")&amp;IF(N(AI73)&gt;0,", "&amp;A73&amp;"-"&amp;AI$2,"")&amp;IF(N(AJ73)&gt;0,", "&amp;A73&amp;"-"&amp;AJ$2,""),3,999))</f>
        <v/>
      </c>
      <c r="AN73" s="81"/>
      <c r="AO73" s="88"/>
      <c r="AP73" s="89" t="str">
        <f aca="false">IF(AO73="","",ROUND(AO73/(1+Справочники!$B$13),2))</f>
        <v/>
      </c>
      <c r="AQ73" s="90" t="str">
        <f aca="false" t="array" ref="AQ73:AQ73">IF(AP73="","",AP73*INDEX(Справочники!$B$4:$B$7,MATCH("RUB",Справочники!$A$4:$A$7,0)))</f>
        <v/>
      </c>
      <c r="AR73" s="90" t="str">
        <f aca="false">IF(AQ73="","",ROUND(AQ73*(1+Справочники!$B$12),0))</f>
        <v/>
      </c>
      <c r="AS73" s="90" t="str">
        <f aca="false">IF(AR73="","",ROUND(AR73*(1-Справочники!$B$11),0))</f>
        <v/>
      </c>
      <c r="AT73" s="88"/>
      <c r="AU73" s="90" t="str">
        <f aca="false">IF(AT73="","",ROUND(AT73/(1+Справочники!$B$12),0))</f>
        <v/>
      </c>
      <c r="AV73" s="90" t="str">
        <f aca="false">IF(AT73="","",ROUND(AT73*(1-Справочники!$B$15),0))</f>
        <v/>
      </c>
      <c r="AW73" s="90" t="str">
        <f aca="false">IF(AT73="","",ROUND(AT73*(1-Справочники!$B$16),0))</f>
        <v/>
      </c>
      <c r="AX73" s="90" t="str">
        <f aca="false">IF(AT73="","",ROUND(AT73*(1-Справочники!$B$17),0))</f>
        <v/>
      </c>
      <c r="AY73" s="90" t="str">
        <f aca="false">IF(AT73="","",ROUND(AT73*(1-Справочники!$B$18),0))</f>
        <v/>
      </c>
      <c r="AZ73" s="90" t="str">
        <f aca="false">IF(AT73="","",ROUND(AT73*(1-Справочники!$B$19),0))</f>
        <v/>
      </c>
      <c r="BA73" s="81"/>
      <c r="BB73" s="81"/>
      <c r="BC73" s="81"/>
      <c r="BD73" s="81"/>
      <c r="BE73" s="91"/>
      <c r="BF73" s="81" t="s">
        <v>103</v>
      </c>
      <c r="BG73" s="89" t="n">
        <f aca="false" t="array" ref="BG73:BG73">IF(BF73="","",IFERROR(INDEX(Справочники!$B$4:$B$7,MATCH(BF73,Справочники!$A$4:$A$7,0)),""))</f>
        <v>68.5</v>
      </c>
      <c r="BH73" s="90" t="str">
        <f aca="false">IF(N(BN73)&gt;0,ROUND(SUMIF(ЗАКАЗЫ!$F$3:$F$500,$A73,ЗАКАЗЫ!$Y$3:$Y$500)/BN73,0),IF(OR(BE73="",BG73=""),"",ROUND(BE73*BG73*(1+Справочники!$B$10),0)))</f>
        <v/>
      </c>
      <c r="BI73" s="92" t="str">
        <f aca="false">IF(OR(AU73="",BH73="",AU73=0),"",(AU73-BH73)/AU73)</f>
        <v/>
      </c>
      <c r="BJ73" s="81"/>
      <c r="BK73" s="83"/>
      <c r="BL73" s="43" t="str">
        <f aca="false">IFERROR(INDEX(ЗАКАЗЫ!$N$3:$N$500,MATCH($A73,ЗАКАЗЫ!$F$3:$F$500,0)),"")</f>
        <v/>
      </c>
      <c r="BM73" s="8" t="str">
        <f aca="false">IF(BL73="","",IFERROR(VLOOKUP(BL73,'ТН ВЭД'!$A$4:$C$40,3,0),""))</f>
        <v/>
      </c>
      <c r="BN73" s="7" t="str">
        <f aca="false">IF(COUNTIF(ЗАКАЗЫ!$F$3:$F$500,$A73)=0,"",SUMIF(ЗАКАЗЫ!$F$3:$F$500,$A73,ЗАКАЗЫ!$J$3:$J$500))</f>
        <v/>
      </c>
      <c r="BO73" s="7" t="str">
        <f aca="false">IF(BN73="","",SUMIF(ЗАКАЗЫ!$F$3:$F$500,$A73,ЗАКАЗЫ!$AL$3:$AL$500))</f>
        <v/>
      </c>
      <c r="BP73" s="7" t="str">
        <f aca="false">IF(BN73="","",BN73-BO73)</f>
        <v/>
      </c>
      <c r="BQ73" s="55" t="str">
        <f aca="false">IF(BN73="","",IF(BO73&gt;=BN73,"На складе",IF(BO73&gt;0,"Частично","Ждём")))</f>
        <v/>
      </c>
      <c r="BR73" s="43"/>
      <c r="BS73" s="47" t="str">
        <f aca="false">IF(BN73="","",IF(_xlfn.MAXIFS(ЗАКАЗЫ!$AK$3:$AK$500,ЗАКАЗЫ!$F$3:$F$500,$A73)=0,"",_xlfn.MAXIFS(ЗАКАЗЫ!$AK$3:$AK$500,ЗАКАЗЫ!$F$3:$F$500,$A73)))</f>
        <v/>
      </c>
    </row>
    <row r="74" customFormat="false" ht="15.75" hidden="false" customHeight="true" outlineLevel="0" collapsed="false">
      <c r="A74" s="80" t="s">
        <v>2985</v>
      </c>
      <c r="B74" s="81"/>
      <c r="C74" s="81"/>
      <c r="D74" s="81"/>
      <c r="E74" s="83"/>
      <c r="F74" s="81"/>
      <c r="G74" s="83"/>
      <c r="H74" s="83"/>
      <c r="I74" s="84" t="str">
        <f aca="false">IF(E74="","",A74&amp;"_1.jpg")</f>
        <v/>
      </c>
      <c r="J74" s="84" t="str">
        <f aca="false">IF(E74="","",A74&amp;"_2.jpg; "&amp;A74&amp;"_3.jpg")</f>
        <v/>
      </c>
      <c r="K74" s="84" t="str">
        <f aca="false">IF(E74="","",A74&amp;"_schema.jpg")</f>
        <v/>
      </c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 t="s">
        <v>96</v>
      </c>
      <c r="W74" s="81"/>
      <c r="X74" s="81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6" t="str">
        <f aca="false">IF(SUM(Y74:AJ74)=0,"",SUM(Y74:AJ74))</f>
        <v/>
      </c>
      <c r="AL74" s="84" t="str">
        <f aca="false">MID(IF(N(Y74)&gt;0,", "&amp;Y$2,"")&amp;IF(N(Z74)&gt;0,", "&amp;Z$2,"")&amp;IF(N(AA74)&gt;0,", "&amp;AA$2,"")&amp;IF(N(AB74)&gt;0,", "&amp;AB$2,"")&amp;IF(N(AC74)&gt;0,", "&amp;AC$2,"")&amp;IF(N(AD74)&gt;0,", "&amp;AD$2,"")&amp;IF(N(AE74)&gt;0,", "&amp;AE$2,"")&amp;IF(N(AF74)&gt;0,", "&amp;AF$2,"")&amp;IF(N(AG74)&gt;0,", "&amp;AG$2,"")&amp;IF(N(AH74)&gt;0,", "&amp;AH$2,"")&amp;IF(N(AI74)&gt;0,", "&amp;AI$2,"")&amp;IF(N(AJ74)&gt;0,", "&amp;AJ$2,""),3,999)</f>
        <v/>
      </c>
      <c r="AM74" s="87" t="str">
        <f aca="false">IF(E74="","",MID(IF(N(Y74)&gt;0,", "&amp;A74&amp;"-"&amp;Y$2,"")&amp;IF(N(Z74)&gt;0,", "&amp;A74&amp;"-"&amp;Z$2,"")&amp;IF(N(AA74)&gt;0,", "&amp;A74&amp;"-"&amp;AA$2,"")&amp;IF(N(AB74)&gt;0,", "&amp;A74&amp;"-"&amp;AB$2,"")&amp;IF(N(AC74)&gt;0,", "&amp;A74&amp;"-"&amp;AC$2,"")&amp;IF(N(AD74)&gt;0,", "&amp;A74&amp;"-"&amp;AD$2,"")&amp;IF(N(AE74)&gt;0,", "&amp;A74&amp;"-"&amp;AE$2,"")&amp;IF(N(AF74)&gt;0,", "&amp;A74&amp;"-"&amp;AF$2,"")&amp;IF(N(AG74)&gt;0,", "&amp;A74&amp;"-"&amp;AG$2,"")&amp;IF(N(AH74)&gt;0,", "&amp;A74&amp;"-"&amp;AH$2,"")&amp;IF(N(AI74)&gt;0,", "&amp;A74&amp;"-"&amp;AI$2,"")&amp;IF(N(AJ74)&gt;0,", "&amp;A74&amp;"-"&amp;AJ$2,""),3,999))</f>
        <v/>
      </c>
      <c r="AN74" s="81"/>
      <c r="AO74" s="88"/>
      <c r="AP74" s="89" t="str">
        <f aca="false">IF(AO74="","",ROUND(AO74/(1+Справочники!$B$13),2))</f>
        <v/>
      </c>
      <c r="AQ74" s="90" t="str">
        <f aca="false" t="array" ref="AQ74:AQ74">IF(AP74="","",AP74*INDEX(Справочники!$B$4:$B$7,MATCH("RUB",Справочники!$A$4:$A$7,0)))</f>
        <v/>
      </c>
      <c r="AR74" s="90" t="str">
        <f aca="false">IF(AQ74="","",ROUND(AQ74*(1+Справочники!$B$12),0))</f>
        <v/>
      </c>
      <c r="AS74" s="90" t="str">
        <f aca="false">IF(AR74="","",ROUND(AR74*(1-Справочники!$B$11),0))</f>
        <v/>
      </c>
      <c r="AT74" s="88"/>
      <c r="AU74" s="90" t="str">
        <f aca="false">IF(AT74="","",ROUND(AT74/(1+Справочники!$B$12),0))</f>
        <v/>
      </c>
      <c r="AV74" s="90" t="str">
        <f aca="false">IF(AT74="","",ROUND(AT74*(1-Справочники!$B$15),0))</f>
        <v/>
      </c>
      <c r="AW74" s="90" t="str">
        <f aca="false">IF(AT74="","",ROUND(AT74*(1-Справочники!$B$16),0))</f>
        <v/>
      </c>
      <c r="AX74" s="90" t="str">
        <f aca="false">IF(AT74="","",ROUND(AT74*(1-Справочники!$B$17),0))</f>
        <v/>
      </c>
      <c r="AY74" s="90" t="str">
        <f aca="false">IF(AT74="","",ROUND(AT74*(1-Справочники!$B$18),0))</f>
        <v/>
      </c>
      <c r="AZ74" s="90" t="str">
        <f aca="false">IF(AT74="","",ROUND(AT74*(1-Справочники!$B$19),0))</f>
        <v/>
      </c>
      <c r="BA74" s="81"/>
      <c r="BB74" s="81"/>
      <c r="BC74" s="81"/>
      <c r="BD74" s="81"/>
      <c r="BE74" s="91"/>
      <c r="BF74" s="81" t="s">
        <v>103</v>
      </c>
      <c r="BG74" s="89" t="n">
        <f aca="false" t="array" ref="BG74:BG74">IF(BF74="","",IFERROR(INDEX(Справочники!$B$4:$B$7,MATCH(BF74,Справочники!$A$4:$A$7,0)),""))</f>
        <v>68.5</v>
      </c>
      <c r="BH74" s="90" t="str">
        <f aca="false">IF(N(BN74)&gt;0,ROUND(SUMIF(ЗАКАЗЫ!$F$3:$F$500,$A74,ЗАКАЗЫ!$Y$3:$Y$500)/BN74,0),IF(OR(BE74="",BG74=""),"",ROUND(BE74*BG74*(1+Справочники!$B$10),0)))</f>
        <v/>
      </c>
      <c r="BI74" s="92" t="str">
        <f aca="false">IF(OR(AU74="",BH74="",AU74=0),"",(AU74-BH74)/AU74)</f>
        <v/>
      </c>
      <c r="BJ74" s="81"/>
      <c r="BK74" s="83"/>
      <c r="BL74" s="43" t="str">
        <f aca="false">IFERROR(INDEX(ЗАКАЗЫ!$N$3:$N$500,MATCH($A74,ЗАКАЗЫ!$F$3:$F$500,0)),"")</f>
        <v/>
      </c>
      <c r="BM74" s="8" t="str">
        <f aca="false">IF(BL74="","",IFERROR(VLOOKUP(BL74,'ТН ВЭД'!$A$4:$C$40,3,0),""))</f>
        <v/>
      </c>
      <c r="BN74" s="7" t="str">
        <f aca="false">IF(COUNTIF(ЗАКАЗЫ!$F$3:$F$500,$A74)=0,"",SUMIF(ЗАКАЗЫ!$F$3:$F$500,$A74,ЗАКАЗЫ!$J$3:$J$500))</f>
        <v/>
      </c>
      <c r="BO74" s="7" t="str">
        <f aca="false">IF(BN74="","",SUMIF(ЗАКАЗЫ!$F$3:$F$500,$A74,ЗАКАЗЫ!$AL$3:$AL$500))</f>
        <v/>
      </c>
      <c r="BP74" s="7" t="str">
        <f aca="false">IF(BN74="","",BN74-BO74)</f>
        <v/>
      </c>
      <c r="BQ74" s="55" t="str">
        <f aca="false">IF(BN74="","",IF(BO74&gt;=BN74,"На складе",IF(BO74&gt;0,"Частично","Ждём")))</f>
        <v/>
      </c>
      <c r="BR74" s="43"/>
      <c r="BS74" s="47" t="str">
        <f aca="false">IF(BN74="","",IF(_xlfn.MAXIFS(ЗАКАЗЫ!$AK$3:$AK$500,ЗАКАЗЫ!$F$3:$F$500,$A74)=0,"",_xlfn.MAXIFS(ЗАКАЗЫ!$AK$3:$AK$500,ЗАКАЗЫ!$F$3:$F$500,$A74)))</f>
        <v/>
      </c>
    </row>
    <row r="75" customFormat="false" ht="15.75" hidden="false" customHeight="true" outlineLevel="0" collapsed="false">
      <c r="A75" s="80" t="s">
        <v>2986</v>
      </c>
      <c r="B75" s="81"/>
      <c r="C75" s="81"/>
      <c r="D75" s="81"/>
      <c r="E75" s="83"/>
      <c r="F75" s="81"/>
      <c r="G75" s="83"/>
      <c r="H75" s="83"/>
      <c r="I75" s="84" t="str">
        <f aca="false">IF(E75="","",A75&amp;"_1.jpg")</f>
        <v/>
      </c>
      <c r="J75" s="84" t="str">
        <f aca="false">IF(E75="","",A75&amp;"_2.jpg; "&amp;A75&amp;"_3.jpg")</f>
        <v/>
      </c>
      <c r="K75" s="84" t="str">
        <f aca="false">IF(E75="","",A75&amp;"_schema.jpg")</f>
        <v/>
      </c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 t="s">
        <v>96</v>
      </c>
      <c r="W75" s="81"/>
      <c r="X75" s="81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6" t="str">
        <f aca="false">IF(SUM(Y75:AJ75)=0,"",SUM(Y75:AJ75))</f>
        <v/>
      </c>
      <c r="AL75" s="84" t="str">
        <f aca="false">MID(IF(N(Y75)&gt;0,", "&amp;Y$2,"")&amp;IF(N(Z75)&gt;0,", "&amp;Z$2,"")&amp;IF(N(AA75)&gt;0,", "&amp;AA$2,"")&amp;IF(N(AB75)&gt;0,", "&amp;AB$2,"")&amp;IF(N(AC75)&gt;0,", "&amp;AC$2,"")&amp;IF(N(AD75)&gt;0,", "&amp;AD$2,"")&amp;IF(N(AE75)&gt;0,", "&amp;AE$2,"")&amp;IF(N(AF75)&gt;0,", "&amp;AF$2,"")&amp;IF(N(AG75)&gt;0,", "&amp;AG$2,"")&amp;IF(N(AH75)&gt;0,", "&amp;AH$2,"")&amp;IF(N(AI75)&gt;0,", "&amp;AI$2,"")&amp;IF(N(AJ75)&gt;0,", "&amp;AJ$2,""),3,999)</f>
        <v/>
      </c>
      <c r="AM75" s="87" t="str">
        <f aca="false">IF(E75="","",MID(IF(N(Y75)&gt;0,", "&amp;A75&amp;"-"&amp;Y$2,"")&amp;IF(N(Z75)&gt;0,", "&amp;A75&amp;"-"&amp;Z$2,"")&amp;IF(N(AA75)&gt;0,", "&amp;A75&amp;"-"&amp;AA$2,"")&amp;IF(N(AB75)&gt;0,", "&amp;A75&amp;"-"&amp;AB$2,"")&amp;IF(N(AC75)&gt;0,", "&amp;A75&amp;"-"&amp;AC$2,"")&amp;IF(N(AD75)&gt;0,", "&amp;A75&amp;"-"&amp;AD$2,"")&amp;IF(N(AE75)&gt;0,", "&amp;A75&amp;"-"&amp;AE$2,"")&amp;IF(N(AF75)&gt;0,", "&amp;A75&amp;"-"&amp;AF$2,"")&amp;IF(N(AG75)&gt;0,", "&amp;A75&amp;"-"&amp;AG$2,"")&amp;IF(N(AH75)&gt;0,", "&amp;A75&amp;"-"&amp;AH$2,"")&amp;IF(N(AI75)&gt;0,", "&amp;A75&amp;"-"&amp;AI$2,"")&amp;IF(N(AJ75)&gt;0,", "&amp;A75&amp;"-"&amp;AJ$2,""),3,999))</f>
        <v/>
      </c>
      <c r="AN75" s="81"/>
      <c r="AO75" s="88"/>
      <c r="AP75" s="89" t="str">
        <f aca="false">IF(AO75="","",ROUND(AO75/(1+Справочники!$B$13),2))</f>
        <v/>
      </c>
      <c r="AQ75" s="90" t="str">
        <f aca="false" t="array" ref="AQ75:AQ75">IF(AP75="","",AP75*INDEX(Справочники!$B$4:$B$7,MATCH("RUB",Справочники!$A$4:$A$7,0)))</f>
        <v/>
      </c>
      <c r="AR75" s="90" t="str">
        <f aca="false">IF(AQ75="","",ROUND(AQ75*(1+Справочники!$B$12),0))</f>
        <v/>
      </c>
      <c r="AS75" s="90" t="str">
        <f aca="false">IF(AR75="","",ROUND(AR75*(1-Справочники!$B$11),0))</f>
        <v/>
      </c>
      <c r="AT75" s="88"/>
      <c r="AU75" s="90" t="str">
        <f aca="false">IF(AT75="","",ROUND(AT75/(1+Справочники!$B$12),0))</f>
        <v/>
      </c>
      <c r="AV75" s="90" t="str">
        <f aca="false">IF(AT75="","",ROUND(AT75*(1-Справочники!$B$15),0))</f>
        <v/>
      </c>
      <c r="AW75" s="90" t="str">
        <f aca="false">IF(AT75="","",ROUND(AT75*(1-Справочники!$B$16),0))</f>
        <v/>
      </c>
      <c r="AX75" s="90" t="str">
        <f aca="false">IF(AT75="","",ROUND(AT75*(1-Справочники!$B$17),0))</f>
        <v/>
      </c>
      <c r="AY75" s="90" t="str">
        <f aca="false">IF(AT75="","",ROUND(AT75*(1-Справочники!$B$18),0))</f>
        <v/>
      </c>
      <c r="AZ75" s="90" t="str">
        <f aca="false">IF(AT75="","",ROUND(AT75*(1-Справочники!$B$19),0))</f>
        <v/>
      </c>
      <c r="BA75" s="81"/>
      <c r="BB75" s="81"/>
      <c r="BC75" s="81"/>
      <c r="BD75" s="81"/>
      <c r="BE75" s="91"/>
      <c r="BF75" s="81" t="s">
        <v>103</v>
      </c>
      <c r="BG75" s="89" t="n">
        <f aca="false" t="array" ref="BG75:BG75">IF(BF75="","",IFERROR(INDEX(Справочники!$B$4:$B$7,MATCH(BF75,Справочники!$A$4:$A$7,0)),""))</f>
        <v>68.5</v>
      </c>
      <c r="BH75" s="90" t="str">
        <f aca="false">IF(N(BN75)&gt;0,ROUND(SUMIF(ЗАКАЗЫ!$F$3:$F$500,$A75,ЗАКАЗЫ!$Y$3:$Y$500)/BN75,0),IF(OR(BE75="",BG75=""),"",ROUND(BE75*BG75*(1+Справочники!$B$10),0)))</f>
        <v/>
      </c>
      <c r="BI75" s="92" t="str">
        <f aca="false">IF(OR(AU75="",BH75="",AU75=0),"",(AU75-BH75)/AU75)</f>
        <v/>
      </c>
      <c r="BJ75" s="81"/>
      <c r="BK75" s="83"/>
      <c r="BL75" s="43" t="str">
        <f aca="false">IFERROR(INDEX(ЗАКАЗЫ!$N$3:$N$500,MATCH($A75,ЗАКАЗЫ!$F$3:$F$500,0)),"")</f>
        <v/>
      </c>
      <c r="BM75" s="8" t="str">
        <f aca="false">IF(BL75="","",IFERROR(VLOOKUP(BL75,'ТН ВЭД'!$A$4:$C$40,3,0),""))</f>
        <v/>
      </c>
      <c r="BN75" s="7" t="str">
        <f aca="false">IF(COUNTIF(ЗАКАЗЫ!$F$3:$F$500,$A75)=0,"",SUMIF(ЗАКАЗЫ!$F$3:$F$500,$A75,ЗАКАЗЫ!$J$3:$J$500))</f>
        <v/>
      </c>
      <c r="BO75" s="7" t="str">
        <f aca="false">IF(BN75="","",SUMIF(ЗАКАЗЫ!$F$3:$F$500,$A75,ЗАКАЗЫ!$AL$3:$AL$500))</f>
        <v/>
      </c>
      <c r="BP75" s="7" t="str">
        <f aca="false">IF(BN75="","",BN75-BO75)</f>
        <v/>
      </c>
      <c r="BQ75" s="55" t="str">
        <f aca="false">IF(BN75="","",IF(BO75&gt;=BN75,"На складе",IF(BO75&gt;0,"Частично","Ждём")))</f>
        <v/>
      </c>
      <c r="BR75" s="43"/>
      <c r="BS75" s="47" t="str">
        <f aca="false">IF(BN75="","",IF(_xlfn.MAXIFS(ЗАКАЗЫ!$AK$3:$AK$500,ЗАКАЗЫ!$F$3:$F$500,$A75)=0,"",_xlfn.MAXIFS(ЗАКАЗЫ!$AK$3:$AK$500,ЗАКАЗЫ!$F$3:$F$500,$A75)))</f>
        <v/>
      </c>
    </row>
    <row r="76" customFormat="false" ht="15.75" hidden="false" customHeight="true" outlineLevel="0" collapsed="false">
      <c r="A76" s="80" t="s">
        <v>2987</v>
      </c>
      <c r="B76" s="81"/>
      <c r="C76" s="81"/>
      <c r="D76" s="81"/>
      <c r="E76" s="83"/>
      <c r="F76" s="81"/>
      <c r="G76" s="83"/>
      <c r="H76" s="83"/>
      <c r="I76" s="84" t="str">
        <f aca="false">IF(E76="","",A76&amp;"_1.jpg")</f>
        <v/>
      </c>
      <c r="J76" s="84" t="str">
        <f aca="false">IF(E76="","",A76&amp;"_2.jpg; "&amp;A76&amp;"_3.jpg")</f>
        <v/>
      </c>
      <c r="K76" s="84" t="str">
        <f aca="false">IF(E76="","",A76&amp;"_schema.jpg")</f>
        <v/>
      </c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 t="s">
        <v>96</v>
      </c>
      <c r="W76" s="81"/>
      <c r="X76" s="81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6" t="str">
        <f aca="false">IF(SUM(Y76:AJ76)=0,"",SUM(Y76:AJ76))</f>
        <v/>
      </c>
      <c r="AL76" s="84" t="str">
        <f aca="false">MID(IF(N(Y76)&gt;0,", "&amp;Y$2,"")&amp;IF(N(Z76)&gt;0,", "&amp;Z$2,"")&amp;IF(N(AA76)&gt;0,", "&amp;AA$2,"")&amp;IF(N(AB76)&gt;0,", "&amp;AB$2,"")&amp;IF(N(AC76)&gt;0,", "&amp;AC$2,"")&amp;IF(N(AD76)&gt;0,", "&amp;AD$2,"")&amp;IF(N(AE76)&gt;0,", "&amp;AE$2,"")&amp;IF(N(AF76)&gt;0,", "&amp;AF$2,"")&amp;IF(N(AG76)&gt;0,", "&amp;AG$2,"")&amp;IF(N(AH76)&gt;0,", "&amp;AH$2,"")&amp;IF(N(AI76)&gt;0,", "&amp;AI$2,"")&amp;IF(N(AJ76)&gt;0,", "&amp;AJ$2,""),3,999)</f>
        <v/>
      </c>
      <c r="AM76" s="87" t="str">
        <f aca="false">IF(E76="","",MID(IF(N(Y76)&gt;0,", "&amp;A76&amp;"-"&amp;Y$2,"")&amp;IF(N(Z76)&gt;0,", "&amp;A76&amp;"-"&amp;Z$2,"")&amp;IF(N(AA76)&gt;0,", "&amp;A76&amp;"-"&amp;AA$2,"")&amp;IF(N(AB76)&gt;0,", "&amp;A76&amp;"-"&amp;AB$2,"")&amp;IF(N(AC76)&gt;0,", "&amp;A76&amp;"-"&amp;AC$2,"")&amp;IF(N(AD76)&gt;0,", "&amp;A76&amp;"-"&amp;AD$2,"")&amp;IF(N(AE76)&gt;0,", "&amp;A76&amp;"-"&amp;AE$2,"")&amp;IF(N(AF76)&gt;0,", "&amp;A76&amp;"-"&amp;AF$2,"")&amp;IF(N(AG76)&gt;0,", "&amp;A76&amp;"-"&amp;AG$2,"")&amp;IF(N(AH76)&gt;0,", "&amp;A76&amp;"-"&amp;AH$2,"")&amp;IF(N(AI76)&gt;0,", "&amp;A76&amp;"-"&amp;AI$2,"")&amp;IF(N(AJ76)&gt;0,", "&amp;A76&amp;"-"&amp;AJ$2,""),3,999))</f>
        <v/>
      </c>
      <c r="AN76" s="81"/>
      <c r="AO76" s="88"/>
      <c r="AP76" s="89" t="str">
        <f aca="false">IF(AO76="","",ROUND(AO76/(1+Справочники!$B$13),2))</f>
        <v/>
      </c>
      <c r="AQ76" s="90" t="str">
        <f aca="false" t="array" ref="AQ76:AQ76">IF(AP76="","",AP76*INDEX(Справочники!$B$4:$B$7,MATCH("RUB",Справочники!$A$4:$A$7,0)))</f>
        <v/>
      </c>
      <c r="AR76" s="90" t="str">
        <f aca="false">IF(AQ76="","",ROUND(AQ76*(1+Справочники!$B$12),0))</f>
        <v/>
      </c>
      <c r="AS76" s="90" t="str">
        <f aca="false">IF(AR76="","",ROUND(AR76*(1-Справочники!$B$11),0))</f>
        <v/>
      </c>
      <c r="AT76" s="88"/>
      <c r="AU76" s="90" t="str">
        <f aca="false">IF(AT76="","",ROUND(AT76/(1+Справочники!$B$12),0))</f>
        <v/>
      </c>
      <c r="AV76" s="90" t="str">
        <f aca="false">IF(AT76="","",ROUND(AT76*(1-Справочники!$B$15),0))</f>
        <v/>
      </c>
      <c r="AW76" s="90" t="str">
        <f aca="false">IF(AT76="","",ROUND(AT76*(1-Справочники!$B$16),0))</f>
        <v/>
      </c>
      <c r="AX76" s="90" t="str">
        <f aca="false">IF(AT76="","",ROUND(AT76*(1-Справочники!$B$17),0))</f>
        <v/>
      </c>
      <c r="AY76" s="90" t="str">
        <f aca="false">IF(AT76="","",ROUND(AT76*(1-Справочники!$B$18),0))</f>
        <v/>
      </c>
      <c r="AZ76" s="90" t="str">
        <f aca="false">IF(AT76="","",ROUND(AT76*(1-Справочники!$B$19),0))</f>
        <v/>
      </c>
      <c r="BA76" s="81"/>
      <c r="BB76" s="81"/>
      <c r="BC76" s="81"/>
      <c r="BD76" s="81"/>
      <c r="BE76" s="91"/>
      <c r="BF76" s="81" t="s">
        <v>103</v>
      </c>
      <c r="BG76" s="89" t="n">
        <f aca="false" t="array" ref="BG76:BG76">IF(BF76="","",IFERROR(INDEX(Справочники!$B$4:$B$7,MATCH(BF76,Справочники!$A$4:$A$7,0)),""))</f>
        <v>68.5</v>
      </c>
      <c r="BH76" s="90" t="str">
        <f aca="false">IF(N(BN76)&gt;0,ROUND(SUMIF(ЗАКАЗЫ!$F$3:$F$500,$A76,ЗАКАЗЫ!$Y$3:$Y$500)/BN76,0),IF(OR(BE76="",BG76=""),"",ROUND(BE76*BG76*(1+Справочники!$B$10),0)))</f>
        <v/>
      </c>
      <c r="BI76" s="92" t="str">
        <f aca="false">IF(OR(AU76="",BH76="",AU76=0),"",(AU76-BH76)/AU76)</f>
        <v/>
      </c>
      <c r="BJ76" s="81"/>
      <c r="BK76" s="83"/>
      <c r="BL76" s="43" t="str">
        <f aca="false">IFERROR(INDEX(ЗАКАЗЫ!$N$3:$N$500,MATCH($A76,ЗАКАЗЫ!$F$3:$F$500,0)),"")</f>
        <v/>
      </c>
      <c r="BM76" s="8" t="str">
        <f aca="false">IF(BL76="","",IFERROR(VLOOKUP(BL76,'ТН ВЭД'!$A$4:$C$40,3,0),""))</f>
        <v/>
      </c>
      <c r="BN76" s="7" t="str">
        <f aca="false">IF(COUNTIF(ЗАКАЗЫ!$F$3:$F$500,$A76)=0,"",SUMIF(ЗАКАЗЫ!$F$3:$F$500,$A76,ЗАКАЗЫ!$J$3:$J$500))</f>
        <v/>
      </c>
      <c r="BO76" s="7" t="str">
        <f aca="false">IF(BN76="","",SUMIF(ЗАКАЗЫ!$F$3:$F$500,$A76,ЗАКАЗЫ!$AL$3:$AL$500))</f>
        <v/>
      </c>
      <c r="BP76" s="7" t="str">
        <f aca="false">IF(BN76="","",BN76-BO76)</f>
        <v/>
      </c>
      <c r="BQ76" s="55" t="str">
        <f aca="false">IF(BN76="","",IF(BO76&gt;=BN76,"На складе",IF(BO76&gt;0,"Частично","Ждём")))</f>
        <v/>
      </c>
      <c r="BR76" s="43"/>
      <c r="BS76" s="47" t="str">
        <f aca="false">IF(BN76="","",IF(_xlfn.MAXIFS(ЗАКАЗЫ!$AK$3:$AK$500,ЗАКАЗЫ!$F$3:$F$500,$A76)=0,"",_xlfn.MAXIFS(ЗАКАЗЫ!$AK$3:$AK$500,ЗАКАЗЫ!$F$3:$F$500,$A76)))</f>
        <v/>
      </c>
    </row>
    <row r="77" customFormat="false" ht="15.75" hidden="false" customHeight="true" outlineLevel="0" collapsed="false">
      <c r="A77" s="80" t="s">
        <v>2988</v>
      </c>
      <c r="B77" s="81"/>
      <c r="C77" s="81"/>
      <c r="D77" s="81"/>
      <c r="E77" s="83"/>
      <c r="F77" s="81"/>
      <c r="G77" s="83"/>
      <c r="H77" s="83"/>
      <c r="I77" s="84" t="str">
        <f aca="false">IF(E77="","",A77&amp;"_1.jpg")</f>
        <v/>
      </c>
      <c r="J77" s="84" t="str">
        <f aca="false">IF(E77="","",A77&amp;"_2.jpg; "&amp;A77&amp;"_3.jpg")</f>
        <v/>
      </c>
      <c r="K77" s="84" t="str">
        <f aca="false">IF(E77="","",A77&amp;"_schema.jpg")</f>
        <v/>
      </c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 t="s">
        <v>96</v>
      </c>
      <c r="W77" s="81"/>
      <c r="X77" s="81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6" t="str">
        <f aca="false">IF(SUM(Y77:AJ77)=0,"",SUM(Y77:AJ77))</f>
        <v/>
      </c>
      <c r="AL77" s="84" t="str">
        <f aca="false">MID(IF(N(Y77)&gt;0,", "&amp;Y$2,"")&amp;IF(N(Z77)&gt;0,", "&amp;Z$2,"")&amp;IF(N(AA77)&gt;0,", "&amp;AA$2,"")&amp;IF(N(AB77)&gt;0,", "&amp;AB$2,"")&amp;IF(N(AC77)&gt;0,", "&amp;AC$2,"")&amp;IF(N(AD77)&gt;0,", "&amp;AD$2,"")&amp;IF(N(AE77)&gt;0,", "&amp;AE$2,"")&amp;IF(N(AF77)&gt;0,", "&amp;AF$2,"")&amp;IF(N(AG77)&gt;0,", "&amp;AG$2,"")&amp;IF(N(AH77)&gt;0,", "&amp;AH$2,"")&amp;IF(N(AI77)&gt;0,", "&amp;AI$2,"")&amp;IF(N(AJ77)&gt;0,", "&amp;AJ$2,""),3,999)</f>
        <v/>
      </c>
      <c r="AM77" s="87" t="str">
        <f aca="false">IF(E77="","",MID(IF(N(Y77)&gt;0,", "&amp;A77&amp;"-"&amp;Y$2,"")&amp;IF(N(Z77)&gt;0,", "&amp;A77&amp;"-"&amp;Z$2,"")&amp;IF(N(AA77)&gt;0,", "&amp;A77&amp;"-"&amp;AA$2,"")&amp;IF(N(AB77)&gt;0,", "&amp;A77&amp;"-"&amp;AB$2,"")&amp;IF(N(AC77)&gt;0,", "&amp;A77&amp;"-"&amp;AC$2,"")&amp;IF(N(AD77)&gt;0,", "&amp;A77&amp;"-"&amp;AD$2,"")&amp;IF(N(AE77)&gt;0,", "&amp;A77&amp;"-"&amp;AE$2,"")&amp;IF(N(AF77)&gt;0,", "&amp;A77&amp;"-"&amp;AF$2,"")&amp;IF(N(AG77)&gt;0,", "&amp;A77&amp;"-"&amp;AG$2,"")&amp;IF(N(AH77)&gt;0,", "&amp;A77&amp;"-"&amp;AH$2,"")&amp;IF(N(AI77)&gt;0,", "&amp;A77&amp;"-"&amp;AI$2,"")&amp;IF(N(AJ77)&gt;0,", "&amp;A77&amp;"-"&amp;AJ$2,""),3,999))</f>
        <v/>
      </c>
      <c r="AN77" s="81"/>
      <c r="AO77" s="88"/>
      <c r="AP77" s="89" t="str">
        <f aca="false">IF(AO77="","",ROUND(AO77/(1+Справочники!$B$13),2))</f>
        <v/>
      </c>
      <c r="AQ77" s="90" t="str">
        <f aca="false" t="array" ref="AQ77:AQ77">IF(AP77="","",AP77*INDEX(Справочники!$B$4:$B$7,MATCH("RUB",Справочники!$A$4:$A$7,0)))</f>
        <v/>
      </c>
      <c r="AR77" s="90" t="str">
        <f aca="false">IF(AQ77="","",ROUND(AQ77*(1+Справочники!$B$12),0))</f>
        <v/>
      </c>
      <c r="AS77" s="90" t="str">
        <f aca="false">IF(AR77="","",ROUND(AR77*(1-Справочники!$B$11),0))</f>
        <v/>
      </c>
      <c r="AT77" s="88"/>
      <c r="AU77" s="90" t="str">
        <f aca="false">IF(AT77="","",ROUND(AT77/(1+Справочники!$B$12),0))</f>
        <v/>
      </c>
      <c r="AV77" s="90" t="str">
        <f aca="false">IF(AT77="","",ROUND(AT77*(1-Справочники!$B$15),0))</f>
        <v/>
      </c>
      <c r="AW77" s="90" t="str">
        <f aca="false">IF(AT77="","",ROUND(AT77*(1-Справочники!$B$16),0))</f>
        <v/>
      </c>
      <c r="AX77" s="90" t="str">
        <f aca="false">IF(AT77="","",ROUND(AT77*(1-Справочники!$B$17),0))</f>
        <v/>
      </c>
      <c r="AY77" s="90" t="str">
        <f aca="false">IF(AT77="","",ROUND(AT77*(1-Справочники!$B$18),0))</f>
        <v/>
      </c>
      <c r="AZ77" s="90" t="str">
        <f aca="false">IF(AT77="","",ROUND(AT77*(1-Справочники!$B$19),0))</f>
        <v/>
      </c>
      <c r="BA77" s="81"/>
      <c r="BB77" s="81"/>
      <c r="BC77" s="81"/>
      <c r="BD77" s="81"/>
      <c r="BE77" s="91"/>
      <c r="BF77" s="81" t="s">
        <v>103</v>
      </c>
      <c r="BG77" s="89" t="n">
        <f aca="false" t="array" ref="BG77:BG77">IF(BF77="","",IFERROR(INDEX(Справочники!$B$4:$B$7,MATCH(BF77,Справочники!$A$4:$A$7,0)),""))</f>
        <v>68.5</v>
      </c>
      <c r="BH77" s="90" t="str">
        <f aca="false">IF(N(BN77)&gt;0,ROUND(SUMIF(ЗАКАЗЫ!$F$3:$F$500,$A77,ЗАКАЗЫ!$Y$3:$Y$500)/BN77,0),IF(OR(BE77="",BG77=""),"",ROUND(BE77*BG77*(1+Справочники!$B$10),0)))</f>
        <v/>
      </c>
      <c r="BI77" s="92" t="str">
        <f aca="false">IF(OR(AU77="",BH77="",AU77=0),"",(AU77-BH77)/AU77)</f>
        <v/>
      </c>
      <c r="BJ77" s="81"/>
      <c r="BK77" s="83"/>
      <c r="BL77" s="43" t="str">
        <f aca="false">IFERROR(INDEX(ЗАКАЗЫ!$N$3:$N$500,MATCH($A77,ЗАКАЗЫ!$F$3:$F$500,0)),"")</f>
        <v/>
      </c>
      <c r="BM77" s="8" t="str">
        <f aca="false">IF(BL77="","",IFERROR(VLOOKUP(BL77,'ТН ВЭД'!$A$4:$C$40,3,0),""))</f>
        <v/>
      </c>
      <c r="BN77" s="7" t="str">
        <f aca="false">IF(COUNTIF(ЗАКАЗЫ!$F$3:$F$500,$A77)=0,"",SUMIF(ЗАКАЗЫ!$F$3:$F$500,$A77,ЗАКАЗЫ!$J$3:$J$500))</f>
        <v/>
      </c>
      <c r="BO77" s="7" t="str">
        <f aca="false">IF(BN77="","",SUMIF(ЗАКАЗЫ!$F$3:$F$500,$A77,ЗАКАЗЫ!$AL$3:$AL$500))</f>
        <v/>
      </c>
      <c r="BP77" s="7" t="str">
        <f aca="false">IF(BN77="","",BN77-BO77)</f>
        <v/>
      </c>
      <c r="BQ77" s="55" t="str">
        <f aca="false">IF(BN77="","",IF(BO77&gt;=BN77,"На складе",IF(BO77&gt;0,"Частично","Ждём")))</f>
        <v/>
      </c>
      <c r="BR77" s="43"/>
      <c r="BS77" s="47" t="str">
        <f aca="false">IF(BN77="","",IF(_xlfn.MAXIFS(ЗАКАЗЫ!$AK$3:$AK$500,ЗАКАЗЫ!$F$3:$F$500,$A77)=0,"",_xlfn.MAXIFS(ЗАКАЗЫ!$AK$3:$AK$500,ЗАКАЗЫ!$F$3:$F$500,$A77)))</f>
        <v/>
      </c>
    </row>
    <row r="78" customFormat="false" ht="15.75" hidden="false" customHeight="true" outlineLevel="0" collapsed="false">
      <c r="A78" s="80" t="s">
        <v>2989</v>
      </c>
      <c r="B78" s="81"/>
      <c r="C78" s="81"/>
      <c r="D78" s="81"/>
      <c r="E78" s="83"/>
      <c r="F78" s="81"/>
      <c r="G78" s="83"/>
      <c r="H78" s="83"/>
      <c r="I78" s="84" t="str">
        <f aca="false">IF(E78="","",A78&amp;"_1.jpg")</f>
        <v/>
      </c>
      <c r="J78" s="84" t="str">
        <f aca="false">IF(E78="","",A78&amp;"_2.jpg; "&amp;A78&amp;"_3.jpg")</f>
        <v/>
      </c>
      <c r="K78" s="84" t="str">
        <f aca="false">IF(E78="","",A78&amp;"_schema.jpg")</f>
        <v/>
      </c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 t="s">
        <v>96</v>
      </c>
      <c r="W78" s="81"/>
      <c r="X78" s="81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6" t="str">
        <f aca="false">IF(SUM(Y78:AJ78)=0,"",SUM(Y78:AJ78))</f>
        <v/>
      </c>
      <c r="AL78" s="84" t="str">
        <f aca="false">MID(IF(N(Y78)&gt;0,", "&amp;Y$2,"")&amp;IF(N(Z78)&gt;0,", "&amp;Z$2,"")&amp;IF(N(AA78)&gt;0,", "&amp;AA$2,"")&amp;IF(N(AB78)&gt;0,", "&amp;AB$2,"")&amp;IF(N(AC78)&gt;0,", "&amp;AC$2,"")&amp;IF(N(AD78)&gt;0,", "&amp;AD$2,"")&amp;IF(N(AE78)&gt;0,", "&amp;AE$2,"")&amp;IF(N(AF78)&gt;0,", "&amp;AF$2,"")&amp;IF(N(AG78)&gt;0,", "&amp;AG$2,"")&amp;IF(N(AH78)&gt;0,", "&amp;AH$2,"")&amp;IF(N(AI78)&gt;0,", "&amp;AI$2,"")&amp;IF(N(AJ78)&gt;0,", "&amp;AJ$2,""),3,999)</f>
        <v/>
      </c>
      <c r="AM78" s="87" t="str">
        <f aca="false">IF(E78="","",MID(IF(N(Y78)&gt;0,", "&amp;A78&amp;"-"&amp;Y$2,"")&amp;IF(N(Z78)&gt;0,", "&amp;A78&amp;"-"&amp;Z$2,"")&amp;IF(N(AA78)&gt;0,", "&amp;A78&amp;"-"&amp;AA$2,"")&amp;IF(N(AB78)&gt;0,", "&amp;A78&amp;"-"&amp;AB$2,"")&amp;IF(N(AC78)&gt;0,", "&amp;A78&amp;"-"&amp;AC$2,"")&amp;IF(N(AD78)&gt;0,", "&amp;A78&amp;"-"&amp;AD$2,"")&amp;IF(N(AE78)&gt;0,", "&amp;A78&amp;"-"&amp;AE$2,"")&amp;IF(N(AF78)&gt;0,", "&amp;A78&amp;"-"&amp;AF$2,"")&amp;IF(N(AG78)&gt;0,", "&amp;A78&amp;"-"&amp;AG$2,"")&amp;IF(N(AH78)&gt;0,", "&amp;A78&amp;"-"&amp;AH$2,"")&amp;IF(N(AI78)&gt;0,", "&amp;A78&amp;"-"&amp;AI$2,"")&amp;IF(N(AJ78)&gt;0,", "&amp;A78&amp;"-"&amp;AJ$2,""),3,999))</f>
        <v/>
      </c>
      <c r="AN78" s="81"/>
      <c r="AO78" s="88"/>
      <c r="AP78" s="89" t="str">
        <f aca="false">IF(AO78="","",ROUND(AO78/(1+Справочники!$B$13),2))</f>
        <v/>
      </c>
      <c r="AQ78" s="90" t="str">
        <f aca="false" t="array" ref="AQ78:AQ78">IF(AP78="","",AP78*INDEX(Справочники!$B$4:$B$7,MATCH("RUB",Справочники!$A$4:$A$7,0)))</f>
        <v/>
      </c>
      <c r="AR78" s="90" t="str">
        <f aca="false">IF(AQ78="","",ROUND(AQ78*(1+Справочники!$B$12),0))</f>
        <v/>
      </c>
      <c r="AS78" s="90" t="str">
        <f aca="false">IF(AR78="","",ROUND(AR78*(1-Справочники!$B$11),0))</f>
        <v/>
      </c>
      <c r="AT78" s="88"/>
      <c r="AU78" s="90" t="str">
        <f aca="false">IF(AT78="","",ROUND(AT78/(1+Справочники!$B$12),0))</f>
        <v/>
      </c>
      <c r="AV78" s="90" t="str">
        <f aca="false">IF(AT78="","",ROUND(AT78*(1-Справочники!$B$15),0))</f>
        <v/>
      </c>
      <c r="AW78" s="90" t="str">
        <f aca="false">IF(AT78="","",ROUND(AT78*(1-Справочники!$B$16),0))</f>
        <v/>
      </c>
      <c r="AX78" s="90" t="str">
        <f aca="false">IF(AT78="","",ROUND(AT78*(1-Справочники!$B$17),0))</f>
        <v/>
      </c>
      <c r="AY78" s="90" t="str">
        <f aca="false">IF(AT78="","",ROUND(AT78*(1-Справочники!$B$18),0))</f>
        <v/>
      </c>
      <c r="AZ78" s="90" t="str">
        <f aca="false">IF(AT78="","",ROUND(AT78*(1-Справочники!$B$19),0))</f>
        <v/>
      </c>
      <c r="BA78" s="81"/>
      <c r="BB78" s="81"/>
      <c r="BC78" s="81"/>
      <c r="BD78" s="81"/>
      <c r="BE78" s="91"/>
      <c r="BF78" s="81" t="s">
        <v>103</v>
      </c>
      <c r="BG78" s="89" t="n">
        <f aca="false" t="array" ref="BG78:BG78">IF(BF78="","",IFERROR(INDEX(Справочники!$B$4:$B$7,MATCH(BF78,Справочники!$A$4:$A$7,0)),""))</f>
        <v>68.5</v>
      </c>
      <c r="BH78" s="90" t="str">
        <f aca="false">IF(N(BN78)&gt;0,ROUND(SUMIF(ЗАКАЗЫ!$F$3:$F$500,$A78,ЗАКАЗЫ!$Y$3:$Y$500)/BN78,0),IF(OR(BE78="",BG78=""),"",ROUND(BE78*BG78*(1+Справочники!$B$10),0)))</f>
        <v/>
      </c>
      <c r="BI78" s="92" t="str">
        <f aca="false">IF(OR(AU78="",BH78="",AU78=0),"",(AU78-BH78)/AU78)</f>
        <v/>
      </c>
      <c r="BJ78" s="81"/>
      <c r="BK78" s="83"/>
      <c r="BL78" s="43" t="str">
        <f aca="false">IFERROR(INDEX(ЗАКАЗЫ!$N$3:$N$500,MATCH($A78,ЗАКАЗЫ!$F$3:$F$500,0)),"")</f>
        <v/>
      </c>
      <c r="BM78" s="8" t="str">
        <f aca="false">IF(BL78="","",IFERROR(VLOOKUP(BL78,'ТН ВЭД'!$A$4:$C$40,3,0),""))</f>
        <v/>
      </c>
      <c r="BN78" s="7" t="str">
        <f aca="false">IF(COUNTIF(ЗАКАЗЫ!$F$3:$F$500,$A78)=0,"",SUMIF(ЗАКАЗЫ!$F$3:$F$500,$A78,ЗАКАЗЫ!$J$3:$J$500))</f>
        <v/>
      </c>
      <c r="BO78" s="7" t="str">
        <f aca="false">IF(BN78="","",SUMIF(ЗАКАЗЫ!$F$3:$F$500,$A78,ЗАКАЗЫ!$AL$3:$AL$500))</f>
        <v/>
      </c>
      <c r="BP78" s="7" t="str">
        <f aca="false">IF(BN78="","",BN78-BO78)</f>
        <v/>
      </c>
      <c r="BQ78" s="55" t="str">
        <f aca="false">IF(BN78="","",IF(BO78&gt;=BN78,"На складе",IF(BO78&gt;0,"Частично","Ждём")))</f>
        <v/>
      </c>
      <c r="BR78" s="43"/>
      <c r="BS78" s="47" t="str">
        <f aca="false">IF(BN78="","",IF(_xlfn.MAXIFS(ЗАКАЗЫ!$AK$3:$AK$500,ЗАКАЗЫ!$F$3:$F$500,$A78)=0,"",_xlfn.MAXIFS(ЗАКАЗЫ!$AK$3:$AK$500,ЗАКАЗЫ!$F$3:$F$500,$A78)))</f>
        <v/>
      </c>
    </row>
    <row r="79" customFormat="false" ht="15.75" hidden="false" customHeight="true" outlineLevel="0" collapsed="false">
      <c r="A79" s="80" t="s">
        <v>2990</v>
      </c>
      <c r="B79" s="81"/>
      <c r="C79" s="81"/>
      <c r="D79" s="81"/>
      <c r="E79" s="83"/>
      <c r="F79" s="81"/>
      <c r="G79" s="83"/>
      <c r="H79" s="83"/>
      <c r="I79" s="84" t="str">
        <f aca="false">IF(E79="","",A79&amp;"_1.jpg")</f>
        <v/>
      </c>
      <c r="J79" s="84" t="str">
        <f aca="false">IF(E79="","",A79&amp;"_2.jpg; "&amp;A79&amp;"_3.jpg")</f>
        <v/>
      </c>
      <c r="K79" s="84" t="str">
        <f aca="false">IF(E79="","",A79&amp;"_schema.jpg")</f>
        <v/>
      </c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 t="s">
        <v>96</v>
      </c>
      <c r="W79" s="81"/>
      <c r="X79" s="81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6" t="str">
        <f aca="false">IF(SUM(Y79:AJ79)=0,"",SUM(Y79:AJ79))</f>
        <v/>
      </c>
      <c r="AL79" s="84" t="str">
        <f aca="false">MID(IF(N(Y79)&gt;0,", "&amp;Y$2,"")&amp;IF(N(Z79)&gt;0,", "&amp;Z$2,"")&amp;IF(N(AA79)&gt;0,", "&amp;AA$2,"")&amp;IF(N(AB79)&gt;0,", "&amp;AB$2,"")&amp;IF(N(AC79)&gt;0,", "&amp;AC$2,"")&amp;IF(N(AD79)&gt;0,", "&amp;AD$2,"")&amp;IF(N(AE79)&gt;0,", "&amp;AE$2,"")&amp;IF(N(AF79)&gt;0,", "&amp;AF$2,"")&amp;IF(N(AG79)&gt;0,", "&amp;AG$2,"")&amp;IF(N(AH79)&gt;0,", "&amp;AH$2,"")&amp;IF(N(AI79)&gt;0,", "&amp;AI$2,"")&amp;IF(N(AJ79)&gt;0,", "&amp;AJ$2,""),3,999)</f>
        <v/>
      </c>
      <c r="AM79" s="87" t="str">
        <f aca="false">IF(E79="","",MID(IF(N(Y79)&gt;0,", "&amp;A79&amp;"-"&amp;Y$2,"")&amp;IF(N(Z79)&gt;0,", "&amp;A79&amp;"-"&amp;Z$2,"")&amp;IF(N(AA79)&gt;0,", "&amp;A79&amp;"-"&amp;AA$2,"")&amp;IF(N(AB79)&gt;0,", "&amp;A79&amp;"-"&amp;AB$2,"")&amp;IF(N(AC79)&gt;0,", "&amp;A79&amp;"-"&amp;AC$2,"")&amp;IF(N(AD79)&gt;0,", "&amp;A79&amp;"-"&amp;AD$2,"")&amp;IF(N(AE79)&gt;0,", "&amp;A79&amp;"-"&amp;AE$2,"")&amp;IF(N(AF79)&gt;0,", "&amp;A79&amp;"-"&amp;AF$2,"")&amp;IF(N(AG79)&gt;0,", "&amp;A79&amp;"-"&amp;AG$2,"")&amp;IF(N(AH79)&gt;0,", "&amp;A79&amp;"-"&amp;AH$2,"")&amp;IF(N(AI79)&gt;0,", "&amp;A79&amp;"-"&amp;AI$2,"")&amp;IF(N(AJ79)&gt;0,", "&amp;A79&amp;"-"&amp;AJ$2,""),3,999))</f>
        <v/>
      </c>
      <c r="AN79" s="81"/>
      <c r="AO79" s="88"/>
      <c r="AP79" s="89" t="str">
        <f aca="false">IF(AO79="","",ROUND(AO79/(1+Справочники!$B$13),2))</f>
        <v/>
      </c>
      <c r="AQ79" s="90" t="str">
        <f aca="false" t="array" ref="AQ79:AQ79">IF(AP79="","",AP79*INDEX(Справочники!$B$4:$B$7,MATCH("RUB",Справочники!$A$4:$A$7,0)))</f>
        <v/>
      </c>
      <c r="AR79" s="90" t="str">
        <f aca="false">IF(AQ79="","",ROUND(AQ79*(1+Справочники!$B$12),0))</f>
        <v/>
      </c>
      <c r="AS79" s="90" t="str">
        <f aca="false">IF(AR79="","",ROUND(AR79*(1-Справочники!$B$11),0))</f>
        <v/>
      </c>
      <c r="AT79" s="88"/>
      <c r="AU79" s="90" t="str">
        <f aca="false">IF(AT79="","",ROUND(AT79/(1+Справочники!$B$12),0))</f>
        <v/>
      </c>
      <c r="AV79" s="90" t="str">
        <f aca="false">IF(AT79="","",ROUND(AT79*(1-Справочники!$B$15),0))</f>
        <v/>
      </c>
      <c r="AW79" s="90" t="str">
        <f aca="false">IF(AT79="","",ROUND(AT79*(1-Справочники!$B$16),0))</f>
        <v/>
      </c>
      <c r="AX79" s="90" t="str">
        <f aca="false">IF(AT79="","",ROUND(AT79*(1-Справочники!$B$17),0))</f>
        <v/>
      </c>
      <c r="AY79" s="90" t="str">
        <f aca="false">IF(AT79="","",ROUND(AT79*(1-Справочники!$B$18),0))</f>
        <v/>
      </c>
      <c r="AZ79" s="90" t="str">
        <f aca="false">IF(AT79="","",ROUND(AT79*(1-Справочники!$B$19),0))</f>
        <v/>
      </c>
      <c r="BA79" s="81"/>
      <c r="BB79" s="81"/>
      <c r="BC79" s="81"/>
      <c r="BD79" s="81"/>
      <c r="BE79" s="91"/>
      <c r="BF79" s="81" t="s">
        <v>103</v>
      </c>
      <c r="BG79" s="89" t="n">
        <f aca="false" t="array" ref="BG79:BG79">IF(BF79="","",IFERROR(INDEX(Справочники!$B$4:$B$7,MATCH(BF79,Справочники!$A$4:$A$7,0)),""))</f>
        <v>68.5</v>
      </c>
      <c r="BH79" s="90" t="str">
        <f aca="false">IF(N(BN79)&gt;0,ROUND(SUMIF(ЗАКАЗЫ!$F$3:$F$500,$A79,ЗАКАЗЫ!$Y$3:$Y$500)/BN79,0),IF(OR(BE79="",BG79=""),"",ROUND(BE79*BG79*(1+Справочники!$B$10),0)))</f>
        <v/>
      </c>
      <c r="BI79" s="92" t="str">
        <f aca="false">IF(OR(AU79="",BH79="",AU79=0),"",(AU79-BH79)/AU79)</f>
        <v/>
      </c>
      <c r="BJ79" s="81"/>
      <c r="BK79" s="83"/>
      <c r="BL79" s="43" t="str">
        <f aca="false">IFERROR(INDEX(ЗАКАЗЫ!$N$3:$N$500,MATCH($A79,ЗАКАЗЫ!$F$3:$F$500,0)),"")</f>
        <v/>
      </c>
      <c r="BM79" s="8" t="str">
        <f aca="false">IF(BL79="","",IFERROR(VLOOKUP(BL79,'ТН ВЭД'!$A$4:$C$40,3,0),""))</f>
        <v/>
      </c>
      <c r="BN79" s="7" t="str">
        <f aca="false">IF(COUNTIF(ЗАКАЗЫ!$F$3:$F$500,$A79)=0,"",SUMIF(ЗАКАЗЫ!$F$3:$F$500,$A79,ЗАКАЗЫ!$J$3:$J$500))</f>
        <v/>
      </c>
      <c r="BO79" s="7" t="str">
        <f aca="false">IF(BN79="","",SUMIF(ЗАКАЗЫ!$F$3:$F$500,$A79,ЗАКАЗЫ!$AL$3:$AL$500))</f>
        <v/>
      </c>
      <c r="BP79" s="7" t="str">
        <f aca="false">IF(BN79="","",BN79-BO79)</f>
        <v/>
      </c>
      <c r="BQ79" s="55" t="str">
        <f aca="false">IF(BN79="","",IF(BO79&gt;=BN79,"На складе",IF(BO79&gt;0,"Частично","Ждём")))</f>
        <v/>
      </c>
      <c r="BR79" s="43"/>
      <c r="BS79" s="47" t="str">
        <f aca="false">IF(BN79="","",IF(_xlfn.MAXIFS(ЗАКАЗЫ!$AK$3:$AK$500,ЗАКАЗЫ!$F$3:$F$500,$A79)=0,"",_xlfn.MAXIFS(ЗАКАЗЫ!$AK$3:$AK$500,ЗАКАЗЫ!$F$3:$F$500,$A79)))</f>
        <v/>
      </c>
    </row>
    <row r="80" customFormat="false" ht="15.75" hidden="false" customHeight="true" outlineLevel="0" collapsed="false">
      <c r="A80" s="80" t="s">
        <v>2991</v>
      </c>
      <c r="B80" s="81"/>
      <c r="C80" s="81"/>
      <c r="D80" s="81"/>
      <c r="E80" s="83"/>
      <c r="F80" s="81"/>
      <c r="G80" s="83"/>
      <c r="H80" s="83"/>
      <c r="I80" s="84" t="str">
        <f aca="false">IF(E80="","",A80&amp;"_1.jpg")</f>
        <v/>
      </c>
      <c r="J80" s="84" t="str">
        <f aca="false">IF(E80="","",A80&amp;"_2.jpg; "&amp;A80&amp;"_3.jpg")</f>
        <v/>
      </c>
      <c r="K80" s="84" t="str">
        <f aca="false">IF(E80="","",A80&amp;"_schema.jpg")</f>
        <v/>
      </c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 t="s">
        <v>96</v>
      </c>
      <c r="W80" s="81"/>
      <c r="X80" s="81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6" t="str">
        <f aca="false">IF(SUM(Y80:AJ80)=0,"",SUM(Y80:AJ80))</f>
        <v/>
      </c>
      <c r="AL80" s="84" t="str">
        <f aca="false">MID(IF(N(Y80)&gt;0,", "&amp;Y$2,"")&amp;IF(N(Z80)&gt;0,", "&amp;Z$2,"")&amp;IF(N(AA80)&gt;0,", "&amp;AA$2,"")&amp;IF(N(AB80)&gt;0,", "&amp;AB$2,"")&amp;IF(N(AC80)&gt;0,", "&amp;AC$2,"")&amp;IF(N(AD80)&gt;0,", "&amp;AD$2,"")&amp;IF(N(AE80)&gt;0,", "&amp;AE$2,"")&amp;IF(N(AF80)&gt;0,", "&amp;AF$2,"")&amp;IF(N(AG80)&gt;0,", "&amp;AG$2,"")&amp;IF(N(AH80)&gt;0,", "&amp;AH$2,"")&amp;IF(N(AI80)&gt;0,", "&amp;AI$2,"")&amp;IF(N(AJ80)&gt;0,", "&amp;AJ$2,""),3,999)</f>
        <v/>
      </c>
      <c r="AM80" s="87" t="str">
        <f aca="false">IF(E80="","",MID(IF(N(Y80)&gt;0,", "&amp;A80&amp;"-"&amp;Y$2,"")&amp;IF(N(Z80)&gt;0,", "&amp;A80&amp;"-"&amp;Z$2,"")&amp;IF(N(AA80)&gt;0,", "&amp;A80&amp;"-"&amp;AA$2,"")&amp;IF(N(AB80)&gt;0,", "&amp;A80&amp;"-"&amp;AB$2,"")&amp;IF(N(AC80)&gt;0,", "&amp;A80&amp;"-"&amp;AC$2,"")&amp;IF(N(AD80)&gt;0,", "&amp;A80&amp;"-"&amp;AD$2,"")&amp;IF(N(AE80)&gt;0,", "&amp;A80&amp;"-"&amp;AE$2,"")&amp;IF(N(AF80)&gt;0,", "&amp;A80&amp;"-"&amp;AF$2,"")&amp;IF(N(AG80)&gt;0,", "&amp;A80&amp;"-"&amp;AG$2,"")&amp;IF(N(AH80)&gt;0,", "&amp;A80&amp;"-"&amp;AH$2,"")&amp;IF(N(AI80)&gt;0,", "&amp;A80&amp;"-"&amp;AI$2,"")&amp;IF(N(AJ80)&gt;0,", "&amp;A80&amp;"-"&amp;AJ$2,""),3,999))</f>
        <v/>
      </c>
      <c r="AN80" s="81"/>
      <c r="AO80" s="88"/>
      <c r="AP80" s="89" t="str">
        <f aca="false">IF(AO80="","",ROUND(AO80/(1+Справочники!$B$13),2))</f>
        <v/>
      </c>
      <c r="AQ80" s="90" t="str">
        <f aca="false" t="array" ref="AQ80:AQ80">IF(AP80="","",AP80*INDEX(Справочники!$B$4:$B$7,MATCH("RUB",Справочники!$A$4:$A$7,0)))</f>
        <v/>
      </c>
      <c r="AR80" s="90" t="str">
        <f aca="false">IF(AQ80="","",ROUND(AQ80*(1+Справочники!$B$12),0))</f>
        <v/>
      </c>
      <c r="AS80" s="90" t="str">
        <f aca="false">IF(AR80="","",ROUND(AR80*(1-Справочники!$B$11),0))</f>
        <v/>
      </c>
      <c r="AT80" s="88"/>
      <c r="AU80" s="90" t="str">
        <f aca="false">IF(AT80="","",ROUND(AT80/(1+Справочники!$B$12),0))</f>
        <v/>
      </c>
      <c r="AV80" s="90" t="str">
        <f aca="false">IF(AT80="","",ROUND(AT80*(1-Справочники!$B$15),0))</f>
        <v/>
      </c>
      <c r="AW80" s="90" t="str">
        <f aca="false">IF(AT80="","",ROUND(AT80*(1-Справочники!$B$16),0))</f>
        <v/>
      </c>
      <c r="AX80" s="90" t="str">
        <f aca="false">IF(AT80="","",ROUND(AT80*(1-Справочники!$B$17),0))</f>
        <v/>
      </c>
      <c r="AY80" s="90" t="str">
        <f aca="false">IF(AT80="","",ROUND(AT80*(1-Справочники!$B$18),0))</f>
        <v/>
      </c>
      <c r="AZ80" s="90" t="str">
        <f aca="false">IF(AT80="","",ROUND(AT80*(1-Справочники!$B$19),0))</f>
        <v/>
      </c>
      <c r="BA80" s="81"/>
      <c r="BB80" s="81"/>
      <c r="BC80" s="81"/>
      <c r="BD80" s="81"/>
      <c r="BE80" s="91"/>
      <c r="BF80" s="81" t="s">
        <v>103</v>
      </c>
      <c r="BG80" s="89" t="n">
        <f aca="false" t="array" ref="BG80:BG80">IF(BF80="","",IFERROR(INDEX(Справочники!$B$4:$B$7,MATCH(BF80,Справочники!$A$4:$A$7,0)),""))</f>
        <v>68.5</v>
      </c>
      <c r="BH80" s="90" t="str">
        <f aca="false">IF(N(BN80)&gt;0,ROUND(SUMIF(ЗАКАЗЫ!$F$3:$F$500,$A80,ЗАКАЗЫ!$Y$3:$Y$500)/BN80,0),IF(OR(BE80="",BG80=""),"",ROUND(BE80*BG80*(1+Справочники!$B$10),0)))</f>
        <v/>
      </c>
      <c r="BI80" s="92" t="str">
        <f aca="false">IF(OR(AU80="",BH80="",AU80=0),"",(AU80-BH80)/AU80)</f>
        <v/>
      </c>
      <c r="BJ80" s="81"/>
      <c r="BK80" s="83"/>
      <c r="BL80" s="43" t="str">
        <f aca="false">IFERROR(INDEX(ЗАКАЗЫ!$N$3:$N$500,MATCH($A80,ЗАКАЗЫ!$F$3:$F$500,0)),"")</f>
        <v/>
      </c>
      <c r="BM80" s="8" t="str">
        <f aca="false">IF(BL80="","",IFERROR(VLOOKUP(BL80,'ТН ВЭД'!$A$4:$C$40,3,0),""))</f>
        <v/>
      </c>
      <c r="BN80" s="7" t="str">
        <f aca="false">IF(COUNTIF(ЗАКАЗЫ!$F$3:$F$500,$A80)=0,"",SUMIF(ЗАКАЗЫ!$F$3:$F$500,$A80,ЗАКАЗЫ!$J$3:$J$500))</f>
        <v/>
      </c>
      <c r="BO80" s="7" t="str">
        <f aca="false">IF(BN80="","",SUMIF(ЗАКАЗЫ!$F$3:$F$500,$A80,ЗАКАЗЫ!$AL$3:$AL$500))</f>
        <v/>
      </c>
      <c r="BP80" s="7" t="str">
        <f aca="false">IF(BN80="","",BN80-BO80)</f>
        <v/>
      </c>
      <c r="BQ80" s="55" t="str">
        <f aca="false">IF(BN80="","",IF(BO80&gt;=BN80,"На складе",IF(BO80&gt;0,"Частично","Ждём")))</f>
        <v/>
      </c>
      <c r="BR80" s="43"/>
      <c r="BS80" s="47" t="str">
        <f aca="false">IF(BN80="","",IF(_xlfn.MAXIFS(ЗАКАЗЫ!$AK$3:$AK$500,ЗАКАЗЫ!$F$3:$F$500,$A80)=0,"",_xlfn.MAXIFS(ЗАКАЗЫ!$AK$3:$AK$500,ЗАКАЗЫ!$F$3:$F$500,$A80)))</f>
        <v/>
      </c>
    </row>
    <row r="81" customFormat="false" ht="15.75" hidden="false" customHeight="true" outlineLevel="0" collapsed="false">
      <c r="A81" s="80" t="s">
        <v>2992</v>
      </c>
      <c r="B81" s="81"/>
      <c r="C81" s="81"/>
      <c r="D81" s="81"/>
      <c r="E81" s="83"/>
      <c r="F81" s="81"/>
      <c r="G81" s="83"/>
      <c r="H81" s="83"/>
      <c r="I81" s="84" t="str">
        <f aca="false">IF(E81="","",A81&amp;"_1.jpg")</f>
        <v/>
      </c>
      <c r="J81" s="84" t="str">
        <f aca="false">IF(E81="","",A81&amp;"_2.jpg; "&amp;A81&amp;"_3.jpg")</f>
        <v/>
      </c>
      <c r="K81" s="84" t="str">
        <f aca="false">IF(E81="","",A81&amp;"_schema.jpg")</f>
        <v/>
      </c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 t="s">
        <v>96</v>
      </c>
      <c r="W81" s="81"/>
      <c r="X81" s="81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6" t="str">
        <f aca="false">IF(SUM(Y81:AJ81)=0,"",SUM(Y81:AJ81))</f>
        <v/>
      </c>
      <c r="AL81" s="84" t="str">
        <f aca="false">MID(IF(N(Y81)&gt;0,", "&amp;Y$2,"")&amp;IF(N(Z81)&gt;0,", "&amp;Z$2,"")&amp;IF(N(AA81)&gt;0,", "&amp;AA$2,"")&amp;IF(N(AB81)&gt;0,", "&amp;AB$2,"")&amp;IF(N(AC81)&gt;0,", "&amp;AC$2,"")&amp;IF(N(AD81)&gt;0,", "&amp;AD$2,"")&amp;IF(N(AE81)&gt;0,", "&amp;AE$2,"")&amp;IF(N(AF81)&gt;0,", "&amp;AF$2,"")&amp;IF(N(AG81)&gt;0,", "&amp;AG$2,"")&amp;IF(N(AH81)&gt;0,", "&amp;AH$2,"")&amp;IF(N(AI81)&gt;0,", "&amp;AI$2,"")&amp;IF(N(AJ81)&gt;0,", "&amp;AJ$2,""),3,999)</f>
        <v/>
      </c>
      <c r="AM81" s="87" t="str">
        <f aca="false">IF(E81="","",MID(IF(N(Y81)&gt;0,", "&amp;A81&amp;"-"&amp;Y$2,"")&amp;IF(N(Z81)&gt;0,", "&amp;A81&amp;"-"&amp;Z$2,"")&amp;IF(N(AA81)&gt;0,", "&amp;A81&amp;"-"&amp;AA$2,"")&amp;IF(N(AB81)&gt;0,", "&amp;A81&amp;"-"&amp;AB$2,"")&amp;IF(N(AC81)&gt;0,", "&amp;A81&amp;"-"&amp;AC$2,"")&amp;IF(N(AD81)&gt;0,", "&amp;A81&amp;"-"&amp;AD$2,"")&amp;IF(N(AE81)&gt;0,", "&amp;A81&amp;"-"&amp;AE$2,"")&amp;IF(N(AF81)&gt;0,", "&amp;A81&amp;"-"&amp;AF$2,"")&amp;IF(N(AG81)&gt;0,", "&amp;A81&amp;"-"&amp;AG$2,"")&amp;IF(N(AH81)&gt;0,", "&amp;A81&amp;"-"&amp;AH$2,"")&amp;IF(N(AI81)&gt;0,", "&amp;A81&amp;"-"&amp;AI$2,"")&amp;IF(N(AJ81)&gt;0,", "&amp;A81&amp;"-"&amp;AJ$2,""),3,999))</f>
        <v/>
      </c>
      <c r="AN81" s="81"/>
      <c r="AO81" s="88"/>
      <c r="AP81" s="89" t="str">
        <f aca="false">IF(AO81="","",ROUND(AO81/(1+Справочники!$B$13),2))</f>
        <v/>
      </c>
      <c r="AQ81" s="90" t="str">
        <f aca="false" t="array" ref="AQ81:AQ81">IF(AP81="","",AP81*INDEX(Справочники!$B$4:$B$7,MATCH("RUB",Справочники!$A$4:$A$7,0)))</f>
        <v/>
      </c>
      <c r="AR81" s="90" t="str">
        <f aca="false">IF(AQ81="","",ROUND(AQ81*(1+Справочники!$B$12),0))</f>
        <v/>
      </c>
      <c r="AS81" s="90" t="str">
        <f aca="false">IF(AR81="","",ROUND(AR81*(1-Справочники!$B$11),0))</f>
        <v/>
      </c>
      <c r="AT81" s="88"/>
      <c r="AU81" s="90" t="str">
        <f aca="false">IF(AT81="","",ROUND(AT81/(1+Справочники!$B$12),0))</f>
        <v/>
      </c>
      <c r="AV81" s="90" t="str">
        <f aca="false">IF(AT81="","",ROUND(AT81*(1-Справочники!$B$15),0))</f>
        <v/>
      </c>
      <c r="AW81" s="90" t="str">
        <f aca="false">IF(AT81="","",ROUND(AT81*(1-Справочники!$B$16),0))</f>
        <v/>
      </c>
      <c r="AX81" s="90" t="str">
        <f aca="false">IF(AT81="","",ROUND(AT81*(1-Справочники!$B$17),0))</f>
        <v/>
      </c>
      <c r="AY81" s="90" t="str">
        <f aca="false">IF(AT81="","",ROUND(AT81*(1-Справочники!$B$18),0))</f>
        <v/>
      </c>
      <c r="AZ81" s="90" t="str">
        <f aca="false">IF(AT81="","",ROUND(AT81*(1-Справочники!$B$19),0))</f>
        <v/>
      </c>
      <c r="BA81" s="81"/>
      <c r="BB81" s="81"/>
      <c r="BC81" s="81"/>
      <c r="BD81" s="81"/>
      <c r="BE81" s="91"/>
      <c r="BF81" s="81" t="s">
        <v>103</v>
      </c>
      <c r="BG81" s="89" t="n">
        <f aca="false" t="array" ref="BG81:BG81">IF(BF81="","",IFERROR(INDEX(Справочники!$B$4:$B$7,MATCH(BF81,Справочники!$A$4:$A$7,0)),""))</f>
        <v>68.5</v>
      </c>
      <c r="BH81" s="90" t="str">
        <f aca="false">IF(N(BN81)&gt;0,ROUND(SUMIF(ЗАКАЗЫ!$F$3:$F$500,$A81,ЗАКАЗЫ!$Y$3:$Y$500)/BN81,0),IF(OR(BE81="",BG81=""),"",ROUND(BE81*BG81*(1+Справочники!$B$10),0)))</f>
        <v/>
      </c>
      <c r="BI81" s="92" t="str">
        <f aca="false">IF(OR(AU81="",BH81="",AU81=0),"",(AU81-BH81)/AU81)</f>
        <v/>
      </c>
      <c r="BJ81" s="81"/>
      <c r="BK81" s="83"/>
      <c r="BL81" s="43" t="str">
        <f aca="false">IFERROR(INDEX(ЗАКАЗЫ!$N$3:$N$500,MATCH($A81,ЗАКАЗЫ!$F$3:$F$500,0)),"")</f>
        <v/>
      </c>
      <c r="BM81" s="8" t="str">
        <f aca="false">IF(BL81="","",IFERROR(VLOOKUP(BL81,'ТН ВЭД'!$A$4:$C$40,3,0),""))</f>
        <v/>
      </c>
      <c r="BN81" s="7" t="str">
        <f aca="false">IF(COUNTIF(ЗАКАЗЫ!$F$3:$F$500,$A81)=0,"",SUMIF(ЗАКАЗЫ!$F$3:$F$500,$A81,ЗАКАЗЫ!$J$3:$J$500))</f>
        <v/>
      </c>
      <c r="BO81" s="7" t="str">
        <f aca="false">IF(BN81="","",SUMIF(ЗАКАЗЫ!$F$3:$F$500,$A81,ЗАКАЗЫ!$AL$3:$AL$500))</f>
        <v/>
      </c>
      <c r="BP81" s="7" t="str">
        <f aca="false">IF(BN81="","",BN81-BO81)</f>
        <v/>
      </c>
      <c r="BQ81" s="55" t="str">
        <f aca="false">IF(BN81="","",IF(BO81&gt;=BN81,"На складе",IF(BO81&gt;0,"Частично","Ждём")))</f>
        <v/>
      </c>
      <c r="BR81" s="43"/>
      <c r="BS81" s="47" t="str">
        <f aca="false">IF(BN81="","",IF(_xlfn.MAXIFS(ЗАКАЗЫ!$AK$3:$AK$500,ЗАКАЗЫ!$F$3:$F$500,$A81)=0,"",_xlfn.MAXIFS(ЗАКАЗЫ!$AK$3:$AK$500,ЗАКАЗЫ!$F$3:$F$500,$A81)))</f>
        <v/>
      </c>
    </row>
    <row r="82" customFormat="false" ht="15.75" hidden="false" customHeight="true" outlineLevel="0" collapsed="false">
      <c r="A82" s="80" t="s">
        <v>2993</v>
      </c>
      <c r="B82" s="81"/>
      <c r="C82" s="81"/>
      <c r="D82" s="81"/>
      <c r="E82" s="83"/>
      <c r="F82" s="81"/>
      <c r="G82" s="83"/>
      <c r="H82" s="83"/>
      <c r="I82" s="84" t="str">
        <f aca="false">IF(E82="","",A82&amp;"_1.jpg")</f>
        <v/>
      </c>
      <c r="J82" s="84" t="str">
        <f aca="false">IF(E82="","",A82&amp;"_2.jpg; "&amp;A82&amp;"_3.jpg")</f>
        <v/>
      </c>
      <c r="K82" s="84" t="str">
        <f aca="false">IF(E82="","",A82&amp;"_schema.jpg")</f>
        <v/>
      </c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 t="s">
        <v>96</v>
      </c>
      <c r="W82" s="81"/>
      <c r="X82" s="81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6" t="str">
        <f aca="false">IF(SUM(Y82:AJ82)=0,"",SUM(Y82:AJ82))</f>
        <v/>
      </c>
      <c r="AL82" s="84" t="str">
        <f aca="false">MID(IF(N(Y82)&gt;0,", "&amp;Y$2,"")&amp;IF(N(Z82)&gt;0,", "&amp;Z$2,"")&amp;IF(N(AA82)&gt;0,", "&amp;AA$2,"")&amp;IF(N(AB82)&gt;0,", "&amp;AB$2,"")&amp;IF(N(AC82)&gt;0,", "&amp;AC$2,"")&amp;IF(N(AD82)&gt;0,", "&amp;AD$2,"")&amp;IF(N(AE82)&gt;0,", "&amp;AE$2,"")&amp;IF(N(AF82)&gt;0,", "&amp;AF$2,"")&amp;IF(N(AG82)&gt;0,", "&amp;AG$2,"")&amp;IF(N(AH82)&gt;0,", "&amp;AH$2,"")&amp;IF(N(AI82)&gt;0,", "&amp;AI$2,"")&amp;IF(N(AJ82)&gt;0,", "&amp;AJ$2,""),3,999)</f>
        <v/>
      </c>
      <c r="AM82" s="87" t="str">
        <f aca="false">IF(E82="","",MID(IF(N(Y82)&gt;0,", "&amp;A82&amp;"-"&amp;Y$2,"")&amp;IF(N(Z82)&gt;0,", "&amp;A82&amp;"-"&amp;Z$2,"")&amp;IF(N(AA82)&gt;0,", "&amp;A82&amp;"-"&amp;AA$2,"")&amp;IF(N(AB82)&gt;0,", "&amp;A82&amp;"-"&amp;AB$2,"")&amp;IF(N(AC82)&gt;0,", "&amp;A82&amp;"-"&amp;AC$2,"")&amp;IF(N(AD82)&gt;0,", "&amp;A82&amp;"-"&amp;AD$2,"")&amp;IF(N(AE82)&gt;0,", "&amp;A82&amp;"-"&amp;AE$2,"")&amp;IF(N(AF82)&gt;0,", "&amp;A82&amp;"-"&amp;AF$2,"")&amp;IF(N(AG82)&gt;0,", "&amp;A82&amp;"-"&amp;AG$2,"")&amp;IF(N(AH82)&gt;0,", "&amp;A82&amp;"-"&amp;AH$2,"")&amp;IF(N(AI82)&gt;0,", "&amp;A82&amp;"-"&amp;AI$2,"")&amp;IF(N(AJ82)&gt;0,", "&amp;A82&amp;"-"&amp;AJ$2,""),3,999))</f>
        <v/>
      </c>
      <c r="AN82" s="81"/>
      <c r="AO82" s="88"/>
      <c r="AP82" s="89" t="str">
        <f aca="false">IF(AO82="","",ROUND(AO82/(1+Справочники!$B$13),2))</f>
        <v/>
      </c>
      <c r="AQ82" s="90" t="str">
        <f aca="false" t="array" ref="AQ82:AQ82">IF(AP82="","",AP82*INDEX(Справочники!$B$4:$B$7,MATCH("RUB",Справочники!$A$4:$A$7,0)))</f>
        <v/>
      </c>
      <c r="AR82" s="90" t="str">
        <f aca="false">IF(AQ82="","",ROUND(AQ82*(1+Справочники!$B$12),0))</f>
        <v/>
      </c>
      <c r="AS82" s="90" t="str">
        <f aca="false">IF(AR82="","",ROUND(AR82*(1-Справочники!$B$11),0))</f>
        <v/>
      </c>
      <c r="AT82" s="88"/>
      <c r="AU82" s="90" t="str">
        <f aca="false">IF(AT82="","",ROUND(AT82/(1+Справочники!$B$12),0))</f>
        <v/>
      </c>
      <c r="AV82" s="90" t="str">
        <f aca="false">IF(AT82="","",ROUND(AT82*(1-Справочники!$B$15),0))</f>
        <v/>
      </c>
      <c r="AW82" s="90" t="str">
        <f aca="false">IF(AT82="","",ROUND(AT82*(1-Справочники!$B$16),0))</f>
        <v/>
      </c>
      <c r="AX82" s="90" t="str">
        <f aca="false">IF(AT82="","",ROUND(AT82*(1-Справочники!$B$17),0))</f>
        <v/>
      </c>
      <c r="AY82" s="90" t="str">
        <f aca="false">IF(AT82="","",ROUND(AT82*(1-Справочники!$B$18),0))</f>
        <v/>
      </c>
      <c r="AZ82" s="90" t="str">
        <f aca="false">IF(AT82="","",ROUND(AT82*(1-Справочники!$B$19),0))</f>
        <v/>
      </c>
      <c r="BA82" s="81"/>
      <c r="BB82" s="81"/>
      <c r="BC82" s="81"/>
      <c r="BD82" s="81"/>
      <c r="BE82" s="91"/>
      <c r="BF82" s="81" t="s">
        <v>103</v>
      </c>
      <c r="BG82" s="89" t="n">
        <f aca="false" t="array" ref="BG82:BG82">IF(BF82="","",IFERROR(INDEX(Справочники!$B$4:$B$7,MATCH(BF82,Справочники!$A$4:$A$7,0)),""))</f>
        <v>68.5</v>
      </c>
      <c r="BH82" s="90" t="str">
        <f aca="false">IF(N(BN82)&gt;0,ROUND(SUMIF(ЗАКАЗЫ!$F$3:$F$500,$A82,ЗАКАЗЫ!$Y$3:$Y$500)/BN82,0),IF(OR(BE82="",BG82=""),"",ROUND(BE82*BG82*(1+Справочники!$B$10),0)))</f>
        <v/>
      </c>
      <c r="BI82" s="92" t="str">
        <f aca="false">IF(OR(AU82="",BH82="",AU82=0),"",(AU82-BH82)/AU82)</f>
        <v/>
      </c>
      <c r="BJ82" s="81"/>
      <c r="BK82" s="83"/>
      <c r="BL82" s="43" t="str">
        <f aca="false">IFERROR(INDEX(ЗАКАЗЫ!$N$3:$N$500,MATCH($A82,ЗАКАЗЫ!$F$3:$F$500,0)),"")</f>
        <v/>
      </c>
      <c r="BM82" s="8" t="str">
        <f aca="false">IF(BL82="","",IFERROR(VLOOKUP(BL82,'ТН ВЭД'!$A$4:$C$40,3,0),""))</f>
        <v/>
      </c>
      <c r="BN82" s="7" t="str">
        <f aca="false">IF(COUNTIF(ЗАКАЗЫ!$F$3:$F$500,$A82)=0,"",SUMIF(ЗАКАЗЫ!$F$3:$F$500,$A82,ЗАКАЗЫ!$J$3:$J$500))</f>
        <v/>
      </c>
      <c r="BO82" s="7" t="str">
        <f aca="false">IF(BN82="","",SUMIF(ЗАКАЗЫ!$F$3:$F$500,$A82,ЗАКАЗЫ!$AL$3:$AL$500))</f>
        <v/>
      </c>
      <c r="BP82" s="7" t="str">
        <f aca="false">IF(BN82="","",BN82-BO82)</f>
        <v/>
      </c>
      <c r="BQ82" s="55" t="str">
        <f aca="false">IF(BN82="","",IF(BO82&gt;=BN82,"На складе",IF(BO82&gt;0,"Частично","Ждём")))</f>
        <v/>
      </c>
      <c r="BR82" s="43"/>
      <c r="BS82" s="47" t="str">
        <f aca="false">IF(BN82="","",IF(_xlfn.MAXIFS(ЗАКАЗЫ!$AK$3:$AK$500,ЗАКАЗЫ!$F$3:$F$500,$A82)=0,"",_xlfn.MAXIFS(ЗАКАЗЫ!$AK$3:$AK$500,ЗАКАЗЫ!$F$3:$F$500,$A82)))</f>
        <v/>
      </c>
    </row>
    <row r="83" customFormat="false" ht="15.75" hidden="false" customHeight="true" outlineLevel="0" collapsed="false">
      <c r="A83" s="80" t="s">
        <v>2994</v>
      </c>
      <c r="B83" s="81"/>
      <c r="C83" s="81"/>
      <c r="D83" s="81"/>
      <c r="E83" s="83"/>
      <c r="F83" s="81"/>
      <c r="G83" s="83"/>
      <c r="H83" s="83"/>
      <c r="I83" s="84" t="str">
        <f aca="false">IF(E83="","",A83&amp;"_1.jpg")</f>
        <v/>
      </c>
      <c r="J83" s="84" t="str">
        <f aca="false">IF(E83="","",A83&amp;"_2.jpg; "&amp;A83&amp;"_3.jpg")</f>
        <v/>
      </c>
      <c r="K83" s="84" t="str">
        <f aca="false">IF(E83="","",A83&amp;"_schema.jpg")</f>
        <v/>
      </c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 t="s">
        <v>96</v>
      </c>
      <c r="W83" s="81"/>
      <c r="X83" s="81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6" t="str">
        <f aca="false">IF(SUM(Y83:AJ83)=0,"",SUM(Y83:AJ83))</f>
        <v/>
      </c>
      <c r="AL83" s="84" t="str">
        <f aca="false">MID(IF(N(Y83)&gt;0,", "&amp;Y$2,"")&amp;IF(N(Z83)&gt;0,", "&amp;Z$2,"")&amp;IF(N(AA83)&gt;0,", "&amp;AA$2,"")&amp;IF(N(AB83)&gt;0,", "&amp;AB$2,"")&amp;IF(N(AC83)&gt;0,", "&amp;AC$2,"")&amp;IF(N(AD83)&gt;0,", "&amp;AD$2,"")&amp;IF(N(AE83)&gt;0,", "&amp;AE$2,"")&amp;IF(N(AF83)&gt;0,", "&amp;AF$2,"")&amp;IF(N(AG83)&gt;0,", "&amp;AG$2,"")&amp;IF(N(AH83)&gt;0,", "&amp;AH$2,"")&amp;IF(N(AI83)&gt;0,", "&amp;AI$2,"")&amp;IF(N(AJ83)&gt;0,", "&amp;AJ$2,""),3,999)</f>
        <v/>
      </c>
      <c r="AM83" s="87" t="str">
        <f aca="false">IF(E83="","",MID(IF(N(Y83)&gt;0,", "&amp;A83&amp;"-"&amp;Y$2,"")&amp;IF(N(Z83)&gt;0,", "&amp;A83&amp;"-"&amp;Z$2,"")&amp;IF(N(AA83)&gt;0,", "&amp;A83&amp;"-"&amp;AA$2,"")&amp;IF(N(AB83)&gt;0,", "&amp;A83&amp;"-"&amp;AB$2,"")&amp;IF(N(AC83)&gt;0,", "&amp;A83&amp;"-"&amp;AC$2,"")&amp;IF(N(AD83)&gt;0,", "&amp;A83&amp;"-"&amp;AD$2,"")&amp;IF(N(AE83)&gt;0,", "&amp;A83&amp;"-"&amp;AE$2,"")&amp;IF(N(AF83)&gt;0,", "&amp;A83&amp;"-"&amp;AF$2,"")&amp;IF(N(AG83)&gt;0,", "&amp;A83&amp;"-"&amp;AG$2,"")&amp;IF(N(AH83)&gt;0,", "&amp;A83&amp;"-"&amp;AH$2,"")&amp;IF(N(AI83)&gt;0,", "&amp;A83&amp;"-"&amp;AI$2,"")&amp;IF(N(AJ83)&gt;0,", "&amp;A83&amp;"-"&amp;AJ$2,""),3,999))</f>
        <v/>
      </c>
      <c r="AN83" s="81"/>
      <c r="AO83" s="88"/>
      <c r="AP83" s="89" t="str">
        <f aca="false">IF(AO83="","",ROUND(AO83/(1+Справочники!$B$13),2))</f>
        <v/>
      </c>
      <c r="AQ83" s="90" t="str">
        <f aca="false" t="array" ref="AQ83:AQ83">IF(AP83="","",AP83*INDEX(Справочники!$B$4:$B$7,MATCH("RUB",Справочники!$A$4:$A$7,0)))</f>
        <v/>
      </c>
      <c r="AR83" s="90" t="str">
        <f aca="false">IF(AQ83="","",ROUND(AQ83*(1+Справочники!$B$12),0))</f>
        <v/>
      </c>
      <c r="AS83" s="90" t="str">
        <f aca="false">IF(AR83="","",ROUND(AR83*(1-Справочники!$B$11),0))</f>
        <v/>
      </c>
      <c r="AT83" s="88"/>
      <c r="AU83" s="90" t="str">
        <f aca="false">IF(AT83="","",ROUND(AT83/(1+Справочники!$B$12),0))</f>
        <v/>
      </c>
      <c r="AV83" s="90" t="str">
        <f aca="false">IF(AT83="","",ROUND(AT83*(1-Справочники!$B$15),0))</f>
        <v/>
      </c>
      <c r="AW83" s="90" t="str">
        <f aca="false">IF(AT83="","",ROUND(AT83*(1-Справочники!$B$16),0))</f>
        <v/>
      </c>
      <c r="AX83" s="90" t="str">
        <f aca="false">IF(AT83="","",ROUND(AT83*(1-Справочники!$B$17),0))</f>
        <v/>
      </c>
      <c r="AY83" s="90" t="str">
        <f aca="false">IF(AT83="","",ROUND(AT83*(1-Справочники!$B$18),0))</f>
        <v/>
      </c>
      <c r="AZ83" s="90" t="str">
        <f aca="false">IF(AT83="","",ROUND(AT83*(1-Справочники!$B$19),0))</f>
        <v/>
      </c>
      <c r="BA83" s="81"/>
      <c r="BB83" s="81"/>
      <c r="BC83" s="81"/>
      <c r="BD83" s="81"/>
      <c r="BE83" s="91"/>
      <c r="BF83" s="81" t="s">
        <v>103</v>
      </c>
      <c r="BG83" s="89" t="n">
        <f aca="false" t="array" ref="BG83:BG83">IF(BF83="","",IFERROR(INDEX(Справочники!$B$4:$B$7,MATCH(BF83,Справочники!$A$4:$A$7,0)),""))</f>
        <v>68.5</v>
      </c>
      <c r="BH83" s="90" t="str">
        <f aca="false">IF(N(BN83)&gt;0,ROUND(SUMIF(ЗАКАЗЫ!$F$3:$F$500,$A83,ЗАКАЗЫ!$Y$3:$Y$500)/BN83,0),IF(OR(BE83="",BG83=""),"",ROUND(BE83*BG83*(1+Справочники!$B$10),0)))</f>
        <v/>
      </c>
      <c r="BI83" s="92" t="str">
        <f aca="false">IF(OR(AU83="",BH83="",AU83=0),"",(AU83-BH83)/AU83)</f>
        <v/>
      </c>
      <c r="BJ83" s="81"/>
      <c r="BK83" s="83"/>
      <c r="BL83" s="43" t="str">
        <f aca="false">IFERROR(INDEX(ЗАКАЗЫ!$N$3:$N$500,MATCH($A83,ЗАКАЗЫ!$F$3:$F$500,0)),"")</f>
        <v/>
      </c>
      <c r="BM83" s="8" t="str">
        <f aca="false">IF(BL83="","",IFERROR(VLOOKUP(BL83,'ТН ВЭД'!$A$4:$C$40,3,0),""))</f>
        <v/>
      </c>
      <c r="BN83" s="7" t="str">
        <f aca="false">IF(COUNTIF(ЗАКАЗЫ!$F$3:$F$500,$A83)=0,"",SUMIF(ЗАКАЗЫ!$F$3:$F$500,$A83,ЗАКАЗЫ!$J$3:$J$500))</f>
        <v/>
      </c>
      <c r="BO83" s="7" t="str">
        <f aca="false">IF(BN83="","",SUMIF(ЗАКАЗЫ!$F$3:$F$500,$A83,ЗАКАЗЫ!$AL$3:$AL$500))</f>
        <v/>
      </c>
      <c r="BP83" s="7" t="str">
        <f aca="false">IF(BN83="","",BN83-BO83)</f>
        <v/>
      </c>
      <c r="BQ83" s="55" t="str">
        <f aca="false">IF(BN83="","",IF(BO83&gt;=BN83,"На складе",IF(BO83&gt;0,"Частично","Ждём")))</f>
        <v/>
      </c>
      <c r="BR83" s="43"/>
      <c r="BS83" s="47" t="str">
        <f aca="false">IF(BN83="","",IF(_xlfn.MAXIFS(ЗАКАЗЫ!$AK$3:$AK$500,ЗАКАЗЫ!$F$3:$F$500,$A83)=0,"",_xlfn.MAXIFS(ЗАКАЗЫ!$AK$3:$AK$500,ЗАКАЗЫ!$F$3:$F$500,$A83)))</f>
        <v/>
      </c>
    </row>
    <row r="84" customFormat="false" ht="15.75" hidden="false" customHeight="true" outlineLevel="0" collapsed="false">
      <c r="A84" s="80" t="s">
        <v>2995</v>
      </c>
      <c r="B84" s="81"/>
      <c r="C84" s="81"/>
      <c r="D84" s="81"/>
      <c r="E84" s="83"/>
      <c r="F84" s="81"/>
      <c r="G84" s="83"/>
      <c r="H84" s="83"/>
      <c r="I84" s="84" t="str">
        <f aca="false">IF(E84="","",A84&amp;"_1.jpg")</f>
        <v/>
      </c>
      <c r="J84" s="84" t="str">
        <f aca="false">IF(E84="","",A84&amp;"_2.jpg; "&amp;A84&amp;"_3.jpg")</f>
        <v/>
      </c>
      <c r="K84" s="84" t="str">
        <f aca="false">IF(E84="","",A84&amp;"_schema.jpg")</f>
        <v/>
      </c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 t="s">
        <v>96</v>
      </c>
      <c r="W84" s="81"/>
      <c r="X84" s="81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6" t="str">
        <f aca="false">IF(SUM(Y84:AJ84)=0,"",SUM(Y84:AJ84))</f>
        <v/>
      </c>
      <c r="AL84" s="84" t="str">
        <f aca="false">MID(IF(N(Y84)&gt;0,", "&amp;Y$2,"")&amp;IF(N(Z84)&gt;0,", "&amp;Z$2,"")&amp;IF(N(AA84)&gt;0,", "&amp;AA$2,"")&amp;IF(N(AB84)&gt;0,", "&amp;AB$2,"")&amp;IF(N(AC84)&gt;0,", "&amp;AC$2,"")&amp;IF(N(AD84)&gt;0,", "&amp;AD$2,"")&amp;IF(N(AE84)&gt;0,", "&amp;AE$2,"")&amp;IF(N(AF84)&gt;0,", "&amp;AF$2,"")&amp;IF(N(AG84)&gt;0,", "&amp;AG$2,"")&amp;IF(N(AH84)&gt;0,", "&amp;AH$2,"")&amp;IF(N(AI84)&gt;0,", "&amp;AI$2,"")&amp;IF(N(AJ84)&gt;0,", "&amp;AJ$2,""),3,999)</f>
        <v/>
      </c>
      <c r="AM84" s="87" t="str">
        <f aca="false">IF(E84="","",MID(IF(N(Y84)&gt;0,", "&amp;A84&amp;"-"&amp;Y$2,"")&amp;IF(N(Z84)&gt;0,", "&amp;A84&amp;"-"&amp;Z$2,"")&amp;IF(N(AA84)&gt;0,", "&amp;A84&amp;"-"&amp;AA$2,"")&amp;IF(N(AB84)&gt;0,", "&amp;A84&amp;"-"&amp;AB$2,"")&amp;IF(N(AC84)&gt;0,", "&amp;A84&amp;"-"&amp;AC$2,"")&amp;IF(N(AD84)&gt;0,", "&amp;A84&amp;"-"&amp;AD$2,"")&amp;IF(N(AE84)&gt;0,", "&amp;A84&amp;"-"&amp;AE$2,"")&amp;IF(N(AF84)&gt;0,", "&amp;A84&amp;"-"&amp;AF$2,"")&amp;IF(N(AG84)&gt;0,", "&amp;A84&amp;"-"&amp;AG$2,"")&amp;IF(N(AH84)&gt;0,", "&amp;A84&amp;"-"&amp;AH$2,"")&amp;IF(N(AI84)&gt;0,", "&amp;A84&amp;"-"&amp;AI$2,"")&amp;IF(N(AJ84)&gt;0,", "&amp;A84&amp;"-"&amp;AJ$2,""),3,999))</f>
        <v/>
      </c>
      <c r="AN84" s="81"/>
      <c r="AO84" s="88"/>
      <c r="AP84" s="89" t="str">
        <f aca="false">IF(AO84="","",ROUND(AO84/(1+Справочники!$B$13),2))</f>
        <v/>
      </c>
      <c r="AQ84" s="90" t="str">
        <f aca="false" t="array" ref="AQ84:AQ84">IF(AP84="","",AP84*INDEX(Справочники!$B$4:$B$7,MATCH("RUB",Справочники!$A$4:$A$7,0)))</f>
        <v/>
      </c>
      <c r="AR84" s="90" t="str">
        <f aca="false">IF(AQ84="","",ROUND(AQ84*(1+Справочники!$B$12),0))</f>
        <v/>
      </c>
      <c r="AS84" s="90" t="str">
        <f aca="false">IF(AR84="","",ROUND(AR84*(1-Справочники!$B$11),0))</f>
        <v/>
      </c>
      <c r="AT84" s="88"/>
      <c r="AU84" s="90" t="str">
        <f aca="false">IF(AT84="","",ROUND(AT84/(1+Справочники!$B$12),0))</f>
        <v/>
      </c>
      <c r="AV84" s="90" t="str">
        <f aca="false">IF(AT84="","",ROUND(AT84*(1-Справочники!$B$15),0))</f>
        <v/>
      </c>
      <c r="AW84" s="90" t="str">
        <f aca="false">IF(AT84="","",ROUND(AT84*(1-Справочники!$B$16),0))</f>
        <v/>
      </c>
      <c r="AX84" s="90" t="str">
        <f aca="false">IF(AT84="","",ROUND(AT84*(1-Справочники!$B$17),0))</f>
        <v/>
      </c>
      <c r="AY84" s="90" t="str">
        <f aca="false">IF(AT84="","",ROUND(AT84*(1-Справочники!$B$18),0))</f>
        <v/>
      </c>
      <c r="AZ84" s="90" t="str">
        <f aca="false">IF(AT84="","",ROUND(AT84*(1-Справочники!$B$19),0))</f>
        <v/>
      </c>
      <c r="BA84" s="81"/>
      <c r="BB84" s="81"/>
      <c r="BC84" s="81"/>
      <c r="BD84" s="81"/>
      <c r="BE84" s="91"/>
      <c r="BF84" s="81" t="s">
        <v>103</v>
      </c>
      <c r="BG84" s="89" t="n">
        <f aca="false" t="array" ref="BG84:BG84">IF(BF84="","",IFERROR(INDEX(Справочники!$B$4:$B$7,MATCH(BF84,Справочники!$A$4:$A$7,0)),""))</f>
        <v>68.5</v>
      </c>
      <c r="BH84" s="90" t="str">
        <f aca="false">IF(N(BN84)&gt;0,ROUND(SUMIF(ЗАКАЗЫ!$F$3:$F$500,$A84,ЗАКАЗЫ!$Y$3:$Y$500)/BN84,0),IF(OR(BE84="",BG84=""),"",ROUND(BE84*BG84*(1+Справочники!$B$10),0)))</f>
        <v/>
      </c>
      <c r="BI84" s="92" t="str">
        <f aca="false">IF(OR(AU84="",BH84="",AU84=0),"",(AU84-BH84)/AU84)</f>
        <v/>
      </c>
      <c r="BJ84" s="81"/>
      <c r="BK84" s="83"/>
      <c r="BL84" s="43" t="str">
        <f aca="false">IFERROR(INDEX(ЗАКАЗЫ!$N$3:$N$500,MATCH($A84,ЗАКАЗЫ!$F$3:$F$500,0)),"")</f>
        <v/>
      </c>
      <c r="BM84" s="8" t="str">
        <f aca="false">IF(BL84="","",IFERROR(VLOOKUP(BL84,'ТН ВЭД'!$A$4:$C$40,3,0),""))</f>
        <v/>
      </c>
      <c r="BN84" s="7" t="str">
        <f aca="false">IF(COUNTIF(ЗАКАЗЫ!$F$3:$F$500,$A84)=0,"",SUMIF(ЗАКАЗЫ!$F$3:$F$500,$A84,ЗАКАЗЫ!$J$3:$J$500))</f>
        <v/>
      </c>
      <c r="BO84" s="7" t="str">
        <f aca="false">IF(BN84="","",SUMIF(ЗАКАЗЫ!$F$3:$F$500,$A84,ЗАКАЗЫ!$AL$3:$AL$500))</f>
        <v/>
      </c>
      <c r="BP84" s="7" t="str">
        <f aca="false">IF(BN84="","",BN84-BO84)</f>
        <v/>
      </c>
      <c r="BQ84" s="55" t="str">
        <f aca="false">IF(BN84="","",IF(BO84&gt;=BN84,"На складе",IF(BO84&gt;0,"Частично","Ждём")))</f>
        <v/>
      </c>
      <c r="BR84" s="43"/>
      <c r="BS84" s="47" t="str">
        <f aca="false">IF(BN84="","",IF(_xlfn.MAXIFS(ЗАКАЗЫ!$AK$3:$AK$500,ЗАКАЗЫ!$F$3:$F$500,$A84)=0,"",_xlfn.MAXIFS(ЗАКАЗЫ!$AK$3:$AK$500,ЗАКАЗЫ!$F$3:$F$500,$A84)))</f>
        <v/>
      </c>
    </row>
    <row r="85" customFormat="false" ht="15.75" hidden="false" customHeight="true" outlineLevel="0" collapsed="false">
      <c r="A85" s="80" t="s">
        <v>2996</v>
      </c>
      <c r="B85" s="81"/>
      <c r="C85" s="81"/>
      <c r="D85" s="81"/>
      <c r="E85" s="83"/>
      <c r="F85" s="81"/>
      <c r="G85" s="83"/>
      <c r="H85" s="83"/>
      <c r="I85" s="84" t="str">
        <f aca="false">IF(E85="","",A85&amp;"_1.jpg")</f>
        <v/>
      </c>
      <c r="J85" s="84" t="str">
        <f aca="false">IF(E85="","",A85&amp;"_2.jpg; "&amp;A85&amp;"_3.jpg")</f>
        <v/>
      </c>
      <c r="K85" s="84" t="str">
        <f aca="false">IF(E85="","",A85&amp;"_schema.jpg")</f>
        <v/>
      </c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 t="s">
        <v>96</v>
      </c>
      <c r="W85" s="81"/>
      <c r="X85" s="81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6" t="str">
        <f aca="false">IF(SUM(Y85:AJ85)=0,"",SUM(Y85:AJ85))</f>
        <v/>
      </c>
      <c r="AL85" s="84" t="str">
        <f aca="false">MID(IF(N(Y85)&gt;0,", "&amp;Y$2,"")&amp;IF(N(Z85)&gt;0,", "&amp;Z$2,"")&amp;IF(N(AA85)&gt;0,", "&amp;AA$2,"")&amp;IF(N(AB85)&gt;0,", "&amp;AB$2,"")&amp;IF(N(AC85)&gt;0,", "&amp;AC$2,"")&amp;IF(N(AD85)&gt;0,", "&amp;AD$2,"")&amp;IF(N(AE85)&gt;0,", "&amp;AE$2,"")&amp;IF(N(AF85)&gt;0,", "&amp;AF$2,"")&amp;IF(N(AG85)&gt;0,", "&amp;AG$2,"")&amp;IF(N(AH85)&gt;0,", "&amp;AH$2,"")&amp;IF(N(AI85)&gt;0,", "&amp;AI$2,"")&amp;IF(N(AJ85)&gt;0,", "&amp;AJ$2,""),3,999)</f>
        <v/>
      </c>
      <c r="AM85" s="87" t="str">
        <f aca="false">IF(E85="","",MID(IF(N(Y85)&gt;0,", "&amp;A85&amp;"-"&amp;Y$2,"")&amp;IF(N(Z85)&gt;0,", "&amp;A85&amp;"-"&amp;Z$2,"")&amp;IF(N(AA85)&gt;0,", "&amp;A85&amp;"-"&amp;AA$2,"")&amp;IF(N(AB85)&gt;0,", "&amp;A85&amp;"-"&amp;AB$2,"")&amp;IF(N(AC85)&gt;0,", "&amp;A85&amp;"-"&amp;AC$2,"")&amp;IF(N(AD85)&gt;0,", "&amp;A85&amp;"-"&amp;AD$2,"")&amp;IF(N(AE85)&gt;0,", "&amp;A85&amp;"-"&amp;AE$2,"")&amp;IF(N(AF85)&gt;0,", "&amp;A85&amp;"-"&amp;AF$2,"")&amp;IF(N(AG85)&gt;0,", "&amp;A85&amp;"-"&amp;AG$2,"")&amp;IF(N(AH85)&gt;0,", "&amp;A85&amp;"-"&amp;AH$2,"")&amp;IF(N(AI85)&gt;0,", "&amp;A85&amp;"-"&amp;AI$2,"")&amp;IF(N(AJ85)&gt;0,", "&amp;A85&amp;"-"&amp;AJ$2,""),3,999))</f>
        <v/>
      </c>
      <c r="AN85" s="81"/>
      <c r="AO85" s="88"/>
      <c r="AP85" s="89" t="str">
        <f aca="false">IF(AO85="","",ROUND(AO85/(1+Справочники!$B$13),2))</f>
        <v/>
      </c>
      <c r="AQ85" s="90" t="str">
        <f aca="false" t="array" ref="AQ85:AQ85">IF(AP85="","",AP85*INDEX(Справочники!$B$4:$B$7,MATCH("RUB",Справочники!$A$4:$A$7,0)))</f>
        <v/>
      </c>
      <c r="AR85" s="90" t="str">
        <f aca="false">IF(AQ85="","",ROUND(AQ85*(1+Справочники!$B$12),0))</f>
        <v/>
      </c>
      <c r="AS85" s="90" t="str">
        <f aca="false">IF(AR85="","",ROUND(AR85*(1-Справочники!$B$11),0))</f>
        <v/>
      </c>
      <c r="AT85" s="88"/>
      <c r="AU85" s="90" t="str">
        <f aca="false">IF(AT85="","",ROUND(AT85/(1+Справочники!$B$12),0))</f>
        <v/>
      </c>
      <c r="AV85" s="90" t="str">
        <f aca="false">IF(AT85="","",ROUND(AT85*(1-Справочники!$B$15),0))</f>
        <v/>
      </c>
      <c r="AW85" s="90" t="str">
        <f aca="false">IF(AT85="","",ROUND(AT85*(1-Справочники!$B$16),0))</f>
        <v/>
      </c>
      <c r="AX85" s="90" t="str">
        <f aca="false">IF(AT85="","",ROUND(AT85*(1-Справочники!$B$17),0))</f>
        <v/>
      </c>
      <c r="AY85" s="90" t="str">
        <f aca="false">IF(AT85="","",ROUND(AT85*(1-Справочники!$B$18),0))</f>
        <v/>
      </c>
      <c r="AZ85" s="90" t="str">
        <f aca="false">IF(AT85="","",ROUND(AT85*(1-Справочники!$B$19),0))</f>
        <v/>
      </c>
      <c r="BA85" s="81"/>
      <c r="BB85" s="81"/>
      <c r="BC85" s="81"/>
      <c r="BD85" s="81"/>
      <c r="BE85" s="91"/>
      <c r="BF85" s="81" t="s">
        <v>103</v>
      </c>
      <c r="BG85" s="89" t="n">
        <f aca="false" t="array" ref="BG85:BG85">IF(BF85="","",IFERROR(INDEX(Справочники!$B$4:$B$7,MATCH(BF85,Справочники!$A$4:$A$7,0)),""))</f>
        <v>68.5</v>
      </c>
      <c r="BH85" s="90" t="str">
        <f aca="false">IF(N(BN85)&gt;0,ROUND(SUMIF(ЗАКАЗЫ!$F$3:$F$500,$A85,ЗАКАЗЫ!$Y$3:$Y$500)/BN85,0),IF(OR(BE85="",BG85=""),"",ROUND(BE85*BG85*(1+Справочники!$B$10),0)))</f>
        <v/>
      </c>
      <c r="BI85" s="92" t="str">
        <f aca="false">IF(OR(AU85="",BH85="",AU85=0),"",(AU85-BH85)/AU85)</f>
        <v/>
      </c>
      <c r="BJ85" s="81"/>
      <c r="BK85" s="83"/>
      <c r="BL85" s="43" t="str">
        <f aca="false">IFERROR(INDEX(ЗАКАЗЫ!$N$3:$N$500,MATCH($A85,ЗАКАЗЫ!$F$3:$F$500,0)),"")</f>
        <v/>
      </c>
      <c r="BM85" s="8" t="str">
        <f aca="false">IF(BL85="","",IFERROR(VLOOKUP(BL85,'ТН ВЭД'!$A$4:$C$40,3,0),""))</f>
        <v/>
      </c>
      <c r="BN85" s="7" t="str">
        <f aca="false">IF(COUNTIF(ЗАКАЗЫ!$F$3:$F$500,$A85)=0,"",SUMIF(ЗАКАЗЫ!$F$3:$F$500,$A85,ЗАКАЗЫ!$J$3:$J$500))</f>
        <v/>
      </c>
      <c r="BO85" s="7" t="str">
        <f aca="false">IF(BN85="","",SUMIF(ЗАКАЗЫ!$F$3:$F$500,$A85,ЗАКАЗЫ!$AL$3:$AL$500))</f>
        <v/>
      </c>
      <c r="BP85" s="7" t="str">
        <f aca="false">IF(BN85="","",BN85-BO85)</f>
        <v/>
      </c>
      <c r="BQ85" s="55" t="str">
        <f aca="false">IF(BN85="","",IF(BO85&gt;=BN85,"На складе",IF(BO85&gt;0,"Частично","Ждём")))</f>
        <v/>
      </c>
      <c r="BR85" s="43"/>
      <c r="BS85" s="47" t="str">
        <f aca="false">IF(BN85="","",IF(_xlfn.MAXIFS(ЗАКАЗЫ!$AK$3:$AK$500,ЗАКАЗЫ!$F$3:$F$500,$A85)=0,"",_xlfn.MAXIFS(ЗАКАЗЫ!$AK$3:$AK$500,ЗАКАЗЫ!$F$3:$F$500,$A85)))</f>
        <v/>
      </c>
    </row>
    <row r="86" customFormat="false" ht="15.75" hidden="false" customHeight="true" outlineLevel="0" collapsed="false">
      <c r="A86" s="80" t="s">
        <v>2997</v>
      </c>
      <c r="B86" s="81"/>
      <c r="C86" s="81"/>
      <c r="D86" s="81"/>
      <c r="E86" s="83"/>
      <c r="F86" s="81"/>
      <c r="G86" s="83"/>
      <c r="H86" s="83"/>
      <c r="I86" s="84" t="str">
        <f aca="false">IF(E86="","",A86&amp;"_1.jpg")</f>
        <v/>
      </c>
      <c r="J86" s="84" t="str">
        <f aca="false">IF(E86="","",A86&amp;"_2.jpg; "&amp;A86&amp;"_3.jpg")</f>
        <v/>
      </c>
      <c r="K86" s="84" t="str">
        <f aca="false">IF(E86="","",A86&amp;"_schema.jpg")</f>
        <v/>
      </c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 t="s">
        <v>96</v>
      </c>
      <c r="W86" s="81"/>
      <c r="X86" s="81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6" t="str">
        <f aca="false">IF(SUM(Y86:AJ86)=0,"",SUM(Y86:AJ86))</f>
        <v/>
      </c>
      <c r="AL86" s="84" t="str">
        <f aca="false">MID(IF(N(Y86)&gt;0,", "&amp;Y$2,"")&amp;IF(N(Z86)&gt;0,", "&amp;Z$2,"")&amp;IF(N(AA86)&gt;0,", "&amp;AA$2,"")&amp;IF(N(AB86)&gt;0,", "&amp;AB$2,"")&amp;IF(N(AC86)&gt;0,", "&amp;AC$2,"")&amp;IF(N(AD86)&gt;0,", "&amp;AD$2,"")&amp;IF(N(AE86)&gt;0,", "&amp;AE$2,"")&amp;IF(N(AF86)&gt;0,", "&amp;AF$2,"")&amp;IF(N(AG86)&gt;0,", "&amp;AG$2,"")&amp;IF(N(AH86)&gt;0,", "&amp;AH$2,"")&amp;IF(N(AI86)&gt;0,", "&amp;AI$2,"")&amp;IF(N(AJ86)&gt;0,", "&amp;AJ$2,""),3,999)</f>
        <v/>
      </c>
      <c r="AM86" s="87" t="str">
        <f aca="false">IF(E86="","",MID(IF(N(Y86)&gt;0,", "&amp;A86&amp;"-"&amp;Y$2,"")&amp;IF(N(Z86)&gt;0,", "&amp;A86&amp;"-"&amp;Z$2,"")&amp;IF(N(AA86)&gt;0,", "&amp;A86&amp;"-"&amp;AA$2,"")&amp;IF(N(AB86)&gt;0,", "&amp;A86&amp;"-"&amp;AB$2,"")&amp;IF(N(AC86)&gt;0,", "&amp;A86&amp;"-"&amp;AC$2,"")&amp;IF(N(AD86)&gt;0,", "&amp;A86&amp;"-"&amp;AD$2,"")&amp;IF(N(AE86)&gt;0,", "&amp;A86&amp;"-"&amp;AE$2,"")&amp;IF(N(AF86)&gt;0,", "&amp;A86&amp;"-"&amp;AF$2,"")&amp;IF(N(AG86)&gt;0,", "&amp;A86&amp;"-"&amp;AG$2,"")&amp;IF(N(AH86)&gt;0,", "&amp;A86&amp;"-"&amp;AH$2,"")&amp;IF(N(AI86)&gt;0,", "&amp;A86&amp;"-"&amp;AI$2,"")&amp;IF(N(AJ86)&gt;0,", "&amp;A86&amp;"-"&amp;AJ$2,""),3,999))</f>
        <v/>
      </c>
      <c r="AN86" s="81"/>
      <c r="AO86" s="88"/>
      <c r="AP86" s="89" t="str">
        <f aca="false">IF(AO86="","",ROUND(AO86/(1+Справочники!$B$13),2))</f>
        <v/>
      </c>
      <c r="AQ86" s="90" t="str">
        <f aca="false" t="array" ref="AQ86:AQ86">IF(AP86="","",AP86*INDEX(Справочники!$B$4:$B$7,MATCH("RUB",Справочники!$A$4:$A$7,0)))</f>
        <v/>
      </c>
      <c r="AR86" s="90" t="str">
        <f aca="false">IF(AQ86="","",ROUND(AQ86*(1+Справочники!$B$12),0))</f>
        <v/>
      </c>
      <c r="AS86" s="90" t="str">
        <f aca="false">IF(AR86="","",ROUND(AR86*(1-Справочники!$B$11),0))</f>
        <v/>
      </c>
      <c r="AT86" s="88"/>
      <c r="AU86" s="90" t="str">
        <f aca="false">IF(AT86="","",ROUND(AT86/(1+Справочники!$B$12),0))</f>
        <v/>
      </c>
      <c r="AV86" s="90" t="str">
        <f aca="false">IF(AT86="","",ROUND(AT86*(1-Справочники!$B$15),0))</f>
        <v/>
      </c>
      <c r="AW86" s="90" t="str">
        <f aca="false">IF(AT86="","",ROUND(AT86*(1-Справочники!$B$16),0))</f>
        <v/>
      </c>
      <c r="AX86" s="90" t="str">
        <f aca="false">IF(AT86="","",ROUND(AT86*(1-Справочники!$B$17),0))</f>
        <v/>
      </c>
      <c r="AY86" s="90" t="str">
        <f aca="false">IF(AT86="","",ROUND(AT86*(1-Справочники!$B$18),0))</f>
        <v/>
      </c>
      <c r="AZ86" s="90" t="str">
        <f aca="false">IF(AT86="","",ROUND(AT86*(1-Справочники!$B$19),0))</f>
        <v/>
      </c>
      <c r="BA86" s="81"/>
      <c r="BB86" s="81"/>
      <c r="BC86" s="81"/>
      <c r="BD86" s="81"/>
      <c r="BE86" s="91"/>
      <c r="BF86" s="81" t="s">
        <v>103</v>
      </c>
      <c r="BG86" s="89" t="n">
        <f aca="false" t="array" ref="BG86:BG86">IF(BF86="","",IFERROR(INDEX(Справочники!$B$4:$B$7,MATCH(BF86,Справочники!$A$4:$A$7,0)),""))</f>
        <v>68.5</v>
      </c>
      <c r="BH86" s="90" t="str">
        <f aca="false">IF(N(BN86)&gt;0,ROUND(SUMIF(ЗАКАЗЫ!$F$3:$F$500,$A86,ЗАКАЗЫ!$Y$3:$Y$500)/BN86,0),IF(OR(BE86="",BG86=""),"",ROUND(BE86*BG86*(1+Справочники!$B$10),0)))</f>
        <v/>
      </c>
      <c r="BI86" s="92" t="str">
        <f aca="false">IF(OR(AU86="",BH86="",AU86=0),"",(AU86-BH86)/AU86)</f>
        <v/>
      </c>
      <c r="BJ86" s="81"/>
      <c r="BK86" s="83"/>
      <c r="BL86" s="43" t="str">
        <f aca="false">IFERROR(INDEX(ЗАКАЗЫ!$N$3:$N$500,MATCH($A86,ЗАКАЗЫ!$F$3:$F$500,0)),"")</f>
        <v/>
      </c>
      <c r="BM86" s="8" t="str">
        <f aca="false">IF(BL86="","",IFERROR(VLOOKUP(BL86,'ТН ВЭД'!$A$4:$C$40,3,0),""))</f>
        <v/>
      </c>
      <c r="BN86" s="7" t="str">
        <f aca="false">IF(COUNTIF(ЗАКАЗЫ!$F$3:$F$500,$A86)=0,"",SUMIF(ЗАКАЗЫ!$F$3:$F$500,$A86,ЗАКАЗЫ!$J$3:$J$500))</f>
        <v/>
      </c>
      <c r="BO86" s="7" t="str">
        <f aca="false">IF(BN86="","",SUMIF(ЗАКАЗЫ!$F$3:$F$500,$A86,ЗАКАЗЫ!$AL$3:$AL$500))</f>
        <v/>
      </c>
      <c r="BP86" s="7" t="str">
        <f aca="false">IF(BN86="","",BN86-BO86)</f>
        <v/>
      </c>
      <c r="BQ86" s="55" t="str">
        <f aca="false">IF(BN86="","",IF(BO86&gt;=BN86,"На складе",IF(BO86&gt;0,"Частично","Ждём")))</f>
        <v/>
      </c>
      <c r="BR86" s="43"/>
      <c r="BS86" s="47" t="str">
        <f aca="false">IF(BN86="","",IF(_xlfn.MAXIFS(ЗАКАЗЫ!$AK$3:$AK$500,ЗАКАЗЫ!$F$3:$F$500,$A86)=0,"",_xlfn.MAXIFS(ЗАКАЗЫ!$AK$3:$AK$500,ЗАКАЗЫ!$F$3:$F$500,$A86)))</f>
        <v/>
      </c>
    </row>
    <row r="87" customFormat="false" ht="15.75" hidden="false" customHeight="true" outlineLevel="0" collapsed="false">
      <c r="A87" s="80" t="s">
        <v>2998</v>
      </c>
      <c r="B87" s="81"/>
      <c r="C87" s="81"/>
      <c r="D87" s="81"/>
      <c r="E87" s="83"/>
      <c r="F87" s="81"/>
      <c r="G87" s="83"/>
      <c r="H87" s="83"/>
      <c r="I87" s="84" t="str">
        <f aca="false">IF(E87="","",A87&amp;"_1.jpg")</f>
        <v/>
      </c>
      <c r="J87" s="84" t="str">
        <f aca="false">IF(E87="","",A87&amp;"_2.jpg; "&amp;A87&amp;"_3.jpg")</f>
        <v/>
      </c>
      <c r="K87" s="84" t="str">
        <f aca="false">IF(E87="","",A87&amp;"_schema.jpg")</f>
        <v/>
      </c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 t="s">
        <v>96</v>
      </c>
      <c r="W87" s="81"/>
      <c r="X87" s="81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6" t="str">
        <f aca="false">IF(SUM(Y87:AJ87)=0,"",SUM(Y87:AJ87))</f>
        <v/>
      </c>
      <c r="AL87" s="84" t="str">
        <f aca="false">MID(IF(N(Y87)&gt;0,", "&amp;Y$2,"")&amp;IF(N(Z87)&gt;0,", "&amp;Z$2,"")&amp;IF(N(AA87)&gt;0,", "&amp;AA$2,"")&amp;IF(N(AB87)&gt;0,", "&amp;AB$2,"")&amp;IF(N(AC87)&gt;0,", "&amp;AC$2,"")&amp;IF(N(AD87)&gt;0,", "&amp;AD$2,"")&amp;IF(N(AE87)&gt;0,", "&amp;AE$2,"")&amp;IF(N(AF87)&gt;0,", "&amp;AF$2,"")&amp;IF(N(AG87)&gt;0,", "&amp;AG$2,"")&amp;IF(N(AH87)&gt;0,", "&amp;AH$2,"")&amp;IF(N(AI87)&gt;0,", "&amp;AI$2,"")&amp;IF(N(AJ87)&gt;0,", "&amp;AJ$2,""),3,999)</f>
        <v/>
      </c>
      <c r="AM87" s="87" t="str">
        <f aca="false">IF(E87="","",MID(IF(N(Y87)&gt;0,", "&amp;A87&amp;"-"&amp;Y$2,"")&amp;IF(N(Z87)&gt;0,", "&amp;A87&amp;"-"&amp;Z$2,"")&amp;IF(N(AA87)&gt;0,", "&amp;A87&amp;"-"&amp;AA$2,"")&amp;IF(N(AB87)&gt;0,", "&amp;A87&amp;"-"&amp;AB$2,"")&amp;IF(N(AC87)&gt;0,", "&amp;A87&amp;"-"&amp;AC$2,"")&amp;IF(N(AD87)&gt;0,", "&amp;A87&amp;"-"&amp;AD$2,"")&amp;IF(N(AE87)&gt;0,", "&amp;A87&amp;"-"&amp;AE$2,"")&amp;IF(N(AF87)&gt;0,", "&amp;A87&amp;"-"&amp;AF$2,"")&amp;IF(N(AG87)&gt;0,", "&amp;A87&amp;"-"&amp;AG$2,"")&amp;IF(N(AH87)&gt;0,", "&amp;A87&amp;"-"&amp;AH$2,"")&amp;IF(N(AI87)&gt;0,", "&amp;A87&amp;"-"&amp;AI$2,"")&amp;IF(N(AJ87)&gt;0,", "&amp;A87&amp;"-"&amp;AJ$2,""),3,999))</f>
        <v/>
      </c>
      <c r="AN87" s="81"/>
      <c r="AO87" s="88"/>
      <c r="AP87" s="89" t="str">
        <f aca="false">IF(AO87="","",ROUND(AO87/(1+Справочники!$B$13),2))</f>
        <v/>
      </c>
      <c r="AQ87" s="90" t="str">
        <f aca="false" t="array" ref="AQ87:AQ87">IF(AP87="","",AP87*INDEX(Справочники!$B$4:$B$7,MATCH("RUB",Справочники!$A$4:$A$7,0)))</f>
        <v/>
      </c>
      <c r="AR87" s="90" t="str">
        <f aca="false">IF(AQ87="","",ROUND(AQ87*(1+Справочники!$B$12),0))</f>
        <v/>
      </c>
      <c r="AS87" s="90" t="str">
        <f aca="false">IF(AR87="","",ROUND(AR87*(1-Справочники!$B$11),0))</f>
        <v/>
      </c>
      <c r="AT87" s="88"/>
      <c r="AU87" s="90" t="str">
        <f aca="false">IF(AT87="","",ROUND(AT87/(1+Справочники!$B$12),0))</f>
        <v/>
      </c>
      <c r="AV87" s="90" t="str">
        <f aca="false">IF(AT87="","",ROUND(AT87*(1-Справочники!$B$15),0))</f>
        <v/>
      </c>
      <c r="AW87" s="90" t="str">
        <f aca="false">IF(AT87="","",ROUND(AT87*(1-Справочники!$B$16),0))</f>
        <v/>
      </c>
      <c r="AX87" s="90" t="str">
        <f aca="false">IF(AT87="","",ROUND(AT87*(1-Справочники!$B$17),0))</f>
        <v/>
      </c>
      <c r="AY87" s="90" t="str">
        <f aca="false">IF(AT87="","",ROUND(AT87*(1-Справочники!$B$18),0))</f>
        <v/>
      </c>
      <c r="AZ87" s="90" t="str">
        <f aca="false">IF(AT87="","",ROUND(AT87*(1-Справочники!$B$19),0))</f>
        <v/>
      </c>
      <c r="BA87" s="81"/>
      <c r="BB87" s="81"/>
      <c r="BC87" s="81"/>
      <c r="BD87" s="81"/>
      <c r="BE87" s="91"/>
      <c r="BF87" s="81" t="s">
        <v>103</v>
      </c>
      <c r="BG87" s="89" t="n">
        <f aca="false" t="array" ref="BG87:BG87">IF(BF87="","",IFERROR(INDEX(Справочники!$B$4:$B$7,MATCH(BF87,Справочники!$A$4:$A$7,0)),""))</f>
        <v>68.5</v>
      </c>
      <c r="BH87" s="90" t="str">
        <f aca="false">IF(N(BN87)&gt;0,ROUND(SUMIF(ЗАКАЗЫ!$F$3:$F$500,$A87,ЗАКАЗЫ!$Y$3:$Y$500)/BN87,0),IF(OR(BE87="",BG87=""),"",ROUND(BE87*BG87*(1+Справочники!$B$10),0)))</f>
        <v/>
      </c>
      <c r="BI87" s="92" t="str">
        <f aca="false">IF(OR(AU87="",BH87="",AU87=0),"",(AU87-BH87)/AU87)</f>
        <v/>
      </c>
      <c r="BJ87" s="81"/>
      <c r="BK87" s="83"/>
      <c r="BL87" s="43" t="str">
        <f aca="false">IFERROR(INDEX(ЗАКАЗЫ!$N$3:$N$500,MATCH($A87,ЗАКАЗЫ!$F$3:$F$500,0)),"")</f>
        <v/>
      </c>
      <c r="BM87" s="8" t="str">
        <f aca="false">IF(BL87="","",IFERROR(VLOOKUP(BL87,'ТН ВЭД'!$A$4:$C$40,3,0),""))</f>
        <v/>
      </c>
      <c r="BN87" s="7" t="str">
        <f aca="false">IF(COUNTIF(ЗАКАЗЫ!$F$3:$F$500,$A87)=0,"",SUMIF(ЗАКАЗЫ!$F$3:$F$500,$A87,ЗАКАЗЫ!$J$3:$J$500))</f>
        <v/>
      </c>
      <c r="BO87" s="7" t="str">
        <f aca="false">IF(BN87="","",SUMIF(ЗАКАЗЫ!$F$3:$F$500,$A87,ЗАКАЗЫ!$AL$3:$AL$500))</f>
        <v/>
      </c>
      <c r="BP87" s="7" t="str">
        <f aca="false">IF(BN87="","",BN87-BO87)</f>
        <v/>
      </c>
      <c r="BQ87" s="55" t="str">
        <f aca="false">IF(BN87="","",IF(BO87&gt;=BN87,"На складе",IF(BO87&gt;0,"Частично","Ждём")))</f>
        <v/>
      </c>
      <c r="BR87" s="43"/>
      <c r="BS87" s="47" t="str">
        <f aca="false">IF(BN87="","",IF(_xlfn.MAXIFS(ЗАКАЗЫ!$AK$3:$AK$500,ЗАКАЗЫ!$F$3:$F$500,$A87)=0,"",_xlfn.MAXIFS(ЗАКАЗЫ!$AK$3:$AK$500,ЗАКАЗЫ!$F$3:$F$500,$A87)))</f>
        <v/>
      </c>
    </row>
    <row r="88" customFormat="false" ht="15.75" hidden="false" customHeight="true" outlineLevel="0" collapsed="false">
      <c r="A88" s="80" t="s">
        <v>2999</v>
      </c>
      <c r="B88" s="81"/>
      <c r="C88" s="81"/>
      <c r="D88" s="81"/>
      <c r="E88" s="83"/>
      <c r="F88" s="81"/>
      <c r="G88" s="83"/>
      <c r="H88" s="83"/>
      <c r="I88" s="84" t="str">
        <f aca="false">IF(E88="","",A88&amp;"_1.jpg")</f>
        <v/>
      </c>
      <c r="J88" s="84" t="str">
        <f aca="false">IF(E88="","",A88&amp;"_2.jpg; "&amp;A88&amp;"_3.jpg")</f>
        <v/>
      </c>
      <c r="K88" s="84" t="str">
        <f aca="false">IF(E88="","",A88&amp;"_schema.jpg")</f>
        <v/>
      </c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 t="s">
        <v>96</v>
      </c>
      <c r="W88" s="81"/>
      <c r="X88" s="81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6" t="str">
        <f aca="false">IF(SUM(Y88:AJ88)=0,"",SUM(Y88:AJ88))</f>
        <v/>
      </c>
      <c r="AL88" s="84" t="str">
        <f aca="false">MID(IF(N(Y88)&gt;0,", "&amp;Y$2,"")&amp;IF(N(Z88)&gt;0,", "&amp;Z$2,"")&amp;IF(N(AA88)&gt;0,", "&amp;AA$2,"")&amp;IF(N(AB88)&gt;0,", "&amp;AB$2,"")&amp;IF(N(AC88)&gt;0,", "&amp;AC$2,"")&amp;IF(N(AD88)&gt;0,", "&amp;AD$2,"")&amp;IF(N(AE88)&gt;0,", "&amp;AE$2,"")&amp;IF(N(AF88)&gt;0,", "&amp;AF$2,"")&amp;IF(N(AG88)&gt;0,", "&amp;AG$2,"")&amp;IF(N(AH88)&gt;0,", "&amp;AH$2,"")&amp;IF(N(AI88)&gt;0,", "&amp;AI$2,"")&amp;IF(N(AJ88)&gt;0,", "&amp;AJ$2,""),3,999)</f>
        <v/>
      </c>
      <c r="AM88" s="87" t="str">
        <f aca="false">IF(E88="","",MID(IF(N(Y88)&gt;0,", "&amp;A88&amp;"-"&amp;Y$2,"")&amp;IF(N(Z88)&gt;0,", "&amp;A88&amp;"-"&amp;Z$2,"")&amp;IF(N(AA88)&gt;0,", "&amp;A88&amp;"-"&amp;AA$2,"")&amp;IF(N(AB88)&gt;0,", "&amp;A88&amp;"-"&amp;AB$2,"")&amp;IF(N(AC88)&gt;0,", "&amp;A88&amp;"-"&amp;AC$2,"")&amp;IF(N(AD88)&gt;0,", "&amp;A88&amp;"-"&amp;AD$2,"")&amp;IF(N(AE88)&gt;0,", "&amp;A88&amp;"-"&amp;AE$2,"")&amp;IF(N(AF88)&gt;0,", "&amp;A88&amp;"-"&amp;AF$2,"")&amp;IF(N(AG88)&gt;0,", "&amp;A88&amp;"-"&amp;AG$2,"")&amp;IF(N(AH88)&gt;0,", "&amp;A88&amp;"-"&amp;AH$2,"")&amp;IF(N(AI88)&gt;0,", "&amp;A88&amp;"-"&amp;AI$2,"")&amp;IF(N(AJ88)&gt;0,", "&amp;A88&amp;"-"&amp;AJ$2,""),3,999))</f>
        <v/>
      </c>
      <c r="AN88" s="81"/>
      <c r="AO88" s="88"/>
      <c r="AP88" s="89" t="str">
        <f aca="false">IF(AO88="","",ROUND(AO88/(1+Справочники!$B$13),2))</f>
        <v/>
      </c>
      <c r="AQ88" s="90" t="str">
        <f aca="false" t="array" ref="AQ88:AQ88">IF(AP88="","",AP88*INDEX(Справочники!$B$4:$B$7,MATCH("RUB",Справочники!$A$4:$A$7,0)))</f>
        <v/>
      </c>
      <c r="AR88" s="90" t="str">
        <f aca="false">IF(AQ88="","",ROUND(AQ88*(1+Справочники!$B$12),0))</f>
        <v/>
      </c>
      <c r="AS88" s="90" t="str">
        <f aca="false">IF(AR88="","",ROUND(AR88*(1-Справочники!$B$11),0))</f>
        <v/>
      </c>
      <c r="AT88" s="88"/>
      <c r="AU88" s="90" t="str">
        <f aca="false">IF(AT88="","",ROUND(AT88/(1+Справочники!$B$12),0))</f>
        <v/>
      </c>
      <c r="AV88" s="90" t="str">
        <f aca="false">IF(AT88="","",ROUND(AT88*(1-Справочники!$B$15),0))</f>
        <v/>
      </c>
      <c r="AW88" s="90" t="str">
        <f aca="false">IF(AT88="","",ROUND(AT88*(1-Справочники!$B$16),0))</f>
        <v/>
      </c>
      <c r="AX88" s="90" t="str">
        <f aca="false">IF(AT88="","",ROUND(AT88*(1-Справочники!$B$17),0))</f>
        <v/>
      </c>
      <c r="AY88" s="90" t="str">
        <f aca="false">IF(AT88="","",ROUND(AT88*(1-Справочники!$B$18),0))</f>
        <v/>
      </c>
      <c r="AZ88" s="90" t="str">
        <f aca="false">IF(AT88="","",ROUND(AT88*(1-Справочники!$B$19),0))</f>
        <v/>
      </c>
      <c r="BA88" s="81"/>
      <c r="BB88" s="81"/>
      <c r="BC88" s="81"/>
      <c r="BD88" s="81"/>
      <c r="BE88" s="91"/>
      <c r="BF88" s="81" t="s">
        <v>103</v>
      </c>
      <c r="BG88" s="89" t="n">
        <f aca="false" t="array" ref="BG88:BG88">IF(BF88="","",IFERROR(INDEX(Справочники!$B$4:$B$7,MATCH(BF88,Справочники!$A$4:$A$7,0)),""))</f>
        <v>68.5</v>
      </c>
      <c r="BH88" s="90" t="str">
        <f aca="false">IF(N(BN88)&gt;0,ROUND(SUMIF(ЗАКАЗЫ!$F$3:$F$500,$A88,ЗАКАЗЫ!$Y$3:$Y$500)/BN88,0),IF(OR(BE88="",BG88=""),"",ROUND(BE88*BG88*(1+Справочники!$B$10),0)))</f>
        <v/>
      </c>
      <c r="BI88" s="92" t="str">
        <f aca="false">IF(OR(AU88="",BH88="",AU88=0),"",(AU88-BH88)/AU88)</f>
        <v/>
      </c>
      <c r="BJ88" s="81"/>
      <c r="BK88" s="83"/>
      <c r="BL88" s="43" t="str">
        <f aca="false">IFERROR(INDEX(ЗАКАЗЫ!$N$3:$N$500,MATCH($A88,ЗАКАЗЫ!$F$3:$F$500,0)),"")</f>
        <v/>
      </c>
      <c r="BM88" s="8" t="str">
        <f aca="false">IF(BL88="","",IFERROR(VLOOKUP(BL88,'ТН ВЭД'!$A$4:$C$40,3,0),""))</f>
        <v/>
      </c>
      <c r="BN88" s="7" t="str">
        <f aca="false">IF(COUNTIF(ЗАКАЗЫ!$F$3:$F$500,$A88)=0,"",SUMIF(ЗАКАЗЫ!$F$3:$F$500,$A88,ЗАКАЗЫ!$J$3:$J$500))</f>
        <v/>
      </c>
      <c r="BO88" s="7" t="str">
        <f aca="false">IF(BN88="","",SUMIF(ЗАКАЗЫ!$F$3:$F$500,$A88,ЗАКАЗЫ!$AL$3:$AL$500))</f>
        <v/>
      </c>
      <c r="BP88" s="7" t="str">
        <f aca="false">IF(BN88="","",BN88-BO88)</f>
        <v/>
      </c>
      <c r="BQ88" s="55" t="str">
        <f aca="false">IF(BN88="","",IF(BO88&gt;=BN88,"На складе",IF(BO88&gt;0,"Частично","Ждём")))</f>
        <v/>
      </c>
      <c r="BR88" s="43"/>
      <c r="BS88" s="47" t="str">
        <f aca="false">IF(BN88="","",IF(_xlfn.MAXIFS(ЗАКАЗЫ!$AK$3:$AK$500,ЗАКАЗЫ!$F$3:$F$500,$A88)=0,"",_xlfn.MAXIFS(ЗАКАЗЫ!$AK$3:$AK$500,ЗАКАЗЫ!$F$3:$F$500,$A88)))</f>
        <v/>
      </c>
    </row>
    <row r="89" customFormat="false" ht="15.75" hidden="false" customHeight="true" outlineLevel="0" collapsed="false">
      <c r="A89" s="80" t="s">
        <v>3000</v>
      </c>
      <c r="B89" s="81"/>
      <c r="C89" s="81"/>
      <c r="D89" s="81"/>
      <c r="E89" s="83"/>
      <c r="F89" s="81"/>
      <c r="G89" s="83"/>
      <c r="H89" s="83"/>
      <c r="I89" s="84" t="str">
        <f aca="false">IF(E89="","",A89&amp;"_1.jpg")</f>
        <v/>
      </c>
      <c r="J89" s="84" t="str">
        <f aca="false">IF(E89="","",A89&amp;"_2.jpg; "&amp;A89&amp;"_3.jpg")</f>
        <v/>
      </c>
      <c r="K89" s="84" t="str">
        <f aca="false">IF(E89="","",A89&amp;"_schema.jpg")</f>
        <v/>
      </c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 t="s">
        <v>96</v>
      </c>
      <c r="W89" s="81"/>
      <c r="X89" s="81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6" t="str">
        <f aca="false">IF(SUM(Y89:AJ89)=0,"",SUM(Y89:AJ89))</f>
        <v/>
      </c>
      <c r="AL89" s="84" t="str">
        <f aca="false">MID(IF(N(Y89)&gt;0,", "&amp;Y$2,"")&amp;IF(N(Z89)&gt;0,", "&amp;Z$2,"")&amp;IF(N(AA89)&gt;0,", "&amp;AA$2,"")&amp;IF(N(AB89)&gt;0,", "&amp;AB$2,"")&amp;IF(N(AC89)&gt;0,", "&amp;AC$2,"")&amp;IF(N(AD89)&gt;0,", "&amp;AD$2,"")&amp;IF(N(AE89)&gt;0,", "&amp;AE$2,"")&amp;IF(N(AF89)&gt;0,", "&amp;AF$2,"")&amp;IF(N(AG89)&gt;0,", "&amp;AG$2,"")&amp;IF(N(AH89)&gt;0,", "&amp;AH$2,"")&amp;IF(N(AI89)&gt;0,", "&amp;AI$2,"")&amp;IF(N(AJ89)&gt;0,", "&amp;AJ$2,""),3,999)</f>
        <v/>
      </c>
      <c r="AM89" s="87" t="str">
        <f aca="false">IF(E89="","",MID(IF(N(Y89)&gt;0,", "&amp;A89&amp;"-"&amp;Y$2,"")&amp;IF(N(Z89)&gt;0,", "&amp;A89&amp;"-"&amp;Z$2,"")&amp;IF(N(AA89)&gt;0,", "&amp;A89&amp;"-"&amp;AA$2,"")&amp;IF(N(AB89)&gt;0,", "&amp;A89&amp;"-"&amp;AB$2,"")&amp;IF(N(AC89)&gt;0,", "&amp;A89&amp;"-"&amp;AC$2,"")&amp;IF(N(AD89)&gt;0,", "&amp;A89&amp;"-"&amp;AD$2,"")&amp;IF(N(AE89)&gt;0,", "&amp;A89&amp;"-"&amp;AE$2,"")&amp;IF(N(AF89)&gt;0,", "&amp;A89&amp;"-"&amp;AF$2,"")&amp;IF(N(AG89)&gt;0,", "&amp;A89&amp;"-"&amp;AG$2,"")&amp;IF(N(AH89)&gt;0,", "&amp;A89&amp;"-"&amp;AH$2,"")&amp;IF(N(AI89)&gt;0,", "&amp;A89&amp;"-"&amp;AI$2,"")&amp;IF(N(AJ89)&gt;0,", "&amp;A89&amp;"-"&amp;AJ$2,""),3,999))</f>
        <v/>
      </c>
      <c r="AN89" s="81"/>
      <c r="AO89" s="88"/>
      <c r="AP89" s="89" t="str">
        <f aca="false">IF(AO89="","",ROUND(AO89/(1+Справочники!$B$13),2))</f>
        <v/>
      </c>
      <c r="AQ89" s="90" t="str">
        <f aca="false" t="array" ref="AQ89:AQ89">IF(AP89="","",AP89*INDEX(Справочники!$B$4:$B$7,MATCH("RUB",Справочники!$A$4:$A$7,0)))</f>
        <v/>
      </c>
      <c r="AR89" s="90" t="str">
        <f aca="false">IF(AQ89="","",ROUND(AQ89*(1+Справочники!$B$12),0))</f>
        <v/>
      </c>
      <c r="AS89" s="90" t="str">
        <f aca="false">IF(AR89="","",ROUND(AR89*(1-Справочники!$B$11),0))</f>
        <v/>
      </c>
      <c r="AT89" s="88"/>
      <c r="AU89" s="90" t="str">
        <f aca="false">IF(AT89="","",ROUND(AT89/(1+Справочники!$B$12),0))</f>
        <v/>
      </c>
      <c r="AV89" s="90" t="str">
        <f aca="false">IF(AT89="","",ROUND(AT89*(1-Справочники!$B$15),0))</f>
        <v/>
      </c>
      <c r="AW89" s="90" t="str">
        <f aca="false">IF(AT89="","",ROUND(AT89*(1-Справочники!$B$16),0))</f>
        <v/>
      </c>
      <c r="AX89" s="90" t="str">
        <f aca="false">IF(AT89="","",ROUND(AT89*(1-Справочники!$B$17),0))</f>
        <v/>
      </c>
      <c r="AY89" s="90" t="str">
        <f aca="false">IF(AT89="","",ROUND(AT89*(1-Справочники!$B$18),0))</f>
        <v/>
      </c>
      <c r="AZ89" s="90" t="str">
        <f aca="false">IF(AT89="","",ROUND(AT89*(1-Справочники!$B$19),0))</f>
        <v/>
      </c>
      <c r="BA89" s="81"/>
      <c r="BB89" s="81"/>
      <c r="BC89" s="81"/>
      <c r="BD89" s="81"/>
      <c r="BE89" s="91"/>
      <c r="BF89" s="81" t="s">
        <v>103</v>
      </c>
      <c r="BG89" s="89" t="n">
        <f aca="false" t="array" ref="BG89:BG89">IF(BF89="","",IFERROR(INDEX(Справочники!$B$4:$B$7,MATCH(BF89,Справочники!$A$4:$A$7,0)),""))</f>
        <v>68.5</v>
      </c>
      <c r="BH89" s="90" t="str">
        <f aca="false">IF(N(BN89)&gt;0,ROUND(SUMIF(ЗАКАЗЫ!$F$3:$F$500,$A89,ЗАКАЗЫ!$Y$3:$Y$500)/BN89,0),IF(OR(BE89="",BG89=""),"",ROUND(BE89*BG89*(1+Справочники!$B$10),0)))</f>
        <v/>
      </c>
      <c r="BI89" s="92" t="str">
        <f aca="false">IF(OR(AU89="",BH89="",AU89=0),"",(AU89-BH89)/AU89)</f>
        <v/>
      </c>
      <c r="BJ89" s="81"/>
      <c r="BK89" s="83"/>
      <c r="BL89" s="43" t="str">
        <f aca="false">IFERROR(INDEX(ЗАКАЗЫ!$N$3:$N$500,MATCH($A89,ЗАКАЗЫ!$F$3:$F$500,0)),"")</f>
        <v/>
      </c>
      <c r="BM89" s="8" t="str">
        <f aca="false">IF(BL89="","",IFERROR(VLOOKUP(BL89,'ТН ВЭД'!$A$4:$C$40,3,0),""))</f>
        <v/>
      </c>
      <c r="BN89" s="7" t="str">
        <f aca="false">IF(COUNTIF(ЗАКАЗЫ!$F$3:$F$500,$A89)=0,"",SUMIF(ЗАКАЗЫ!$F$3:$F$500,$A89,ЗАКАЗЫ!$J$3:$J$500))</f>
        <v/>
      </c>
      <c r="BO89" s="7" t="str">
        <f aca="false">IF(BN89="","",SUMIF(ЗАКАЗЫ!$F$3:$F$500,$A89,ЗАКАЗЫ!$AL$3:$AL$500))</f>
        <v/>
      </c>
      <c r="BP89" s="7" t="str">
        <f aca="false">IF(BN89="","",BN89-BO89)</f>
        <v/>
      </c>
      <c r="BQ89" s="55" t="str">
        <f aca="false">IF(BN89="","",IF(BO89&gt;=BN89,"На складе",IF(BO89&gt;0,"Частично","Ждём")))</f>
        <v/>
      </c>
      <c r="BR89" s="43"/>
      <c r="BS89" s="47" t="str">
        <f aca="false">IF(BN89="","",IF(_xlfn.MAXIFS(ЗАКАЗЫ!$AK$3:$AK$500,ЗАКАЗЫ!$F$3:$F$500,$A89)=0,"",_xlfn.MAXIFS(ЗАКАЗЫ!$AK$3:$AK$500,ЗАКАЗЫ!$F$3:$F$500,$A89)))</f>
        <v/>
      </c>
    </row>
    <row r="90" customFormat="false" ht="15.75" hidden="false" customHeight="true" outlineLevel="0" collapsed="false">
      <c r="A90" s="80" t="s">
        <v>3001</v>
      </c>
      <c r="B90" s="81"/>
      <c r="C90" s="81"/>
      <c r="D90" s="81"/>
      <c r="E90" s="83"/>
      <c r="F90" s="81"/>
      <c r="G90" s="83"/>
      <c r="H90" s="83"/>
      <c r="I90" s="84" t="str">
        <f aca="false">IF(E90="","",A90&amp;"_1.jpg")</f>
        <v/>
      </c>
      <c r="J90" s="84" t="str">
        <f aca="false">IF(E90="","",A90&amp;"_2.jpg; "&amp;A90&amp;"_3.jpg")</f>
        <v/>
      </c>
      <c r="K90" s="84" t="str">
        <f aca="false">IF(E90="","",A90&amp;"_schema.jpg")</f>
        <v/>
      </c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 t="s">
        <v>96</v>
      </c>
      <c r="W90" s="81"/>
      <c r="X90" s="81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6" t="str">
        <f aca="false">IF(SUM(Y90:AJ90)=0,"",SUM(Y90:AJ90))</f>
        <v/>
      </c>
      <c r="AL90" s="84" t="str">
        <f aca="false">MID(IF(N(Y90)&gt;0,", "&amp;Y$2,"")&amp;IF(N(Z90)&gt;0,", "&amp;Z$2,"")&amp;IF(N(AA90)&gt;0,", "&amp;AA$2,"")&amp;IF(N(AB90)&gt;0,", "&amp;AB$2,"")&amp;IF(N(AC90)&gt;0,", "&amp;AC$2,"")&amp;IF(N(AD90)&gt;0,", "&amp;AD$2,"")&amp;IF(N(AE90)&gt;0,", "&amp;AE$2,"")&amp;IF(N(AF90)&gt;0,", "&amp;AF$2,"")&amp;IF(N(AG90)&gt;0,", "&amp;AG$2,"")&amp;IF(N(AH90)&gt;0,", "&amp;AH$2,"")&amp;IF(N(AI90)&gt;0,", "&amp;AI$2,"")&amp;IF(N(AJ90)&gt;0,", "&amp;AJ$2,""),3,999)</f>
        <v/>
      </c>
      <c r="AM90" s="87" t="str">
        <f aca="false">IF(E90="","",MID(IF(N(Y90)&gt;0,", "&amp;A90&amp;"-"&amp;Y$2,"")&amp;IF(N(Z90)&gt;0,", "&amp;A90&amp;"-"&amp;Z$2,"")&amp;IF(N(AA90)&gt;0,", "&amp;A90&amp;"-"&amp;AA$2,"")&amp;IF(N(AB90)&gt;0,", "&amp;A90&amp;"-"&amp;AB$2,"")&amp;IF(N(AC90)&gt;0,", "&amp;A90&amp;"-"&amp;AC$2,"")&amp;IF(N(AD90)&gt;0,", "&amp;A90&amp;"-"&amp;AD$2,"")&amp;IF(N(AE90)&gt;0,", "&amp;A90&amp;"-"&amp;AE$2,"")&amp;IF(N(AF90)&gt;0,", "&amp;A90&amp;"-"&amp;AF$2,"")&amp;IF(N(AG90)&gt;0,", "&amp;A90&amp;"-"&amp;AG$2,"")&amp;IF(N(AH90)&gt;0,", "&amp;A90&amp;"-"&amp;AH$2,"")&amp;IF(N(AI90)&gt;0,", "&amp;A90&amp;"-"&amp;AI$2,"")&amp;IF(N(AJ90)&gt;0,", "&amp;A90&amp;"-"&amp;AJ$2,""),3,999))</f>
        <v/>
      </c>
      <c r="AN90" s="81"/>
      <c r="AO90" s="88"/>
      <c r="AP90" s="89" t="str">
        <f aca="false">IF(AO90="","",ROUND(AO90/(1+Справочники!$B$13),2))</f>
        <v/>
      </c>
      <c r="AQ90" s="90" t="str">
        <f aca="false" t="array" ref="AQ90:AQ90">IF(AP90="","",AP90*INDEX(Справочники!$B$4:$B$7,MATCH("RUB",Справочники!$A$4:$A$7,0)))</f>
        <v/>
      </c>
      <c r="AR90" s="90" t="str">
        <f aca="false">IF(AQ90="","",ROUND(AQ90*(1+Справочники!$B$12),0))</f>
        <v/>
      </c>
      <c r="AS90" s="90" t="str">
        <f aca="false">IF(AR90="","",ROUND(AR90*(1-Справочники!$B$11),0))</f>
        <v/>
      </c>
      <c r="AT90" s="88"/>
      <c r="AU90" s="90" t="str">
        <f aca="false">IF(AT90="","",ROUND(AT90/(1+Справочники!$B$12),0))</f>
        <v/>
      </c>
      <c r="AV90" s="90" t="str">
        <f aca="false">IF(AT90="","",ROUND(AT90*(1-Справочники!$B$15),0))</f>
        <v/>
      </c>
      <c r="AW90" s="90" t="str">
        <f aca="false">IF(AT90="","",ROUND(AT90*(1-Справочники!$B$16),0))</f>
        <v/>
      </c>
      <c r="AX90" s="90" t="str">
        <f aca="false">IF(AT90="","",ROUND(AT90*(1-Справочники!$B$17),0))</f>
        <v/>
      </c>
      <c r="AY90" s="90" t="str">
        <f aca="false">IF(AT90="","",ROUND(AT90*(1-Справочники!$B$18),0))</f>
        <v/>
      </c>
      <c r="AZ90" s="90" t="str">
        <f aca="false">IF(AT90="","",ROUND(AT90*(1-Справочники!$B$19),0))</f>
        <v/>
      </c>
      <c r="BA90" s="81"/>
      <c r="BB90" s="81"/>
      <c r="BC90" s="81"/>
      <c r="BD90" s="81"/>
      <c r="BE90" s="91"/>
      <c r="BF90" s="81" t="s">
        <v>103</v>
      </c>
      <c r="BG90" s="89" t="n">
        <f aca="false" t="array" ref="BG90:BG90">IF(BF90="","",IFERROR(INDEX(Справочники!$B$4:$B$7,MATCH(BF90,Справочники!$A$4:$A$7,0)),""))</f>
        <v>68.5</v>
      </c>
      <c r="BH90" s="90" t="str">
        <f aca="false">IF(N(BN90)&gt;0,ROUND(SUMIF(ЗАКАЗЫ!$F$3:$F$500,$A90,ЗАКАЗЫ!$Y$3:$Y$500)/BN90,0),IF(OR(BE90="",BG90=""),"",ROUND(BE90*BG90*(1+Справочники!$B$10),0)))</f>
        <v/>
      </c>
      <c r="BI90" s="92" t="str">
        <f aca="false">IF(OR(AU90="",BH90="",AU90=0),"",(AU90-BH90)/AU90)</f>
        <v/>
      </c>
      <c r="BJ90" s="81"/>
      <c r="BK90" s="83"/>
      <c r="BL90" s="43" t="str">
        <f aca="false">IFERROR(INDEX(ЗАКАЗЫ!$N$3:$N$500,MATCH($A90,ЗАКАЗЫ!$F$3:$F$500,0)),"")</f>
        <v/>
      </c>
      <c r="BM90" s="8" t="str">
        <f aca="false">IF(BL90="","",IFERROR(VLOOKUP(BL90,'ТН ВЭД'!$A$4:$C$40,3,0),""))</f>
        <v/>
      </c>
      <c r="BN90" s="7" t="str">
        <f aca="false">IF(COUNTIF(ЗАКАЗЫ!$F$3:$F$500,$A90)=0,"",SUMIF(ЗАКАЗЫ!$F$3:$F$500,$A90,ЗАКАЗЫ!$J$3:$J$500))</f>
        <v/>
      </c>
      <c r="BO90" s="7" t="str">
        <f aca="false">IF(BN90="","",SUMIF(ЗАКАЗЫ!$F$3:$F$500,$A90,ЗАКАЗЫ!$AL$3:$AL$500))</f>
        <v/>
      </c>
      <c r="BP90" s="7" t="str">
        <f aca="false">IF(BN90="","",BN90-BO90)</f>
        <v/>
      </c>
      <c r="BQ90" s="55" t="str">
        <f aca="false">IF(BN90="","",IF(BO90&gt;=BN90,"На складе",IF(BO90&gt;0,"Частично","Ждём")))</f>
        <v/>
      </c>
      <c r="BR90" s="43"/>
      <c r="BS90" s="47" t="str">
        <f aca="false">IF(BN90="","",IF(_xlfn.MAXIFS(ЗАКАЗЫ!$AK$3:$AK$500,ЗАКАЗЫ!$F$3:$F$500,$A90)=0,"",_xlfn.MAXIFS(ЗАКАЗЫ!$AK$3:$AK$500,ЗАКАЗЫ!$F$3:$F$500,$A90)))</f>
        <v/>
      </c>
    </row>
    <row r="91" customFormat="false" ht="15.75" hidden="false" customHeight="true" outlineLevel="0" collapsed="false">
      <c r="A91" s="80" t="s">
        <v>3002</v>
      </c>
      <c r="B91" s="81"/>
      <c r="C91" s="81"/>
      <c r="D91" s="81"/>
      <c r="E91" s="83"/>
      <c r="F91" s="81"/>
      <c r="G91" s="83"/>
      <c r="H91" s="83"/>
      <c r="I91" s="84" t="str">
        <f aca="false">IF(E91="","",A91&amp;"_1.jpg")</f>
        <v/>
      </c>
      <c r="J91" s="84" t="str">
        <f aca="false">IF(E91="","",A91&amp;"_2.jpg; "&amp;A91&amp;"_3.jpg")</f>
        <v/>
      </c>
      <c r="K91" s="84" t="str">
        <f aca="false">IF(E91="","",A91&amp;"_schema.jpg")</f>
        <v/>
      </c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 t="s">
        <v>96</v>
      </c>
      <c r="W91" s="81"/>
      <c r="X91" s="81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6" t="str">
        <f aca="false">IF(SUM(Y91:AJ91)=0,"",SUM(Y91:AJ91))</f>
        <v/>
      </c>
      <c r="AL91" s="84" t="str">
        <f aca="false">MID(IF(N(Y91)&gt;0,", "&amp;Y$2,"")&amp;IF(N(Z91)&gt;0,", "&amp;Z$2,"")&amp;IF(N(AA91)&gt;0,", "&amp;AA$2,"")&amp;IF(N(AB91)&gt;0,", "&amp;AB$2,"")&amp;IF(N(AC91)&gt;0,", "&amp;AC$2,"")&amp;IF(N(AD91)&gt;0,", "&amp;AD$2,"")&amp;IF(N(AE91)&gt;0,", "&amp;AE$2,"")&amp;IF(N(AF91)&gt;0,", "&amp;AF$2,"")&amp;IF(N(AG91)&gt;0,", "&amp;AG$2,"")&amp;IF(N(AH91)&gt;0,", "&amp;AH$2,"")&amp;IF(N(AI91)&gt;0,", "&amp;AI$2,"")&amp;IF(N(AJ91)&gt;0,", "&amp;AJ$2,""),3,999)</f>
        <v/>
      </c>
      <c r="AM91" s="87" t="str">
        <f aca="false">IF(E91="","",MID(IF(N(Y91)&gt;0,", "&amp;A91&amp;"-"&amp;Y$2,"")&amp;IF(N(Z91)&gt;0,", "&amp;A91&amp;"-"&amp;Z$2,"")&amp;IF(N(AA91)&gt;0,", "&amp;A91&amp;"-"&amp;AA$2,"")&amp;IF(N(AB91)&gt;0,", "&amp;A91&amp;"-"&amp;AB$2,"")&amp;IF(N(AC91)&gt;0,", "&amp;A91&amp;"-"&amp;AC$2,"")&amp;IF(N(AD91)&gt;0,", "&amp;A91&amp;"-"&amp;AD$2,"")&amp;IF(N(AE91)&gt;0,", "&amp;A91&amp;"-"&amp;AE$2,"")&amp;IF(N(AF91)&gt;0,", "&amp;A91&amp;"-"&amp;AF$2,"")&amp;IF(N(AG91)&gt;0,", "&amp;A91&amp;"-"&amp;AG$2,"")&amp;IF(N(AH91)&gt;0,", "&amp;A91&amp;"-"&amp;AH$2,"")&amp;IF(N(AI91)&gt;0,", "&amp;A91&amp;"-"&amp;AI$2,"")&amp;IF(N(AJ91)&gt;0,", "&amp;A91&amp;"-"&amp;AJ$2,""),3,999))</f>
        <v/>
      </c>
      <c r="AN91" s="81"/>
      <c r="AO91" s="88"/>
      <c r="AP91" s="89" t="str">
        <f aca="false">IF(AO91="","",ROUND(AO91/(1+Справочники!$B$13),2))</f>
        <v/>
      </c>
      <c r="AQ91" s="90" t="str">
        <f aca="false" t="array" ref="AQ91:AQ91">IF(AP91="","",AP91*INDEX(Справочники!$B$4:$B$7,MATCH("RUB",Справочники!$A$4:$A$7,0)))</f>
        <v/>
      </c>
      <c r="AR91" s="90" t="str">
        <f aca="false">IF(AQ91="","",ROUND(AQ91*(1+Справочники!$B$12),0))</f>
        <v/>
      </c>
      <c r="AS91" s="90" t="str">
        <f aca="false">IF(AR91="","",ROUND(AR91*(1-Справочники!$B$11),0))</f>
        <v/>
      </c>
      <c r="AT91" s="88"/>
      <c r="AU91" s="90" t="str">
        <f aca="false">IF(AT91="","",ROUND(AT91/(1+Справочники!$B$12),0))</f>
        <v/>
      </c>
      <c r="AV91" s="90" t="str">
        <f aca="false">IF(AT91="","",ROUND(AT91*(1-Справочники!$B$15),0))</f>
        <v/>
      </c>
      <c r="AW91" s="90" t="str">
        <f aca="false">IF(AT91="","",ROUND(AT91*(1-Справочники!$B$16),0))</f>
        <v/>
      </c>
      <c r="AX91" s="90" t="str">
        <f aca="false">IF(AT91="","",ROUND(AT91*(1-Справочники!$B$17),0))</f>
        <v/>
      </c>
      <c r="AY91" s="90" t="str">
        <f aca="false">IF(AT91="","",ROUND(AT91*(1-Справочники!$B$18),0))</f>
        <v/>
      </c>
      <c r="AZ91" s="90" t="str">
        <f aca="false">IF(AT91="","",ROUND(AT91*(1-Справочники!$B$19),0))</f>
        <v/>
      </c>
      <c r="BA91" s="81"/>
      <c r="BB91" s="81"/>
      <c r="BC91" s="81"/>
      <c r="BD91" s="81"/>
      <c r="BE91" s="91"/>
      <c r="BF91" s="81" t="s">
        <v>103</v>
      </c>
      <c r="BG91" s="89" t="n">
        <f aca="false" t="array" ref="BG91:BG91">IF(BF91="","",IFERROR(INDEX(Справочники!$B$4:$B$7,MATCH(BF91,Справочники!$A$4:$A$7,0)),""))</f>
        <v>68.5</v>
      </c>
      <c r="BH91" s="90" t="str">
        <f aca="false">IF(N(BN91)&gt;0,ROUND(SUMIF(ЗАКАЗЫ!$F$3:$F$500,$A91,ЗАКАЗЫ!$Y$3:$Y$500)/BN91,0),IF(OR(BE91="",BG91=""),"",ROUND(BE91*BG91*(1+Справочники!$B$10),0)))</f>
        <v/>
      </c>
      <c r="BI91" s="92" t="str">
        <f aca="false">IF(OR(AU91="",BH91="",AU91=0),"",(AU91-BH91)/AU91)</f>
        <v/>
      </c>
      <c r="BJ91" s="81"/>
      <c r="BK91" s="83"/>
      <c r="BL91" s="43" t="str">
        <f aca="false">IFERROR(INDEX(ЗАКАЗЫ!$N$3:$N$500,MATCH($A91,ЗАКАЗЫ!$F$3:$F$500,0)),"")</f>
        <v/>
      </c>
      <c r="BM91" s="8" t="str">
        <f aca="false">IF(BL91="","",IFERROR(VLOOKUP(BL91,'ТН ВЭД'!$A$4:$C$40,3,0),""))</f>
        <v/>
      </c>
      <c r="BN91" s="7" t="str">
        <f aca="false">IF(COUNTIF(ЗАКАЗЫ!$F$3:$F$500,$A91)=0,"",SUMIF(ЗАКАЗЫ!$F$3:$F$500,$A91,ЗАКАЗЫ!$J$3:$J$500))</f>
        <v/>
      </c>
      <c r="BO91" s="7" t="str">
        <f aca="false">IF(BN91="","",SUMIF(ЗАКАЗЫ!$F$3:$F$500,$A91,ЗАКАЗЫ!$AL$3:$AL$500))</f>
        <v/>
      </c>
      <c r="BP91" s="7" t="str">
        <f aca="false">IF(BN91="","",BN91-BO91)</f>
        <v/>
      </c>
      <c r="BQ91" s="55" t="str">
        <f aca="false">IF(BN91="","",IF(BO91&gt;=BN91,"На складе",IF(BO91&gt;0,"Частично","Ждём")))</f>
        <v/>
      </c>
      <c r="BR91" s="43"/>
      <c r="BS91" s="47" t="str">
        <f aca="false">IF(BN91="","",IF(_xlfn.MAXIFS(ЗАКАЗЫ!$AK$3:$AK$500,ЗАКАЗЫ!$F$3:$F$500,$A91)=0,"",_xlfn.MAXIFS(ЗАКАЗЫ!$AK$3:$AK$500,ЗАКАЗЫ!$F$3:$F$500,$A91)))</f>
        <v/>
      </c>
    </row>
    <row r="92" customFormat="false" ht="15.75" hidden="false" customHeight="true" outlineLevel="0" collapsed="false">
      <c r="A92" s="80" t="s">
        <v>3003</v>
      </c>
      <c r="B92" s="81"/>
      <c r="C92" s="81"/>
      <c r="D92" s="81"/>
      <c r="E92" s="83"/>
      <c r="F92" s="81"/>
      <c r="G92" s="83"/>
      <c r="H92" s="83"/>
      <c r="I92" s="84" t="str">
        <f aca="false">IF(E92="","",A92&amp;"_1.jpg")</f>
        <v/>
      </c>
      <c r="J92" s="84" t="str">
        <f aca="false">IF(E92="","",A92&amp;"_2.jpg; "&amp;A92&amp;"_3.jpg")</f>
        <v/>
      </c>
      <c r="K92" s="84" t="str">
        <f aca="false">IF(E92="","",A92&amp;"_schema.jpg")</f>
        <v/>
      </c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 t="s">
        <v>96</v>
      </c>
      <c r="W92" s="81"/>
      <c r="X92" s="81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6" t="str">
        <f aca="false">IF(SUM(Y92:AJ92)=0,"",SUM(Y92:AJ92))</f>
        <v/>
      </c>
      <c r="AL92" s="84" t="str">
        <f aca="false">MID(IF(N(Y92)&gt;0,", "&amp;Y$2,"")&amp;IF(N(Z92)&gt;0,", "&amp;Z$2,"")&amp;IF(N(AA92)&gt;0,", "&amp;AA$2,"")&amp;IF(N(AB92)&gt;0,", "&amp;AB$2,"")&amp;IF(N(AC92)&gt;0,", "&amp;AC$2,"")&amp;IF(N(AD92)&gt;0,", "&amp;AD$2,"")&amp;IF(N(AE92)&gt;0,", "&amp;AE$2,"")&amp;IF(N(AF92)&gt;0,", "&amp;AF$2,"")&amp;IF(N(AG92)&gt;0,", "&amp;AG$2,"")&amp;IF(N(AH92)&gt;0,", "&amp;AH$2,"")&amp;IF(N(AI92)&gt;0,", "&amp;AI$2,"")&amp;IF(N(AJ92)&gt;0,", "&amp;AJ$2,""),3,999)</f>
        <v/>
      </c>
      <c r="AM92" s="87" t="str">
        <f aca="false">IF(E92="","",MID(IF(N(Y92)&gt;0,", "&amp;A92&amp;"-"&amp;Y$2,"")&amp;IF(N(Z92)&gt;0,", "&amp;A92&amp;"-"&amp;Z$2,"")&amp;IF(N(AA92)&gt;0,", "&amp;A92&amp;"-"&amp;AA$2,"")&amp;IF(N(AB92)&gt;0,", "&amp;A92&amp;"-"&amp;AB$2,"")&amp;IF(N(AC92)&gt;0,", "&amp;A92&amp;"-"&amp;AC$2,"")&amp;IF(N(AD92)&gt;0,", "&amp;A92&amp;"-"&amp;AD$2,"")&amp;IF(N(AE92)&gt;0,", "&amp;A92&amp;"-"&amp;AE$2,"")&amp;IF(N(AF92)&gt;0,", "&amp;A92&amp;"-"&amp;AF$2,"")&amp;IF(N(AG92)&gt;0,", "&amp;A92&amp;"-"&amp;AG$2,"")&amp;IF(N(AH92)&gt;0,", "&amp;A92&amp;"-"&amp;AH$2,"")&amp;IF(N(AI92)&gt;0,", "&amp;A92&amp;"-"&amp;AI$2,"")&amp;IF(N(AJ92)&gt;0,", "&amp;A92&amp;"-"&amp;AJ$2,""),3,999))</f>
        <v/>
      </c>
      <c r="AN92" s="81"/>
      <c r="AO92" s="88"/>
      <c r="AP92" s="89" t="str">
        <f aca="false">IF(AO92="","",ROUND(AO92/(1+Справочники!$B$13),2))</f>
        <v/>
      </c>
      <c r="AQ92" s="90" t="str">
        <f aca="false" t="array" ref="AQ92:AQ92">IF(AP92="","",AP92*INDEX(Справочники!$B$4:$B$7,MATCH("RUB",Справочники!$A$4:$A$7,0)))</f>
        <v/>
      </c>
      <c r="AR92" s="90" t="str">
        <f aca="false">IF(AQ92="","",ROUND(AQ92*(1+Справочники!$B$12),0))</f>
        <v/>
      </c>
      <c r="AS92" s="90" t="str">
        <f aca="false">IF(AR92="","",ROUND(AR92*(1-Справочники!$B$11),0))</f>
        <v/>
      </c>
      <c r="AT92" s="88"/>
      <c r="AU92" s="90" t="str">
        <f aca="false">IF(AT92="","",ROUND(AT92/(1+Справочники!$B$12),0))</f>
        <v/>
      </c>
      <c r="AV92" s="90" t="str">
        <f aca="false">IF(AT92="","",ROUND(AT92*(1-Справочники!$B$15),0))</f>
        <v/>
      </c>
      <c r="AW92" s="90" t="str">
        <f aca="false">IF(AT92="","",ROUND(AT92*(1-Справочники!$B$16),0))</f>
        <v/>
      </c>
      <c r="AX92" s="90" t="str">
        <f aca="false">IF(AT92="","",ROUND(AT92*(1-Справочники!$B$17),0))</f>
        <v/>
      </c>
      <c r="AY92" s="90" t="str">
        <f aca="false">IF(AT92="","",ROUND(AT92*(1-Справочники!$B$18),0))</f>
        <v/>
      </c>
      <c r="AZ92" s="90" t="str">
        <f aca="false">IF(AT92="","",ROUND(AT92*(1-Справочники!$B$19),0))</f>
        <v/>
      </c>
      <c r="BA92" s="81"/>
      <c r="BB92" s="81"/>
      <c r="BC92" s="81"/>
      <c r="BD92" s="81"/>
      <c r="BE92" s="91"/>
      <c r="BF92" s="81" t="s">
        <v>103</v>
      </c>
      <c r="BG92" s="89" t="n">
        <f aca="false" t="array" ref="BG92:BG92">IF(BF92="","",IFERROR(INDEX(Справочники!$B$4:$B$7,MATCH(BF92,Справочники!$A$4:$A$7,0)),""))</f>
        <v>68.5</v>
      </c>
      <c r="BH92" s="90" t="str">
        <f aca="false">IF(N(BN92)&gt;0,ROUND(SUMIF(ЗАКАЗЫ!$F$3:$F$500,$A92,ЗАКАЗЫ!$Y$3:$Y$500)/BN92,0),IF(OR(BE92="",BG92=""),"",ROUND(BE92*BG92*(1+Справочники!$B$10),0)))</f>
        <v/>
      </c>
      <c r="BI92" s="92" t="str">
        <f aca="false">IF(OR(AU92="",BH92="",AU92=0),"",(AU92-BH92)/AU92)</f>
        <v/>
      </c>
      <c r="BJ92" s="81"/>
      <c r="BK92" s="83"/>
      <c r="BL92" s="43" t="str">
        <f aca="false">IFERROR(INDEX(ЗАКАЗЫ!$N$3:$N$500,MATCH($A92,ЗАКАЗЫ!$F$3:$F$500,0)),"")</f>
        <v/>
      </c>
      <c r="BM92" s="8" t="str">
        <f aca="false">IF(BL92="","",IFERROR(VLOOKUP(BL92,'ТН ВЭД'!$A$4:$C$40,3,0),""))</f>
        <v/>
      </c>
      <c r="BN92" s="7" t="str">
        <f aca="false">IF(COUNTIF(ЗАКАЗЫ!$F$3:$F$500,$A92)=0,"",SUMIF(ЗАКАЗЫ!$F$3:$F$500,$A92,ЗАКАЗЫ!$J$3:$J$500))</f>
        <v/>
      </c>
      <c r="BO92" s="7" t="str">
        <f aca="false">IF(BN92="","",SUMIF(ЗАКАЗЫ!$F$3:$F$500,$A92,ЗАКАЗЫ!$AL$3:$AL$500))</f>
        <v/>
      </c>
      <c r="BP92" s="7" t="str">
        <f aca="false">IF(BN92="","",BN92-BO92)</f>
        <v/>
      </c>
      <c r="BQ92" s="55" t="str">
        <f aca="false">IF(BN92="","",IF(BO92&gt;=BN92,"На складе",IF(BO92&gt;0,"Частично","Ждём")))</f>
        <v/>
      </c>
      <c r="BR92" s="43"/>
      <c r="BS92" s="47" t="str">
        <f aca="false">IF(BN92="","",IF(_xlfn.MAXIFS(ЗАКАЗЫ!$AK$3:$AK$500,ЗАКАЗЫ!$F$3:$F$500,$A92)=0,"",_xlfn.MAXIFS(ЗАКАЗЫ!$AK$3:$AK$500,ЗАКАЗЫ!$F$3:$F$500,$A92)))</f>
        <v/>
      </c>
    </row>
    <row r="93" customFormat="false" ht="15.75" hidden="false" customHeight="true" outlineLevel="0" collapsed="false">
      <c r="A93" s="80" t="s">
        <v>3004</v>
      </c>
      <c r="B93" s="81"/>
      <c r="C93" s="81"/>
      <c r="D93" s="81"/>
      <c r="E93" s="83"/>
      <c r="F93" s="81"/>
      <c r="G93" s="83"/>
      <c r="H93" s="83"/>
      <c r="I93" s="84" t="str">
        <f aca="false">IF(E93="","",A93&amp;"_1.jpg")</f>
        <v/>
      </c>
      <c r="J93" s="84" t="str">
        <f aca="false">IF(E93="","",A93&amp;"_2.jpg; "&amp;A93&amp;"_3.jpg")</f>
        <v/>
      </c>
      <c r="K93" s="84" t="str">
        <f aca="false">IF(E93="","",A93&amp;"_schema.jpg")</f>
        <v/>
      </c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 t="s">
        <v>96</v>
      </c>
      <c r="W93" s="81"/>
      <c r="X93" s="81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6" t="str">
        <f aca="false">IF(SUM(Y93:AJ93)=0,"",SUM(Y93:AJ93))</f>
        <v/>
      </c>
      <c r="AL93" s="84" t="str">
        <f aca="false">MID(IF(N(Y93)&gt;0,", "&amp;Y$2,"")&amp;IF(N(Z93)&gt;0,", "&amp;Z$2,"")&amp;IF(N(AA93)&gt;0,", "&amp;AA$2,"")&amp;IF(N(AB93)&gt;0,", "&amp;AB$2,"")&amp;IF(N(AC93)&gt;0,", "&amp;AC$2,"")&amp;IF(N(AD93)&gt;0,", "&amp;AD$2,"")&amp;IF(N(AE93)&gt;0,", "&amp;AE$2,"")&amp;IF(N(AF93)&gt;0,", "&amp;AF$2,"")&amp;IF(N(AG93)&gt;0,", "&amp;AG$2,"")&amp;IF(N(AH93)&gt;0,", "&amp;AH$2,"")&amp;IF(N(AI93)&gt;0,", "&amp;AI$2,"")&amp;IF(N(AJ93)&gt;0,", "&amp;AJ$2,""),3,999)</f>
        <v/>
      </c>
      <c r="AM93" s="87" t="str">
        <f aca="false">IF(E93="","",MID(IF(N(Y93)&gt;0,", "&amp;A93&amp;"-"&amp;Y$2,"")&amp;IF(N(Z93)&gt;0,", "&amp;A93&amp;"-"&amp;Z$2,"")&amp;IF(N(AA93)&gt;0,", "&amp;A93&amp;"-"&amp;AA$2,"")&amp;IF(N(AB93)&gt;0,", "&amp;A93&amp;"-"&amp;AB$2,"")&amp;IF(N(AC93)&gt;0,", "&amp;A93&amp;"-"&amp;AC$2,"")&amp;IF(N(AD93)&gt;0,", "&amp;A93&amp;"-"&amp;AD$2,"")&amp;IF(N(AE93)&gt;0,", "&amp;A93&amp;"-"&amp;AE$2,"")&amp;IF(N(AF93)&gt;0,", "&amp;A93&amp;"-"&amp;AF$2,"")&amp;IF(N(AG93)&gt;0,", "&amp;A93&amp;"-"&amp;AG$2,"")&amp;IF(N(AH93)&gt;0,", "&amp;A93&amp;"-"&amp;AH$2,"")&amp;IF(N(AI93)&gt;0,", "&amp;A93&amp;"-"&amp;AI$2,"")&amp;IF(N(AJ93)&gt;0,", "&amp;A93&amp;"-"&amp;AJ$2,""),3,999))</f>
        <v/>
      </c>
      <c r="AN93" s="81"/>
      <c r="AO93" s="88"/>
      <c r="AP93" s="89" t="str">
        <f aca="false">IF(AO93="","",ROUND(AO93/(1+Справочники!$B$13),2))</f>
        <v/>
      </c>
      <c r="AQ93" s="90" t="str">
        <f aca="false" t="array" ref="AQ93:AQ93">IF(AP93="","",AP93*INDEX(Справочники!$B$4:$B$7,MATCH("RUB",Справочники!$A$4:$A$7,0)))</f>
        <v/>
      </c>
      <c r="AR93" s="90" t="str">
        <f aca="false">IF(AQ93="","",ROUND(AQ93*(1+Справочники!$B$12),0))</f>
        <v/>
      </c>
      <c r="AS93" s="90" t="str">
        <f aca="false">IF(AR93="","",ROUND(AR93*(1-Справочники!$B$11),0))</f>
        <v/>
      </c>
      <c r="AT93" s="88"/>
      <c r="AU93" s="90" t="str">
        <f aca="false">IF(AT93="","",ROUND(AT93/(1+Справочники!$B$12),0))</f>
        <v/>
      </c>
      <c r="AV93" s="90" t="str">
        <f aca="false">IF(AT93="","",ROUND(AT93*(1-Справочники!$B$15),0))</f>
        <v/>
      </c>
      <c r="AW93" s="90" t="str">
        <f aca="false">IF(AT93="","",ROUND(AT93*(1-Справочники!$B$16),0))</f>
        <v/>
      </c>
      <c r="AX93" s="90" t="str">
        <f aca="false">IF(AT93="","",ROUND(AT93*(1-Справочники!$B$17),0))</f>
        <v/>
      </c>
      <c r="AY93" s="90" t="str">
        <f aca="false">IF(AT93="","",ROUND(AT93*(1-Справочники!$B$18),0))</f>
        <v/>
      </c>
      <c r="AZ93" s="90" t="str">
        <f aca="false">IF(AT93="","",ROUND(AT93*(1-Справочники!$B$19),0))</f>
        <v/>
      </c>
      <c r="BA93" s="81"/>
      <c r="BB93" s="81"/>
      <c r="BC93" s="81"/>
      <c r="BD93" s="81"/>
      <c r="BE93" s="91"/>
      <c r="BF93" s="81" t="s">
        <v>103</v>
      </c>
      <c r="BG93" s="89" t="n">
        <f aca="false" t="array" ref="BG93:BG93">IF(BF93="","",IFERROR(INDEX(Справочники!$B$4:$B$7,MATCH(BF93,Справочники!$A$4:$A$7,0)),""))</f>
        <v>68.5</v>
      </c>
      <c r="BH93" s="90" t="str">
        <f aca="false">IF(N(BN93)&gt;0,ROUND(SUMIF(ЗАКАЗЫ!$F$3:$F$500,$A93,ЗАКАЗЫ!$Y$3:$Y$500)/BN93,0),IF(OR(BE93="",BG93=""),"",ROUND(BE93*BG93*(1+Справочники!$B$10),0)))</f>
        <v/>
      </c>
      <c r="BI93" s="92" t="str">
        <f aca="false">IF(OR(AU93="",BH93="",AU93=0),"",(AU93-BH93)/AU93)</f>
        <v/>
      </c>
      <c r="BJ93" s="81"/>
      <c r="BK93" s="83"/>
      <c r="BL93" s="43" t="str">
        <f aca="false">IFERROR(INDEX(ЗАКАЗЫ!$N$3:$N$500,MATCH($A93,ЗАКАЗЫ!$F$3:$F$500,0)),"")</f>
        <v/>
      </c>
      <c r="BM93" s="8" t="str">
        <f aca="false">IF(BL93="","",IFERROR(VLOOKUP(BL93,'ТН ВЭД'!$A$4:$C$40,3,0),""))</f>
        <v/>
      </c>
      <c r="BN93" s="7" t="str">
        <f aca="false">IF(COUNTIF(ЗАКАЗЫ!$F$3:$F$500,$A93)=0,"",SUMIF(ЗАКАЗЫ!$F$3:$F$500,$A93,ЗАКАЗЫ!$J$3:$J$500))</f>
        <v/>
      </c>
      <c r="BO93" s="7" t="str">
        <f aca="false">IF(BN93="","",SUMIF(ЗАКАЗЫ!$F$3:$F$500,$A93,ЗАКАЗЫ!$AL$3:$AL$500))</f>
        <v/>
      </c>
      <c r="BP93" s="7" t="str">
        <f aca="false">IF(BN93="","",BN93-BO93)</f>
        <v/>
      </c>
      <c r="BQ93" s="55" t="str">
        <f aca="false">IF(BN93="","",IF(BO93&gt;=BN93,"На складе",IF(BO93&gt;0,"Частично","Ждём")))</f>
        <v/>
      </c>
      <c r="BR93" s="43"/>
      <c r="BS93" s="47" t="str">
        <f aca="false">IF(BN93="","",IF(_xlfn.MAXIFS(ЗАКАЗЫ!$AK$3:$AK$500,ЗАКАЗЫ!$F$3:$F$500,$A93)=0,"",_xlfn.MAXIFS(ЗАКАЗЫ!$AK$3:$AK$500,ЗАКАЗЫ!$F$3:$F$500,$A93)))</f>
        <v/>
      </c>
    </row>
    <row r="94" customFormat="false" ht="15.75" hidden="false" customHeight="true" outlineLevel="0" collapsed="false">
      <c r="A94" s="80" t="s">
        <v>3005</v>
      </c>
      <c r="B94" s="81"/>
      <c r="C94" s="81"/>
      <c r="D94" s="81"/>
      <c r="E94" s="83"/>
      <c r="F94" s="81"/>
      <c r="G94" s="83"/>
      <c r="H94" s="83"/>
      <c r="I94" s="84" t="str">
        <f aca="false">IF(E94="","",A94&amp;"_1.jpg")</f>
        <v/>
      </c>
      <c r="J94" s="84" t="str">
        <f aca="false">IF(E94="","",A94&amp;"_2.jpg; "&amp;A94&amp;"_3.jpg")</f>
        <v/>
      </c>
      <c r="K94" s="84" t="str">
        <f aca="false">IF(E94="","",A94&amp;"_schema.jpg")</f>
        <v/>
      </c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 t="s">
        <v>96</v>
      </c>
      <c r="W94" s="81"/>
      <c r="X94" s="81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6" t="str">
        <f aca="false">IF(SUM(Y94:AJ94)=0,"",SUM(Y94:AJ94))</f>
        <v/>
      </c>
      <c r="AL94" s="84" t="str">
        <f aca="false">MID(IF(N(Y94)&gt;0,", "&amp;Y$2,"")&amp;IF(N(Z94)&gt;0,", "&amp;Z$2,"")&amp;IF(N(AA94)&gt;0,", "&amp;AA$2,"")&amp;IF(N(AB94)&gt;0,", "&amp;AB$2,"")&amp;IF(N(AC94)&gt;0,", "&amp;AC$2,"")&amp;IF(N(AD94)&gt;0,", "&amp;AD$2,"")&amp;IF(N(AE94)&gt;0,", "&amp;AE$2,"")&amp;IF(N(AF94)&gt;0,", "&amp;AF$2,"")&amp;IF(N(AG94)&gt;0,", "&amp;AG$2,"")&amp;IF(N(AH94)&gt;0,", "&amp;AH$2,"")&amp;IF(N(AI94)&gt;0,", "&amp;AI$2,"")&amp;IF(N(AJ94)&gt;0,", "&amp;AJ$2,""),3,999)</f>
        <v/>
      </c>
      <c r="AM94" s="87" t="str">
        <f aca="false">IF(E94="","",MID(IF(N(Y94)&gt;0,", "&amp;A94&amp;"-"&amp;Y$2,"")&amp;IF(N(Z94)&gt;0,", "&amp;A94&amp;"-"&amp;Z$2,"")&amp;IF(N(AA94)&gt;0,", "&amp;A94&amp;"-"&amp;AA$2,"")&amp;IF(N(AB94)&gt;0,", "&amp;A94&amp;"-"&amp;AB$2,"")&amp;IF(N(AC94)&gt;0,", "&amp;A94&amp;"-"&amp;AC$2,"")&amp;IF(N(AD94)&gt;0,", "&amp;A94&amp;"-"&amp;AD$2,"")&amp;IF(N(AE94)&gt;0,", "&amp;A94&amp;"-"&amp;AE$2,"")&amp;IF(N(AF94)&gt;0,", "&amp;A94&amp;"-"&amp;AF$2,"")&amp;IF(N(AG94)&gt;0,", "&amp;A94&amp;"-"&amp;AG$2,"")&amp;IF(N(AH94)&gt;0,", "&amp;A94&amp;"-"&amp;AH$2,"")&amp;IF(N(AI94)&gt;0,", "&amp;A94&amp;"-"&amp;AI$2,"")&amp;IF(N(AJ94)&gt;0,", "&amp;A94&amp;"-"&amp;AJ$2,""),3,999))</f>
        <v/>
      </c>
      <c r="AN94" s="81"/>
      <c r="AO94" s="88"/>
      <c r="AP94" s="89" t="str">
        <f aca="false">IF(AO94="","",ROUND(AO94/(1+Справочники!$B$13),2))</f>
        <v/>
      </c>
      <c r="AQ94" s="90" t="str">
        <f aca="false" t="array" ref="AQ94:AQ94">IF(AP94="","",AP94*INDEX(Справочники!$B$4:$B$7,MATCH("RUB",Справочники!$A$4:$A$7,0)))</f>
        <v/>
      </c>
      <c r="AR94" s="90" t="str">
        <f aca="false">IF(AQ94="","",ROUND(AQ94*(1+Справочники!$B$12),0))</f>
        <v/>
      </c>
      <c r="AS94" s="90" t="str">
        <f aca="false">IF(AR94="","",ROUND(AR94*(1-Справочники!$B$11),0))</f>
        <v/>
      </c>
      <c r="AT94" s="88"/>
      <c r="AU94" s="90" t="str">
        <f aca="false">IF(AT94="","",ROUND(AT94/(1+Справочники!$B$12),0))</f>
        <v/>
      </c>
      <c r="AV94" s="90" t="str">
        <f aca="false">IF(AT94="","",ROUND(AT94*(1-Справочники!$B$15),0))</f>
        <v/>
      </c>
      <c r="AW94" s="90" t="str">
        <f aca="false">IF(AT94="","",ROUND(AT94*(1-Справочники!$B$16),0))</f>
        <v/>
      </c>
      <c r="AX94" s="90" t="str">
        <f aca="false">IF(AT94="","",ROUND(AT94*(1-Справочники!$B$17),0))</f>
        <v/>
      </c>
      <c r="AY94" s="90" t="str">
        <f aca="false">IF(AT94="","",ROUND(AT94*(1-Справочники!$B$18),0))</f>
        <v/>
      </c>
      <c r="AZ94" s="90" t="str">
        <f aca="false">IF(AT94="","",ROUND(AT94*(1-Справочники!$B$19),0))</f>
        <v/>
      </c>
      <c r="BA94" s="81"/>
      <c r="BB94" s="81"/>
      <c r="BC94" s="81"/>
      <c r="BD94" s="81"/>
      <c r="BE94" s="91"/>
      <c r="BF94" s="81" t="s">
        <v>103</v>
      </c>
      <c r="BG94" s="89" t="n">
        <f aca="false" t="array" ref="BG94:BG94">IF(BF94="","",IFERROR(INDEX(Справочники!$B$4:$B$7,MATCH(BF94,Справочники!$A$4:$A$7,0)),""))</f>
        <v>68.5</v>
      </c>
      <c r="BH94" s="90" t="str">
        <f aca="false">IF(N(BN94)&gt;0,ROUND(SUMIF(ЗАКАЗЫ!$F$3:$F$500,$A94,ЗАКАЗЫ!$Y$3:$Y$500)/BN94,0),IF(OR(BE94="",BG94=""),"",ROUND(BE94*BG94*(1+Справочники!$B$10),0)))</f>
        <v/>
      </c>
      <c r="BI94" s="92" t="str">
        <f aca="false">IF(OR(AU94="",BH94="",AU94=0),"",(AU94-BH94)/AU94)</f>
        <v/>
      </c>
      <c r="BJ94" s="81"/>
      <c r="BK94" s="83"/>
      <c r="BL94" s="43" t="str">
        <f aca="false">IFERROR(INDEX(ЗАКАЗЫ!$N$3:$N$500,MATCH($A94,ЗАКАЗЫ!$F$3:$F$500,0)),"")</f>
        <v/>
      </c>
      <c r="BM94" s="8" t="str">
        <f aca="false">IF(BL94="","",IFERROR(VLOOKUP(BL94,'ТН ВЭД'!$A$4:$C$40,3,0),""))</f>
        <v/>
      </c>
      <c r="BN94" s="7" t="str">
        <f aca="false">IF(COUNTIF(ЗАКАЗЫ!$F$3:$F$500,$A94)=0,"",SUMIF(ЗАКАЗЫ!$F$3:$F$500,$A94,ЗАКАЗЫ!$J$3:$J$500))</f>
        <v/>
      </c>
      <c r="BO94" s="7" t="str">
        <f aca="false">IF(BN94="","",SUMIF(ЗАКАЗЫ!$F$3:$F$500,$A94,ЗАКАЗЫ!$AL$3:$AL$500))</f>
        <v/>
      </c>
      <c r="BP94" s="7" t="str">
        <f aca="false">IF(BN94="","",BN94-BO94)</f>
        <v/>
      </c>
      <c r="BQ94" s="55" t="str">
        <f aca="false">IF(BN94="","",IF(BO94&gt;=BN94,"На складе",IF(BO94&gt;0,"Частично","Ждём")))</f>
        <v/>
      </c>
      <c r="BR94" s="43"/>
      <c r="BS94" s="47" t="str">
        <f aca="false">IF(BN94="","",IF(_xlfn.MAXIFS(ЗАКАЗЫ!$AK$3:$AK$500,ЗАКАЗЫ!$F$3:$F$500,$A94)=0,"",_xlfn.MAXIFS(ЗАКАЗЫ!$AK$3:$AK$500,ЗАКАЗЫ!$F$3:$F$500,$A94)))</f>
        <v/>
      </c>
    </row>
    <row r="95" customFormat="false" ht="15.75" hidden="false" customHeight="true" outlineLevel="0" collapsed="false">
      <c r="A95" s="80" t="s">
        <v>3006</v>
      </c>
      <c r="B95" s="81"/>
      <c r="C95" s="81"/>
      <c r="D95" s="81"/>
      <c r="E95" s="83"/>
      <c r="F95" s="81"/>
      <c r="G95" s="83"/>
      <c r="H95" s="83"/>
      <c r="I95" s="84" t="str">
        <f aca="false">IF(E95="","",A95&amp;"_1.jpg")</f>
        <v/>
      </c>
      <c r="J95" s="84" t="str">
        <f aca="false">IF(E95="","",A95&amp;"_2.jpg; "&amp;A95&amp;"_3.jpg")</f>
        <v/>
      </c>
      <c r="K95" s="84" t="str">
        <f aca="false">IF(E95="","",A95&amp;"_schema.jpg")</f>
        <v/>
      </c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 t="s">
        <v>96</v>
      </c>
      <c r="W95" s="81"/>
      <c r="X95" s="81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6" t="str">
        <f aca="false">IF(SUM(Y95:AJ95)=0,"",SUM(Y95:AJ95))</f>
        <v/>
      </c>
      <c r="AL95" s="84" t="str">
        <f aca="false">MID(IF(N(Y95)&gt;0,", "&amp;Y$2,"")&amp;IF(N(Z95)&gt;0,", "&amp;Z$2,"")&amp;IF(N(AA95)&gt;0,", "&amp;AA$2,"")&amp;IF(N(AB95)&gt;0,", "&amp;AB$2,"")&amp;IF(N(AC95)&gt;0,", "&amp;AC$2,"")&amp;IF(N(AD95)&gt;0,", "&amp;AD$2,"")&amp;IF(N(AE95)&gt;0,", "&amp;AE$2,"")&amp;IF(N(AF95)&gt;0,", "&amp;AF$2,"")&amp;IF(N(AG95)&gt;0,", "&amp;AG$2,"")&amp;IF(N(AH95)&gt;0,", "&amp;AH$2,"")&amp;IF(N(AI95)&gt;0,", "&amp;AI$2,"")&amp;IF(N(AJ95)&gt;0,", "&amp;AJ$2,""),3,999)</f>
        <v/>
      </c>
      <c r="AM95" s="87" t="str">
        <f aca="false">IF(E95="","",MID(IF(N(Y95)&gt;0,", "&amp;A95&amp;"-"&amp;Y$2,"")&amp;IF(N(Z95)&gt;0,", "&amp;A95&amp;"-"&amp;Z$2,"")&amp;IF(N(AA95)&gt;0,", "&amp;A95&amp;"-"&amp;AA$2,"")&amp;IF(N(AB95)&gt;0,", "&amp;A95&amp;"-"&amp;AB$2,"")&amp;IF(N(AC95)&gt;0,", "&amp;A95&amp;"-"&amp;AC$2,"")&amp;IF(N(AD95)&gt;0,", "&amp;A95&amp;"-"&amp;AD$2,"")&amp;IF(N(AE95)&gt;0,", "&amp;A95&amp;"-"&amp;AE$2,"")&amp;IF(N(AF95)&gt;0,", "&amp;A95&amp;"-"&amp;AF$2,"")&amp;IF(N(AG95)&gt;0,", "&amp;A95&amp;"-"&amp;AG$2,"")&amp;IF(N(AH95)&gt;0,", "&amp;A95&amp;"-"&amp;AH$2,"")&amp;IF(N(AI95)&gt;0,", "&amp;A95&amp;"-"&amp;AI$2,"")&amp;IF(N(AJ95)&gt;0,", "&amp;A95&amp;"-"&amp;AJ$2,""),3,999))</f>
        <v/>
      </c>
      <c r="AN95" s="81"/>
      <c r="AO95" s="88"/>
      <c r="AP95" s="89" t="str">
        <f aca="false">IF(AO95="","",ROUND(AO95/(1+Справочники!$B$13),2))</f>
        <v/>
      </c>
      <c r="AQ95" s="90" t="str">
        <f aca="false" t="array" ref="AQ95:AQ95">IF(AP95="","",AP95*INDEX(Справочники!$B$4:$B$7,MATCH("RUB",Справочники!$A$4:$A$7,0)))</f>
        <v/>
      </c>
      <c r="AR95" s="90" t="str">
        <f aca="false">IF(AQ95="","",ROUND(AQ95*(1+Справочники!$B$12),0))</f>
        <v/>
      </c>
      <c r="AS95" s="90" t="str">
        <f aca="false">IF(AR95="","",ROUND(AR95*(1-Справочники!$B$11),0))</f>
        <v/>
      </c>
      <c r="AT95" s="88"/>
      <c r="AU95" s="90" t="str">
        <f aca="false">IF(AT95="","",ROUND(AT95/(1+Справочники!$B$12),0))</f>
        <v/>
      </c>
      <c r="AV95" s="90" t="str">
        <f aca="false">IF(AT95="","",ROUND(AT95*(1-Справочники!$B$15),0))</f>
        <v/>
      </c>
      <c r="AW95" s="90" t="str">
        <f aca="false">IF(AT95="","",ROUND(AT95*(1-Справочники!$B$16),0))</f>
        <v/>
      </c>
      <c r="AX95" s="90" t="str">
        <f aca="false">IF(AT95="","",ROUND(AT95*(1-Справочники!$B$17),0))</f>
        <v/>
      </c>
      <c r="AY95" s="90" t="str">
        <f aca="false">IF(AT95="","",ROUND(AT95*(1-Справочники!$B$18),0))</f>
        <v/>
      </c>
      <c r="AZ95" s="90" t="str">
        <f aca="false">IF(AT95="","",ROUND(AT95*(1-Справочники!$B$19),0))</f>
        <v/>
      </c>
      <c r="BA95" s="81"/>
      <c r="BB95" s="81"/>
      <c r="BC95" s="81"/>
      <c r="BD95" s="81"/>
      <c r="BE95" s="91"/>
      <c r="BF95" s="81" t="s">
        <v>103</v>
      </c>
      <c r="BG95" s="89" t="n">
        <f aca="false" t="array" ref="BG95:BG95">IF(BF95="","",IFERROR(INDEX(Справочники!$B$4:$B$7,MATCH(BF95,Справочники!$A$4:$A$7,0)),""))</f>
        <v>68.5</v>
      </c>
      <c r="BH95" s="90" t="str">
        <f aca="false">IF(N(BN95)&gt;0,ROUND(SUMIF(ЗАКАЗЫ!$F$3:$F$500,$A95,ЗАКАЗЫ!$Y$3:$Y$500)/BN95,0),IF(OR(BE95="",BG95=""),"",ROUND(BE95*BG95*(1+Справочники!$B$10),0)))</f>
        <v/>
      </c>
      <c r="BI95" s="92" t="str">
        <f aca="false">IF(OR(AU95="",BH95="",AU95=0),"",(AU95-BH95)/AU95)</f>
        <v/>
      </c>
      <c r="BJ95" s="81"/>
      <c r="BK95" s="83"/>
      <c r="BL95" s="43" t="str">
        <f aca="false">IFERROR(INDEX(ЗАКАЗЫ!$N$3:$N$500,MATCH($A95,ЗАКАЗЫ!$F$3:$F$500,0)),"")</f>
        <v/>
      </c>
      <c r="BM95" s="8" t="str">
        <f aca="false">IF(BL95="","",IFERROR(VLOOKUP(BL95,'ТН ВЭД'!$A$4:$C$40,3,0),""))</f>
        <v/>
      </c>
      <c r="BN95" s="7" t="str">
        <f aca="false">IF(COUNTIF(ЗАКАЗЫ!$F$3:$F$500,$A95)=0,"",SUMIF(ЗАКАЗЫ!$F$3:$F$500,$A95,ЗАКАЗЫ!$J$3:$J$500))</f>
        <v/>
      </c>
      <c r="BO95" s="7" t="str">
        <f aca="false">IF(BN95="","",SUMIF(ЗАКАЗЫ!$F$3:$F$500,$A95,ЗАКАЗЫ!$AL$3:$AL$500))</f>
        <v/>
      </c>
      <c r="BP95" s="7" t="str">
        <f aca="false">IF(BN95="","",BN95-BO95)</f>
        <v/>
      </c>
      <c r="BQ95" s="55" t="str">
        <f aca="false">IF(BN95="","",IF(BO95&gt;=BN95,"На складе",IF(BO95&gt;0,"Частично","Ждём")))</f>
        <v/>
      </c>
      <c r="BR95" s="43"/>
      <c r="BS95" s="47" t="str">
        <f aca="false">IF(BN95="","",IF(_xlfn.MAXIFS(ЗАКАЗЫ!$AK$3:$AK$500,ЗАКАЗЫ!$F$3:$F$500,$A95)=0,"",_xlfn.MAXIFS(ЗАКАЗЫ!$AK$3:$AK$500,ЗАКАЗЫ!$F$3:$F$500,$A95)))</f>
        <v/>
      </c>
    </row>
    <row r="96" customFormat="false" ht="15.75" hidden="false" customHeight="true" outlineLevel="0" collapsed="false">
      <c r="A96" s="80" t="s">
        <v>3007</v>
      </c>
      <c r="B96" s="81"/>
      <c r="C96" s="81"/>
      <c r="D96" s="81"/>
      <c r="E96" s="83"/>
      <c r="F96" s="81"/>
      <c r="G96" s="83"/>
      <c r="H96" s="83"/>
      <c r="I96" s="84" t="str">
        <f aca="false">IF(E96="","",A96&amp;"_1.jpg")</f>
        <v/>
      </c>
      <c r="J96" s="84" t="str">
        <f aca="false">IF(E96="","",A96&amp;"_2.jpg; "&amp;A96&amp;"_3.jpg")</f>
        <v/>
      </c>
      <c r="K96" s="84" t="str">
        <f aca="false">IF(E96="","",A96&amp;"_schema.jpg")</f>
        <v/>
      </c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 t="s">
        <v>96</v>
      </c>
      <c r="W96" s="81"/>
      <c r="X96" s="81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6" t="str">
        <f aca="false">IF(SUM(Y96:AJ96)=0,"",SUM(Y96:AJ96))</f>
        <v/>
      </c>
      <c r="AL96" s="84" t="str">
        <f aca="false">MID(IF(N(Y96)&gt;0,", "&amp;Y$2,"")&amp;IF(N(Z96)&gt;0,", "&amp;Z$2,"")&amp;IF(N(AA96)&gt;0,", "&amp;AA$2,"")&amp;IF(N(AB96)&gt;0,", "&amp;AB$2,"")&amp;IF(N(AC96)&gt;0,", "&amp;AC$2,"")&amp;IF(N(AD96)&gt;0,", "&amp;AD$2,"")&amp;IF(N(AE96)&gt;0,", "&amp;AE$2,"")&amp;IF(N(AF96)&gt;0,", "&amp;AF$2,"")&amp;IF(N(AG96)&gt;0,", "&amp;AG$2,"")&amp;IF(N(AH96)&gt;0,", "&amp;AH$2,"")&amp;IF(N(AI96)&gt;0,", "&amp;AI$2,"")&amp;IF(N(AJ96)&gt;0,", "&amp;AJ$2,""),3,999)</f>
        <v/>
      </c>
      <c r="AM96" s="87" t="str">
        <f aca="false">IF(E96="","",MID(IF(N(Y96)&gt;0,", "&amp;A96&amp;"-"&amp;Y$2,"")&amp;IF(N(Z96)&gt;0,", "&amp;A96&amp;"-"&amp;Z$2,"")&amp;IF(N(AA96)&gt;0,", "&amp;A96&amp;"-"&amp;AA$2,"")&amp;IF(N(AB96)&gt;0,", "&amp;A96&amp;"-"&amp;AB$2,"")&amp;IF(N(AC96)&gt;0,", "&amp;A96&amp;"-"&amp;AC$2,"")&amp;IF(N(AD96)&gt;0,", "&amp;A96&amp;"-"&amp;AD$2,"")&amp;IF(N(AE96)&gt;0,", "&amp;A96&amp;"-"&amp;AE$2,"")&amp;IF(N(AF96)&gt;0,", "&amp;A96&amp;"-"&amp;AF$2,"")&amp;IF(N(AG96)&gt;0,", "&amp;A96&amp;"-"&amp;AG$2,"")&amp;IF(N(AH96)&gt;0,", "&amp;A96&amp;"-"&amp;AH$2,"")&amp;IF(N(AI96)&gt;0,", "&amp;A96&amp;"-"&amp;AI$2,"")&amp;IF(N(AJ96)&gt;0,", "&amp;A96&amp;"-"&amp;AJ$2,""),3,999))</f>
        <v/>
      </c>
      <c r="AN96" s="81"/>
      <c r="AO96" s="88"/>
      <c r="AP96" s="89" t="str">
        <f aca="false">IF(AO96="","",ROUND(AO96/(1+Справочники!$B$13),2))</f>
        <v/>
      </c>
      <c r="AQ96" s="90" t="str">
        <f aca="false" t="array" ref="AQ96:AQ96">IF(AP96="","",AP96*INDEX(Справочники!$B$4:$B$7,MATCH("RUB",Справочники!$A$4:$A$7,0)))</f>
        <v/>
      </c>
      <c r="AR96" s="90" t="str">
        <f aca="false">IF(AQ96="","",ROUND(AQ96*(1+Справочники!$B$12),0))</f>
        <v/>
      </c>
      <c r="AS96" s="90" t="str">
        <f aca="false">IF(AR96="","",ROUND(AR96*(1-Справочники!$B$11),0))</f>
        <v/>
      </c>
      <c r="AT96" s="88"/>
      <c r="AU96" s="90" t="str">
        <f aca="false">IF(AT96="","",ROUND(AT96/(1+Справочники!$B$12),0))</f>
        <v/>
      </c>
      <c r="AV96" s="90" t="str">
        <f aca="false">IF(AT96="","",ROUND(AT96*(1-Справочники!$B$15),0))</f>
        <v/>
      </c>
      <c r="AW96" s="90" t="str">
        <f aca="false">IF(AT96="","",ROUND(AT96*(1-Справочники!$B$16),0))</f>
        <v/>
      </c>
      <c r="AX96" s="90" t="str">
        <f aca="false">IF(AT96="","",ROUND(AT96*(1-Справочники!$B$17),0))</f>
        <v/>
      </c>
      <c r="AY96" s="90" t="str">
        <f aca="false">IF(AT96="","",ROUND(AT96*(1-Справочники!$B$18),0))</f>
        <v/>
      </c>
      <c r="AZ96" s="90" t="str">
        <f aca="false">IF(AT96="","",ROUND(AT96*(1-Справочники!$B$19),0))</f>
        <v/>
      </c>
      <c r="BA96" s="81"/>
      <c r="BB96" s="81"/>
      <c r="BC96" s="81"/>
      <c r="BD96" s="81"/>
      <c r="BE96" s="91"/>
      <c r="BF96" s="81" t="s">
        <v>103</v>
      </c>
      <c r="BG96" s="89" t="n">
        <f aca="false" t="array" ref="BG96:BG96">IF(BF96="","",IFERROR(INDEX(Справочники!$B$4:$B$7,MATCH(BF96,Справочники!$A$4:$A$7,0)),""))</f>
        <v>68.5</v>
      </c>
      <c r="BH96" s="90" t="str">
        <f aca="false">IF(N(BN96)&gt;0,ROUND(SUMIF(ЗАКАЗЫ!$F$3:$F$500,$A96,ЗАКАЗЫ!$Y$3:$Y$500)/BN96,0),IF(OR(BE96="",BG96=""),"",ROUND(BE96*BG96*(1+Справочники!$B$10),0)))</f>
        <v/>
      </c>
      <c r="BI96" s="92" t="str">
        <f aca="false">IF(OR(AU96="",BH96="",AU96=0),"",(AU96-BH96)/AU96)</f>
        <v/>
      </c>
      <c r="BJ96" s="81"/>
      <c r="BK96" s="83"/>
      <c r="BL96" s="43" t="str">
        <f aca="false">IFERROR(INDEX(ЗАКАЗЫ!$N$3:$N$500,MATCH($A96,ЗАКАЗЫ!$F$3:$F$500,0)),"")</f>
        <v/>
      </c>
      <c r="BM96" s="8" t="str">
        <f aca="false">IF(BL96="","",IFERROR(VLOOKUP(BL96,'ТН ВЭД'!$A$4:$C$40,3,0),""))</f>
        <v/>
      </c>
      <c r="BN96" s="7" t="str">
        <f aca="false">IF(COUNTIF(ЗАКАЗЫ!$F$3:$F$500,$A96)=0,"",SUMIF(ЗАКАЗЫ!$F$3:$F$500,$A96,ЗАКАЗЫ!$J$3:$J$500))</f>
        <v/>
      </c>
      <c r="BO96" s="7" t="str">
        <f aca="false">IF(BN96="","",SUMIF(ЗАКАЗЫ!$F$3:$F$500,$A96,ЗАКАЗЫ!$AL$3:$AL$500))</f>
        <v/>
      </c>
      <c r="BP96" s="7" t="str">
        <f aca="false">IF(BN96="","",BN96-BO96)</f>
        <v/>
      </c>
      <c r="BQ96" s="55" t="str">
        <f aca="false">IF(BN96="","",IF(BO96&gt;=BN96,"На складе",IF(BO96&gt;0,"Частично","Ждём")))</f>
        <v/>
      </c>
      <c r="BR96" s="43"/>
      <c r="BS96" s="47" t="str">
        <f aca="false">IF(BN96="","",IF(_xlfn.MAXIFS(ЗАКАЗЫ!$AK$3:$AK$500,ЗАКАЗЫ!$F$3:$F$500,$A96)=0,"",_xlfn.MAXIFS(ЗАКАЗЫ!$AK$3:$AK$500,ЗАКАЗЫ!$F$3:$F$500,$A96)))</f>
        <v/>
      </c>
    </row>
    <row r="97" customFormat="false" ht="15.75" hidden="false" customHeight="true" outlineLevel="0" collapsed="false">
      <c r="A97" s="80" t="s">
        <v>3008</v>
      </c>
      <c r="B97" s="81"/>
      <c r="C97" s="81"/>
      <c r="D97" s="81"/>
      <c r="E97" s="83"/>
      <c r="F97" s="81"/>
      <c r="G97" s="83"/>
      <c r="H97" s="83"/>
      <c r="I97" s="84" t="str">
        <f aca="false">IF(E97="","",A97&amp;"_1.jpg")</f>
        <v/>
      </c>
      <c r="J97" s="84" t="str">
        <f aca="false">IF(E97="","",A97&amp;"_2.jpg; "&amp;A97&amp;"_3.jpg")</f>
        <v/>
      </c>
      <c r="K97" s="84" t="str">
        <f aca="false">IF(E97="","",A97&amp;"_schema.jpg")</f>
        <v/>
      </c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 t="s">
        <v>96</v>
      </c>
      <c r="W97" s="81"/>
      <c r="X97" s="81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6" t="str">
        <f aca="false">IF(SUM(Y97:AJ97)=0,"",SUM(Y97:AJ97))</f>
        <v/>
      </c>
      <c r="AL97" s="84" t="str">
        <f aca="false">MID(IF(N(Y97)&gt;0,", "&amp;Y$2,"")&amp;IF(N(Z97)&gt;0,", "&amp;Z$2,"")&amp;IF(N(AA97)&gt;0,", "&amp;AA$2,"")&amp;IF(N(AB97)&gt;0,", "&amp;AB$2,"")&amp;IF(N(AC97)&gt;0,", "&amp;AC$2,"")&amp;IF(N(AD97)&gt;0,", "&amp;AD$2,"")&amp;IF(N(AE97)&gt;0,", "&amp;AE$2,"")&amp;IF(N(AF97)&gt;0,", "&amp;AF$2,"")&amp;IF(N(AG97)&gt;0,", "&amp;AG$2,"")&amp;IF(N(AH97)&gt;0,", "&amp;AH$2,"")&amp;IF(N(AI97)&gt;0,", "&amp;AI$2,"")&amp;IF(N(AJ97)&gt;0,", "&amp;AJ$2,""),3,999)</f>
        <v/>
      </c>
      <c r="AM97" s="87" t="str">
        <f aca="false">IF(E97="","",MID(IF(N(Y97)&gt;0,", "&amp;A97&amp;"-"&amp;Y$2,"")&amp;IF(N(Z97)&gt;0,", "&amp;A97&amp;"-"&amp;Z$2,"")&amp;IF(N(AA97)&gt;0,", "&amp;A97&amp;"-"&amp;AA$2,"")&amp;IF(N(AB97)&gt;0,", "&amp;A97&amp;"-"&amp;AB$2,"")&amp;IF(N(AC97)&gt;0,", "&amp;A97&amp;"-"&amp;AC$2,"")&amp;IF(N(AD97)&gt;0,", "&amp;A97&amp;"-"&amp;AD$2,"")&amp;IF(N(AE97)&gt;0,", "&amp;A97&amp;"-"&amp;AE$2,"")&amp;IF(N(AF97)&gt;0,", "&amp;A97&amp;"-"&amp;AF$2,"")&amp;IF(N(AG97)&gt;0,", "&amp;A97&amp;"-"&amp;AG$2,"")&amp;IF(N(AH97)&gt;0,", "&amp;A97&amp;"-"&amp;AH$2,"")&amp;IF(N(AI97)&gt;0,", "&amp;A97&amp;"-"&amp;AI$2,"")&amp;IF(N(AJ97)&gt;0,", "&amp;A97&amp;"-"&amp;AJ$2,""),3,999))</f>
        <v/>
      </c>
      <c r="AN97" s="81"/>
      <c r="AO97" s="88"/>
      <c r="AP97" s="89" t="str">
        <f aca="false">IF(AO97="","",ROUND(AO97/(1+Справочники!$B$13),2))</f>
        <v/>
      </c>
      <c r="AQ97" s="90" t="str">
        <f aca="false" t="array" ref="AQ97:AQ97">IF(AP97="","",AP97*INDEX(Справочники!$B$4:$B$7,MATCH("RUB",Справочники!$A$4:$A$7,0)))</f>
        <v/>
      </c>
      <c r="AR97" s="90" t="str">
        <f aca="false">IF(AQ97="","",ROUND(AQ97*(1+Справочники!$B$12),0))</f>
        <v/>
      </c>
      <c r="AS97" s="90" t="str">
        <f aca="false">IF(AR97="","",ROUND(AR97*(1-Справочники!$B$11),0))</f>
        <v/>
      </c>
      <c r="AT97" s="88"/>
      <c r="AU97" s="90" t="str">
        <f aca="false">IF(AT97="","",ROUND(AT97/(1+Справочники!$B$12),0))</f>
        <v/>
      </c>
      <c r="AV97" s="90" t="str">
        <f aca="false">IF(AT97="","",ROUND(AT97*(1-Справочники!$B$15),0))</f>
        <v/>
      </c>
      <c r="AW97" s="90" t="str">
        <f aca="false">IF(AT97="","",ROUND(AT97*(1-Справочники!$B$16),0))</f>
        <v/>
      </c>
      <c r="AX97" s="90" t="str">
        <f aca="false">IF(AT97="","",ROUND(AT97*(1-Справочники!$B$17),0))</f>
        <v/>
      </c>
      <c r="AY97" s="90" t="str">
        <f aca="false">IF(AT97="","",ROUND(AT97*(1-Справочники!$B$18),0))</f>
        <v/>
      </c>
      <c r="AZ97" s="90" t="str">
        <f aca="false">IF(AT97="","",ROUND(AT97*(1-Справочники!$B$19),0))</f>
        <v/>
      </c>
      <c r="BA97" s="81"/>
      <c r="BB97" s="81"/>
      <c r="BC97" s="81"/>
      <c r="BD97" s="81"/>
      <c r="BE97" s="91"/>
      <c r="BF97" s="81" t="s">
        <v>103</v>
      </c>
      <c r="BG97" s="89" t="n">
        <f aca="false" t="array" ref="BG97:BG97">IF(BF97="","",IFERROR(INDEX(Справочники!$B$4:$B$7,MATCH(BF97,Справочники!$A$4:$A$7,0)),""))</f>
        <v>68.5</v>
      </c>
      <c r="BH97" s="90" t="str">
        <f aca="false">IF(N(BN97)&gt;0,ROUND(SUMIF(ЗАКАЗЫ!$F$3:$F$500,$A97,ЗАКАЗЫ!$Y$3:$Y$500)/BN97,0),IF(OR(BE97="",BG97=""),"",ROUND(BE97*BG97*(1+Справочники!$B$10),0)))</f>
        <v/>
      </c>
      <c r="BI97" s="92" t="str">
        <f aca="false">IF(OR(AU97="",BH97="",AU97=0),"",(AU97-BH97)/AU97)</f>
        <v/>
      </c>
      <c r="BJ97" s="81"/>
      <c r="BK97" s="83"/>
      <c r="BL97" s="43" t="str">
        <f aca="false">IFERROR(INDEX(ЗАКАЗЫ!$N$3:$N$500,MATCH($A97,ЗАКАЗЫ!$F$3:$F$500,0)),"")</f>
        <v/>
      </c>
      <c r="BM97" s="8" t="str">
        <f aca="false">IF(BL97="","",IFERROR(VLOOKUP(BL97,'ТН ВЭД'!$A$4:$C$40,3,0),""))</f>
        <v/>
      </c>
      <c r="BN97" s="7" t="str">
        <f aca="false">IF(COUNTIF(ЗАКАЗЫ!$F$3:$F$500,$A97)=0,"",SUMIF(ЗАКАЗЫ!$F$3:$F$500,$A97,ЗАКАЗЫ!$J$3:$J$500))</f>
        <v/>
      </c>
      <c r="BO97" s="7" t="str">
        <f aca="false">IF(BN97="","",SUMIF(ЗАКАЗЫ!$F$3:$F$500,$A97,ЗАКАЗЫ!$AL$3:$AL$500))</f>
        <v/>
      </c>
      <c r="BP97" s="7" t="str">
        <f aca="false">IF(BN97="","",BN97-BO97)</f>
        <v/>
      </c>
      <c r="BQ97" s="55" t="str">
        <f aca="false">IF(BN97="","",IF(BO97&gt;=BN97,"На складе",IF(BO97&gt;0,"Частично","Ждём")))</f>
        <v/>
      </c>
      <c r="BR97" s="43"/>
      <c r="BS97" s="47" t="str">
        <f aca="false">IF(BN97="","",IF(_xlfn.MAXIFS(ЗАКАЗЫ!$AK$3:$AK$500,ЗАКАЗЫ!$F$3:$F$500,$A97)=0,"",_xlfn.MAXIFS(ЗАКАЗЫ!$AK$3:$AK$500,ЗАКАЗЫ!$F$3:$F$500,$A97)))</f>
        <v/>
      </c>
    </row>
    <row r="98" customFormat="false" ht="15.75" hidden="false" customHeight="true" outlineLevel="0" collapsed="false">
      <c r="A98" s="80" t="s">
        <v>3009</v>
      </c>
      <c r="B98" s="81"/>
      <c r="C98" s="81"/>
      <c r="D98" s="81"/>
      <c r="E98" s="83"/>
      <c r="F98" s="81"/>
      <c r="G98" s="83"/>
      <c r="H98" s="83"/>
      <c r="I98" s="84" t="str">
        <f aca="false">IF(E98="","",A98&amp;"_1.jpg")</f>
        <v/>
      </c>
      <c r="J98" s="84" t="str">
        <f aca="false">IF(E98="","",A98&amp;"_2.jpg; "&amp;A98&amp;"_3.jpg")</f>
        <v/>
      </c>
      <c r="K98" s="84" t="str">
        <f aca="false">IF(E98="","",A98&amp;"_schema.jpg")</f>
        <v/>
      </c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 t="s">
        <v>96</v>
      </c>
      <c r="W98" s="81"/>
      <c r="X98" s="81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6" t="str">
        <f aca="false">IF(SUM(Y98:AJ98)=0,"",SUM(Y98:AJ98))</f>
        <v/>
      </c>
      <c r="AL98" s="84" t="str">
        <f aca="false">MID(IF(N(Y98)&gt;0,", "&amp;Y$2,"")&amp;IF(N(Z98)&gt;0,", "&amp;Z$2,"")&amp;IF(N(AA98)&gt;0,", "&amp;AA$2,"")&amp;IF(N(AB98)&gt;0,", "&amp;AB$2,"")&amp;IF(N(AC98)&gt;0,", "&amp;AC$2,"")&amp;IF(N(AD98)&gt;0,", "&amp;AD$2,"")&amp;IF(N(AE98)&gt;0,", "&amp;AE$2,"")&amp;IF(N(AF98)&gt;0,", "&amp;AF$2,"")&amp;IF(N(AG98)&gt;0,", "&amp;AG$2,"")&amp;IF(N(AH98)&gt;0,", "&amp;AH$2,"")&amp;IF(N(AI98)&gt;0,", "&amp;AI$2,"")&amp;IF(N(AJ98)&gt;0,", "&amp;AJ$2,""),3,999)</f>
        <v/>
      </c>
      <c r="AM98" s="87" t="str">
        <f aca="false">IF(E98="","",MID(IF(N(Y98)&gt;0,", "&amp;A98&amp;"-"&amp;Y$2,"")&amp;IF(N(Z98)&gt;0,", "&amp;A98&amp;"-"&amp;Z$2,"")&amp;IF(N(AA98)&gt;0,", "&amp;A98&amp;"-"&amp;AA$2,"")&amp;IF(N(AB98)&gt;0,", "&amp;A98&amp;"-"&amp;AB$2,"")&amp;IF(N(AC98)&gt;0,", "&amp;A98&amp;"-"&amp;AC$2,"")&amp;IF(N(AD98)&gt;0,", "&amp;A98&amp;"-"&amp;AD$2,"")&amp;IF(N(AE98)&gt;0,", "&amp;A98&amp;"-"&amp;AE$2,"")&amp;IF(N(AF98)&gt;0,", "&amp;A98&amp;"-"&amp;AF$2,"")&amp;IF(N(AG98)&gt;0,", "&amp;A98&amp;"-"&amp;AG$2,"")&amp;IF(N(AH98)&gt;0,", "&amp;A98&amp;"-"&amp;AH$2,"")&amp;IF(N(AI98)&gt;0,", "&amp;A98&amp;"-"&amp;AI$2,"")&amp;IF(N(AJ98)&gt;0,", "&amp;A98&amp;"-"&amp;AJ$2,""),3,999))</f>
        <v/>
      </c>
      <c r="AN98" s="81"/>
      <c r="AO98" s="88"/>
      <c r="AP98" s="89" t="str">
        <f aca="false">IF(AO98="","",ROUND(AO98/(1+Справочники!$B$13),2))</f>
        <v/>
      </c>
      <c r="AQ98" s="90" t="str">
        <f aca="false" t="array" ref="AQ98:AQ98">IF(AP98="","",AP98*INDEX(Справочники!$B$4:$B$7,MATCH("RUB",Справочники!$A$4:$A$7,0)))</f>
        <v/>
      </c>
      <c r="AR98" s="90" t="str">
        <f aca="false">IF(AQ98="","",ROUND(AQ98*(1+Справочники!$B$12),0))</f>
        <v/>
      </c>
      <c r="AS98" s="90" t="str">
        <f aca="false">IF(AR98="","",ROUND(AR98*(1-Справочники!$B$11),0))</f>
        <v/>
      </c>
      <c r="AT98" s="88"/>
      <c r="AU98" s="90" t="str">
        <f aca="false">IF(AT98="","",ROUND(AT98/(1+Справочники!$B$12),0))</f>
        <v/>
      </c>
      <c r="AV98" s="90" t="str">
        <f aca="false">IF(AT98="","",ROUND(AT98*(1-Справочники!$B$15),0))</f>
        <v/>
      </c>
      <c r="AW98" s="90" t="str">
        <f aca="false">IF(AT98="","",ROUND(AT98*(1-Справочники!$B$16),0))</f>
        <v/>
      </c>
      <c r="AX98" s="90" t="str">
        <f aca="false">IF(AT98="","",ROUND(AT98*(1-Справочники!$B$17),0))</f>
        <v/>
      </c>
      <c r="AY98" s="90" t="str">
        <f aca="false">IF(AT98="","",ROUND(AT98*(1-Справочники!$B$18),0))</f>
        <v/>
      </c>
      <c r="AZ98" s="90" t="str">
        <f aca="false">IF(AT98="","",ROUND(AT98*(1-Справочники!$B$19),0))</f>
        <v/>
      </c>
      <c r="BA98" s="81"/>
      <c r="BB98" s="81"/>
      <c r="BC98" s="81"/>
      <c r="BD98" s="81"/>
      <c r="BE98" s="91"/>
      <c r="BF98" s="81" t="s">
        <v>103</v>
      </c>
      <c r="BG98" s="89" t="n">
        <f aca="false" t="array" ref="BG98:BG98">IF(BF98="","",IFERROR(INDEX(Справочники!$B$4:$B$7,MATCH(BF98,Справочники!$A$4:$A$7,0)),""))</f>
        <v>68.5</v>
      </c>
      <c r="BH98" s="90" t="str">
        <f aca="false">IF(N(BN98)&gt;0,ROUND(SUMIF(ЗАКАЗЫ!$F$3:$F$500,$A98,ЗАКАЗЫ!$Y$3:$Y$500)/BN98,0),IF(OR(BE98="",BG98=""),"",ROUND(BE98*BG98*(1+Справочники!$B$10),0)))</f>
        <v/>
      </c>
      <c r="BI98" s="92" t="str">
        <f aca="false">IF(OR(AU98="",BH98="",AU98=0),"",(AU98-BH98)/AU98)</f>
        <v/>
      </c>
      <c r="BJ98" s="81"/>
      <c r="BK98" s="83"/>
      <c r="BL98" s="43" t="str">
        <f aca="false">IFERROR(INDEX(ЗАКАЗЫ!$N$3:$N$500,MATCH($A98,ЗАКАЗЫ!$F$3:$F$500,0)),"")</f>
        <v/>
      </c>
      <c r="BM98" s="8" t="str">
        <f aca="false">IF(BL98="","",IFERROR(VLOOKUP(BL98,'ТН ВЭД'!$A$4:$C$40,3,0),""))</f>
        <v/>
      </c>
      <c r="BN98" s="7" t="str">
        <f aca="false">IF(COUNTIF(ЗАКАЗЫ!$F$3:$F$500,$A98)=0,"",SUMIF(ЗАКАЗЫ!$F$3:$F$500,$A98,ЗАКАЗЫ!$J$3:$J$500))</f>
        <v/>
      </c>
      <c r="BO98" s="7" t="str">
        <f aca="false">IF(BN98="","",SUMIF(ЗАКАЗЫ!$F$3:$F$500,$A98,ЗАКАЗЫ!$AL$3:$AL$500))</f>
        <v/>
      </c>
      <c r="BP98" s="7" t="str">
        <f aca="false">IF(BN98="","",BN98-BO98)</f>
        <v/>
      </c>
      <c r="BQ98" s="55" t="str">
        <f aca="false">IF(BN98="","",IF(BO98&gt;=BN98,"На складе",IF(BO98&gt;0,"Частично","Ждём")))</f>
        <v/>
      </c>
      <c r="BR98" s="43"/>
      <c r="BS98" s="47" t="str">
        <f aca="false">IF(BN98="","",IF(_xlfn.MAXIFS(ЗАКАЗЫ!$AK$3:$AK$500,ЗАКАЗЫ!$F$3:$F$500,$A98)=0,"",_xlfn.MAXIFS(ЗАКАЗЫ!$AK$3:$AK$500,ЗАКАЗЫ!$F$3:$F$500,$A98)))</f>
        <v/>
      </c>
    </row>
    <row r="99" customFormat="false" ht="15.75" hidden="false" customHeight="true" outlineLevel="0" collapsed="false">
      <c r="A99" s="80" t="s">
        <v>3010</v>
      </c>
      <c r="B99" s="81"/>
      <c r="C99" s="81"/>
      <c r="D99" s="81"/>
      <c r="E99" s="83"/>
      <c r="F99" s="81"/>
      <c r="G99" s="83"/>
      <c r="H99" s="83"/>
      <c r="I99" s="84" t="str">
        <f aca="false">IF(E99="","",A99&amp;"_1.jpg")</f>
        <v/>
      </c>
      <c r="J99" s="84" t="str">
        <f aca="false">IF(E99="","",A99&amp;"_2.jpg; "&amp;A99&amp;"_3.jpg")</f>
        <v/>
      </c>
      <c r="K99" s="84" t="str">
        <f aca="false">IF(E99="","",A99&amp;"_schema.jpg")</f>
        <v/>
      </c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 t="s">
        <v>96</v>
      </c>
      <c r="W99" s="81"/>
      <c r="X99" s="81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6" t="str">
        <f aca="false">IF(SUM(Y99:AJ99)=0,"",SUM(Y99:AJ99))</f>
        <v/>
      </c>
      <c r="AL99" s="84" t="str">
        <f aca="false">MID(IF(N(Y99)&gt;0,", "&amp;Y$2,"")&amp;IF(N(Z99)&gt;0,", "&amp;Z$2,"")&amp;IF(N(AA99)&gt;0,", "&amp;AA$2,"")&amp;IF(N(AB99)&gt;0,", "&amp;AB$2,"")&amp;IF(N(AC99)&gt;0,", "&amp;AC$2,"")&amp;IF(N(AD99)&gt;0,", "&amp;AD$2,"")&amp;IF(N(AE99)&gt;0,", "&amp;AE$2,"")&amp;IF(N(AF99)&gt;0,", "&amp;AF$2,"")&amp;IF(N(AG99)&gt;0,", "&amp;AG$2,"")&amp;IF(N(AH99)&gt;0,", "&amp;AH$2,"")&amp;IF(N(AI99)&gt;0,", "&amp;AI$2,"")&amp;IF(N(AJ99)&gt;0,", "&amp;AJ$2,""),3,999)</f>
        <v/>
      </c>
      <c r="AM99" s="87" t="str">
        <f aca="false">IF(E99="","",MID(IF(N(Y99)&gt;0,", "&amp;A99&amp;"-"&amp;Y$2,"")&amp;IF(N(Z99)&gt;0,", "&amp;A99&amp;"-"&amp;Z$2,"")&amp;IF(N(AA99)&gt;0,", "&amp;A99&amp;"-"&amp;AA$2,"")&amp;IF(N(AB99)&gt;0,", "&amp;A99&amp;"-"&amp;AB$2,"")&amp;IF(N(AC99)&gt;0,", "&amp;A99&amp;"-"&amp;AC$2,"")&amp;IF(N(AD99)&gt;0,", "&amp;A99&amp;"-"&amp;AD$2,"")&amp;IF(N(AE99)&gt;0,", "&amp;A99&amp;"-"&amp;AE$2,"")&amp;IF(N(AF99)&gt;0,", "&amp;A99&amp;"-"&amp;AF$2,"")&amp;IF(N(AG99)&gt;0,", "&amp;A99&amp;"-"&amp;AG$2,"")&amp;IF(N(AH99)&gt;0,", "&amp;A99&amp;"-"&amp;AH$2,"")&amp;IF(N(AI99)&gt;0,", "&amp;A99&amp;"-"&amp;AI$2,"")&amp;IF(N(AJ99)&gt;0,", "&amp;A99&amp;"-"&amp;AJ$2,""),3,999))</f>
        <v/>
      </c>
      <c r="AN99" s="81"/>
      <c r="AO99" s="88"/>
      <c r="AP99" s="89" t="str">
        <f aca="false">IF(AO99="","",ROUND(AO99/(1+Справочники!$B$13),2))</f>
        <v/>
      </c>
      <c r="AQ99" s="90" t="str">
        <f aca="false" t="array" ref="AQ99:AQ99">IF(AP99="","",AP99*INDEX(Справочники!$B$4:$B$7,MATCH("RUB",Справочники!$A$4:$A$7,0)))</f>
        <v/>
      </c>
      <c r="AR99" s="90" t="str">
        <f aca="false">IF(AQ99="","",ROUND(AQ99*(1+Справочники!$B$12),0))</f>
        <v/>
      </c>
      <c r="AS99" s="90" t="str">
        <f aca="false">IF(AR99="","",ROUND(AR99*(1-Справочники!$B$11),0))</f>
        <v/>
      </c>
      <c r="AT99" s="88"/>
      <c r="AU99" s="90" t="str">
        <f aca="false">IF(AT99="","",ROUND(AT99/(1+Справочники!$B$12),0))</f>
        <v/>
      </c>
      <c r="AV99" s="90" t="str">
        <f aca="false">IF(AT99="","",ROUND(AT99*(1-Справочники!$B$15),0))</f>
        <v/>
      </c>
      <c r="AW99" s="90" t="str">
        <f aca="false">IF(AT99="","",ROUND(AT99*(1-Справочники!$B$16),0))</f>
        <v/>
      </c>
      <c r="AX99" s="90" t="str">
        <f aca="false">IF(AT99="","",ROUND(AT99*(1-Справочники!$B$17),0))</f>
        <v/>
      </c>
      <c r="AY99" s="90" t="str">
        <f aca="false">IF(AT99="","",ROUND(AT99*(1-Справочники!$B$18),0))</f>
        <v/>
      </c>
      <c r="AZ99" s="90" t="str">
        <f aca="false">IF(AT99="","",ROUND(AT99*(1-Справочники!$B$19),0))</f>
        <v/>
      </c>
      <c r="BA99" s="81"/>
      <c r="BB99" s="81"/>
      <c r="BC99" s="81"/>
      <c r="BD99" s="81"/>
      <c r="BE99" s="91"/>
      <c r="BF99" s="81" t="s">
        <v>103</v>
      </c>
      <c r="BG99" s="89" t="n">
        <f aca="false" t="array" ref="BG99:BG99">IF(BF99="","",IFERROR(INDEX(Справочники!$B$4:$B$7,MATCH(BF99,Справочники!$A$4:$A$7,0)),""))</f>
        <v>68.5</v>
      </c>
      <c r="BH99" s="90" t="str">
        <f aca="false">IF(N(BN99)&gt;0,ROUND(SUMIF(ЗАКАЗЫ!$F$3:$F$500,$A99,ЗАКАЗЫ!$Y$3:$Y$500)/BN99,0),IF(OR(BE99="",BG99=""),"",ROUND(BE99*BG99*(1+Справочники!$B$10),0)))</f>
        <v/>
      </c>
      <c r="BI99" s="92" t="str">
        <f aca="false">IF(OR(AU99="",BH99="",AU99=0),"",(AU99-BH99)/AU99)</f>
        <v/>
      </c>
      <c r="BJ99" s="81"/>
      <c r="BK99" s="83"/>
      <c r="BL99" s="43" t="str">
        <f aca="false">IFERROR(INDEX(ЗАКАЗЫ!$N$3:$N$500,MATCH($A99,ЗАКАЗЫ!$F$3:$F$500,0)),"")</f>
        <v/>
      </c>
      <c r="BM99" s="8" t="str">
        <f aca="false">IF(BL99="","",IFERROR(VLOOKUP(BL99,'ТН ВЭД'!$A$4:$C$40,3,0),""))</f>
        <v/>
      </c>
      <c r="BN99" s="7" t="str">
        <f aca="false">IF(COUNTIF(ЗАКАЗЫ!$F$3:$F$500,$A99)=0,"",SUMIF(ЗАКАЗЫ!$F$3:$F$500,$A99,ЗАКАЗЫ!$J$3:$J$500))</f>
        <v/>
      </c>
      <c r="BO99" s="7" t="str">
        <f aca="false">IF(BN99="","",SUMIF(ЗАКАЗЫ!$F$3:$F$500,$A99,ЗАКАЗЫ!$AL$3:$AL$500))</f>
        <v/>
      </c>
      <c r="BP99" s="7" t="str">
        <f aca="false">IF(BN99="","",BN99-BO99)</f>
        <v/>
      </c>
      <c r="BQ99" s="55" t="str">
        <f aca="false">IF(BN99="","",IF(BO99&gt;=BN99,"На складе",IF(BO99&gt;0,"Частично","Ждём")))</f>
        <v/>
      </c>
      <c r="BR99" s="43"/>
      <c r="BS99" s="47" t="str">
        <f aca="false">IF(BN99="","",IF(_xlfn.MAXIFS(ЗАКАЗЫ!$AK$3:$AK$500,ЗАКАЗЫ!$F$3:$F$500,$A99)=0,"",_xlfn.MAXIFS(ЗАКАЗЫ!$AK$3:$AK$500,ЗАКАЗЫ!$F$3:$F$500,$A99)))</f>
        <v/>
      </c>
    </row>
    <row r="100" customFormat="false" ht="15.75" hidden="false" customHeight="true" outlineLevel="0" collapsed="false">
      <c r="A100" s="80" t="s">
        <v>3011</v>
      </c>
      <c r="B100" s="81"/>
      <c r="C100" s="81"/>
      <c r="D100" s="81"/>
      <c r="E100" s="83"/>
      <c r="F100" s="81"/>
      <c r="G100" s="83"/>
      <c r="H100" s="83"/>
      <c r="I100" s="84" t="str">
        <f aca="false">IF(E100="","",A100&amp;"_1.jpg")</f>
        <v/>
      </c>
      <c r="J100" s="84" t="str">
        <f aca="false">IF(E100="","",A100&amp;"_2.jpg; "&amp;A100&amp;"_3.jpg")</f>
        <v/>
      </c>
      <c r="K100" s="84" t="str">
        <f aca="false">IF(E100="","",A100&amp;"_schema.jpg")</f>
        <v/>
      </c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 t="s">
        <v>96</v>
      </c>
      <c r="W100" s="81"/>
      <c r="X100" s="81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6" t="str">
        <f aca="false">IF(SUM(Y100:AJ100)=0,"",SUM(Y100:AJ100))</f>
        <v/>
      </c>
      <c r="AL100" s="84" t="str">
        <f aca="false">MID(IF(N(Y100)&gt;0,", "&amp;Y$2,"")&amp;IF(N(Z100)&gt;0,", "&amp;Z$2,"")&amp;IF(N(AA100)&gt;0,", "&amp;AA$2,"")&amp;IF(N(AB100)&gt;0,", "&amp;AB$2,"")&amp;IF(N(AC100)&gt;0,", "&amp;AC$2,"")&amp;IF(N(AD100)&gt;0,", "&amp;AD$2,"")&amp;IF(N(AE100)&gt;0,", "&amp;AE$2,"")&amp;IF(N(AF100)&gt;0,", "&amp;AF$2,"")&amp;IF(N(AG100)&gt;0,", "&amp;AG$2,"")&amp;IF(N(AH100)&gt;0,", "&amp;AH$2,"")&amp;IF(N(AI100)&gt;0,", "&amp;AI$2,"")&amp;IF(N(AJ100)&gt;0,", "&amp;AJ$2,""),3,999)</f>
        <v/>
      </c>
      <c r="AM100" s="87" t="str">
        <f aca="false">IF(E100="","",MID(IF(N(Y100)&gt;0,", "&amp;A100&amp;"-"&amp;Y$2,"")&amp;IF(N(Z100)&gt;0,", "&amp;A100&amp;"-"&amp;Z$2,"")&amp;IF(N(AA100)&gt;0,", "&amp;A100&amp;"-"&amp;AA$2,"")&amp;IF(N(AB100)&gt;0,", "&amp;A100&amp;"-"&amp;AB$2,"")&amp;IF(N(AC100)&gt;0,", "&amp;A100&amp;"-"&amp;AC$2,"")&amp;IF(N(AD100)&gt;0,", "&amp;A100&amp;"-"&amp;AD$2,"")&amp;IF(N(AE100)&gt;0,", "&amp;A100&amp;"-"&amp;AE$2,"")&amp;IF(N(AF100)&gt;0,", "&amp;A100&amp;"-"&amp;AF$2,"")&amp;IF(N(AG100)&gt;0,", "&amp;A100&amp;"-"&amp;AG$2,"")&amp;IF(N(AH100)&gt;0,", "&amp;A100&amp;"-"&amp;AH$2,"")&amp;IF(N(AI100)&gt;0,", "&amp;A100&amp;"-"&amp;AI$2,"")&amp;IF(N(AJ100)&gt;0,", "&amp;A100&amp;"-"&amp;AJ$2,""),3,999))</f>
        <v/>
      </c>
      <c r="AN100" s="81"/>
      <c r="AO100" s="88"/>
      <c r="AP100" s="89" t="str">
        <f aca="false">IF(AO100="","",ROUND(AO100/(1+Справочники!$B$13),2))</f>
        <v/>
      </c>
      <c r="AQ100" s="90" t="str">
        <f aca="false" t="array" ref="AQ100:AQ100">IF(AP100="","",AP100*INDEX(Справочники!$B$4:$B$7,MATCH("RUB",Справочники!$A$4:$A$7,0)))</f>
        <v/>
      </c>
      <c r="AR100" s="90" t="str">
        <f aca="false">IF(AQ100="","",ROUND(AQ100*(1+Справочники!$B$12),0))</f>
        <v/>
      </c>
      <c r="AS100" s="90" t="str">
        <f aca="false">IF(AR100="","",ROUND(AR100*(1-Справочники!$B$11),0))</f>
        <v/>
      </c>
      <c r="AT100" s="88"/>
      <c r="AU100" s="90" t="str">
        <f aca="false">IF(AT100="","",ROUND(AT100/(1+Справочники!$B$12),0))</f>
        <v/>
      </c>
      <c r="AV100" s="90" t="str">
        <f aca="false">IF(AT100="","",ROUND(AT100*(1-Справочники!$B$15),0))</f>
        <v/>
      </c>
      <c r="AW100" s="90" t="str">
        <f aca="false">IF(AT100="","",ROUND(AT100*(1-Справочники!$B$16),0))</f>
        <v/>
      </c>
      <c r="AX100" s="90" t="str">
        <f aca="false">IF(AT100="","",ROUND(AT100*(1-Справочники!$B$17),0))</f>
        <v/>
      </c>
      <c r="AY100" s="90" t="str">
        <f aca="false">IF(AT100="","",ROUND(AT100*(1-Справочники!$B$18),0))</f>
        <v/>
      </c>
      <c r="AZ100" s="90" t="str">
        <f aca="false">IF(AT100="","",ROUND(AT100*(1-Справочники!$B$19),0))</f>
        <v/>
      </c>
      <c r="BA100" s="81"/>
      <c r="BB100" s="81"/>
      <c r="BC100" s="81"/>
      <c r="BD100" s="81"/>
      <c r="BE100" s="91"/>
      <c r="BF100" s="81" t="s">
        <v>103</v>
      </c>
      <c r="BG100" s="89" t="n">
        <f aca="false" t="array" ref="BG100:BG100">IF(BF100="","",IFERROR(INDEX(Справочники!$B$4:$B$7,MATCH(BF100,Справочники!$A$4:$A$7,0)),""))</f>
        <v>68.5</v>
      </c>
      <c r="BH100" s="90" t="str">
        <f aca="false">IF(N(BN100)&gt;0,ROUND(SUMIF(ЗАКАЗЫ!$F$3:$F$500,$A100,ЗАКАЗЫ!$Y$3:$Y$500)/BN100,0),IF(OR(BE100="",BG100=""),"",ROUND(BE100*BG100*(1+Справочники!$B$10),0)))</f>
        <v/>
      </c>
      <c r="BI100" s="92" t="str">
        <f aca="false">IF(OR(AU100="",BH100="",AU100=0),"",(AU100-BH100)/AU100)</f>
        <v/>
      </c>
      <c r="BJ100" s="81"/>
      <c r="BK100" s="83"/>
      <c r="BL100" s="43" t="str">
        <f aca="false">IFERROR(INDEX(ЗАКАЗЫ!$N$3:$N$500,MATCH($A100,ЗАКАЗЫ!$F$3:$F$500,0)),"")</f>
        <v/>
      </c>
      <c r="BM100" s="8" t="str">
        <f aca="false">IF(BL100="","",IFERROR(VLOOKUP(BL100,'ТН ВЭД'!$A$4:$C$40,3,0),""))</f>
        <v/>
      </c>
      <c r="BN100" s="7" t="str">
        <f aca="false">IF(COUNTIF(ЗАКАЗЫ!$F$3:$F$500,$A100)=0,"",SUMIF(ЗАКАЗЫ!$F$3:$F$500,$A100,ЗАКАЗЫ!$J$3:$J$500))</f>
        <v/>
      </c>
      <c r="BO100" s="7" t="str">
        <f aca="false">IF(BN100="","",SUMIF(ЗАКАЗЫ!$F$3:$F$500,$A100,ЗАКАЗЫ!$AL$3:$AL$500))</f>
        <v/>
      </c>
      <c r="BP100" s="7" t="str">
        <f aca="false">IF(BN100="","",BN100-BO100)</f>
        <v/>
      </c>
      <c r="BQ100" s="55" t="str">
        <f aca="false">IF(BN100="","",IF(BO100&gt;=BN100,"На складе",IF(BO100&gt;0,"Частично","Ждём")))</f>
        <v/>
      </c>
      <c r="BR100" s="43"/>
      <c r="BS100" s="47" t="str">
        <f aca="false">IF(BN100="","",IF(_xlfn.MAXIFS(ЗАКАЗЫ!$AK$3:$AK$500,ЗАКАЗЫ!$F$3:$F$500,$A100)=0,"",_xlfn.MAXIFS(ЗАКАЗЫ!$AK$3:$AK$500,ЗАКАЗЫ!$F$3:$F$500,$A100)))</f>
        <v/>
      </c>
    </row>
    <row r="101" customFormat="false" ht="15.75" hidden="false" customHeight="true" outlineLevel="0" collapsed="false">
      <c r="A101" s="80" t="s">
        <v>3012</v>
      </c>
      <c r="B101" s="81"/>
      <c r="C101" s="81"/>
      <c r="D101" s="81"/>
      <c r="E101" s="83"/>
      <c r="F101" s="81"/>
      <c r="G101" s="83"/>
      <c r="H101" s="83"/>
      <c r="I101" s="84" t="str">
        <f aca="false">IF(E101="","",A101&amp;"_1.jpg")</f>
        <v/>
      </c>
      <c r="J101" s="84" t="str">
        <f aca="false">IF(E101="","",A101&amp;"_2.jpg; "&amp;A101&amp;"_3.jpg")</f>
        <v/>
      </c>
      <c r="K101" s="84" t="str">
        <f aca="false">IF(E101="","",A101&amp;"_schema.jpg")</f>
        <v/>
      </c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 t="s">
        <v>96</v>
      </c>
      <c r="W101" s="81"/>
      <c r="X101" s="81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6" t="str">
        <f aca="false">IF(SUM(Y101:AJ101)=0,"",SUM(Y101:AJ101))</f>
        <v/>
      </c>
      <c r="AL101" s="84" t="str">
        <f aca="false">MID(IF(N(Y101)&gt;0,", "&amp;Y$2,"")&amp;IF(N(Z101)&gt;0,", "&amp;Z$2,"")&amp;IF(N(AA101)&gt;0,", "&amp;AA$2,"")&amp;IF(N(AB101)&gt;0,", "&amp;AB$2,"")&amp;IF(N(AC101)&gt;0,", "&amp;AC$2,"")&amp;IF(N(AD101)&gt;0,", "&amp;AD$2,"")&amp;IF(N(AE101)&gt;0,", "&amp;AE$2,"")&amp;IF(N(AF101)&gt;0,", "&amp;AF$2,"")&amp;IF(N(AG101)&gt;0,", "&amp;AG$2,"")&amp;IF(N(AH101)&gt;0,", "&amp;AH$2,"")&amp;IF(N(AI101)&gt;0,", "&amp;AI$2,"")&amp;IF(N(AJ101)&gt;0,", "&amp;AJ$2,""),3,999)</f>
        <v/>
      </c>
      <c r="AM101" s="87" t="str">
        <f aca="false">IF(E101="","",MID(IF(N(Y101)&gt;0,", "&amp;A101&amp;"-"&amp;Y$2,"")&amp;IF(N(Z101)&gt;0,", "&amp;A101&amp;"-"&amp;Z$2,"")&amp;IF(N(AA101)&gt;0,", "&amp;A101&amp;"-"&amp;AA$2,"")&amp;IF(N(AB101)&gt;0,", "&amp;A101&amp;"-"&amp;AB$2,"")&amp;IF(N(AC101)&gt;0,", "&amp;A101&amp;"-"&amp;AC$2,"")&amp;IF(N(AD101)&gt;0,", "&amp;A101&amp;"-"&amp;AD$2,"")&amp;IF(N(AE101)&gt;0,", "&amp;A101&amp;"-"&amp;AE$2,"")&amp;IF(N(AF101)&gt;0,", "&amp;A101&amp;"-"&amp;AF$2,"")&amp;IF(N(AG101)&gt;0,", "&amp;A101&amp;"-"&amp;AG$2,"")&amp;IF(N(AH101)&gt;0,", "&amp;A101&amp;"-"&amp;AH$2,"")&amp;IF(N(AI101)&gt;0,", "&amp;A101&amp;"-"&amp;AI$2,"")&amp;IF(N(AJ101)&gt;0,", "&amp;A101&amp;"-"&amp;AJ$2,""),3,999))</f>
        <v/>
      </c>
      <c r="AN101" s="81"/>
      <c r="AO101" s="88"/>
      <c r="AP101" s="89" t="str">
        <f aca="false">IF(AO101="","",ROUND(AO101/(1+Справочники!$B$13),2))</f>
        <v/>
      </c>
      <c r="AQ101" s="90" t="str">
        <f aca="false" t="array" ref="AQ101:AQ101">IF(AP101="","",AP101*INDEX(Справочники!$B$4:$B$7,MATCH("RUB",Справочники!$A$4:$A$7,0)))</f>
        <v/>
      </c>
      <c r="AR101" s="90" t="str">
        <f aca="false">IF(AQ101="","",ROUND(AQ101*(1+Справочники!$B$12),0))</f>
        <v/>
      </c>
      <c r="AS101" s="90" t="str">
        <f aca="false">IF(AR101="","",ROUND(AR101*(1-Справочники!$B$11),0))</f>
        <v/>
      </c>
      <c r="AT101" s="88"/>
      <c r="AU101" s="90" t="str">
        <f aca="false">IF(AT101="","",ROUND(AT101/(1+Справочники!$B$12),0))</f>
        <v/>
      </c>
      <c r="AV101" s="90" t="str">
        <f aca="false">IF(AT101="","",ROUND(AT101*(1-Справочники!$B$15),0))</f>
        <v/>
      </c>
      <c r="AW101" s="90" t="str">
        <f aca="false">IF(AT101="","",ROUND(AT101*(1-Справочники!$B$16),0))</f>
        <v/>
      </c>
      <c r="AX101" s="90" t="str">
        <f aca="false">IF(AT101="","",ROUND(AT101*(1-Справочники!$B$17),0))</f>
        <v/>
      </c>
      <c r="AY101" s="90" t="str">
        <f aca="false">IF(AT101="","",ROUND(AT101*(1-Справочники!$B$18),0))</f>
        <v/>
      </c>
      <c r="AZ101" s="90" t="str">
        <f aca="false">IF(AT101="","",ROUND(AT101*(1-Справочники!$B$19),0))</f>
        <v/>
      </c>
      <c r="BA101" s="81"/>
      <c r="BB101" s="81"/>
      <c r="BC101" s="81"/>
      <c r="BD101" s="81"/>
      <c r="BE101" s="91"/>
      <c r="BF101" s="81" t="s">
        <v>103</v>
      </c>
      <c r="BG101" s="89" t="n">
        <f aca="false" t="array" ref="BG101:BG101">IF(BF101="","",IFERROR(INDEX(Справочники!$B$4:$B$7,MATCH(BF101,Справочники!$A$4:$A$7,0)),""))</f>
        <v>68.5</v>
      </c>
      <c r="BH101" s="90" t="str">
        <f aca="false">IF(N(BN101)&gt;0,ROUND(SUMIF(ЗАКАЗЫ!$F$3:$F$500,$A101,ЗАКАЗЫ!$Y$3:$Y$500)/BN101,0),IF(OR(BE101="",BG101=""),"",ROUND(BE101*BG101*(1+Справочники!$B$10),0)))</f>
        <v/>
      </c>
      <c r="BI101" s="92" t="str">
        <f aca="false">IF(OR(AU101="",BH101="",AU101=0),"",(AU101-BH101)/AU101)</f>
        <v/>
      </c>
      <c r="BJ101" s="81"/>
      <c r="BK101" s="83"/>
      <c r="BL101" s="43" t="str">
        <f aca="false">IFERROR(INDEX(ЗАКАЗЫ!$N$3:$N$500,MATCH($A101,ЗАКАЗЫ!$F$3:$F$500,0)),"")</f>
        <v/>
      </c>
      <c r="BM101" s="8" t="str">
        <f aca="false">IF(BL101="","",IFERROR(VLOOKUP(BL101,'ТН ВЭД'!$A$4:$C$40,3,0),""))</f>
        <v/>
      </c>
      <c r="BN101" s="7" t="str">
        <f aca="false">IF(COUNTIF(ЗАКАЗЫ!$F$3:$F$500,$A101)=0,"",SUMIF(ЗАКАЗЫ!$F$3:$F$500,$A101,ЗАКАЗЫ!$J$3:$J$500))</f>
        <v/>
      </c>
      <c r="BO101" s="7" t="str">
        <f aca="false">IF(BN101="","",SUMIF(ЗАКАЗЫ!$F$3:$F$500,$A101,ЗАКАЗЫ!$AL$3:$AL$500))</f>
        <v/>
      </c>
      <c r="BP101" s="7" t="str">
        <f aca="false">IF(BN101="","",BN101-BO101)</f>
        <v/>
      </c>
      <c r="BQ101" s="55" t="str">
        <f aca="false">IF(BN101="","",IF(BO101&gt;=BN101,"На складе",IF(BO101&gt;0,"Частично","Ждём")))</f>
        <v/>
      </c>
      <c r="BR101" s="43"/>
      <c r="BS101" s="47" t="str">
        <f aca="false">IF(BN101="","",IF(_xlfn.MAXIFS(ЗАКАЗЫ!$AK$3:$AK$500,ЗАКАЗЫ!$F$3:$F$500,$A101)=0,"",_xlfn.MAXIFS(ЗАКАЗЫ!$AK$3:$AK$500,ЗАКАЗЫ!$F$3:$F$500,$A101)))</f>
        <v/>
      </c>
    </row>
    <row r="102" customFormat="false" ht="15.75" hidden="false" customHeight="true" outlineLevel="0" collapsed="false">
      <c r="A102" s="80" t="s">
        <v>3013</v>
      </c>
      <c r="B102" s="81"/>
      <c r="C102" s="81"/>
      <c r="D102" s="81"/>
      <c r="E102" s="83"/>
      <c r="F102" s="81"/>
      <c r="G102" s="83"/>
      <c r="H102" s="83"/>
      <c r="I102" s="84" t="str">
        <f aca="false">IF(E102="","",A102&amp;"_1.jpg")</f>
        <v/>
      </c>
      <c r="J102" s="84" t="str">
        <f aca="false">IF(E102="","",A102&amp;"_2.jpg; "&amp;A102&amp;"_3.jpg")</f>
        <v/>
      </c>
      <c r="K102" s="84" t="str">
        <f aca="false">IF(E102="","",A102&amp;"_schema.jpg")</f>
        <v/>
      </c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 t="s">
        <v>96</v>
      </c>
      <c r="W102" s="81"/>
      <c r="X102" s="81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6" t="str">
        <f aca="false">IF(SUM(Y102:AJ102)=0,"",SUM(Y102:AJ102))</f>
        <v/>
      </c>
      <c r="AL102" s="84" t="str">
        <f aca="false">MID(IF(N(Y102)&gt;0,", "&amp;Y$2,"")&amp;IF(N(Z102)&gt;0,", "&amp;Z$2,"")&amp;IF(N(AA102)&gt;0,", "&amp;AA$2,"")&amp;IF(N(AB102)&gt;0,", "&amp;AB$2,"")&amp;IF(N(AC102)&gt;0,", "&amp;AC$2,"")&amp;IF(N(AD102)&gt;0,", "&amp;AD$2,"")&amp;IF(N(AE102)&gt;0,", "&amp;AE$2,"")&amp;IF(N(AF102)&gt;0,", "&amp;AF$2,"")&amp;IF(N(AG102)&gt;0,", "&amp;AG$2,"")&amp;IF(N(AH102)&gt;0,", "&amp;AH$2,"")&amp;IF(N(AI102)&gt;0,", "&amp;AI$2,"")&amp;IF(N(AJ102)&gt;0,", "&amp;AJ$2,""),3,999)</f>
        <v/>
      </c>
      <c r="AM102" s="87" t="str">
        <f aca="false">IF(E102="","",MID(IF(N(Y102)&gt;0,", "&amp;A102&amp;"-"&amp;Y$2,"")&amp;IF(N(Z102)&gt;0,", "&amp;A102&amp;"-"&amp;Z$2,"")&amp;IF(N(AA102)&gt;0,", "&amp;A102&amp;"-"&amp;AA$2,"")&amp;IF(N(AB102)&gt;0,", "&amp;A102&amp;"-"&amp;AB$2,"")&amp;IF(N(AC102)&gt;0,", "&amp;A102&amp;"-"&amp;AC$2,"")&amp;IF(N(AD102)&gt;0,", "&amp;A102&amp;"-"&amp;AD$2,"")&amp;IF(N(AE102)&gt;0,", "&amp;A102&amp;"-"&amp;AE$2,"")&amp;IF(N(AF102)&gt;0,", "&amp;A102&amp;"-"&amp;AF$2,"")&amp;IF(N(AG102)&gt;0,", "&amp;A102&amp;"-"&amp;AG$2,"")&amp;IF(N(AH102)&gt;0,", "&amp;A102&amp;"-"&amp;AH$2,"")&amp;IF(N(AI102)&gt;0,", "&amp;A102&amp;"-"&amp;AI$2,"")&amp;IF(N(AJ102)&gt;0,", "&amp;A102&amp;"-"&amp;AJ$2,""),3,999))</f>
        <v/>
      </c>
      <c r="AN102" s="81"/>
      <c r="AO102" s="88"/>
      <c r="AP102" s="89" t="str">
        <f aca="false">IF(AO102="","",ROUND(AO102/(1+Справочники!$B$13),2))</f>
        <v/>
      </c>
      <c r="AQ102" s="90" t="str">
        <f aca="false" t="array" ref="AQ102:AQ102">IF(AP102="","",AP102*INDEX(Справочники!$B$4:$B$7,MATCH("RUB",Справочники!$A$4:$A$7,0)))</f>
        <v/>
      </c>
      <c r="AR102" s="90" t="str">
        <f aca="false">IF(AQ102="","",ROUND(AQ102*(1+Справочники!$B$12),0))</f>
        <v/>
      </c>
      <c r="AS102" s="90" t="str">
        <f aca="false">IF(AR102="","",ROUND(AR102*(1-Справочники!$B$11),0))</f>
        <v/>
      </c>
      <c r="AT102" s="88"/>
      <c r="AU102" s="90" t="str">
        <f aca="false">IF(AT102="","",ROUND(AT102/(1+Справочники!$B$12),0))</f>
        <v/>
      </c>
      <c r="AV102" s="90" t="str">
        <f aca="false">IF(AT102="","",ROUND(AT102*(1-Справочники!$B$15),0))</f>
        <v/>
      </c>
      <c r="AW102" s="90" t="str">
        <f aca="false">IF(AT102="","",ROUND(AT102*(1-Справочники!$B$16),0))</f>
        <v/>
      </c>
      <c r="AX102" s="90" t="str">
        <f aca="false">IF(AT102="","",ROUND(AT102*(1-Справочники!$B$17),0))</f>
        <v/>
      </c>
      <c r="AY102" s="90" t="str">
        <f aca="false">IF(AT102="","",ROUND(AT102*(1-Справочники!$B$18),0))</f>
        <v/>
      </c>
      <c r="AZ102" s="90" t="str">
        <f aca="false">IF(AT102="","",ROUND(AT102*(1-Справочники!$B$19),0))</f>
        <v/>
      </c>
      <c r="BA102" s="81"/>
      <c r="BB102" s="81"/>
      <c r="BC102" s="81"/>
      <c r="BD102" s="81"/>
      <c r="BE102" s="91"/>
      <c r="BF102" s="81" t="s">
        <v>103</v>
      </c>
      <c r="BG102" s="89" t="n">
        <f aca="false" t="array" ref="BG102:BG102">IF(BF102="","",IFERROR(INDEX(Справочники!$B$4:$B$7,MATCH(BF102,Справочники!$A$4:$A$7,0)),""))</f>
        <v>68.5</v>
      </c>
      <c r="BH102" s="90" t="str">
        <f aca="false">IF(N(BN102)&gt;0,ROUND(SUMIF(ЗАКАЗЫ!$F$3:$F$500,$A102,ЗАКАЗЫ!$Y$3:$Y$500)/BN102,0),IF(OR(BE102="",BG102=""),"",ROUND(BE102*BG102*(1+Справочники!$B$10),0)))</f>
        <v/>
      </c>
      <c r="BI102" s="92" t="str">
        <f aca="false">IF(OR(AU102="",BH102="",AU102=0),"",(AU102-BH102)/AU102)</f>
        <v/>
      </c>
      <c r="BJ102" s="81"/>
      <c r="BK102" s="83"/>
      <c r="BL102" s="43" t="str">
        <f aca="false">IFERROR(INDEX(ЗАКАЗЫ!$N$3:$N$500,MATCH($A102,ЗАКАЗЫ!$F$3:$F$500,0)),"")</f>
        <v/>
      </c>
      <c r="BM102" s="8" t="str">
        <f aca="false">IF(BL102="","",IFERROR(VLOOKUP(BL102,'ТН ВЭД'!$A$4:$C$40,3,0),""))</f>
        <v/>
      </c>
      <c r="BN102" s="7" t="str">
        <f aca="false">IF(COUNTIF(ЗАКАЗЫ!$F$3:$F$500,$A102)=0,"",SUMIF(ЗАКАЗЫ!$F$3:$F$500,$A102,ЗАКАЗЫ!$J$3:$J$500))</f>
        <v/>
      </c>
      <c r="BO102" s="7" t="str">
        <f aca="false">IF(BN102="","",SUMIF(ЗАКАЗЫ!$F$3:$F$500,$A102,ЗАКАЗЫ!$AL$3:$AL$500))</f>
        <v/>
      </c>
      <c r="BP102" s="7" t="str">
        <f aca="false">IF(BN102="","",BN102-BO102)</f>
        <v/>
      </c>
      <c r="BQ102" s="55" t="str">
        <f aca="false">IF(BN102="","",IF(BO102&gt;=BN102,"На складе",IF(BO102&gt;0,"Частично","Ждём")))</f>
        <v/>
      </c>
      <c r="BR102" s="43"/>
      <c r="BS102" s="47" t="str">
        <f aca="false">IF(BN102="","",IF(_xlfn.MAXIFS(ЗАКАЗЫ!$AK$3:$AK$500,ЗАКАЗЫ!$F$3:$F$500,$A102)=0,"",_xlfn.MAXIFS(ЗАКАЗЫ!$AK$3:$AK$500,ЗАКАЗЫ!$F$3:$F$500,$A102)))</f>
        <v/>
      </c>
    </row>
    <row r="103" customFormat="false" ht="15.75" hidden="false" customHeight="true" outlineLevel="0" collapsed="false">
      <c r="A103" s="80" t="s">
        <v>3014</v>
      </c>
      <c r="B103" s="81"/>
      <c r="C103" s="81"/>
      <c r="D103" s="81"/>
      <c r="E103" s="83"/>
      <c r="F103" s="81"/>
      <c r="G103" s="83"/>
      <c r="H103" s="83"/>
      <c r="I103" s="84" t="str">
        <f aca="false">IF(E103="","",A103&amp;"_1.jpg")</f>
        <v/>
      </c>
      <c r="J103" s="84" t="str">
        <f aca="false">IF(E103="","",A103&amp;"_2.jpg; "&amp;A103&amp;"_3.jpg")</f>
        <v/>
      </c>
      <c r="K103" s="84" t="str">
        <f aca="false">IF(E103="","",A103&amp;"_schema.jpg")</f>
        <v/>
      </c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 t="s">
        <v>96</v>
      </c>
      <c r="W103" s="81"/>
      <c r="X103" s="81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6" t="str">
        <f aca="false">IF(SUM(Y103:AJ103)=0,"",SUM(Y103:AJ103))</f>
        <v/>
      </c>
      <c r="AL103" s="84" t="str">
        <f aca="false">MID(IF(N(Y103)&gt;0,", "&amp;Y$2,"")&amp;IF(N(Z103)&gt;0,", "&amp;Z$2,"")&amp;IF(N(AA103)&gt;0,", "&amp;AA$2,"")&amp;IF(N(AB103)&gt;0,", "&amp;AB$2,"")&amp;IF(N(AC103)&gt;0,", "&amp;AC$2,"")&amp;IF(N(AD103)&gt;0,", "&amp;AD$2,"")&amp;IF(N(AE103)&gt;0,", "&amp;AE$2,"")&amp;IF(N(AF103)&gt;0,", "&amp;AF$2,"")&amp;IF(N(AG103)&gt;0,", "&amp;AG$2,"")&amp;IF(N(AH103)&gt;0,", "&amp;AH$2,"")&amp;IF(N(AI103)&gt;0,", "&amp;AI$2,"")&amp;IF(N(AJ103)&gt;0,", "&amp;AJ$2,""),3,999)</f>
        <v/>
      </c>
      <c r="AM103" s="87" t="str">
        <f aca="false">IF(E103="","",MID(IF(N(Y103)&gt;0,", "&amp;A103&amp;"-"&amp;Y$2,"")&amp;IF(N(Z103)&gt;0,", "&amp;A103&amp;"-"&amp;Z$2,"")&amp;IF(N(AA103)&gt;0,", "&amp;A103&amp;"-"&amp;AA$2,"")&amp;IF(N(AB103)&gt;0,", "&amp;A103&amp;"-"&amp;AB$2,"")&amp;IF(N(AC103)&gt;0,", "&amp;A103&amp;"-"&amp;AC$2,"")&amp;IF(N(AD103)&gt;0,", "&amp;A103&amp;"-"&amp;AD$2,"")&amp;IF(N(AE103)&gt;0,", "&amp;A103&amp;"-"&amp;AE$2,"")&amp;IF(N(AF103)&gt;0,", "&amp;A103&amp;"-"&amp;AF$2,"")&amp;IF(N(AG103)&gt;0,", "&amp;A103&amp;"-"&amp;AG$2,"")&amp;IF(N(AH103)&gt;0,", "&amp;A103&amp;"-"&amp;AH$2,"")&amp;IF(N(AI103)&gt;0,", "&amp;A103&amp;"-"&amp;AI$2,"")&amp;IF(N(AJ103)&gt;0,", "&amp;A103&amp;"-"&amp;AJ$2,""),3,999))</f>
        <v/>
      </c>
      <c r="AN103" s="81"/>
      <c r="AO103" s="88"/>
      <c r="AP103" s="89" t="str">
        <f aca="false">IF(AO103="","",ROUND(AO103/(1+Справочники!$B$13),2))</f>
        <v/>
      </c>
      <c r="AQ103" s="90" t="str">
        <f aca="false" t="array" ref="AQ103:AQ103">IF(AP103="","",AP103*INDEX(Справочники!$B$4:$B$7,MATCH("RUB",Справочники!$A$4:$A$7,0)))</f>
        <v/>
      </c>
      <c r="AR103" s="90" t="str">
        <f aca="false">IF(AQ103="","",ROUND(AQ103*(1+Справочники!$B$12),0))</f>
        <v/>
      </c>
      <c r="AS103" s="90" t="str">
        <f aca="false">IF(AR103="","",ROUND(AR103*(1-Справочники!$B$11),0))</f>
        <v/>
      </c>
      <c r="AT103" s="88"/>
      <c r="AU103" s="90" t="str">
        <f aca="false">IF(AT103="","",ROUND(AT103/(1+Справочники!$B$12),0))</f>
        <v/>
      </c>
      <c r="AV103" s="90" t="str">
        <f aca="false">IF(AT103="","",ROUND(AT103*(1-Справочники!$B$15),0))</f>
        <v/>
      </c>
      <c r="AW103" s="90" t="str">
        <f aca="false">IF(AT103="","",ROUND(AT103*(1-Справочники!$B$16),0))</f>
        <v/>
      </c>
      <c r="AX103" s="90" t="str">
        <f aca="false">IF(AT103="","",ROUND(AT103*(1-Справочники!$B$17),0))</f>
        <v/>
      </c>
      <c r="AY103" s="90" t="str">
        <f aca="false">IF(AT103="","",ROUND(AT103*(1-Справочники!$B$18),0))</f>
        <v/>
      </c>
      <c r="AZ103" s="90" t="str">
        <f aca="false">IF(AT103="","",ROUND(AT103*(1-Справочники!$B$19),0))</f>
        <v/>
      </c>
      <c r="BA103" s="81"/>
      <c r="BB103" s="81"/>
      <c r="BC103" s="81"/>
      <c r="BD103" s="81"/>
      <c r="BE103" s="91"/>
      <c r="BF103" s="81" t="s">
        <v>103</v>
      </c>
      <c r="BG103" s="89" t="n">
        <f aca="false" t="array" ref="BG103:BG103">IF(BF103="","",IFERROR(INDEX(Справочники!$B$4:$B$7,MATCH(BF103,Справочники!$A$4:$A$7,0)),""))</f>
        <v>68.5</v>
      </c>
      <c r="BH103" s="90" t="str">
        <f aca="false">IF(N(BN103)&gt;0,ROUND(SUMIF(ЗАКАЗЫ!$F$3:$F$500,$A103,ЗАКАЗЫ!$Y$3:$Y$500)/BN103,0),IF(OR(BE103="",BG103=""),"",ROUND(BE103*BG103*(1+Справочники!$B$10),0)))</f>
        <v/>
      </c>
      <c r="BI103" s="92" t="str">
        <f aca="false">IF(OR(AU103="",BH103="",AU103=0),"",(AU103-BH103)/AU103)</f>
        <v/>
      </c>
      <c r="BJ103" s="81"/>
      <c r="BK103" s="83"/>
      <c r="BL103" s="43" t="str">
        <f aca="false">IFERROR(INDEX(ЗАКАЗЫ!$N$3:$N$500,MATCH($A103,ЗАКАЗЫ!$F$3:$F$500,0)),"")</f>
        <v/>
      </c>
      <c r="BM103" s="8" t="str">
        <f aca="false">IF(BL103="","",IFERROR(VLOOKUP(BL103,'ТН ВЭД'!$A$4:$C$40,3,0),""))</f>
        <v/>
      </c>
      <c r="BN103" s="7" t="str">
        <f aca="false">IF(COUNTIF(ЗАКАЗЫ!$F$3:$F$500,$A103)=0,"",SUMIF(ЗАКАЗЫ!$F$3:$F$500,$A103,ЗАКАЗЫ!$J$3:$J$500))</f>
        <v/>
      </c>
      <c r="BO103" s="7" t="str">
        <f aca="false">IF(BN103="","",SUMIF(ЗАКАЗЫ!$F$3:$F$500,$A103,ЗАКАЗЫ!$AL$3:$AL$500))</f>
        <v/>
      </c>
      <c r="BP103" s="7" t="str">
        <f aca="false">IF(BN103="","",BN103-BO103)</f>
        <v/>
      </c>
      <c r="BQ103" s="55" t="str">
        <f aca="false">IF(BN103="","",IF(BO103&gt;=BN103,"На складе",IF(BO103&gt;0,"Частично","Ждём")))</f>
        <v/>
      </c>
      <c r="BR103" s="43"/>
      <c r="BS103" s="47" t="str">
        <f aca="false">IF(BN103="","",IF(_xlfn.MAXIFS(ЗАКАЗЫ!$AK$3:$AK$500,ЗАКАЗЫ!$F$3:$F$500,$A103)=0,"",_xlfn.MAXIFS(ЗАКАЗЫ!$AK$3:$AK$500,ЗАКАЗЫ!$F$3:$F$500,$A103)))</f>
        <v/>
      </c>
    </row>
    <row r="104" customFormat="false" ht="15.75" hidden="false" customHeight="true" outlineLevel="0" collapsed="false">
      <c r="A104" s="80" t="s">
        <v>3015</v>
      </c>
      <c r="B104" s="81"/>
      <c r="C104" s="81"/>
      <c r="D104" s="81"/>
      <c r="E104" s="83"/>
      <c r="F104" s="81"/>
      <c r="G104" s="83"/>
      <c r="H104" s="83"/>
      <c r="I104" s="84" t="str">
        <f aca="false">IF(E104="","",A104&amp;"_1.jpg")</f>
        <v/>
      </c>
      <c r="J104" s="84" t="str">
        <f aca="false">IF(E104="","",A104&amp;"_2.jpg; "&amp;A104&amp;"_3.jpg")</f>
        <v/>
      </c>
      <c r="K104" s="84" t="str">
        <f aca="false">IF(E104="","",A104&amp;"_schema.jpg")</f>
        <v/>
      </c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 t="s">
        <v>96</v>
      </c>
      <c r="W104" s="81"/>
      <c r="X104" s="81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6" t="str">
        <f aca="false">IF(SUM(Y104:AJ104)=0,"",SUM(Y104:AJ104))</f>
        <v/>
      </c>
      <c r="AL104" s="84" t="str">
        <f aca="false">MID(IF(N(Y104)&gt;0,", "&amp;Y$2,"")&amp;IF(N(Z104)&gt;0,", "&amp;Z$2,"")&amp;IF(N(AA104)&gt;0,", "&amp;AA$2,"")&amp;IF(N(AB104)&gt;0,", "&amp;AB$2,"")&amp;IF(N(AC104)&gt;0,", "&amp;AC$2,"")&amp;IF(N(AD104)&gt;0,", "&amp;AD$2,"")&amp;IF(N(AE104)&gt;0,", "&amp;AE$2,"")&amp;IF(N(AF104)&gt;0,", "&amp;AF$2,"")&amp;IF(N(AG104)&gt;0,", "&amp;AG$2,"")&amp;IF(N(AH104)&gt;0,", "&amp;AH$2,"")&amp;IF(N(AI104)&gt;0,", "&amp;AI$2,"")&amp;IF(N(AJ104)&gt;0,", "&amp;AJ$2,""),3,999)</f>
        <v/>
      </c>
      <c r="AM104" s="87" t="str">
        <f aca="false">IF(E104="","",MID(IF(N(Y104)&gt;0,", "&amp;A104&amp;"-"&amp;Y$2,"")&amp;IF(N(Z104)&gt;0,", "&amp;A104&amp;"-"&amp;Z$2,"")&amp;IF(N(AA104)&gt;0,", "&amp;A104&amp;"-"&amp;AA$2,"")&amp;IF(N(AB104)&gt;0,", "&amp;A104&amp;"-"&amp;AB$2,"")&amp;IF(N(AC104)&gt;0,", "&amp;A104&amp;"-"&amp;AC$2,"")&amp;IF(N(AD104)&gt;0,", "&amp;A104&amp;"-"&amp;AD$2,"")&amp;IF(N(AE104)&gt;0,", "&amp;A104&amp;"-"&amp;AE$2,"")&amp;IF(N(AF104)&gt;0,", "&amp;A104&amp;"-"&amp;AF$2,"")&amp;IF(N(AG104)&gt;0,", "&amp;A104&amp;"-"&amp;AG$2,"")&amp;IF(N(AH104)&gt;0,", "&amp;A104&amp;"-"&amp;AH$2,"")&amp;IF(N(AI104)&gt;0,", "&amp;A104&amp;"-"&amp;AI$2,"")&amp;IF(N(AJ104)&gt;0,", "&amp;A104&amp;"-"&amp;AJ$2,""),3,999))</f>
        <v/>
      </c>
      <c r="AN104" s="81"/>
      <c r="AO104" s="88"/>
      <c r="AP104" s="89" t="str">
        <f aca="false">IF(AO104="","",ROUND(AO104/(1+Справочники!$B$13),2))</f>
        <v/>
      </c>
      <c r="AQ104" s="90" t="str">
        <f aca="false" t="array" ref="AQ104:AQ104">IF(AP104="","",AP104*INDEX(Справочники!$B$4:$B$7,MATCH("RUB",Справочники!$A$4:$A$7,0)))</f>
        <v/>
      </c>
      <c r="AR104" s="90" t="str">
        <f aca="false">IF(AQ104="","",ROUND(AQ104*(1+Справочники!$B$12),0))</f>
        <v/>
      </c>
      <c r="AS104" s="90" t="str">
        <f aca="false">IF(AR104="","",ROUND(AR104*(1-Справочники!$B$11),0))</f>
        <v/>
      </c>
      <c r="AT104" s="88"/>
      <c r="AU104" s="90" t="str">
        <f aca="false">IF(AT104="","",ROUND(AT104/(1+Справочники!$B$12),0))</f>
        <v/>
      </c>
      <c r="AV104" s="90" t="str">
        <f aca="false">IF(AT104="","",ROUND(AT104*(1-Справочники!$B$15),0))</f>
        <v/>
      </c>
      <c r="AW104" s="90" t="str">
        <f aca="false">IF(AT104="","",ROUND(AT104*(1-Справочники!$B$16),0))</f>
        <v/>
      </c>
      <c r="AX104" s="90" t="str">
        <f aca="false">IF(AT104="","",ROUND(AT104*(1-Справочники!$B$17),0))</f>
        <v/>
      </c>
      <c r="AY104" s="90" t="str">
        <f aca="false">IF(AT104="","",ROUND(AT104*(1-Справочники!$B$18),0))</f>
        <v/>
      </c>
      <c r="AZ104" s="90" t="str">
        <f aca="false">IF(AT104="","",ROUND(AT104*(1-Справочники!$B$19),0))</f>
        <v/>
      </c>
      <c r="BA104" s="81"/>
      <c r="BB104" s="81"/>
      <c r="BC104" s="81"/>
      <c r="BD104" s="81"/>
      <c r="BE104" s="91"/>
      <c r="BF104" s="81" t="s">
        <v>103</v>
      </c>
      <c r="BG104" s="89" t="n">
        <f aca="false" t="array" ref="BG104:BG104">IF(BF104="","",IFERROR(INDEX(Справочники!$B$4:$B$7,MATCH(BF104,Справочники!$A$4:$A$7,0)),""))</f>
        <v>68.5</v>
      </c>
      <c r="BH104" s="90" t="str">
        <f aca="false">IF(N(BN104)&gt;0,ROUND(SUMIF(ЗАКАЗЫ!$F$3:$F$500,$A104,ЗАКАЗЫ!$Y$3:$Y$500)/BN104,0),IF(OR(BE104="",BG104=""),"",ROUND(BE104*BG104*(1+Справочники!$B$10),0)))</f>
        <v/>
      </c>
      <c r="BI104" s="92" t="str">
        <f aca="false">IF(OR(AU104="",BH104="",AU104=0),"",(AU104-BH104)/AU104)</f>
        <v/>
      </c>
      <c r="BJ104" s="81"/>
      <c r="BK104" s="83"/>
      <c r="BL104" s="43" t="str">
        <f aca="false">IFERROR(INDEX(ЗАКАЗЫ!$N$3:$N$500,MATCH($A104,ЗАКАЗЫ!$F$3:$F$500,0)),"")</f>
        <v/>
      </c>
      <c r="BM104" s="8" t="str">
        <f aca="false">IF(BL104="","",IFERROR(VLOOKUP(BL104,'ТН ВЭД'!$A$4:$C$40,3,0),""))</f>
        <v/>
      </c>
      <c r="BN104" s="7" t="str">
        <f aca="false">IF(COUNTIF(ЗАКАЗЫ!$F$3:$F$500,$A104)=0,"",SUMIF(ЗАКАЗЫ!$F$3:$F$500,$A104,ЗАКАЗЫ!$J$3:$J$500))</f>
        <v/>
      </c>
      <c r="BO104" s="7" t="str">
        <f aca="false">IF(BN104="","",SUMIF(ЗАКАЗЫ!$F$3:$F$500,$A104,ЗАКАЗЫ!$AL$3:$AL$500))</f>
        <v/>
      </c>
      <c r="BP104" s="7" t="str">
        <f aca="false">IF(BN104="","",BN104-BO104)</f>
        <v/>
      </c>
      <c r="BQ104" s="55" t="str">
        <f aca="false">IF(BN104="","",IF(BO104&gt;=BN104,"На складе",IF(BO104&gt;0,"Частично","Ждём")))</f>
        <v/>
      </c>
      <c r="BR104" s="43"/>
      <c r="BS104" s="47" t="str">
        <f aca="false">IF(BN104="","",IF(_xlfn.MAXIFS(ЗАКАЗЫ!$AK$3:$AK$500,ЗАКАЗЫ!$F$3:$F$500,$A104)=0,"",_xlfn.MAXIFS(ЗАКАЗЫ!$AK$3:$AK$500,ЗАКАЗЫ!$F$3:$F$500,$A104)))</f>
        <v/>
      </c>
    </row>
    <row r="105" customFormat="false" ht="15.75" hidden="false" customHeight="true" outlineLevel="0" collapsed="false">
      <c r="A105" s="80" t="s">
        <v>3016</v>
      </c>
      <c r="B105" s="81"/>
      <c r="C105" s="81"/>
      <c r="D105" s="81"/>
      <c r="E105" s="83"/>
      <c r="F105" s="81"/>
      <c r="G105" s="83"/>
      <c r="H105" s="83"/>
      <c r="I105" s="84" t="str">
        <f aca="false">IF(E105="","",A105&amp;"_1.jpg")</f>
        <v/>
      </c>
      <c r="J105" s="84" t="str">
        <f aca="false">IF(E105="","",A105&amp;"_2.jpg; "&amp;A105&amp;"_3.jpg")</f>
        <v/>
      </c>
      <c r="K105" s="84" t="str">
        <f aca="false">IF(E105="","",A105&amp;"_schema.jpg")</f>
        <v/>
      </c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 t="s">
        <v>96</v>
      </c>
      <c r="W105" s="81"/>
      <c r="X105" s="81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6" t="str">
        <f aca="false">IF(SUM(Y105:AJ105)=0,"",SUM(Y105:AJ105))</f>
        <v/>
      </c>
      <c r="AL105" s="84" t="str">
        <f aca="false">MID(IF(N(Y105)&gt;0,", "&amp;Y$2,"")&amp;IF(N(Z105)&gt;0,", "&amp;Z$2,"")&amp;IF(N(AA105)&gt;0,", "&amp;AA$2,"")&amp;IF(N(AB105)&gt;0,", "&amp;AB$2,"")&amp;IF(N(AC105)&gt;0,", "&amp;AC$2,"")&amp;IF(N(AD105)&gt;0,", "&amp;AD$2,"")&amp;IF(N(AE105)&gt;0,", "&amp;AE$2,"")&amp;IF(N(AF105)&gt;0,", "&amp;AF$2,"")&amp;IF(N(AG105)&gt;0,", "&amp;AG$2,"")&amp;IF(N(AH105)&gt;0,", "&amp;AH$2,"")&amp;IF(N(AI105)&gt;0,", "&amp;AI$2,"")&amp;IF(N(AJ105)&gt;0,", "&amp;AJ$2,""),3,999)</f>
        <v/>
      </c>
      <c r="AM105" s="87" t="str">
        <f aca="false">IF(E105="","",MID(IF(N(Y105)&gt;0,", "&amp;A105&amp;"-"&amp;Y$2,"")&amp;IF(N(Z105)&gt;0,", "&amp;A105&amp;"-"&amp;Z$2,"")&amp;IF(N(AA105)&gt;0,", "&amp;A105&amp;"-"&amp;AA$2,"")&amp;IF(N(AB105)&gt;0,", "&amp;A105&amp;"-"&amp;AB$2,"")&amp;IF(N(AC105)&gt;0,", "&amp;A105&amp;"-"&amp;AC$2,"")&amp;IF(N(AD105)&gt;0,", "&amp;A105&amp;"-"&amp;AD$2,"")&amp;IF(N(AE105)&gt;0,", "&amp;A105&amp;"-"&amp;AE$2,"")&amp;IF(N(AF105)&gt;0,", "&amp;A105&amp;"-"&amp;AF$2,"")&amp;IF(N(AG105)&gt;0,", "&amp;A105&amp;"-"&amp;AG$2,"")&amp;IF(N(AH105)&gt;0,", "&amp;A105&amp;"-"&amp;AH$2,"")&amp;IF(N(AI105)&gt;0,", "&amp;A105&amp;"-"&amp;AI$2,"")&amp;IF(N(AJ105)&gt;0,", "&amp;A105&amp;"-"&amp;AJ$2,""),3,999))</f>
        <v/>
      </c>
      <c r="AN105" s="81"/>
      <c r="AO105" s="88"/>
      <c r="AP105" s="89" t="str">
        <f aca="false">IF(AO105="","",ROUND(AO105/(1+Справочники!$B$13),2))</f>
        <v/>
      </c>
      <c r="AQ105" s="90" t="str">
        <f aca="false" t="array" ref="AQ105:AQ105">IF(AP105="","",AP105*INDEX(Справочники!$B$4:$B$7,MATCH("RUB",Справочники!$A$4:$A$7,0)))</f>
        <v/>
      </c>
      <c r="AR105" s="90" t="str">
        <f aca="false">IF(AQ105="","",ROUND(AQ105*(1+Справочники!$B$12),0))</f>
        <v/>
      </c>
      <c r="AS105" s="90" t="str">
        <f aca="false">IF(AR105="","",ROUND(AR105*(1-Справочники!$B$11),0))</f>
        <v/>
      </c>
      <c r="AT105" s="88"/>
      <c r="AU105" s="90" t="str">
        <f aca="false">IF(AT105="","",ROUND(AT105/(1+Справочники!$B$12),0))</f>
        <v/>
      </c>
      <c r="AV105" s="90" t="str">
        <f aca="false">IF(AT105="","",ROUND(AT105*(1-Справочники!$B$15),0))</f>
        <v/>
      </c>
      <c r="AW105" s="90" t="str">
        <f aca="false">IF(AT105="","",ROUND(AT105*(1-Справочники!$B$16),0))</f>
        <v/>
      </c>
      <c r="AX105" s="90" t="str">
        <f aca="false">IF(AT105="","",ROUND(AT105*(1-Справочники!$B$17),0))</f>
        <v/>
      </c>
      <c r="AY105" s="90" t="str">
        <f aca="false">IF(AT105="","",ROUND(AT105*(1-Справочники!$B$18),0))</f>
        <v/>
      </c>
      <c r="AZ105" s="90" t="str">
        <f aca="false">IF(AT105="","",ROUND(AT105*(1-Справочники!$B$19),0))</f>
        <v/>
      </c>
      <c r="BA105" s="81"/>
      <c r="BB105" s="81"/>
      <c r="BC105" s="81"/>
      <c r="BD105" s="81"/>
      <c r="BE105" s="91"/>
      <c r="BF105" s="81" t="s">
        <v>103</v>
      </c>
      <c r="BG105" s="89" t="n">
        <f aca="false" t="array" ref="BG105:BG105">IF(BF105="","",IFERROR(INDEX(Справочники!$B$4:$B$7,MATCH(BF105,Справочники!$A$4:$A$7,0)),""))</f>
        <v>68.5</v>
      </c>
      <c r="BH105" s="90" t="str">
        <f aca="false">IF(N(BN105)&gt;0,ROUND(SUMIF(ЗАКАЗЫ!$F$3:$F$500,$A105,ЗАКАЗЫ!$Y$3:$Y$500)/BN105,0),IF(OR(BE105="",BG105=""),"",ROUND(BE105*BG105*(1+Справочники!$B$10),0)))</f>
        <v/>
      </c>
      <c r="BI105" s="92" t="str">
        <f aca="false">IF(OR(AU105="",BH105="",AU105=0),"",(AU105-BH105)/AU105)</f>
        <v/>
      </c>
      <c r="BJ105" s="81"/>
      <c r="BK105" s="83"/>
      <c r="BL105" s="43" t="str">
        <f aca="false">IFERROR(INDEX(ЗАКАЗЫ!$N$3:$N$500,MATCH($A105,ЗАКАЗЫ!$F$3:$F$500,0)),"")</f>
        <v/>
      </c>
      <c r="BM105" s="8" t="str">
        <f aca="false">IF(BL105="","",IFERROR(VLOOKUP(BL105,'ТН ВЭД'!$A$4:$C$40,3,0),""))</f>
        <v/>
      </c>
      <c r="BN105" s="7" t="str">
        <f aca="false">IF(COUNTIF(ЗАКАЗЫ!$F$3:$F$500,$A105)=0,"",SUMIF(ЗАКАЗЫ!$F$3:$F$500,$A105,ЗАКАЗЫ!$J$3:$J$500))</f>
        <v/>
      </c>
      <c r="BO105" s="7" t="str">
        <f aca="false">IF(BN105="","",SUMIF(ЗАКАЗЫ!$F$3:$F$500,$A105,ЗАКАЗЫ!$AL$3:$AL$500))</f>
        <v/>
      </c>
      <c r="BP105" s="7" t="str">
        <f aca="false">IF(BN105="","",BN105-BO105)</f>
        <v/>
      </c>
      <c r="BQ105" s="55" t="str">
        <f aca="false">IF(BN105="","",IF(BO105&gt;=BN105,"На складе",IF(BO105&gt;0,"Частично","Ждём")))</f>
        <v/>
      </c>
      <c r="BR105" s="43"/>
      <c r="BS105" s="47" t="str">
        <f aca="false">IF(BN105="","",IF(_xlfn.MAXIFS(ЗАКАЗЫ!$AK$3:$AK$500,ЗАКАЗЫ!$F$3:$F$500,$A105)=0,"",_xlfn.MAXIFS(ЗАКАЗЫ!$AK$3:$AK$500,ЗАКАЗЫ!$F$3:$F$500,$A105)))</f>
        <v/>
      </c>
    </row>
    <row r="106" customFormat="false" ht="15.75" hidden="false" customHeight="true" outlineLevel="0" collapsed="false">
      <c r="A106" s="80" t="s">
        <v>3017</v>
      </c>
      <c r="B106" s="81"/>
      <c r="C106" s="81"/>
      <c r="D106" s="81"/>
      <c r="E106" s="83"/>
      <c r="F106" s="81"/>
      <c r="G106" s="83"/>
      <c r="H106" s="83"/>
      <c r="I106" s="84" t="str">
        <f aca="false">IF(E106="","",A106&amp;"_1.jpg")</f>
        <v/>
      </c>
      <c r="J106" s="84" t="str">
        <f aca="false">IF(E106="","",A106&amp;"_2.jpg; "&amp;A106&amp;"_3.jpg")</f>
        <v/>
      </c>
      <c r="K106" s="84" t="str">
        <f aca="false">IF(E106="","",A106&amp;"_schema.jpg")</f>
        <v/>
      </c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 t="s">
        <v>96</v>
      </c>
      <c r="W106" s="81"/>
      <c r="X106" s="81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6" t="str">
        <f aca="false">IF(SUM(Y106:AJ106)=0,"",SUM(Y106:AJ106))</f>
        <v/>
      </c>
      <c r="AL106" s="84" t="str">
        <f aca="false">MID(IF(N(Y106)&gt;0,", "&amp;Y$2,"")&amp;IF(N(Z106)&gt;0,", "&amp;Z$2,"")&amp;IF(N(AA106)&gt;0,", "&amp;AA$2,"")&amp;IF(N(AB106)&gt;0,", "&amp;AB$2,"")&amp;IF(N(AC106)&gt;0,", "&amp;AC$2,"")&amp;IF(N(AD106)&gt;0,", "&amp;AD$2,"")&amp;IF(N(AE106)&gt;0,", "&amp;AE$2,"")&amp;IF(N(AF106)&gt;0,", "&amp;AF$2,"")&amp;IF(N(AG106)&gt;0,", "&amp;AG$2,"")&amp;IF(N(AH106)&gt;0,", "&amp;AH$2,"")&amp;IF(N(AI106)&gt;0,", "&amp;AI$2,"")&amp;IF(N(AJ106)&gt;0,", "&amp;AJ$2,""),3,999)</f>
        <v/>
      </c>
      <c r="AM106" s="87" t="str">
        <f aca="false">IF(E106="","",MID(IF(N(Y106)&gt;0,", "&amp;A106&amp;"-"&amp;Y$2,"")&amp;IF(N(Z106)&gt;0,", "&amp;A106&amp;"-"&amp;Z$2,"")&amp;IF(N(AA106)&gt;0,", "&amp;A106&amp;"-"&amp;AA$2,"")&amp;IF(N(AB106)&gt;0,", "&amp;A106&amp;"-"&amp;AB$2,"")&amp;IF(N(AC106)&gt;0,", "&amp;A106&amp;"-"&amp;AC$2,"")&amp;IF(N(AD106)&gt;0,", "&amp;A106&amp;"-"&amp;AD$2,"")&amp;IF(N(AE106)&gt;0,", "&amp;A106&amp;"-"&amp;AE$2,"")&amp;IF(N(AF106)&gt;0,", "&amp;A106&amp;"-"&amp;AF$2,"")&amp;IF(N(AG106)&gt;0,", "&amp;A106&amp;"-"&amp;AG$2,"")&amp;IF(N(AH106)&gt;0,", "&amp;A106&amp;"-"&amp;AH$2,"")&amp;IF(N(AI106)&gt;0,", "&amp;A106&amp;"-"&amp;AI$2,"")&amp;IF(N(AJ106)&gt;0,", "&amp;A106&amp;"-"&amp;AJ$2,""),3,999))</f>
        <v/>
      </c>
      <c r="AN106" s="81"/>
      <c r="AO106" s="88"/>
      <c r="AP106" s="89" t="str">
        <f aca="false">IF(AO106="","",ROUND(AO106/(1+Справочники!$B$13),2))</f>
        <v/>
      </c>
      <c r="AQ106" s="90" t="str">
        <f aca="false" t="array" ref="AQ106:AQ106">IF(AP106="","",AP106*INDEX(Справочники!$B$4:$B$7,MATCH("RUB",Справочники!$A$4:$A$7,0)))</f>
        <v/>
      </c>
      <c r="AR106" s="90" t="str">
        <f aca="false">IF(AQ106="","",ROUND(AQ106*(1+Справочники!$B$12),0))</f>
        <v/>
      </c>
      <c r="AS106" s="90" t="str">
        <f aca="false">IF(AR106="","",ROUND(AR106*(1-Справочники!$B$11),0))</f>
        <v/>
      </c>
      <c r="AT106" s="88"/>
      <c r="AU106" s="90" t="str">
        <f aca="false">IF(AT106="","",ROUND(AT106/(1+Справочники!$B$12),0))</f>
        <v/>
      </c>
      <c r="AV106" s="90" t="str">
        <f aca="false">IF(AT106="","",ROUND(AT106*(1-Справочники!$B$15),0))</f>
        <v/>
      </c>
      <c r="AW106" s="90" t="str">
        <f aca="false">IF(AT106="","",ROUND(AT106*(1-Справочники!$B$16),0))</f>
        <v/>
      </c>
      <c r="AX106" s="90" t="str">
        <f aca="false">IF(AT106="","",ROUND(AT106*(1-Справочники!$B$17),0))</f>
        <v/>
      </c>
      <c r="AY106" s="90" t="str">
        <f aca="false">IF(AT106="","",ROUND(AT106*(1-Справочники!$B$18),0))</f>
        <v/>
      </c>
      <c r="AZ106" s="90" t="str">
        <f aca="false">IF(AT106="","",ROUND(AT106*(1-Справочники!$B$19),0))</f>
        <v/>
      </c>
      <c r="BA106" s="81"/>
      <c r="BB106" s="81"/>
      <c r="BC106" s="81"/>
      <c r="BD106" s="81"/>
      <c r="BE106" s="91"/>
      <c r="BF106" s="81" t="s">
        <v>103</v>
      </c>
      <c r="BG106" s="89" t="n">
        <f aca="false" t="array" ref="BG106:BG106">IF(BF106="","",IFERROR(INDEX(Справочники!$B$4:$B$7,MATCH(BF106,Справочники!$A$4:$A$7,0)),""))</f>
        <v>68.5</v>
      </c>
      <c r="BH106" s="90" t="str">
        <f aca="false">IF(N(BN106)&gt;0,ROUND(SUMIF(ЗАКАЗЫ!$F$3:$F$500,$A106,ЗАКАЗЫ!$Y$3:$Y$500)/BN106,0),IF(OR(BE106="",BG106=""),"",ROUND(BE106*BG106*(1+Справочники!$B$10),0)))</f>
        <v/>
      </c>
      <c r="BI106" s="92" t="str">
        <f aca="false">IF(OR(AU106="",BH106="",AU106=0),"",(AU106-BH106)/AU106)</f>
        <v/>
      </c>
      <c r="BJ106" s="81"/>
      <c r="BK106" s="83"/>
      <c r="BL106" s="43" t="str">
        <f aca="false">IFERROR(INDEX(ЗАКАЗЫ!$N$3:$N$500,MATCH($A106,ЗАКАЗЫ!$F$3:$F$500,0)),"")</f>
        <v/>
      </c>
      <c r="BM106" s="8" t="str">
        <f aca="false">IF(BL106="","",IFERROR(VLOOKUP(BL106,'ТН ВЭД'!$A$4:$C$40,3,0),""))</f>
        <v/>
      </c>
      <c r="BN106" s="7" t="str">
        <f aca="false">IF(COUNTIF(ЗАКАЗЫ!$F$3:$F$500,$A106)=0,"",SUMIF(ЗАКАЗЫ!$F$3:$F$500,$A106,ЗАКАЗЫ!$J$3:$J$500))</f>
        <v/>
      </c>
      <c r="BO106" s="7" t="str">
        <f aca="false">IF(BN106="","",SUMIF(ЗАКАЗЫ!$F$3:$F$500,$A106,ЗАКАЗЫ!$AL$3:$AL$500))</f>
        <v/>
      </c>
      <c r="BP106" s="7" t="str">
        <f aca="false">IF(BN106="","",BN106-BO106)</f>
        <v/>
      </c>
      <c r="BQ106" s="55" t="str">
        <f aca="false">IF(BN106="","",IF(BO106&gt;=BN106,"На складе",IF(BO106&gt;0,"Частично","Ждём")))</f>
        <v/>
      </c>
      <c r="BR106" s="43"/>
      <c r="BS106" s="47" t="str">
        <f aca="false">IF(BN106="","",IF(_xlfn.MAXIFS(ЗАКАЗЫ!$AK$3:$AK$500,ЗАКАЗЫ!$F$3:$F$500,$A106)=0,"",_xlfn.MAXIFS(ЗАКАЗЫ!$AK$3:$AK$500,ЗАКАЗЫ!$F$3:$F$500,$A106)))</f>
        <v/>
      </c>
    </row>
    <row r="107" customFormat="false" ht="15.75" hidden="false" customHeight="true" outlineLevel="0" collapsed="false">
      <c r="A107" s="80" t="s">
        <v>3018</v>
      </c>
      <c r="B107" s="81"/>
      <c r="C107" s="81"/>
      <c r="D107" s="81"/>
      <c r="E107" s="83"/>
      <c r="F107" s="81"/>
      <c r="G107" s="83"/>
      <c r="H107" s="83"/>
      <c r="I107" s="84" t="str">
        <f aca="false">IF(E107="","",A107&amp;"_1.jpg")</f>
        <v/>
      </c>
      <c r="J107" s="84" t="str">
        <f aca="false">IF(E107="","",A107&amp;"_2.jpg; "&amp;A107&amp;"_3.jpg")</f>
        <v/>
      </c>
      <c r="K107" s="84" t="str">
        <f aca="false">IF(E107="","",A107&amp;"_schema.jpg")</f>
        <v/>
      </c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 t="s">
        <v>96</v>
      </c>
      <c r="W107" s="81"/>
      <c r="X107" s="81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6" t="str">
        <f aca="false">IF(SUM(Y107:AJ107)=0,"",SUM(Y107:AJ107))</f>
        <v/>
      </c>
      <c r="AL107" s="84" t="str">
        <f aca="false">MID(IF(N(Y107)&gt;0,", "&amp;Y$2,"")&amp;IF(N(Z107)&gt;0,", "&amp;Z$2,"")&amp;IF(N(AA107)&gt;0,", "&amp;AA$2,"")&amp;IF(N(AB107)&gt;0,", "&amp;AB$2,"")&amp;IF(N(AC107)&gt;0,", "&amp;AC$2,"")&amp;IF(N(AD107)&gt;0,", "&amp;AD$2,"")&amp;IF(N(AE107)&gt;0,", "&amp;AE$2,"")&amp;IF(N(AF107)&gt;0,", "&amp;AF$2,"")&amp;IF(N(AG107)&gt;0,", "&amp;AG$2,"")&amp;IF(N(AH107)&gt;0,", "&amp;AH$2,"")&amp;IF(N(AI107)&gt;0,", "&amp;AI$2,"")&amp;IF(N(AJ107)&gt;0,", "&amp;AJ$2,""),3,999)</f>
        <v/>
      </c>
      <c r="AM107" s="87" t="str">
        <f aca="false">IF(E107="","",MID(IF(N(Y107)&gt;0,", "&amp;A107&amp;"-"&amp;Y$2,"")&amp;IF(N(Z107)&gt;0,", "&amp;A107&amp;"-"&amp;Z$2,"")&amp;IF(N(AA107)&gt;0,", "&amp;A107&amp;"-"&amp;AA$2,"")&amp;IF(N(AB107)&gt;0,", "&amp;A107&amp;"-"&amp;AB$2,"")&amp;IF(N(AC107)&gt;0,", "&amp;A107&amp;"-"&amp;AC$2,"")&amp;IF(N(AD107)&gt;0,", "&amp;A107&amp;"-"&amp;AD$2,"")&amp;IF(N(AE107)&gt;0,", "&amp;A107&amp;"-"&amp;AE$2,"")&amp;IF(N(AF107)&gt;0,", "&amp;A107&amp;"-"&amp;AF$2,"")&amp;IF(N(AG107)&gt;0,", "&amp;A107&amp;"-"&amp;AG$2,"")&amp;IF(N(AH107)&gt;0,", "&amp;A107&amp;"-"&amp;AH$2,"")&amp;IF(N(AI107)&gt;0,", "&amp;A107&amp;"-"&amp;AI$2,"")&amp;IF(N(AJ107)&gt;0,", "&amp;A107&amp;"-"&amp;AJ$2,""),3,999))</f>
        <v/>
      </c>
      <c r="AN107" s="81"/>
      <c r="AO107" s="88"/>
      <c r="AP107" s="89" t="str">
        <f aca="false">IF(AO107="","",ROUND(AO107/(1+Справочники!$B$13),2))</f>
        <v/>
      </c>
      <c r="AQ107" s="90" t="str">
        <f aca="false" t="array" ref="AQ107:AQ107">IF(AP107="","",AP107*INDEX(Справочники!$B$4:$B$7,MATCH("RUB",Справочники!$A$4:$A$7,0)))</f>
        <v/>
      </c>
      <c r="AR107" s="90" t="str">
        <f aca="false">IF(AQ107="","",ROUND(AQ107*(1+Справочники!$B$12),0))</f>
        <v/>
      </c>
      <c r="AS107" s="90" t="str">
        <f aca="false">IF(AR107="","",ROUND(AR107*(1-Справочники!$B$11),0))</f>
        <v/>
      </c>
      <c r="AT107" s="88"/>
      <c r="AU107" s="90" t="str">
        <f aca="false">IF(AT107="","",ROUND(AT107/(1+Справочники!$B$12),0))</f>
        <v/>
      </c>
      <c r="AV107" s="90" t="str">
        <f aca="false">IF(AT107="","",ROUND(AT107*(1-Справочники!$B$15),0))</f>
        <v/>
      </c>
      <c r="AW107" s="90" t="str">
        <f aca="false">IF(AT107="","",ROUND(AT107*(1-Справочники!$B$16),0))</f>
        <v/>
      </c>
      <c r="AX107" s="90" t="str">
        <f aca="false">IF(AT107="","",ROUND(AT107*(1-Справочники!$B$17),0))</f>
        <v/>
      </c>
      <c r="AY107" s="90" t="str">
        <f aca="false">IF(AT107="","",ROUND(AT107*(1-Справочники!$B$18),0))</f>
        <v/>
      </c>
      <c r="AZ107" s="90" t="str">
        <f aca="false">IF(AT107="","",ROUND(AT107*(1-Справочники!$B$19),0))</f>
        <v/>
      </c>
      <c r="BA107" s="81"/>
      <c r="BB107" s="81"/>
      <c r="BC107" s="81"/>
      <c r="BD107" s="81"/>
      <c r="BE107" s="91"/>
      <c r="BF107" s="81" t="s">
        <v>103</v>
      </c>
      <c r="BG107" s="89" t="n">
        <f aca="false" t="array" ref="BG107:BG107">IF(BF107="","",IFERROR(INDEX(Справочники!$B$4:$B$7,MATCH(BF107,Справочники!$A$4:$A$7,0)),""))</f>
        <v>68.5</v>
      </c>
      <c r="BH107" s="90" t="str">
        <f aca="false">IF(N(BN107)&gt;0,ROUND(SUMIF(ЗАКАЗЫ!$F$3:$F$500,$A107,ЗАКАЗЫ!$Y$3:$Y$500)/BN107,0),IF(OR(BE107="",BG107=""),"",ROUND(BE107*BG107*(1+Справочники!$B$10),0)))</f>
        <v/>
      </c>
      <c r="BI107" s="92" t="str">
        <f aca="false">IF(OR(AU107="",BH107="",AU107=0),"",(AU107-BH107)/AU107)</f>
        <v/>
      </c>
      <c r="BJ107" s="81"/>
      <c r="BK107" s="83"/>
      <c r="BL107" s="43" t="str">
        <f aca="false">IFERROR(INDEX(ЗАКАЗЫ!$N$3:$N$500,MATCH($A107,ЗАКАЗЫ!$F$3:$F$500,0)),"")</f>
        <v/>
      </c>
      <c r="BM107" s="8" t="str">
        <f aca="false">IF(BL107="","",IFERROR(VLOOKUP(BL107,'ТН ВЭД'!$A$4:$C$40,3,0),""))</f>
        <v/>
      </c>
      <c r="BN107" s="7" t="str">
        <f aca="false">IF(COUNTIF(ЗАКАЗЫ!$F$3:$F$500,$A107)=0,"",SUMIF(ЗАКАЗЫ!$F$3:$F$500,$A107,ЗАКАЗЫ!$J$3:$J$500))</f>
        <v/>
      </c>
      <c r="BO107" s="7" t="str">
        <f aca="false">IF(BN107="","",SUMIF(ЗАКАЗЫ!$F$3:$F$500,$A107,ЗАКАЗЫ!$AL$3:$AL$500))</f>
        <v/>
      </c>
      <c r="BP107" s="7" t="str">
        <f aca="false">IF(BN107="","",BN107-BO107)</f>
        <v/>
      </c>
      <c r="BQ107" s="55" t="str">
        <f aca="false">IF(BN107="","",IF(BO107&gt;=BN107,"На складе",IF(BO107&gt;0,"Частично","Ждём")))</f>
        <v/>
      </c>
      <c r="BR107" s="43"/>
      <c r="BS107" s="47" t="str">
        <f aca="false">IF(BN107="","",IF(_xlfn.MAXIFS(ЗАКАЗЫ!$AK$3:$AK$500,ЗАКАЗЫ!$F$3:$F$500,$A107)=0,"",_xlfn.MAXIFS(ЗАКАЗЫ!$AK$3:$AK$500,ЗАКАЗЫ!$F$3:$F$500,$A107)))</f>
        <v/>
      </c>
    </row>
    <row r="108" customFormat="false" ht="15.75" hidden="false" customHeight="true" outlineLevel="0" collapsed="false">
      <c r="A108" s="80" t="s">
        <v>3019</v>
      </c>
      <c r="B108" s="81"/>
      <c r="C108" s="81"/>
      <c r="D108" s="81"/>
      <c r="E108" s="83"/>
      <c r="F108" s="81"/>
      <c r="G108" s="83"/>
      <c r="H108" s="83"/>
      <c r="I108" s="84" t="str">
        <f aca="false">IF(E108="","",A108&amp;"_1.jpg")</f>
        <v/>
      </c>
      <c r="J108" s="84" t="str">
        <f aca="false">IF(E108="","",A108&amp;"_2.jpg; "&amp;A108&amp;"_3.jpg")</f>
        <v/>
      </c>
      <c r="K108" s="84" t="str">
        <f aca="false">IF(E108="","",A108&amp;"_schema.jpg")</f>
        <v/>
      </c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 t="s">
        <v>96</v>
      </c>
      <c r="W108" s="81"/>
      <c r="X108" s="81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6" t="str">
        <f aca="false">IF(SUM(Y108:AJ108)=0,"",SUM(Y108:AJ108))</f>
        <v/>
      </c>
      <c r="AL108" s="84" t="str">
        <f aca="false">MID(IF(N(Y108)&gt;0,", "&amp;Y$2,"")&amp;IF(N(Z108)&gt;0,", "&amp;Z$2,"")&amp;IF(N(AA108)&gt;0,", "&amp;AA$2,"")&amp;IF(N(AB108)&gt;0,", "&amp;AB$2,"")&amp;IF(N(AC108)&gt;0,", "&amp;AC$2,"")&amp;IF(N(AD108)&gt;0,", "&amp;AD$2,"")&amp;IF(N(AE108)&gt;0,", "&amp;AE$2,"")&amp;IF(N(AF108)&gt;0,", "&amp;AF$2,"")&amp;IF(N(AG108)&gt;0,", "&amp;AG$2,"")&amp;IF(N(AH108)&gt;0,", "&amp;AH$2,"")&amp;IF(N(AI108)&gt;0,", "&amp;AI$2,"")&amp;IF(N(AJ108)&gt;0,", "&amp;AJ$2,""),3,999)</f>
        <v/>
      </c>
      <c r="AM108" s="87" t="str">
        <f aca="false">IF(E108="","",MID(IF(N(Y108)&gt;0,", "&amp;A108&amp;"-"&amp;Y$2,"")&amp;IF(N(Z108)&gt;0,", "&amp;A108&amp;"-"&amp;Z$2,"")&amp;IF(N(AA108)&gt;0,", "&amp;A108&amp;"-"&amp;AA$2,"")&amp;IF(N(AB108)&gt;0,", "&amp;A108&amp;"-"&amp;AB$2,"")&amp;IF(N(AC108)&gt;0,", "&amp;A108&amp;"-"&amp;AC$2,"")&amp;IF(N(AD108)&gt;0,", "&amp;A108&amp;"-"&amp;AD$2,"")&amp;IF(N(AE108)&gt;0,", "&amp;A108&amp;"-"&amp;AE$2,"")&amp;IF(N(AF108)&gt;0,", "&amp;A108&amp;"-"&amp;AF$2,"")&amp;IF(N(AG108)&gt;0,", "&amp;A108&amp;"-"&amp;AG$2,"")&amp;IF(N(AH108)&gt;0,", "&amp;A108&amp;"-"&amp;AH$2,"")&amp;IF(N(AI108)&gt;0,", "&amp;A108&amp;"-"&amp;AI$2,"")&amp;IF(N(AJ108)&gt;0,", "&amp;A108&amp;"-"&amp;AJ$2,""),3,999))</f>
        <v/>
      </c>
      <c r="AN108" s="81"/>
      <c r="AO108" s="88"/>
      <c r="AP108" s="89" t="str">
        <f aca="false">IF(AO108="","",ROUND(AO108/(1+Справочники!$B$13),2))</f>
        <v/>
      </c>
      <c r="AQ108" s="90" t="str">
        <f aca="false" t="array" ref="AQ108:AQ108">IF(AP108="","",AP108*INDEX(Справочники!$B$4:$B$7,MATCH("RUB",Справочники!$A$4:$A$7,0)))</f>
        <v/>
      </c>
      <c r="AR108" s="90" t="str">
        <f aca="false">IF(AQ108="","",ROUND(AQ108*(1+Справочники!$B$12),0))</f>
        <v/>
      </c>
      <c r="AS108" s="90" t="str">
        <f aca="false">IF(AR108="","",ROUND(AR108*(1-Справочники!$B$11),0))</f>
        <v/>
      </c>
      <c r="AT108" s="88"/>
      <c r="AU108" s="90" t="str">
        <f aca="false">IF(AT108="","",ROUND(AT108/(1+Справочники!$B$12),0))</f>
        <v/>
      </c>
      <c r="AV108" s="90" t="str">
        <f aca="false">IF(AT108="","",ROUND(AT108*(1-Справочники!$B$15),0))</f>
        <v/>
      </c>
      <c r="AW108" s="90" t="str">
        <f aca="false">IF(AT108="","",ROUND(AT108*(1-Справочники!$B$16),0))</f>
        <v/>
      </c>
      <c r="AX108" s="90" t="str">
        <f aca="false">IF(AT108="","",ROUND(AT108*(1-Справочники!$B$17),0))</f>
        <v/>
      </c>
      <c r="AY108" s="90" t="str">
        <f aca="false">IF(AT108="","",ROUND(AT108*(1-Справочники!$B$18),0))</f>
        <v/>
      </c>
      <c r="AZ108" s="90" t="str">
        <f aca="false">IF(AT108="","",ROUND(AT108*(1-Справочники!$B$19),0))</f>
        <v/>
      </c>
      <c r="BA108" s="81"/>
      <c r="BB108" s="81"/>
      <c r="BC108" s="81"/>
      <c r="BD108" s="81"/>
      <c r="BE108" s="91"/>
      <c r="BF108" s="81" t="s">
        <v>103</v>
      </c>
      <c r="BG108" s="89" t="n">
        <f aca="false" t="array" ref="BG108:BG108">IF(BF108="","",IFERROR(INDEX(Справочники!$B$4:$B$7,MATCH(BF108,Справочники!$A$4:$A$7,0)),""))</f>
        <v>68.5</v>
      </c>
      <c r="BH108" s="90" t="str">
        <f aca="false">IF(N(BN108)&gt;0,ROUND(SUMIF(ЗАКАЗЫ!$F$3:$F$500,$A108,ЗАКАЗЫ!$Y$3:$Y$500)/BN108,0),IF(OR(BE108="",BG108=""),"",ROUND(BE108*BG108*(1+Справочники!$B$10),0)))</f>
        <v/>
      </c>
      <c r="BI108" s="92" t="str">
        <f aca="false">IF(OR(AU108="",BH108="",AU108=0),"",(AU108-BH108)/AU108)</f>
        <v/>
      </c>
      <c r="BJ108" s="81"/>
      <c r="BK108" s="83"/>
      <c r="BL108" s="43" t="str">
        <f aca="false">IFERROR(INDEX(ЗАКАЗЫ!$N$3:$N$500,MATCH($A108,ЗАКАЗЫ!$F$3:$F$500,0)),"")</f>
        <v/>
      </c>
      <c r="BM108" s="8" t="str">
        <f aca="false">IF(BL108="","",IFERROR(VLOOKUP(BL108,'ТН ВЭД'!$A$4:$C$40,3,0),""))</f>
        <v/>
      </c>
      <c r="BN108" s="7" t="str">
        <f aca="false">IF(COUNTIF(ЗАКАЗЫ!$F$3:$F$500,$A108)=0,"",SUMIF(ЗАКАЗЫ!$F$3:$F$500,$A108,ЗАКАЗЫ!$J$3:$J$500))</f>
        <v/>
      </c>
      <c r="BO108" s="7" t="str">
        <f aca="false">IF(BN108="","",SUMIF(ЗАКАЗЫ!$F$3:$F$500,$A108,ЗАКАЗЫ!$AL$3:$AL$500))</f>
        <v/>
      </c>
      <c r="BP108" s="7" t="str">
        <f aca="false">IF(BN108="","",BN108-BO108)</f>
        <v/>
      </c>
      <c r="BQ108" s="55" t="str">
        <f aca="false">IF(BN108="","",IF(BO108&gt;=BN108,"На складе",IF(BO108&gt;0,"Частично","Ждём")))</f>
        <v/>
      </c>
      <c r="BR108" s="43"/>
      <c r="BS108" s="47" t="str">
        <f aca="false">IF(BN108="","",IF(_xlfn.MAXIFS(ЗАКАЗЫ!$AK$3:$AK$500,ЗАКАЗЫ!$F$3:$F$500,$A108)=0,"",_xlfn.MAXIFS(ЗАКАЗЫ!$AK$3:$AK$500,ЗАКАЗЫ!$F$3:$F$500,$A108)))</f>
        <v/>
      </c>
    </row>
    <row r="109" customFormat="false" ht="15.75" hidden="false" customHeight="true" outlineLevel="0" collapsed="false">
      <c r="A109" s="80" t="s">
        <v>3020</v>
      </c>
      <c r="B109" s="81"/>
      <c r="C109" s="81"/>
      <c r="D109" s="81"/>
      <c r="E109" s="83"/>
      <c r="F109" s="81"/>
      <c r="G109" s="83"/>
      <c r="H109" s="83"/>
      <c r="I109" s="84" t="str">
        <f aca="false">IF(E109="","",A109&amp;"_1.jpg")</f>
        <v/>
      </c>
      <c r="J109" s="84" t="str">
        <f aca="false">IF(E109="","",A109&amp;"_2.jpg; "&amp;A109&amp;"_3.jpg")</f>
        <v/>
      </c>
      <c r="K109" s="84" t="str">
        <f aca="false">IF(E109="","",A109&amp;"_schema.jpg")</f>
        <v/>
      </c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 t="s">
        <v>96</v>
      </c>
      <c r="W109" s="81"/>
      <c r="X109" s="81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6" t="str">
        <f aca="false">IF(SUM(Y109:AJ109)=0,"",SUM(Y109:AJ109))</f>
        <v/>
      </c>
      <c r="AL109" s="84" t="str">
        <f aca="false">MID(IF(N(Y109)&gt;0,", "&amp;Y$2,"")&amp;IF(N(Z109)&gt;0,", "&amp;Z$2,"")&amp;IF(N(AA109)&gt;0,", "&amp;AA$2,"")&amp;IF(N(AB109)&gt;0,", "&amp;AB$2,"")&amp;IF(N(AC109)&gt;0,", "&amp;AC$2,"")&amp;IF(N(AD109)&gt;0,", "&amp;AD$2,"")&amp;IF(N(AE109)&gt;0,", "&amp;AE$2,"")&amp;IF(N(AF109)&gt;0,", "&amp;AF$2,"")&amp;IF(N(AG109)&gt;0,", "&amp;AG$2,"")&amp;IF(N(AH109)&gt;0,", "&amp;AH$2,"")&amp;IF(N(AI109)&gt;0,", "&amp;AI$2,"")&amp;IF(N(AJ109)&gt;0,", "&amp;AJ$2,""),3,999)</f>
        <v/>
      </c>
      <c r="AM109" s="87" t="str">
        <f aca="false">IF(E109="","",MID(IF(N(Y109)&gt;0,", "&amp;A109&amp;"-"&amp;Y$2,"")&amp;IF(N(Z109)&gt;0,", "&amp;A109&amp;"-"&amp;Z$2,"")&amp;IF(N(AA109)&gt;0,", "&amp;A109&amp;"-"&amp;AA$2,"")&amp;IF(N(AB109)&gt;0,", "&amp;A109&amp;"-"&amp;AB$2,"")&amp;IF(N(AC109)&gt;0,", "&amp;A109&amp;"-"&amp;AC$2,"")&amp;IF(N(AD109)&gt;0,", "&amp;A109&amp;"-"&amp;AD$2,"")&amp;IF(N(AE109)&gt;0,", "&amp;A109&amp;"-"&amp;AE$2,"")&amp;IF(N(AF109)&gt;0,", "&amp;A109&amp;"-"&amp;AF$2,"")&amp;IF(N(AG109)&gt;0,", "&amp;A109&amp;"-"&amp;AG$2,"")&amp;IF(N(AH109)&gt;0,", "&amp;A109&amp;"-"&amp;AH$2,"")&amp;IF(N(AI109)&gt;0,", "&amp;A109&amp;"-"&amp;AI$2,"")&amp;IF(N(AJ109)&gt;0,", "&amp;A109&amp;"-"&amp;AJ$2,""),3,999))</f>
        <v/>
      </c>
      <c r="AN109" s="81"/>
      <c r="AO109" s="88"/>
      <c r="AP109" s="89" t="str">
        <f aca="false">IF(AO109="","",ROUND(AO109/(1+Справочники!$B$13),2))</f>
        <v/>
      </c>
      <c r="AQ109" s="90" t="str">
        <f aca="false" t="array" ref="AQ109:AQ109">IF(AP109="","",AP109*INDEX(Справочники!$B$4:$B$7,MATCH("RUB",Справочники!$A$4:$A$7,0)))</f>
        <v/>
      </c>
      <c r="AR109" s="90" t="str">
        <f aca="false">IF(AQ109="","",ROUND(AQ109*(1+Справочники!$B$12),0))</f>
        <v/>
      </c>
      <c r="AS109" s="90" t="str">
        <f aca="false">IF(AR109="","",ROUND(AR109*(1-Справочники!$B$11),0))</f>
        <v/>
      </c>
      <c r="AT109" s="88"/>
      <c r="AU109" s="90" t="str">
        <f aca="false">IF(AT109="","",ROUND(AT109/(1+Справочники!$B$12),0))</f>
        <v/>
      </c>
      <c r="AV109" s="90" t="str">
        <f aca="false">IF(AT109="","",ROUND(AT109*(1-Справочники!$B$15),0))</f>
        <v/>
      </c>
      <c r="AW109" s="90" t="str">
        <f aca="false">IF(AT109="","",ROUND(AT109*(1-Справочники!$B$16),0))</f>
        <v/>
      </c>
      <c r="AX109" s="90" t="str">
        <f aca="false">IF(AT109="","",ROUND(AT109*(1-Справочники!$B$17),0))</f>
        <v/>
      </c>
      <c r="AY109" s="90" t="str">
        <f aca="false">IF(AT109="","",ROUND(AT109*(1-Справочники!$B$18),0))</f>
        <v/>
      </c>
      <c r="AZ109" s="90" t="str">
        <f aca="false">IF(AT109="","",ROUND(AT109*(1-Справочники!$B$19),0))</f>
        <v/>
      </c>
      <c r="BA109" s="81"/>
      <c r="BB109" s="81"/>
      <c r="BC109" s="81"/>
      <c r="BD109" s="81"/>
      <c r="BE109" s="91"/>
      <c r="BF109" s="81" t="s">
        <v>103</v>
      </c>
      <c r="BG109" s="89" t="n">
        <f aca="false" t="array" ref="BG109:BG109">IF(BF109="","",IFERROR(INDEX(Справочники!$B$4:$B$7,MATCH(BF109,Справочники!$A$4:$A$7,0)),""))</f>
        <v>68.5</v>
      </c>
      <c r="BH109" s="90" t="str">
        <f aca="false">IF(N(BN109)&gt;0,ROUND(SUMIF(ЗАКАЗЫ!$F$3:$F$500,$A109,ЗАКАЗЫ!$Y$3:$Y$500)/BN109,0),IF(OR(BE109="",BG109=""),"",ROUND(BE109*BG109*(1+Справочники!$B$10),0)))</f>
        <v/>
      </c>
      <c r="BI109" s="92" t="str">
        <f aca="false">IF(OR(AU109="",BH109="",AU109=0),"",(AU109-BH109)/AU109)</f>
        <v/>
      </c>
      <c r="BJ109" s="81"/>
      <c r="BK109" s="83"/>
      <c r="BL109" s="43" t="str">
        <f aca="false">IFERROR(INDEX(ЗАКАЗЫ!$N$3:$N$500,MATCH($A109,ЗАКАЗЫ!$F$3:$F$500,0)),"")</f>
        <v/>
      </c>
      <c r="BM109" s="8" t="str">
        <f aca="false">IF(BL109="","",IFERROR(VLOOKUP(BL109,'ТН ВЭД'!$A$4:$C$40,3,0),""))</f>
        <v/>
      </c>
      <c r="BN109" s="7" t="str">
        <f aca="false">IF(COUNTIF(ЗАКАЗЫ!$F$3:$F$500,$A109)=0,"",SUMIF(ЗАКАЗЫ!$F$3:$F$500,$A109,ЗАКАЗЫ!$J$3:$J$500))</f>
        <v/>
      </c>
      <c r="BO109" s="7" t="str">
        <f aca="false">IF(BN109="","",SUMIF(ЗАКАЗЫ!$F$3:$F$500,$A109,ЗАКАЗЫ!$AL$3:$AL$500))</f>
        <v/>
      </c>
      <c r="BP109" s="7" t="str">
        <f aca="false">IF(BN109="","",BN109-BO109)</f>
        <v/>
      </c>
      <c r="BQ109" s="55" t="str">
        <f aca="false">IF(BN109="","",IF(BO109&gt;=BN109,"На складе",IF(BO109&gt;0,"Частично","Ждём")))</f>
        <v/>
      </c>
      <c r="BR109" s="43"/>
      <c r="BS109" s="47" t="str">
        <f aca="false">IF(BN109="","",IF(_xlfn.MAXIFS(ЗАКАЗЫ!$AK$3:$AK$500,ЗАКАЗЫ!$F$3:$F$500,$A109)=0,"",_xlfn.MAXIFS(ЗАКАЗЫ!$AK$3:$AK$500,ЗАКАЗЫ!$F$3:$F$500,$A109)))</f>
        <v/>
      </c>
    </row>
    <row r="110" customFormat="false" ht="15.75" hidden="false" customHeight="true" outlineLevel="0" collapsed="false">
      <c r="A110" s="80" t="s">
        <v>3021</v>
      </c>
      <c r="B110" s="81"/>
      <c r="C110" s="81"/>
      <c r="D110" s="81"/>
      <c r="E110" s="83"/>
      <c r="F110" s="81"/>
      <c r="G110" s="83"/>
      <c r="H110" s="83"/>
      <c r="I110" s="84" t="str">
        <f aca="false">IF(E110="","",A110&amp;"_1.jpg")</f>
        <v/>
      </c>
      <c r="J110" s="84" t="str">
        <f aca="false">IF(E110="","",A110&amp;"_2.jpg; "&amp;A110&amp;"_3.jpg")</f>
        <v/>
      </c>
      <c r="K110" s="84" t="str">
        <f aca="false">IF(E110="","",A110&amp;"_schema.jpg")</f>
        <v/>
      </c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 t="s">
        <v>96</v>
      </c>
      <c r="W110" s="81"/>
      <c r="X110" s="81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6" t="str">
        <f aca="false">IF(SUM(Y110:AJ110)=0,"",SUM(Y110:AJ110))</f>
        <v/>
      </c>
      <c r="AL110" s="84" t="str">
        <f aca="false">MID(IF(N(Y110)&gt;0,", "&amp;Y$2,"")&amp;IF(N(Z110)&gt;0,", "&amp;Z$2,"")&amp;IF(N(AA110)&gt;0,", "&amp;AA$2,"")&amp;IF(N(AB110)&gt;0,", "&amp;AB$2,"")&amp;IF(N(AC110)&gt;0,", "&amp;AC$2,"")&amp;IF(N(AD110)&gt;0,", "&amp;AD$2,"")&amp;IF(N(AE110)&gt;0,", "&amp;AE$2,"")&amp;IF(N(AF110)&gt;0,", "&amp;AF$2,"")&amp;IF(N(AG110)&gt;0,", "&amp;AG$2,"")&amp;IF(N(AH110)&gt;0,", "&amp;AH$2,"")&amp;IF(N(AI110)&gt;0,", "&amp;AI$2,"")&amp;IF(N(AJ110)&gt;0,", "&amp;AJ$2,""),3,999)</f>
        <v/>
      </c>
      <c r="AM110" s="87" t="str">
        <f aca="false">IF(E110="","",MID(IF(N(Y110)&gt;0,", "&amp;A110&amp;"-"&amp;Y$2,"")&amp;IF(N(Z110)&gt;0,", "&amp;A110&amp;"-"&amp;Z$2,"")&amp;IF(N(AA110)&gt;0,", "&amp;A110&amp;"-"&amp;AA$2,"")&amp;IF(N(AB110)&gt;0,", "&amp;A110&amp;"-"&amp;AB$2,"")&amp;IF(N(AC110)&gt;0,", "&amp;A110&amp;"-"&amp;AC$2,"")&amp;IF(N(AD110)&gt;0,", "&amp;A110&amp;"-"&amp;AD$2,"")&amp;IF(N(AE110)&gt;0,", "&amp;A110&amp;"-"&amp;AE$2,"")&amp;IF(N(AF110)&gt;0,", "&amp;A110&amp;"-"&amp;AF$2,"")&amp;IF(N(AG110)&gt;0,", "&amp;A110&amp;"-"&amp;AG$2,"")&amp;IF(N(AH110)&gt;0,", "&amp;A110&amp;"-"&amp;AH$2,"")&amp;IF(N(AI110)&gt;0,", "&amp;A110&amp;"-"&amp;AI$2,"")&amp;IF(N(AJ110)&gt;0,", "&amp;A110&amp;"-"&amp;AJ$2,""),3,999))</f>
        <v/>
      </c>
      <c r="AN110" s="81"/>
      <c r="AO110" s="88"/>
      <c r="AP110" s="89" t="str">
        <f aca="false">IF(AO110="","",ROUND(AO110/(1+Справочники!$B$13),2))</f>
        <v/>
      </c>
      <c r="AQ110" s="90" t="str">
        <f aca="false" t="array" ref="AQ110:AQ110">IF(AP110="","",AP110*INDEX(Справочники!$B$4:$B$7,MATCH("RUB",Справочники!$A$4:$A$7,0)))</f>
        <v/>
      </c>
      <c r="AR110" s="90" t="str">
        <f aca="false">IF(AQ110="","",ROUND(AQ110*(1+Справочники!$B$12),0))</f>
        <v/>
      </c>
      <c r="AS110" s="90" t="str">
        <f aca="false">IF(AR110="","",ROUND(AR110*(1-Справочники!$B$11),0))</f>
        <v/>
      </c>
      <c r="AT110" s="88"/>
      <c r="AU110" s="90" t="str">
        <f aca="false">IF(AT110="","",ROUND(AT110/(1+Справочники!$B$12),0))</f>
        <v/>
      </c>
      <c r="AV110" s="90" t="str">
        <f aca="false">IF(AT110="","",ROUND(AT110*(1-Справочники!$B$15),0))</f>
        <v/>
      </c>
      <c r="AW110" s="90" t="str">
        <f aca="false">IF(AT110="","",ROUND(AT110*(1-Справочники!$B$16),0))</f>
        <v/>
      </c>
      <c r="AX110" s="90" t="str">
        <f aca="false">IF(AT110="","",ROUND(AT110*(1-Справочники!$B$17),0))</f>
        <v/>
      </c>
      <c r="AY110" s="90" t="str">
        <f aca="false">IF(AT110="","",ROUND(AT110*(1-Справочники!$B$18),0))</f>
        <v/>
      </c>
      <c r="AZ110" s="90" t="str">
        <f aca="false">IF(AT110="","",ROUND(AT110*(1-Справочники!$B$19),0))</f>
        <v/>
      </c>
      <c r="BA110" s="81"/>
      <c r="BB110" s="81"/>
      <c r="BC110" s="81"/>
      <c r="BD110" s="81"/>
      <c r="BE110" s="91"/>
      <c r="BF110" s="81" t="s">
        <v>103</v>
      </c>
      <c r="BG110" s="89" t="n">
        <f aca="false" t="array" ref="BG110:BG110">IF(BF110="","",IFERROR(INDEX(Справочники!$B$4:$B$7,MATCH(BF110,Справочники!$A$4:$A$7,0)),""))</f>
        <v>68.5</v>
      </c>
      <c r="BH110" s="90" t="str">
        <f aca="false">IF(N(BN110)&gt;0,ROUND(SUMIF(ЗАКАЗЫ!$F$3:$F$500,$A110,ЗАКАЗЫ!$Y$3:$Y$500)/BN110,0),IF(OR(BE110="",BG110=""),"",ROUND(BE110*BG110*(1+Справочники!$B$10),0)))</f>
        <v/>
      </c>
      <c r="BI110" s="92" t="str">
        <f aca="false">IF(OR(AU110="",BH110="",AU110=0),"",(AU110-BH110)/AU110)</f>
        <v/>
      </c>
      <c r="BJ110" s="81"/>
      <c r="BK110" s="83"/>
      <c r="BL110" s="43" t="str">
        <f aca="false">IFERROR(INDEX(ЗАКАЗЫ!$N$3:$N$500,MATCH($A110,ЗАКАЗЫ!$F$3:$F$500,0)),"")</f>
        <v/>
      </c>
      <c r="BM110" s="8" t="str">
        <f aca="false">IF(BL110="","",IFERROR(VLOOKUP(BL110,'ТН ВЭД'!$A$4:$C$40,3,0),""))</f>
        <v/>
      </c>
      <c r="BN110" s="7" t="str">
        <f aca="false">IF(COUNTIF(ЗАКАЗЫ!$F$3:$F$500,$A110)=0,"",SUMIF(ЗАКАЗЫ!$F$3:$F$500,$A110,ЗАКАЗЫ!$J$3:$J$500))</f>
        <v/>
      </c>
      <c r="BO110" s="7" t="str">
        <f aca="false">IF(BN110="","",SUMIF(ЗАКАЗЫ!$F$3:$F$500,$A110,ЗАКАЗЫ!$AL$3:$AL$500))</f>
        <v/>
      </c>
      <c r="BP110" s="7" t="str">
        <f aca="false">IF(BN110="","",BN110-BO110)</f>
        <v/>
      </c>
      <c r="BQ110" s="55" t="str">
        <f aca="false">IF(BN110="","",IF(BO110&gt;=BN110,"На складе",IF(BO110&gt;0,"Частично","Ждём")))</f>
        <v/>
      </c>
      <c r="BR110" s="43"/>
      <c r="BS110" s="47" t="str">
        <f aca="false">IF(BN110="","",IF(_xlfn.MAXIFS(ЗАКАЗЫ!$AK$3:$AK$500,ЗАКАЗЫ!$F$3:$F$500,$A110)=0,"",_xlfn.MAXIFS(ЗАКАЗЫ!$AK$3:$AK$500,ЗАКАЗЫ!$F$3:$F$500,$A110)))</f>
        <v/>
      </c>
    </row>
    <row r="111" customFormat="false" ht="15.75" hidden="false" customHeight="true" outlineLevel="0" collapsed="false">
      <c r="A111" s="80" t="s">
        <v>3022</v>
      </c>
      <c r="B111" s="81"/>
      <c r="C111" s="81"/>
      <c r="D111" s="81"/>
      <c r="E111" s="83"/>
      <c r="F111" s="81"/>
      <c r="G111" s="83"/>
      <c r="H111" s="83"/>
      <c r="I111" s="84" t="str">
        <f aca="false">IF(E111="","",A111&amp;"_1.jpg")</f>
        <v/>
      </c>
      <c r="J111" s="84" t="str">
        <f aca="false">IF(E111="","",A111&amp;"_2.jpg; "&amp;A111&amp;"_3.jpg")</f>
        <v/>
      </c>
      <c r="K111" s="84" t="str">
        <f aca="false">IF(E111="","",A111&amp;"_schema.jpg")</f>
        <v/>
      </c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 t="s">
        <v>96</v>
      </c>
      <c r="W111" s="81"/>
      <c r="X111" s="81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6" t="str">
        <f aca="false">IF(SUM(Y111:AJ111)=0,"",SUM(Y111:AJ111))</f>
        <v/>
      </c>
      <c r="AL111" s="84" t="str">
        <f aca="false">MID(IF(N(Y111)&gt;0,", "&amp;Y$2,"")&amp;IF(N(Z111)&gt;0,", "&amp;Z$2,"")&amp;IF(N(AA111)&gt;0,", "&amp;AA$2,"")&amp;IF(N(AB111)&gt;0,", "&amp;AB$2,"")&amp;IF(N(AC111)&gt;0,", "&amp;AC$2,"")&amp;IF(N(AD111)&gt;0,", "&amp;AD$2,"")&amp;IF(N(AE111)&gt;0,", "&amp;AE$2,"")&amp;IF(N(AF111)&gt;0,", "&amp;AF$2,"")&amp;IF(N(AG111)&gt;0,", "&amp;AG$2,"")&amp;IF(N(AH111)&gt;0,", "&amp;AH$2,"")&amp;IF(N(AI111)&gt;0,", "&amp;AI$2,"")&amp;IF(N(AJ111)&gt;0,", "&amp;AJ$2,""),3,999)</f>
        <v/>
      </c>
      <c r="AM111" s="87" t="str">
        <f aca="false">IF(E111="","",MID(IF(N(Y111)&gt;0,", "&amp;A111&amp;"-"&amp;Y$2,"")&amp;IF(N(Z111)&gt;0,", "&amp;A111&amp;"-"&amp;Z$2,"")&amp;IF(N(AA111)&gt;0,", "&amp;A111&amp;"-"&amp;AA$2,"")&amp;IF(N(AB111)&gt;0,", "&amp;A111&amp;"-"&amp;AB$2,"")&amp;IF(N(AC111)&gt;0,", "&amp;A111&amp;"-"&amp;AC$2,"")&amp;IF(N(AD111)&gt;0,", "&amp;A111&amp;"-"&amp;AD$2,"")&amp;IF(N(AE111)&gt;0,", "&amp;A111&amp;"-"&amp;AE$2,"")&amp;IF(N(AF111)&gt;0,", "&amp;A111&amp;"-"&amp;AF$2,"")&amp;IF(N(AG111)&gt;0,", "&amp;A111&amp;"-"&amp;AG$2,"")&amp;IF(N(AH111)&gt;0,", "&amp;A111&amp;"-"&amp;AH$2,"")&amp;IF(N(AI111)&gt;0,", "&amp;A111&amp;"-"&amp;AI$2,"")&amp;IF(N(AJ111)&gt;0,", "&amp;A111&amp;"-"&amp;AJ$2,""),3,999))</f>
        <v/>
      </c>
      <c r="AN111" s="81"/>
      <c r="AO111" s="88"/>
      <c r="AP111" s="89" t="str">
        <f aca="false">IF(AO111="","",ROUND(AO111/(1+Справочники!$B$13),2))</f>
        <v/>
      </c>
      <c r="AQ111" s="90" t="str">
        <f aca="false" t="array" ref="AQ111:AQ111">IF(AP111="","",AP111*INDEX(Справочники!$B$4:$B$7,MATCH("RUB",Справочники!$A$4:$A$7,0)))</f>
        <v/>
      </c>
      <c r="AR111" s="90" t="str">
        <f aca="false">IF(AQ111="","",ROUND(AQ111*(1+Справочники!$B$12),0))</f>
        <v/>
      </c>
      <c r="AS111" s="90" t="str">
        <f aca="false">IF(AR111="","",ROUND(AR111*(1-Справочники!$B$11),0))</f>
        <v/>
      </c>
      <c r="AT111" s="88"/>
      <c r="AU111" s="90" t="str">
        <f aca="false">IF(AT111="","",ROUND(AT111/(1+Справочники!$B$12),0))</f>
        <v/>
      </c>
      <c r="AV111" s="90" t="str">
        <f aca="false">IF(AT111="","",ROUND(AT111*(1-Справочники!$B$15),0))</f>
        <v/>
      </c>
      <c r="AW111" s="90" t="str">
        <f aca="false">IF(AT111="","",ROUND(AT111*(1-Справочники!$B$16),0))</f>
        <v/>
      </c>
      <c r="AX111" s="90" t="str">
        <f aca="false">IF(AT111="","",ROUND(AT111*(1-Справочники!$B$17),0))</f>
        <v/>
      </c>
      <c r="AY111" s="90" t="str">
        <f aca="false">IF(AT111="","",ROUND(AT111*(1-Справочники!$B$18),0))</f>
        <v/>
      </c>
      <c r="AZ111" s="90" t="str">
        <f aca="false">IF(AT111="","",ROUND(AT111*(1-Справочники!$B$19),0))</f>
        <v/>
      </c>
      <c r="BA111" s="81"/>
      <c r="BB111" s="81"/>
      <c r="BC111" s="81"/>
      <c r="BD111" s="81"/>
      <c r="BE111" s="91"/>
      <c r="BF111" s="81" t="s">
        <v>103</v>
      </c>
      <c r="BG111" s="89" t="n">
        <f aca="false" t="array" ref="BG111:BG111">IF(BF111="","",IFERROR(INDEX(Справочники!$B$4:$B$7,MATCH(BF111,Справочники!$A$4:$A$7,0)),""))</f>
        <v>68.5</v>
      </c>
      <c r="BH111" s="90" t="str">
        <f aca="false">IF(N(BN111)&gt;0,ROUND(SUMIF(ЗАКАЗЫ!$F$3:$F$500,$A111,ЗАКАЗЫ!$Y$3:$Y$500)/BN111,0),IF(OR(BE111="",BG111=""),"",ROUND(BE111*BG111*(1+Справочники!$B$10),0)))</f>
        <v/>
      </c>
      <c r="BI111" s="92" t="str">
        <f aca="false">IF(OR(AU111="",BH111="",AU111=0),"",(AU111-BH111)/AU111)</f>
        <v/>
      </c>
      <c r="BJ111" s="81"/>
      <c r="BK111" s="83"/>
      <c r="BL111" s="43" t="str">
        <f aca="false">IFERROR(INDEX(ЗАКАЗЫ!$N$3:$N$500,MATCH($A111,ЗАКАЗЫ!$F$3:$F$500,0)),"")</f>
        <v/>
      </c>
      <c r="BM111" s="8" t="str">
        <f aca="false">IF(BL111="","",IFERROR(VLOOKUP(BL111,'ТН ВЭД'!$A$4:$C$40,3,0),""))</f>
        <v/>
      </c>
      <c r="BN111" s="7" t="str">
        <f aca="false">IF(COUNTIF(ЗАКАЗЫ!$F$3:$F$500,$A111)=0,"",SUMIF(ЗАКАЗЫ!$F$3:$F$500,$A111,ЗАКАЗЫ!$J$3:$J$500))</f>
        <v/>
      </c>
      <c r="BO111" s="7" t="str">
        <f aca="false">IF(BN111="","",SUMIF(ЗАКАЗЫ!$F$3:$F$500,$A111,ЗАКАЗЫ!$AL$3:$AL$500))</f>
        <v/>
      </c>
      <c r="BP111" s="7" t="str">
        <f aca="false">IF(BN111="","",BN111-BO111)</f>
        <v/>
      </c>
      <c r="BQ111" s="55" t="str">
        <f aca="false">IF(BN111="","",IF(BO111&gt;=BN111,"На складе",IF(BO111&gt;0,"Частично","Ждём")))</f>
        <v/>
      </c>
      <c r="BR111" s="43"/>
      <c r="BS111" s="47" t="str">
        <f aca="false">IF(BN111="","",IF(_xlfn.MAXIFS(ЗАКАЗЫ!$AK$3:$AK$500,ЗАКАЗЫ!$F$3:$F$500,$A111)=0,"",_xlfn.MAXIFS(ЗАКАЗЫ!$AK$3:$AK$500,ЗАКАЗЫ!$F$3:$F$500,$A111)))</f>
        <v/>
      </c>
    </row>
    <row r="112" customFormat="false" ht="15.75" hidden="false" customHeight="true" outlineLevel="0" collapsed="false">
      <c r="A112" s="80" t="s">
        <v>3023</v>
      </c>
      <c r="B112" s="81"/>
      <c r="C112" s="81"/>
      <c r="D112" s="81"/>
      <c r="E112" s="83"/>
      <c r="F112" s="81"/>
      <c r="G112" s="83"/>
      <c r="H112" s="83"/>
      <c r="I112" s="84" t="str">
        <f aca="false">IF(E112="","",A112&amp;"_1.jpg")</f>
        <v/>
      </c>
      <c r="J112" s="84" t="str">
        <f aca="false">IF(E112="","",A112&amp;"_2.jpg; "&amp;A112&amp;"_3.jpg")</f>
        <v/>
      </c>
      <c r="K112" s="84" t="str">
        <f aca="false">IF(E112="","",A112&amp;"_schema.jpg")</f>
        <v/>
      </c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 t="s">
        <v>96</v>
      </c>
      <c r="W112" s="81"/>
      <c r="X112" s="81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6" t="str">
        <f aca="false">IF(SUM(Y112:AJ112)=0,"",SUM(Y112:AJ112))</f>
        <v/>
      </c>
      <c r="AL112" s="84" t="str">
        <f aca="false">MID(IF(N(Y112)&gt;0,", "&amp;Y$2,"")&amp;IF(N(Z112)&gt;0,", "&amp;Z$2,"")&amp;IF(N(AA112)&gt;0,", "&amp;AA$2,"")&amp;IF(N(AB112)&gt;0,", "&amp;AB$2,"")&amp;IF(N(AC112)&gt;0,", "&amp;AC$2,"")&amp;IF(N(AD112)&gt;0,", "&amp;AD$2,"")&amp;IF(N(AE112)&gt;0,", "&amp;AE$2,"")&amp;IF(N(AF112)&gt;0,", "&amp;AF$2,"")&amp;IF(N(AG112)&gt;0,", "&amp;AG$2,"")&amp;IF(N(AH112)&gt;0,", "&amp;AH$2,"")&amp;IF(N(AI112)&gt;0,", "&amp;AI$2,"")&amp;IF(N(AJ112)&gt;0,", "&amp;AJ$2,""),3,999)</f>
        <v/>
      </c>
      <c r="AM112" s="87" t="str">
        <f aca="false">IF(E112="","",MID(IF(N(Y112)&gt;0,", "&amp;A112&amp;"-"&amp;Y$2,"")&amp;IF(N(Z112)&gt;0,", "&amp;A112&amp;"-"&amp;Z$2,"")&amp;IF(N(AA112)&gt;0,", "&amp;A112&amp;"-"&amp;AA$2,"")&amp;IF(N(AB112)&gt;0,", "&amp;A112&amp;"-"&amp;AB$2,"")&amp;IF(N(AC112)&gt;0,", "&amp;A112&amp;"-"&amp;AC$2,"")&amp;IF(N(AD112)&gt;0,", "&amp;A112&amp;"-"&amp;AD$2,"")&amp;IF(N(AE112)&gt;0,", "&amp;A112&amp;"-"&amp;AE$2,"")&amp;IF(N(AF112)&gt;0,", "&amp;A112&amp;"-"&amp;AF$2,"")&amp;IF(N(AG112)&gt;0,", "&amp;A112&amp;"-"&amp;AG$2,"")&amp;IF(N(AH112)&gt;0,", "&amp;A112&amp;"-"&amp;AH$2,"")&amp;IF(N(AI112)&gt;0,", "&amp;A112&amp;"-"&amp;AI$2,"")&amp;IF(N(AJ112)&gt;0,", "&amp;A112&amp;"-"&amp;AJ$2,""),3,999))</f>
        <v/>
      </c>
      <c r="AN112" s="81"/>
      <c r="AO112" s="88"/>
      <c r="AP112" s="89" t="str">
        <f aca="false">IF(AO112="","",ROUND(AO112/(1+Справочники!$B$13),2))</f>
        <v/>
      </c>
      <c r="AQ112" s="90" t="str">
        <f aca="false" t="array" ref="AQ112:AQ112">IF(AP112="","",AP112*INDEX(Справочники!$B$4:$B$7,MATCH("RUB",Справочники!$A$4:$A$7,0)))</f>
        <v/>
      </c>
      <c r="AR112" s="90" t="str">
        <f aca="false">IF(AQ112="","",ROUND(AQ112*(1+Справочники!$B$12),0))</f>
        <v/>
      </c>
      <c r="AS112" s="90" t="str">
        <f aca="false">IF(AR112="","",ROUND(AR112*(1-Справочники!$B$11),0))</f>
        <v/>
      </c>
      <c r="AT112" s="88"/>
      <c r="AU112" s="90" t="str">
        <f aca="false">IF(AT112="","",ROUND(AT112/(1+Справочники!$B$12),0))</f>
        <v/>
      </c>
      <c r="AV112" s="90" t="str">
        <f aca="false">IF(AT112="","",ROUND(AT112*(1-Справочники!$B$15),0))</f>
        <v/>
      </c>
      <c r="AW112" s="90" t="str">
        <f aca="false">IF(AT112="","",ROUND(AT112*(1-Справочники!$B$16),0))</f>
        <v/>
      </c>
      <c r="AX112" s="90" t="str">
        <f aca="false">IF(AT112="","",ROUND(AT112*(1-Справочники!$B$17),0))</f>
        <v/>
      </c>
      <c r="AY112" s="90" t="str">
        <f aca="false">IF(AT112="","",ROUND(AT112*(1-Справочники!$B$18),0))</f>
        <v/>
      </c>
      <c r="AZ112" s="90" t="str">
        <f aca="false">IF(AT112="","",ROUND(AT112*(1-Справочники!$B$19),0))</f>
        <v/>
      </c>
      <c r="BA112" s="81"/>
      <c r="BB112" s="81"/>
      <c r="BC112" s="81"/>
      <c r="BD112" s="81"/>
      <c r="BE112" s="91"/>
      <c r="BF112" s="81" t="s">
        <v>103</v>
      </c>
      <c r="BG112" s="89" t="n">
        <f aca="false" t="array" ref="BG112:BG112">IF(BF112="","",IFERROR(INDEX(Справочники!$B$4:$B$7,MATCH(BF112,Справочники!$A$4:$A$7,0)),""))</f>
        <v>68.5</v>
      </c>
      <c r="BH112" s="90" t="str">
        <f aca="false">IF(N(BN112)&gt;0,ROUND(SUMIF(ЗАКАЗЫ!$F$3:$F$500,$A112,ЗАКАЗЫ!$Y$3:$Y$500)/BN112,0),IF(OR(BE112="",BG112=""),"",ROUND(BE112*BG112*(1+Справочники!$B$10),0)))</f>
        <v/>
      </c>
      <c r="BI112" s="92" t="str">
        <f aca="false">IF(OR(AU112="",BH112="",AU112=0),"",(AU112-BH112)/AU112)</f>
        <v/>
      </c>
      <c r="BJ112" s="81"/>
      <c r="BK112" s="83"/>
      <c r="BL112" s="43" t="str">
        <f aca="false">IFERROR(INDEX(ЗАКАЗЫ!$N$3:$N$500,MATCH($A112,ЗАКАЗЫ!$F$3:$F$500,0)),"")</f>
        <v/>
      </c>
      <c r="BM112" s="8" t="str">
        <f aca="false">IF(BL112="","",IFERROR(VLOOKUP(BL112,'ТН ВЭД'!$A$4:$C$40,3,0),""))</f>
        <v/>
      </c>
      <c r="BN112" s="7" t="str">
        <f aca="false">IF(COUNTIF(ЗАКАЗЫ!$F$3:$F$500,$A112)=0,"",SUMIF(ЗАКАЗЫ!$F$3:$F$500,$A112,ЗАКАЗЫ!$J$3:$J$500))</f>
        <v/>
      </c>
      <c r="BO112" s="7" t="str">
        <f aca="false">IF(BN112="","",SUMIF(ЗАКАЗЫ!$F$3:$F$500,$A112,ЗАКАЗЫ!$AL$3:$AL$500))</f>
        <v/>
      </c>
      <c r="BP112" s="7" t="str">
        <f aca="false">IF(BN112="","",BN112-BO112)</f>
        <v/>
      </c>
      <c r="BQ112" s="55" t="str">
        <f aca="false">IF(BN112="","",IF(BO112&gt;=BN112,"На складе",IF(BO112&gt;0,"Частично","Ждём")))</f>
        <v/>
      </c>
      <c r="BR112" s="43"/>
      <c r="BS112" s="47" t="str">
        <f aca="false">IF(BN112="","",IF(_xlfn.MAXIFS(ЗАКАЗЫ!$AK$3:$AK$500,ЗАКАЗЫ!$F$3:$F$500,$A112)=0,"",_xlfn.MAXIFS(ЗАКАЗЫ!$AK$3:$AK$500,ЗАКАЗЫ!$F$3:$F$500,$A112)))</f>
        <v/>
      </c>
    </row>
    <row r="113" customFormat="false" ht="15.75" hidden="false" customHeight="true" outlineLevel="0" collapsed="false">
      <c r="A113" s="80" t="s">
        <v>3024</v>
      </c>
      <c r="B113" s="81"/>
      <c r="C113" s="81"/>
      <c r="D113" s="81"/>
      <c r="E113" s="83"/>
      <c r="F113" s="81"/>
      <c r="G113" s="83"/>
      <c r="H113" s="83"/>
      <c r="I113" s="84" t="str">
        <f aca="false">IF(E113="","",A113&amp;"_1.jpg")</f>
        <v/>
      </c>
      <c r="J113" s="84" t="str">
        <f aca="false">IF(E113="","",A113&amp;"_2.jpg; "&amp;A113&amp;"_3.jpg")</f>
        <v/>
      </c>
      <c r="K113" s="84" t="str">
        <f aca="false">IF(E113="","",A113&amp;"_schema.jpg")</f>
        <v/>
      </c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 t="s">
        <v>96</v>
      </c>
      <c r="W113" s="81"/>
      <c r="X113" s="81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6" t="str">
        <f aca="false">IF(SUM(Y113:AJ113)=0,"",SUM(Y113:AJ113))</f>
        <v/>
      </c>
      <c r="AL113" s="84" t="str">
        <f aca="false">MID(IF(N(Y113)&gt;0,", "&amp;Y$2,"")&amp;IF(N(Z113)&gt;0,", "&amp;Z$2,"")&amp;IF(N(AA113)&gt;0,", "&amp;AA$2,"")&amp;IF(N(AB113)&gt;0,", "&amp;AB$2,"")&amp;IF(N(AC113)&gt;0,", "&amp;AC$2,"")&amp;IF(N(AD113)&gt;0,", "&amp;AD$2,"")&amp;IF(N(AE113)&gt;0,", "&amp;AE$2,"")&amp;IF(N(AF113)&gt;0,", "&amp;AF$2,"")&amp;IF(N(AG113)&gt;0,", "&amp;AG$2,"")&amp;IF(N(AH113)&gt;0,", "&amp;AH$2,"")&amp;IF(N(AI113)&gt;0,", "&amp;AI$2,"")&amp;IF(N(AJ113)&gt;0,", "&amp;AJ$2,""),3,999)</f>
        <v/>
      </c>
      <c r="AM113" s="87" t="str">
        <f aca="false">IF(E113="","",MID(IF(N(Y113)&gt;0,", "&amp;A113&amp;"-"&amp;Y$2,"")&amp;IF(N(Z113)&gt;0,", "&amp;A113&amp;"-"&amp;Z$2,"")&amp;IF(N(AA113)&gt;0,", "&amp;A113&amp;"-"&amp;AA$2,"")&amp;IF(N(AB113)&gt;0,", "&amp;A113&amp;"-"&amp;AB$2,"")&amp;IF(N(AC113)&gt;0,", "&amp;A113&amp;"-"&amp;AC$2,"")&amp;IF(N(AD113)&gt;0,", "&amp;A113&amp;"-"&amp;AD$2,"")&amp;IF(N(AE113)&gt;0,", "&amp;A113&amp;"-"&amp;AE$2,"")&amp;IF(N(AF113)&gt;0,", "&amp;A113&amp;"-"&amp;AF$2,"")&amp;IF(N(AG113)&gt;0,", "&amp;A113&amp;"-"&amp;AG$2,"")&amp;IF(N(AH113)&gt;0,", "&amp;A113&amp;"-"&amp;AH$2,"")&amp;IF(N(AI113)&gt;0,", "&amp;A113&amp;"-"&amp;AI$2,"")&amp;IF(N(AJ113)&gt;0,", "&amp;A113&amp;"-"&amp;AJ$2,""),3,999))</f>
        <v/>
      </c>
      <c r="AN113" s="81"/>
      <c r="AO113" s="88"/>
      <c r="AP113" s="89" t="str">
        <f aca="false">IF(AO113="","",ROUND(AO113/(1+Справочники!$B$13),2))</f>
        <v/>
      </c>
      <c r="AQ113" s="90" t="str">
        <f aca="false" t="array" ref="AQ113:AQ113">IF(AP113="","",AP113*INDEX(Справочники!$B$4:$B$7,MATCH("RUB",Справочники!$A$4:$A$7,0)))</f>
        <v/>
      </c>
      <c r="AR113" s="90" t="str">
        <f aca="false">IF(AQ113="","",ROUND(AQ113*(1+Справочники!$B$12),0))</f>
        <v/>
      </c>
      <c r="AS113" s="90" t="str">
        <f aca="false">IF(AR113="","",ROUND(AR113*(1-Справочники!$B$11),0))</f>
        <v/>
      </c>
      <c r="AT113" s="88"/>
      <c r="AU113" s="90" t="str">
        <f aca="false">IF(AT113="","",ROUND(AT113/(1+Справочники!$B$12),0))</f>
        <v/>
      </c>
      <c r="AV113" s="90" t="str">
        <f aca="false">IF(AT113="","",ROUND(AT113*(1-Справочники!$B$15),0))</f>
        <v/>
      </c>
      <c r="AW113" s="90" t="str">
        <f aca="false">IF(AT113="","",ROUND(AT113*(1-Справочники!$B$16),0))</f>
        <v/>
      </c>
      <c r="AX113" s="90" t="str">
        <f aca="false">IF(AT113="","",ROUND(AT113*(1-Справочники!$B$17),0))</f>
        <v/>
      </c>
      <c r="AY113" s="90" t="str">
        <f aca="false">IF(AT113="","",ROUND(AT113*(1-Справочники!$B$18),0))</f>
        <v/>
      </c>
      <c r="AZ113" s="90" t="str">
        <f aca="false">IF(AT113="","",ROUND(AT113*(1-Справочники!$B$19),0))</f>
        <v/>
      </c>
      <c r="BA113" s="81"/>
      <c r="BB113" s="81"/>
      <c r="BC113" s="81"/>
      <c r="BD113" s="81"/>
      <c r="BE113" s="91"/>
      <c r="BF113" s="81" t="s">
        <v>103</v>
      </c>
      <c r="BG113" s="89" t="n">
        <f aca="false" t="array" ref="BG113:BG113">IF(BF113="","",IFERROR(INDEX(Справочники!$B$4:$B$7,MATCH(BF113,Справочники!$A$4:$A$7,0)),""))</f>
        <v>68.5</v>
      </c>
      <c r="BH113" s="90" t="str">
        <f aca="false">IF(N(BN113)&gt;0,ROUND(SUMIF(ЗАКАЗЫ!$F$3:$F$500,$A113,ЗАКАЗЫ!$Y$3:$Y$500)/BN113,0),IF(OR(BE113="",BG113=""),"",ROUND(BE113*BG113*(1+Справочники!$B$10),0)))</f>
        <v/>
      </c>
      <c r="BI113" s="92" t="str">
        <f aca="false">IF(OR(AU113="",BH113="",AU113=0),"",(AU113-BH113)/AU113)</f>
        <v/>
      </c>
      <c r="BJ113" s="81"/>
      <c r="BK113" s="83"/>
      <c r="BL113" s="43" t="str">
        <f aca="false">IFERROR(INDEX(ЗАКАЗЫ!$N$3:$N$500,MATCH($A113,ЗАКАЗЫ!$F$3:$F$500,0)),"")</f>
        <v/>
      </c>
      <c r="BM113" s="8" t="str">
        <f aca="false">IF(BL113="","",IFERROR(VLOOKUP(BL113,'ТН ВЭД'!$A$4:$C$40,3,0),""))</f>
        <v/>
      </c>
      <c r="BN113" s="7" t="str">
        <f aca="false">IF(COUNTIF(ЗАКАЗЫ!$F$3:$F$500,$A113)=0,"",SUMIF(ЗАКАЗЫ!$F$3:$F$500,$A113,ЗАКАЗЫ!$J$3:$J$500))</f>
        <v/>
      </c>
      <c r="BO113" s="7" t="str">
        <f aca="false">IF(BN113="","",SUMIF(ЗАКАЗЫ!$F$3:$F$500,$A113,ЗАКАЗЫ!$AL$3:$AL$500))</f>
        <v/>
      </c>
      <c r="BP113" s="7" t="str">
        <f aca="false">IF(BN113="","",BN113-BO113)</f>
        <v/>
      </c>
      <c r="BQ113" s="55" t="str">
        <f aca="false">IF(BN113="","",IF(BO113&gt;=BN113,"На складе",IF(BO113&gt;0,"Частично","Ждём")))</f>
        <v/>
      </c>
      <c r="BR113" s="43"/>
      <c r="BS113" s="47" t="str">
        <f aca="false">IF(BN113="","",IF(_xlfn.MAXIFS(ЗАКАЗЫ!$AK$3:$AK$500,ЗАКАЗЫ!$F$3:$F$500,$A113)=0,"",_xlfn.MAXIFS(ЗАКАЗЫ!$AK$3:$AK$500,ЗАКАЗЫ!$F$3:$F$500,$A113)))</f>
        <v/>
      </c>
    </row>
    <row r="114" customFormat="false" ht="15.75" hidden="false" customHeight="true" outlineLevel="0" collapsed="false">
      <c r="A114" s="80" t="s">
        <v>3025</v>
      </c>
      <c r="B114" s="81"/>
      <c r="C114" s="81"/>
      <c r="D114" s="81"/>
      <c r="E114" s="83"/>
      <c r="F114" s="81"/>
      <c r="G114" s="83"/>
      <c r="H114" s="83"/>
      <c r="I114" s="84" t="str">
        <f aca="false">IF(E114="","",A114&amp;"_1.jpg")</f>
        <v/>
      </c>
      <c r="J114" s="84" t="str">
        <f aca="false">IF(E114="","",A114&amp;"_2.jpg; "&amp;A114&amp;"_3.jpg")</f>
        <v/>
      </c>
      <c r="K114" s="84" t="str">
        <f aca="false">IF(E114="","",A114&amp;"_schema.jpg")</f>
        <v/>
      </c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 t="s">
        <v>96</v>
      </c>
      <c r="W114" s="81"/>
      <c r="X114" s="81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6" t="str">
        <f aca="false">IF(SUM(Y114:AJ114)=0,"",SUM(Y114:AJ114))</f>
        <v/>
      </c>
      <c r="AL114" s="84" t="str">
        <f aca="false">MID(IF(N(Y114)&gt;0,", "&amp;Y$2,"")&amp;IF(N(Z114)&gt;0,", "&amp;Z$2,"")&amp;IF(N(AA114)&gt;0,", "&amp;AA$2,"")&amp;IF(N(AB114)&gt;0,", "&amp;AB$2,"")&amp;IF(N(AC114)&gt;0,", "&amp;AC$2,"")&amp;IF(N(AD114)&gt;0,", "&amp;AD$2,"")&amp;IF(N(AE114)&gt;0,", "&amp;AE$2,"")&amp;IF(N(AF114)&gt;0,", "&amp;AF$2,"")&amp;IF(N(AG114)&gt;0,", "&amp;AG$2,"")&amp;IF(N(AH114)&gt;0,", "&amp;AH$2,"")&amp;IF(N(AI114)&gt;0,", "&amp;AI$2,"")&amp;IF(N(AJ114)&gt;0,", "&amp;AJ$2,""),3,999)</f>
        <v/>
      </c>
      <c r="AM114" s="87" t="str">
        <f aca="false">IF(E114="","",MID(IF(N(Y114)&gt;0,", "&amp;A114&amp;"-"&amp;Y$2,"")&amp;IF(N(Z114)&gt;0,", "&amp;A114&amp;"-"&amp;Z$2,"")&amp;IF(N(AA114)&gt;0,", "&amp;A114&amp;"-"&amp;AA$2,"")&amp;IF(N(AB114)&gt;0,", "&amp;A114&amp;"-"&amp;AB$2,"")&amp;IF(N(AC114)&gt;0,", "&amp;A114&amp;"-"&amp;AC$2,"")&amp;IF(N(AD114)&gt;0,", "&amp;A114&amp;"-"&amp;AD$2,"")&amp;IF(N(AE114)&gt;0,", "&amp;A114&amp;"-"&amp;AE$2,"")&amp;IF(N(AF114)&gt;0,", "&amp;A114&amp;"-"&amp;AF$2,"")&amp;IF(N(AG114)&gt;0,", "&amp;A114&amp;"-"&amp;AG$2,"")&amp;IF(N(AH114)&gt;0,", "&amp;A114&amp;"-"&amp;AH$2,"")&amp;IF(N(AI114)&gt;0,", "&amp;A114&amp;"-"&amp;AI$2,"")&amp;IF(N(AJ114)&gt;0,", "&amp;A114&amp;"-"&amp;AJ$2,""),3,999))</f>
        <v/>
      </c>
      <c r="AN114" s="81"/>
      <c r="AO114" s="88"/>
      <c r="AP114" s="89" t="str">
        <f aca="false">IF(AO114="","",ROUND(AO114/(1+Справочники!$B$13),2))</f>
        <v/>
      </c>
      <c r="AQ114" s="90" t="str">
        <f aca="false" t="array" ref="AQ114:AQ114">IF(AP114="","",AP114*INDEX(Справочники!$B$4:$B$7,MATCH("RUB",Справочники!$A$4:$A$7,0)))</f>
        <v/>
      </c>
      <c r="AR114" s="90" t="str">
        <f aca="false">IF(AQ114="","",ROUND(AQ114*(1+Справочники!$B$12),0))</f>
        <v/>
      </c>
      <c r="AS114" s="90" t="str">
        <f aca="false">IF(AR114="","",ROUND(AR114*(1-Справочники!$B$11),0))</f>
        <v/>
      </c>
      <c r="AT114" s="88"/>
      <c r="AU114" s="90" t="str">
        <f aca="false">IF(AT114="","",ROUND(AT114/(1+Справочники!$B$12),0))</f>
        <v/>
      </c>
      <c r="AV114" s="90" t="str">
        <f aca="false">IF(AT114="","",ROUND(AT114*(1-Справочники!$B$15),0))</f>
        <v/>
      </c>
      <c r="AW114" s="90" t="str">
        <f aca="false">IF(AT114="","",ROUND(AT114*(1-Справочники!$B$16),0))</f>
        <v/>
      </c>
      <c r="AX114" s="90" t="str">
        <f aca="false">IF(AT114="","",ROUND(AT114*(1-Справочники!$B$17),0))</f>
        <v/>
      </c>
      <c r="AY114" s="90" t="str">
        <f aca="false">IF(AT114="","",ROUND(AT114*(1-Справочники!$B$18),0))</f>
        <v/>
      </c>
      <c r="AZ114" s="90" t="str">
        <f aca="false">IF(AT114="","",ROUND(AT114*(1-Справочники!$B$19),0))</f>
        <v/>
      </c>
      <c r="BA114" s="81"/>
      <c r="BB114" s="81"/>
      <c r="BC114" s="81"/>
      <c r="BD114" s="81"/>
      <c r="BE114" s="91"/>
      <c r="BF114" s="81" t="s">
        <v>103</v>
      </c>
      <c r="BG114" s="89" t="n">
        <f aca="false" t="array" ref="BG114:BG114">IF(BF114="","",IFERROR(INDEX(Справочники!$B$4:$B$7,MATCH(BF114,Справочники!$A$4:$A$7,0)),""))</f>
        <v>68.5</v>
      </c>
      <c r="BH114" s="90" t="str">
        <f aca="false">IF(N(BN114)&gt;0,ROUND(SUMIF(ЗАКАЗЫ!$F$3:$F$500,$A114,ЗАКАЗЫ!$Y$3:$Y$500)/BN114,0),IF(OR(BE114="",BG114=""),"",ROUND(BE114*BG114*(1+Справочники!$B$10),0)))</f>
        <v/>
      </c>
      <c r="BI114" s="92" t="str">
        <f aca="false">IF(OR(AU114="",BH114="",AU114=0),"",(AU114-BH114)/AU114)</f>
        <v/>
      </c>
      <c r="BJ114" s="81"/>
      <c r="BK114" s="83"/>
      <c r="BL114" s="43" t="str">
        <f aca="false">IFERROR(INDEX(ЗАКАЗЫ!$N$3:$N$500,MATCH($A114,ЗАКАЗЫ!$F$3:$F$500,0)),"")</f>
        <v/>
      </c>
      <c r="BM114" s="8" t="str">
        <f aca="false">IF(BL114="","",IFERROR(VLOOKUP(BL114,'ТН ВЭД'!$A$4:$C$40,3,0),""))</f>
        <v/>
      </c>
      <c r="BN114" s="7" t="str">
        <f aca="false">IF(COUNTIF(ЗАКАЗЫ!$F$3:$F$500,$A114)=0,"",SUMIF(ЗАКАЗЫ!$F$3:$F$500,$A114,ЗАКАЗЫ!$J$3:$J$500))</f>
        <v/>
      </c>
      <c r="BO114" s="7" t="str">
        <f aca="false">IF(BN114="","",SUMIF(ЗАКАЗЫ!$F$3:$F$500,$A114,ЗАКАЗЫ!$AL$3:$AL$500))</f>
        <v/>
      </c>
      <c r="BP114" s="7" t="str">
        <f aca="false">IF(BN114="","",BN114-BO114)</f>
        <v/>
      </c>
      <c r="BQ114" s="55" t="str">
        <f aca="false">IF(BN114="","",IF(BO114&gt;=BN114,"На складе",IF(BO114&gt;0,"Частично","Ждём")))</f>
        <v/>
      </c>
      <c r="BR114" s="43"/>
      <c r="BS114" s="47" t="str">
        <f aca="false">IF(BN114="","",IF(_xlfn.MAXIFS(ЗАКАЗЫ!$AK$3:$AK$500,ЗАКАЗЫ!$F$3:$F$500,$A114)=0,"",_xlfn.MAXIFS(ЗАКАЗЫ!$AK$3:$AK$500,ЗАКАЗЫ!$F$3:$F$500,$A114)))</f>
        <v/>
      </c>
    </row>
    <row r="115" customFormat="false" ht="15.75" hidden="false" customHeight="true" outlineLevel="0" collapsed="false">
      <c r="A115" s="80" t="s">
        <v>3026</v>
      </c>
      <c r="B115" s="81"/>
      <c r="C115" s="81"/>
      <c r="D115" s="81"/>
      <c r="E115" s="83"/>
      <c r="F115" s="81"/>
      <c r="G115" s="83"/>
      <c r="H115" s="83"/>
      <c r="I115" s="84" t="str">
        <f aca="false">IF(E115="","",A115&amp;"_1.jpg")</f>
        <v/>
      </c>
      <c r="J115" s="84" t="str">
        <f aca="false">IF(E115="","",A115&amp;"_2.jpg; "&amp;A115&amp;"_3.jpg")</f>
        <v/>
      </c>
      <c r="K115" s="84" t="str">
        <f aca="false">IF(E115="","",A115&amp;"_schema.jpg")</f>
        <v/>
      </c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 t="s">
        <v>96</v>
      </c>
      <c r="W115" s="81"/>
      <c r="X115" s="81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6" t="str">
        <f aca="false">IF(SUM(Y115:AJ115)=0,"",SUM(Y115:AJ115))</f>
        <v/>
      </c>
      <c r="AL115" s="84" t="str">
        <f aca="false">MID(IF(N(Y115)&gt;0,", "&amp;Y$2,"")&amp;IF(N(Z115)&gt;0,", "&amp;Z$2,"")&amp;IF(N(AA115)&gt;0,", "&amp;AA$2,"")&amp;IF(N(AB115)&gt;0,", "&amp;AB$2,"")&amp;IF(N(AC115)&gt;0,", "&amp;AC$2,"")&amp;IF(N(AD115)&gt;0,", "&amp;AD$2,"")&amp;IF(N(AE115)&gt;0,", "&amp;AE$2,"")&amp;IF(N(AF115)&gt;0,", "&amp;AF$2,"")&amp;IF(N(AG115)&gt;0,", "&amp;AG$2,"")&amp;IF(N(AH115)&gt;0,", "&amp;AH$2,"")&amp;IF(N(AI115)&gt;0,", "&amp;AI$2,"")&amp;IF(N(AJ115)&gt;0,", "&amp;AJ$2,""),3,999)</f>
        <v/>
      </c>
      <c r="AM115" s="87" t="str">
        <f aca="false">IF(E115="","",MID(IF(N(Y115)&gt;0,", "&amp;A115&amp;"-"&amp;Y$2,"")&amp;IF(N(Z115)&gt;0,", "&amp;A115&amp;"-"&amp;Z$2,"")&amp;IF(N(AA115)&gt;0,", "&amp;A115&amp;"-"&amp;AA$2,"")&amp;IF(N(AB115)&gt;0,", "&amp;A115&amp;"-"&amp;AB$2,"")&amp;IF(N(AC115)&gt;0,", "&amp;A115&amp;"-"&amp;AC$2,"")&amp;IF(N(AD115)&gt;0,", "&amp;A115&amp;"-"&amp;AD$2,"")&amp;IF(N(AE115)&gt;0,", "&amp;A115&amp;"-"&amp;AE$2,"")&amp;IF(N(AF115)&gt;0,", "&amp;A115&amp;"-"&amp;AF$2,"")&amp;IF(N(AG115)&gt;0,", "&amp;A115&amp;"-"&amp;AG$2,"")&amp;IF(N(AH115)&gt;0,", "&amp;A115&amp;"-"&amp;AH$2,"")&amp;IF(N(AI115)&gt;0,", "&amp;A115&amp;"-"&amp;AI$2,"")&amp;IF(N(AJ115)&gt;0,", "&amp;A115&amp;"-"&amp;AJ$2,""),3,999))</f>
        <v/>
      </c>
      <c r="AN115" s="81"/>
      <c r="AO115" s="88"/>
      <c r="AP115" s="89" t="str">
        <f aca="false">IF(AO115="","",ROUND(AO115/(1+Справочники!$B$13),2))</f>
        <v/>
      </c>
      <c r="AQ115" s="90" t="str">
        <f aca="false" t="array" ref="AQ115:AQ115">IF(AP115="","",AP115*INDEX(Справочники!$B$4:$B$7,MATCH("RUB",Справочники!$A$4:$A$7,0)))</f>
        <v/>
      </c>
      <c r="AR115" s="90" t="str">
        <f aca="false">IF(AQ115="","",ROUND(AQ115*(1+Справочники!$B$12),0))</f>
        <v/>
      </c>
      <c r="AS115" s="90" t="str">
        <f aca="false">IF(AR115="","",ROUND(AR115*(1-Справочники!$B$11),0))</f>
        <v/>
      </c>
      <c r="AT115" s="88"/>
      <c r="AU115" s="90" t="str">
        <f aca="false">IF(AT115="","",ROUND(AT115/(1+Справочники!$B$12),0))</f>
        <v/>
      </c>
      <c r="AV115" s="90" t="str">
        <f aca="false">IF(AT115="","",ROUND(AT115*(1-Справочники!$B$15),0))</f>
        <v/>
      </c>
      <c r="AW115" s="90" t="str">
        <f aca="false">IF(AT115="","",ROUND(AT115*(1-Справочники!$B$16),0))</f>
        <v/>
      </c>
      <c r="AX115" s="90" t="str">
        <f aca="false">IF(AT115="","",ROUND(AT115*(1-Справочники!$B$17),0))</f>
        <v/>
      </c>
      <c r="AY115" s="90" t="str">
        <f aca="false">IF(AT115="","",ROUND(AT115*(1-Справочники!$B$18),0))</f>
        <v/>
      </c>
      <c r="AZ115" s="90" t="str">
        <f aca="false">IF(AT115="","",ROUND(AT115*(1-Справочники!$B$19),0))</f>
        <v/>
      </c>
      <c r="BA115" s="81"/>
      <c r="BB115" s="81"/>
      <c r="BC115" s="81"/>
      <c r="BD115" s="81"/>
      <c r="BE115" s="91"/>
      <c r="BF115" s="81" t="s">
        <v>103</v>
      </c>
      <c r="BG115" s="89" t="n">
        <f aca="false" t="array" ref="BG115:BG115">IF(BF115="","",IFERROR(INDEX(Справочники!$B$4:$B$7,MATCH(BF115,Справочники!$A$4:$A$7,0)),""))</f>
        <v>68.5</v>
      </c>
      <c r="BH115" s="90" t="str">
        <f aca="false">IF(N(BN115)&gt;0,ROUND(SUMIF(ЗАКАЗЫ!$F$3:$F$500,$A115,ЗАКАЗЫ!$Y$3:$Y$500)/BN115,0),IF(OR(BE115="",BG115=""),"",ROUND(BE115*BG115*(1+Справочники!$B$10),0)))</f>
        <v/>
      </c>
      <c r="BI115" s="92" t="str">
        <f aca="false">IF(OR(AU115="",BH115="",AU115=0),"",(AU115-BH115)/AU115)</f>
        <v/>
      </c>
      <c r="BJ115" s="81"/>
      <c r="BK115" s="83"/>
      <c r="BL115" s="43" t="str">
        <f aca="false">IFERROR(INDEX(ЗАКАЗЫ!$N$3:$N$500,MATCH($A115,ЗАКАЗЫ!$F$3:$F$500,0)),"")</f>
        <v/>
      </c>
      <c r="BM115" s="8" t="str">
        <f aca="false">IF(BL115="","",IFERROR(VLOOKUP(BL115,'ТН ВЭД'!$A$4:$C$40,3,0),""))</f>
        <v/>
      </c>
      <c r="BN115" s="7" t="str">
        <f aca="false">IF(COUNTIF(ЗАКАЗЫ!$F$3:$F$500,$A115)=0,"",SUMIF(ЗАКАЗЫ!$F$3:$F$500,$A115,ЗАКАЗЫ!$J$3:$J$500))</f>
        <v/>
      </c>
      <c r="BO115" s="7" t="str">
        <f aca="false">IF(BN115="","",SUMIF(ЗАКАЗЫ!$F$3:$F$500,$A115,ЗАКАЗЫ!$AL$3:$AL$500))</f>
        <v/>
      </c>
      <c r="BP115" s="7" t="str">
        <f aca="false">IF(BN115="","",BN115-BO115)</f>
        <v/>
      </c>
      <c r="BQ115" s="55" t="str">
        <f aca="false">IF(BN115="","",IF(BO115&gt;=BN115,"На складе",IF(BO115&gt;0,"Частично","Ждём")))</f>
        <v/>
      </c>
      <c r="BR115" s="43"/>
      <c r="BS115" s="47" t="str">
        <f aca="false">IF(BN115="","",IF(_xlfn.MAXIFS(ЗАКАЗЫ!$AK$3:$AK$500,ЗАКАЗЫ!$F$3:$F$500,$A115)=0,"",_xlfn.MAXIFS(ЗАКАЗЫ!$AK$3:$AK$500,ЗАКАЗЫ!$F$3:$F$500,$A115)))</f>
        <v/>
      </c>
    </row>
    <row r="116" customFormat="false" ht="15.75" hidden="false" customHeight="true" outlineLevel="0" collapsed="false">
      <c r="A116" s="80" t="s">
        <v>3027</v>
      </c>
      <c r="B116" s="81"/>
      <c r="C116" s="81"/>
      <c r="D116" s="81"/>
      <c r="E116" s="83"/>
      <c r="F116" s="81"/>
      <c r="G116" s="83"/>
      <c r="H116" s="83"/>
      <c r="I116" s="84" t="str">
        <f aca="false">IF(E116="","",A116&amp;"_1.jpg")</f>
        <v/>
      </c>
      <c r="J116" s="84" t="str">
        <f aca="false">IF(E116="","",A116&amp;"_2.jpg; "&amp;A116&amp;"_3.jpg")</f>
        <v/>
      </c>
      <c r="K116" s="84" t="str">
        <f aca="false">IF(E116="","",A116&amp;"_schema.jpg")</f>
        <v/>
      </c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 t="s">
        <v>96</v>
      </c>
      <c r="W116" s="81"/>
      <c r="X116" s="81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6" t="str">
        <f aca="false">IF(SUM(Y116:AJ116)=0,"",SUM(Y116:AJ116))</f>
        <v/>
      </c>
      <c r="AL116" s="84" t="str">
        <f aca="false">MID(IF(N(Y116)&gt;0,", "&amp;Y$2,"")&amp;IF(N(Z116)&gt;0,", "&amp;Z$2,"")&amp;IF(N(AA116)&gt;0,", "&amp;AA$2,"")&amp;IF(N(AB116)&gt;0,", "&amp;AB$2,"")&amp;IF(N(AC116)&gt;0,", "&amp;AC$2,"")&amp;IF(N(AD116)&gt;0,", "&amp;AD$2,"")&amp;IF(N(AE116)&gt;0,", "&amp;AE$2,"")&amp;IF(N(AF116)&gt;0,", "&amp;AF$2,"")&amp;IF(N(AG116)&gt;0,", "&amp;AG$2,"")&amp;IF(N(AH116)&gt;0,", "&amp;AH$2,"")&amp;IF(N(AI116)&gt;0,", "&amp;AI$2,"")&amp;IF(N(AJ116)&gt;0,", "&amp;AJ$2,""),3,999)</f>
        <v/>
      </c>
      <c r="AM116" s="87" t="str">
        <f aca="false">IF(E116="","",MID(IF(N(Y116)&gt;0,", "&amp;A116&amp;"-"&amp;Y$2,"")&amp;IF(N(Z116)&gt;0,", "&amp;A116&amp;"-"&amp;Z$2,"")&amp;IF(N(AA116)&gt;0,", "&amp;A116&amp;"-"&amp;AA$2,"")&amp;IF(N(AB116)&gt;0,", "&amp;A116&amp;"-"&amp;AB$2,"")&amp;IF(N(AC116)&gt;0,", "&amp;A116&amp;"-"&amp;AC$2,"")&amp;IF(N(AD116)&gt;0,", "&amp;A116&amp;"-"&amp;AD$2,"")&amp;IF(N(AE116)&gt;0,", "&amp;A116&amp;"-"&amp;AE$2,"")&amp;IF(N(AF116)&gt;0,", "&amp;A116&amp;"-"&amp;AF$2,"")&amp;IF(N(AG116)&gt;0,", "&amp;A116&amp;"-"&amp;AG$2,"")&amp;IF(N(AH116)&gt;0,", "&amp;A116&amp;"-"&amp;AH$2,"")&amp;IF(N(AI116)&gt;0,", "&amp;A116&amp;"-"&amp;AI$2,"")&amp;IF(N(AJ116)&gt;0,", "&amp;A116&amp;"-"&amp;AJ$2,""),3,999))</f>
        <v/>
      </c>
      <c r="AN116" s="81"/>
      <c r="AO116" s="88"/>
      <c r="AP116" s="89" t="str">
        <f aca="false">IF(AO116="","",ROUND(AO116/(1+Справочники!$B$13),2))</f>
        <v/>
      </c>
      <c r="AQ116" s="90" t="str">
        <f aca="false" t="array" ref="AQ116:AQ116">IF(AP116="","",AP116*INDEX(Справочники!$B$4:$B$7,MATCH("RUB",Справочники!$A$4:$A$7,0)))</f>
        <v/>
      </c>
      <c r="AR116" s="90" t="str">
        <f aca="false">IF(AQ116="","",ROUND(AQ116*(1+Справочники!$B$12),0))</f>
        <v/>
      </c>
      <c r="AS116" s="90" t="str">
        <f aca="false">IF(AR116="","",ROUND(AR116*(1-Справочники!$B$11),0))</f>
        <v/>
      </c>
      <c r="AT116" s="88"/>
      <c r="AU116" s="90" t="str">
        <f aca="false">IF(AT116="","",ROUND(AT116/(1+Справочники!$B$12),0))</f>
        <v/>
      </c>
      <c r="AV116" s="90" t="str">
        <f aca="false">IF(AT116="","",ROUND(AT116*(1-Справочники!$B$15),0))</f>
        <v/>
      </c>
      <c r="AW116" s="90" t="str">
        <f aca="false">IF(AT116="","",ROUND(AT116*(1-Справочники!$B$16),0))</f>
        <v/>
      </c>
      <c r="AX116" s="90" t="str">
        <f aca="false">IF(AT116="","",ROUND(AT116*(1-Справочники!$B$17),0))</f>
        <v/>
      </c>
      <c r="AY116" s="90" t="str">
        <f aca="false">IF(AT116="","",ROUND(AT116*(1-Справочники!$B$18),0))</f>
        <v/>
      </c>
      <c r="AZ116" s="90" t="str">
        <f aca="false">IF(AT116="","",ROUND(AT116*(1-Справочники!$B$19),0))</f>
        <v/>
      </c>
      <c r="BA116" s="81"/>
      <c r="BB116" s="81"/>
      <c r="BC116" s="81"/>
      <c r="BD116" s="81"/>
      <c r="BE116" s="91"/>
      <c r="BF116" s="81" t="s">
        <v>103</v>
      </c>
      <c r="BG116" s="89" t="n">
        <f aca="false" t="array" ref="BG116:BG116">IF(BF116="","",IFERROR(INDEX(Справочники!$B$4:$B$7,MATCH(BF116,Справочники!$A$4:$A$7,0)),""))</f>
        <v>68.5</v>
      </c>
      <c r="BH116" s="90" t="str">
        <f aca="false">IF(N(BN116)&gt;0,ROUND(SUMIF(ЗАКАЗЫ!$F$3:$F$500,$A116,ЗАКАЗЫ!$Y$3:$Y$500)/BN116,0),IF(OR(BE116="",BG116=""),"",ROUND(BE116*BG116*(1+Справочники!$B$10),0)))</f>
        <v/>
      </c>
      <c r="BI116" s="92" t="str">
        <f aca="false">IF(OR(AU116="",BH116="",AU116=0),"",(AU116-BH116)/AU116)</f>
        <v/>
      </c>
      <c r="BJ116" s="81"/>
      <c r="BK116" s="83"/>
      <c r="BL116" s="43" t="str">
        <f aca="false">IFERROR(INDEX(ЗАКАЗЫ!$N$3:$N$500,MATCH($A116,ЗАКАЗЫ!$F$3:$F$500,0)),"")</f>
        <v/>
      </c>
      <c r="BM116" s="8" t="str">
        <f aca="false">IF(BL116="","",IFERROR(VLOOKUP(BL116,'ТН ВЭД'!$A$4:$C$40,3,0),""))</f>
        <v/>
      </c>
      <c r="BN116" s="7" t="str">
        <f aca="false">IF(COUNTIF(ЗАКАЗЫ!$F$3:$F$500,$A116)=0,"",SUMIF(ЗАКАЗЫ!$F$3:$F$500,$A116,ЗАКАЗЫ!$J$3:$J$500))</f>
        <v/>
      </c>
      <c r="BO116" s="7" t="str">
        <f aca="false">IF(BN116="","",SUMIF(ЗАКАЗЫ!$F$3:$F$500,$A116,ЗАКАЗЫ!$AL$3:$AL$500))</f>
        <v/>
      </c>
      <c r="BP116" s="7" t="str">
        <f aca="false">IF(BN116="","",BN116-BO116)</f>
        <v/>
      </c>
      <c r="BQ116" s="55" t="str">
        <f aca="false">IF(BN116="","",IF(BO116&gt;=BN116,"На складе",IF(BO116&gt;0,"Частично","Ждём")))</f>
        <v/>
      </c>
      <c r="BR116" s="43"/>
      <c r="BS116" s="47" t="str">
        <f aca="false">IF(BN116="","",IF(_xlfn.MAXIFS(ЗАКАЗЫ!$AK$3:$AK$500,ЗАКАЗЫ!$F$3:$F$500,$A116)=0,"",_xlfn.MAXIFS(ЗАКАЗЫ!$AK$3:$AK$500,ЗАКАЗЫ!$F$3:$F$500,$A116)))</f>
        <v/>
      </c>
    </row>
    <row r="117" customFormat="false" ht="15.75" hidden="false" customHeight="true" outlineLevel="0" collapsed="false">
      <c r="A117" s="80" t="s">
        <v>3028</v>
      </c>
      <c r="B117" s="81"/>
      <c r="C117" s="81"/>
      <c r="D117" s="81"/>
      <c r="E117" s="83"/>
      <c r="F117" s="81"/>
      <c r="G117" s="83"/>
      <c r="H117" s="83"/>
      <c r="I117" s="84" t="str">
        <f aca="false">IF(E117="","",A117&amp;"_1.jpg")</f>
        <v/>
      </c>
      <c r="J117" s="84" t="str">
        <f aca="false">IF(E117="","",A117&amp;"_2.jpg; "&amp;A117&amp;"_3.jpg")</f>
        <v/>
      </c>
      <c r="K117" s="84" t="str">
        <f aca="false">IF(E117="","",A117&amp;"_schema.jpg")</f>
        <v/>
      </c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 t="s">
        <v>96</v>
      </c>
      <c r="W117" s="81"/>
      <c r="X117" s="81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6" t="str">
        <f aca="false">IF(SUM(Y117:AJ117)=0,"",SUM(Y117:AJ117))</f>
        <v/>
      </c>
      <c r="AL117" s="84" t="str">
        <f aca="false">MID(IF(N(Y117)&gt;0,", "&amp;Y$2,"")&amp;IF(N(Z117)&gt;0,", "&amp;Z$2,"")&amp;IF(N(AA117)&gt;0,", "&amp;AA$2,"")&amp;IF(N(AB117)&gt;0,", "&amp;AB$2,"")&amp;IF(N(AC117)&gt;0,", "&amp;AC$2,"")&amp;IF(N(AD117)&gt;0,", "&amp;AD$2,"")&amp;IF(N(AE117)&gt;0,", "&amp;AE$2,"")&amp;IF(N(AF117)&gt;0,", "&amp;AF$2,"")&amp;IF(N(AG117)&gt;0,", "&amp;AG$2,"")&amp;IF(N(AH117)&gt;0,", "&amp;AH$2,"")&amp;IF(N(AI117)&gt;0,", "&amp;AI$2,"")&amp;IF(N(AJ117)&gt;0,", "&amp;AJ$2,""),3,999)</f>
        <v/>
      </c>
      <c r="AM117" s="87" t="str">
        <f aca="false">IF(E117="","",MID(IF(N(Y117)&gt;0,", "&amp;A117&amp;"-"&amp;Y$2,"")&amp;IF(N(Z117)&gt;0,", "&amp;A117&amp;"-"&amp;Z$2,"")&amp;IF(N(AA117)&gt;0,", "&amp;A117&amp;"-"&amp;AA$2,"")&amp;IF(N(AB117)&gt;0,", "&amp;A117&amp;"-"&amp;AB$2,"")&amp;IF(N(AC117)&gt;0,", "&amp;A117&amp;"-"&amp;AC$2,"")&amp;IF(N(AD117)&gt;0,", "&amp;A117&amp;"-"&amp;AD$2,"")&amp;IF(N(AE117)&gt;0,", "&amp;A117&amp;"-"&amp;AE$2,"")&amp;IF(N(AF117)&gt;0,", "&amp;A117&amp;"-"&amp;AF$2,"")&amp;IF(N(AG117)&gt;0,", "&amp;A117&amp;"-"&amp;AG$2,"")&amp;IF(N(AH117)&gt;0,", "&amp;A117&amp;"-"&amp;AH$2,"")&amp;IF(N(AI117)&gt;0,", "&amp;A117&amp;"-"&amp;AI$2,"")&amp;IF(N(AJ117)&gt;0,", "&amp;A117&amp;"-"&amp;AJ$2,""),3,999))</f>
        <v/>
      </c>
      <c r="AN117" s="81"/>
      <c r="AO117" s="88"/>
      <c r="AP117" s="89" t="str">
        <f aca="false">IF(AO117="","",ROUND(AO117/(1+Справочники!$B$13),2))</f>
        <v/>
      </c>
      <c r="AQ117" s="90" t="str">
        <f aca="false" t="array" ref="AQ117:AQ117">IF(AP117="","",AP117*INDEX(Справочники!$B$4:$B$7,MATCH("RUB",Справочники!$A$4:$A$7,0)))</f>
        <v/>
      </c>
      <c r="AR117" s="90" t="str">
        <f aca="false">IF(AQ117="","",ROUND(AQ117*(1+Справочники!$B$12),0))</f>
        <v/>
      </c>
      <c r="AS117" s="90" t="str">
        <f aca="false">IF(AR117="","",ROUND(AR117*(1-Справочники!$B$11),0))</f>
        <v/>
      </c>
      <c r="AT117" s="88"/>
      <c r="AU117" s="90" t="str">
        <f aca="false">IF(AT117="","",ROUND(AT117/(1+Справочники!$B$12),0))</f>
        <v/>
      </c>
      <c r="AV117" s="90" t="str">
        <f aca="false">IF(AT117="","",ROUND(AT117*(1-Справочники!$B$15),0))</f>
        <v/>
      </c>
      <c r="AW117" s="90" t="str">
        <f aca="false">IF(AT117="","",ROUND(AT117*(1-Справочники!$B$16),0))</f>
        <v/>
      </c>
      <c r="AX117" s="90" t="str">
        <f aca="false">IF(AT117="","",ROUND(AT117*(1-Справочники!$B$17),0))</f>
        <v/>
      </c>
      <c r="AY117" s="90" t="str">
        <f aca="false">IF(AT117="","",ROUND(AT117*(1-Справочники!$B$18),0))</f>
        <v/>
      </c>
      <c r="AZ117" s="90" t="str">
        <f aca="false">IF(AT117="","",ROUND(AT117*(1-Справочники!$B$19),0))</f>
        <v/>
      </c>
      <c r="BA117" s="81"/>
      <c r="BB117" s="81"/>
      <c r="BC117" s="81"/>
      <c r="BD117" s="81"/>
      <c r="BE117" s="91"/>
      <c r="BF117" s="81" t="s">
        <v>103</v>
      </c>
      <c r="BG117" s="89" t="n">
        <f aca="false" t="array" ref="BG117:BG117">IF(BF117="","",IFERROR(INDEX(Справочники!$B$4:$B$7,MATCH(BF117,Справочники!$A$4:$A$7,0)),""))</f>
        <v>68.5</v>
      </c>
      <c r="BH117" s="90" t="str">
        <f aca="false">IF(N(BN117)&gt;0,ROUND(SUMIF(ЗАКАЗЫ!$F$3:$F$500,$A117,ЗАКАЗЫ!$Y$3:$Y$500)/BN117,0),IF(OR(BE117="",BG117=""),"",ROUND(BE117*BG117*(1+Справочники!$B$10),0)))</f>
        <v/>
      </c>
      <c r="BI117" s="92" t="str">
        <f aca="false">IF(OR(AU117="",BH117="",AU117=0),"",(AU117-BH117)/AU117)</f>
        <v/>
      </c>
      <c r="BJ117" s="81"/>
      <c r="BK117" s="83"/>
      <c r="BL117" s="43" t="str">
        <f aca="false">IFERROR(INDEX(ЗАКАЗЫ!$N$3:$N$500,MATCH($A117,ЗАКАЗЫ!$F$3:$F$500,0)),"")</f>
        <v/>
      </c>
      <c r="BM117" s="8" t="str">
        <f aca="false">IF(BL117="","",IFERROR(VLOOKUP(BL117,'ТН ВЭД'!$A$4:$C$40,3,0),""))</f>
        <v/>
      </c>
      <c r="BN117" s="7" t="str">
        <f aca="false">IF(COUNTIF(ЗАКАЗЫ!$F$3:$F$500,$A117)=0,"",SUMIF(ЗАКАЗЫ!$F$3:$F$500,$A117,ЗАКАЗЫ!$J$3:$J$500))</f>
        <v/>
      </c>
      <c r="BO117" s="7" t="str">
        <f aca="false">IF(BN117="","",SUMIF(ЗАКАЗЫ!$F$3:$F$500,$A117,ЗАКАЗЫ!$AL$3:$AL$500))</f>
        <v/>
      </c>
      <c r="BP117" s="7" t="str">
        <f aca="false">IF(BN117="","",BN117-BO117)</f>
        <v/>
      </c>
      <c r="BQ117" s="55" t="str">
        <f aca="false">IF(BN117="","",IF(BO117&gt;=BN117,"На складе",IF(BO117&gt;0,"Частично","Ждём")))</f>
        <v/>
      </c>
      <c r="BR117" s="43"/>
      <c r="BS117" s="47" t="str">
        <f aca="false">IF(BN117="","",IF(_xlfn.MAXIFS(ЗАКАЗЫ!$AK$3:$AK$500,ЗАКАЗЫ!$F$3:$F$500,$A117)=0,"",_xlfn.MAXIFS(ЗАКАЗЫ!$AK$3:$AK$500,ЗАКАЗЫ!$F$3:$F$500,$A117)))</f>
        <v/>
      </c>
    </row>
    <row r="118" customFormat="false" ht="15.75" hidden="false" customHeight="true" outlineLevel="0" collapsed="false">
      <c r="A118" s="80" t="s">
        <v>3029</v>
      </c>
      <c r="B118" s="81"/>
      <c r="C118" s="81"/>
      <c r="D118" s="81"/>
      <c r="E118" s="83"/>
      <c r="F118" s="81"/>
      <c r="G118" s="83"/>
      <c r="H118" s="83"/>
      <c r="I118" s="84" t="str">
        <f aca="false">IF(E118="","",A118&amp;"_1.jpg")</f>
        <v/>
      </c>
      <c r="J118" s="84" t="str">
        <f aca="false">IF(E118="","",A118&amp;"_2.jpg; "&amp;A118&amp;"_3.jpg")</f>
        <v/>
      </c>
      <c r="K118" s="84" t="str">
        <f aca="false">IF(E118="","",A118&amp;"_schema.jpg")</f>
        <v/>
      </c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 t="s">
        <v>96</v>
      </c>
      <c r="W118" s="81"/>
      <c r="X118" s="81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6" t="str">
        <f aca="false">IF(SUM(Y118:AJ118)=0,"",SUM(Y118:AJ118))</f>
        <v/>
      </c>
      <c r="AL118" s="84" t="str">
        <f aca="false">MID(IF(N(Y118)&gt;0,", "&amp;Y$2,"")&amp;IF(N(Z118)&gt;0,", "&amp;Z$2,"")&amp;IF(N(AA118)&gt;0,", "&amp;AA$2,"")&amp;IF(N(AB118)&gt;0,", "&amp;AB$2,"")&amp;IF(N(AC118)&gt;0,", "&amp;AC$2,"")&amp;IF(N(AD118)&gt;0,", "&amp;AD$2,"")&amp;IF(N(AE118)&gt;0,", "&amp;AE$2,"")&amp;IF(N(AF118)&gt;0,", "&amp;AF$2,"")&amp;IF(N(AG118)&gt;0,", "&amp;AG$2,"")&amp;IF(N(AH118)&gt;0,", "&amp;AH$2,"")&amp;IF(N(AI118)&gt;0,", "&amp;AI$2,"")&amp;IF(N(AJ118)&gt;0,", "&amp;AJ$2,""),3,999)</f>
        <v/>
      </c>
      <c r="AM118" s="87" t="str">
        <f aca="false">IF(E118="","",MID(IF(N(Y118)&gt;0,", "&amp;A118&amp;"-"&amp;Y$2,"")&amp;IF(N(Z118)&gt;0,", "&amp;A118&amp;"-"&amp;Z$2,"")&amp;IF(N(AA118)&gt;0,", "&amp;A118&amp;"-"&amp;AA$2,"")&amp;IF(N(AB118)&gt;0,", "&amp;A118&amp;"-"&amp;AB$2,"")&amp;IF(N(AC118)&gt;0,", "&amp;A118&amp;"-"&amp;AC$2,"")&amp;IF(N(AD118)&gt;0,", "&amp;A118&amp;"-"&amp;AD$2,"")&amp;IF(N(AE118)&gt;0,", "&amp;A118&amp;"-"&amp;AE$2,"")&amp;IF(N(AF118)&gt;0,", "&amp;A118&amp;"-"&amp;AF$2,"")&amp;IF(N(AG118)&gt;0,", "&amp;A118&amp;"-"&amp;AG$2,"")&amp;IF(N(AH118)&gt;0,", "&amp;A118&amp;"-"&amp;AH$2,"")&amp;IF(N(AI118)&gt;0,", "&amp;A118&amp;"-"&amp;AI$2,"")&amp;IF(N(AJ118)&gt;0,", "&amp;A118&amp;"-"&amp;AJ$2,""),3,999))</f>
        <v/>
      </c>
      <c r="AN118" s="81"/>
      <c r="AO118" s="88"/>
      <c r="AP118" s="89" t="str">
        <f aca="false">IF(AO118="","",ROUND(AO118/(1+Справочники!$B$13),2))</f>
        <v/>
      </c>
      <c r="AQ118" s="90" t="str">
        <f aca="false" t="array" ref="AQ118:AQ118">IF(AP118="","",AP118*INDEX(Справочники!$B$4:$B$7,MATCH("RUB",Справочники!$A$4:$A$7,0)))</f>
        <v/>
      </c>
      <c r="AR118" s="90" t="str">
        <f aca="false">IF(AQ118="","",ROUND(AQ118*(1+Справочники!$B$12),0))</f>
        <v/>
      </c>
      <c r="AS118" s="90" t="str">
        <f aca="false">IF(AR118="","",ROUND(AR118*(1-Справочники!$B$11),0))</f>
        <v/>
      </c>
      <c r="AT118" s="88"/>
      <c r="AU118" s="90" t="str">
        <f aca="false">IF(AT118="","",ROUND(AT118/(1+Справочники!$B$12),0))</f>
        <v/>
      </c>
      <c r="AV118" s="90" t="str">
        <f aca="false">IF(AT118="","",ROUND(AT118*(1-Справочники!$B$15),0))</f>
        <v/>
      </c>
      <c r="AW118" s="90" t="str">
        <f aca="false">IF(AT118="","",ROUND(AT118*(1-Справочники!$B$16),0))</f>
        <v/>
      </c>
      <c r="AX118" s="90" t="str">
        <f aca="false">IF(AT118="","",ROUND(AT118*(1-Справочники!$B$17),0))</f>
        <v/>
      </c>
      <c r="AY118" s="90" t="str">
        <f aca="false">IF(AT118="","",ROUND(AT118*(1-Справочники!$B$18),0))</f>
        <v/>
      </c>
      <c r="AZ118" s="90" t="str">
        <f aca="false">IF(AT118="","",ROUND(AT118*(1-Справочники!$B$19),0))</f>
        <v/>
      </c>
      <c r="BA118" s="81"/>
      <c r="BB118" s="81"/>
      <c r="BC118" s="81"/>
      <c r="BD118" s="81"/>
      <c r="BE118" s="91"/>
      <c r="BF118" s="81" t="s">
        <v>103</v>
      </c>
      <c r="BG118" s="89" t="n">
        <f aca="false" t="array" ref="BG118:BG118">IF(BF118="","",IFERROR(INDEX(Справочники!$B$4:$B$7,MATCH(BF118,Справочники!$A$4:$A$7,0)),""))</f>
        <v>68.5</v>
      </c>
      <c r="BH118" s="90" t="str">
        <f aca="false">IF(N(BN118)&gt;0,ROUND(SUMIF(ЗАКАЗЫ!$F$3:$F$500,$A118,ЗАКАЗЫ!$Y$3:$Y$500)/BN118,0),IF(OR(BE118="",BG118=""),"",ROUND(BE118*BG118*(1+Справочники!$B$10),0)))</f>
        <v/>
      </c>
      <c r="BI118" s="92" t="str">
        <f aca="false">IF(OR(AU118="",BH118="",AU118=0),"",(AU118-BH118)/AU118)</f>
        <v/>
      </c>
      <c r="BJ118" s="81"/>
      <c r="BK118" s="83"/>
      <c r="BL118" s="43" t="str">
        <f aca="false">IFERROR(INDEX(ЗАКАЗЫ!$N$3:$N$500,MATCH($A118,ЗАКАЗЫ!$F$3:$F$500,0)),"")</f>
        <v/>
      </c>
      <c r="BM118" s="8" t="str">
        <f aca="false">IF(BL118="","",IFERROR(VLOOKUP(BL118,'ТН ВЭД'!$A$4:$C$40,3,0),""))</f>
        <v/>
      </c>
      <c r="BN118" s="7" t="str">
        <f aca="false">IF(COUNTIF(ЗАКАЗЫ!$F$3:$F$500,$A118)=0,"",SUMIF(ЗАКАЗЫ!$F$3:$F$500,$A118,ЗАКАЗЫ!$J$3:$J$500))</f>
        <v/>
      </c>
      <c r="BO118" s="7" t="str">
        <f aca="false">IF(BN118="","",SUMIF(ЗАКАЗЫ!$F$3:$F$500,$A118,ЗАКАЗЫ!$AL$3:$AL$500))</f>
        <v/>
      </c>
      <c r="BP118" s="7" t="str">
        <f aca="false">IF(BN118="","",BN118-BO118)</f>
        <v/>
      </c>
      <c r="BQ118" s="55" t="str">
        <f aca="false">IF(BN118="","",IF(BO118&gt;=BN118,"На складе",IF(BO118&gt;0,"Частично","Ждём")))</f>
        <v/>
      </c>
      <c r="BR118" s="43"/>
      <c r="BS118" s="47" t="str">
        <f aca="false">IF(BN118="","",IF(_xlfn.MAXIFS(ЗАКАЗЫ!$AK$3:$AK$500,ЗАКАЗЫ!$F$3:$F$500,$A118)=0,"",_xlfn.MAXIFS(ЗАКАЗЫ!$AK$3:$AK$500,ЗАКАЗЫ!$F$3:$F$500,$A118)))</f>
        <v/>
      </c>
    </row>
    <row r="119" customFormat="false" ht="15.75" hidden="false" customHeight="true" outlineLevel="0" collapsed="false">
      <c r="A119" s="80" t="s">
        <v>3030</v>
      </c>
      <c r="B119" s="81"/>
      <c r="C119" s="81"/>
      <c r="D119" s="81"/>
      <c r="E119" s="83"/>
      <c r="F119" s="81"/>
      <c r="G119" s="83"/>
      <c r="H119" s="83"/>
      <c r="I119" s="84" t="str">
        <f aca="false">IF(E119="","",A119&amp;"_1.jpg")</f>
        <v/>
      </c>
      <c r="J119" s="84" t="str">
        <f aca="false">IF(E119="","",A119&amp;"_2.jpg; "&amp;A119&amp;"_3.jpg")</f>
        <v/>
      </c>
      <c r="K119" s="84" t="str">
        <f aca="false">IF(E119="","",A119&amp;"_schema.jpg")</f>
        <v/>
      </c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 t="s">
        <v>96</v>
      </c>
      <c r="W119" s="81"/>
      <c r="X119" s="81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6" t="str">
        <f aca="false">IF(SUM(Y119:AJ119)=0,"",SUM(Y119:AJ119))</f>
        <v/>
      </c>
      <c r="AL119" s="84" t="str">
        <f aca="false">MID(IF(N(Y119)&gt;0,", "&amp;Y$2,"")&amp;IF(N(Z119)&gt;0,", "&amp;Z$2,"")&amp;IF(N(AA119)&gt;0,", "&amp;AA$2,"")&amp;IF(N(AB119)&gt;0,", "&amp;AB$2,"")&amp;IF(N(AC119)&gt;0,", "&amp;AC$2,"")&amp;IF(N(AD119)&gt;0,", "&amp;AD$2,"")&amp;IF(N(AE119)&gt;0,", "&amp;AE$2,"")&amp;IF(N(AF119)&gt;0,", "&amp;AF$2,"")&amp;IF(N(AG119)&gt;0,", "&amp;AG$2,"")&amp;IF(N(AH119)&gt;0,", "&amp;AH$2,"")&amp;IF(N(AI119)&gt;0,", "&amp;AI$2,"")&amp;IF(N(AJ119)&gt;0,", "&amp;AJ$2,""),3,999)</f>
        <v/>
      </c>
      <c r="AM119" s="87" t="str">
        <f aca="false">IF(E119="","",MID(IF(N(Y119)&gt;0,", "&amp;A119&amp;"-"&amp;Y$2,"")&amp;IF(N(Z119)&gt;0,", "&amp;A119&amp;"-"&amp;Z$2,"")&amp;IF(N(AA119)&gt;0,", "&amp;A119&amp;"-"&amp;AA$2,"")&amp;IF(N(AB119)&gt;0,", "&amp;A119&amp;"-"&amp;AB$2,"")&amp;IF(N(AC119)&gt;0,", "&amp;A119&amp;"-"&amp;AC$2,"")&amp;IF(N(AD119)&gt;0,", "&amp;A119&amp;"-"&amp;AD$2,"")&amp;IF(N(AE119)&gt;0,", "&amp;A119&amp;"-"&amp;AE$2,"")&amp;IF(N(AF119)&gt;0,", "&amp;A119&amp;"-"&amp;AF$2,"")&amp;IF(N(AG119)&gt;0,", "&amp;A119&amp;"-"&amp;AG$2,"")&amp;IF(N(AH119)&gt;0,", "&amp;A119&amp;"-"&amp;AH$2,"")&amp;IF(N(AI119)&gt;0,", "&amp;A119&amp;"-"&amp;AI$2,"")&amp;IF(N(AJ119)&gt;0,", "&amp;A119&amp;"-"&amp;AJ$2,""),3,999))</f>
        <v/>
      </c>
      <c r="AN119" s="81"/>
      <c r="AO119" s="88"/>
      <c r="AP119" s="89" t="str">
        <f aca="false">IF(AO119="","",ROUND(AO119/(1+Справочники!$B$13),2))</f>
        <v/>
      </c>
      <c r="AQ119" s="90" t="str">
        <f aca="false" t="array" ref="AQ119:AQ119">IF(AP119="","",AP119*INDEX(Справочники!$B$4:$B$7,MATCH("RUB",Справочники!$A$4:$A$7,0)))</f>
        <v/>
      </c>
      <c r="AR119" s="90" t="str">
        <f aca="false">IF(AQ119="","",ROUND(AQ119*(1+Справочники!$B$12),0))</f>
        <v/>
      </c>
      <c r="AS119" s="90" t="str">
        <f aca="false">IF(AR119="","",ROUND(AR119*(1-Справочники!$B$11),0))</f>
        <v/>
      </c>
      <c r="AT119" s="88"/>
      <c r="AU119" s="90" t="str">
        <f aca="false">IF(AT119="","",ROUND(AT119/(1+Справочники!$B$12),0))</f>
        <v/>
      </c>
      <c r="AV119" s="90" t="str">
        <f aca="false">IF(AT119="","",ROUND(AT119*(1-Справочники!$B$15),0))</f>
        <v/>
      </c>
      <c r="AW119" s="90" t="str">
        <f aca="false">IF(AT119="","",ROUND(AT119*(1-Справочники!$B$16),0))</f>
        <v/>
      </c>
      <c r="AX119" s="90" t="str">
        <f aca="false">IF(AT119="","",ROUND(AT119*(1-Справочники!$B$17),0))</f>
        <v/>
      </c>
      <c r="AY119" s="90" t="str">
        <f aca="false">IF(AT119="","",ROUND(AT119*(1-Справочники!$B$18),0))</f>
        <v/>
      </c>
      <c r="AZ119" s="90" t="str">
        <f aca="false">IF(AT119="","",ROUND(AT119*(1-Справочники!$B$19),0))</f>
        <v/>
      </c>
      <c r="BA119" s="81"/>
      <c r="BB119" s="81"/>
      <c r="BC119" s="81"/>
      <c r="BD119" s="81"/>
      <c r="BE119" s="91"/>
      <c r="BF119" s="81" t="s">
        <v>103</v>
      </c>
      <c r="BG119" s="89" t="n">
        <f aca="false" t="array" ref="BG119:BG119">IF(BF119="","",IFERROR(INDEX(Справочники!$B$4:$B$7,MATCH(BF119,Справочники!$A$4:$A$7,0)),""))</f>
        <v>68.5</v>
      </c>
      <c r="BH119" s="90" t="str">
        <f aca="false">IF(N(BN119)&gt;0,ROUND(SUMIF(ЗАКАЗЫ!$F$3:$F$500,$A119,ЗАКАЗЫ!$Y$3:$Y$500)/BN119,0),IF(OR(BE119="",BG119=""),"",ROUND(BE119*BG119*(1+Справочники!$B$10),0)))</f>
        <v/>
      </c>
      <c r="BI119" s="92" t="str">
        <f aca="false">IF(OR(AU119="",BH119="",AU119=0),"",(AU119-BH119)/AU119)</f>
        <v/>
      </c>
      <c r="BJ119" s="81"/>
      <c r="BK119" s="83"/>
      <c r="BL119" s="43" t="str">
        <f aca="false">IFERROR(INDEX(ЗАКАЗЫ!$N$3:$N$500,MATCH($A119,ЗАКАЗЫ!$F$3:$F$500,0)),"")</f>
        <v/>
      </c>
      <c r="BM119" s="8" t="str">
        <f aca="false">IF(BL119="","",IFERROR(VLOOKUP(BL119,'ТН ВЭД'!$A$4:$C$40,3,0),""))</f>
        <v/>
      </c>
      <c r="BN119" s="7" t="str">
        <f aca="false">IF(COUNTIF(ЗАКАЗЫ!$F$3:$F$500,$A119)=0,"",SUMIF(ЗАКАЗЫ!$F$3:$F$500,$A119,ЗАКАЗЫ!$J$3:$J$500))</f>
        <v/>
      </c>
      <c r="BO119" s="7" t="str">
        <f aca="false">IF(BN119="","",SUMIF(ЗАКАЗЫ!$F$3:$F$500,$A119,ЗАКАЗЫ!$AL$3:$AL$500))</f>
        <v/>
      </c>
      <c r="BP119" s="7" t="str">
        <f aca="false">IF(BN119="","",BN119-BO119)</f>
        <v/>
      </c>
      <c r="BQ119" s="55" t="str">
        <f aca="false">IF(BN119="","",IF(BO119&gt;=BN119,"На складе",IF(BO119&gt;0,"Частично","Ждём")))</f>
        <v/>
      </c>
      <c r="BR119" s="43"/>
      <c r="BS119" s="47" t="str">
        <f aca="false">IF(BN119="","",IF(_xlfn.MAXIFS(ЗАКАЗЫ!$AK$3:$AK$500,ЗАКАЗЫ!$F$3:$F$500,$A119)=0,"",_xlfn.MAXIFS(ЗАКАЗЫ!$AK$3:$AK$500,ЗАКАЗЫ!$F$3:$F$500,$A119)))</f>
        <v/>
      </c>
    </row>
    <row r="120" customFormat="false" ht="15.75" hidden="false" customHeight="true" outlineLevel="0" collapsed="false">
      <c r="A120" s="80" t="s">
        <v>3031</v>
      </c>
      <c r="B120" s="81"/>
      <c r="C120" s="81"/>
      <c r="D120" s="81"/>
      <c r="E120" s="83"/>
      <c r="F120" s="81"/>
      <c r="G120" s="83"/>
      <c r="H120" s="83"/>
      <c r="I120" s="84" t="str">
        <f aca="false">IF(E120="","",A120&amp;"_1.jpg")</f>
        <v/>
      </c>
      <c r="J120" s="84" t="str">
        <f aca="false">IF(E120="","",A120&amp;"_2.jpg; "&amp;A120&amp;"_3.jpg")</f>
        <v/>
      </c>
      <c r="K120" s="84" t="str">
        <f aca="false">IF(E120="","",A120&amp;"_schema.jpg")</f>
        <v/>
      </c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 t="s">
        <v>96</v>
      </c>
      <c r="W120" s="81"/>
      <c r="X120" s="81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6" t="str">
        <f aca="false">IF(SUM(Y120:AJ120)=0,"",SUM(Y120:AJ120))</f>
        <v/>
      </c>
      <c r="AL120" s="84" t="str">
        <f aca="false">MID(IF(N(Y120)&gt;0,", "&amp;Y$2,"")&amp;IF(N(Z120)&gt;0,", "&amp;Z$2,"")&amp;IF(N(AA120)&gt;0,", "&amp;AA$2,"")&amp;IF(N(AB120)&gt;0,", "&amp;AB$2,"")&amp;IF(N(AC120)&gt;0,", "&amp;AC$2,"")&amp;IF(N(AD120)&gt;0,", "&amp;AD$2,"")&amp;IF(N(AE120)&gt;0,", "&amp;AE$2,"")&amp;IF(N(AF120)&gt;0,", "&amp;AF$2,"")&amp;IF(N(AG120)&gt;0,", "&amp;AG$2,"")&amp;IF(N(AH120)&gt;0,", "&amp;AH$2,"")&amp;IF(N(AI120)&gt;0,", "&amp;AI$2,"")&amp;IF(N(AJ120)&gt;0,", "&amp;AJ$2,""),3,999)</f>
        <v/>
      </c>
      <c r="AM120" s="87" t="str">
        <f aca="false">IF(E120="","",MID(IF(N(Y120)&gt;0,", "&amp;A120&amp;"-"&amp;Y$2,"")&amp;IF(N(Z120)&gt;0,", "&amp;A120&amp;"-"&amp;Z$2,"")&amp;IF(N(AA120)&gt;0,", "&amp;A120&amp;"-"&amp;AA$2,"")&amp;IF(N(AB120)&gt;0,", "&amp;A120&amp;"-"&amp;AB$2,"")&amp;IF(N(AC120)&gt;0,", "&amp;A120&amp;"-"&amp;AC$2,"")&amp;IF(N(AD120)&gt;0,", "&amp;A120&amp;"-"&amp;AD$2,"")&amp;IF(N(AE120)&gt;0,", "&amp;A120&amp;"-"&amp;AE$2,"")&amp;IF(N(AF120)&gt;0,", "&amp;A120&amp;"-"&amp;AF$2,"")&amp;IF(N(AG120)&gt;0,", "&amp;A120&amp;"-"&amp;AG$2,"")&amp;IF(N(AH120)&gt;0,", "&amp;A120&amp;"-"&amp;AH$2,"")&amp;IF(N(AI120)&gt;0,", "&amp;A120&amp;"-"&amp;AI$2,"")&amp;IF(N(AJ120)&gt;0,", "&amp;A120&amp;"-"&amp;AJ$2,""),3,999))</f>
        <v/>
      </c>
      <c r="AN120" s="81"/>
      <c r="AO120" s="88"/>
      <c r="AP120" s="89" t="str">
        <f aca="false">IF(AO120="","",ROUND(AO120/(1+Справочники!$B$13),2))</f>
        <v/>
      </c>
      <c r="AQ120" s="90" t="str">
        <f aca="false" t="array" ref="AQ120:AQ120">IF(AP120="","",AP120*INDEX(Справочники!$B$4:$B$7,MATCH("RUB",Справочники!$A$4:$A$7,0)))</f>
        <v/>
      </c>
      <c r="AR120" s="90" t="str">
        <f aca="false">IF(AQ120="","",ROUND(AQ120*(1+Справочники!$B$12),0))</f>
        <v/>
      </c>
      <c r="AS120" s="90" t="str">
        <f aca="false">IF(AR120="","",ROUND(AR120*(1-Справочники!$B$11),0))</f>
        <v/>
      </c>
      <c r="AT120" s="88"/>
      <c r="AU120" s="90" t="str">
        <f aca="false">IF(AT120="","",ROUND(AT120/(1+Справочники!$B$12),0))</f>
        <v/>
      </c>
      <c r="AV120" s="90" t="str">
        <f aca="false">IF(AT120="","",ROUND(AT120*(1-Справочники!$B$15),0))</f>
        <v/>
      </c>
      <c r="AW120" s="90" t="str">
        <f aca="false">IF(AT120="","",ROUND(AT120*(1-Справочники!$B$16),0))</f>
        <v/>
      </c>
      <c r="AX120" s="90" t="str">
        <f aca="false">IF(AT120="","",ROUND(AT120*(1-Справочники!$B$17),0))</f>
        <v/>
      </c>
      <c r="AY120" s="90" t="str">
        <f aca="false">IF(AT120="","",ROUND(AT120*(1-Справочники!$B$18),0))</f>
        <v/>
      </c>
      <c r="AZ120" s="90" t="str">
        <f aca="false">IF(AT120="","",ROUND(AT120*(1-Справочники!$B$19),0))</f>
        <v/>
      </c>
      <c r="BA120" s="81"/>
      <c r="BB120" s="81"/>
      <c r="BC120" s="81"/>
      <c r="BD120" s="81"/>
      <c r="BE120" s="91"/>
      <c r="BF120" s="81" t="s">
        <v>103</v>
      </c>
      <c r="BG120" s="89" t="n">
        <f aca="false" t="array" ref="BG120:BG120">IF(BF120="","",IFERROR(INDEX(Справочники!$B$4:$B$7,MATCH(BF120,Справочники!$A$4:$A$7,0)),""))</f>
        <v>68.5</v>
      </c>
      <c r="BH120" s="90" t="str">
        <f aca="false">IF(N(BN120)&gt;0,ROUND(SUMIF(ЗАКАЗЫ!$F$3:$F$500,$A120,ЗАКАЗЫ!$Y$3:$Y$500)/BN120,0),IF(OR(BE120="",BG120=""),"",ROUND(BE120*BG120*(1+Справочники!$B$10),0)))</f>
        <v/>
      </c>
      <c r="BI120" s="92" t="str">
        <f aca="false">IF(OR(AU120="",BH120="",AU120=0),"",(AU120-BH120)/AU120)</f>
        <v/>
      </c>
      <c r="BJ120" s="81"/>
      <c r="BK120" s="83"/>
      <c r="BL120" s="43" t="str">
        <f aca="false">IFERROR(INDEX(ЗАКАЗЫ!$N$3:$N$500,MATCH($A120,ЗАКАЗЫ!$F$3:$F$500,0)),"")</f>
        <v/>
      </c>
      <c r="BM120" s="8" t="str">
        <f aca="false">IF(BL120="","",IFERROR(VLOOKUP(BL120,'ТН ВЭД'!$A$4:$C$40,3,0),""))</f>
        <v/>
      </c>
      <c r="BN120" s="7" t="str">
        <f aca="false">IF(COUNTIF(ЗАКАЗЫ!$F$3:$F$500,$A120)=0,"",SUMIF(ЗАКАЗЫ!$F$3:$F$500,$A120,ЗАКАЗЫ!$J$3:$J$500))</f>
        <v/>
      </c>
      <c r="BO120" s="7" t="str">
        <f aca="false">IF(BN120="","",SUMIF(ЗАКАЗЫ!$F$3:$F$500,$A120,ЗАКАЗЫ!$AL$3:$AL$500))</f>
        <v/>
      </c>
      <c r="BP120" s="7" t="str">
        <f aca="false">IF(BN120="","",BN120-BO120)</f>
        <v/>
      </c>
      <c r="BQ120" s="55" t="str">
        <f aca="false">IF(BN120="","",IF(BO120&gt;=BN120,"На складе",IF(BO120&gt;0,"Частично","Ждём")))</f>
        <v/>
      </c>
      <c r="BR120" s="43"/>
      <c r="BS120" s="47" t="str">
        <f aca="false">IF(BN120="","",IF(_xlfn.MAXIFS(ЗАКАЗЫ!$AK$3:$AK$500,ЗАКАЗЫ!$F$3:$F$500,$A120)=0,"",_xlfn.MAXIFS(ЗАКАЗЫ!$AK$3:$AK$500,ЗАКАЗЫ!$F$3:$F$500,$A120)))</f>
        <v/>
      </c>
    </row>
    <row r="121" customFormat="false" ht="15.75" hidden="false" customHeight="true" outlineLevel="0" collapsed="false">
      <c r="A121" s="80" t="s">
        <v>3032</v>
      </c>
      <c r="B121" s="81"/>
      <c r="C121" s="81"/>
      <c r="D121" s="81"/>
      <c r="E121" s="83"/>
      <c r="F121" s="81"/>
      <c r="G121" s="83"/>
      <c r="H121" s="83"/>
      <c r="I121" s="84" t="str">
        <f aca="false">IF(E121="","",A121&amp;"_1.jpg")</f>
        <v/>
      </c>
      <c r="J121" s="84" t="str">
        <f aca="false">IF(E121="","",A121&amp;"_2.jpg; "&amp;A121&amp;"_3.jpg")</f>
        <v/>
      </c>
      <c r="K121" s="84" t="str">
        <f aca="false">IF(E121="","",A121&amp;"_schema.jpg")</f>
        <v/>
      </c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 t="s">
        <v>96</v>
      </c>
      <c r="W121" s="81"/>
      <c r="X121" s="81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6" t="str">
        <f aca="false">IF(SUM(Y121:AJ121)=0,"",SUM(Y121:AJ121))</f>
        <v/>
      </c>
      <c r="AL121" s="84" t="str">
        <f aca="false">MID(IF(N(Y121)&gt;0,", "&amp;Y$2,"")&amp;IF(N(Z121)&gt;0,", "&amp;Z$2,"")&amp;IF(N(AA121)&gt;0,", "&amp;AA$2,"")&amp;IF(N(AB121)&gt;0,", "&amp;AB$2,"")&amp;IF(N(AC121)&gt;0,", "&amp;AC$2,"")&amp;IF(N(AD121)&gt;0,", "&amp;AD$2,"")&amp;IF(N(AE121)&gt;0,", "&amp;AE$2,"")&amp;IF(N(AF121)&gt;0,", "&amp;AF$2,"")&amp;IF(N(AG121)&gt;0,", "&amp;AG$2,"")&amp;IF(N(AH121)&gt;0,", "&amp;AH$2,"")&amp;IF(N(AI121)&gt;0,", "&amp;AI$2,"")&amp;IF(N(AJ121)&gt;0,", "&amp;AJ$2,""),3,999)</f>
        <v/>
      </c>
      <c r="AM121" s="87" t="str">
        <f aca="false">IF(E121="","",MID(IF(N(Y121)&gt;0,", "&amp;A121&amp;"-"&amp;Y$2,"")&amp;IF(N(Z121)&gt;0,", "&amp;A121&amp;"-"&amp;Z$2,"")&amp;IF(N(AA121)&gt;0,", "&amp;A121&amp;"-"&amp;AA$2,"")&amp;IF(N(AB121)&gt;0,", "&amp;A121&amp;"-"&amp;AB$2,"")&amp;IF(N(AC121)&gt;0,", "&amp;A121&amp;"-"&amp;AC$2,"")&amp;IF(N(AD121)&gt;0,", "&amp;A121&amp;"-"&amp;AD$2,"")&amp;IF(N(AE121)&gt;0,", "&amp;A121&amp;"-"&amp;AE$2,"")&amp;IF(N(AF121)&gt;0,", "&amp;A121&amp;"-"&amp;AF$2,"")&amp;IF(N(AG121)&gt;0,", "&amp;A121&amp;"-"&amp;AG$2,"")&amp;IF(N(AH121)&gt;0,", "&amp;A121&amp;"-"&amp;AH$2,"")&amp;IF(N(AI121)&gt;0,", "&amp;A121&amp;"-"&amp;AI$2,"")&amp;IF(N(AJ121)&gt;0,", "&amp;A121&amp;"-"&amp;AJ$2,""),3,999))</f>
        <v/>
      </c>
      <c r="AN121" s="81"/>
      <c r="AO121" s="88"/>
      <c r="AP121" s="89" t="str">
        <f aca="false">IF(AO121="","",ROUND(AO121/(1+Справочники!$B$13),2))</f>
        <v/>
      </c>
      <c r="AQ121" s="90" t="str">
        <f aca="false" t="array" ref="AQ121:AQ121">IF(AP121="","",AP121*INDEX(Справочники!$B$4:$B$7,MATCH("RUB",Справочники!$A$4:$A$7,0)))</f>
        <v/>
      </c>
      <c r="AR121" s="90" t="str">
        <f aca="false">IF(AQ121="","",ROUND(AQ121*(1+Справочники!$B$12),0))</f>
        <v/>
      </c>
      <c r="AS121" s="90" t="str">
        <f aca="false">IF(AR121="","",ROUND(AR121*(1-Справочники!$B$11),0))</f>
        <v/>
      </c>
      <c r="AT121" s="88"/>
      <c r="AU121" s="90" t="str">
        <f aca="false">IF(AT121="","",ROUND(AT121/(1+Справочники!$B$12),0))</f>
        <v/>
      </c>
      <c r="AV121" s="90" t="str">
        <f aca="false">IF(AT121="","",ROUND(AT121*(1-Справочники!$B$15),0))</f>
        <v/>
      </c>
      <c r="AW121" s="90" t="str">
        <f aca="false">IF(AT121="","",ROUND(AT121*(1-Справочники!$B$16),0))</f>
        <v/>
      </c>
      <c r="AX121" s="90" t="str">
        <f aca="false">IF(AT121="","",ROUND(AT121*(1-Справочники!$B$17),0))</f>
        <v/>
      </c>
      <c r="AY121" s="90" t="str">
        <f aca="false">IF(AT121="","",ROUND(AT121*(1-Справочники!$B$18),0))</f>
        <v/>
      </c>
      <c r="AZ121" s="90" t="str">
        <f aca="false">IF(AT121="","",ROUND(AT121*(1-Справочники!$B$19),0))</f>
        <v/>
      </c>
      <c r="BA121" s="81"/>
      <c r="BB121" s="81"/>
      <c r="BC121" s="81"/>
      <c r="BD121" s="81"/>
      <c r="BE121" s="91"/>
      <c r="BF121" s="81" t="s">
        <v>103</v>
      </c>
      <c r="BG121" s="89" t="n">
        <f aca="false" t="array" ref="BG121:BG121">IF(BF121="","",IFERROR(INDEX(Справочники!$B$4:$B$7,MATCH(BF121,Справочники!$A$4:$A$7,0)),""))</f>
        <v>68.5</v>
      </c>
      <c r="BH121" s="90" t="str">
        <f aca="false">IF(N(BN121)&gt;0,ROUND(SUMIF(ЗАКАЗЫ!$F$3:$F$500,$A121,ЗАКАЗЫ!$Y$3:$Y$500)/BN121,0),IF(OR(BE121="",BG121=""),"",ROUND(BE121*BG121*(1+Справочники!$B$10),0)))</f>
        <v/>
      </c>
      <c r="BI121" s="92" t="str">
        <f aca="false">IF(OR(AU121="",BH121="",AU121=0),"",(AU121-BH121)/AU121)</f>
        <v/>
      </c>
      <c r="BJ121" s="81"/>
      <c r="BK121" s="83"/>
      <c r="BL121" s="43" t="str">
        <f aca="false">IFERROR(INDEX(ЗАКАЗЫ!$N$3:$N$500,MATCH($A121,ЗАКАЗЫ!$F$3:$F$500,0)),"")</f>
        <v/>
      </c>
      <c r="BM121" s="8" t="str">
        <f aca="false">IF(BL121="","",IFERROR(VLOOKUP(BL121,'ТН ВЭД'!$A$4:$C$40,3,0),""))</f>
        <v/>
      </c>
      <c r="BN121" s="7" t="str">
        <f aca="false">IF(COUNTIF(ЗАКАЗЫ!$F$3:$F$500,$A121)=0,"",SUMIF(ЗАКАЗЫ!$F$3:$F$500,$A121,ЗАКАЗЫ!$J$3:$J$500))</f>
        <v/>
      </c>
      <c r="BO121" s="7" t="str">
        <f aca="false">IF(BN121="","",SUMIF(ЗАКАЗЫ!$F$3:$F$500,$A121,ЗАКАЗЫ!$AL$3:$AL$500))</f>
        <v/>
      </c>
      <c r="BP121" s="7" t="str">
        <f aca="false">IF(BN121="","",BN121-BO121)</f>
        <v/>
      </c>
      <c r="BQ121" s="55" t="str">
        <f aca="false">IF(BN121="","",IF(BO121&gt;=BN121,"На складе",IF(BO121&gt;0,"Частично","Ждём")))</f>
        <v/>
      </c>
      <c r="BR121" s="43"/>
      <c r="BS121" s="47" t="str">
        <f aca="false">IF(BN121="","",IF(_xlfn.MAXIFS(ЗАКАЗЫ!$AK$3:$AK$500,ЗАКАЗЫ!$F$3:$F$500,$A121)=0,"",_xlfn.MAXIFS(ЗАКАЗЫ!$AK$3:$AK$500,ЗАКАЗЫ!$F$3:$F$500,$A121)))</f>
        <v/>
      </c>
    </row>
    <row r="122" customFormat="false" ht="15.75" hidden="false" customHeight="true" outlineLevel="0" collapsed="false">
      <c r="A122" s="80" t="s">
        <v>3033</v>
      </c>
      <c r="B122" s="81"/>
      <c r="C122" s="81"/>
      <c r="D122" s="81"/>
      <c r="E122" s="83"/>
      <c r="F122" s="81"/>
      <c r="G122" s="83"/>
      <c r="H122" s="83"/>
      <c r="I122" s="84" t="str">
        <f aca="false">IF(E122="","",A122&amp;"_1.jpg")</f>
        <v/>
      </c>
      <c r="J122" s="84" t="str">
        <f aca="false">IF(E122="","",A122&amp;"_2.jpg; "&amp;A122&amp;"_3.jpg")</f>
        <v/>
      </c>
      <c r="K122" s="84" t="str">
        <f aca="false">IF(E122="","",A122&amp;"_schema.jpg")</f>
        <v/>
      </c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 t="s">
        <v>96</v>
      </c>
      <c r="W122" s="81"/>
      <c r="X122" s="81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6" t="str">
        <f aca="false">IF(SUM(Y122:AJ122)=0,"",SUM(Y122:AJ122))</f>
        <v/>
      </c>
      <c r="AL122" s="84" t="str">
        <f aca="false">MID(IF(N(Y122)&gt;0,", "&amp;Y$2,"")&amp;IF(N(Z122)&gt;0,", "&amp;Z$2,"")&amp;IF(N(AA122)&gt;0,", "&amp;AA$2,"")&amp;IF(N(AB122)&gt;0,", "&amp;AB$2,"")&amp;IF(N(AC122)&gt;0,", "&amp;AC$2,"")&amp;IF(N(AD122)&gt;0,", "&amp;AD$2,"")&amp;IF(N(AE122)&gt;0,", "&amp;AE$2,"")&amp;IF(N(AF122)&gt;0,", "&amp;AF$2,"")&amp;IF(N(AG122)&gt;0,", "&amp;AG$2,"")&amp;IF(N(AH122)&gt;0,", "&amp;AH$2,"")&amp;IF(N(AI122)&gt;0,", "&amp;AI$2,"")&amp;IF(N(AJ122)&gt;0,", "&amp;AJ$2,""),3,999)</f>
        <v/>
      </c>
      <c r="AM122" s="87" t="str">
        <f aca="false">IF(E122="","",MID(IF(N(Y122)&gt;0,", "&amp;A122&amp;"-"&amp;Y$2,"")&amp;IF(N(Z122)&gt;0,", "&amp;A122&amp;"-"&amp;Z$2,"")&amp;IF(N(AA122)&gt;0,", "&amp;A122&amp;"-"&amp;AA$2,"")&amp;IF(N(AB122)&gt;0,", "&amp;A122&amp;"-"&amp;AB$2,"")&amp;IF(N(AC122)&gt;0,", "&amp;A122&amp;"-"&amp;AC$2,"")&amp;IF(N(AD122)&gt;0,", "&amp;A122&amp;"-"&amp;AD$2,"")&amp;IF(N(AE122)&gt;0,", "&amp;A122&amp;"-"&amp;AE$2,"")&amp;IF(N(AF122)&gt;0,", "&amp;A122&amp;"-"&amp;AF$2,"")&amp;IF(N(AG122)&gt;0,", "&amp;A122&amp;"-"&amp;AG$2,"")&amp;IF(N(AH122)&gt;0,", "&amp;A122&amp;"-"&amp;AH$2,"")&amp;IF(N(AI122)&gt;0,", "&amp;A122&amp;"-"&amp;AI$2,"")&amp;IF(N(AJ122)&gt;0,", "&amp;A122&amp;"-"&amp;AJ$2,""),3,999))</f>
        <v/>
      </c>
      <c r="AN122" s="81"/>
      <c r="AO122" s="88"/>
      <c r="AP122" s="89" t="str">
        <f aca="false">IF(AO122="","",ROUND(AO122/(1+Справочники!$B$13),2))</f>
        <v/>
      </c>
      <c r="AQ122" s="90" t="str">
        <f aca="false" t="array" ref="AQ122:AQ122">IF(AP122="","",AP122*INDEX(Справочники!$B$4:$B$7,MATCH("RUB",Справочники!$A$4:$A$7,0)))</f>
        <v/>
      </c>
      <c r="AR122" s="90" t="str">
        <f aca="false">IF(AQ122="","",ROUND(AQ122*(1+Справочники!$B$12),0))</f>
        <v/>
      </c>
      <c r="AS122" s="90" t="str">
        <f aca="false">IF(AR122="","",ROUND(AR122*(1-Справочники!$B$11),0))</f>
        <v/>
      </c>
      <c r="AT122" s="88"/>
      <c r="AU122" s="90" t="str">
        <f aca="false">IF(AT122="","",ROUND(AT122/(1+Справочники!$B$12),0))</f>
        <v/>
      </c>
      <c r="AV122" s="90" t="str">
        <f aca="false">IF(AT122="","",ROUND(AT122*(1-Справочники!$B$15),0))</f>
        <v/>
      </c>
      <c r="AW122" s="90" t="str">
        <f aca="false">IF(AT122="","",ROUND(AT122*(1-Справочники!$B$16),0))</f>
        <v/>
      </c>
      <c r="AX122" s="90" t="str">
        <f aca="false">IF(AT122="","",ROUND(AT122*(1-Справочники!$B$17),0))</f>
        <v/>
      </c>
      <c r="AY122" s="90" t="str">
        <f aca="false">IF(AT122="","",ROUND(AT122*(1-Справочники!$B$18),0))</f>
        <v/>
      </c>
      <c r="AZ122" s="90" t="str">
        <f aca="false">IF(AT122="","",ROUND(AT122*(1-Справочники!$B$19),0))</f>
        <v/>
      </c>
      <c r="BA122" s="81"/>
      <c r="BB122" s="81"/>
      <c r="BC122" s="81"/>
      <c r="BD122" s="81"/>
      <c r="BE122" s="91"/>
      <c r="BF122" s="81" t="s">
        <v>103</v>
      </c>
      <c r="BG122" s="89" t="n">
        <f aca="false" t="array" ref="BG122:BG122">IF(BF122="","",IFERROR(INDEX(Справочники!$B$4:$B$7,MATCH(BF122,Справочники!$A$4:$A$7,0)),""))</f>
        <v>68.5</v>
      </c>
      <c r="BH122" s="90" t="str">
        <f aca="false">IF(N(BN122)&gt;0,ROUND(SUMIF(ЗАКАЗЫ!$F$3:$F$500,$A122,ЗАКАЗЫ!$Y$3:$Y$500)/BN122,0),IF(OR(BE122="",BG122=""),"",ROUND(BE122*BG122*(1+Справочники!$B$10),0)))</f>
        <v/>
      </c>
      <c r="BI122" s="92" t="str">
        <f aca="false">IF(OR(AU122="",BH122="",AU122=0),"",(AU122-BH122)/AU122)</f>
        <v/>
      </c>
      <c r="BJ122" s="81"/>
      <c r="BK122" s="83"/>
      <c r="BL122" s="43" t="str">
        <f aca="false">IFERROR(INDEX(ЗАКАЗЫ!$N$3:$N$500,MATCH($A122,ЗАКАЗЫ!$F$3:$F$500,0)),"")</f>
        <v/>
      </c>
      <c r="BM122" s="8" t="str">
        <f aca="false">IF(BL122="","",IFERROR(VLOOKUP(BL122,'ТН ВЭД'!$A$4:$C$40,3,0),""))</f>
        <v/>
      </c>
      <c r="BN122" s="7" t="str">
        <f aca="false">IF(COUNTIF(ЗАКАЗЫ!$F$3:$F$500,$A122)=0,"",SUMIF(ЗАКАЗЫ!$F$3:$F$500,$A122,ЗАКАЗЫ!$J$3:$J$500))</f>
        <v/>
      </c>
      <c r="BO122" s="7" t="str">
        <f aca="false">IF(BN122="","",SUMIF(ЗАКАЗЫ!$F$3:$F$500,$A122,ЗАКАЗЫ!$AL$3:$AL$500))</f>
        <v/>
      </c>
      <c r="BP122" s="7" t="str">
        <f aca="false">IF(BN122="","",BN122-BO122)</f>
        <v/>
      </c>
      <c r="BQ122" s="55" t="str">
        <f aca="false">IF(BN122="","",IF(BO122&gt;=BN122,"На складе",IF(BO122&gt;0,"Частично","Ждём")))</f>
        <v/>
      </c>
      <c r="BR122" s="43"/>
      <c r="BS122" s="47" t="str">
        <f aca="false">IF(BN122="","",IF(_xlfn.MAXIFS(ЗАКАЗЫ!$AK$3:$AK$500,ЗАКАЗЫ!$F$3:$F$500,$A122)=0,"",_xlfn.MAXIFS(ЗАКАЗЫ!$AK$3:$AK$500,ЗАКАЗЫ!$F$3:$F$500,$A122)))</f>
        <v/>
      </c>
    </row>
    <row r="123" customFormat="false" ht="15.75" hidden="false" customHeight="true" outlineLevel="0" collapsed="false">
      <c r="A123" s="80" t="s">
        <v>3034</v>
      </c>
      <c r="B123" s="81"/>
      <c r="C123" s="81"/>
      <c r="D123" s="81"/>
      <c r="E123" s="83"/>
      <c r="F123" s="81"/>
      <c r="G123" s="83"/>
      <c r="H123" s="83"/>
      <c r="I123" s="84" t="str">
        <f aca="false">IF(E123="","",A123&amp;"_1.jpg")</f>
        <v/>
      </c>
      <c r="J123" s="84" t="str">
        <f aca="false">IF(E123="","",A123&amp;"_2.jpg; "&amp;A123&amp;"_3.jpg")</f>
        <v/>
      </c>
      <c r="K123" s="84" t="str">
        <f aca="false">IF(E123="","",A123&amp;"_schema.jpg")</f>
        <v/>
      </c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 t="s">
        <v>96</v>
      </c>
      <c r="W123" s="81"/>
      <c r="X123" s="81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6" t="str">
        <f aca="false">IF(SUM(Y123:AJ123)=0,"",SUM(Y123:AJ123))</f>
        <v/>
      </c>
      <c r="AL123" s="84" t="str">
        <f aca="false">MID(IF(N(Y123)&gt;0,", "&amp;Y$2,"")&amp;IF(N(Z123)&gt;0,", "&amp;Z$2,"")&amp;IF(N(AA123)&gt;0,", "&amp;AA$2,"")&amp;IF(N(AB123)&gt;0,", "&amp;AB$2,"")&amp;IF(N(AC123)&gt;0,", "&amp;AC$2,"")&amp;IF(N(AD123)&gt;0,", "&amp;AD$2,"")&amp;IF(N(AE123)&gt;0,", "&amp;AE$2,"")&amp;IF(N(AF123)&gt;0,", "&amp;AF$2,"")&amp;IF(N(AG123)&gt;0,", "&amp;AG$2,"")&amp;IF(N(AH123)&gt;0,", "&amp;AH$2,"")&amp;IF(N(AI123)&gt;0,", "&amp;AI$2,"")&amp;IF(N(AJ123)&gt;0,", "&amp;AJ$2,""),3,999)</f>
        <v/>
      </c>
      <c r="AM123" s="87" t="str">
        <f aca="false">IF(E123="","",MID(IF(N(Y123)&gt;0,", "&amp;A123&amp;"-"&amp;Y$2,"")&amp;IF(N(Z123)&gt;0,", "&amp;A123&amp;"-"&amp;Z$2,"")&amp;IF(N(AA123)&gt;0,", "&amp;A123&amp;"-"&amp;AA$2,"")&amp;IF(N(AB123)&gt;0,", "&amp;A123&amp;"-"&amp;AB$2,"")&amp;IF(N(AC123)&gt;0,", "&amp;A123&amp;"-"&amp;AC$2,"")&amp;IF(N(AD123)&gt;0,", "&amp;A123&amp;"-"&amp;AD$2,"")&amp;IF(N(AE123)&gt;0,", "&amp;A123&amp;"-"&amp;AE$2,"")&amp;IF(N(AF123)&gt;0,", "&amp;A123&amp;"-"&amp;AF$2,"")&amp;IF(N(AG123)&gt;0,", "&amp;A123&amp;"-"&amp;AG$2,"")&amp;IF(N(AH123)&gt;0,", "&amp;A123&amp;"-"&amp;AH$2,"")&amp;IF(N(AI123)&gt;0,", "&amp;A123&amp;"-"&amp;AI$2,"")&amp;IF(N(AJ123)&gt;0,", "&amp;A123&amp;"-"&amp;AJ$2,""),3,999))</f>
        <v/>
      </c>
      <c r="AN123" s="81"/>
      <c r="AO123" s="88"/>
      <c r="AP123" s="89" t="str">
        <f aca="false">IF(AO123="","",ROUND(AO123/(1+Справочники!$B$13),2))</f>
        <v/>
      </c>
      <c r="AQ123" s="90" t="str">
        <f aca="false" t="array" ref="AQ123:AQ123">IF(AP123="","",AP123*INDEX(Справочники!$B$4:$B$7,MATCH("RUB",Справочники!$A$4:$A$7,0)))</f>
        <v/>
      </c>
      <c r="AR123" s="90" t="str">
        <f aca="false">IF(AQ123="","",ROUND(AQ123*(1+Справочники!$B$12),0))</f>
        <v/>
      </c>
      <c r="AS123" s="90" t="str">
        <f aca="false">IF(AR123="","",ROUND(AR123*(1-Справочники!$B$11),0))</f>
        <v/>
      </c>
      <c r="AT123" s="88"/>
      <c r="AU123" s="90" t="str">
        <f aca="false">IF(AT123="","",ROUND(AT123/(1+Справочники!$B$12),0))</f>
        <v/>
      </c>
      <c r="AV123" s="90" t="str">
        <f aca="false">IF(AT123="","",ROUND(AT123*(1-Справочники!$B$15),0))</f>
        <v/>
      </c>
      <c r="AW123" s="90" t="str">
        <f aca="false">IF(AT123="","",ROUND(AT123*(1-Справочники!$B$16),0))</f>
        <v/>
      </c>
      <c r="AX123" s="90" t="str">
        <f aca="false">IF(AT123="","",ROUND(AT123*(1-Справочники!$B$17),0))</f>
        <v/>
      </c>
      <c r="AY123" s="90" t="str">
        <f aca="false">IF(AT123="","",ROUND(AT123*(1-Справочники!$B$18),0))</f>
        <v/>
      </c>
      <c r="AZ123" s="90" t="str">
        <f aca="false">IF(AT123="","",ROUND(AT123*(1-Справочники!$B$19),0))</f>
        <v/>
      </c>
      <c r="BA123" s="81"/>
      <c r="BB123" s="81"/>
      <c r="BC123" s="81"/>
      <c r="BD123" s="81"/>
      <c r="BE123" s="91"/>
      <c r="BF123" s="81" t="s">
        <v>103</v>
      </c>
      <c r="BG123" s="89" t="n">
        <f aca="false" t="array" ref="BG123:BG123">IF(BF123="","",IFERROR(INDEX(Справочники!$B$4:$B$7,MATCH(BF123,Справочники!$A$4:$A$7,0)),""))</f>
        <v>68.5</v>
      </c>
      <c r="BH123" s="90" t="str">
        <f aca="false">IF(N(BN123)&gt;0,ROUND(SUMIF(ЗАКАЗЫ!$F$3:$F$500,$A123,ЗАКАЗЫ!$Y$3:$Y$500)/BN123,0),IF(OR(BE123="",BG123=""),"",ROUND(BE123*BG123*(1+Справочники!$B$10),0)))</f>
        <v/>
      </c>
      <c r="BI123" s="92" t="str">
        <f aca="false">IF(OR(AU123="",BH123="",AU123=0),"",(AU123-BH123)/AU123)</f>
        <v/>
      </c>
      <c r="BJ123" s="81"/>
      <c r="BK123" s="83"/>
      <c r="BL123" s="43" t="str">
        <f aca="false">IFERROR(INDEX(ЗАКАЗЫ!$N$3:$N$500,MATCH($A123,ЗАКАЗЫ!$F$3:$F$500,0)),"")</f>
        <v/>
      </c>
      <c r="BM123" s="8" t="str">
        <f aca="false">IF(BL123="","",IFERROR(VLOOKUP(BL123,'ТН ВЭД'!$A$4:$C$40,3,0),""))</f>
        <v/>
      </c>
      <c r="BN123" s="7" t="str">
        <f aca="false">IF(COUNTIF(ЗАКАЗЫ!$F$3:$F$500,$A123)=0,"",SUMIF(ЗАКАЗЫ!$F$3:$F$500,$A123,ЗАКАЗЫ!$J$3:$J$500))</f>
        <v/>
      </c>
      <c r="BO123" s="7" t="str">
        <f aca="false">IF(BN123="","",SUMIF(ЗАКАЗЫ!$F$3:$F$500,$A123,ЗАКАЗЫ!$AL$3:$AL$500))</f>
        <v/>
      </c>
      <c r="BP123" s="7" t="str">
        <f aca="false">IF(BN123="","",BN123-BO123)</f>
        <v/>
      </c>
      <c r="BQ123" s="55" t="str">
        <f aca="false">IF(BN123="","",IF(BO123&gt;=BN123,"На складе",IF(BO123&gt;0,"Частично","Ждём")))</f>
        <v/>
      </c>
      <c r="BR123" s="43"/>
      <c r="BS123" s="47" t="str">
        <f aca="false">IF(BN123="","",IF(_xlfn.MAXIFS(ЗАКАЗЫ!$AK$3:$AK$500,ЗАКАЗЫ!$F$3:$F$500,$A123)=0,"",_xlfn.MAXIFS(ЗАКАЗЫ!$AK$3:$AK$500,ЗАКАЗЫ!$F$3:$F$500,$A123)))</f>
        <v/>
      </c>
    </row>
    <row r="124" customFormat="false" ht="15.75" hidden="false" customHeight="true" outlineLevel="0" collapsed="false">
      <c r="A124" s="80" t="s">
        <v>3035</v>
      </c>
      <c r="B124" s="81"/>
      <c r="C124" s="81"/>
      <c r="D124" s="81"/>
      <c r="E124" s="83"/>
      <c r="F124" s="81"/>
      <c r="G124" s="83"/>
      <c r="H124" s="83"/>
      <c r="I124" s="84" t="str">
        <f aca="false">IF(E124="","",A124&amp;"_1.jpg")</f>
        <v/>
      </c>
      <c r="J124" s="84" t="str">
        <f aca="false">IF(E124="","",A124&amp;"_2.jpg; "&amp;A124&amp;"_3.jpg")</f>
        <v/>
      </c>
      <c r="K124" s="84" t="str">
        <f aca="false">IF(E124="","",A124&amp;"_schema.jpg")</f>
        <v/>
      </c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 t="s">
        <v>96</v>
      </c>
      <c r="W124" s="81"/>
      <c r="X124" s="81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6" t="str">
        <f aca="false">IF(SUM(Y124:AJ124)=0,"",SUM(Y124:AJ124))</f>
        <v/>
      </c>
      <c r="AL124" s="84" t="str">
        <f aca="false">MID(IF(N(Y124)&gt;0,", "&amp;Y$2,"")&amp;IF(N(Z124)&gt;0,", "&amp;Z$2,"")&amp;IF(N(AA124)&gt;0,", "&amp;AA$2,"")&amp;IF(N(AB124)&gt;0,", "&amp;AB$2,"")&amp;IF(N(AC124)&gt;0,", "&amp;AC$2,"")&amp;IF(N(AD124)&gt;0,", "&amp;AD$2,"")&amp;IF(N(AE124)&gt;0,", "&amp;AE$2,"")&amp;IF(N(AF124)&gt;0,", "&amp;AF$2,"")&amp;IF(N(AG124)&gt;0,", "&amp;AG$2,"")&amp;IF(N(AH124)&gt;0,", "&amp;AH$2,"")&amp;IF(N(AI124)&gt;0,", "&amp;AI$2,"")&amp;IF(N(AJ124)&gt;0,", "&amp;AJ$2,""),3,999)</f>
        <v/>
      </c>
      <c r="AM124" s="87" t="str">
        <f aca="false">IF(E124="","",MID(IF(N(Y124)&gt;0,", "&amp;A124&amp;"-"&amp;Y$2,"")&amp;IF(N(Z124)&gt;0,", "&amp;A124&amp;"-"&amp;Z$2,"")&amp;IF(N(AA124)&gt;0,", "&amp;A124&amp;"-"&amp;AA$2,"")&amp;IF(N(AB124)&gt;0,", "&amp;A124&amp;"-"&amp;AB$2,"")&amp;IF(N(AC124)&gt;0,", "&amp;A124&amp;"-"&amp;AC$2,"")&amp;IF(N(AD124)&gt;0,", "&amp;A124&amp;"-"&amp;AD$2,"")&amp;IF(N(AE124)&gt;0,", "&amp;A124&amp;"-"&amp;AE$2,"")&amp;IF(N(AF124)&gt;0,", "&amp;A124&amp;"-"&amp;AF$2,"")&amp;IF(N(AG124)&gt;0,", "&amp;A124&amp;"-"&amp;AG$2,"")&amp;IF(N(AH124)&gt;0,", "&amp;A124&amp;"-"&amp;AH$2,"")&amp;IF(N(AI124)&gt;0,", "&amp;A124&amp;"-"&amp;AI$2,"")&amp;IF(N(AJ124)&gt;0,", "&amp;A124&amp;"-"&amp;AJ$2,""),3,999))</f>
        <v/>
      </c>
      <c r="AN124" s="81"/>
      <c r="AO124" s="88"/>
      <c r="AP124" s="89" t="str">
        <f aca="false">IF(AO124="","",ROUND(AO124/(1+Справочники!$B$13),2))</f>
        <v/>
      </c>
      <c r="AQ124" s="90" t="str">
        <f aca="false" t="array" ref="AQ124:AQ124">IF(AP124="","",AP124*INDEX(Справочники!$B$4:$B$7,MATCH("RUB",Справочники!$A$4:$A$7,0)))</f>
        <v/>
      </c>
      <c r="AR124" s="90" t="str">
        <f aca="false">IF(AQ124="","",ROUND(AQ124*(1+Справочники!$B$12),0))</f>
        <v/>
      </c>
      <c r="AS124" s="90" t="str">
        <f aca="false">IF(AR124="","",ROUND(AR124*(1-Справочники!$B$11),0))</f>
        <v/>
      </c>
      <c r="AT124" s="88"/>
      <c r="AU124" s="90" t="str">
        <f aca="false">IF(AT124="","",ROUND(AT124/(1+Справочники!$B$12),0))</f>
        <v/>
      </c>
      <c r="AV124" s="90" t="str">
        <f aca="false">IF(AT124="","",ROUND(AT124*(1-Справочники!$B$15),0))</f>
        <v/>
      </c>
      <c r="AW124" s="90" t="str">
        <f aca="false">IF(AT124="","",ROUND(AT124*(1-Справочники!$B$16),0))</f>
        <v/>
      </c>
      <c r="AX124" s="90" t="str">
        <f aca="false">IF(AT124="","",ROUND(AT124*(1-Справочники!$B$17),0))</f>
        <v/>
      </c>
      <c r="AY124" s="90" t="str">
        <f aca="false">IF(AT124="","",ROUND(AT124*(1-Справочники!$B$18),0))</f>
        <v/>
      </c>
      <c r="AZ124" s="90" t="str">
        <f aca="false">IF(AT124="","",ROUND(AT124*(1-Справочники!$B$19),0))</f>
        <v/>
      </c>
      <c r="BA124" s="81"/>
      <c r="BB124" s="81"/>
      <c r="BC124" s="81"/>
      <c r="BD124" s="81"/>
      <c r="BE124" s="91"/>
      <c r="BF124" s="81" t="s">
        <v>103</v>
      </c>
      <c r="BG124" s="89" t="n">
        <f aca="false" t="array" ref="BG124:BG124">IF(BF124="","",IFERROR(INDEX(Справочники!$B$4:$B$7,MATCH(BF124,Справочники!$A$4:$A$7,0)),""))</f>
        <v>68.5</v>
      </c>
      <c r="BH124" s="90" t="str">
        <f aca="false">IF(N(BN124)&gt;0,ROUND(SUMIF(ЗАКАЗЫ!$F$3:$F$500,$A124,ЗАКАЗЫ!$Y$3:$Y$500)/BN124,0),IF(OR(BE124="",BG124=""),"",ROUND(BE124*BG124*(1+Справочники!$B$10),0)))</f>
        <v/>
      </c>
      <c r="BI124" s="92" t="str">
        <f aca="false">IF(OR(AU124="",BH124="",AU124=0),"",(AU124-BH124)/AU124)</f>
        <v/>
      </c>
      <c r="BJ124" s="81"/>
      <c r="BK124" s="83"/>
      <c r="BL124" s="43" t="str">
        <f aca="false">IFERROR(INDEX(ЗАКАЗЫ!$N$3:$N$500,MATCH($A124,ЗАКАЗЫ!$F$3:$F$500,0)),"")</f>
        <v/>
      </c>
      <c r="BM124" s="8" t="str">
        <f aca="false">IF(BL124="","",IFERROR(VLOOKUP(BL124,'ТН ВЭД'!$A$4:$C$40,3,0),""))</f>
        <v/>
      </c>
      <c r="BN124" s="7" t="str">
        <f aca="false">IF(COUNTIF(ЗАКАЗЫ!$F$3:$F$500,$A124)=0,"",SUMIF(ЗАКАЗЫ!$F$3:$F$500,$A124,ЗАКАЗЫ!$J$3:$J$500))</f>
        <v/>
      </c>
      <c r="BO124" s="7" t="str">
        <f aca="false">IF(BN124="","",SUMIF(ЗАКАЗЫ!$F$3:$F$500,$A124,ЗАКАЗЫ!$AL$3:$AL$500))</f>
        <v/>
      </c>
      <c r="BP124" s="7" t="str">
        <f aca="false">IF(BN124="","",BN124-BO124)</f>
        <v/>
      </c>
      <c r="BQ124" s="55" t="str">
        <f aca="false">IF(BN124="","",IF(BO124&gt;=BN124,"На складе",IF(BO124&gt;0,"Частично","Ждём")))</f>
        <v/>
      </c>
      <c r="BR124" s="43"/>
      <c r="BS124" s="47" t="str">
        <f aca="false">IF(BN124="","",IF(_xlfn.MAXIFS(ЗАКАЗЫ!$AK$3:$AK$500,ЗАКАЗЫ!$F$3:$F$500,$A124)=0,"",_xlfn.MAXIFS(ЗАКАЗЫ!$AK$3:$AK$500,ЗАКАЗЫ!$F$3:$F$500,$A124)))</f>
        <v/>
      </c>
    </row>
    <row r="125" customFormat="false" ht="15.75" hidden="false" customHeight="true" outlineLevel="0" collapsed="false">
      <c r="A125" s="80" t="s">
        <v>3036</v>
      </c>
      <c r="B125" s="81"/>
      <c r="C125" s="81"/>
      <c r="D125" s="81"/>
      <c r="E125" s="83"/>
      <c r="F125" s="81"/>
      <c r="G125" s="83"/>
      <c r="H125" s="83"/>
      <c r="I125" s="84" t="str">
        <f aca="false">IF(E125="","",A125&amp;"_1.jpg")</f>
        <v/>
      </c>
      <c r="J125" s="84" t="str">
        <f aca="false">IF(E125="","",A125&amp;"_2.jpg; "&amp;A125&amp;"_3.jpg")</f>
        <v/>
      </c>
      <c r="K125" s="84" t="str">
        <f aca="false">IF(E125="","",A125&amp;"_schema.jpg")</f>
        <v/>
      </c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 t="s">
        <v>96</v>
      </c>
      <c r="W125" s="81"/>
      <c r="X125" s="81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6" t="str">
        <f aca="false">IF(SUM(Y125:AJ125)=0,"",SUM(Y125:AJ125))</f>
        <v/>
      </c>
      <c r="AL125" s="84" t="str">
        <f aca="false">MID(IF(N(Y125)&gt;0,", "&amp;Y$2,"")&amp;IF(N(Z125)&gt;0,", "&amp;Z$2,"")&amp;IF(N(AA125)&gt;0,", "&amp;AA$2,"")&amp;IF(N(AB125)&gt;0,", "&amp;AB$2,"")&amp;IF(N(AC125)&gt;0,", "&amp;AC$2,"")&amp;IF(N(AD125)&gt;0,", "&amp;AD$2,"")&amp;IF(N(AE125)&gt;0,", "&amp;AE$2,"")&amp;IF(N(AF125)&gt;0,", "&amp;AF$2,"")&amp;IF(N(AG125)&gt;0,", "&amp;AG$2,"")&amp;IF(N(AH125)&gt;0,", "&amp;AH$2,"")&amp;IF(N(AI125)&gt;0,", "&amp;AI$2,"")&amp;IF(N(AJ125)&gt;0,", "&amp;AJ$2,""),3,999)</f>
        <v/>
      </c>
      <c r="AM125" s="87" t="str">
        <f aca="false">IF(E125="","",MID(IF(N(Y125)&gt;0,", "&amp;A125&amp;"-"&amp;Y$2,"")&amp;IF(N(Z125)&gt;0,", "&amp;A125&amp;"-"&amp;Z$2,"")&amp;IF(N(AA125)&gt;0,", "&amp;A125&amp;"-"&amp;AA$2,"")&amp;IF(N(AB125)&gt;0,", "&amp;A125&amp;"-"&amp;AB$2,"")&amp;IF(N(AC125)&gt;0,", "&amp;A125&amp;"-"&amp;AC$2,"")&amp;IF(N(AD125)&gt;0,", "&amp;A125&amp;"-"&amp;AD$2,"")&amp;IF(N(AE125)&gt;0,", "&amp;A125&amp;"-"&amp;AE$2,"")&amp;IF(N(AF125)&gt;0,", "&amp;A125&amp;"-"&amp;AF$2,"")&amp;IF(N(AG125)&gt;0,", "&amp;A125&amp;"-"&amp;AG$2,"")&amp;IF(N(AH125)&gt;0,", "&amp;A125&amp;"-"&amp;AH$2,"")&amp;IF(N(AI125)&gt;0,", "&amp;A125&amp;"-"&amp;AI$2,"")&amp;IF(N(AJ125)&gt;0,", "&amp;A125&amp;"-"&amp;AJ$2,""),3,999))</f>
        <v/>
      </c>
      <c r="AN125" s="81"/>
      <c r="AO125" s="88"/>
      <c r="AP125" s="89" t="str">
        <f aca="false">IF(AO125="","",ROUND(AO125/(1+Справочники!$B$13),2))</f>
        <v/>
      </c>
      <c r="AQ125" s="90" t="str">
        <f aca="false" t="array" ref="AQ125:AQ125">IF(AP125="","",AP125*INDEX(Справочники!$B$4:$B$7,MATCH("RUB",Справочники!$A$4:$A$7,0)))</f>
        <v/>
      </c>
      <c r="AR125" s="90" t="str">
        <f aca="false">IF(AQ125="","",ROUND(AQ125*(1+Справочники!$B$12),0))</f>
        <v/>
      </c>
      <c r="AS125" s="90" t="str">
        <f aca="false">IF(AR125="","",ROUND(AR125*(1-Справочники!$B$11),0))</f>
        <v/>
      </c>
      <c r="AT125" s="88"/>
      <c r="AU125" s="90" t="str">
        <f aca="false">IF(AT125="","",ROUND(AT125/(1+Справочники!$B$12),0))</f>
        <v/>
      </c>
      <c r="AV125" s="90" t="str">
        <f aca="false">IF(AT125="","",ROUND(AT125*(1-Справочники!$B$15),0))</f>
        <v/>
      </c>
      <c r="AW125" s="90" t="str">
        <f aca="false">IF(AT125="","",ROUND(AT125*(1-Справочники!$B$16),0))</f>
        <v/>
      </c>
      <c r="AX125" s="90" t="str">
        <f aca="false">IF(AT125="","",ROUND(AT125*(1-Справочники!$B$17),0))</f>
        <v/>
      </c>
      <c r="AY125" s="90" t="str">
        <f aca="false">IF(AT125="","",ROUND(AT125*(1-Справочники!$B$18),0))</f>
        <v/>
      </c>
      <c r="AZ125" s="90" t="str">
        <f aca="false">IF(AT125="","",ROUND(AT125*(1-Справочники!$B$19),0))</f>
        <v/>
      </c>
      <c r="BA125" s="81"/>
      <c r="BB125" s="81"/>
      <c r="BC125" s="81"/>
      <c r="BD125" s="81"/>
      <c r="BE125" s="91"/>
      <c r="BF125" s="81" t="s">
        <v>103</v>
      </c>
      <c r="BG125" s="89" t="n">
        <f aca="false" t="array" ref="BG125:BG125">IF(BF125="","",IFERROR(INDEX(Справочники!$B$4:$B$7,MATCH(BF125,Справочники!$A$4:$A$7,0)),""))</f>
        <v>68.5</v>
      </c>
      <c r="BH125" s="90" t="str">
        <f aca="false">IF(N(BN125)&gt;0,ROUND(SUMIF(ЗАКАЗЫ!$F$3:$F$500,$A125,ЗАКАЗЫ!$Y$3:$Y$500)/BN125,0),IF(OR(BE125="",BG125=""),"",ROUND(BE125*BG125*(1+Справочники!$B$10),0)))</f>
        <v/>
      </c>
      <c r="BI125" s="92" t="str">
        <f aca="false">IF(OR(AU125="",BH125="",AU125=0),"",(AU125-BH125)/AU125)</f>
        <v/>
      </c>
      <c r="BJ125" s="81"/>
      <c r="BK125" s="83"/>
      <c r="BL125" s="43" t="str">
        <f aca="false">IFERROR(INDEX(ЗАКАЗЫ!$N$3:$N$500,MATCH($A125,ЗАКАЗЫ!$F$3:$F$500,0)),"")</f>
        <v/>
      </c>
      <c r="BM125" s="8" t="str">
        <f aca="false">IF(BL125="","",IFERROR(VLOOKUP(BL125,'ТН ВЭД'!$A$4:$C$40,3,0),""))</f>
        <v/>
      </c>
      <c r="BN125" s="7" t="str">
        <f aca="false">IF(COUNTIF(ЗАКАЗЫ!$F$3:$F$500,$A125)=0,"",SUMIF(ЗАКАЗЫ!$F$3:$F$500,$A125,ЗАКАЗЫ!$J$3:$J$500))</f>
        <v/>
      </c>
      <c r="BO125" s="7" t="str">
        <f aca="false">IF(BN125="","",SUMIF(ЗАКАЗЫ!$F$3:$F$500,$A125,ЗАКАЗЫ!$AL$3:$AL$500))</f>
        <v/>
      </c>
      <c r="BP125" s="7" t="str">
        <f aca="false">IF(BN125="","",BN125-BO125)</f>
        <v/>
      </c>
      <c r="BQ125" s="55" t="str">
        <f aca="false">IF(BN125="","",IF(BO125&gt;=BN125,"На складе",IF(BO125&gt;0,"Частично","Ждём")))</f>
        <v/>
      </c>
      <c r="BR125" s="43"/>
      <c r="BS125" s="47" t="str">
        <f aca="false">IF(BN125="","",IF(_xlfn.MAXIFS(ЗАКАЗЫ!$AK$3:$AK$500,ЗАКАЗЫ!$F$3:$F$500,$A125)=0,"",_xlfn.MAXIFS(ЗАКАЗЫ!$AK$3:$AK$500,ЗАКАЗЫ!$F$3:$F$500,$A125)))</f>
        <v/>
      </c>
    </row>
    <row r="126" customFormat="false" ht="15.75" hidden="false" customHeight="true" outlineLevel="0" collapsed="false">
      <c r="A126" s="80" t="s">
        <v>3037</v>
      </c>
      <c r="B126" s="81"/>
      <c r="C126" s="81"/>
      <c r="D126" s="81"/>
      <c r="E126" s="83"/>
      <c r="F126" s="81"/>
      <c r="G126" s="83"/>
      <c r="H126" s="83"/>
      <c r="I126" s="84" t="str">
        <f aca="false">IF(E126="","",A126&amp;"_1.jpg")</f>
        <v/>
      </c>
      <c r="J126" s="84" t="str">
        <f aca="false">IF(E126="","",A126&amp;"_2.jpg; "&amp;A126&amp;"_3.jpg")</f>
        <v/>
      </c>
      <c r="K126" s="84" t="str">
        <f aca="false">IF(E126="","",A126&amp;"_schema.jpg")</f>
        <v/>
      </c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 t="s">
        <v>96</v>
      </c>
      <c r="W126" s="81"/>
      <c r="X126" s="81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6" t="str">
        <f aca="false">IF(SUM(Y126:AJ126)=0,"",SUM(Y126:AJ126))</f>
        <v/>
      </c>
      <c r="AL126" s="84" t="str">
        <f aca="false">MID(IF(N(Y126)&gt;0,", "&amp;Y$2,"")&amp;IF(N(Z126)&gt;0,", "&amp;Z$2,"")&amp;IF(N(AA126)&gt;0,", "&amp;AA$2,"")&amp;IF(N(AB126)&gt;0,", "&amp;AB$2,"")&amp;IF(N(AC126)&gt;0,", "&amp;AC$2,"")&amp;IF(N(AD126)&gt;0,", "&amp;AD$2,"")&amp;IF(N(AE126)&gt;0,", "&amp;AE$2,"")&amp;IF(N(AF126)&gt;0,", "&amp;AF$2,"")&amp;IF(N(AG126)&gt;0,", "&amp;AG$2,"")&amp;IF(N(AH126)&gt;0,", "&amp;AH$2,"")&amp;IF(N(AI126)&gt;0,", "&amp;AI$2,"")&amp;IF(N(AJ126)&gt;0,", "&amp;AJ$2,""),3,999)</f>
        <v/>
      </c>
      <c r="AM126" s="87" t="str">
        <f aca="false">IF(E126="","",MID(IF(N(Y126)&gt;0,", "&amp;A126&amp;"-"&amp;Y$2,"")&amp;IF(N(Z126)&gt;0,", "&amp;A126&amp;"-"&amp;Z$2,"")&amp;IF(N(AA126)&gt;0,", "&amp;A126&amp;"-"&amp;AA$2,"")&amp;IF(N(AB126)&gt;0,", "&amp;A126&amp;"-"&amp;AB$2,"")&amp;IF(N(AC126)&gt;0,", "&amp;A126&amp;"-"&amp;AC$2,"")&amp;IF(N(AD126)&gt;0,", "&amp;A126&amp;"-"&amp;AD$2,"")&amp;IF(N(AE126)&gt;0,", "&amp;A126&amp;"-"&amp;AE$2,"")&amp;IF(N(AF126)&gt;0,", "&amp;A126&amp;"-"&amp;AF$2,"")&amp;IF(N(AG126)&gt;0,", "&amp;A126&amp;"-"&amp;AG$2,"")&amp;IF(N(AH126)&gt;0,", "&amp;A126&amp;"-"&amp;AH$2,"")&amp;IF(N(AI126)&gt;0,", "&amp;A126&amp;"-"&amp;AI$2,"")&amp;IF(N(AJ126)&gt;0,", "&amp;A126&amp;"-"&amp;AJ$2,""),3,999))</f>
        <v/>
      </c>
      <c r="AN126" s="81"/>
      <c r="AO126" s="88"/>
      <c r="AP126" s="89" t="str">
        <f aca="false">IF(AO126="","",ROUND(AO126/(1+Справочники!$B$13),2))</f>
        <v/>
      </c>
      <c r="AQ126" s="90" t="str">
        <f aca="false" t="array" ref="AQ126:AQ126">IF(AP126="","",AP126*INDEX(Справочники!$B$4:$B$7,MATCH("RUB",Справочники!$A$4:$A$7,0)))</f>
        <v/>
      </c>
      <c r="AR126" s="90" t="str">
        <f aca="false">IF(AQ126="","",ROUND(AQ126*(1+Справочники!$B$12),0))</f>
        <v/>
      </c>
      <c r="AS126" s="90" t="str">
        <f aca="false">IF(AR126="","",ROUND(AR126*(1-Справочники!$B$11),0))</f>
        <v/>
      </c>
      <c r="AT126" s="88"/>
      <c r="AU126" s="90" t="str">
        <f aca="false">IF(AT126="","",ROUND(AT126/(1+Справочники!$B$12),0))</f>
        <v/>
      </c>
      <c r="AV126" s="90" t="str">
        <f aca="false">IF(AT126="","",ROUND(AT126*(1-Справочники!$B$15),0))</f>
        <v/>
      </c>
      <c r="AW126" s="90" t="str">
        <f aca="false">IF(AT126="","",ROUND(AT126*(1-Справочники!$B$16),0))</f>
        <v/>
      </c>
      <c r="AX126" s="90" t="str">
        <f aca="false">IF(AT126="","",ROUND(AT126*(1-Справочники!$B$17),0))</f>
        <v/>
      </c>
      <c r="AY126" s="90" t="str">
        <f aca="false">IF(AT126="","",ROUND(AT126*(1-Справочники!$B$18),0))</f>
        <v/>
      </c>
      <c r="AZ126" s="90" t="str">
        <f aca="false">IF(AT126="","",ROUND(AT126*(1-Справочники!$B$19),0))</f>
        <v/>
      </c>
      <c r="BA126" s="81"/>
      <c r="BB126" s="81"/>
      <c r="BC126" s="81"/>
      <c r="BD126" s="81"/>
      <c r="BE126" s="91"/>
      <c r="BF126" s="81" t="s">
        <v>103</v>
      </c>
      <c r="BG126" s="89" t="n">
        <f aca="false" t="array" ref="BG126:BG126">IF(BF126="","",IFERROR(INDEX(Справочники!$B$4:$B$7,MATCH(BF126,Справочники!$A$4:$A$7,0)),""))</f>
        <v>68.5</v>
      </c>
      <c r="BH126" s="90" t="str">
        <f aca="false">IF(N(BN126)&gt;0,ROUND(SUMIF(ЗАКАЗЫ!$F$3:$F$500,$A126,ЗАКАЗЫ!$Y$3:$Y$500)/BN126,0),IF(OR(BE126="",BG126=""),"",ROUND(BE126*BG126*(1+Справочники!$B$10),0)))</f>
        <v/>
      </c>
      <c r="BI126" s="92" t="str">
        <f aca="false">IF(OR(AU126="",BH126="",AU126=0),"",(AU126-BH126)/AU126)</f>
        <v/>
      </c>
      <c r="BJ126" s="81"/>
      <c r="BK126" s="83"/>
      <c r="BL126" s="43" t="str">
        <f aca="false">IFERROR(INDEX(ЗАКАЗЫ!$N$3:$N$500,MATCH($A126,ЗАКАЗЫ!$F$3:$F$500,0)),"")</f>
        <v/>
      </c>
      <c r="BM126" s="8" t="str">
        <f aca="false">IF(BL126="","",IFERROR(VLOOKUP(BL126,'ТН ВЭД'!$A$4:$C$40,3,0),""))</f>
        <v/>
      </c>
      <c r="BN126" s="7" t="str">
        <f aca="false">IF(COUNTIF(ЗАКАЗЫ!$F$3:$F$500,$A126)=0,"",SUMIF(ЗАКАЗЫ!$F$3:$F$500,$A126,ЗАКАЗЫ!$J$3:$J$500))</f>
        <v/>
      </c>
      <c r="BO126" s="7" t="str">
        <f aca="false">IF(BN126="","",SUMIF(ЗАКАЗЫ!$F$3:$F$500,$A126,ЗАКАЗЫ!$AL$3:$AL$500))</f>
        <v/>
      </c>
      <c r="BP126" s="7" t="str">
        <f aca="false">IF(BN126="","",BN126-BO126)</f>
        <v/>
      </c>
      <c r="BQ126" s="55" t="str">
        <f aca="false">IF(BN126="","",IF(BO126&gt;=BN126,"На складе",IF(BO126&gt;0,"Частично","Ждём")))</f>
        <v/>
      </c>
      <c r="BR126" s="43"/>
      <c r="BS126" s="47" t="str">
        <f aca="false">IF(BN126="","",IF(_xlfn.MAXIFS(ЗАКАЗЫ!$AK$3:$AK$500,ЗАКАЗЫ!$F$3:$F$500,$A126)=0,"",_xlfn.MAXIFS(ЗАКАЗЫ!$AK$3:$AK$500,ЗАКАЗЫ!$F$3:$F$500,$A126)))</f>
        <v/>
      </c>
    </row>
    <row r="127" customFormat="false" ht="15.75" hidden="false" customHeight="true" outlineLevel="0" collapsed="false">
      <c r="A127" s="80" t="s">
        <v>3038</v>
      </c>
      <c r="B127" s="81"/>
      <c r="C127" s="81"/>
      <c r="D127" s="81"/>
      <c r="E127" s="83"/>
      <c r="F127" s="81"/>
      <c r="G127" s="83"/>
      <c r="H127" s="83"/>
      <c r="I127" s="84" t="str">
        <f aca="false">IF(E127="","",A127&amp;"_1.jpg")</f>
        <v/>
      </c>
      <c r="J127" s="84" t="str">
        <f aca="false">IF(E127="","",A127&amp;"_2.jpg; "&amp;A127&amp;"_3.jpg")</f>
        <v/>
      </c>
      <c r="K127" s="84" t="str">
        <f aca="false">IF(E127="","",A127&amp;"_schema.jpg")</f>
        <v/>
      </c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 t="s">
        <v>96</v>
      </c>
      <c r="W127" s="81"/>
      <c r="X127" s="81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6" t="str">
        <f aca="false">IF(SUM(Y127:AJ127)=0,"",SUM(Y127:AJ127))</f>
        <v/>
      </c>
      <c r="AL127" s="84" t="str">
        <f aca="false">MID(IF(N(Y127)&gt;0,", "&amp;Y$2,"")&amp;IF(N(Z127)&gt;0,", "&amp;Z$2,"")&amp;IF(N(AA127)&gt;0,", "&amp;AA$2,"")&amp;IF(N(AB127)&gt;0,", "&amp;AB$2,"")&amp;IF(N(AC127)&gt;0,", "&amp;AC$2,"")&amp;IF(N(AD127)&gt;0,", "&amp;AD$2,"")&amp;IF(N(AE127)&gt;0,", "&amp;AE$2,"")&amp;IF(N(AF127)&gt;0,", "&amp;AF$2,"")&amp;IF(N(AG127)&gt;0,", "&amp;AG$2,"")&amp;IF(N(AH127)&gt;0,", "&amp;AH$2,"")&amp;IF(N(AI127)&gt;0,", "&amp;AI$2,"")&amp;IF(N(AJ127)&gt;0,", "&amp;AJ$2,""),3,999)</f>
        <v/>
      </c>
      <c r="AM127" s="87" t="str">
        <f aca="false">IF(E127="","",MID(IF(N(Y127)&gt;0,", "&amp;A127&amp;"-"&amp;Y$2,"")&amp;IF(N(Z127)&gt;0,", "&amp;A127&amp;"-"&amp;Z$2,"")&amp;IF(N(AA127)&gt;0,", "&amp;A127&amp;"-"&amp;AA$2,"")&amp;IF(N(AB127)&gt;0,", "&amp;A127&amp;"-"&amp;AB$2,"")&amp;IF(N(AC127)&gt;0,", "&amp;A127&amp;"-"&amp;AC$2,"")&amp;IF(N(AD127)&gt;0,", "&amp;A127&amp;"-"&amp;AD$2,"")&amp;IF(N(AE127)&gt;0,", "&amp;A127&amp;"-"&amp;AE$2,"")&amp;IF(N(AF127)&gt;0,", "&amp;A127&amp;"-"&amp;AF$2,"")&amp;IF(N(AG127)&gt;0,", "&amp;A127&amp;"-"&amp;AG$2,"")&amp;IF(N(AH127)&gt;0,", "&amp;A127&amp;"-"&amp;AH$2,"")&amp;IF(N(AI127)&gt;0,", "&amp;A127&amp;"-"&amp;AI$2,"")&amp;IF(N(AJ127)&gt;0,", "&amp;A127&amp;"-"&amp;AJ$2,""),3,999))</f>
        <v/>
      </c>
      <c r="AN127" s="81"/>
      <c r="AO127" s="88"/>
      <c r="AP127" s="89" t="str">
        <f aca="false">IF(AO127="","",ROUND(AO127/(1+Справочники!$B$13),2))</f>
        <v/>
      </c>
      <c r="AQ127" s="90" t="str">
        <f aca="false" t="array" ref="AQ127:AQ127">IF(AP127="","",AP127*INDEX(Справочники!$B$4:$B$7,MATCH("RUB",Справочники!$A$4:$A$7,0)))</f>
        <v/>
      </c>
      <c r="AR127" s="90" t="str">
        <f aca="false">IF(AQ127="","",ROUND(AQ127*(1+Справочники!$B$12),0))</f>
        <v/>
      </c>
      <c r="AS127" s="90" t="str">
        <f aca="false">IF(AR127="","",ROUND(AR127*(1-Справочники!$B$11),0))</f>
        <v/>
      </c>
      <c r="AT127" s="88"/>
      <c r="AU127" s="90" t="str">
        <f aca="false">IF(AT127="","",ROUND(AT127/(1+Справочники!$B$12),0))</f>
        <v/>
      </c>
      <c r="AV127" s="90" t="str">
        <f aca="false">IF(AT127="","",ROUND(AT127*(1-Справочники!$B$15),0))</f>
        <v/>
      </c>
      <c r="AW127" s="90" t="str">
        <f aca="false">IF(AT127="","",ROUND(AT127*(1-Справочники!$B$16),0))</f>
        <v/>
      </c>
      <c r="AX127" s="90" t="str">
        <f aca="false">IF(AT127="","",ROUND(AT127*(1-Справочники!$B$17),0))</f>
        <v/>
      </c>
      <c r="AY127" s="90" t="str">
        <f aca="false">IF(AT127="","",ROUND(AT127*(1-Справочники!$B$18),0))</f>
        <v/>
      </c>
      <c r="AZ127" s="90" t="str">
        <f aca="false">IF(AT127="","",ROUND(AT127*(1-Справочники!$B$19),0))</f>
        <v/>
      </c>
      <c r="BA127" s="81"/>
      <c r="BB127" s="81"/>
      <c r="BC127" s="81"/>
      <c r="BD127" s="81"/>
      <c r="BE127" s="91"/>
      <c r="BF127" s="81" t="s">
        <v>103</v>
      </c>
      <c r="BG127" s="89" t="n">
        <f aca="false" t="array" ref="BG127:BG127">IF(BF127="","",IFERROR(INDEX(Справочники!$B$4:$B$7,MATCH(BF127,Справочники!$A$4:$A$7,0)),""))</f>
        <v>68.5</v>
      </c>
      <c r="BH127" s="90" t="str">
        <f aca="false">IF(N(BN127)&gt;0,ROUND(SUMIF(ЗАКАЗЫ!$F$3:$F$500,$A127,ЗАКАЗЫ!$Y$3:$Y$500)/BN127,0),IF(OR(BE127="",BG127=""),"",ROUND(BE127*BG127*(1+Справочники!$B$10),0)))</f>
        <v/>
      </c>
      <c r="BI127" s="92" t="str">
        <f aca="false">IF(OR(AU127="",BH127="",AU127=0),"",(AU127-BH127)/AU127)</f>
        <v/>
      </c>
      <c r="BJ127" s="81"/>
      <c r="BK127" s="83"/>
      <c r="BL127" s="43" t="str">
        <f aca="false">IFERROR(INDEX(ЗАКАЗЫ!$N$3:$N$500,MATCH($A127,ЗАКАЗЫ!$F$3:$F$500,0)),"")</f>
        <v/>
      </c>
      <c r="BM127" s="8" t="str">
        <f aca="false">IF(BL127="","",IFERROR(VLOOKUP(BL127,'ТН ВЭД'!$A$4:$C$40,3,0),""))</f>
        <v/>
      </c>
      <c r="BN127" s="7" t="str">
        <f aca="false">IF(COUNTIF(ЗАКАЗЫ!$F$3:$F$500,$A127)=0,"",SUMIF(ЗАКАЗЫ!$F$3:$F$500,$A127,ЗАКАЗЫ!$J$3:$J$500))</f>
        <v/>
      </c>
      <c r="BO127" s="7" t="str">
        <f aca="false">IF(BN127="","",SUMIF(ЗАКАЗЫ!$F$3:$F$500,$A127,ЗАКАЗЫ!$AL$3:$AL$500))</f>
        <v/>
      </c>
      <c r="BP127" s="7" t="str">
        <f aca="false">IF(BN127="","",BN127-BO127)</f>
        <v/>
      </c>
      <c r="BQ127" s="55" t="str">
        <f aca="false">IF(BN127="","",IF(BO127&gt;=BN127,"На складе",IF(BO127&gt;0,"Частично","Ждём")))</f>
        <v/>
      </c>
      <c r="BR127" s="43"/>
      <c r="BS127" s="47" t="str">
        <f aca="false">IF(BN127="","",IF(_xlfn.MAXIFS(ЗАКАЗЫ!$AK$3:$AK$500,ЗАКАЗЫ!$F$3:$F$500,$A127)=0,"",_xlfn.MAXIFS(ЗАКАЗЫ!$AK$3:$AK$500,ЗАКАЗЫ!$F$3:$F$500,$A127)))</f>
        <v/>
      </c>
    </row>
    <row r="128" customFormat="false" ht="15.75" hidden="false" customHeight="true" outlineLevel="0" collapsed="false">
      <c r="A128" s="80" t="s">
        <v>3039</v>
      </c>
      <c r="B128" s="81"/>
      <c r="C128" s="81"/>
      <c r="D128" s="81"/>
      <c r="E128" s="83"/>
      <c r="F128" s="81"/>
      <c r="G128" s="83"/>
      <c r="H128" s="83"/>
      <c r="I128" s="84" t="str">
        <f aca="false">IF(E128="","",A128&amp;"_1.jpg")</f>
        <v/>
      </c>
      <c r="J128" s="84" t="str">
        <f aca="false">IF(E128="","",A128&amp;"_2.jpg; "&amp;A128&amp;"_3.jpg")</f>
        <v/>
      </c>
      <c r="K128" s="84" t="str">
        <f aca="false">IF(E128="","",A128&amp;"_schema.jpg")</f>
        <v/>
      </c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 t="s">
        <v>96</v>
      </c>
      <c r="W128" s="81"/>
      <c r="X128" s="81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6" t="str">
        <f aca="false">IF(SUM(Y128:AJ128)=0,"",SUM(Y128:AJ128))</f>
        <v/>
      </c>
      <c r="AL128" s="84" t="str">
        <f aca="false">MID(IF(N(Y128)&gt;0,", "&amp;Y$2,"")&amp;IF(N(Z128)&gt;0,", "&amp;Z$2,"")&amp;IF(N(AA128)&gt;0,", "&amp;AA$2,"")&amp;IF(N(AB128)&gt;0,", "&amp;AB$2,"")&amp;IF(N(AC128)&gt;0,", "&amp;AC$2,"")&amp;IF(N(AD128)&gt;0,", "&amp;AD$2,"")&amp;IF(N(AE128)&gt;0,", "&amp;AE$2,"")&amp;IF(N(AF128)&gt;0,", "&amp;AF$2,"")&amp;IF(N(AG128)&gt;0,", "&amp;AG$2,"")&amp;IF(N(AH128)&gt;0,", "&amp;AH$2,"")&amp;IF(N(AI128)&gt;0,", "&amp;AI$2,"")&amp;IF(N(AJ128)&gt;0,", "&amp;AJ$2,""),3,999)</f>
        <v/>
      </c>
      <c r="AM128" s="87" t="str">
        <f aca="false">IF(E128="","",MID(IF(N(Y128)&gt;0,", "&amp;A128&amp;"-"&amp;Y$2,"")&amp;IF(N(Z128)&gt;0,", "&amp;A128&amp;"-"&amp;Z$2,"")&amp;IF(N(AA128)&gt;0,", "&amp;A128&amp;"-"&amp;AA$2,"")&amp;IF(N(AB128)&gt;0,", "&amp;A128&amp;"-"&amp;AB$2,"")&amp;IF(N(AC128)&gt;0,", "&amp;A128&amp;"-"&amp;AC$2,"")&amp;IF(N(AD128)&gt;0,", "&amp;A128&amp;"-"&amp;AD$2,"")&amp;IF(N(AE128)&gt;0,", "&amp;A128&amp;"-"&amp;AE$2,"")&amp;IF(N(AF128)&gt;0,", "&amp;A128&amp;"-"&amp;AF$2,"")&amp;IF(N(AG128)&gt;0,", "&amp;A128&amp;"-"&amp;AG$2,"")&amp;IF(N(AH128)&gt;0,", "&amp;A128&amp;"-"&amp;AH$2,"")&amp;IF(N(AI128)&gt;0,", "&amp;A128&amp;"-"&amp;AI$2,"")&amp;IF(N(AJ128)&gt;0,", "&amp;A128&amp;"-"&amp;AJ$2,""),3,999))</f>
        <v/>
      </c>
      <c r="AN128" s="81"/>
      <c r="AO128" s="88"/>
      <c r="AP128" s="89" t="str">
        <f aca="false">IF(AO128="","",ROUND(AO128/(1+Справочники!$B$13),2))</f>
        <v/>
      </c>
      <c r="AQ128" s="90" t="str">
        <f aca="false" t="array" ref="AQ128:AQ128">IF(AP128="","",AP128*INDEX(Справочники!$B$4:$B$7,MATCH("RUB",Справочники!$A$4:$A$7,0)))</f>
        <v/>
      </c>
      <c r="AR128" s="90" t="str">
        <f aca="false">IF(AQ128="","",ROUND(AQ128*(1+Справочники!$B$12),0))</f>
        <v/>
      </c>
      <c r="AS128" s="90" t="str">
        <f aca="false">IF(AR128="","",ROUND(AR128*(1-Справочники!$B$11),0))</f>
        <v/>
      </c>
      <c r="AT128" s="88"/>
      <c r="AU128" s="90" t="str">
        <f aca="false">IF(AT128="","",ROUND(AT128/(1+Справочники!$B$12),0))</f>
        <v/>
      </c>
      <c r="AV128" s="90" t="str">
        <f aca="false">IF(AT128="","",ROUND(AT128*(1-Справочники!$B$15),0))</f>
        <v/>
      </c>
      <c r="AW128" s="90" t="str">
        <f aca="false">IF(AT128="","",ROUND(AT128*(1-Справочники!$B$16),0))</f>
        <v/>
      </c>
      <c r="AX128" s="90" t="str">
        <f aca="false">IF(AT128="","",ROUND(AT128*(1-Справочники!$B$17),0))</f>
        <v/>
      </c>
      <c r="AY128" s="90" t="str">
        <f aca="false">IF(AT128="","",ROUND(AT128*(1-Справочники!$B$18),0))</f>
        <v/>
      </c>
      <c r="AZ128" s="90" t="str">
        <f aca="false">IF(AT128="","",ROUND(AT128*(1-Справочники!$B$19),0))</f>
        <v/>
      </c>
      <c r="BA128" s="81"/>
      <c r="BB128" s="81"/>
      <c r="BC128" s="81"/>
      <c r="BD128" s="81"/>
      <c r="BE128" s="91"/>
      <c r="BF128" s="81" t="s">
        <v>103</v>
      </c>
      <c r="BG128" s="89" t="n">
        <f aca="false" t="array" ref="BG128:BG128">IF(BF128="","",IFERROR(INDEX(Справочники!$B$4:$B$7,MATCH(BF128,Справочники!$A$4:$A$7,0)),""))</f>
        <v>68.5</v>
      </c>
      <c r="BH128" s="90" t="str">
        <f aca="false">IF(N(BN128)&gt;0,ROUND(SUMIF(ЗАКАЗЫ!$F$3:$F$500,$A128,ЗАКАЗЫ!$Y$3:$Y$500)/BN128,0),IF(OR(BE128="",BG128=""),"",ROUND(BE128*BG128*(1+Справочники!$B$10),0)))</f>
        <v/>
      </c>
      <c r="BI128" s="92" t="str">
        <f aca="false">IF(OR(AU128="",BH128="",AU128=0),"",(AU128-BH128)/AU128)</f>
        <v/>
      </c>
      <c r="BJ128" s="81"/>
      <c r="BK128" s="83"/>
      <c r="BL128" s="43" t="str">
        <f aca="false">IFERROR(INDEX(ЗАКАЗЫ!$N$3:$N$500,MATCH($A128,ЗАКАЗЫ!$F$3:$F$500,0)),"")</f>
        <v/>
      </c>
      <c r="BM128" s="8" t="str">
        <f aca="false">IF(BL128="","",IFERROR(VLOOKUP(BL128,'ТН ВЭД'!$A$4:$C$40,3,0),""))</f>
        <v/>
      </c>
      <c r="BN128" s="7" t="str">
        <f aca="false">IF(COUNTIF(ЗАКАЗЫ!$F$3:$F$500,$A128)=0,"",SUMIF(ЗАКАЗЫ!$F$3:$F$500,$A128,ЗАКАЗЫ!$J$3:$J$500))</f>
        <v/>
      </c>
      <c r="BO128" s="7" t="str">
        <f aca="false">IF(BN128="","",SUMIF(ЗАКАЗЫ!$F$3:$F$500,$A128,ЗАКАЗЫ!$AL$3:$AL$500))</f>
        <v/>
      </c>
      <c r="BP128" s="7" t="str">
        <f aca="false">IF(BN128="","",BN128-BO128)</f>
        <v/>
      </c>
      <c r="BQ128" s="55" t="str">
        <f aca="false">IF(BN128="","",IF(BO128&gt;=BN128,"На складе",IF(BO128&gt;0,"Частично","Ждём")))</f>
        <v/>
      </c>
      <c r="BR128" s="43"/>
      <c r="BS128" s="47" t="str">
        <f aca="false">IF(BN128="","",IF(_xlfn.MAXIFS(ЗАКАЗЫ!$AK$3:$AK$500,ЗАКАЗЫ!$F$3:$F$500,$A128)=0,"",_xlfn.MAXIFS(ЗАКАЗЫ!$AK$3:$AK$500,ЗАКАЗЫ!$F$3:$F$500,$A128)))</f>
        <v/>
      </c>
    </row>
    <row r="129" customFormat="false" ht="15.75" hidden="false" customHeight="true" outlineLevel="0" collapsed="false">
      <c r="A129" s="80" t="s">
        <v>3040</v>
      </c>
      <c r="B129" s="81"/>
      <c r="C129" s="81"/>
      <c r="D129" s="81"/>
      <c r="E129" s="83"/>
      <c r="F129" s="81"/>
      <c r="G129" s="83"/>
      <c r="H129" s="83"/>
      <c r="I129" s="84" t="str">
        <f aca="false">IF(E129="","",A129&amp;"_1.jpg")</f>
        <v/>
      </c>
      <c r="J129" s="84" t="str">
        <f aca="false">IF(E129="","",A129&amp;"_2.jpg; "&amp;A129&amp;"_3.jpg")</f>
        <v/>
      </c>
      <c r="K129" s="84" t="str">
        <f aca="false">IF(E129="","",A129&amp;"_schema.jpg")</f>
        <v/>
      </c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 t="s">
        <v>96</v>
      </c>
      <c r="W129" s="81"/>
      <c r="X129" s="81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6" t="str">
        <f aca="false">IF(SUM(Y129:AJ129)=0,"",SUM(Y129:AJ129))</f>
        <v/>
      </c>
      <c r="AL129" s="84" t="str">
        <f aca="false">MID(IF(N(Y129)&gt;0,", "&amp;Y$2,"")&amp;IF(N(Z129)&gt;0,", "&amp;Z$2,"")&amp;IF(N(AA129)&gt;0,", "&amp;AA$2,"")&amp;IF(N(AB129)&gt;0,", "&amp;AB$2,"")&amp;IF(N(AC129)&gt;0,", "&amp;AC$2,"")&amp;IF(N(AD129)&gt;0,", "&amp;AD$2,"")&amp;IF(N(AE129)&gt;0,", "&amp;AE$2,"")&amp;IF(N(AF129)&gt;0,", "&amp;AF$2,"")&amp;IF(N(AG129)&gt;0,", "&amp;AG$2,"")&amp;IF(N(AH129)&gt;0,", "&amp;AH$2,"")&amp;IF(N(AI129)&gt;0,", "&amp;AI$2,"")&amp;IF(N(AJ129)&gt;0,", "&amp;AJ$2,""),3,999)</f>
        <v/>
      </c>
      <c r="AM129" s="87" t="str">
        <f aca="false">IF(E129="","",MID(IF(N(Y129)&gt;0,", "&amp;A129&amp;"-"&amp;Y$2,"")&amp;IF(N(Z129)&gt;0,", "&amp;A129&amp;"-"&amp;Z$2,"")&amp;IF(N(AA129)&gt;0,", "&amp;A129&amp;"-"&amp;AA$2,"")&amp;IF(N(AB129)&gt;0,", "&amp;A129&amp;"-"&amp;AB$2,"")&amp;IF(N(AC129)&gt;0,", "&amp;A129&amp;"-"&amp;AC$2,"")&amp;IF(N(AD129)&gt;0,", "&amp;A129&amp;"-"&amp;AD$2,"")&amp;IF(N(AE129)&gt;0,", "&amp;A129&amp;"-"&amp;AE$2,"")&amp;IF(N(AF129)&gt;0,", "&amp;A129&amp;"-"&amp;AF$2,"")&amp;IF(N(AG129)&gt;0,", "&amp;A129&amp;"-"&amp;AG$2,"")&amp;IF(N(AH129)&gt;0,", "&amp;A129&amp;"-"&amp;AH$2,"")&amp;IF(N(AI129)&gt;0,", "&amp;A129&amp;"-"&amp;AI$2,"")&amp;IF(N(AJ129)&gt;0,", "&amp;A129&amp;"-"&amp;AJ$2,""),3,999))</f>
        <v/>
      </c>
      <c r="AN129" s="81"/>
      <c r="AO129" s="88"/>
      <c r="AP129" s="89" t="str">
        <f aca="false">IF(AO129="","",ROUND(AO129/(1+Справочники!$B$13),2))</f>
        <v/>
      </c>
      <c r="AQ129" s="90" t="str">
        <f aca="false" t="array" ref="AQ129:AQ129">IF(AP129="","",AP129*INDEX(Справочники!$B$4:$B$7,MATCH("RUB",Справочники!$A$4:$A$7,0)))</f>
        <v/>
      </c>
      <c r="AR129" s="90" t="str">
        <f aca="false">IF(AQ129="","",ROUND(AQ129*(1+Справочники!$B$12),0))</f>
        <v/>
      </c>
      <c r="AS129" s="90" t="str">
        <f aca="false">IF(AR129="","",ROUND(AR129*(1-Справочники!$B$11),0))</f>
        <v/>
      </c>
      <c r="AT129" s="88"/>
      <c r="AU129" s="90" t="str">
        <f aca="false">IF(AT129="","",ROUND(AT129/(1+Справочники!$B$12),0))</f>
        <v/>
      </c>
      <c r="AV129" s="90" t="str">
        <f aca="false">IF(AT129="","",ROUND(AT129*(1-Справочники!$B$15),0))</f>
        <v/>
      </c>
      <c r="AW129" s="90" t="str">
        <f aca="false">IF(AT129="","",ROUND(AT129*(1-Справочники!$B$16),0))</f>
        <v/>
      </c>
      <c r="AX129" s="90" t="str">
        <f aca="false">IF(AT129="","",ROUND(AT129*(1-Справочники!$B$17),0))</f>
        <v/>
      </c>
      <c r="AY129" s="90" t="str">
        <f aca="false">IF(AT129="","",ROUND(AT129*(1-Справочники!$B$18),0))</f>
        <v/>
      </c>
      <c r="AZ129" s="90" t="str">
        <f aca="false">IF(AT129="","",ROUND(AT129*(1-Справочники!$B$19),0))</f>
        <v/>
      </c>
      <c r="BA129" s="81"/>
      <c r="BB129" s="81"/>
      <c r="BC129" s="81"/>
      <c r="BD129" s="81"/>
      <c r="BE129" s="91"/>
      <c r="BF129" s="81" t="s">
        <v>103</v>
      </c>
      <c r="BG129" s="89" t="n">
        <f aca="false" t="array" ref="BG129:BG129">IF(BF129="","",IFERROR(INDEX(Справочники!$B$4:$B$7,MATCH(BF129,Справочники!$A$4:$A$7,0)),""))</f>
        <v>68.5</v>
      </c>
      <c r="BH129" s="90" t="str">
        <f aca="false">IF(N(BN129)&gt;0,ROUND(SUMIF(ЗАКАЗЫ!$F$3:$F$500,$A129,ЗАКАЗЫ!$Y$3:$Y$500)/BN129,0),IF(OR(BE129="",BG129=""),"",ROUND(BE129*BG129*(1+Справочники!$B$10),0)))</f>
        <v/>
      </c>
      <c r="BI129" s="92" t="str">
        <f aca="false">IF(OR(AU129="",BH129="",AU129=0),"",(AU129-BH129)/AU129)</f>
        <v/>
      </c>
      <c r="BJ129" s="81"/>
      <c r="BK129" s="83"/>
      <c r="BL129" s="43" t="str">
        <f aca="false">IFERROR(INDEX(ЗАКАЗЫ!$N$3:$N$500,MATCH($A129,ЗАКАЗЫ!$F$3:$F$500,0)),"")</f>
        <v/>
      </c>
      <c r="BM129" s="8" t="str">
        <f aca="false">IF(BL129="","",IFERROR(VLOOKUP(BL129,'ТН ВЭД'!$A$4:$C$40,3,0),""))</f>
        <v/>
      </c>
      <c r="BN129" s="7" t="str">
        <f aca="false">IF(COUNTIF(ЗАКАЗЫ!$F$3:$F$500,$A129)=0,"",SUMIF(ЗАКАЗЫ!$F$3:$F$500,$A129,ЗАКАЗЫ!$J$3:$J$500))</f>
        <v/>
      </c>
      <c r="BO129" s="7" t="str">
        <f aca="false">IF(BN129="","",SUMIF(ЗАКАЗЫ!$F$3:$F$500,$A129,ЗАКАЗЫ!$AL$3:$AL$500))</f>
        <v/>
      </c>
      <c r="BP129" s="7" t="str">
        <f aca="false">IF(BN129="","",BN129-BO129)</f>
        <v/>
      </c>
      <c r="BQ129" s="55" t="str">
        <f aca="false">IF(BN129="","",IF(BO129&gt;=BN129,"На складе",IF(BO129&gt;0,"Частично","Ждём")))</f>
        <v/>
      </c>
      <c r="BR129" s="43"/>
      <c r="BS129" s="47" t="str">
        <f aca="false">IF(BN129="","",IF(_xlfn.MAXIFS(ЗАКАЗЫ!$AK$3:$AK$500,ЗАКАЗЫ!$F$3:$F$500,$A129)=0,"",_xlfn.MAXIFS(ЗАКАЗЫ!$AK$3:$AK$500,ЗАКАЗЫ!$F$3:$F$500,$A129)))</f>
        <v/>
      </c>
    </row>
    <row r="130" customFormat="false" ht="15.75" hidden="false" customHeight="true" outlineLevel="0" collapsed="false">
      <c r="A130" s="80" t="s">
        <v>3041</v>
      </c>
      <c r="B130" s="81"/>
      <c r="C130" s="81"/>
      <c r="D130" s="81"/>
      <c r="E130" s="83"/>
      <c r="F130" s="81"/>
      <c r="G130" s="83"/>
      <c r="H130" s="83"/>
      <c r="I130" s="84" t="str">
        <f aca="false">IF(E130="","",A130&amp;"_1.jpg")</f>
        <v/>
      </c>
      <c r="J130" s="84" t="str">
        <f aca="false">IF(E130="","",A130&amp;"_2.jpg; "&amp;A130&amp;"_3.jpg")</f>
        <v/>
      </c>
      <c r="K130" s="84" t="str">
        <f aca="false">IF(E130="","",A130&amp;"_schema.jpg")</f>
        <v/>
      </c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 t="s">
        <v>96</v>
      </c>
      <c r="W130" s="81"/>
      <c r="X130" s="81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6" t="str">
        <f aca="false">IF(SUM(Y130:AJ130)=0,"",SUM(Y130:AJ130))</f>
        <v/>
      </c>
      <c r="AL130" s="84" t="str">
        <f aca="false">MID(IF(N(Y130)&gt;0,", "&amp;Y$2,"")&amp;IF(N(Z130)&gt;0,", "&amp;Z$2,"")&amp;IF(N(AA130)&gt;0,", "&amp;AA$2,"")&amp;IF(N(AB130)&gt;0,", "&amp;AB$2,"")&amp;IF(N(AC130)&gt;0,", "&amp;AC$2,"")&amp;IF(N(AD130)&gt;0,", "&amp;AD$2,"")&amp;IF(N(AE130)&gt;0,", "&amp;AE$2,"")&amp;IF(N(AF130)&gt;0,", "&amp;AF$2,"")&amp;IF(N(AG130)&gt;0,", "&amp;AG$2,"")&amp;IF(N(AH130)&gt;0,", "&amp;AH$2,"")&amp;IF(N(AI130)&gt;0,", "&amp;AI$2,"")&amp;IF(N(AJ130)&gt;0,", "&amp;AJ$2,""),3,999)</f>
        <v/>
      </c>
      <c r="AM130" s="87" t="str">
        <f aca="false">IF(E130="","",MID(IF(N(Y130)&gt;0,", "&amp;A130&amp;"-"&amp;Y$2,"")&amp;IF(N(Z130)&gt;0,", "&amp;A130&amp;"-"&amp;Z$2,"")&amp;IF(N(AA130)&gt;0,", "&amp;A130&amp;"-"&amp;AA$2,"")&amp;IF(N(AB130)&gt;0,", "&amp;A130&amp;"-"&amp;AB$2,"")&amp;IF(N(AC130)&gt;0,", "&amp;A130&amp;"-"&amp;AC$2,"")&amp;IF(N(AD130)&gt;0,", "&amp;A130&amp;"-"&amp;AD$2,"")&amp;IF(N(AE130)&gt;0,", "&amp;A130&amp;"-"&amp;AE$2,"")&amp;IF(N(AF130)&gt;0,", "&amp;A130&amp;"-"&amp;AF$2,"")&amp;IF(N(AG130)&gt;0,", "&amp;A130&amp;"-"&amp;AG$2,"")&amp;IF(N(AH130)&gt;0,", "&amp;A130&amp;"-"&amp;AH$2,"")&amp;IF(N(AI130)&gt;0,", "&amp;A130&amp;"-"&amp;AI$2,"")&amp;IF(N(AJ130)&gt;0,", "&amp;A130&amp;"-"&amp;AJ$2,""),3,999))</f>
        <v/>
      </c>
      <c r="AN130" s="81"/>
      <c r="AO130" s="88"/>
      <c r="AP130" s="89" t="str">
        <f aca="false">IF(AO130="","",ROUND(AO130/(1+Справочники!$B$13),2))</f>
        <v/>
      </c>
      <c r="AQ130" s="90" t="str">
        <f aca="false" t="array" ref="AQ130:AQ130">IF(AP130="","",AP130*INDEX(Справочники!$B$4:$B$7,MATCH("RUB",Справочники!$A$4:$A$7,0)))</f>
        <v/>
      </c>
      <c r="AR130" s="90" t="str">
        <f aca="false">IF(AQ130="","",ROUND(AQ130*(1+Справочники!$B$12),0))</f>
        <v/>
      </c>
      <c r="AS130" s="90" t="str">
        <f aca="false">IF(AR130="","",ROUND(AR130*(1-Справочники!$B$11),0))</f>
        <v/>
      </c>
      <c r="AT130" s="88"/>
      <c r="AU130" s="90" t="str">
        <f aca="false">IF(AT130="","",ROUND(AT130/(1+Справочники!$B$12),0))</f>
        <v/>
      </c>
      <c r="AV130" s="90" t="str">
        <f aca="false">IF(AT130="","",ROUND(AT130*(1-Справочники!$B$15),0))</f>
        <v/>
      </c>
      <c r="AW130" s="90" t="str">
        <f aca="false">IF(AT130="","",ROUND(AT130*(1-Справочники!$B$16),0))</f>
        <v/>
      </c>
      <c r="AX130" s="90" t="str">
        <f aca="false">IF(AT130="","",ROUND(AT130*(1-Справочники!$B$17),0))</f>
        <v/>
      </c>
      <c r="AY130" s="90" t="str">
        <f aca="false">IF(AT130="","",ROUND(AT130*(1-Справочники!$B$18),0))</f>
        <v/>
      </c>
      <c r="AZ130" s="90" t="str">
        <f aca="false">IF(AT130="","",ROUND(AT130*(1-Справочники!$B$19),0))</f>
        <v/>
      </c>
      <c r="BA130" s="81"/>
      <c r="BB130" s="81"/>
      <c r="BC130" s="81"/>
      <c r="BD130" s="81"/>
      <c r="BE130" s="91"/>
      <c r="BF130" s="81" t="s">
        <v>103</v>
      </c>
      <c r="BG130" s="89" t="n">
        <f aca="false" t="array" ref="BG130:BG130">IF(BF130="","",IFERROR(INDEX(Справочники!$B$4:$B$7,MATCH(BF130,Справочники!$A$4:$A$7,0)),""))</f>
        <v>68.5</v>
      </c>
      <c r="BH130" s="90" t="str">
        <f aca="false">IF(N(BN130)&gt;0,ROUND(SUMIF(ЗАКАЗЫ!$F$3:$F$500,$A130,ЗАКАЗЫ!$Y$3:$Y$500)/BN130,0),IF(OR(BE130="",BG130=""),"",ROUND(BE130*BG130*(1+Справочники!$B$10),0)))</f>
        <v/>
      </c>
      <c r="BI130" s="92" t="str">
        <f aca="false">IF(OR(AU130="",BH130="",AU130=0),"",(AU130-BH130)/AU130)</f>
        <v/>
      </c>
      <c r="BJ130" s="81"/>
      <c r="BK130" s="83"/>
      <c r="BL130" s="43" t="str">
        <f aca="false">IFERROR(INDEX(ЗАКАЗЫ!$N$3:$N$500,MATCH($A130,ЗАКАЗЫ!$F$3:$F$500,0)),"")</f>
        <v/>
      </c>
      <c r="BM130" s="8" t="str">
        <f aca="false">IF(BL130="","",IFERROR(VLOOKUP(BL130,'ТН ВЭД'!$A$4:$C$40,3,0),""))</f>
        <v/>
      </c>
      <c r="BN130" s="7" t="str">
        <f aca="false">IF(COUNTIF(ЗАКАЗЫ!$F$3:$F$500,$A130)=0,"",SUMIF(ЗАКАЗЫ!$F$3:$F$500,$A130,ЗАКАЗЫ!$J$3:$J$500))</f>
        <v/>
      </c>
      <c r="BO130" s="7" t="str">
        <f aca="false">IF(BN130="","",SUMIF(ЗАКАЗЫ!$F$3:$F$500,$A130,ЗАКАЗЫ!$AL$3:$AL$500))</f>
        <v/>
      </c>
      <c r="BP130" s="7" t="str">
        <f aca="false">IF(BN130="","",BN130-BO130)</f>
        <v/>
      </c>
      <c r="BQ130" s="55" t="str">
        <f aca="false">IF(BN130="","",IF(BO130&gt;=BN130,"На складе",IF(BO130&gt;0,"Частично","Ждём")))</f>
        <v/>
      </c>
      <c r="BR130" s="43"/>
      <c r="BS130" s="47" t="str">
        <f aca="false">IF(BN130="","",IF(_xlfn.MAXIFS(ЗАКАЗЫ!$AK$3:$AK$500,ЗАКАЗЫ!$F$3:$F$500,$A130)=0,"",_xlfn.MAXIFS(ЗАКАЗЫ!$AK$3:$AK$500,ЗАКАЗЫ!$F$3:$F$500,$A130)))</f>
        <v/>
      </c>
    </row>
    <row r="131" customFormat="false" ht="15.75" hidden="false" customHeight="true" outlineLevel="0" collapsed="false">
      <c r="A131" s="80" t="s">
        <v>3042</v>
      </c>
      <c r="B131" s="81"/>
      <c r="C131" s="81"/>
      <c r="D131" s="81"/>
      <c r="E131" s="83"/>
      <c r="F131" s="81"/>
      <c r="G131" s="83"/>
      <c r="H131" s="83"/>
      <c r="I131" s="84" t="str">
        <f aca="false">IF(E131="","",A131&amp;"_1.jpg")</f>
        <v/>
      </c>
      <c r="J131" s="84" t="str">
        <f aca="false">IF(E131="","",A131&amp;"_2.jpg; "&amp;A131&amp;"_3.jpg")</f>
        <v/>
      </c>
      <c r="K131" s="84" t="str">
        <f aca="false">IF(E131="","",A131&amp;"_schema.jpg")</f>
        <v/>
      </c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 t="s">
        <v>96</v>
      </c>
      <c r="W131" s="81"/>
      <c r="X131" s="81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6" t="str">
        <f aca="false">IF(SUM(Y131:AJ131)=0,"",SUM(Y131:AJ131))</f>
        <v/>
      </c>
      <c r="AL131" s="84" t="str">
        <f aca="false">MID(IF(N(Y131)&gt;0,", "&amp;Y$2,"")&amp;IF(N(Z131)&gt;0,", "&amp;Z$2,"")&amp;IF(N(AA131)&gt;0,", "&amp;AA$2,"")&amp;IF(N(AB131)&gt;0,", "&amp;AB$2,"")&amp;IF(N(AC131)&gt;0,", "&amp;AC$2,"")&amp;IF(N(AD131)&gt;0,", "&amp;AD$2,"")&amp;IF(N(AE131)&gt;0,", "&amp;AE$2,"")&amp;IF(N(AF131)&gt;0,", "&amp;AF$2,"")&amp;IF(N(AG131)&gt;0,", "&amp;AG$2,"")&amp;IF(N(AH131)&gt;0,", "&amp;AH$2,"")&amp;IF(N(AI131)&gt;0,", "&amp;AI$2,"")&amp;IF(N(AJ131)&gt;0,", "&amp;AJ$2,""),3,999)</f>
        <v/>
      </c>
      <c r="AM131" s="87" t="str">
        <f aca="false">IF(E131="","",MID(IF(N(Y131)&gt;0,", "&amp;A131&amp;"-"&amp;Y$2,"")&amp;IF(N(Z131)&gt;0,", "&amp;A131&amp;"-"&amp;Z$2,"")&amp;IF(N(AA131)&gt;0,", "&amp;A131&amp;"-"&amp;AA$2,"")&amp;IF(N(AB131)&gt;0,", "&amp;A131&amp;"-"&amp;AB$2,"")&amp;IF(N(AC131)&gt;0,", "&amp;A131&amp;"-"&amp;AC$2,"")&amp;IF(N(AD131)&gt;0,", "&amp;A131&amp;"-"&amp;AD$2,"")&amp;IF(N(AE131)&gt;0,", "&amp;A131&amp;"-"&amp;AE$2,"")&amp;IF(N(AF131)&gt;0,", "&amp;A131&amp;"-"&amp;AF$2,"")&amp;IF(N(AG131)&gt;0,", "&amp;A131&amp;"-"&amp;AG$2,"")&amp;IF(N(AH131)&gt;0,", "&amp;A131&amp;"-"&amp;AH$2,"")&amp;IF(N(AI131)&gt;0,", "&amp;A131&amp;"-"&amp;AI$2,"")&amp;IF(N(AJ131)&gt;0,", "&amp;A131&amp;"-"&amp;AJ$2,""),3,999))</f>
        <v/>
      </c>
      <c r="AN131" s="81"/>
      <c r="AO131" s="88"/>
      <c r="AP131" s="89" t="str">
        <f aca="false">IF(AO131="","",ROUND(AO131/(1+Справочники!$B$13),2))</f>
        <v/>
      </c>
      <c r="AQ131" s="90" t="str">
        <f aca="false" t="array" ref="AQ131:AQ131">IF(AP131="","",AP131*INDEX(Справочники!$B$4:$B$7,MATCH("RUB",Справочники!$A$4:$A$7,0)))</f>
        <v/>
      </c>
      <c r="AR131" s="90" t="str">
        <f aca="false">IF(AQ131="","",ROUND(AQ131*(1+Справочники!$B$12),0))</f>
        <v/>
      </c>
      <c r="AS131" s="90" t="str">
        <f aca="false">IF(AR131="","",ROUND(AR131*(1-Справочники!$B$11),0))</f>
        <v/>
      </c>
      <c r="AT131" s="88"/>
      <c r="AU131" s="90" t="str">
        <f aca="false">IF(AT131="","",ROUND(AT131/(1+Справочники!$B$12),0))</f>
        <v/>
      </c>
      <c r="AV131" s="90" t="str">
        <f aca="false">IF(AT131="","",ROUND(AT131*(1-Справочники!$B$15),0))</f>
        <v/>
      </c>
      <c r="AW131" s="90" t="str">
        <f aca="false">IF(AT131="","",ROUND(AT131*(1-Справочники!$B$16),0))</f>
        <v/>
      </c>
      <c r="AX131" s="90" t="str">
        <f aca="false">IF(AT131="","",ROUND(AT131*(1-Справочники!$B$17),0))</f>
        <v/>
      </c>
      <c r="AY131" s="90" t="str">
        <f aca="false">IF(AT131="","",ROUND(AT131*(1-Справочники!$B$18),0))</f>
        <v/>
      </c>
      <c r="AZ131" s="90" t="str">
        <f aca="false">IF(AT131="","",ROUND(AT131*(1-Справочники!$B$19),0))</f>
        <v/>
      </c>
      <c r="BA131" s="81"/>
      <c r="BB131" s="81"/>
      <c r="BC131" s="81"/>
      <c r="BD131" s="81"/>
      <c r="BE131" s="91"/>
      <c r="BF131" s="81" t="s">
        <v>103</v>
      </c>
      <c r="BG131" s="89" t="n">
        <f aca="false" t="array" ref="BG131:BG131">IF(BF131="","",IFERROR(INDEX(Справочники!$B$4:$B$7,MATCH(BF131,Справочники!$A$4:$A$7,0)),""))</f>
        <v>68.5</v>
      </c>
      <c r="BH131" s="90" t="str">
        <f aca="false">IF(N(BN131)&gt;0,ROUND(SUMIF(ЗАКАЗЫ!$F$3:$F$500,$A131,ЗАКАЗЫ!$Y$3:$Y$500)/BN131,0),IF(OR(BE131="",BG131=""),"",ROUND(BE131*BG131*(1+Справочники!$B$10),0)))</f>
        <v/>
      </c>
      <c r="BI131" s="92" t="str">
        <f aca="false">IF(OR(AU131="",BH131="",AU131=0),"",(AU131-BH131)/AU131)</f>
        <v/>
      </c>
      <c r="BJ131" s="81"/>
      <c r="BK131" s="83"/>
      <c r="BL131" s="43" t="str">
        <f aca="false">IFERROR(INDEX(ЗАКАЗЫ!$N$3:$N$500,MATCH($A131,ЗАКАЗЫ!$F$3:$F$500,0)),"")</f>
        <v/>
      </c>
      <c r="BM131" s="8" t="str">
        <f aca="false">IF(BL131="","",IFERROR(VLOOKUP(BL131,'ТН ВЭД'!$A$4:$C$40,3,0),""))</f>
        <v/>
      </c>
      <c r="BN131" s="7" t="str">
        <f aca="false">IF(COUNTIF(ЗАКАЗЫ!$F$3:$F$500,$A131)=0,"",SUMIF(ЗАКАЗЫ!$F$3:$F$500,$A131,ЗАКАЗЫ!$J$3:$J$500))</f>
        <v/>
      </c>
      <c r="BO131" s="7" t="str">
        <f aca="false">IF(BN131="","",SUMIF(ЗАКАЗЫ!$F$3:$F$500,$A131,ЗАКАЗЫ!$AL$3:$AL$500))</f>
        <v/>
      </c>
      <c r="BP131" s="7" t="str">
        <f aca="false">IF(BN131="","",BN131-BO131)</f>
        <v/>
      </c>
      <c r="BQ131" s="55" t="str">
        <f aca="false">IF(BN131="","",IF(BO131&gt;=BN131,"На складе",IF(BO131&gt;0,"Частично","Ждём")))</f>
        <v/>
      </c>
      <c r="BR131" s="43"/>
      <c r="BS131" s="47" t="str">
        <f aca="false">IF(BN131="","",IF(_xlfn.MAXIFS(ЗАКАЗЫ!$AK$3:$AK$500,ЗАКАЗЫ!$F$3:$F$500,$A131)=0,"",_xlfn.MAXIFS(ЗАКАЗЫ!$AK$3:$AK$500,ЗАКАЗЫ!$F$3:$F$500,$A131)))</f>
        <v/>
      </c>
    </row>
    <row r="132" customFormat="false" ht="15.75" hidden="false" customHeight="true" outlineLevel="0" collapsed="false">
      <c r="A132" s="80" t="s">
        <v>3043</v>
      </c>
      <c r="B132" s="81"/>
      <c r="C132" s="81"/>
      <c r="D132" s="81"/>
      <c r="E132" s="83"/>
      <c r="F132" s="81"/>
      <c r="G132" s="83"/>
      <c r="H132" s="83"/>
      <c r="I132" s="84" t="str">
        <f aca="false">IF(E132="","",A132&amp;"_1.jpg")</f>
        <v/>
      </c>
      <c r="J132" s="84" t="str">
        <f aca="false">IF(E132="","",A132&amp;"_2.jpg; "&amp;A132&amp;"_3.jpg")</f>
        <v/>
      </c>
      <c r="K132" s="84" t="str">
        <f aca="false">IF(E132="","",A132&amp;"_schema.jpg")</f>
        <v/>
      </c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 t="s">
        <v>96</v>
      </c>
      <c r="W132" s="81"/>
      <c r="X132" s="81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6" t="str">
        <f aca="false">IF(SUM(Y132:AJ132)=0,"",SUM(Y132:AJ132))</f>
        <v/>
      </c>
      <c r="AL132" s="84" t="str">
        <f aca="false">MID(IF(N(Y132)&gt;0,", "&amp;Y$2,"")&amp;IF(N(Z132)&gt;0,", "&amp;Z$2,"")&amp;IF(N(AA132)&gt;0,", "&amp;AA$2,"")&amp;IF(N(AB132)&gt;0,", "&amp;AB$2,"")&amp;IF(N(AC132)&gt;0,", "&amp;AC$2,"")&amp;IF(N(AD132)&gt;0,", "&amp;AD$2,"")&amp;IF(N(AE132)&gt;0,", "&amp;AE$2,"")&amp;IF(N(AF132)&gt;0,", "&amp;AF$2,"")&amp;IF(N(AG132)&gt;0,", "&amp;AG$2,"")&amp;IF(N(AH132)&gt;0,", "&amp;AH$2,"")&amp;IF(N(AI132)&gt;0,", "&amp;AI$2,"")&amp;IF(N(AJ132)&gt;0,", "&amp;AJ$2,""),3,999)</f>
        <v/>
      </c>
      <c r="AM132" s="87" t="str">
        <f aca="false">IF(E132="","",MID(IF(N(Y132)&gt;0,", "&amp;A132&amp;"-"&amp;Y$2,"")&amp;IF(N(Z132)&gt;0,", "&amp;A132&amp;"-"&amp;Z$2,"")&amp;IF(N(AA132)&gt;0,", "&amp;A132&amp;"-"&amp;AA$2,"")&amp;IF(N(AB132)&gt;0,", "&amp;A132&amp;"-"&amp;AB$2,"")&amp;IF(N(AC132)&gt;0,", "&amp;A132&amp;"-"&amp;AC$2,"")&amp;IF(N(AD132)&gt;0,", "&amp;A132&amp;"-"&amp;AD$2,"")&amp;IF(N(AE132)&gt;0,", "&amp;A132&amp;"-"&amp;AE$2,"")&amp;IF(N(AF132)&gt;0,", "&amp;A132&amp;"-"&amp;AF$2,"")&amp;IF(N(AG132)&gt;0,", "&amp;A132&amp;"-"&amp;AG$2,"")&amp;IF(N(AH132)&gt;0,", "&amp;A132&amp;"-"&amp;AH$2,"")&amp;IF(N(AI132)&gt;0,", "&amp;A132&amp;"-"&amp;AI$2,"")&amp;IF(N(AJ132)&gt;0,", "&amp;A132&amp;"-"&amp;AJ$2,""),3,999))</f>
        <v/>
      </c>
      <c r="AN132" s="81"/>
      <c r="AO132" s="88"/>
      <c r="AP132" s="89" t="str">
        <f aca="false">IF(AO132="","",ROUND(AO132/(1+Справочники!$B$13),2))</f>
        <v/>
      </c>
      <c r="AQ132" s="90" t="str">
        <f aca="false" t="array" ref="AQ132:AQ132">IF(AP132="","",AP132*INDEX(Справочники!$B$4:$B$7,MATCH("RUB",Справочники!$A$4:$A$7,0)))</f>
        <v/>
      </c>
      <c r="AR132" s="90" t="str">
        <f aca="false">IF(AQ132="","",ROUND(AQ132*(1+Справочники!$B$12),0))</f>
        <v/>
      </c>
      <c r="AS132" s="90" t="str">
        <f aca="false">IF(AR132="","",ROUND(AR132*(1-Справочники!$B$11),0))</f>
        <v/>
      </c>
      <c r="AT132" s="88"/>
      <c r="AU132" s="90" t="str">
        <f aca="false">IF(AT132="","",ROUND(AT132/(1+Справочники!$B$12),0))</f>
        <v/>
      </c>
      <c r="AV132" s="90" t="str">
        <f aca="false">IF(AT132="","",ROUND(AT132*(1-Справочники!$B$15),0))</f>
        <v/>
      </c>
      <c r="AW132" s="90" t="str">
        <f aca="false">IF(AT132="","",ROUND(AT132*(1-Справочники!$B$16),0))</f>
        <v/>
      </c>
      <c r="AX132" s="90" t="str">
        <f aca="false">IF(AT132="","",ROUND(AT132*(1-Справочники!$B$17),0))</f>
        <v/>
      </c>
      <c r="AY132" s="90" t="str">
        <f aca="false">IF(AT132="","",ROUND(AT132*(1-Справочники!$B$18),0))</f>
        <v/>
      </c>
      <c r="AZ132" s="90" t="str">
        <f aca="false">IF(AT132="","",ROUND(AT132*(1-Справочники!$B$19),0))</f>
        <v/>
      </c>
      <c r="BA132" s="81"/>
      <c r="BB132" s="81"/>
      <c r="BC132" s="81"/>
      <c r="BD132" s="81"/>
      <c r="BE132" s="91"/>
      <c r="BF132" s="81" t="s">
        <v>103</v>
      </c>
      <c r="BG132" s="89" t="n">
        <f aca="false" t="array" ref="BG132:BG132">IF(BF132="","",IFERROR(INDEX(Справочники!$B$4:$B$7,MATCH(BF132,Справочники!$A$4:$A$7,0)),""))</f>
        <v>68.5</v>
      </c>
      <c r="BH132" s="90" t="str">
        <f aca="false">IF(N(BN132)&gt;0,ROUND(SUMIF(ЗАКАЗЫ!$F$3:$F$500,$A132,ЗАКАЗЫ!$Y$3:$Y$500)/BN132,0),IF(OR(BE132="",BG132=""),"",ROUND(BE132*BG132*(1+Справочники!$B$10),0)))</f>
        <v/>
      </c>
      <c r="BI132" s="92" t="str">
        <f aca="false">IF(OR(AU132="",BH132="",AU132=0),"",(AU132-BH132)/AU132)</f>
        <v/>
      </c>
      <c r="BJ132" s="81"/>
      <c r="BK132" s="83"/>
      <c r="BL132" s="43" t="str">
        <f aca="false">IFERROR(INDEX(ЗАКАЗЫ!$N$3:$N$500,MATCH($A132,ЗАКАЗЫ!$F$3:$F$500,0)),"")</f>
        <v/>
      </c>
      <c r="BM132" s="8" t="str">
        <f aca="false">IF(BL132="","",IFERROR(VLOOKUP(BL132,'ТН ВЭД'!$A$4:$C$40,3,0),""))</f>
        <v/>
      </c>
      <c r="BN132" s="7" t="str">
        <f aca="false">IF(COUNTIF(ЗАКАЗЫ!$F$3:$F$500,$A132)=0,"",SUMIF(ЗАКАЗЫ!$F$3:$F$500,$A132,ЗАКАЗЫ!$J$3:$J$500))</f>
        <v/>
      </c>
      <c r="BO132" s="7" t="str">
        <f aca="false">IF(BN132="","",SUMIF(ЗАКАЗЫ!$F$3:$F$500,$A132,ЗАКАЗЫ!$AL$3:$AL$500))</f>
        <v/>
      </c>
      <c r="BP132" s="7" t="str">
        <f aca="false">IF(BN132="","",BN132-BO132)</f>
        <v/>
      </c>
      <c r="BQ132" s="55" t="str">
        <f aca="false">IF(BN132="","",IF(BO132&gt;=BN132,"На складе",IF(BO132&gt;0,"Частично","Ждём")))</f>
        <v/>
      </c>
      <c r="BR132" s="43"/>
      <c r="BS132" s="47" t="str">
        <f aca="false">IF(BN132="","",IF(_xlfn.MAXIFS(ЗАКАЗЫ!$AK$3:$AK$500,ЗАКАЗЫ!$F$3:$F$500,$A132)=0,"",_xlfn.MAXIFS(ЗАКАЗЫ!$AK$3:$AK$500,ЗАКАЗЫ!$F$3:$F$500,$A132)))</f>
        <v/>
      </c>
    </row>
    <row r="133" customFormat="false" ht="15.75" hidden="false" customHeight="true" outlineLevel="0" collapsed="false">
      <c r="A133" s="80" t="s">
        <v>3044</v>
      </c>
      <c r="B133" s="81"/>
      <c r="C133" s="81"/>
      <c r="D133" s="81"/>
      <c r="E133" s="83"/>
      <c r="F133" s="81"/>
      <c r="G133" s="83"/>
      <c r="H133" s="83"/>
      <c r="I133" s="84" t="str">
        <f aca="false">IF(E133="","",A133&amp;"_1.jpg")</f>
        <v/>
      </c>
      <c r="J133" s="84" t="str">
        <f aca="false">IF(E133="","",A133&amp;"_2.jpg; "&amp;A133&amp;"_3.jpg")</f>
        <v/>
      </c>
      <c r="K133" s="84" t="str">
        <f aca="false">IF(E133="","",A133&amp;"_schema.jpg")</f>
        <v/>
      </c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 t="s">
        <v>96</v>
      </c>
      <c r="W133" s="81"/>
      <c r="X133" s="81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6" t="str">
        <f aca="false">IF(SUM(Y133:AJ133)=0,"",SUM(Y133:AJ133))</f>
        <v/>
      </c>
      <c r="AL133" s="84" t="str">
        <f aca="false">MID(IF(N(Y133)&gt;0,", "&amp;Y$2,"")&amp;IF(N(Z133)&gt;0,", "&amp;Z$2,"")&amp;IF(N(AA133)&gt;0,", "&amp;AA$2,"")&amp;IF(N(AB133)&gt;0,", "&amp;AB$2,"")&amp;IF(N(AC133)&gt;0,", "&amp;AC$2,"")&amp;IF(N(AD133)&gt;0,", "&amp;AD$2,"")&amp;IF(N(AE133)&gt;0,", "&amp;AE$2,"")&amp;IF(N(AF133)&gt;0,", "&amp;AF$2,"")&amp;IF(N(AG133)&gt;0,", "&amp;AG$2,"")&amp;IF(N(AH133)&gt;0,", "&amp;AH$2,"")&amp;IF(N(AI133)&gt;0,", "&amp;AI$2,"")&amp;IF(N(AJ133)&gt;0,", "&amp;AJ$2,""),3,999)</f>
        <v/>
      </c>
      <c r="AM133" s="87" t="str">
        <f aca="false">IF(E133="","",MID(IF(N(Y133)&gt;0,", "&amp;A133&amp;"-"&amp;Y$2,"")&amp;IF(N(Z133)&gt;0,", "&amp;A133&amp;"-"&amp;Z$2,"")&amp;IF(N(AA133)&gt;0,", "&amp;A133&amp;"-"&amp;AA$2,"")&amp;IF(N(AB133)&gt;0,", "&amp;A133&amp;"-"&amp;AB$2,"")&amp;IF(N(AC133)&gt;0,", "&amp;A133&amp;"-"&amp;AC$2,"")&amp;IF(N(AD133)&gt;0,", "&amp;A133&amp;"-"&amp;AD$2,"")&amp;IF(N(AE133)&gt;0,", "&amp;A133&amp;"-"&amp;AE$2,"")&amp;IF(N(AF133)&gt;0,", "&amp;A133&amp;"-"&amp;AF$2,"")&amp;IF(N(AG133)&gt;0,", "&amp;A133&amp;"-"&amp;AG$2,"")&amp;IF(N(AH133)&gt;0,", "&amp;A133&amp;"-"&amp;AH$2,"")&amp;IF(N(AI133)&gt;0,", "&amp;A133&amp;"-"&amp;AI$2,"")&amp;IF(N(AJ133)&gt;0,", "&amp;A133&amp;"-"&amp;AJ$2,""),3,999))</f>
        <v/>
      </c>
      <c r="AN133" s="81"/>
      <c r="AO133" s="88"/>
      <c r="AP133" s="89" t="str">
        <f aca="false">IF(AO133="","",ROUND(AO133/(1+Справочники!$B$13),2))</f>
        <v/>
      </c>
      <c r="AQ133" s="90" t="str">
        <f aca="false" t="array" ref="AQ133:AQ133">IF(AP133="","",AP133*INDEX(Справочники!$B$4:$B$7,MATCH("RUB",Справочники!$A$4:$A$7,0)))</f>
        <v/>
      </c>
      <c r="AR133" s="90" t="str">
        <f aca="false">IF(AQ133="","",ROUND(AQ133*(1+Справочники!$B$12),0))</f>
        <v/>
      </c>
      <c r="AS133" s="90" t="str">
        <f aca="false">IF(AR133="","",ROUND(AR133*(1-Справочники!$B$11),0))</f>
        <v/>
      </c>
      <c r="AT133" s="88"/>
      <c r="AU133" s="90" t="str">
        <f aca="false">IF(AT133="","",ROUND(AT133/(1+Справочники!$B$12),0))</f>
        <v/>
      </c>
      <c r="AV133" s="90" t="str">
        <f aca="false">IF(AT133="","",ROUND(AT133*(1-Справочники!$B$15),0))</f>
        <v/>
      </c>
      <c r="AW133" s="90" t="str">
        <f aca="false">IF(AT133="","",ROUND(AT133*(1-Справочники!$B$16),0))</f>
        <v/>
      </c>
      <c r="AX133" s="90" t="str">
        <f aca="false">IF(AT133="","",ROUND(AT133*(1-Справочники!$B$17),0))</f>
        <v/>
      </c>
      <c r="AY133" s="90" t="str">
        <f aca="false">IF(AT133="","",ROUND(AT133*(1-Справочники!$B$18),0))</f>
        <v/>
      </c>
      <c r="AZ133" s="90" t="str">
        <f aca="false">IF(AT133="","",ROUND(AT133*(1-Справочники!$B$19),0))</f>
        <v/>
      </c>
      <c r="BA133" s="81"/>
      <c r="BB133" s="81"/>
      <c r="BC133" s="81"/>
      <c r="BD133" s="81"/>
      <c r="BE133" s="91"/>
      <c r="BF133" s="81" t="s">
        <v>103</v>
      </c>
      <c r="BG133" s="89" t="n">
        <f aca="false" t="array" ref="BG133:BG133">IF(BF133="","",IFERROR(INDEX(Справочники!$B$4:$B$7,MATCH(BF133,Справочники!$A$4:$A$7,0)),""))</f>
        <v>68.5</v>
      </c>
      <c r="BH133" s="90" t="str">
        <f aca="false">IF(N(BN133)&gt;0,ROUND(SUMIF(ЗАКАЗЫ!$F$3:$F$500,$A133,ЗАКАЗЫ!$Y$3:$Y$500)/BN133,0),IF(OR(BE133="",BG133=""),"",ROUND(BE133*BG133*(1+Справочники!$B$10),0)))</f>
        <v/>
      </c>
      <c r="BI133" s="92" t="str">
        <f aca="false">IF(OR(AU133="",BH133="",AU133=0),"",(AU133-BH133)/AU133)</f>
        <v/>
      </c>
      <c r="BJ133" s="81"/>
      <c r="BK133" s="83"/>
      <c r="BL133" s="43" t="str">
        <f aca="false">IFERROR(INDEX(ЗАКАЗЫ!$N$3:$N$500,MATCH($A133,ЗАКАЗЫ!$F$3:$F$500,0)),"")</f>
        <v/>
      </c>
      <c r="BM133" s="8" t="str">
        <f aca="false">IF(BL133="","",IFERROR(VLOOKUP(BL133,'ТН ВЭД'!$A$4:$C$40,3,0),""))</f>
        <v/>
      </c>
      <c r="BN133" s="7" t="str">
        <f aca="false">IF(COUNTIF(ЗАКАЗЫ!$F$3:$F$500,$A133)=0,"",SUMIF(ЗАКАЗЫ!$F$3:$F$500,$A133,ЗАКАЗЫ!$J$3:$J$500))</f>
        <v/>
      </c>
      <c r="BO133" s="7" t="str">
        <f aca="false">IF(BN133="","",SUMIF(ЗАКАЗЫ!$F$3:$F$500,$A133,ЗАКАЗЫ!$AL$3:$AL$500))</f>
        <v/>
      </c>
      <c r="BP133" s="7" t="str">
        <f aca="false">IF(BN133="","",BN133-BO133)</f>
        <v/>
      </c>
      <c r="BQ133" s="55" t="str">
        <f aca="false">IF(BN133="","",IF(BO133&gt;=BN133,"На складе",IF(BO133&gt;0,"Частично","Ждём")))</f>
        <v/>
      </c>
      <c r="BR133" s="43"/>
      <c r="BS133" s="47" t="str">
        <f aca="false">IF(BN133="","",IF(_xlfn.MAXIFS(ЗАКАЗЫ!$AK$3:$AK$500,ЗАКАЗЫ!$F$3:$F$500,$A133)=0,"",_xlfn.MAXIFS(ЗАКАЗЫ!$AK$3:$AK$500,ЗАКАЗЫ!$F$3:$F$500,$A133)))</f>
        <v/>
      </c>
    </row>
    <row r="134" customFormat="false" ht="15.75" hidden="false" customHeight="true" outlineLevel="0" collapsed="false">
      <c r="A134" s="80" t="s">
        <v>3045</v>
      </c>
      <c r="B134" s="81"/>
      <c r="C134" s="81"/>
      <c r="D134" s="81"/>
      <c r="E134" s="83"/>
      <c r="F134" s="81"/>
      <c r="G134" s="83"/>
      <c r="H134" s="83"/>
      <c r="I134" s="84" t="str">
        <f aca="false">IF(E134="","",A134&amp;"_1.jpg")</f>
        <v/>
      </c>
      <c r="J134" s="84" t="str">
        <f aca="false">IF(E134="","",A134&amp;"_2.jpg; "&amp;A134&amp;"_3.jpg")</f>
        <v/>
      </c>
      <c r="K134" s="84" t="str">
        <f aca="false">IF(E134="","",A134&amp;"_schema.jpg")</f>
        <v/>
      </c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 t="s">
        <v>96</v>
      </c>
      <c r="W134" s="81"/>
      <c r="X134" s="81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6" t="str">
        <f aca="false">IF(SUM(Y134:AJ134)=0,"",SUM(Y134:AJ134))</f>
        <v/>
      </c>
      <c r="AL134" s="84" t="str">
        <f aca="false">MID(IF(N(Y134)&gt;0,", "&amp;Y$2,"")&amp;IF(N(Z134)&gt;0,", "&amp;Z$2,"")&amp;IF(N(AA134)&gt;0,", "&amp;AA$2,"")&amp;IF(N(AB134)&gt;0,", "&amp;AB$2,"")&amp;IF(N(AC134)&gt;0,", "&amp;AC$2,"")&amp;IF(N(AD134)&gt;0,", "&amp;AD$2,"")&amp;IF(N(AE134)&gt;0,", "&amp;AE$2,"")&amp;IF(N(AF134)&gt;0,", "&amp;AF$2,"")&amp;IF(N(AG134)&gt;0,", "&amp;AG$2,"")&amp;IF(N(AH134)&gt;0,", "&amp;AH$2,"")&amp;IF(N(AI134)&gt;0,", "&amp;AI$2,"")&amp;IF(N(AJ134)&gt;0,", "&amp;AJ$2,""),3,999)</f>
        <v/>
      </c>
      <c r="AM134" s="87" t="str">
        <f aca="false">IF(E134="","",MID(IF(N(Y134)&gt;0,", "&amp;A134&amp;"-"&amp;Y$2,"")&amp;IF(N(Z134)&gt;0,", "&amp;A134&amp;"-"&amp;Z$2,"")&amp;IF(N(AA134)&gt;0,", "&amp;A134&amp;"-"&amp;AA$2,"")&amp;IF(N(AB134)&gt;0,", "&amp;A134&amp;"-"&amp;AB$2,"")&amp;IF(N(AC134)&gt;0,", "&amp;A134&amp;"-"&amp;AC$2,"")&amp;IF(N(AD134)&gt;0,", "&amp;A134&amp;"-"&amp;AD$2,"")&amp;IF(N(AE134)&gt;0,", "&amp;A134&amp;"-"&amp;AE$2,"")&amp;IF(N(AF134)&gt;0,", "&amp;A134&amp;"-"&amp;AF$2,"")&amp;IF(N(AG134)&gt;0,", "&amp;A134&amp;"-"&amp;AG$2,"")&amp;IF(N(AH134)&gt;0,", "&amp;A134&amp;"-"&amp;AH$2,"")&amp;IF(N(AI134)&gt;0,", "&amp;A134&amp;"-"&amp;AI$2,"")&amp;IF(N(AJ134)&gt;0,", "&amp;A134&amp;"-"&amp;AJ$2,""),3,999))</f>
        <v/>
      </c>
      <c r="AN134" s="81"/>
      <c r="AO134" s="88"/>
      <c r="AP134" s="89" t="str">
        <f aca="false">IF(AO134="","",ROUND(AO134/(1+Справочники!$B$13),2))</f>
        <v/>
      </c>
      <c r="AQ134" s="90" t="str">
        <f aca="false" t="array" ref="AQ134:AQ134">IF(AP134="","",AP134*INDEX(Справочники!$B$4:$B$7,MATCH("RUB",Справочники!$A$4:$A$7,0)))</f>
        <v/>
      </c>
      <c r="AR134" s="90" t="str">
        <f aca="false">IF(AQ134="","",ROUND(AQ134*(1+Справочники!$B$12),0))</f>
        <v/>
      </c>
      <c r="AS134" s="90" t="str">
        <f aca="false">IF(AR134="","",ROUND(AR134*(1-Справочники!$B$11),0))</f>
        <v/>
      </c>
      <c r="AT134" s="88"/>
      <c r="AU134" s="90" t="str">
        <f aca="false">IF(AT134="","",ROUND(AT134/(1+Справочники!$B$12),0))</f>
        <v/>
      </c>
      <c r="AV134" s="90" t="str">
        <f aca="false">IF(AT134="","",ROUND(AT134*(1-Справочники!$B$15),0))</f>
        <v/>
      </c>
      <c r="AW134" s="90" t="str">
        <f aca="false">IF(AT134="","",ROUND(AT134*(1-Справочники!$B$16),0))</f>
        <v/>
      </c>
      <c r="AX134" s="90" t="str">
        <f aca="false">IF(AT134="","",ROUND(AT134*(1-Справочники!$B$17),0))</f>
        <v/>
      </c>
      <c r="AY134" s="90" t="str">
        <f aca="false">IF(AT134="","",ROUND(AT134*(1-Справочники!$B$18),0))</f>
        <v/>
      </c>
      <c r="AZ134" s="90" t="str">
        <f aca="false">IF(AT134="","",ROUND(AT134*(1-Справочники!$B$19),0))</f>
        <v/>
      </c>
      <c r="BA134" s="81"/>
      <c r="BB134" s="81"/>
      <c r="BC134" s="81"/>
      <c r="BD134" s="81"/>
      <c r="BE134" s="91"/>
      <c r="BF134" s="81" t="s">
        <v>103</v>
      </c>
      <c r="BG134" s="89" t="n">
        <f aca="false" t="array" ref="BG134:BG134">IF(BF134="","",IFERROR(INDEX(Справочники!$B$4:$B$7,MATCH(BF134,Справочники!$A$4:$A$7,0)),""))</f>
        <v>68.5</v>
      </c>
      <c r="BH134" s="90" t="str">
        <f aca="false">IF(N(BN134)&gt;0,ROUND(SUMIF(ЗАКАЗЫ!$F$3:$F$500,$A134,ЗАКАЗЫ!$Y$3:$Y$500)/BN134,0),IF(OR(BE134="",BG134=""),"",ROUND(BE134*BG134*(1+Справочники!$B$10),0)))</f>
        <v/>
      </c>
      <c r="BI134" s="92" t="str">
        <f aca="false">IF(OR(AU134="",BH134="",AU134=0),"",(AU134-BH134)/AU134)</f>
        <v/>
      </c>
      <c r="BJ134" s="81"/>
      <c r="BK134" s="83"/>
      <c r="BL134" s="43" t="str">
        <f aca="false">IFERROR(INDEX(ЗАКАЗЫ!$N$3:$N$500,MATCH($A134,ЗАКАЗЫ!$F$3:$F$500,0)),"")</f>
        <v/>
      </c>
      <c r="BM134" s="8" t="str">
        <f aca="false">IF(BL134="","",IFERROR(VLOOKUP(BL134,'ТН ВЭД'!$A$4:$C$40,3,0),""))</f>
        <v/>
      </c>
      <c r="BN134" s="7" t="str">
        <f aca="false">IF(COUNTIF(ЗАКАЗЫ!$F$3:$F$500,$A134)=0,"",SUMIF(ЗАКАЗЫ!$F$3:$F$500,$A134,ЗАКАЗЫ!$J$3:$J$500))</f>
        <v/>
      </c>
      <c r="BO134" s="7" t="str">
        <f aca="false">IF(BN134="","",SUMIF(ЗАКАЗЫ!$F$3:$F$500,$A134,ЗАКАЗЫ!$AL$3:$AL$500))</f>
        <v/>
      </c>
      <c r="BP134" s="7" t="str">
        <f aca="false">IF(BN134="","",BN134-BO134)</f>
        <v/>
      </c>
      <c r="BQ134" s="55" t="str">
        <f aca="false">IF(BN134="","",IF(BO134&gt;=BN134,"На складе",IF(BO134&gt;0,"Частично","Ждём")))</f>
        <v/>
      </c>
      <c r="BR134" s="43"/>
      <c r="BS134" s="47" t="str">
        <f aca="false">IF(BN134="","",IF(_xlfn.MAXIFS(ЗАКАЗЫ!$AK$3:$AK$500,ЗАКАЗЫ!$F$3:$F$500,$A134)=0,"",_xlfn.MAXIFS(ЗАКАЗЫ!$AK$3:$AK$500,ЗАКАЗЫ!$F$3:$F$500,$A134)))</f>
        <v/>
      </c>
    </row>
    <row r="135" customFormat="false" ht="15.75" hidden="false" customHeight="true" outlineLevel="0" collapsed="false">
      <c r="A135" s="80" t="s">
        <v>3046</v>
      </c>
      <c r="B135" s="81"/>
      <c r="C135" s="81"/>
      <c r="D135" s="81"/>
      <c r="E135" s="83"/>
      <c r="F135" s="81"/>
      <c r="G135" s="83"/>
      <c r="H135" s="83"/>
      <c r="I135" s="84" t="str">
        <f aca="false">IF(E135="","",A135&amp;"_1.jpg")</f>
        <v/>
      </c>
      <c r="J135" s="84" t="str">
        <f aca="false">IF(E135="","",A135&amp;"_2.jpg; "&amp;A135&amp;"_3.jpg")</f>
        <v/>
      </c>
      <c r="K135" s="84" t="str">
        <f aca="false">IF(E135="","",A135&amp;"_schema.jpg")</f>
        <v/>
      </c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 t="s">
        <v>96</v>
      </c>
      <c r="W135" s="81"/>
      <c r="X135" s="81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6" t="str">
        <f aca="false">IF(SUM(Y135:AJ135)=0,"",SUM(Y135:AJ135))</f>
        <v/>
      </c>
      <c r="AL135" s="84" t="str">
        <f aca="false">MID(IF(N(Y135)&gt;0,", "&amp;Y$2,"")&amp;IF(N(Z135)&gt;0,", "&amp;Z$2,"")&amp;IF(N(AA135)&gt;0,", "&amp;AA$2,"")&amp;IF(N(AB135)&gt;0,", "&amp;AB$2,"")&amp;IF(N(AC135)&gt;0,", "&amp;AC$2,"")&amp;IF(N(AD135)&gt;0,", "&amp;AD$2,"")&amp;IF(N(AE135)&gt;0,", "&amp;AE$2,"")&amp;IF(N(AF135)&gt;0,", "&amp;AF$2,"")&amp;IF(N(AG135)&gt;0,", "&amp;AG$2,"")&amp;IF(N(AH135)&gt;0,", "&amp;AH$2,"")&amp;IF(N(AI135)&gt;0,", "&amp;AI$2,"")&amp;IF(N(AJ135)&gt;0,", "&amp;AJ$2,""),3,999)</f>
        <v/>
      </c>
      <c r="AM135" s="87" t="str">
        <f aca="false">IF(E135="","",MID(IF(N(Y135)&gt;0,", "&amp;A135&amp;"-"&amp;Y$2,"")&amp;IF(N(Z135)&gt;0,", "&amp;A135&amp;"-"&amp;Z$2,"")&amp;IF(N(AA135)&gt;0,", "&amp;A135&amp;"-"&amp;AA$2,"")&amp;IF(N(AB135)&gt;0,", "&amp;A135&amp;"-"&amp;AB$2,"")&amp;IF(N(AC135)&gt;0,", "&amp;A135&amp;"-"&amp;AC$2,"")&amp;IF(N(AD135)&gt;0,", "&amp;A135&amp;"-"&amp;AD$2,"")&amp;IF(N(AE135)&gt;0,", "&amp;A135&amp;"-"&amp;AE$2,"")&amp;IF(N(AF135)&gt;0,", "&amp;A135&amp;"-"&amp;AF$2,"")&amp;IF(N(AG135)&gt;0,", "&amp;A135&amp;"-"&amp;AG$2,"")&amp;IF(N(AH135)&gt;0,", "&amp;A135&amp;"-"&amp;AH$2,"")&amp;IF(N(AI135)&gt;0,", "&amp;A135&amp;"-"&amp;AI$2,"")&amp;IF(N(AJ135)&gt;0,", "&amp;A135&amp;"-"&amp;AJ$2,""),3,999))</f>
        <v/>
      </c>
      <c r="AN135" s="81"/>
      <c r="AO135" s="88"/>
      <c r="AP135" s="89" t="str">
        <f aca="false">IF(AO135="","",ROUND(AO135/(1+Справочники!$B$13),2))</f>
        <v/>
      </c>
      <c r="AQ135" s="90" t="str">
        <f aca="false" t="array" ref="AQ135:AQ135">IF(AP135="","",AP135*INDEX(Справочники!$B$4:$B$7,MATCH("RUB",Справочники!$A$4:$A$7,0)))</f>
        <v/>
      </c>
      <c r="AR135" s="90" t="str">
        <f aca="false">IF(AQ135="","",ROUND(AQ135*(1+Справочники!$B$12),0))</f>
        <v/>
      </c>
      <c r="AS135" s="90" t="str">
        <f aca="false">IF(AR135="","",ROUND(AR135*(1-Справочники!$B$11),0))</f>
        <v/>
      </c>
      <c r="AT135" s="88"/>
      <c r="AU135" s="90" t="str">
        <f aca="false">IF(AT135="","",ROUND(AT135/(1+Справочники!$B$12),0))</f>
        <v/>
      </c>
      <c r="AV135" s="90" t="str">
        <f aca="false">IF(AT135="","",ROUND(AT135*(1-Справочники!$B$15),0))</f>
        <v/>
      </c>
      <c r="AW135" s="90" t="str">
        <f aca="false">IF(AT135="","",ROUND(AT135*(1-Справочники!$B$16),0))</f>
        <v/>
      </c>
      <c r="AX135" s="90" t="str">
        <f aca="false">IF(AT135="","",ROUND(AT135*(1-Справочники!$B$17),0))</f>
        <v/>
      </c>
      <c r="AY135" s="90" t="str">
        <f aca="false">IF(AT135="","",ROUND(AT135*(1-Справочники!$B$18),0))</f>
        <v/>
      </c>
      <c r="AZ135" s="90" t="str">
        <f aca="false">IF(AT135="","",ROUND(AT135*(1-Справочники!$B$19),0))</f>
        <v/>
      </c>
      <c r="BA135" s="81"/>
      <c r="BB135" s="81"/>
      <c r="BC135" s="81"/>
      <c r="BD135" s="81"/>
      <c r="BE135" s="91"/>
      <c r="BF135" s="81" t="s">
        <v>103</v>
      </c>
      <c r="BG135" s="89" t="n">
        <f aca="false" t="array" ref="BG135:BG135">IF(BF135="","",IFERROR(INDEX(Справочники!$B$4:$B$7,MATCH(BF135,Справочники!$A$4:$A$7,0)),""))</f>
        <v>68.5</v>
      </c>
      <c r="BH135" s="90" t="str">
        <f aca="false">IF(N(BN135)&gt;0,ROUND(SUMIF(ЗАКАЗЫ!$F$3:$F$500,$A135,ЗАКАЗЫ!$Y$3:$Y$500)/BN135,0),IF(OR(BE135="",BG135=""),"",ROUND(BE135*BG135*(1+Справочники!$B$10),0)))</f>
        <v/>
      </c>
      <c r="BI135" s="92" t="str">
        <f aca="false">IF(OR(AU135="",BH135="",AU135=0),"",(AU135-BH135)/AU135)</f>
        <v/>
      </c>
      <c r="BJ135" s="81"/>
      <c r="BK135" s="83"/>
      <c r="BL135" s="43" t="str">
        <f aca="false">IFERROR(INDEX(ЗАКАЗЫ!$N$3:$N$500,MATCH($A135,ЗАКАЗЫ!$F$3:$F$500,0)),"")</f>
        <v/>
      </c>
      <c r="BM135" s="8" t="str">
        <f aca="false">IF(BL135="","",IFERROR(VLOOKUP(BL135,'ТН ВЭД'!$A$4:$C$40,3,0),""))</f>
        <v/>
      </c>
      <c r="BN135" s="7" t="str">
        <f aca="false">IF(COUNTIF(ЗАКАЗЫ!$F$3:$F$500,$A135)=0,"",SUMIF(ЗАКАЗЫ!$F$3:$F$500,$A135,ЗАКАЗЫ!$J$3:$J$500))</f>
        <v/>
      </c>
      <c r="BO135" s="7" t="str">
        <f aca="false">IF(BN135="","",SUMIF(ЗАКАЗЫ!$F$3:$F$500,$A135,ЗАКАЗЫ!$AL$3:$AL$500))</f>
        <v/>
      </c>
      <c r="BP135" s="7" t="str">
        <f aca="false">IF(BN135="","",BN135-BO135)</f>
        <v/>
      </c>
      <c r="BQ135" s="55" t="str">
        <f aca="false">IF(BN135="","",IF(BO135&gt;=BN135,"На складе",IF(BO135&gt;0,"Частично","Ждём")))</f>
        <v/>
      </c>
      <c r="BR135" s="43"/>
      <c r="BS135" s="47" t="str">
        <f aca="false">IF(BN135="","",IF(_xlfn.MAXIFS(ЗАКАЗЫ!$AK$3:$AK$500,ЗАКАЗЫ!$F$3:$F$500,$A135)=0,"",_xlfn.MAXIFS(ЗАКАЗЫ!$AK$3:$AK$500,ЗАКАЗЫ!$F$3:$F$500,$A135)))</f>
        <v/>
      </c>
    </row>
    <row r="136" customFormat="false" ht="15.75" hidden="false" customHeight="true" outlineLevel="0" collapsed="false">
      <c r="A136" s="80" t="s">
        <v>3047</v>
      </c>
      <c r="B136" s="81"/>
      <c r="C136" s="81"/>
      <c r="D136" s="81"/>
      <c r="E136" s="83"/>
      <c r="F136" s="81"/>
      <c r="G136" s="83"/>
      <c r="H136" s="83"/>
      <c r="I136" s="84" t="str">
        <f aca="false">IF(E136="","",A136&amp;"_1.jpg")</f>
        <v/>
      </c>
      <c r="J136" s="84" t="str">
        <f aca="false">IF(E136="","",A136&amp;"_2.jpg; "&amp;A136&amp;"_3.jpg")</f>
        <v/>
      </c>
      <c r="K136" s="84" t="str">
        <f aca="false">IF(E136="","",A136&amp;"_schema.jpg")</f>
        <v/>
      </c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 t="s">
        <v>96</v>
      </c>
      <c r="W136" s="81"/>
      <c r="X136" s="81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6" t="str">
        <f aca="false">IF(SUM(Y136:AJ136)=0,"",SUM(Y136:AJ136))</f>
        <v/>
      </c>
      <c r="AL136" s="84" t="str">
        <f aca="false">MID(IF(N(Y136)&gt;0,", "&amp;Y$2,"")&amp;IF(N(Z136)&gt;0,", "&amp;Z$2,"")&amp;IF(N(AA136)&gt;0,", "&amp;AA$2,"")&amp;IF(N(AB136)&gt;0,", "&amp;AB$2,"")&amp;IF(N(AC136)&gt;0,", "&amp;AC$2,"")&amp;IF(N(AD136)&gt;0,", "&amp;AD$2,"")&amp;IF(N(AE136)&gt;0,", "&amp;AE$2,"")&amp;IF(N(AF136)&gt;0,", "&amp;AF$2,"")&amp;IF(N(AG136)&gt;0,", "&amp;AG$2,"")&amp;IF(N(AH136)&gt;0,", "&amp;AH$2,"")&amp;IF(N(AI136)&gt;0,", "&amp;AI$2,"")&amp;IF(N(AJ136)&gt;0,", "&amp;AJ$2,""),3,999)</f>
        <v/>
      </c>
      <c r="AM136" s="87" t="str">
        <f aca="false">IF(E136="","",MID(IF(N(Y136)&gt;0,", "&amp;A136&amp;"-"&amp;Y$2,"")&amp;IF(N(Z136)&gt;0,", "&amp;A136&amp;"-"&amp;Z$2,"")&amp;IF(N(AA136)&gt;0,", "&amp;A136&amp;"-"&amp;AA$2,"")&amp;IF(N(AB136)&gt;0,", "&amp;A136&amp;"-"&amp;AB$2,"")&amp;IF(N(AC136)&gt;0,", "&amp;A136&amp;"-"&amp;AC$2,"")&amp;IF(N(AD136)&gt;0,", "&amp;A136&amp;"-"&amp;AD$2,"")&amp;IF(N(AE136)&gt;0,", "&amp;A136&amp;"-"&amp;AE$2,"")&amp;IF(N(AF136)&gt;0,", "&amp;A136&amp;"-"&amp;AF$2,"")&amp;IF(N(AG136)&gt;0,", "&amp;A136&amp;"-"&amp;AG$2,"")&amp;IF(N(AH136)&gt;0,", "&amp;A136&amp;"-"&amp;AH$2,"")&amp;IF(N(AI136)&gt;0,", "&amp;A136&amp;"-"&amp;AI$2,"")&amp;IF(N(AJ136)&gt;0,", "&amp;A136&amp;"-"&amp;AJ$2,""),3,999))</f>
        <v/>
      </c>
      <c r="AN136" s="81"/>
      <c r="AO136" s="88"/>
      <c r="AP136" s="89" t="str">
        <f aca="false">IF(AO136="","",ROUND(AO136/(1+Справочники!$B$13),2))</f>
        <v/>
      </c>
      <c r="AQ136" s="90" t="str">
        <f aca="false" t="array" ref="AQ136:AQ136">IF(AP136="","",AP136*INDEX(Справочники!$B$4:$B$7,MATCH("RUB",Справочники!$A$4:$A$7,0)))</f>
        <v/>
      </c>
      <c r="AR136" s="90" t="str">
        <f aca="false">IF(AQ136="","",ROUND(AQ136*(1+Справочники!$B$12),0))</f>
        <v/>
      </c>
      <c r="AS136" s="90" t="str">
        <f aca="false">IF(AR136="","",ROUND(AR136*(1-Справочники!$B$11),0))</f>
        <v/>
      </c>
      <c r="AT136" s="88"/>
      <c r="AU136" s="90" t="str">
        <f aca="false">IF(AT136="","",ROUND(AT136/(1+Справочники!$B$12),0))</f>
        <v/>
      </c>
      <c r="AV136" s="90" t="str">
        <f aca="false">IF(AT136="","",ROUND(AT136*(1-Справочники!$B$15),0))</f>
        <v/>
      </c>
      <c r="AW136" s="90" t="str">
        <f aca="false">IF(AT136="","",ROUND(AT136*(1-Справочники!$B$16),0))</f>
        <v/>
      </c>
      <c r="AX136" s="90" t="str">
        <f aca="false">IF(AT136="","",ROUND(AT136*(1-Справочники!$B$17),0))</f>
        <v/>
      </c>
      <c r="AY136" s="90" t="str">
        <f aca="false">IF(AT136="","",ROUND(AT136*(1-Справочники!$B$18),0))</f>
        <v/>
      </c>
      <c r="AZ136" s="90" t="str">
        <f aca="false">IF(AT136="","",ROUND(AT136*(1-Справочники!$B$19),0))</f>
        <v/>
      </c>
      <c r="BA136" s="81"/>
      <c r="BB136" s="81"/>
      <c r="BC136" s="81"/>
      <c r="BD136" s="81"/>
      <c r="BE136" s="91"/>
      <c r="BF136" s="81" t="s">
        <v>103</v>
      </c>
      <c r="BG136" s="89" t="n">
        <f aca="false" t="array" ref="BG136:BG136">IF(BF136="","",IFERROR(INDEX(Справочники!$B$4:$B$7,MATCH(BF136,Справочники!$A$4:$A$7,0)),""))</f>
        <v>68.5</v>
      </c>
      <c r="BH136" s="90" t="str">
        <f aca="false">IF(N(BN136)&gt;0,ROUND(SUMIF(ЗАКАЗЫ!$F$3:$F$500,$A136,ЗАКАЗЫ!$Y$3:$Y$500)/BN136,0),IF(OR(BE136="",BG136=""),"",ROUND(BE136*BG136*(1+Справочники!$B$10),0)))</f>
        <v/>
      </c>
      <c r="BI136" s="92" t="str">
        <f aca="false">IF(OR(AU136="",BH136="",AU136=0),"",(AU136-BH136)/AU136)</f>
        <v/>
      </c>
      <c r="BJ136" s="81"/>
      <c r="BK136" s="83"/>
      <c r="BL136" s="43" t="str">
        <f aca="false">IFERROR(INDEX(ЗАКАЗЫ!$N$3:$N$500,MATCH($A136,ЗАКАЗЫ!$F$3:$F$500,0)),"")</f>
        <v/>
      </c>
      <c r="BM136" s="8" t="str">
        <f aca="false">IF(BL136="","",IFERROR(VLOOKUP(BL136,'ТН ВЭД'!$A$4:$C$40,3,0),""))</f>
        <v/>
      </c>
      <c r="BN136" s="7" t="str">
        <f aca="false">IF(COUNTIF(ЗАКАЗЫ!$F$3:$F$500,$A136)=0,"",SUMIF(ЗАКАЗЫ!$F$3:$F$500,$A136,ЗАКАЗЫ!$J$3:$J$500))</f>
        <v/>
      </c>
      <c r="BO136" s="7" t="str">
        <f aca="false">IF(BN136="","",SUMIF(ЗАКАЗЫ!$F$3:$F$500,$A136,ЗАКАЗЫ!$AL$3:$AL$500))</f>
        <v/>
      </c>
      <c r="BP136" s="7" t="str">
        <f aca="false">IF(BN136="","",BN136-BO136)</f>
        <v/>
      </c>
      <c r="BQ136" s="55" t="str">
        <f aca="false">IF(BN136="","",IF(BO136&gt;=BN136,"На складе",IF(BO136&gt;0,"Частично","Ждём")))</f>
        <v/>
      </c>
      <c r="BR136" s="43"/>
      <c r="BS136" s="47" t="str">
        <f aca="false">IF(BN136="","",IF(_xlfn.MAXIFS(ЗАКАЗЫ!$AK$3:$AK$500,ЗАКАЗЫ!$F$3:$F$500,$A136)=0,"",_xlfn.MAXIFS(ЗАКАЗЫ!$AK$3:$AK$500,ЗАКАЗЫ!$F$3:$F$500,$A136)))</f>
        <v/>
      </c>
    </row>
    <row r="137" customFormat="false" ht="15.75" hidden="false" customHeight="true" outlineLevel="0" collapsed="false">
      <c r="A137" s="80" t="s">
        <v>3048</v>
      </c>
      <c r="B137" s="81"/>
      <c r="C137" s="81"/>
      <c r="D137" s="81"/>
      <c r="E137" s="83"/>
      <c r="F137" s="81"/>
      <c r="G137" s="83"/>
      <c r="H137" s="83"/>
      <c r="I137" s="84" t="str">
        <f aca="false">IF(E137="","",A137&amp;"_1.jpg")</f>
        <v/>
      </c>
      <c r="J137" s="84" t="str">
        <f aca="false">IF(E137="","",A137&amp;"_2.jpg; "&amp;A137&amp;"_3.jpg")</f>
        <v/>
      </c>
      <c r="K137" s="84" t="str">
        <f aca="false">IF(E137="","",A137&amp;"_schema.jpg")</f>
        <v/>
      </c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 t="s">
        <v>96</v>
      </c>
      <c r="W137" s="81"/>
      <c r="X137" s="81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6" t="str">
        <f aca="false">IF(SUM(Y137:AJ137)=0,"",SUM(Y137:AJ137))</f>
        <v/>
      </c>
      <c r="AL137" s="84" t="str">
        <f aca="false">MID(IF(N(Y137)&gt;0,", "&amp;Y$2,"")&amp;IF(N(Z137)&gt;0,", "&amp;Z$2,"")&amp;IF(N(AA137)&gt;0,", "&amp;AA$2,"")&amp;IF(N(AB137)&gt;0,", "&amp;AB$2,"")&amp;IF(N(AC137)&gt;0,", "&amp;AC$2,"")&amp;IF(N(AD137)&gt;0,", "&amp;AD$2,"")&amp;IF(N(AE137)&gt;0,", "&amp;AE$2,"")&amp;IF(N(AF137)&gt;0,", "&amp;AF$2,"")&amp;IF(N(AG137)&gt;0,", "&amp;AG$2,"")&amp;IF(N(AH137)&gt;0,", "&amp;AH$2,"")&amp;IF(N(AI137)&gt;0,", "&amp;AI$2,"")&amp;IF(N(AJ137)&gt;0,", "&amp;AJ$2,""),3,999)</f>
        <v/>
      </c>
      <c r="AM137" s="87" t="str">
        <f aca="false">IF(E137="","",MID(IF(N(Y137)&gt;0,", "&amp;A137&amp;"-"&amp;Y$2,"")&amp;IF(N(Z137)&gt;0,", "&amp;A137&amp;"-"&amp;Z$2,"")&amp;IF(N(AA137)&gt;0,", "&amp;A137&amp;"-"&amp;AA$2,"")&amp;IF(N(AB137)&gt;0,", "&amp;A137&amp;"-"&amp;AB$2,"")&amp;IF(N(AC137)&gt;0,", "&amp;A137&amp;"-"&amp;AC$2,"")&amp;IF(N(AD137)&gt;0,", "&amp;A137&amp;"-"&amp;AD$2,"")&amp;IF(N(AE137)&gt;0,", "&amp;A137&amp;"-"&amp;AE$2,"")&amp;IF(N(AF137)&gt;0,", "&amp;A137&amp;"-"&amp;AF$2,"")&amp;IF(N(AG137)&gt;0,", "&amp;A137&amp;"-"&amp;AG$2,"")&amp;IF(N(AH137)&gt;0,", "&amp;A137&amp;"-"&amp;AH$2,"")&amp;IF(N(AI137)&gt;0,", "&amp;A137&amp;"-"&amp;AI$2,"")&amp;IF(N(AJ137)&gt;0,", "&amp;A137&amp;"-"&amp;AJ$2,""),3,999))</f>
        <v/>
      </c>
      <c r="AN137" s="81"/>
      <c r="AO137" s="88"/>
      <c r="AP137" s="89" t="str">
        <f aca="false">IF(AO137="","",ROUND(AO137/(1+Справочники!$B$13),2))</f>
        <v/>
      </c>
      <c r="AQ137" s="90" t="str">
        <f aca="false" t="array" ref="AQ137:AQ137">IF(AP137="","",AP137*INDEX(Справочники!$B$4:$B$7,MATCH("RUB",Справочники!$A$4:$A$7,0)))</f>
        <v/>
      </c>
      <c r="AR137" s="90" t="str">
        <f aca="false">IF(AQ137="","",ROUND(AQ137*(1+Справочники!$B$12),0))</f>
        <v/>
      </c>
      <c r="AS137" s="90" t="str">
        <f aca="false">IF(AR137="","",ROUND(AR137*(1-Справочники!$B$11),0))</f>
        <v/>
      </c>
      <c r="AT137" s="88"/>
      <c r="AU137" s="90" t="str">
        <f aca="false">IF(AT137="","",ROUND(AT137/(1+Справочники!$B$12),0))</f>
        <v/>
      </c>
      <c r="AV137" s="90" t="str">
        <f aca="false">IF(AT137="","",ROUND(AT137*(1-Справочники!$B$15),0))</f>
        <v/>
      </c>
      <c r="AW137" s="90" t="str">
        <f aca="false">IF(AT137="","",ROUND(AT137*(1-Справочники!$B$16),0))</f>
        <v/>
      </c>
      <c r="AX137" s="90" t="str">
        <f aca="false">IF(AT137="","",ROUND(AT137*(1-Справочники!$B$17),0))</f>
        <v/>
      </c>
      <c r="AY137" s="90" t="str">
        <f aca="false">IF(AT137="","",ROUND(AT137*(1-Справочники!$B$18),0))</f>
        <v/>
      </c>
      <c r="AZ137" s="90" t="str">
        <f aca="false">IF(AT137="","",ROUND(AT137*(1-Справочники!$B$19),0))</f>
        <v/>
      </c>
      <c r="BA137" s="81"/>
      <c r="BB137" s="81"/>
      <c r="BC137" s="81"/>
      <c r="BD137" s="81"/>
      <c r="BE137" s="91"/>
      <c r="BF137" s="81" t="s">
        <v>103</v>
      </c>
      <c r="BG137" s="89" t="n">
        <f aca="false" t="array" ref="BG137:BG137">IF(BF137="","",IFERROR(INDEX(Справочники!$B$4:$B$7,MATCH(BF137,Справочники!$A$4:$A$7,0)),""))</f>
        <v>68.5</v>
      </c>
      <c r="BH137" s="90" t="str">
        <f aca="false">IF(N(BN137)&gt;0,ROUND(SUMIF(ЗАКАЗЫ!$F$3:$F$500,$A137,ЗАКАЗЫ!$Y$3:$Y$500)/BN137,0),IF(OR(BE137="",BG137=""),"",ROUND(BE137*BG137*(1+Справочники!$B$10),0)))</f>
        <v/>
      </c>
      <c r="BI137" s="92" t="str">
        <f aca="false">IF(OR(AU137="",BH137="",AU137=0),"",(AU137-BH137)/AU137)</f>
        <v/>
      </c>
      <c r="BJ137" s="81"/>
      <c r="BK137" s="83"/>
      <c r="BL137" s="43" t="str">
        <f aca="false">IFERROR(INDEX(ЗАКАЗЫ!$N$3:$N$500,MATCH($A137,ЗАКАЗЫ!$F$3:$F$500,0)),"")</f>
        <v/>
      </c>
      <c r="BM137" s="8" t="str">
        <f aca="false">IF(BL137="","",IFERROR(VLOOKUP(BL137,'ТН ВЭД'!$A$4:$C$40,3,0),""))</f>
        <v/>
      </c>
      <c r="BN137" s="7" t="str">
        <f aca="false">IF(COUNTIF(ЗАКАЗЫ!$F$3:$F$500,$A137)=0,"",SUMIF(ЗАКАЗЫ!$F$3:$F$500,$A137,ЗАКАЗЫ!$J$3:$J$500))</f>
        <v/>
      </c>
      <c r="BO137" s="7" t="str">
        <f aca="false">IF(BN137="","",SUMIF(ЗАКАЗЫ!$F$3:$F$500,$A137,ЗАКАЗЫ!$AL$3:$AL$500))</f>
        <v/>
      </c>
      <c r="BP137" s="7" t="str">
        <f aca="false">IF(BN137="","",BN137-BO137)</f>
        <v/>
      </c>
      <c r="BQ137" s="55" t="str">
        <f aca="false">IF(BN137="","",IF(BO137&gt;=BN137,"На складе",IF(BO137&gt;0,"Частично","Ждём")))</f>
        <v/>
      </c>
      <c r="BR137" s="43"/>
      <c r="BS137" s="47" t="str">
        <f aca="false">IF(BN137="","",IF(_xlfn.MAXIFS(ЗАКАЗЫ!$AK$3:$AK$500,ЗАКАЗЫ!$F$3:$F$500,$A137)=0,"",_xlfn.MAXIFS(ЗАКАЗЫ!$AK$3:$AK$500,ЗАКАЗЫ!$F$3:$F$500,$A137)))</f>
        <v/>
      </c>
    </row>
    <row r="138" customFormat="false" ht="15.75" hidden="false" customHeight="true" outlineLevel="0" collapsed="false">
      <c r="A138" s="80" t="s">
        <v>3049</v>
      </c>
      <c r="B138" s="81"/>
      <c r="C138" s="81"/>
      <c r="D138" s="81"/>
      <c r="E138" s="83"/>
      <c r="F138" s="81"/>
      <c r="G138" s="83"/>
      <c r="H138" s="83"/>
      <c r="I138" s="84" t="str">
        <f aca="false">IF(E138="","",A138&amp;"_1.jpg")</f>
        <v/>
      </c>
      <c r="J138" s="84" t="str">
        <f aca="false">IF(E138="","",A138&amp;"_2.jpg; "&amp;A138&amp;"_3.jpg")</f>
        <v/>
      </c>
      <c r="K138" s="84" t="str">
        <f aca="false">IF(E138="","",A138&amp;"_schema.jpg")</f>
        <v/>
      </c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 t="s">
        <v>96</v>
      </c>
      <c r="W138" s="81"/>
      <c r="X138" s="81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6" t="str">
        <f aca="false">IF(SUM(Y138:AJ138)=0,"",SUM(Y138:AJ138))</f>
        <v/>
      </c>
      <c r="AL138" s="84" t="str">
        <f aca="false">MID(IF(N(Y138)&gt;0,", "&amp;Y$2,"")&amp;IF(N(Z138)&gt;0,", "&amp;Z$2,"")&amp;IF(N(AA138)&gt;0,", "&amp;AA$2,"")&amp;IF(N(AB138)&gt;0,", "&amp;AB$2,"")&amp;IF(N(AC138)&gt;0,", "&amp;AC$2,"")&amp;IF(N(AD138)&gt;0,", "&amp;AD$2,"")&amp;IF(N(AE138)&gt;0,", "&amp;AE$2,"")&amp;IF(N(AF138)&gt;0,", "&amp;AF$2,"")&amp;IF(N(AG138)&gt;0,", "&amp;AG$2,"")&amp;IF(N(AH138)&gt;0,", "&amp;AH$2,"")&amp;IF(N(AI138)&gt;0,", "&amp;AI$2,"")&amp;IF(N(AJ138)&gt;0,", "&amp;AJ$2,""),3,999)</f>
        <v/>
      </c>
      <c r="AM138" s="87" t="str">
        <f aca="false">IF(E138="","",MID(IF(N(Y138)&gt;0,", "&amp;A138&amp;"-"&amp;Y$2,"")&amp;IF(N(Z138)&gt;0,", "&amp;A138&amp;"-"&amp;Z$2,"")&amp;IF(N(AA138)&gt;0,", "&amp;A138&amp;"-"&amp;AA$2,"")&amp;IF(N(AB138)&gt;0,", "&amp;A138&amp;"-"&amp;AB$2,"")&amp;IF(N(AC138)&gt;0,", "&amp;A138&amp;"-"&amp;AC$2,"")&amp;IF(N(AD138)&gt;0,", "&amp;A138&amp;"-"&amp;AD$2,"")&amp;IF(N(AE138)&gt;0,", "&amp;A138&amp;"-"&amp;AE$2,"")&amp;IF(N(AF138)&gt;0,", "&amp;A138&amp;"-"&amp;AF$2,"")&amp;IF(N(AG138)&gt;0,", "&amp;A138&amp;"-"&amp;AG$2,"")&amp;IF(N(AH138)&gt;0,", "&amp;A138&amp;"-"&amp;AH$2,"")&amp;IF(N(AI138)&gt;0,", "&amp;A138&amp;"-"&amp;AI$2,"")&amp;IF(N(AJ138)&gt;0,", "&amp;A138&amp;"-"&amp;AJ$2,""),3,999))</f>
        <v/>
      </c>
      <c r="AN138" s="81"/>
      <c r="AO138" s="88"/>
      <c r="AP138" s="89" t="str">
        <f aca="false">IF(AO138="","",ROUND(AO138/(1+Справочники!$B$13),2))</f>
        <v/>
      </c>
      <c r="AQ138" s="90" t="str">
        <f aca="false" t="array" ref="AQ138:AQ138">IF(AP138="","",AP138*INDEX(Справочники!$B$4:$B$7,MATCH("RUB",Справочники!$A$4:$A$7,0)))</f>
        <v/>
      </c>
      <c r="AR138" s="90" t="str">
        <f aca="false">IF(AQ138="","",ROUND(AQ138*(1+Справочники!$B$12),0))</f>
        <v/>
      </c>
      <c r="AS138" s="90" t="str">
        <f aca="false">IF(AR138="","",ROUND(AR138*(1-Справочники!$B$11),0))</f>
        <v/>
      </c>
      <c r="AT138" s="88"/>
      <c r="AU138" s="90" t="str">
        <f aca="false">IF(AT138="","",ROUND(AT138/(1+Справочники!$B$12),0))</f>
        <v/>
      </c>
      <c r="AV138" s="90" t="str">
        <f aca="false">IF(AT138="","",ROUND(AT138*(1-Справочники!$B$15),0))</f>
        <v/>
      </c>
      <c r="AW138" s="90" t="str">
        <f aca="false">IF(AT138="","",ROUND(AT138*(1-Справочники!$B$16),0))</f>
        <v/>
      </c>
      <c r="AX138" s="90" t="str">
        <f aca="false">IF(AT138="","",ROUND(AT138*(1-Справочники!$B$17),0))</f>
        <v/>
      </c>
      <c r="AY138" s="90" t="str">
        <f aca="false">IF(AT138="","",ROUND(AT138*(1-Справочники!$B$18),0))</f>
        <v/>
      </c>
      <c r="AZ138" s="90" t="str">
        <f aca="false">IF(AT138="","",ROUND(AT138*(1-Справочники!$B$19),0))</f>
        <v/>
      </c>
      <c r="BA138" s="81"/>
      <c r="BB138" s="81"/>
      <c r="BC138" s="81"/>
      <c r="BD138" s="81"/>
      <c r="BE138" s="91"/>
      <c r="BF138" s="81" t="s">
        <v>103</v>
      </c>
      <c r="BG138" s="89" t="n">
        <f aca="false" t="array" ref="BG138:BG138">IF(BF138="","",IFERROR(INDEX(Справочники!$B$4:$B$7,MATCH(BF138,Справочники!$A$4:$A$7,0)),""))</f>
        <v>68.5</v>
      </c>
      <c r="BH138" s="90" t="str">
        <f aca="false">IF(N(BN138)&gt;0,ROUND(SUMIF(ЗАКАЗЫ!$F$3:$F$500,$A138,ЗАКАЗЫ!$Y$3:$Y$500)/BN138,0),IF(OR(BE138="",BG138=""),"",ROUND(BE138*BG138*(1+Справочники!$B$10),0)))</f>
        <v/>
      </c>
      <c r="BI138" s="92" t="str">
        <f aca="false">IF(OR(AU138="",BH138="",AU138=0),"",(AU138-BH138)/AU138)</f>
        <v/>
      </c>
      <c r="BJ138" s="81"/>
      <c r="BK138" s="83"/>
      <c r="BL138" s="43" t="str">
        <f aca="false">IFERROR(INDEX(ЗАКАЗЫ!$N$3:$N$500,MATCH($A138,ЗАКАЗЫ!$F$3:$F$500,0)),"")</f>
        <v/>
      </c>
      <c r="BM138" s="8" t="str">
        <f aca="false">IF(BL138="","",IFERROR(VLOOKUP(BL138,'ТН ВЭД'!$A$4:$C$40,3,0),""))</f>
        <v/>
      </c>
      <c r="BN138" s="7" t="str">
        <f aca="false">IF(COUNTIF(ЗАКАЗЫ!$F$3:$F$500,$A138)=0,"",SUMIF(ЗАКАЗЫ!$F$3:$F$500,$A138,ЗАКАЗЫ!$J$3:$J$500))</f>
        <v/>
      </c>
      <c r="BO138" s="7" t="str">
        <f aca="false">IF(BN138="","",SUMIF(ЗАКАЗЫ!$F$3:$F$500,$A138,ЗАКАЗЫ!$AL$3:$AL$500))</f>
        <v/>
      </c>
      <c r="BP138" s="7" t="str">
        <f aca="false">IF(BN138="","",BN138-BO138)</f>
        <v/>
      </c>
      <c r="BQ138" s="55" t="str">
        <f aca="false">IF(BN138="","",IF(BO138&gt;=BN138,"На складе",IF(BO138&gt;0,"Частично","Ждём")))</f>
        <v/>
      </c>
      <c r="BR138" s="43"/>
      <c r="BS138" s="47" t="str">
        <f aca="false">IF(BN138="","",IF(_xlfn.MAXIFS(ЗАКАЗЫ!$AK$3:$AK$500,ЗАКАЗЫ!$F$3:$F$500,$A138)=0,"",_xlfn.MAXIFS(ЗАКАЗЫ!$AK$3:$AK$500,ЗАКАЗЫ!$F$3:$F$500,$A138)))</f>
        <v/>
      </c>
    </row>
    <row r="139" customFormat="false" ht="15.75" hidden="false" customHeight="true" outlineLevel="0" collapsed="false">
      <c r="A139" s="80" t="s">
        <v>3050</v>
      </c>
      <c r="B139" s="81"/>
      <c r="C139" s="81"/>
      <c r="D139" s="81"/>
      <c r="E139" s="83"/>
      <c r="F139" s="81"/>
      <c r="G139" s="83"/>
      <c r="H139" s="83"/>
      <c r="I139" s="84" t="str">
        <f aca="false">IF(E139="","",A139&amp;"_1.jpg")</f>
        <v/>
      </c>
      <c r="J139" s="84" t="str">
        <f aca="false">IF(E139="","",A139&amp;"_2.jpg; "&amp;A139&amp;"_3.jpg")</f>
        <v/>
      </c>
      <c r="K139" s="84" t="str">
        <f aca="false">IF(E139="","",A139&amp;"_schema.jpg")</f>
        <v/>
      </c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 t="s">
        <v>96</v>
      </c>
      <c r="W139" s="81"/>
      <c r="X139" s="81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6" t="str">
        <f aca="false">IF(SUM(Y139:AJ139)=0,"",SUM(Y139:AJ139))</f>
        <v/>
      </c>
      <c r="AL139" s="84" t="str">
        <f aca="false">MID(IF(N(Y139)&gt;0,", "&amp;Y$2,"")&amp;IF(N(Z139)&gt;0,", "&amp;Z$2,"")&amp;IF(N(AA139)&gt;0,", "&amp;AA$2,"")&amp;IF(N(AB139)&gt;0,", "&amp;AB$2,"")&amp;IF(N(AC139)&gt;0,", "&amp;AC$2,"")&amp;IF(N(AD139)&gt;0,", "&amp;AD$2,"")&amp;IF(N(AE139)&gt;0,", "&amp;AE$2,"")&amp;IF(N(AF139)&gt;0,", "&amp;AF$2,"")&amp;IF(N(AG139)&gt;0,", "&amp;AG$2,"")&amp;IF(N(AH139)&gt;0,", "&amp;AH$2,"")&amp;IF(N(AI139)&gt;0,", "&amp;AI$2,"")&amp;IF(N(AJ139)&gt;0,", "&amp;AJ$2,""),3,999)</f>
        <v/>
      </c>
      <c r="AM139" s="87" t="str">
        <f aca="false">IF(E139="","",MID(IF(N(Y139)&gt;0,", "&amp;A139&amp;"-"&amp;Y$2,"")&amp;IF(N(Z139)&gt;0,", "&amp;A139&amp;"-"&amp;Z$2,"")&amp;IF(N(AA139)&gt;0,", "&amp;A139&amp;"-"&amp;AA$2,"")&amp;IF(N(AB139)&gt;0,", "&amp;A139&amp;"-"&amp;AB$2,"")&amp;IF(N(AC139)&gt;0,", "&amp;A139&amp;"-"&amp;AC$2,"")&amp;IF(N(AD139)&gt;0,", "&amp;A139&amp;"-"&amp;AD$2,"")&amp;IF(N(AE139)&gt;0,", "&amp;A139&amp;"-"&amp;AE$2,"")&amp;IF(N(AF139)&gt;0,", "&amp;A139&amp;"-"&amp;AF$2,"")&amp;IF(N(AG139)&gt;0,", "&amp;A139&amp;"-"&amp;AG$2,"")&amp;IF(N(AH139)&gt;0,", "&amp;A139&amp;"-"&amp;AH$2,"")&amp;IF(N(AI139)&gt;0,", "&amp;A139&amp;"-"&amp;AI$2,"")&amp;IF(N(AJ139)&gt;0,", "&amp;A139&amp;"-"&amp;AJ$2,""),3,999))</f>
        <v/>
      </c>
      <c r="AN139" s="81"/>
      <c r="AO139" s="88"/>
      <c r="AP139" s="89" t="str">
        <f aca="false">IF(AO139="","",ROUND(AO139/(1+Справочники!$B$13),2))</f>
        <v/>
      </c>
      <c r="AQ139" s="90" t="str">
        <f aca="false" t="array" ref="AQ139:AQ139">IF(AP139="","",AP139*INDEX(Справочники!$B$4:$B$7,MATCH("RUB",Справочники!$A$4:$A$7,0)))</f>
        <v/>
      </c>
      <c r="AR139" s="90" t="str">
        <f aca="false">IF(AQ139="","",ROUND(AQ139*(1+Справочники!$B$12),0))</f>
        <v/>
      </c>
      <c r="AS139" s="90" t="str">
        <f aca="false">IF(AR139="","",ROUND(AR139*(1-Справочники!$B$11),0))</f>
        <v/>
      </c>
      <c r="AT139" s="88"/>
      <c r="AU139" s="90" t="str">
        <f aca="false">IF(AT139="","",ROUND(AT139/(1+Справочники!$B$12),0))</f>
        <v/>
      </c>
      <c r="AV139" s="90" t="str">
        <f aca="false">IF(AT139="","",ROUND(AT139*(1-Справочники!$B$15),0))</f>
        <v/>
      </c>
      <c r="AW139" s="90" t="str">
        <f aca="false">IF(AT139="","",ROUND(AT139*(1-Справочники!$B$16),0))</f>
        <v/>
      </c>
      <c r="AX139" s="90" t="str">
        <f aca="false">IF(AT139="","",ROUND(AT139*(1-Справочники!$B$17),0))</f>
        <v/>
      </c>
      <c r="AY139" s="90" t="str">
        <f aca="false">IF(AT139="","",ROUND(AT139*(1-Справочники!$B$18),0))</f>
        <v/>
      </c>
      <c r="AZ139" s="90" t="str">
        <f aca="false">IF(AT139="","",ROUND(AT139*(1-Справочники!$B$19),0))</f>
        <v/>
      </c>
      <c r="BA139" s="81"/>
      <c r="BB139" s="81"/>
      <c r="BC139" s="81"/>
      <c r="BD139" s="81"/>
      <c r="BE139" s="91"/>
      <c r="BF139" s="81" t="s">
        <v>103</v>
      </c>
      <c r="BG139" s="89" t="n">
        <f aca="false" t="array" ref="BG139:BG139">IF(BF139="","",IFERROR(INDEX(Справочники!$B$4:$B$7,MATCH(BF139,Справочники!$A$4:$A$7,0)),""))</f>
        <v>68.5</v>
      </c>
      <c r="BH139" s="90" t="str">
        <f aca="false">IF(N(BN139)&gt;0,ROUND(SUMIF(ЗАКАЗЫ!$F$3:$F$500,$A139,ЗАКАЗЫ!$Y$3:$Y$500)/BN139,0),IF(OR(BE139="",BG139=""),"",ROUND(BE139*BG139*(1+Справочники!$B$10),0)))</f>
        <v/>
      </c>
      <c r="BI139" s="92" t="str">
        <f aca="false">IF(OR(AU139="",BH139="",AU139=0),"",(AU139-BH139)/AU139)</f>
        <v/>
      </c>
      <c r="BJ139" s="81"/>
      <c r="BK139" s="83"/>
      <c r="BL139" s="43" t="str">
        <f aca="false">IFERROR(INDEX(ЗАКАЗЫ!$N$3:$N$500,MATCH($A139,ЗАКАЗЫ!$F$3:$F$500,0)),"")</f>
        <v/>
      </c>
      <c r="BM139" s="8" t="str">
        <f aca="false">IF(BL139="","",IFERROR(VLOOKUP(BL139,'ТН ВЭД'!$A$4:$C$40,3,0),""))</f>
        <v/>
      </c>
      <c r="BN139" s="7" t="str">
        <f aca="false">IF(COUNTIF(ЗАКАЗЫ!$F$3:$F$500,$A139)=0,"",SUMIF(ЗАКАЗЫ!$F$3:$F$500,$A139,ЗАКАЗЫ!$J$3:$J$500))</f>
        <v/>
      </c>
      <c r="BO139" s="7" t="str">
        <f aca="false">IF(BN139="","",SUMIF(ЗАКАЗЫ!$F$3:$F$500,$A139,ЗАКАЗЫ!$AL$3:$AL$500))</f>
        <v/>
      </c>
      <c r="BP139" s="7" t="str">
        <f aca="false">IF(BN139="","",BN139-BO139)</f>
        <v/>
      </c>
      <c r="BQ139" s="55" t="str">
        <f aca="false">IF(BN139="","",IF(BO139&gt;=BN139,"На складе",IF(BO139&gt;0,"Частично","Ждём")))</f>
        <v/>
      </c>
      <c r="BR139" s="43"/>
      <c r="BS139" s="47" t="str">
        <f aca="false">IF(BN139="","",IF(_xlfn.MAXIFS(ЗАКАЗЫ!$AK$3:$AK$500,ЗАКАЗЫ!$F$3:$F$500,$A139)=0,"",_xlfn.MAXIFS(ЗАКАЗЫ!$AK$3:$AK$500,ЗАКАЗЫ!$F$3:$F$500,$A139)))</f>
        <v/>
      </c>
    </row>
    <row r="140" customFormat="false" ht="15.75" hidden="false" customHeight="true" outlineLevel="0" collapsed="false">
      <c r="A140" s="80" t="s">
        <v>3051</v>
      </c>
      <c r="B140" s="81"/>
      <c r="C140" s="81"/>
      <c r="D140" s="81"/>
      <c r="E140" s="83"/>
      <c r="F140" s="81"/>
      <c r="G140" s="83"/>
      <c r="H140" s="83"/>
      <c r="I140" s="84" t="str">
        <f aca="false">IF(E140="","",A140&amp;"_1.jpg")</f>
        <v/>
      </c>
      <c r="J140" s="84" t="str">
        <f aca="false">IF(E140="","",A140&amp;"_2.jpg; "&amp;A140&amp;"_3.jpg")</f>
        <v/>
      </c>
      <c r="K140" s="84" t="str">
        <f aca="false">IF(E140="","",A140&amp;"_schema.jpg")</f>
        <v/>
      </c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 t="s">
        <v>96</v>
      </c>
      <c r="W140" s="81"/>
      <c r="X140" s="81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6" t="str">
        <f aca="false">IF(SUM(Y140:AJ140)=0,"",SUM(Y140:AJ140))</f>
        <v/>
      </c>
      <c r="AL140" s="84" t="str">
        <f aca="false">MID(IF(N(Y140)&gt;0,", "&amp;Y$2,"")&amp;IF(N(Z140)&gt;0,", "&amp;Z$2,"")&amp;IF(N(AA140)&gt;0,", "&amp;AA$2,"")&amp;IF(N(AB140)&gt;0,", "&amp;AB$2,"")&amp;IF(N(AC140)&gt;0,", "&amp;AC$2,"")&amp;IF(N(AD140)&gt;0,", "&amp;AD$2,"")&amp;IF(N(AE140)&gt;0,", "&amp;AE$2,"")&amp;IF(N(AF140)&gt;0,", "&amp;AF$2,"")&amp;IF(N(AG140)&gt;0,", "&amp;AG$2,"")&amp;IF(N(AH140)&gt;0,", "&amp;AH$2,"")&amp;IF(N(AI140)&gt;0,", "&amp;AI$2,"")&amp;IF(N(AJ140)&gt;0,", "&amp;AJ$2,""),3,999)</f>
        <v/>
      </c>
      <c r="AM140" s="87" t="str">
        <f aca="false">IF(E140="","",MID(IF(N(Y140)&gt;0,", "&amp;A140&amp;"-"&amp;Y$2,"")&amp;IF(N(Z140)&gt;0,", "&amp;A140&amp;"-"&amp;Z$2,"")&amp;IF(N(AA140)&gt;0,", "&amp;A140&amp;"-"&amp;AA$2,"")&amp;IF(N(AB140)&gt;0,", "&amp;A140&amp;"-"&amp;AB$2,"")&amp;IF(N(AC140)&gt;0,", "&amp;A140&amp;"-"&amp;AC$2,"")&amp;IF(N(AD140)&gt;0,", "&amp;A140&amp;"-"&amp;AD$2,"")&amp;IF(N(AE140)&gt;0,", "&amp;A140&amp;"-"&amp;AE$2,"")&amp;IF(N(AF140)&gt;0,", "&amp;A140&amp;"-"&amp;AF$2,"")&amp;IF(N(AG140)&gt;0,", "&amp;A140&amp;"-"&amp;AG$2,"")&amp;IF(N(AH140)&gt;0,", "&amp;A140&amp;"-"&amp;AH$2,"")&amp;IF(N(AI140)&gt;0,", "&amp;A140&amp;"-"&amp;AI$2,"")&amp;IF(N(AJ140)&gt;0,", "&amp;A140&amp;"-"&amp;AJ$2,""),3,999))</f>
        <v/>
      </c>
      <c r="AN140" s="81"/>
      <c r="AO140" s="88"/>
      <c r="AP140" s="89" t="str">
        <f aca="false">IF(AO140="","",ROUND(AO140/(1+Справочники!$B$13),2))</f>
        <v/>
      </c>
      <c r="AQ140" s="90" t="str">
        <f aca="false" t="array" ref="AQ140:AQ140">IF(AP140="","",AP140*INDEX(Справочники!$B$4:$B$7,MATCH("RUB",Справочники!$A$4:$A$7,0)))</f>
        <v/>
      </c>
      <c r="AR140" s="90" t="str">
        <f aca="false">IF(AQ140="","",ROUND(AQ140*(1+Справочники!$B$12),0))</f>
        <v/>
      </c>
      <c r="AS140" s="90" t="str">
        <f aca="false">IF(AR140="","",ROUND(AR140*(1-Справочники!$B$11),0))</f>
        <v/>
      </c>
      <c r="AT140" s="88"/>
      <c r="AU140" s="90" t="str">
        <f aca="false">IF(AT140="","",ROUND(AT140/(1+Справочники!$B$12),0))</f>
        <v/>
      </c>
      <c r="AV140" s="90" t="str">
        <f aca="false">IF(AT140="","",ROUND(AT140*(1-Справочники!$B$15),0))</f>
        <v/>
      </c>
      <c r="AW140" s="90" t="str">
        <f aca="false">IF(AT140="","",ROUND(AT140*(1-Справочники!$B$16),0))</f>
        <v/>
      </c>
      <c r="AX140" s="90" t="str">
        <f aca="false">IF(AT140="","",ROUND(AT140*(1-Справочники!$B$17),0))</f>
        <v/>
      </c>
      <c r="AY140" s="90" t="str">
        <f aca="false">IF(AT140="","",ROUND(AT140*(1-Справочники!$B$18),0))</f>
        <v/>
      </c>
      <c r="AZ140" s="90" t="str">
        <f aca="false">IF(AT140="","",ROUND(AT140*(1-Справочники!$B$19),0))</f>
        <v/>
      </c>
      <c r="BA140" s="81"/>
      <c r="BB140" s="81"/>
      <c r="BC140" s="81"/>
      <c r="BD140" s="81"/>
      <c r="BE140" s="91"/>
      <c r="BF140" s="81" t="s">
        <v>103</v>
      </c>
      <c r="BG140" s="89" t="n">
        <f aca="false" t="array" ref="BG140:BG140">IF(BF140="","",IFERROR(INDEX(Справочники!$B$4:$B$7,MATCH(BF140,Справочники!$A$4:$A$7,0)),""))</f>
        <v>68.5</v>
      </c>
      <c r="BH140" s="90" t="str">
        <f aca="false">IF(N(BN140)&gt;0,ROUND(SUMIF(ЗАКАЗЫ!$F$3:$F$500,$A140,ЗАКАЗЫ!$Y$3:$Y$500)/BN140,0),IF(OR(BE140="",BG140=""),"",ROUND(BE140*BG140*(1+Справочники!$B$10),0)))</f>
        <v/>
      </c>
      <c r="BI140" s="92" t="str">
        <f aca="false">IF(OR(AU140="",BH140="",AU140=0),"",(AU140-BH140)/AU140)</f>
        <v/>
      </c>
      <c r="BJ140" s="81"/>
      <c r="BK140" s="83"/>
      <c r="BL140" s="43" t="str">
        <f aca="false">IFERROR(INDEX(ЗАКАЗЫ!$N$3:$N$500,MATCH($A140,ЗАКАЗЫ!$F$3:$F$500,0)),"")</f>
        <v/>
      </c>
      <c r="BM140" s="8" t="str">
        <f aca="false">IF(BL140="","",IFERROR(VLOOKUP(BL140,'ТН ВЭД'!$A$4:$C$40,3,0),""))</f>
        <v/>
      </c>
      <c r="BN140" s="7" t="str">
        <f aca="false">IF(COUNTIF(ЗАКАЗЫ!$F$3:$F$500,$A140)=0,"",SUMIF(ЗАКАЗЫ!$F$3:$F$500,$A140,ЗАКАЗЫ!$J$3:$J$500))</f>
        <v/>
      </c>
      <c r="BO140" s="7" t="str">
        <f aca="false">IF(BN140="","",SUMIF(ЗАКАЗЫ!$F$3:$F$500,$A140,ЗАКАЗЫ!$AL$3:$AL$500))</f>
        <v/>
      </c>
      <c r="BP140" s="7" t="str">
        <f aca="false">IF(BN140="","",BN140-BO140)</f>
        <v/>
      </c>
      <c r="BQ140" s="55" t="str">
        <f aca="false">IF(BN140="","",IF(BO140&gt;=BN140,"На складе",IF(BO140&gt;0,"Частично","Ждём")))</f>
        <v/>
      </c>
      <c r="BR140" s="43"/>
      <c r="BS140" s="47" t="str">
        <f aca="false">IF(BN140="","",IF(_xlfn.MAXIFS(ЗАКАЗЫ!$AK$3:$AK$500,ЗАКАЗЫ!$F$3:$F$500,$A140)=0,"",_xlfn.MAXIFS(ЗАКАЗЫ!$AK$3:$AK$500,ЗАКАЗЫ!$F$3:$F$500,$A140)))</f>
        <v/>
      </c>
    </row>
    <row r="141" customFormat="false" ht="15.75" hidden="false" customHeight="true" outlineLevel="0" collapsed="false">
      <c r="A141" s="80" t="s">
        <v>3052</v>
      </c>
      <c r="B141" s="81"/>
      <c r="C141" s="81"/>
      <c r="D141" s="81"/>
      <c r="E141" s="83"/>
      <c r="F141" s="81"/>
      <c r="G141" s="83"/>
      <c r="H141" s="83"/>
      <c r="I141" s="84" t="str">
        <f aca="false">IF(E141="","",A141&amp;"_1.jpg")</f>
        <v/>
      </c>
      <c r="J141" s="84" t="str">
        <f aca="false">IF(E141="","",A141&amp;"_2.jpg; "&amp;A141&amp;"_3.jpg")</f>
        <v/>
      </c>
      <c r="K141" s="84" t="str">
        <f aca="false">IF(E141="","",A141&amp;"_schema.jpg")</f>
        <v/>
      </c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 t="s">
        <v>96</v>
      </c>
      <c r="W141" s="81"/>
      <c r="X141" s="81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6" t="str">
        <f aca="false">IF(SUM(Y141:AJ141)=0,"",SUM(Y141:AJ141))</f>
        <v/>
      </c>
      <c r="AL141" s="84" t="str">
        <f aca="false">MID(IF(N(Y141)&gt;0,", "&amp;Y$2,"")&amp;IF(N(Z141)&gt;0,", "&amp;Z$2,"")&amp;IF(N(AA141)&gt;0,", "&amp;AA$2,"")&amp;IF(N(AB141)&gt;0,", "&amp;AB$2,"")&amp;IF(N(AC141)&gt;0,", "&amp;AC$2,"")&amp;IF(N(AD141)&gt;0,", "&amp;AD$2,"")&amp;IF(N(AE141)&gt;0,", "&amp;AE$2,"")&amp;IF(N(AF141)&gt;0,", "&amp;AF$2,"")&amp;IF(N(AG141)&gt;0,", "&amp;AG$2,"")&amp;IF(N(AH141)&gt;0,", "&amp;AH$2,"")&amp;IF(N(AI141)&gt;0,", "&amp;AI$2,"")&amp;IF(N(AJ141)&gt;0,", "&amp;AJ$2,""),3,999)</f>
        <v/>
      </c>
      <c r="AM141" s="87" t="str">
        <f aca="false">IF(E141="","",MID(IF(N(Y141)&gt;0,", "&amp;A141&amp;"-"&amp;Y$2,"")&amp;IF(N(Z141)&gt;0,", "&amp;A141&amp;"-"&amp;Z$2,"")&amp;IF(N(AA141)&gt;0,", "&amp;A141&amp;"-"&amp;AA$2,"")&amp;IF(N(AB141)&gt;0,", "&amp;A141&amp;"-"&amp;AB$2,"")&amp;IF(N(AC141)&gt;0,", "&amp;A141&amp;"-"&amp;AC$2,"")&amp;IF(N(AD141)&gt;0,", "&amp;A141&amp;"-"&amp;AD$2,"")&amp;IF(N(AE141)&gt;0,", "&amp;A141&amp;"-"&amp;AE$2,"")&amp;IF(N(AF141)&gt;0,", "&amp;A141&amp;"-"&amp;AF$2,"")&amp;IF(N(AG141)&gt;0,", "&amp;A141&amp;"-"&amp;AG$2,"")&amp;IF(N(AH141)&gt;0,", "&amp;A141&amp;"-"&amp;AH$2,"")&amp;IF(N(AI141)&gt;0,", "&amp;A141&amp;"-"&amp;AI$2,"")&amp;IF(N(AJ141)&gt;0,", "&amp;A141&amp;"-"&amp;AJ$2,""),3,999))</f>
        <v/>
      </c>
      <c r="AN141" s="81"/>
      <c r="AO141" s="88"/>
      <c r="AP141" s="89" t="str">
        <f aca="false">IF(AO141="","",ROUND(AO141/(1+Справочники!$B$13),2))</f>
        <v/>
      </c>
      <c r="AQ141" s="90" t="str">
        <f aca="false" t="array" ref="AQ141:AQ141">IF(AP141="","",AP141*INDEX(Справочники!$B$4:$B$7,MATCH("RUB",Справочники!$A$4:$A$7,0)))</f>
        <v/>
      </c>
      <c r="AR141" s="90" t="str">
        <f aca="false">IF(AQ141="","",ROUND(AQ141*(1+Справочники!$B$12),0))</f>
        <v/>
      </c>
      <c r="AS141" s="90" t="str">
        <f aca="false">IF(AR141="","",ROUND(AR141*(1-Справочники!$B$11),0))</f>
        <v/>
      </c>
      <c r="AT141" s="88"/>
      <c r="AU141" s="90" t="str">
        <f aca="false">IF(AT141="","",ROUND(AT141/(1+Справочники!$B$12),0))</f>
        <v/>
      </c>
      <c r="AV141" s="90" t="str">
        <f aca="false">IF(AT141="","",ROUND(AT141*(1-Справочники!$B$15),0))</f>
        <v/>
      </c>
      <c r="AW141" s="90" t="str">
        <f aca="false">IF(AT141="","",ROUND(AT141*(1-Справочники!$B$16),0))</f>
        <v/>
      </c>
      <c r="AX141" s="90" t="str">
        <f aca="false">IF(AT141="","",ROUND(AT141*(1-Справочники!$B$17),0))</f>
        <v/>
      </c>
      <c r="AY141" s="90" t="str">
        <f aca="false">IF(AT141="","",ROUND(AT141*(1-Справочники!$B$18),0))</f>
        <v/>
      </c>
      <c r="AZ141" s="90" t="str">
        <f aca="false">IF(AT141="","",ROUND(AT141*(1-Справочники!$B$19),0))</f>
        <v/>
      </c>
      <c r="BA141" s="81"/>
      <c r="BB141" s="81"/>
      <c r="BC141" s="81"/>
      <c r="BD141" s="81"/>
      <c r="BE141" s="91"/>
      <c r="BF141" s="81" t="s">
        <v>103</v>
      </c>
      <c r="BG141" s="89" t="n">
        <f aca="false" t="array" ref="BG141:BG141">IF(BF141="","",IFERROR(INDEX(Справочники!$B$4:$B$7,MATCH(BF141,Справочники!$A$4:$A$7,0)),""))</f>
        <v>68.5</v>
      </c>
      <c r="BH141" s="90" t="str">
        <f aca="false">IF(N(BN141)&gt;0,ROUND(SUMIF(ЗАКАЗЫ!$F$3:$F$500,$A141,ЗАКАЗЫ!$Y$3:$Y$500)/BN141,0),IF(OR(BE141="",BG141=""),"",ROUND(BE141*BG141*(1+Справочники!$B$10),0)))</f>
        <v/>
      </c>
      <c r="BI141" s="92" t="str">
        <f aca="false">IF(OR(AU141="",BH141="",AU141=0),"",(AU141-BH141)/AU141)</f>
        <v/>
      </c>
      <c r="BJ141" s="81"/>
      <c r="BK141" s="83"/>
      <c r="BL141" s="43" t="str">
        <f aca="false">IFERROR(INDEX(ЗАКАЗЫ!$N$3:$N$500,MATCH($A141,ЗАКАЗЫ!$F$3:$F$500,0)),"")</f>
        <v/>
      </c>
      <c r="BM141" s="8" t="str">
        <f aca="false">IF(BL141="","",IFERROR(VLOOKUP(BL141,'ТН ВЭД'!$A$4:$C$40,3,0),""))</f>
        <v/>
      </c>
      <c r="BN141" s="7" t="str">
        <f aca="false">IF(COUNTIF(ЗАКАЗЫ!$F$3:$F$500,$A141)=0,"",SUMIF(ЗАКАЗЫ!$F$3:$F$500,$A141,ЗАКАЗЫ!$J$3:$J$500))</f>
        <v/>
      </c>
      <c r="BO141" s="7" t="str">
        <f aca="false">IF(BN141="","",SUMIF(ЗАКАЗЫ!$F$3:$F$500,$A141,ЗАКАЗЫ!$AL$3:$AL$500))</f>
        <v/>
      </c>
      <c r="BP141" s="7" t="str">
        <f aca="false">IF(BN141="","",BN141-BO141)</f>
        <v/>
      </c>
      <c r="BQ141" s="55" t="str">
        <f aca="false">IF(BN141="","",IF(BO141&gt;=BN141,"На складе",IF(BO141&gt;0,"Частично","Ждём")))</f>
        <v/>
      </c>
      <c r="BR141" s="43"/>
      <c r="BS141" s="47" t="str">
        <f aca="false">IF(BN141="","",IF(_xlfn.MAXIFS(ЗАКАЗЫ!$AK$3:$AK$500,ЗАКАЗЫ!$F$3:$F$500,$A141)=0,"",_xlfn.MAXIFS(ЗАКАЗЫ!$AK$3:$AK$500,ЗАКАЗЫ!$F$3:$F$500,$A141)))</f>
        <v/>
      </c>
    </row>
    <row r="142" customFormat="false" ht="15.75" hidden="false" customHeight="true" outlineLevel="0" collapsed="false">
      <c r="A142" s="80" t="s">
        <v>3053</v>
      </c>
      <c r="B142" s="81"/>
      <c r="C142" s="81"/>
      <c r="D142" s="81"/>
      <c r="E142" s="83"/>
      <c r="F142" s="81"/>
      <c r="G142" s="83"/>
      <c r="H142" s="83"/>
      <c r="I142" s="84" t="str">
        <f aca="false">IF(E142="","",A142&amp;"_1.jpg")</f>
        <v/>
      </c>
      <c r="J142" s="84" t="str">
        <f aca="false">IF(E142="","",A142&amp;"_2.jpg; "&amp;A142&amp;"_3.jpg")</f>
        <v/>
      </c>
      <c r="K142" s="84" t="str">
        <f aca="false">IF(E142="","",A142&amp;"_schema.jpg")</f>
        <v/>
      </c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 t="s">
        <v>96</v>
      </c>
      <c r="W142" s="81"/>
      <c r="X142" s="81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6" t="str">
        <f aca="false">IF(SUM(Y142:AJ142)=0,"",SUM(Y142:AJ142))</f>
        <v/>
      </c>
      <c r="AL142" s="84" t="str">
        <f aca="false">MID(IF(N(Y142)&gt;0,", "&amp;Y$2,"")&amp;IF(N(Z142)&gt;0,", "&amp;Z$2,"")&amp;IF(N(AA142)&gt;0,", "&amp;AA$2,"")&amp;IF(N(AB142)&gt;0,", "&amp;AB$2,"")&amp;IF(N(AC142)&gt;0,", "&amp;AC$2,"")&amp;IF(N(AD142)&gt;0,", "&amp;AD$2,"")&amp;IF(N(AE142)&gt;0,", "&amp;AE$2,"")&amp;IF(N(AF142)&gt;0,", "&amp;AF$2,"")&amp;IF(N(AG142)&gt;0,", "&amp;AG$2,"")&amp;IF(N(AH142)&gt;0,", "&amp;AH$2,"")&amp;IF(N(AI142)&gt;0,", "&amp;AI$2,"")&amp;IF(N(AJ142)&gt;0,", "&amp;AJ$2,""),3,999)</f>
        <v/>
      </c>
      <c r="AM142" s="87" t="str">
        <f aca="false">IF(E142="","",MID(IF(N(Y142)&gt;0,", "&amp;A142&amp;"-"&amp;Y$2,"")&amp;IF(N(Z142)&gt;0,", "&amp;A142&amp;"-"&amp;Z$2,"")&amp;IF(N(AA142)&gt;0,", "&amp;A142&amp;"-"&amp;AA$2,"")&amp;IF(N(AB142)&gt;0,", "&amp;A142&amp;"-"&amp;AB$2,"")&amp;IF(N(AC142)&gt;0,", "&amp;A142&amp;"-"&amp;AC$2,"")&amp;IF(N(AD142)&gt;0,", "&amp;A142&amp;"-"&amp;AD$2,"")&amp;IF(N(AE142)&gt;0,", "&amp;A142&amp;"-"&amp;AE$2,"")&amp;IF(N(AF142)&gt;0,", "&amp;A142&amp;"-"&amp;AF$2,"")&amp;IF(N(AG142)&gt;0,", "&amp;A142&amp;"-"&amp;AG$2,"")&amp;IF(N(AH142)&gt;0,", "&amp;A142&amp;"-"&amp;AH$2,"")&amp;IF(N(AI142)&gt;0,", "&amp;A142&amp;"-"&amp;AI$2,"")&amp;IF(N(AJ142)&gt;0,", "&amp;A142&amp;"-"&amp;AJ$2,""),3,999))</f>
        <v/>
      </c>
      <c r="AN142" s="81"/>
      <c r="AO142" s="88"/>
      <c r="AP142" s="89" t="str">
        <f aca="false">IF(AO142="","",ROUND(AO142/(1+Справочники!$B$13),2))</f>
        <v/>
      </c>
      <c r="AQ142" s="90" t="str">
        <f aca="false" t="array" ref="AQ142:AQ142">IF(AP142="","",AP142*INDEX(Справочники!$B$4:$B$7,MATCH("RUB",Справочники!$A$4:$A$7,0)))</f>
        <v/>
      </c>
      <c r="AR142" s="90" t="str">
        <f aca="false">IF(AQ142="","",ROUND(AQ142*(1+Справочники!$B$12),0))</f>
        <v/>
      </c>
      <c r="AS142" s="90" t="str">
        <f aca="false">IF(AR142="","",ROUND(AR142*(1-Справочники!$B$11),0))</f>
        <v/>
      </c>
      <c r="AT142" s="88"/>
      <c r="AU142" s="90" t="str">
        <f aca="false">IF(AT142="","",ROUND(AT142/(1+Справочники!$B$12),0))</f>
        <v/>
      </c>
      <c r="AV142" s="90" t="str">
        <f aca="false">IF(AT142="","",ROUND(AT142*(1-Справочники!$B$15),0))</f>
        <v/>
      </c>
      <c r="AW142" s="90" t="str">
        <f aca="false">IF(AT142="","",ROUND(AT142*(1-Справочники!$B$16),0))</f>
        <v/>
      </c>
      <c r="AX142" s="90" t="str">
        <f aca="false">IF(AT142="","",ROUND(AT142*(1-Справочники!$B$17),0))</f>
        <v/>
      </c>
      <c r="AY142" s="90" t="str">
        <f aca="false">IF(AT142="","",ROUND(AT142*(1-Справочники!$B$18),0))</f>
        <v/>
      </c>
      <c r="AZ142" s="90" t="str">
        <f aca="false">IF(AT142="","",ROUND(AT142*(1-Справочники!$B$19),0))</f>
        <v/>
      </c>
      <c r="BA142" s="81"/>
      <c r="BB142" s="81"/>
      <c r="BC142" s="81"/>
      <c r="BD142" s="81"/>
      <c r="BE142" s="91"/>
      <c r="BF142" s="81" t="s">
        <v>103</v>
      </c>
      <c r="BG142" s="89" t="n">
        <f aca="false" t="array" ref="BG142:BG142">IF(BF142="","",IFERROR(INDEX(Справочники!$B$4:$B$7,MATCH(BF142,Справочники!$A$4:$A$7,0)),""))</f>
        <v>68.5</v>
      </c>
      <c r="BH142" s="90" t="str">
        <f aca="false">IF(N(BN142)&gt;0,ROUND(SUMIF(ЗАКАЗЫ!$F$3:$F$500,$A142,ЗАКАЗЫ!$Y$3:$Y$500)/BN142,0),IF(OR(BE142="",BG142=""),"",ROUND(BE142*BG142*(1+Справочники!$B$10),0)))</f>
        <v/>
      </c>
      <c r="BI142" s="92" t="str">
        <f aca="false">IF(OR(AU142="",BH142="",AU142=0),"",(AU142-BH142)/AU142)</f>
        <v/>
      </c>
      <c r="BJ142" s="81"/>
      <c r="BK142" s="83"/>
      <c r="BL142" s="43" t="str">
        <f aca="false">IFERROR(INDEX(ЗАКАЗЫ!$N$3:$N$500,MATCH($A142,ЗАКАЗЫ!$F$3:$F$500,0)),"")</f>
        <v/>
      </c>
      <c r="BM142" s="8" t="str">
        <f aca="false">IF(BL142="","",IFERROR(VLOOKUP(BL142,'ТН ВЭД'!$A$4:$C$40,3,0),""))</f>
        <v/>
      </c>
      <c r="BN142" s="7" t="str">
        <f aca="false">IF(COUNTIF(ЗАКАЗЫ!$F$3:$F$500,$A142)=0,"",SUMIF(ЗАКАЗЫ!$F$3:$F$500,$A142,ЗАКАЗЫ!$J$3:$J$500))</f>
        <v/>
      </c>
      <c r="BO142" s="7" t="str">
        <f aca="false">IF(BN142="","",SUMIF(ЗАКАЗЫ!$F$3:$F$500,$A142,ЗАКАЗЫ!$AL$3:$AL$500))</f>
        <v/>
      </c>
      <c r="BP142" s="7" t="str">
        <f aca="false">IF(BN142="","",BN142-BO142)</f>
        <v/>
      </c>
      <c r="BQ142" s="55" t="str">
        <f aca="false">IF(BN142="","",IF(BO142&gt;=BN142,"На складе",IF(BO142&gt;0,"Частично","Ждём")))</f>
        <v/>
      </c>
      <c r="BR142" s="43"/>
      <c r="BS142" s="47" t="str">
        <f aca="false">IF(BN142="","",IF(_xlfn.MAXIFS(ЗАКАЗЫ!$AK$3:$AK$500,ЗАКАЗЫ!$F$3:$F$500,$A142)=0,"",_xlfn.MAXIFS(ЗАКАЗЫ!$AK$3:$AK$500,ЗАКАЗЫ!$F$3:$F$500,$A142)))</f>
        <v/>
      </c>
    </row>
    <row r="143" customFormat="false" ht="15.75" hidden="false" customHeight="true" outlineLevel="0" collapsed="false">
      <c r="A143" s="80" t="s">
        <v>3054</v>
      </c>
      <c r="B143" s="81"/>
      <c r="C143" s="81"/>
      <c r="D143" s="81"/>
      <c r="E143" s="83"/>
      <c r="F143" s="81"/>
      <c r="G143" s="83"/>
      <c r="H143" s="83"/>
      <c r="I143" s="84" t="str">
        <f aca="false">IF(E143="","",A143&amp;"_1.jpg")</f>
        <v/>
      </c>
      <c r="J143" s="84" t="str">
        <f aca="false">IF(E143="","",A143&amp;"_2.jpg; "&amp;A143&amp;"_3.jpg")</f>
        <v/>
      </c>
      <c r="K143" s="84" t="str">
        <f aca="false">IF(E143="","",A143&amp;"_schema.jpg")</f>
        <v/>
      </c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 t="s">
        <v>96</v>
      </c>
      <c r="W143" s="81"/>
      <c r="X143" s="81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6" t="str">
        <f aca="false">IF(SUM(Y143:AJ143)=0,"",SUM(Y143:AJ143))</f>
        <v/>
      </c>
      <c r="AL143" s="84" t="str">
        <f aca="false">MID(IF(N(Y143)&gt;0,", "&amp;Y$2,"")&amp;IF(N(Z143)&gt;0,", "&amp;Z$2,"")&amp;IF(N(AA143)&gt;0,", "&amp;AA$2,"")&amp;IF(N(AB143)&gt;0,", "&amp;AB$2,"")&amp;IF(N(AC143)&gt;0,", "&amp;AC$2,"")&amp;IF(N(AD143)&gt;0,", "&amp;AD$2,"")&amp;IF(N(AE143)&gt;0,", "&amp;AE$2,"")&amp;IF(N(AF143)&gt;0,", "&amp;AF$2,"")&amp;IF(N(AG143)&gt;0,", "&amp;AG$2,"")&amp;IF(N(AH143)&gt;0,", "&amp;AH$2,"")&amp;IF(N(AI143)&gt;0,", "&amp;AI$2,"")&amp;IF(N(AJ143)&gt;0,", "&amp;AJ$2,""),3,999)</f>
        <v/>
      </c>
      <c r="AM143" s="87" t="str">
        <f aca="false">IF(E143="","",MID(IF(N(Y143)&gt;0,", "&amp;A143&amp;"-"&amp;Y$2,"")&amp;IF(N(Z143)&gt;0,", "&amp;A143&amp;"-"&amp;Z$2,"")&amp;IF(N(AA143)&gt;0,", "&amp;A143&amp;"-"&amp;AA$2,"")&amp;IF(N(AB143)&gt;0,", "&amp;A143&amp;"-"&amp;AB$2,"")&amp;IF(N(AC143)&gt;0,", "&amp;A143&amp;"-"&amp;AC$2,"")&amp;IF(N(AD143)&gt;0,", "&amp;A143&amp;"-"&amp;AD$2,"")&amp;IF(N(AE143)&gt;0,", "&amp;A143&amp;"-"&amp;AE$2,"")&amp;IF(N(AF143)&gt;0,", "&amp;A143&amp;"-"&amp;AF$2,"")&amp;IF(N(AG143)&gt;0,", "&amp;A143&amp;"-"&amp;AG$2,"")&amp;IF(N(AH143)&gt;0,", "&amp;A143&amp;"-"&amp;AH$2,"")&amp;IF(N(AI143)&gt;0,", "&amp;A143&amp;"-"&amp;AI$2,"")&amp;IF(N(AJ143)&gt;0,", "&amp;A143&amp;"-"&amp;AJ$2,""),3,999))</f>
        <v/>
      </c>
      <c r="AN143" s="81"/>
      <c r="AO143" s="88"/>
      <c r="AP143" s="89" t="str">
        <f aca="false">IF(AO143="","",ROUND(AO143/(1+Справочники!$B$13),2))</f>
        <v/>
      </c>
      <c r="AQ143" s="90" t="str">
        <f aca="false" t="array" ref="AQ143:AQ143">IF(AP143="","",AP143*INDEX(Справочники!$B$4:$B$7,MATCH("RUB",Справочники!$A$4:$A$7,0)))</f>
        <v/>
      </c>
      <c r="AR143" s="90" t="str">
        <f aca="false">IF(AQ143="","",ROUND(AQ143*(1+Справочники!$B$12),0))</f>
        <v/>
      </c>
      <c r="AS143" s="90" t="str">
        <f aca="false">IF(AR143="","",ROUND(AR143*(1-Справочники!$B$11),0))</f>
        <v/>
      </c>
      <c r="AT143" s="88"/>
      <c r="AU143" s="90" t="str">
        <f aca="false">IF(AT143="","",ROUND(AT143/(1+Справочники!$B$12),0))</f>
        <v/>
      </c>
      <c r="AV143" s="90" t="str">
        <f aca="false">IF(AT143="","",ROUND(AT143*(1-Справочники!$B$15),0))</f>
        <v/>
      </c>
      <c r="AW143" s="90" t="str">
        <f aca="false">IF(AT143="","",ROUND(AT143*(1-Справочники!$B$16),0))</f>
        <v/>
      </c>
      <c r="AX143" s="90" t="str">
        <f aca="false">IF(AT143="","",ROUND(AT143*(1-Справочники!$B$17),0))</f>
        <v/>
      </c>
      <c r="AY143" s="90" t="str">
        <f aca="false">IF(AT143="","",ROUND(AT143*(1-Справочники!$B$18),0))</f>
        <v/>
      </c>
      <c r="AZ143" s="90" t="str">
        <f aca="false">IF(AT143="","",ROUND(AT143*(1-Справочники!$B$19),0))</f>
        <v/>
      </c>
      <c r="BA143" s="81"/>
      <c r="BB143" s="81"/>
      <c r="BC143" s="81"/>
      <c r="BD143" s="81"/>
      <c r="BE143" s="91"/>
      <c r="BF143" s="81" t="s">
        <v>103</v>
      </c>
      <c r="BG143" s="89" t="n">
        <f aca="false" t="array" ref="BG143:BG143">IF(BF143="","",IFERROR(INDEX(Справочники!$B$4:$B$7,MATCH(BF143,Справочники!$A$4:$A$7,0)),""))</f>
        <v>68.5</v>
      </c>
      <c r="BH143" s="90" t="str">
        <f aca="false">IF(N(BN143)&gt;0,ROUND(SUMIF(ЗАКАЗЫ!$F$3:$F$500,$A143,ЗАКАЗЫ!$Y$3:$Y$500)/BN143,0),IF(OR(BE143="",BG143=""),"",ROUND(BE143*BG143*(1+Справочники!$B$10),0)))</f>
        <v/>
      </c>
      <c r="BI143" s="92" t="str">
        <f aca="false">IF(OR(AU143="",BH143="",AU143=0),"",(AU143-BH143)/AU143)</f>
        <v/>
      </c>
      <c r="BJ143" s="81"/>
      <c r="BK143" s="83"/>
      <c r="BL143" s="43" t="str">
        <f aca="false">IFERROR(INDEX(ЗАКАЗЫ!$N$3:$N$500,MATCH($A143,ЗАКАЗЫ!$F$3:$F$500,0)),"")</f>
        <v/>
      </c>
      <c r="BM143" s="8" t="str">
        <f aca="false">IF(BL143="","",IFERROR(VLOOKUP(BL143,'ТН ВЭД'!$A$4:$C$40,3,0),""))</f>
        <v/>
      </c>
      <c r="BN143" s="7" t="str">
        <f aca="false">IF(COUNTIF(ЗАКАЗЫ!$F$3:$F$500,$A143)=0,"",SUMIF(ЗАКАЗЫ!$F$3:$F$500,$A143,ЗАКАЗЫ!$J$3:$J$500))</f>
        <v/>
      </c>
      <c r="BO143" s="7" t="str">
        <f aca="false">IF(BN143="","",SUMIF(ЗАКАЗЫ!$F$3:$F$500,$A143,ЗАКАЗЫ!$AL$3:$AL$500))</f>
        <v/>
      </c>
      <c r="BP143" s="7" t="str">
        <f aca="false">IF(BN143="","",BN143-BO143)</f>
        <v/>
      </c>
      <c r="BQ143" s="55" t="str">
        <f aca="false">IF(BN143="","",IF(BO143&gt;=BN143,"На складе",IF(BO143&gt;0,"Частично","Ждём")))</f>
        <v/>
      </c>
      <c r="BR143" s="43"/>
      <c r="BS143" s="47" t="str">
        <f aca="false">IF(BN143="","",IF(_xlfn.MAXIFS(ЗАКАЗЫ!$AK$3:$AK$500,ЗАКАЗЫ!$F$3:$F$500,$A143)=0,"",_xlfn.MAXIFS(ЗАКАЗЫ!$AK$3:$AK$500,ЗАКАЗЫ!$F$3:$F$500,$A143)))</f>
        <v/>
      </c>
    </row>
    <row r="144" customFormat="false" ht="15.75" hidden="false" customHeight="true" outlineLevel="0" collapsed="false">
      <c r="A144" s="80" t="s">
        <v>3055</v>
      </c>
      <c r="B144" s="81"/>
      <c r="C144" s="81"/>
      <c r="D144" s="81"/>
      <c r="E144" s="83"/>
      <c r="F144" s="81"/>
      <c r="G144" s="83"/>
      <c r="H144" s="83"/>
      <c r="I144" s="84" t="str">
        <f aca="false">IF(E144="","",A144&amp;"_1.jpg")</f>
        <v/>
      </c>
      <c r="J144" s="84" t="str">
        <f aca="false">IF(E144="","",A144&amp;"_2.jpg; "&amp;A144&amp;"_3.jpg")</f>
        <v/>
      </c>
      <c r="K144" s="84" t="str">
        <f aca="false">IF(E144="","",A144&amp;"_schema.jpg")</f>
        <v/>
      </c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 t="s">
        <v>96</v>
      </c>
      <c r="W144" s="81"/>
      <c r="X144" s="81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6" t="str">
        <f aca="false">IF(SUM(Y144:AJ144)=0,"",SUM(Y144:AJ144))</f>
        <v/>
      </c>
      <c r="AL144" s="84" t="str">
        <f aca="false">MID(IF(N(Y144)&gt;0,", "&amp;Y$2,"")&amp;IF(N(Z144)&gt;0,", "&amp;Z$2,"")&amp;IF(N(AA144)&gt;0,", "&amp;AA$2,"")&amp;IF(N(AB144)&gt;0,", "&amp;AB$2,"")&amp;IF(N(AC144)&gt;0,", "&amp;AC$2,"")&amp;IF(N(AD144)&gt;0,", "&amp;AD$2,"")&amp;IF(N(AE144)&gt;0,", "&amp;AE$2,"")&amp;IF(N(AF144)&gt;0,", "&amp;AF$2,"")&amp;IF(N(AG144)&gt;0,", "&amp;AG$2,"")&amp;IF(N(AH144)&gt;0,", "&amp;AH$2,"")&amp;IF(N(AI144)&gt;0,", "&amp;AI$2,"")&amp;IF(N(AJ144)&gt;0,", "&amp;AJ$2,""),3,999)</f>
        <v/>
      </c>
      <c r="AM144" s="87" t="str">
        <f aca="false">IF(E144="","",MID(IF(N(Y144)&gt;0,", "&amp;A144&amp;"-"&amp;Y$2,"")&amp;IF(N(Z144)&gt;0,", "&amp;A144&amp;"-"&amp;Z$2,"")&amp;IF(N(AA144)&gt;0,", "&amp;A144&amp;"-"&amp;AA$2,"")&amp;IF(N(AB144)&gt;0,", "&amp;A144&amp;"-"&amp;AB$2,"")&amp;IF(N(AC144)&gt;0,", "&amp;A144&amp;"-"&amp;AC$2,"")&amp;IF(N(AD144)&gt;0,", "&amp;A144&amp;"-"&amp;AD$2,"")&amp;IF(N(AE144)&gt;0,", "&amp;A144&amp;"-"&amp;AE$2,"")&amp;IF(N(AF144)&gt;0,", "&amp;A144&amp;"-"&amp;AF$2,"")&amp;IF(N(AG144)&gt;0,", "&amp;A144&amp;"-"&amp;AG$2,"")&amp;IF(N(AH144)&gt;0,", "&amp;A144&amp;"-"&amp;AH$2,"")&amp;IF(N(AI144)&gt;0,", "&amp;A144&amp;"-"&amp;AI$2,"")&amp;IF(N(AJ144)&gt;0,", "&amp;A144&amp;"-"&amp;AJ$2,""),3,999))</f>
        <v/>
      </c>
      <c r="AN144" s="81"/>
      <c r="AO144" s="88"/>
      <c r="AP144" s="89" t="str">
        <f aca="false">IF(AO144="","",ROUND(AO144/(1+Справочники!$B$13),2))</f>
        <v/>
      </c>
      <c r="AQ144" s="90" t="str">
        <f aca="false" t="array" ref="AQ144:AQ144">IF(AP144="","",AP144*INDEX(Справочники!$B$4:$B$7,MATCH("RUB",Справочники!$A$4:$A$7,0)))</f>
        <v/>
      </c>
      <c r="AR144" s="90" t="str">
        <f aca="false">IF(AQ144="","",ROUND(AQ144*(1+Справочники!$B$12),0))</f>
        <v/>
      </c>
      <c r="AS144" s="90" t="str">
        <f aca="false">IF(AR144="","",ROUND(AR144*(1-Справочники!$B$11),0))</f>
        <v/>
      </c>
      <c r="AT144" s="88"/>
      <c r="AU144" s="90" t="str">
        <f aca="false">IF(AT144="","",ROUND(AT144/(1+Справочники!$B$12),0))</f>
        <v/>
      </c>
      <c r="AV144" s="90" t="str">
        <f aca="false">IF(AT144="","",ROUND(AT144*(1-Справочники!$B$15),0))</f>
        <v/>
      </c>
      <c r="AW144" s="90" t="str">
        <f aca="false">IF(AT144="","",ROUND(AT144*(1-Справочники!$B$16),0))</f>
        <v/>
      </c>
      <c r="AX144" s="90" t="str">
        <f aca="false">IF(AT144="","",ROUND(AT144*(1-Справочники!$B$17),0))</f>
        <v/>
      </c>
      <c r="AY144" s="90" t="str">
        <f aca="false">IF(AT144="","",ROUND(AT144*(1-Справочники!$B$18),0))</f>
        <v/>
      </c>
      <c r="AZ144" s="90" t="str">
        <f aca="false">IF(AT144="","",ROUND(AT144*(1-Справочники!$B$19),0))</f>
        <v/>
      </c>
      <c r="BA144" s="81"/>
      <c r="BB144" s="81"/>
      <c r="BC144" s="81"/>
      <c r="BD144" s="81"/>
      <c r="BE144" s="91"/>
      <c r="BF144" s="81" t="s">
        <v>103</v>
      </c>
      <c r="BG144" s="89" t="n">
        <f aca="false" t="array" ref="BG144:BG144">IF(BF144="","",IFERROR(INDEX(Справочники!$B$4:$B$7,MATCH(BF144,Справочники!$A$4:$A$7,0)),""))</f>
        <v>68.5</v>
      </c>
      <c r="BH144" s="90" t="str">
        <f aca="false">IF(N(BN144)&gt;0,ROUND(SUMIF(ЗАКАЗЫ!$F$3:$F$500,$A144,ЗАКАЗЫ!$Y$3:$Y$500)/BN144,0),IF(OR(BE144="",BG144=""),"",ROUND(BE144*BG144*(1+Справочники!$B$10),0)))</f>
        <v/>
      </c>
      <c r="BI144" s="92" t="str">
        <f aca="false">IF(OR(AU144="",BH144="",AU144=0),"",(AU144-BH144)/AU144)</f>
        <v/>
      </c>
      <c r="BJ144" s="81"/>
      <c r="BK144" s="83"/>
      <c r="BL144" s="43" t="str">
        <f aca="false">IFERROR(INDEX(ЗАКАЗЫ!$N$3:$N$500,MATCH($A144,ЗАКАЗЫ!$F$3:$F$500,0)),"")</f>
        <v/>
      </c>
      <c r="BM144" s="8" t="str">
        <f aca="false">IF(BL144="","",IFERROR(VLOOKUP(BL144,'ТН ВЭД'!$A$4:$C$40,3,0),""))</f>
        <v/>
      </c>
      <c r="BN144" s="7" t="str">
        <f aca="false">IF(COUNTIF(ЗАКАЗЫ!$F$3:$F$500,$A144)=0,"",SUMIF(ЗАКАЗЫ!$F$3:$F$500,$A144,ЗАКАЗЫ!$J$3:$J$500))</f>
        <v/>
      </c>
      <c r="BO144" s="7" t="str">
        <f aca="false">IF(BN144="","",SUMIF(ЗАКАЗЫ!$F$3:$F$500,$A144,ЗАКАЗЫ!$AL$3:$AL$500))</f>
        <v/>
      </c>
      <c r="BP144" s="7" t="str">
        <f aca="false">IF(BN144="","",BN144-BO144)</f>
        <v/>
      </c>
      <c r="BQ144" s="55" t="str">
        <f aca="false">IF(BN144="","",IF(BO144&gt;=BN144,"На складе",IF(BO144&gt;0,"Частично","Ждём")))</f>
        <v/>
      </c>
      <c r="BR144" s="43"/>
      <c r="BS144" s="47" t="str">
        <f aca="false">IF(BN144="","",IF(_xlfn.MAXIFS(ЗАКАЗЫ!$AK$3:$AK$500,ЗАКАЗЫ!$F$3:$F$500,$A144)=0,"",_xlfn.MAXIFS(ЗАКАЗЫ!$AK$3:$AK$500,ЗАКАЗЫ!$F$3:$F$500,$A144)))</f>
        <v/>
      </c>
    </row>
    <row r="145" customFormat="false" ht="15.75" hidden="false" customHeight="true" outlineLevel="0" collapsed="false">
      <c r="A145" s="80" t="s">
        <v>3056</v>
      </c>
      <c r="B145" s="81"/>
      <c r="C145" s="81"/>
      <c r="D145" s="81"/>
      <c r="E145" s="83"/>
      <c r="F145" s="81"/>
      <c r="G145" s="83"/>
      <c r="H145" s="83"/>
      <c r="I145" s="84" t="str">
        <f aca="false">IF(E145="","",A145&amp;"_1.jpg")</f>
        <v/>
      </c>
      <c r="J145" s="84" t="str">
        <f aca="false">IF(E145="","",A145&amp;"_2.jpg; "&amp;A145&amp;"_3.jpg")</f>
        <v/>
      </c>
      <c r="K145" s="84" t="str">
        <f aca="false">IF(E145="","",A145&amp;"_schema.jpg")</f>
        <v/>
      </c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 t="s">
        <v>96</v>
      </c>
      <c r="W145" s="81"/>
      <c r="X145" s="81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6" t="str">
        <f aca="false">IF(SUM(Y145:AJ145)=0,"",SUM(Y145:AJ145))</f>
        <v/>
      </c>
      <c r="AL145" s="84" t="str">
        <f aca="false">MID(IF(N(Y145)&gt;0,", "&amp;Y$2,"")&amp;IF(N(Z145)&gt;0,", "&amp;Z$2,"")&amp;IF(N(AA145)&gt;0,", "&amp;AA$2,"")&amp;IF(N(AB145)&gt;0,", "&amp;AB$2,"")&amp;IF(N(AC145)&gt;0,", "&amp;AC$2,"")&amp;IF(N(AD145)&gt;0,", "&amp;AD$2,"")&amp;IF(N(AE145)&gt;0,", "&amp;AE$2,"")&amp;IF(N(AF145)&gt;0,", "&amp;AF$2,"")&amp;IF(N(AG145)&gt;0,", "&amp;AG$2,"")&amp;IF(N(AH145)&gt;0,", "&amp;AH$2,"")&amp;IF(N(AI145)&gt;0,", "&amp;AI$2,"")&amp;IF(N(AJ145)&gt;0,", "&amp;AJ$2,""),3,999)</f>
        <v/>
      </c>
      <c r="AM145" s="87" t="str">
        <f aca="false">IF(E145="","",MID(IF(N(Y145)&gt;0,", "&amp;A145&amp;"-"&amp;Y$2,"")&amp;IF(N(Z145)&gt;0,", "&amp;A145&amp;"-"&amp;Z$2,"")&amp;IF(N(AA145)&gt;0,", "&amp;A145&amp;"-"&amp;AA$2,"")&amp;IF(N(AB145)&gt;0,", "&amp;A145&amp;"-"&amp;AB$2,"")&amp;IF(N(AC145)&gt;0,", "&amp;A145&amp;"-"&amp;AC$2,"")&amp;IF(N(AD145)&gt;0,", "&amp;A145&amp;"-"&amp;AD$2,"")&amp;IF(N(AE145)&gt;0,", "&amp;A145&amp;"-"&amp;AE$2,"")&amp;IF(N(AF145)&gt;0,", "&amp;A145&amp;"-"&amp;AF$2,"")&amp;IF(N(AG145)&gt;0,", "&amp;A145&amp;"-"&amp;AG$2,"")&amp;IF(N(AH145)&gt;0,", "&amp;A145&amp;"-"&amp;AH$2,"")&amp;IF(N(AI145)&gt;0,", "&amp;A145&amp;"-"&amp;AI$2,"")&amp;IF(N(AJ145)&gt;0,", "&amp;A145&amp;"-"&amp;AJ$2,""),3,999))</f>
        <v/>
      </c>
      <c r="AN145" s="81"/>
      <c r="AO145" s="88"/>
      <c r="AP145" s="89" t="str">
        <f aca="false">IF(AO145="","",ROUND(AO145/(1+Справочники!$B$13),2))</f>
        <v/>
      </c>
      <c r="AQ145" s="90" t="str">
        <f aca="false" t="array" ref="AQ145:AQ145">IF(AP145="","",AP145*INDEX(Справочники!$B$4:$B$7,MATCH("RUB",Справочники!$A$4:$A$7,0)))</f>
        <v/>
      </c>
      <c r="AR145" s="90" t="str">
        <f aca="false">IF(AQ145="","",ROUND(AQ145*(1+Справочники!$B$12),0))</f>
        <v/>
      </c>
      <c r="AS145" s="90" t="str">
        <f aca="false">IF(AR145="","",ROUND(AR145*(1-Справочники!$B$11),0))</f>
        <v/>
      </c>
      <c r="AT145" s="88"/>
      <c r="AU145" s="90" t="str">
        <f aca="false">IF(AT145="","",ROUND(AT145/(1+Справочники!$B$12),0))</f>
        <v/>
      </c>
      <c r="AV145" s="90" t="str">
        <f aca="false">IF(AT145="","",ROUND(AT145*(1-Справочники!$B$15),0))</f>
        <v/>
      </c>
      <c r="AW145" s="90" t="str">
        <f aca="false">IF(AT145="","",ROUND(AT145*(1-Справочники!$B$16),0))</f>
        <v/>
      </c>
      <c r="AX145" s="90" t="str">
        <f aca="false">IF(AT145="","",ROUND(AT145*(1-Справочники!$B$17),0))</f>
        <v/>
      </c>
      <c r="AY145" s="90" t="str">
        <f aca="false">IF(AT145="","",ROUND(AT145*(1-Справочники!$B$18),0))</f>
        <v/>
      </c>
      <c r="AZ145" s="90" t="str">
        <f aca="false">IF(AT145="","",ROUND(AT145*(1-Справочники!$B$19),0))</f>
        <v/>
      </c>
      <c r="BA145" s="81"/>
      <c r="BB145" s="81"/>
      <c r="BC145" s="81"/>
      <c r="BD145" s="81"/>
      <c r="BE145" s="91"/>
      <c r="BF145" s="81" t="s">
        <v>103</v>
      </c>
      <c r="BG145" s="89" t="n">
        <f aca="false" t="array" ref="BG145:BG145">IF(BF145="","",IFERROR(INDEX(Справочники!$B$4:$B$7,MATCH(BF145,Справочники!$A$4:$A$7,0)),""))</f>
        <v>68.5</v>
      </c>
      <c r="BH145" s="90" t="str">
        <f aca="false">IF(N(BN145)&gt;0,ROUND(SUMIF(ЗАКАЗЫ!$F$3:$F$500,$A145,ЗАКАЗЫ!$Y$3:$Y$500)/BN145,0),IF(OR(BE145="",BG145=""),"",ROUND(BE145*BG145*(1+Справочники!$B$10),0)))</f>
        <v/>
      </c>
      <c r="BI145" s="92" t="str">
        <f aca="false">IF(OR(AU145="",BH145="",AU145=0),"",(AU145-BH145)/AU145)</f>
        <v/>
      </c>
      <c r="BJ145" s="81"/>
      <c r="BK145" s="83"/>
      <c r="BL145" s="43" t="str">
        <f aca="false">IFERROR(INDEX(ЗАКАЗЫ!$N$3:$N$500,MATCH($A145,ЗАКАЗЫ!$F$3:$F$500,0)),"")</f>
        <v/>
      </c>
      <c r="BM145" s="8" t="str">
        <f aca="false">IF(BL145="","",IFERROR(VLOOKUP(BL145,'ТН ВЭД'!$A$4:$C$40,3,0),""))</f>
        <v/>
      </c>
      <c r="BN145" s="7" t="str">
        <f aca="false">IF(COUNTIF(ЗАКАЗЫ!$F$3:$F$500,$A145)=0,"",SUMIF(ЗАКАЗЫ!$F$3:$F$500,$A145,ЗАКАЗЫ!$J$3:$J$500))</f>
        <v/>
      </c>
      <c r="BO145" s="7" t="str">
        <f aca="false">IF(BN145="","",SUMIF(ЗАКАЗЫ!$F$3:$F$500,$A145,ЗАКАЗЫ!$AL$3:$AL$500))</f>
        <v/>
      </c>
      <c r="BP145" s="7" t="str">
        <f aca="false">IF(BN145="","",BN145-BO145)</f>
        <v/>
      </c>
      <c r="BQ145" s="55" t="str">
        <f aca="false">IF(BN145="","",IF(BO145&gt;=BN145,"На складе",IF(BO145&gt;0,"Частично","Ждём")))</f>
        <v/>
      </c>
      <c r="BR145" s="43"/>
      <c r="BS145" s="47" t="str">
        <f aca="false">IF(BN145="","",IF(_xlfn.MAXIFS(ЗАКАЗЫ!$AK$3:$AK$500,ЗАКАЗЫ!$F$3:$F$500,$A145)=0,"",_xlfn.MAXIFS(ЗАКАЗЫ!$AK$3:$AK$500,ЗАКАЗЫ!$F$3:$F$500,$A145)))</f>
        <v/>
      </c>
    </row>
    <row r="146" customFormat="false" ht="15.75" hidden="false" customHeight="true" outlineLevel="0" collapsed="false">
      <c r="A146" s="80" t="s">
        <v>3057</v>
      </c>
      <c r="B146" s="81"/>
      <c r="C146" s="81"/>
      <c r="D146" s="81"/>
      <c r="E146" s="83"/>
      <c r="F146" s="81"/>
      <c r="G146" s="83"/>
      <c r="H146" s="83"/>
      <c r="I146" s="84" t="str">
        <f aca="false">IF(E146="","",A146&amp;"_1.jpg")</f>
        <v/>
      </c>
      <c r="J146" s="84" t="str">
        <f aca="false">IF(E146="","",A146&amp;"_2.jpg; "&amp;A146&amp;"_3.jpg")</f>
        <v/>
      </c>
      <c r="K146" s="84" t="str">
        <f aca="false">IF(E146="","",A146&amp;"_schema.jpg")</f>
        <v/>
      </c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 t="s">
        <v>96</v>
      </c>
      <c r="W146" s="81"/>
      <c r="X146" s="81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6" t="str">
        <f aca="false">IF(SUM(Y146:AJ146)=0,"",SUM(Y146:AJ146))</f>
        <v/>
      </c>
      <c r="AL146" s="84" t="str">
        <f aca="false">MID(IF(N(Y146)&gt;0,", "&amp;Y$2,"")&amp;IF(N(Z146)&gt;0,", "&amp;Z$2,"")&amp;IF(N(AA146)&gt;0,", "&amp;AA$2,"")&amp;IF(N(AB146)&gt;0,", "&amp;AB$2,"")&amp;IF(N(AC146)&gt;0,", "&amp;AC$2,"")&amp;IF(N(AD146)&gt;0,", "&amp;AD$2,"")&amp;IF(N(AE146)&gt;0,", "&amp;AE$2,"")&amp;IF(N(AF146)&gt;0,", "&amp;AF$2,"")&amp;IF(N(AG146)&gt;0,", "&amp;AG$2,"")&amp;IF(N(AH146)&gt;0,", "&amp;AH$2,"")&amp;IF(N(AI146)&gt;0,", "&amp;AI$2,"")&amp;IF(N(AJ146)&gt;0,", "&amp;AJ$2,""),3,999)</f>
        <v/>
      </c>
      <c r="AM146" s="87" t="str">
        <f aca="false">IF(E146="","",MID(IF(N(Y146)&gt;0,", "&amp;A146&amp;"-"&amp;Y$2,"")&amp;IF(N(Z146)&gt;0,", "&amp;A146&amp;"-"&amp;Z$2,"")&amp;IF(N(AA146)&gt;0,", "&amp;A146&amp;"-"&amp;AA$2,"")&amp;IF(N(AB146)&gt;0,", "&amp;A146&amp;"-"&amp;AB$2,"")&amp;IF(N(AC146)&gt;0,", "&amp;A146&amp;"-"&amp;AC$2,"")&amp;IF(N(AD146)&gt;0,", "&amp;A146&amp;"-"&amp;AD$2,"")&amp;IF(N(AE146)&gt;0,", "&amp;A146&amp;"-"&amp;AE$2,"")&amp;IF(N(AF146)&gt;0,", "&amp;A146&amp;"-"&amp;AF$2,"")&amp;IF(N(AG146)&gt;0,", "&amp;A146&amp;"-"&amp;AG$2,"")&amp;IF(N(AH146)&gt;0,", "&amp;A146&amp;"-"&amp;AH$2,"")&amp;IF(N(AI146)&gt;0,", "&amp;A146&amp;"-"&amp;AI$2,"")&amp;IF(N(AJ146)&gt;0,", "&amp;A146&amp;"-"&amp;AJ$2,""),3,999))</f>
        <v/>
      </c>
      <c r="AN146" s="81"/>
      <c r="AO146" s="88"/>
      <c r="AP146" s="89" t="str">
        <f aca="false">IF(AO146="","",ROUND(AO146/(1+Справочники!$B$13),2))</f>
        <v/>
      </c>
      <c r="AQ146" s="90" t="str">
        <f aca="false" t="array" ref="AQ146:AQ146">IF(AP146="","",AP146*INDEX(Справочники!$B$4:$B$7,MATCH("RUB",Справочники!$A$4:$A$7,0)))</f>
        <v/>
      </c>
      <c r="AR146" s="90" t="str">
        <f aca="false">IF(AQ146="","",ROUND(AQ146*(1+Справочники!$B$12),0))</f>
        <v/>
      </c>
      <c r="AS146" s="90" t="str">
        <f aca="false">IF(AR146="","",ROUND(AR146*(1-Справочники!$B$11),0))</f>
        <v/>
      </c>
      <c r="AT146" s="88"/>
      <c r="AU146" s="90" t="str">
        <f aca="false">IF(AT146="","",ROUND(AT146/(1+Справочники!$B$12),0))</f>
        <v/>
      </c>
      <c r="AV146" s="90" t="str">
        <f aca="false">IF(AT146="","",ROUND(AT146*(1-Справочники!$B$15),0))</f>
        <v/>
      </c>
      <c r="AW146" s="90" t="str">
        <f aca="false">IF(AT146="","",ROUND(AT146*(1-Справочники!$B$16),0))</f>
        <v/>
      </c>
      <c r="AX146" s="90" t="str">
        <f aca="false">IF(AT146="","",ROUND(AT146*(1-Справочники!$B$17),0))</f>
        <v/>
      </c>
      <c r="AY146" s="90" t="str">
        <f aca="false">IF(AT146="","",ROUND(AT146*(1-Справочники!$B$18),0))</f>
        <v/>
      </c>
      <c r="AZ146" s="90" t="str">
        <f aca="false">IF(AT146="","",ROUND(AT146*(1-Справочники!$B$19),0))</f>
        <v/>
      </c>
      <c r="BA146" s="81"/>
      <c r="BB146" s="81"/>
      <c r="BC146" s="81"/>
      <c r="BD146" s="81"/>
      <c r="BE146" s="91"/>
      <c r="BF146" s="81" t="s">
        <v>103</v>
      </c>
      <c r="BG146" s="89" t="n">
        <f aca="false" t="array" ref="BG146:BG146">IF(BF146="","",IFERROR(INDEX(Справочники!$B$4:$B$7,MATCH(BF146,Справочники!$A$4:$A$7,0)),""))</f>
        <v>68.5</v>
      </c>
      <c r="BH146" s="90" t="str">
        <f aca="false">IF(N(BN146)&gt;0,ROUND(SUMIF(ЗАКАЗЫ!$F$3:$F$500,$A146,ЗАКАЗЫ!$Y$3:$Y$500)/BN146,0),IF(OR(BE146="",BG146=""),"",ROUND(BE146*BG146*(1+Справочники!$B$10),0)))</f>
        <v/>
      </c>
      <c r="BI146" s="92" t="str">
        <f aca="false">IF(OR(AU146="",BH146="",AU146=0),"",(AU146-BH146)/AU146)</f>
        <v/>
      </c>
      <c r="BJ146" s="81"/>
      <c r="BK146" s="83"/>
      <c r="BL146" s="43" t="str">
        <f aca="false">IFERROR(INDEX(ЗАКАЗЫ!$N$3:$N$500,MATCH($A146,ЗАКАЗЫ!$F$3:$F$500,0)),"")</f>
        <v/>
      </c>
      <c r="BM146" s="8" t="str">
        <f aca="false">IF(BL146="","",IFERROR(VLOOKUP(BL146,'ТН ВЭД'!$A$4:$C$40,3,0),""))</f>
        <v/>
      </c>
      <c r="BN146" s="7" t="str">
        <f aca="false">IF(COUNTIF(ЗАКАЗЫ!$F$3:$F$500,$A146)=0,"",SUMIF(ЗАКАЗЫ!$F$3:$F$500,$A146,ЗАКАЗЫ!$J$3:$J$500))</f>
        <v/>
      </c>
      <c r="BO146" s="7" t="str">
        <f aca="false">IF(BN146="","",SUMIF(ЗАКАЗЫ!$F$3:$F$500,$A146,ЗАКАЗЫ!$AL$3:$AL$500))</f>
        <v/>
      </c>
      <c r="BP146" s="7" t="str">
        <f aca="false">IF(BN146="","",BN146-BO146)</f>
        <v/>
      </c>
      <c r="BQ146" s="55" t="str">
        <f aca="false">IF(BN146="","",IF(BO146&gt;=BN146,"На складе",IF(BO146&gt;0,"Частично","Ждём")))</f>
        <v/>
      </c>
      <c r="BR146" s="43"/>
      <c r="BS146" s="47" t="str">
        <f aca="false">IF(BN146="","",IF(_xlfn.MAXIFS(ЗАКАЗЫ!$AK$3:$AK$500,ЗАКАЗЫ!$F$3:$F$500,$A146)=0,"",_xlfn.MAXIFS(ЗАКАЗЫ!$AK$3:$AK$500,ЗАКАЗЫ!$F$3:$F$500,$A146)))</f>
        <v/>
      </c>
    </row>
    <row r="147" customFormat="false" ht="15.75" hidden="false" customHeight="true" outlineLevel="0" collapsed="false">
      <c r="A147" s="80" t="s">
        <v>3058</v>
      </c>
      <c r="B147" s="81"/>
      <c r="C147" s="81"/>
      <c r="D147" s="81"/>
      <c r="E147" s="83"/>
      <c r="F147" s="81"/>
      <c r="G147" s="83"/>
      <c r="H147" s="83"/>
      <c r="I147" s="84" t="str">
        <f aca="false">IF(E147="","",A147&amp;"_1.jpg")</f>
        <v/>
      </c>
      <c r="J147" s="84" t="str">
        <f aca="false">IF(E147="","",A147&amp;"_2.jpg; "&amp;A147&amp;"_3.jpg")</f>
        <v/>
      </c>
      <c r="K147" s="84" t="str">
        <f aca="false">IF(E147="","",A147&amp;"_schema.jpg")</f>
        <v/>
      </c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 t="s">
        <v>96</v>
      </c>
      <c r="W147" s="81"/>
      <c r="X147" s="81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6" t="str">
        <f aca="false">IF(SUM(Y147:AJ147)=0,"",SUM(Y147:AJ147))</f>
        <v/>
      </c>
      <c r="AL147" s="84" t="str">
        <f aca="false">MID(IF(N(Y147)&gt;0,", "&amp;Y$2,"")&amp;IF(N(Z147)&gt;0,", "&amp;Z$2,"")&amp;IF(N(AA147)&gt;0,", "&amp;AA$2,"")&amp;IF(N(AB147)&gt;0,", "&amp;AB$2,"")&amp;IF(N(AC147)&gt;0,", "&amp;AC$2,"")&amp;IF(N(AD147)&gt;0,", "&amp;AD$2,"")&amp;IF(N(AE147)&gt;0,", "&amp;AE$2,"")&amp;IF(N(AF147)&gt;0,", "&amp;AF$2,"")&amp;IF(N(AG147)&gt;0,", "&amp;AG$2,"")&amp;IF(N(AH147)&gt;0,", "&amp;AH$2,"")&amp;IF(N(AI147)&gt;0,", "&amp;AI$2,"")&amp;IF(N(AJ147)&gt;0,", "&amp;AJ$2,""),3,999)</f>
        <v/>
      </c>
      <c r="AM147" s="87" t="str">
        <f aca="false">IF(E147="","",MID(IF(N(Y147)&gt;0,", "&amp;A147&amp;"-"&amp;Y$2,"")&amp;IF(N(Z147)&gt;0,", "&amp;A147&amp;"-"&amp;Z$2,"")&amp;IF(N(AA147)&gt;0,", "&amp;A147&amp;"-"&amp;AA$2,"")&amp;IF(N(AB147)&gt;0,", "&amp;A147&amp;"-"&amp;AB$2,"")&amp;IF(N(AC147)&gt;0,", "&amp;A147&amp;"-"&amp;AC$2,"")&amp;IF(N(AD147)&gt;0,", "&amp;A147&amp;"-"&amp;AD$2,"")&amp;IF(N(AE147)&gt;0,", "&amp;A147&amp;"-"&amp;AE$2,"")&amp;IF(N(AF147)&gt;0,", "&amp;A147&amp;"-"&amp;AF$2,"")&amp;IF(N(AG147)&gt;0,", "&amp;A147&amp;"-"&amp;AG$2,"")&amp;IF(N(AH147)&gt;0,", "&amp;A147&amp;"-"&amp;AH$2,"")&amp;IF(N(AI147)&gt;0,", "&amp;A147&amp;"-"&amp;AI$2,"")&amp;IF(N(AJ147)&gt;0,", "&amp;A147&amp;"-"&amp;AJ$2,""),3,999))</f>
        <v/>
      </c>
      <c r="AN147" s="81"/>
      <c r="AO147" s="88"/>
      <c r="AP147" s="89" t="str">
        <f aca="false">IF(AO147="","",ROUND(AO147/(1+Справочники!$B$13),2))</f>
        <v/>
      </c>
      <c r="AQ147" s="90" t="str">
        <f aca="false" t="array" ref="AQ147:AQ147">IF(AP147="","",AP147*INDEX(Справочники!$B$4:$B$7,MATCH("RUB",Справочники!$A$4:$A$7,0)))</f>
        <v/>
      </c>
      <c r="AR147" s="90" t="str">
        <f aca="false">IF(AQ147="","",ROUND(AQ147*(1+Справочники!$B$12),0))</f>
        <v/>
      </c>
      <c r="AS147" s="90" t="str">
        <f aca="false">IF(AR147="","",ROUND(AR147*(1-Справочники!$B$11),0))</f>
        <v/>
      </c>
      <c r="AT147" s="88"/>
      <c r="AU147" s="90" t="str">
        <f aca="false">IF(AT147="","",ROUND(AT147/(1+Справочники!$B$12),0))</f>
        <v/>
      </c>
      <c r="AV147" s="90" t="str">
        <f aca="false">IF(AT147="","",ROUND(AT147*(1-Справочники!$B$15),0))</f>
        <v/>
      </c>
      <c r="AW147" s="90" t="str">
        <f aca="false">IF(AT147="","",ROUND(AT147*(1-Справочники!$B$16),0))</f>
        <v/>
      </c>
      <c r="AX147" s="90" t="str">
        <f aca="false">IF(AT147="","",ROUND(AT147*(1-Справочники!$B$17),0))</f>
        <v/>
      </c>
      <c r="AY147" s="90" t="str">
        <f aca="false">IF(AT147="","",ROUND(AT147*(1-Справочники!$B$18),0))</f>
        <v/>
      </c>
      <c r="AZ147" s="90" t="str">
        <f aca="false">IF(AT147="","",ROUND(AT147*(1-Справочники!$B$19),0))</f>
        <v/>
      </c>
      <c r="BA147" s="81"/>
      <c r="BB147" s="81"/>
      <c r="BC147" s="81"/>
      <c r="BD147" s="81"/>
      <c r="BE147" s="91"/>
      <c r="BF147" s="81" t="s">
        <v>103</v>
      </c>
      <c r="BG147" s="89" t="n">
        <f aca="false" t="array" ref="BG147:BG147">IF(BF147="","",IFERROR(INDEX(Справочники!$B$4:$B$7,MATCH(BF147,Справочники!$A$4:$A$7,0)),""))</f>
        <v>68.5</v>
      </c>
      <c r="BH147" s="90" t="str">
        <f aca="false">IF(N(BN147)&gt;0,ROUND(SUMIF(ЗАКАЗЫ!$F$3:$F$500,$A147,ЗАКАЗЫ!$Y$3:$Y$500)/BN147,0),IF(OR(BE147="",BG147=""),"",ROUND(BE147*BG147*(1+Справочники!$B$10),0)))</f>
        <v/>
      </c>
      <c r="BI147" s="92" t="str">
        <f aca="false">IF(OR(AU147="",BH147="",AU147=0),"",(AU147-BH147)/AU147)</f>
        <v/>
      </c>
      <c r="BJ147" s="81"/>
      <c r="BK147" s="83"/>
      <c r="BL147" s="43" t="str">
        <f aca="false">IFERROR(INDEX(ЗАКАЗЫ!$N$3:$N$500,MATCH($A147,ЗАКАЗЫ!$F$3:$F$500,0)),"")</f>
        <v/>
      </c>
      <c r="BM147" s="8" t="str">
        <f aca="false">IF(BL147="","",IFERROR(VLOOKUP(BL147,'ТН ВЭД'!$A$4:$C$40,3,0),""))</f>
        <v/>
      </c>
      <c r="BN147" s="7" t="str">
        <f aca="false">IF(COUNTIF(ЗАКАЗЫ!$F$3:$F$500,$A147)=0,"",SUMIF(ЗАКАЗЫ!$F$3:$F$500,$A147,ЗАКАЗЫ!$J$3:$J$500))</f>
        <v/>
      </c>
      <c r="BO147" s="7" t="str">
        <f aca="false">IF(BN147="","",SUMIF(ЗАКАЗЫ!$F$3:$F$500,$A147,ЗАКАЗЫ!$AL$3:$AL$500))</f>
        <v/>
      </c>
      <c r="BP147" s="7" t="str">
        <f aca="false">IF(BN147="","",BN147-BO147)</f>
        <v/>
      </c>
      <c r="BQ147" s="55" t="str">
        <f aca="false">IF(BN147="","",IF(BO147&gt;=BN147,"На складе",IF(BO147&gt;0,"Частично","Ждём")))</f>
        <v/>
      </c>
      <c r="BR147" s="43"/>
      <c r="BS147" s="47" t="str">
        <f aca="false">IF(BN147="","",IF(_xlfn.MAXIFS(ЗАКАЗЫ!$AK$3:$AK$500,ЗАКАЗЫ!$F$3:$F$500,$A147)=0,"",_xlfn.MAXIFS(ЗАКАЗЫ!$AK$3:$AK$500,ЗАКАЗЫ!$F$3:$F$500,$A147)))</f>
        <v/>
      </c>
    </row>
    <row r="148" customFormat="false" ht="15.75" hidden="false" customHeight="true" outlineLevel="0" collapsed="false">
      <c r="A148" s="80" t="s">
        <v>3059</v>
      </c>
      <c r="B148" s="81"/>
      <c r="C148" s="81"/>
      <c r="D148" s="81"/>
      <c r="E148" s="83"/>
      <c r="F148" s="81"/>
      <c r="G148" s="83"/>
      <c r="H148" s="83"/>
      <c r="I148" s="84" t="str">
        <f aca="false">IF(E148="","",A148&amp;"_1.jpg")</f>
        <v/>
      </c>
      <c r="J148" s="84" t="str">
        <f aca="false">IF(E148="","",A148&amp;"_2.jpg; "&amp;A148&amp;"_3.jpg")</f>
        <v/>
      </c>
      <c r="K148" s="84" t="str">
        <f aca="false">IF(E148="","",A148&amp;"_schema.jpg")</f>
        <v/>
      </c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 t="s">
        <v>96</v>
      </c>
      <c r="W148" s="81"/>
      <c r="X148" s="81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6" t="str">
        <f aca="false">IF(SUM(Y148:AJ148)=0,"",SUM(Y148:AJ148))</f>
        <v/>
      </c>
      <c r="AL148" s="84" t="str">
        <f aca="false">MID(IF(N(Y148)&gt;0,", "&amp;Y$2,"")&amp;IF(N(Z148)&gt;0,", "&amp;Z$2,"")&amp;IF(N(AA148)&gt;0,", "&amp;AA$2,"")&amp;IF(N(AB148)&gt;0,", "&amp;AB$2,"")&amp;IF(N(AC148)&gt;0,", "&amp;AC$2,"")&amp;IF(N(AD148)&gt;0,", "&amp;AD$2,"")&amp;IF(N(AE148)&gt;0,", "&amp;AE$2,"")&amp;IF(N(AF148)&gt;0,", "&amp;AF$2,"")&amp;IF(N(AG148)&gt;0,", "&amp;AG$2,"")&amp;IF(N(AH148)&gt;0,", "&amp;AH$2,"")&amp;IF(N(AI148)&gt;0,", "&amp;AI$2,"")&amp;IF(N(AJ148)&gt;0,", "&amp;AJ$2,""),3,999)</f>
        <v/>
      </c>
      <c r="AM148" s="87" t="str">
        <f aca="false">IF(E148="","",MID(IF(N(Y148)&gt;0,", "&amp;A148&amp;"-"&amp;Y$2,"")&amp;IF(N(Z148)&gt;0,", "&amp;A148&amp;"-"&amp;Z$2,"")&amp;IF(N(AA148)&gt;0,", "&amp;A148&amp;"-"&amp;AA$2,"")&amp;IF(N(AB148)&gt;0,", "&amp;A148&amp;"-"&amp;AB$2,"")&amp;IF(N(AC148)&gt;0,", "&amp;A148&amp;"-"&amp;AC$2,"")&amp;IF(N(AD148)&gt;0,", "&amp;A148&amp;"-"&amp;AD$2,"")&amp;IF(N(AE148)&gt;0,", "&amp;A148&amp;"-"&amp;AE$2,"")&amp;IF(N(AF148)&gt;0,", "&amp;A148&amp;"-"&amp;AF$2,"")&amp;IF(N(AG148)&gt;0,", "&amp;A148&amp;"-"&amp;AG$2,"")&amp;IF(N(AH148)&gt;0,", "&amp;A148&amp;"-"&amp;AH$2,"")&amp;IF(N(AI148)&gt;0,", "&amp;A148&amp;"-"&amp;AI$2,"")&amp;IF(N(AJ148)&gt;0,", "&amp;A148&amp;"-"&amp;AJ$2,""),3,999))</f>
        <v/>
      </c>
      <c r="AN148" s="81"/>
      <c r="AO148" s="88"/>
      <c r="AP148" s="89" t="str">
        <f aca="false">IF(AO148="","",ROUND(AO148/(1+Справочники!$B$13),2))</f>
        <v/>
      </c>
      <c r="AQ148" s="90" t="str">
        <f aca="false" t="array" ref="AQ148:AQ148">IF(AP148="","",AP148*INDEX(Справочники!$B$4:$B$7,MATCH("RUB",Справочники!$A$4:$A$7,0)))</f>
        <v/>
      </c>
      <c r="AR148" s="90" t="str">
        <f aca="false">IF(AQ148="","",ROUND(AQ148*(1+Справочники!$B$12),0))</f>
        <v/>
      </c>
      <c r="AS148" s="90" t="str">
        <f aca="false">IF(AR148="","",ROUND(AR148*(1-Справочники!$B$11),0))</f>
        <v/>
      </c>
      <c r="AT148" s="88"/>
      <c r="AU148" s="90" t="str">
        <f aca="false">IF(AT148="","",ROUND(AT148/(1+Справочники!$B$12),0))</f>
        <v/>
      </c>
      <c r="AV148" s="90" t="str">
        <f aca="false">IF(AT148="","",ROUND(AT148*(1-Справочники!$B$15),0))</f>
        <v/>
      </c>
      <c r="AW148" s="90" t="str">
        <f aca="false">IF(AT148="","",ROUND(AT148*(1-Справочники!$B$16),0))</f>
        <v/>
      </c>
      <c r="AX148" s="90" t="str">
        <f aca="false">IF(AT148="","",ROUND(AT148*(1-Справочники!$B$17),0))</f>
        <v/>
      </c>
      <c r="AY148" s="90" t="str">
        <f aca="false">IF(AT148="","",ROUND(AT148*(1-Справочники!$B$18),0))</f>
        <v/>
      </c>
      <c r="AZ148" s="90" t="str">
        <f aca="false">IF(AT148="","",ROUND(AT148*(1-Справочники!$B$19),0))</f>
        <v/>
      </c>
      <c r="BA148" s="81"/>
      <c r="BB148" s="81"/>
      <c r="BC148" s="81"/>
      <c r="BD148" s="81"/>
      <c r="BE148" s="91"/>
      <c r="BF148" s="81" t="s">
        <v>103</v>
      </c>
      <c r="BG148" s="89" t="n">
        <f aca="false" t="array" ref="BG148:BG148">IF(BF148="","",IFERROR(INDEX(Справочники!$B$4:$B$7,MATCH(BF148,Справочники!$A$4:$A$7,0)),""))</f>
        <v>68.5</v>
      </c>
      <c r="BH148" s="90" t="str">
        <f aca="false">IF(N(BN148)&gt;0,ROUND(SUMIF(ЗАКАЗЫ!$F$3:$F$500,$A148,ЗАКАЗЫ!$Y$3:$Y$500)/BN148,0),IF(OR(BE148="",BG148=""),"",ROUND(BE148*BG148*(1+Справочники!$B$10),0)))</f>
        <v/>
      </c>
      <c r="BI148" s="92" t="str">
        <f aca="false">IF(OR(AU148="",BH148="",AU148=0),"",(AU148-BH148)/AU148)</f>
        <v/>
      </c>
      <c r="BJ148" s="81"/>
      <c r="BK148" s="83"/>
      <c r="BL148" s="43" t="str">
        <f aca="false">IFERROR(INDEX(ЗАКАЗЫ!$N$3:$N$500,MATCH($A148,ЗАКАЗЫ!$F$3:$F$500,0)),"")</f>
        <v/>
      </c>
      <c r="BM148" s="8" t="str">
        <f aca="false">IF(BL148="","",IFERROR(VLOOKUP(BL148,'ТН ВЭД'!$A$4:$C$40,3,0),""))</f>
        <v/>
      </c>
      <c r="BN148" s="7" t="str">
        <f aca="false">IF(COUNTIF(ЗАКАЗЫ!$F$3:$F$500,$A148)=0,"",SUMIF(ЗАКАЗЫ!$F$3:$F$500,$A148,ЗАКАЗЫ!$J$3:$J$500))</f>
        <v/>
      </c>
      <c r="BO148" s="7" t="str">
        <f aca="false">IF(BN148="","",SUMIF(ЗАКАЗЫ!$F$3:$F$500,$A148,ЗАКАЗЫ!$AL$3:$AL$500))</f>
        <v/>
      </c>
      <c r="BP148" s="7" t="str">
        <f aca="false">IF(BN148="","",BN148-BO148)</f>
        <v/>
      </c>
      <c r="BQ148" s="55" t="str">
        <f aca="false">IF(BN148="","",IF(BO148&gt;=BN148,"На складе",IF(BO148&gt;0,"Частично","Ждём")))</f>
        <v/>
      </c>
      <c r="BR148" s="43"/>
      <c r="BS148" s="47" t="str">
        <f aca="false">IF(BN148="","",IF(_xlfn.MAXIFS(ЗАКАЗЫ!$AK$3:$AK$500,ЗАКАЗЫ!$F$3:$F$500,$A148)=0,"",_xlfn.MAXIFS(ЗАКАЗЫ!$AK$3:$AK$500,ЗАКАЗЫ!$F$3:$F$500,$A148)))</f>
        <v/>
      </c>
    </row>
    <row r="149" customFormat="false" ht="15.75" hidden="false" customHeight="true" outlineLevel="0" collapsed="false">
      <c r="A149" s="80" t="s">
        <v>3060</v>
      </c>
      <c r="B149" s="81"/>
      <c r="C149" s="81"/>
      <c r="D149" s="81"/>
      <c r="E149" s="83"/>
      <c r="F149" s="81"/>
      <c r="G149" s="83"/>
      <c r="H149" s="83"/>
      <c r="I149" s="84" t="str">
        <f aca="false">IF(E149="","",A149&amp;"_1.jpg")</f>
        <v/>
      </c>
      <c r="J149" s="84" t="str">
        <f aca="false">IF(E149="","",A149&amp;"_2.jpg; "&amp;A149&amp;"_3.jpg")</f>
        <v/>
      </c>
      <c r="K149" s="84" t="str">
        <f aca="false">IF(E149="","",A149&amp;"_schema.jpg")</f>
        <v/>
      </c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 t="s">
        <v>96</v>
      </c>
      <c r="W149" s="81"/>
      <c r="X149" s="81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6" t="str">
        <f aca="false">IF(SUM(Y149:AJ149)=0,"",SUM(Y149:AJ149))</f>
        <v/>
      </c>
      <c r="AL149" s="84" t="str">
        <f aca="false">MID(IF(N(Y149)&gt;0,", "&amp;Y$2,"")&amp;IF(N(Z149)&gt;0,", "&amp;Z$2,"")&amp;IF(N(AA149)&gt;0,", "&amp;AA$2,"")&amp;IF(N(AB149)&gt;0,", "&amp;AB$2,"")&amp;IF(N(AC149)&gt;0,", "&amp;AC$2,"")&amp;IF(N(AD149)&gt;0,", "&amp;AD$2,"")&amp;IF(N(AE149)&gt;0,", "&amp;AE$2,"")&amp;IF(N(AF149)&gt;0,", "&amp;AF$2,"")&amp;IF(N(AG149)&gt;0,", "&amp;AG$2,"")&amp;IF(N(AH149)&gt;0,", "&amp;AH$2,"")&amp;IF(N(AI149)&gt;0,", "&amp;AI$2,"")&amp;IF(N(AJ149)&gt;0,", "&amp;AJ$2,""),3,999)</f>
        <v/>
      </c>
      <c r="AM149" s="87" t="str">
        <f aca="false">IF(E149="","",MID(IF(N(Y149)&gt;0,", "&amp;A149&amp;"-"&amp;Y$2,"")&amp;IF(N(Z149)&gt;0,", "&amp;A149&amp;"-"&amp;Z$2,"")&amp;IF(N(AA149)&gt;0,", "&amp;A149&amp;"-"&amp;AA$2,"")&amp;IF(N(AB149)&gt;0,", "&amp;A149&amp;"-"&amp;AB$2,"")&amp;IF(N(AC149)&gt;0,", "&amp;A149&amp;"-"&amp;AC$2,"")&amp;IF(N(AD149)&gt;0,", "&amp;A149&amp;"-"&amp;AD$2,"")&amp;IF(N(AE149)&gt;0,", "&amp;A149&amp;"-"&amp;AE$2,"")&amp;IF(N(AF149)&gt;0,", "&amp;A149&amp;"-"&amp;AF$2,"")&amp;IF(N(AG149)&gt;0,", "&amp;A149&amp;"-"&amp;AG$2,"")&amp;IF(N(AH149)&gt;0,", "&amp;A149&amp;"-"&amp;AH$2,"")&amp;IF(N(AI149)&gt;0,", "&amp;A149&amp;"-"&amp;AI$2,"")&amp;IF(N(AJ149)&gt;0,", "&amp;A149&amp;"-"&amp;AJ$2,""),3,999))</f>
        <v/>
      </c>
      <c r="AN149" s="81"/>
      <c r="AO149" s="88"/>
      <c r="AP149" s="89" t="str">
        <f aca="false">IF(AO149="","",ROUND(AO149/(1+Справочники!$B$13),2))</f>
        <v/>
      </c>
      <c r="AQ149" s="90" t="str">
        <f aca="false" t="array" ref="AQ149:AQ149">IF(AP149="","",AP149*INDEX(Справочники!$B$4:$B$7,MATCH("RUB",Справочники!$A$4:$A$7,0)))</f>
        <v/>
      </c>
      <c r="AR149" s="90" t="str">
        <f aca="false">IF(AQ149="","",ROUND(AQ149*(1+Справочники!$B$12),0))</f>
        <v/>
      </c>
      <c r="AS149" s="90" t="str">
        <f aca="false">IF(AR149="","",ROUND(AR149*(1-Справочники!$B$11),0))</f>
        <v/>
      </c>
      <c r="AT149" s="88"/>
      <c r="AU149" s="90" t="str">
        <f aca="false">IF(AT149="","",ROUND(AT149/(1+Справочники!$B$12),0))</f>
        <v/>
      </c>
      <c r="AV149" s="90" t="str">
        <f aca="false">IF(AT149="","",ROUND(AT149*(1-Справочники!$B$15),0))</f>
        <v/>
      </c>
      <c r="AW149" s="90" t="str">
        <f aca="false">IF(AT149="","",ROUND(AT149*(1-Справочники!$B$16),0))</f>
        <v/>
      </c>
      <c r="AX149" s="90" t="str">
        <f aca="false">IF(AT149="","",ROUND(AT149*(1-Справочники!$B$17),0))</f>
        <v/>
      </c>
      <c r="AY149" s="90" t="str">
        <f aca="false">IF(AT149="","",ROUND(AT149*(1-Справочники!$B$18),0))</f>
        <v/>
      </c>
      <c r="AZ149" s="90" t="str">
        <f aca="false">IF(AT149="","",ROUND(AT149*(1-Справочники!$B$19),0))</f>
        <v/>
      </c>
      <c r="BA149" s="81"/>
      <c r="BB149" s="81"/>
      <c r="BC149" s="81"/>
      <c r="BD149" s="81"/>
      <c r="BE149" s="91"/>
      <c r="BF149" s="81" t="s">
        <v>103</v>
      </c>
      <c r="BG149" s="89" t="n">
        <f aca="false" t="array" ref="BG149:BG149">IF(BF149="","",IFERROR(INDEX(Справочники!$B$4:$B$7,MATCH(BF149,Справочники!$A$4:$A$7,0)),""))</f>
        <v>68.5</v>
      </c>
      <c r="BH149" s="90" t="str">
        <f aca="false">IF(N(BN149)&gt;0,ROUND(SUMIF(ЗАКАЗЫ!$F$3:$F$500,$A149,ЗАКАЗЫ!$Y$3:$Y$500)/BN149,0),IF(OR(BE149="",BG149=""),"",ROUND(BE149*BG149*(1+Справочники!$B$10),0)))</f>
        <v/>
      </c>
      <c r="BI149" s="92" t="str">
        <f aca="false">IF(OR(AU149="",BH149="",AU149=0),"",(AU149-BH149)/AU149)</f>
        <v/>
      </c>
      <c r="BJ149" s="81"/>
      <c r="BK149" s="83"/>
      <c r="BL149" s="43" t="str">
        <f aca="false">IFERROR(INDEX(ЗАКАЗЫ!$N$3:$N$500,MATCH($A149,ЗАКАЗЫ!$F$3:$F$500,0)),"")</f>
        <v/>
      </c>
      <c r="BM149" s="8" t="str">
        <f aca="false">IF(BL149="","",IFERROR(VLOOKUP(BL149,'ТН ВЭД'!$A$4:$C$40,3,0),""))</f>
        <v/>
      </c>
      <c r="BN149" s="7" t="str">
        <f aca="false">IF(COUNTIF(ЗАКАЗЫ!$F$3:$F$500,$A149)=0,"",SUMIF(ЗАКАЗЫ!$F$3:$F$500,$A149,ЗАКАЗЫ!$J$3:$J$500))</f>
        <v/>
      </c>
      <c r="BO149" s="7" t="str">
        <f aca="false">IF(BN149="","",SUMIF(ЗАКАЗЫ!$F$3:$F$500,$A149,ЗАКАЗЫ!$AL$3:$AL$500))</f>
        <v/>
      </c>
      <c r="BP149" s="7" t="str">
        <f aca="false">IF(BN149="","",BN149-BO149)</f>
        <v/>
      </c>
      <c r="BQ149" s="55" t="str">
        <f aca="false">IF(BN149="","",IF(BO149&gt;=BN149,"На складе",IF(BO149&gt;0,"Частично","Ждём")))</f>
        <v/>
      </c>
      <c r="BR149" s="43"/>
      <c r="BS149" s="47" t="str">
        <f aca="false">IF(BN149="","",IF(_xlfn.MAXIFS(ЗАКАЗЫ!$AK$3:$AK$500,ЗАКАЗЫ!$F$3:$F$500,$A149)=0,"",_xlfn.MAXIFS(ЗАКАЗЫ!$AK$3:$AK$500,ЗАКАЗЫ!$F$3:$F$500,$A149)))</f>
        <v/>
      </c>
    </row>
    <row r="150" customFormat="false" ht="15.75" hidden="false" customHeight="true" outlineLevel="0" collapsed="false">
      <c r="A150" s="80" t="s">
        <v>3061</v>
      </c>
      <c r="B150" s="81"/>
      <c r="C150" s="81"/>
      <c r="D150" s="81"/>
      <c r="E150" s="83"/>
      <c r="F150" s="81"/>
      <c r="G150" s="83"/>
      <c r="H150" s="83"/>
      <c r="I150" s="84" t="str">
        <f aca="false">IF(E150="","",A150&amp;"_1.jpg")</f>
        <v/>
      </c>
      <c r="J150" s="84" t="str">
        <f aca="false">IF(E150="","",A150&amp;"_2.jpg; "&amp;A150&amp;"_3.jpg")</f>
        <v/>
      </c>
      <c r="K150" s="84" t="str">
        <f aca="false">IF(E150="","",A150&amp;"_schema.jpg")</f>
        <v/>
      </c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 t="s">
        <v>96</v>
      </c>
      <c r="W150" s="81"/>
      <c r="X150" s="81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6" t="str">
        <f aca="false">IF(SUM(Y150:AJ150)=0,"",SUM(Y150:AJ150))</f>
        <v/>
      </c>
      <c r="AL150" s="84" t="str">
        <f aca="false">MID(IF(N(Y150)&gt;0,", "&amp;Y$2,"")&amp;IF(N(Z150)&gt;0,", "&amp;Z$2,"")&amp;IF(N(AA150)&gt;0,", "&amp;AA$2,"")&amp;IF(N(AB150)&gt;0,", "&amp;AB$2,"")&amp;IF(N(AC150)&gt;0,", "&amp;AC$2,"")&amp;IF(N(AD150)&gt;0,", "&amp;AD$2,"")&amp;IF(N(AE150)&gt;0,", "&amp;AE$2,"")&amp;IF(N(AF150)&gt;0,", "&amp;AF$2,"")&amp;IF(N(AG150)&gt;0,", "&amp;AG$2,"")&amp;IF(N(AH150)&gt;0,", "&amp;AH$2,"")&amp;IF(N(AI150)&gt;0,", "&amp;AI$2,"")&amp;IF(N(AJ150)&gt;0,", "&amp;AJ$2,""),3,999)</f>
        <v/>
      </c>
      <c r="AM150" s="87" t="str">
        <f aca="false">IF(E150="","",MID(IF(N(Y150)&gt;0,", "&amp;A150&amp;"-"&amp;Y$2,"")&amp;IF(N(Z150)&gt;0,", "&amp;A150&amp;"-"&amp;Z$2,"")&amp;IF(N(AA150)&gt;0,", "&amp;A150&amp;"-"&amp;AA$2,"")&amp;IF(N(AB150)&gt;0,", "&amp;A150&amp;"-"&amp;AB$2,"")&amp;IF(N(AC150)&gt;0,", "&amp;A150&amp;"-"&amp;AC$2,"")&amp;IF(N(AD150)&gt;0,", "&amp;A150&amp;"-"&amp;AD$2,"")&amp;IF(N(AE150)&gt;0,", "&amp;A150&amp;"-"&amp;AE$2,"")&amp;IF(N(AF150)&gt;0,", "&amp;A150&amp;"-"&amp;AF$2,"")&amp;IF(N(AG150)&gt;0,", "&amp;A150&amp;"-"&amp;AG$2,"")&amp;IF(N(AH150)&gt;0,", "&amp;A150&amp;"-"&amp;AH$2,"")&amp;IF(N(AI150)&gt;0,", "&amp;A150&amp;"-"&amp;AI$2,"")&amp;IF(N(AJ150)&gt;0,", "&amp;A150&amp;"-"&amp;AJ$2,""),3,999))</f>
        <v/>
      </c>
      <c r="AN150" s="81"/>
      <c r="AO150" s="88"/>
      <c r="AP150" s="89" t="str">
        <f aca="false">IF(AO150="","",ROUND(AO150/(1+Справочники!$B$13),2))</f>
        <v/>
      </c>
      <c r="AQ150" s="90" t="str">
        <f aca="false" t="array" ref="AQ150:AQ150">IF(AP150="","",AP150*INDEX(Справочники!$B$4:$B$7,MATCH("RUB",Справочники!$A$4:$A$7,0)))</f>
        <v/>
      </c>
      <c r="AR150" s="90" t="str">
        <f aca="false">IF(AQ150="","",ROUND(AQ150*(1+Справочники!$B$12),0))</f>
        <v/>
      </c>
      <c r="AS150" s="90" t="str">
        <f aca="false">IF(AR150="","",ROUND(AR150*(1-Справочники!$B$11),0))</f>
        <v/>
      </c>
      <c r="AT150" s="88"/>
      <c r="AU150" s="90" t="str">
        <f aca="false">IF(AT150="","",ROUND(AT150/(1+Справочники!$B$12),0))</f>
        <v/>
      </c>
      <c r="AV150" s="90" t="str">
        <f aca="false">IF(AT150="","",ROUND(AT150*(1-Справочники!$B$15),0))</f>
        <v/>
      </c>
      <c r="AW150" s="90" t="str">
        <f aca="false">IF(AT150="","",ROUND(AT150*(1-Справочники!$B$16),0))</f>
        <v/>
      </c>
      <c r="AX150" s="90" t="str">
        <f aca="false">IF(AT150="","",ROUND(AT150*(1-Справочники!$B$17),0))</f>
        <v/>
      </c>
      <c r="AY150" s="90" t="str">
        <f aca="false">IF(AT150="","",ROUND(AT150*(1-Справочники!$B$18),0))</f>
        <v/>
      </c>
      <c r="AZ150" s="90" t="str">
        <f aca="false">IF(AT150="","",ROUND(AT150*(1-Справочники!$B$19),0))</f>
        <v/>
      </c>
      <c r="BA150" s="81"/>
      <c r="BB150" s="81"/>
      <c r="BC150" s="81"/>
      <c r="BD150" s="81"/>
      <c r="BE150" s="91"/>
      <c r="BF150" s="81" t="s">
        <v>103</v>
      </c>
      <c r="BG150" s="89" t="n">
        <f aca="false" t="array" ref="BG150:BG150">IF(BF150="","",IFERROR(INDEX(Справочники!$B$4:$B$7,MATCH(BF150,Справочники!$A$4:$A$7,0)),""))</f>
        <v>68.5</v>
      </c>
      <c r="BH150" s="90" t="str">
        <f aca="false">IF(N(BN150)&gt;0,ROUND(SUMIF(ЗАКАЗЫ!$F$3:$F$500,$A150,ЗАКАЗЫ!$Y$3:$Y$500)/BN150,0),IF(OR(BE150="",BG150=""),"",ROUND(BE150*BG150*(1+Справочники!$B$10),0)))</f>
        <v/>
      </c>
      <c r="BI150" s="92" t="str">
        <f aca="false">IF(OR(AU150="",BH150="",AU150=0),"",(AU150-BH150)/AU150)</f>
        <v/>
      </c>
      <c r="BJ150" s="81"/>
      <c r="BK150" s="83"/>
      <c r="BL150" s="43" t="str">
        <f aca="false">IFERROR(INDEX(ЗАКАЗЫ!$N$3:$N$500,MATCH($A150,ЗАКАЗЫ!$F$3:$F$500,0)),"")</f>
        <v/>
      </c>
      <c r="BM150" s="8" t="str">
        <f aca="false">IF(BL150="","",IFERROR(VLOOKUP(BL150,'ТН ВЭД'!$A$4:$C$40,3,0),""))</f>
        <v/>
      </c>
      <c r="BN150" s="7" t="str">
        <f aca="false">IF(COUNTIF(ЗАКАЗЫ!$F$3:$F$500,$A150)=0,"",SUMIF(ЗАКАЗЫ!$F$3:$F$500,$A150,ЗАКАЗЫ!$J$3:$J$500))</f>
        <v/>
      </c>
      <c r="BO150" s="7" t="str">
        <f aca="false">IF(BN150="","",SUMIF(ЗАКАЗЫ!$F$3:$F$500,$A150,ЗАКАЗЫ!$AL$3:$AL$500))</f>
        <v/>
      </c>
      <c r="BP150" s="7" t="str">
        <f aca="false">IF(BN150="","",BN150-BO150)</f>
        <v/>
      </c>
      <c r="BQ150" s="55" t="str">
        <f aca="false">IF(BN150="","",IF(BO150&gt;=BN150,"На складе",IF(BO150&gt;0,"Частично","Ждём")))</f>
        <v/>
      </c>
      <c r="BR150" s="43"/>
      <c r="BS150" s="47" t="str">
        <f aca="false">IF(BN150="","",IF(_xlfn.MAXIFS(ЗАКАЗЫ!$AK$3:$AK$500,ЗАКАЗЫ!$F$3:$F$500,$A150)=0,"",_xlfn.MAXIFS(ЗАКАЗЫ!$AK$3:$AK$500,ЗАКАЗЫ!$F$3:$F$500,$A150)))</f>
        <v/>
      </c>
    </row>
    <row r="151" customFormat="false" ht="15.75" hidden="false" customHeight="true" outlineLevel="0" collapsed="false">
      <c r="A151" s="80" t="s">
        <v>3062</v>
      </c>
      <c r="B151" s="81"/>
      <c r="C151" s="81"/>
      <c r="D151" s="81"/>
      <c r="E151" s="83"/>
      <c r="F151" s="81"/>
      <c r="G151" s="83"/>
      <c r="H151" s="83"/>
      <c r="I151" s="84" t="str">
        <f aca="false">IF(E151="","",A151&amp;"_1.jpg")</f>
        <v/>
      </c>
      <c r="J151" s="84" t="str">
        <f aca="false">IF(E151="","",A151&amp;"_2.jpg; "&amp;A151&amp;"_3.jpg")</f>
        <v/>
      </c>
      <c r="K151" s="84" t="str">
        <f aca="false">IF(E151="","",A151&amp;"_schema.jpg")</f>
        <v/>
      </c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 t="s">
        <v>96</v>
      </c>
      <c r="W151" s="81"/>
      <c r="X151" s="81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6" t="str">
        <f aca="false">IF(SUM(Y151:AJ151)=0,"",SUM(Y151:AJ151))</f>
        <v/>
      </c>
      <c r="AL151" s="84" t="str">
        <f aca="false">MID(IF(N(Y151)&gt;0,", "&amp;Y$2,"")&amp;IF(N(Z151)&gt;0,", "&amp;Z$2,"")&amp;IF(N(AA151)&gt;0,", "&amp;AA$2,"")&amp;IF(N(AB151)&gt;0,", "&amp;AB$2,"")&amp;IF(N(AC151)&gt;0,", "&amp;AC$2,"")&amp;IF(N(AD151)&gt;0,", "&amp;AD$2,"")&amp;IF(N(AE151)&gt;0,", "&amp;AE$2,"")&amp;IF(N(AF151)&gt;0,", "&amp;AF$2,"")&amp;IF(N(AG151)&gt;0,", "&amp;AG$2,"")&amp;IF(N(AH151)&gt;0,", "&amp;AH$2,"")&amp;IF(N(AI151)&gt;0,", "&amp;AI$2,"")&amp;IF(N(AJ151)&gt;0,", "&amp;AJ$2,""),3,999)</f>
        <v/>
      </c>
      <c r="AM151" s="87" t="str">
        <f aca="false">IF(E151="","",MID(IF(N(Y151)&gt;0,", "&amp;A151&amp;"-"&amp;Y$2,"")&amp;IF(N(Z151)&gt;0,", "&amp;A151&amp;"-"&amp;Z$2,"")&amp;IF(N(AA151)&gt;0,", "&amp;A151&amp;"-"&amp;AA$2,"")&amp;IF(N(AB151)&gt;0,", "&amp;A151&amp;"-"&amp;AB$2,"")&amp;IF(N(AC151)&gt;0,", "&amp;A151&amp;"-"&amp;AC$2,"")&amp;IF(N(AD151)&gt;0,", "&amp;A151&amp;"-"&amp;AD$2,"")&amp;IF(N(AE151)&gt;0,", "&amp;A151&amp;"-"&amp;AE$2,"")&amp;IF(N(AF151)&gt;0,", "&amp;A151&amp;"-"&amp;AF$2,"")&amp;IF(N(AG151)&gt;0,", "&amp;A151&amp;"-"&amp;AG$2,"")&amp;IF(N(AH151)&gt;0,", "&amp;A151&amp;"-"&amp;AH$2,"")&amp;IF(N(AI151)&gt;0,", "&amp;A151&amp;"-"&amp;AI$2,"")&amp;IF(N(AJ151)&gt;0,", "&amp;A151&amp;"-"&amp;AJ$2,""),3,999))</f>
        <v/>
      </c>
      <c r="AN151" s="81"/>
      <c r="AO151" s="88"/>
      <c r="AP151" s="89" t="str">
        <f aca="false">IF(AO151="","",ROUND(AO151/(1+Справочники!$B$13),2))</f>
        <v/>
      </c>
      <c r="AQ151" s="90" t="str">
        <f aca="false" t="array" ref="AQ151:AQ151">IF(AP151="","",AP151*INDEX(Справочники!$B$4:$B$7,MATCH("RUB",Справочники!$A$4:$A$7,0)))</f>
        <v/>
      </c>
      <c r="AR151" s="90" t="str">
        <f aca="false">IF(AQ151="","",ROUND(AQ151*(1+Справочники!$B$12),0))</f>
        <v/>
      </c>
      <c r="AS151" s="90" t="str">
        <f aca="false">IF(AR151="","",ROUND(AR151*(1-Справочники!$B$11),0))</f>
        <v/>
      </c>
      <c r="AT151" s="88"/>
      <c r="AU151" s="90" t="str">
        <f aca="false">IF(AT151="","",ROUND(AT151/(1+Справочники!$B$12),0))</f>
        <v/>
      </c>
      <c r="AV151" s="90" t="str">
        <f aca="false">IF(AT151="","",ROUND(AT151*(1-Справочники!$B$15),0))</f>
        <v/>
      </c>
      <c r="AW151" s="90" t="str">
        <f aca="false">IF(AT151="","",ROUND(AT151*(1-Справочники!$B$16),0))</f>
        <v/>
      </c>
      <c r="AX151" s="90" t="str">
        <f aca="false">IF(AT151="","",ROUND(AT151*(1-Справочники!$B$17),0))</f>
        <v/>
      </c>
      <c r="AY151" s="90" t="str">
        <f aca="false">IF(AT151="","",ROUND(AT151*(1-Справочники!$B$18),0))</f>
        <v/>
      </c>
      <c r="AZ151" s="90" t="str">
        <f aca="false">IF(AT151="","",ROUND(AT151*(1-Справочники!$B$19),0))</f>
        <v/>
      </c>
      <c r="BA151" s="81"/>
      <c r="BB151" s="81"/>
      <c r="BC151" s="81"/>
      <c r="BD151" s="81"/>
      <c r="BE151" s="91"/>
      <c r="BF151" s="81" t="s">
        <v>103</v>
      </c>
      <c r="BG151" s="89" t="n">
        <f aca="false" t="array" ref="BG151:BG151">IF(BF151="","",IFERROR(INDEX(Справочники!$B$4:$B$7,MATCH(BF151,Справочники!$A$4:$A$7,0)),""))</f>
        <v>68.5</v>
      </c>
      <c r="BH151" s="90" t="str">
        <f aca="false">IF(N(BN151)&gt;0,ROUND(SUMIF(ЗАКАЗЫ!$F$3:$F$500,$A151,ЗАКАЗЫ!$Y$3:$Y$500)/BN151,0),IF(OR(BE151="",BG151=""),"",ROUND(BE151*BG151*(1+Справочники!$B$10),0)))</f>
        <v/>
      </c>
      <c r="BI151" s="92" t="str">
        <f aca="false">IF(OR(AU151="",BH151="",AU151=0),"",(AU151-BH151)/AU151)</f>
        <v/>
      </c>
      <c r="BJ151" s="81"/>
      <c r="BK151" s="83"/>
      <c r="BL151" s="43" t="str">
        <f aca="false">IFERROR(INDEX(ЗАКАЗЫ!$N$3:$N$500,MATCH($A151,ЗАКАЗЫ!$F$3:$F$500,0)),"")</f>
        <v/>
      </c>
      <c r="BM151" s="8" t="str">
        <f aca="false">IF(BL151="","",IFERROR(VLOOKUP(BL151,'ТН ВЭД'!$A$4:$C$40,3,0),""))</f>
        <v/>
      </c>
      <c r="BN151" s="7" t="str">
        <f aca="false">IF(COUNTIF(ЗАКАЗЫ!$F$3:$F$500,$A151)=0,"",SUMIF(ЗАКАЗЫ!$F$3:$F$500,$A151,ЗАКАЗЫ!$J$3:$J$500))</f>
        <v/>
      </c>
      <c r="BO151" s="7" t="str">
        <f aca="false">IF(BN151="","",SUMIF(ЗАКАЗЫ!$F$3:$F$500,$A151,ЗАКАЗЫ!$AL$3:$AL$500))</f>
        <v/>
      </c>
      <c r="BP151" s="7" t="str">
        <f aca="false">IF(BN151="","",BN151-BO151)</f>
        <v/>
      </c>
      <c r="BQ151" s="55" t="str">
        <f aca="false">IF(BN151="","",IF(BO151&gt;=BN151,"На складе",IF(BO151&gt;0,"Частично","Ждём")))</f>
        <v/>
      </c>
      <c r="BR151" s="43"/>
      <c r="BS151" s="47" t="str">
        <f aca="false">IF(BN151="","",IF(_xlfn.MAXIFS(ЗАКАЗЫ!$AK$3:$AK$500,ЗАКАЗЫ!$F$3:$F$500,$A151)=0,"",_xlfn.MAXIFS(ЗАКАЗЫ!$AK$3:$AK$500,ЗАКАЗЫ!$F$3:$F$500,$A151)))</f>
        <v/>
      </c>
    </row>
    <row r="152" customFormat="false" ht="15.75" hidden="false" customHeight="true" outlineLevel="0" collapsed="false">
      <c r="A152" s="80" t="s">
        <v>3063</v>
      </c>
      <c r="B152" s="81"/>
      <c r="C152" s="81"/>
      <c r="D152" s="81"/>
      <c r="E152" s="83"/>
      <c r="F152" s="81"/>
      <c r="G152" s="83"/>
      <c r="H152" s="83"/>
      <c r="I152" s="84" t="str">
        <f aca="false">IF(E152="","",A152&amp;"_1.jpg")</f>
        <v/>
      </c>
      <c r="J152" s="84" t="str">
        <f aca="false">IF(E152="","",A152&amp;"_2.jpg; "&amp;A152&amp;"_3.jpg")</f>
        <v/>
      </c>
      <c r="K152" s="84" t="str">
        <f aca="false">IF(E152="","",A152&amp;"_schema.jpg")</f>
        <v/>
      </c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 t="s">
        <v>96</v>
      </c>
      <c r="W152" s="81"/>
      <c r="X152" s="81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6" t="str">
        <f aca="false">IF(SUM(Y152:AJ152)=0,"",SUM(Y152:AJ152))</f>
        <v/>
      </c>
      <c r="AL152" s="84" t="str">
        <f aca="false">MID(IF(N(Y152)&gt;0,", "&amp;Y$2,"")&amp;IF(N(Z152)&gt;0,", "&amp;Z$2,"")&amp;IF(N(AA152)&gt;0,", "&amp;AA$2,"")&amp;IF(N(AB152)&gt;0,", "&amp;AB$2,"")&amp;IF(N(AC152)&gt;0,", "&amp;AC$2,"")&amp;IF(N(AD152)&gt;0,", "&amp;AD$2,"")&amp;IF(N(AE152)&gt;0,", "&amp;AE$2,"")&amp;IF(N(AF152)&gt;0,", "&amp;AF$2,"")&amp;IF(N(AG152)&gt;0,", "&amp;AG$2,"")&amp;IF(N(AH152)&gt;0,", "&amp;AH$2,"")&amp;IF(N(AI152)&gt;0,", "&amp;AI$2,"")&amp;IF(N(AJ152)&gt;0,", "&amp;AJ$2,""),3,999)</f>
        <v/>
      </c>
      <c r="AM152" s="87" t="str">
        <f aca="false">IF(E152="","",MID(IF(N(Y152)&gt;0,", "&amp;A152&amp;"-"&amp;Y$2,"")&amp;IF(N(Z152)&gt;0,", "&amp;A152&amp;"-"&amp;Z$2,"")&amp;IF(N(AA152)&gt;0,", "&amp;A152&amp;"-"&amp;AA$2,"")&amp;IF(N(AB152)&gt;0,", "&amp;A152&amp;"-"&amp;AB$2,"")&amp;IF(N(AC152)&gt;0,", "&amp;A152&amp;"-"&amp;AC$2,"")&amp;IF(N(AD152)&gt;0,", "&amp;A152&amp;"-"&amp;AD$2,"")&amp;IF(N(AE152)&gt;0,", "&amp;A152&amp;"-"&amp;AE$2,"")&amp;IF(N(AF152)&gt;0,", "&amp;A152&amp;"-"&amp;AF$2,"")&amp;IF(N(AG152)&gt;0,", "&amp;A152&amp;"-"&amp;AG$2,"")&amp;IF(N(AH152)&gt;0,", "&amp;A152&amp;"-"&amp;AH$2,"")&amp;IF(N(AI152)&gt;0,", "&amp;A152&amp;"-"&amp;AI$2,"")&amp;IF(N(AJ152)&gt;0,", "&amp;A152&amp;"-"&amp;AJ$2,""),3,999))</f>
        <v/>
      </c>
      <c r="AN152" s="81"/>
      <c r="AO152" s="88"/>
      <c r="AP152" s="89" t="str">
        <f aca="false">IF(AO152="","",ROUND(AO152/(1+Справочники!$B$13),2))</f>
        <v/>
      </c>
      <c r="AQ152" s="90" t="str">
        <f aca="false" t="array" ref="AQ152:AQ152">IF(AP152="","",AP152*INDEX(Справочники!$B$4:$B$7,MATCH("RUB",Справочники!$A$4:$A$7,0)))</f>
        <v/>
      </c>
      <c r="AR152" s="90" t="str">
        <f aca="false">IF(AQ152="","",ROUND(AQ152*(1+Справочники!$B$12),0))</f>
        <v/>
      </c>
      <c r="AS152" s="90" t="str">
        <f aca="false">IF(AR152="","",ROUND(AR152*(1-Справочники!$B$11),0))</f>
        <v/>
      </c>
      <c r="AT152" s="88"/>
      <c r="AU152" s="90" t="str">
        <f aca="false">IF(AT152="","",ROUND(AT152/(1+Справочники!$B$12),0))</f>
        <v/>
      </c>
      <c r="AV152" s="90" t="str">
        <f aca="false">IF(AT152="","",ROUND(AT152*(1-Справочники!$B$15),0))</f>
        <v/>
      </c>
      <c r="AW152" s="90" t="str">
        <f aca="false">IF(AT152="","",ROUND(AT152*(1-Справочники!$B$16),0))</f>
        <v/>
      </c>
      <c r="AX152" s="90" t="str">
        <f aca="false">IF(AT152="","",ROUND(AT152*(1-Справочники!$B$17),0))</f>
        <v/>
      </c>
      <c r="AY152" s="90" t="str">
        <f aca="false">IF(AT152="","",ROUND(AT152*(1-Справочники!$B$18),0))</f>
        <v/>
      </c>
      <c r="AZ152" s="90" t="str">
        <f aca="false">IF(AT152="","",ROUND(AT152*(1-Справочники!$B$19),0))</f>
        <v/>
      </c>
      <c r="BA152" s="81"/>
      <c r="BB152" s="81"/>
      <c r="BC152" s="81"/>
      <c r="BD152" s="81"/>
      <c r="BE152" s="91"/>
      <c r="BF152" s="81" t="s">
        <v>103</v>
      </c>
      <c r="BG152" s="89" t="n">
        <f aca="false" t="array" ref="BG152:BG152">IF(BF152="","",IFERROR(INDEX(Справочники!$B$4:$B$7,MATCH(BF152,Справочники!$A$4:$A$7,0)),""))</f>
        <v>68.5</v>
      </c>
      <c r="BH152" s="90" t="str">
        <f aca="false">IF(N(BN152)&gt;0,ROUND(SUMIF(ЗАКАЗЫ!$F$3:$F$500,$A152,ЗАКАЗЫ!$Y$3:$Y$500)/BN152,0),IF(OR(BE152="",BG152=""),"",ROUND(BE152*BG152*(1+Справочники!$B$10),0)))</f>
        <v/>
      </c>
      <c r="BI152" s="92" t="str">
        <f aca="false">IF(OR(AU152="",BH152="",AU152=0),"",(AU152-BH152)/AU152)</f>
        <v/>
      </c>
      <c r="BJ152" s="81"/>
      <c r="BK152" s="83"/>
      <c r="BL152" s="43" t="str">
        <f aca="false">IFERROR(INDEX(ЗАКАЗЫ!$N$3:$N$500,MATCH($A152,ЗАКАЗЫ!$F$3:$F$500,0)),"")</f>
        <v/>
      </c>
      <c r="BM152" s="8" t="str">
        <f aca="false">IF(BL152="","",IFERROR(VLOOKUP(BL152,'ТН ВЭД'!$A$4:$C$40,3,0),""))</f>
        <v/>
      </c>
      <c r="BN152" s="7" t="str">
        <f aca="false">IF(COUNTIF(ЗАКАЗЫ!$F$3:$F$500,$A152)=0,"",SUMIF(ЗАКАЗЫ!$F$3:$F$500,$A152,ЗАКАЗЫ!$J$3:$J$500))</f>
        <v/>
      </c>
      <c r="BO152" s="7" t="str">
        <f aca="false">IF(BN152="","",SUMIF(ЗАКАЗЫ!$F$3:$F$500,$A152,ЗАКАЗЫ!$AL$3:$AL$500))</f>
        <v/>
      </c>
      <c r="BP152" s="7" t="str">
        <f aca="false">IF(BN152="","",BN152-BO152)</f>
        <v/>
      </c>
      <c r="BQ152" s="55" t="str">
        <f aca="false">IF(BN152="","",IF(BO152&gt;=BN152,"На складе",IF(BO152&gt;0,"Частично","Ждём")))</f>
        <v/>
      </c>
      <c r="BR152" s="43"/>
      <c r="BS152" s="47" t="str">
        <f aca="false">IF(BN152="","",IF(_xlfn.MAXIFS(ЗАКАЗЫ!$AK$3:$AK$500,ЗАКАЗЫ!$F$3:$F$500,$A152)=0,"",_xlfn.MAXIFS(ЗАКАЗЫ!$AK$3:$AK$500,ЗАКАЗЫ!$F$3:$F$500,$A152)))</f>
        <v/>
      </c>
    </row>
    <row r="153" customFormat="false" ht="15.75" hidden="false" customHeight="true" outlineLevel="0" collapsed="false">
      <c r="A153" s="80" t="s">
        <v>3064</v>
      </c>
      <c r="B153" s="81"/>
      <c r="C153" s="81"/>
      <c r="D153" s="81"/>
      <c r="E153" s="83"/>
      <c r="F153" s="81"/>
      <c r="G153" s="83"/>
      <c r="H153" s="83"/>
      <c r="I153" s="84" t="str">
        <f aca="false">IF(E153="","",A153&amp;"_1.jpg")</f>
        <v/>
      </c>
      <c r="J153" s="84" t="str">
        <f aca="false">IF(E153="","",A153&amp;"_2.jpg; "&amp;A153&amp;"_3.jpg")</f>
        <v/>
      </c>
      <c r="K153" s="84" t="str">
        <f aca="false">IF(E153="","",A153&amp;"_schema.jpg")</f>
        <v/>
      </c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 t="s">
        <v>96</v>
      </c>
      <c r="W153" s="81"/>
      <c r="X153" s="81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6" t="str">
        <f aca="false">IF(SUM(Y153:AJ153)=0,"",SUM(Y153:AJ153))</f>
        <v/>
      </c>
      <c r="AL153" s="84" t="str">
        <f aca="false">MID(IF(N(Y153)&gt;0,", "&amp;Y$2,"")&amp;IF(N(Z153)&gt;0,", "&amp;Z$2,"")&amp;IF(N(AA153)&gt;0,", "&amp;AA$2,"")&amp;IF(N(AB153)&gt;0,", "&amp;AB$2,"")&amp;IF(N(AC153)&gt;0,", "&amp;AC$2,"")&amp;IF(N(AD153)&gt;0,", "&amp;AD$2,"")&amp;IF(N(AE153)&gt;0,", "&amp;AE$2,"")&amp;IF(N(AF153)&gt;0,", "&amp;AF$2,"")&amp;IF(N(AG153)&gt;0,", "&amp;AG$2,"")&amp;IF(N(AH153)&gt;0,", "&amp;AH$2,"")&amp;IF(N(AI153)&gt;0,", "&amp;AI$2,"")&amp;IF(N(AJ153)&gt;0,", "&amp;AJ$2,""),3,999)</f>
        <v/>
      </c>
      <c r="AM153" s="87" t="str">
        <f aca="false">IF(E153="","",MID(IF(N(Y153)&gt;0,", "&amp;A153&amp;"-"&amp;Y$2,"")&amp;IF(N(Z153)&gt;0,", "&amp;A153&amp;"-"&amp;Z$2,"")&amp;IF(N(AA153)&gt;0,", "&amp;A153&amp;"-"&amp;AA$2,"")&amp;IF(N(AB153)&gt;0,", "&amp;A153&amp;"-"&amp;AB$2,"")&amp;IF(N(AC153)&gt;0,", "&amp;A153&amp;"-"&amp;AC$2,"")&amp;IF(N(AD153)&gt;0,", "&amp;A153&amp;"-"&amp;AD$2,"")&amp;IF(N(AE153)&gt;0,", "&amp;A153&amp;"-"&amp;AE$2,"")&amp;IF(N(AF153)&gt;0,", "&amp;A153&amp;"-"&amp;AF$2,"")&amp;IF(N(AG153)&gt;0,", "&amp;A153&amp;"-"&amp;AG$2,"")&amp;IF(N(AH153)&gt;0,", "&amp;A153&amp;"-"&amp;AH$2,"")&amp;IF(N(AI153)&gt;0,", "&amp;A153&amp;"-"&amp;AI$2,"")&amp;IF(N(AJ153)&gt;0,", "&amp;A153&amp;"-"&amp;AJ$2,""),3,999))</f>
        <v/>
      </c>
      <c r="AN153" s="81"/>
      <c r="AO153" s="88"/>
      <c r="AP153" s="89" t="str">
        <f aca="false">IF(AO153="","",ROUND(AO153/(1+Справочники!$B$13),2))</f>
        <v/>
      </c>
      <c r="AQ153" s="90" t="str">
        <f aca="false" t="array" ref="AQ153:AQ153">IF(AP153="","",AP153*INDEX(Справочники!$B$4:$B$7,MATCH("RUB",Справочники!$A$4:$A$7,0)))</f>
        <v/>
      </c>
      <c r="AR153" s="90" t="str">
        <f aca="false">IF(AQ153="","",ROUND(AQ153*(1+Справочники!$B$12),0))</f>
        <v/>
      </c>
      <c r="AS153" s="90" t="str">
        <f aca="false">IF(AR153="","",ROUND(AR153*(1-Справочники!$B$11),0))</f>
        <v/>
      </c>
      <c r="AT153" s="88"/>
      <c r="AU153" s="90" t="str">
        <f aca="false">IF(AT153="","",ROUND(AT153/(1+Справочники!$B$12),0))</f>
        <v/>
      </c>
      <c r="AV153" s="90" t="str">
        <f aca="false">IF(AT153="","",ROUND(AT153*(1-Справочники!$B$15),0))</f>
        <v/>
      </c>
      <c r="AW153" s="90" t="str">
        <f aca="false">IF(AT153="","",ROUND(AT153*(1-Справочники!$B$16),0))</f>
        <v/>
      </c>
      <c r="AX153" s="90" t="str">
        <f aca="false">IF(AT153="","",ROUND(AT153*(1-Справочники!$B$17),0))</f>
        <v/>
      </c>
      <c r="AY153" s="90" t="str">
        <f aca="false">IF(AT153="","",ROUND(AT153*(1-Справочники!$B$18),0))</f>
        <v/>
      </c>
      <c r="AZ153" s="90" t="str">
        <f aca="false">IF(AT153="","",ROUND(AT153*(1-Справочники!$B$19),0))</f>
        <v/>
      </c>
      <c r="BA153" s="81"/>
      <c r="BB153" s="81"/>
      <c r="BC153" s="81"/>
      <c r="BD153" s="81"/>
      <c r="BE153" s="91"/>
      <c r="BF153" s="81" t="s">
        <v>103</v>
      </c>
      <c r="BG153" s="89" t="n">
        <f aca="false" t="array" ref="BG153:BG153">IF(BF153="","",IFERROR(INDEX(Справочники!$B$4:$B$7,MATCH(BF153,Справочники!$A$4:$A$7,0)),""))</f>
        <v>68.5</v>
      </c>
      <c r="BH153" s="90" t="str">
        <f aca="false">IF(N(BN153)&gt;0,ROUND(SUMIF(ЗАКАЗЫ!$F$3:$F$500,$A153,ЗАКАЗЫ!$Y$3:$Y$500)/BN153,0),IF(OR(BE153="",BG153=""),"",ROUND(BE153*BG153*(1+Справочники!$B$10),0)))</f>
        <v/>
      </c>
      <c r="BI153" s="92" t="str">
        <f aca="false">IF(OR(AU153="",BH153="",AU153=0),"",(AU153-BH153)/AU153)</f>
        <v/>
      </c>
      <c r="BJ153" s="81"/>
      <c r="BK153" s="83"/>
      <c r="BL153" s="43" t="str">
        <f aca="false">IFERROR(INDEX(ЗАКАЗЫ!$N$3:$N$500,MATCH($A153,ЗАКАЗЫ!$F$3:$F$500,0)),"")</f>
        <v/>
      </c>
      <c r="BM153" s="8" t="str">
        <f aca="false">IF(BL153="","",IFERROR(VLOOKUP(BL153,'ТН ВЭД'!$A$4:$C$40,3,0),""))</f>
        <v/>
      </c>
      <c r="BN153" s="7" t="str">
        <f aca="false">IF(COUNTIF(ЗАКАЗЫ!$F$3:$F$500,$A153)=0,"",SUMIF(ЗАКАЗЫ!$F$3:$F$500,$A153,ЗАКАЗЫ!$J$3:$J$500))</f>
        <v/>
      </c>
      <c r="BO153" s="7" t="str">
        <f aca="false">IF(BN153="","",SUMIF(ЗАКАЗЫ!$F$3:$F$500,$A153,ЗАКАЗЫ!$AL$3:$AL$500))</f>
        <v/>
      </c>
      <c r="BP153" s="7" t="str">
        <f aca="false">IF(BN153="","",BN153-BO153)</f>
        <v/>
      </c>
      <c r="BQ153" s="55" t="str">
        <f aca="false">IF(BN153="","",IF(BO153&gt;=BN153,"На складе",IF(BO153&gt;0,"Частично","Ждём")))</f>
        <v/>
      </c>
      <c r="BR153" s="43"/>
      <c r="BS153" s="47" t="str">
        <f aca="false">IF(BN153="","",IF(_xlfn.MAXIFS(ЗАКАЗЫ!$AK$3:$AK$500,ЗАКАЗЫ!$F$3:$F$500,$A153)=0,"",_xlfn.MAXIFS(ЗАКАЗЫ!$AK$3:$AK$500,ЗАКАЗЫ!$F$3:$F$500,$A153)))</f>
        <v/>
      </c>
    </row>
    <row r="154" customFormat="false" ht="15.75" hidden="false" customHeight="true" outlineLevel="0" collapsed="false">
      <c r="A154" s="80" t="s">
        <v>3065</v>
      </c>
      <c r="B154" s="81"/>
      <c r="C154" s="81"/>
      <c r="D154" s="81"/>
      <c r="E154" s="83"/>
      <c r="F154" s="81"/>
      <c r="G154" s="83"/>
      <c r="H154" s="83"/>
      <c r="I154" s="84" t="str">
        <f aca="false">IF(E154="","",A154&amp;"_1.jpg")</f>
        <v/>
      </c>
      <c r="J154" s="84" t="str">
        <f aca="false">IF(E154="","",A154&amp;"_2.jpg; "&amp;A154&amp;"_3.jpg")</f>
        <v/>
      </c>
      <c r="K154" s="84" t="str">
        <f aca="false">IF(E154="","",A154&amp;"_schema.jpg")</f>
        <v/>
      </c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 t="s">
        <v>96</v>
      </c>
      <c r="W154" s="81"/>
      <c r="X154" s="81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6" t="str">
        <f aca="false">IF(SUM(Y154:AJ154)=0,"",SUM(Y154:AJ154))</f>
        <v/>
      </c>
      <c r="AL154" s="84" t="str">
        <f aca="false">MID(IF(N(Y154)&gt;0,", "&amp;Y$2,"")&amp;IF(N(Z154)&gt;0,", "&amp;Z$2,"")&amp;IF(N(AA154)&gt;0,", "&amp;AA$2,"")&amp;IF(N(AB154)&gt;0,", "&amp;AB$2,"")&amp;IF(N(AC154)&gt;0,", "&amp;AC$2,"")&amp;IF(N(AD154)&gt;0,", "&amp;AD$2,"")&amp;IF(N(AE154)&gt;0,", "&amp;AE$2,"")&amp;IF(N(AF154)&gt;0,", "&amp;AF$2,"")&amp;IF(N(AG154)&gt;0,", "&amp;AG$2,"")&amp;IF(N(AH154)&gt;0,", "&amp;AH$2,"")&amp;IF(N(AI154)&gt;0,", "&amp;AI$2,"")&amp;IF(N(AJ154)&gt;0,", "&amp;AJ$2,""),3,999)</f>
        <v/>
      </c>
      <c r="AM154" s="87" t="str">
        <f aca="false">IF(E154="","",MID(IF(N(Y154)&gt;0,", "&amp;A154&amp;"-"&amp;Y$2,"")&amp;IF(N(Z154)&gt;0,", "&amp;A154&amp;"-"&amp;Z$2,"")&amp;IF(N(AA154)&gt;0,", "&amp;A154&amp;"-"&amp;AA$2,"")&amp;IF(N(AB154)&gt;0,", "&amp;A154&amp;"-"&amp;AB$2,"")&amp;IF(N(AC154)&gt;0,", "&amp;A154&amp;"-"&amp;AC$2,"")&amp;IF(N(AD154)&gt;0,", "&amp;A154&amp;"-"&amp;AD$2,"")&amp;IF(N(AE154)&gt;0,", "&amp;A154&amp;"-"&amp;AE$2,"")&amp;IF(N(AF154)&gt;0,", "&amp;A154&amp;"-"&amp;AF$2,"")&amp;IF(N(AG154)&gt;0,", "&amp;A154&amp;"-"&amp;AG$2,"")&amp;IF(N(AH154)&gt;0,", "&amp;A154&amp;"-"&amp;AH$2,"")&amp;IF(N(AI154)&gt;0,", "&amp;A154&amp;"-"&amp;AI$2,"")&amp;IF(N(AJ154)&gt;0,", "&amp;A154&amp;"-"&amp;AJ$2,""),3,999))</f>
        <v/>
      </c>
      <c r="AN154" s="81"/>
      <c r="AO154" s="88"/>
      <c r="AP154" s="89" t="str">
        <f aca="false">IF(AO154="","",ROUND(AO154/(1+Справочники!$B$13),2))</f>
        <v/>
      </c>
      <c r="AQ154" s="90" t="str">
        <f aca="false" t="array" ref="AQ154:AQ154">IF(AP154="","",AP154*INDEX(Справочники!$B$4:$B$7,MATCH("RUB",Справочники!$A$4:$A$7,0)))</f>
        <v/>
      </c>
      <c r="AR154" s="90" t="str">
        <f aca="false">IF(AQ154="","",ROUND(AQ154*(1+Справочники!$B$12),0))</f>
        <v/>
      </c>
      <c r="AS154" s="90" t="str">
        <f aca="false">IF(AR154="","",ROUND(AR154*(1-Справочники!$B$11),0))</f>
        <v/>
      </c>
      <c r="AT154" s="88"/>
      <c r="AU154" s="90" t="str">
        <f aca="false">IF(AT154="","",ROUND(AT154/(1+Справочники!$B$12),0))</f>
        <v/>
      </c>
      <c r="AV154" s="90" t="str">
        <f aca="false">IF(AT154="","",ROUND(AT154*(1-Справочники!$B$15),0))</f>
        <v/>
      </c>
      <c r="AW154" s="90" t="str">
        <f aca="false">IF(AT154="","",ROUND(AT154*(1-Справочники!$B$16),0))</f>
        <v/>
      </c>
      <c r="AX154" s="90" t="str">
        <f aca="false">IF(AT154="","",ROUND(AT154*(1-Справочники!$B$17),0))</f>
        <v/>
      </c>
      <c r="AY154" s="90" t="str">
        <f aca="false">IF(AT154="","",ROUND(AT154*(1-Справочники!$B$18),0))</f>
        <v/>
      </c>
      <c r="AZ154" s="90" t="str">
        <f aca="false">IF(AT154="","",ROUND(AT154*(1-Справочники!$B$19),0))</f>
        <v/>
      </c>
      <c r="BA154" s="81"/>
      <c r="BB154" s="81"/>
      <c r="BC154" s="81"/>
      <c r="BD154" s="81"/>
      <c r="BE154" s="91"/>
      <c r="BF154" s="81" t="s">
        <v>103</v>
      </c>
      <c r="BG154" s="89" t="n">
        <f aca="false" t="array" ref="BG154:BG154">IF(BF154="","",IFERROR(INDEX(Справочники!$B$4:$B$7,MATCH(BF154,Справочники!$A$4:$A$7,0)),""))</f>
        <v>68.5</v>
      </c>
      <c r="BH154" s="90" t="str">
        <f aca="false">IF(N(BN154)&gt;0,ROUND(SUMIF(ЗАКАЗЫ!$F$3:$F$500,$A154,ЗАКАЗЫ!$Y$3:$Y$500)/BN154,0),IF(OR(BE154="",BG154=""),"",ROUND(BE154*BG154*(1+Справочники!$B$10),0)))</f>
        <v/>
      </c>
      <c r="BI154" s="92" t="str">
        <f aca="false">IF(OR(AU154="",BH154="",AU154=0),"",(AU154-BH154)/AU154)</f>
        <v/>
      </c>
      <c r="BJ154" s="81"/>
      <c r="BK154" s="83"/>
      <c r="BL154" s="43" t="str">
        <f aca="false">IFERROR(INDEX(ЗАКАЗЫ!$N$3:$N$500,MATCH($A154,ЗАКАЗЫ!$F$3:$F$500,0)),"")</f>
        <v/>
      </c>
      <c r="BM154" s="8" t="str">
        <f aca="false">IF(BL154="","",IFERROR(VLOOKUP(BL154,'ТН ВЭД'!$A$4:$C$40,3,0),""))</f>
        <v/>
      </c>
      <c r="BN154" s="7" t="str">
        <f aca="false">IF(COUNTIF(ЗАКАЗЫ!$F$3:$F$500,$A154)=0,"",SUMIF(ЗАКАЗЫ!$F$3:$F$500,$A154,ЗАКАЗЫ!$J$3:$J$500))</f>
        <v/>
      </c>
      <c r="BO154" s="7" t="str">
        <f aca="false">IF(BN154="","",SUMIF(ЗАКАЗЫ!$F$3:$F$500,$A154,ЗАКАЗЫ!$AL$3:$AL$500))</f>
        <v/>
      </c>
      <c r="BP154" s="7" t="str">
        <f aca="false">IF(BN154="","",BN154-BO154)</f>
        <v/>
      </c>
      <c r="BQ154" s="55" t="str">
        <f aca="false">IF(BN154="","",IF(BO154&gt;=BN154,"На складе",IF(BO154&gt;0,"Частично","Ждём")))</f>
        <v/>
      </c>
      <c r="BR154" s="43"/>
      <c r="BS154" s="47" t="str">
        <f aca="false">IF(BN154="","",IF(_xlfn.MAXIFS(ЗАКАЗЫ!$AK$3:$AK$500,ЗАКАЗЫ!$F$3:$F$500,$A154)=0,"",_xlfn.MAXIFS(ЗАКАЗЫ!$AK$3:$AK$500,ЗАКАЗЫ!$F$3:$F$500,$A154)))</f>
        <v/>
      </c>
    </row>
    <row r="155" customFormat="false" ht="15.75" hidden="false" customHeight="true" outlineLevel="0" collapsed="false">
      <c r="A155" s="80" t="s">
        <v>3066</v>
      </c>
      <c r="B155" s="81"/>
      <c r="C155" s="81"/>
      <c r="D155" s="81"/>
      <c r="E155" s="83"/>
      <c r="F155" s="81"/>
      <c r="G155" s="83"/>
      <c r="H155" s="83"/>
      <c r="I155" s="84" t="str">
        <f aca="false">IF(E155="","",A155&amp;"_1.jpg")</f>
        <v/>
      </c>
      <c r="J155" s="84" t="str">
        <f aca="false">IF(E155="","",A155&amp;"_2.jpg; "&amp;A155&amp;"_3.jpg")</f>
        <v/>
      </c>
      <c r="K155" s="84" t="str">
        <f aca="false">IF(E155="","",A155&amp;"_schema.jpg")</f>
        <v/>
      </c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 t="s">
        <v>96</v>
      </c>
      <c r="W155" s="81"/>
      <c r="X155" s="81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6" t="str">
        <f aca="false">IF(SUM(Y155:AJ155)=0,"",SUM(Y155:AJ155))</f>
        <v/>
      </c>
      <c r="AL155" s="84" t="str">
        <f aca="false">MID(IF(N(Y155)&gt;0,", "&amp;Y$2,"")&amp;IF(N(Z155)&gt;0,", "&amp;Z$2,"")&amp;IF(N(AA155)&gt;0,", "&amp;AA$2,"")&amp;IF(N(AB155)&gt;0,", "&amp;AB$2,"")&amp;IF(N(AC155)&gt;0,", "&amp;AC$2,"")&amp;IF(N(AD155)&gt;0,", "&amp;AD$2,"")&amp;IF(N(AE155)&gt;0,", "&amp;AE$2,"")&amp;IF(N(AF155)&gt;0,", "&amp;AF$2,"")&amp;IF(N(AG155)&gt;0,", "&amp;AG$2,"")&amp;IF(N(AH155)&gt;0,", "&amp;AH$2,"")&amp;IF(N(AI155)&gt;0,", "&amp;AI$2,"")&amp;IF(N(AJ155)&gt;0,", "&amp;AJ$2,""),3,999)</f>
        <v/>
      </c>
      <c r="AM155" s="87" t="str">
        <f aca="false">IF(E155="","",MID(IF(N(Y155)&gt;0,", "&amp;A155&amp;"-"&amp;Y$2,"")&amp;IF(N(Z155)&gt;0,", "&amp;A155&amp;"-"&amp;Z$2,"")&amp;IF(N(AA155)&gt;0,", "&amp;A155&amp;"-"&amp;AA$2,"")&amp;IF(N(AB155)&gt;0,", "&amp;A155&amp;"-"&amp;AB$2,"")&amp;IF(N(AC155)&gt;0,", "&amp;A155&amp;"-"&amp;AC$2,"")&amp;IF(N(AD155)&gt;0,", "&amp;A155&amp;"-"&amp;AD$2,"")&amp;IF(N(AE155)&gt;0,", "&amp;A155&amp;"-"&amp;AE$2,"")&amp;IF(N(AF155)&gt;0,", "&amp;A155&amp;"-"&amp;AF$2,"")&amp;IF(N(AG155)&gt;0,", "&amp;A155&amp;"-"&amp;AG$2,"")&amp;IF(N(AH155)&gt;0,", "&amp;A155&amp;"-"&amp;AH$2,"")&amp;IF(N(AI155)&gt;0,", "&amp;A155&amp;"-"&amp;AI$2,"")&amp;IF(N(AJ155)&gt;0,", "&amp;A155&amp;"-"&amp;AJ$2,""),3,999))</f>
        <v/>
      </c>
      <c r="AN155" s="81"/>
      <c r="AO155" s="88"/>
      <c r="AP155" s="89" t="str">
        <f aca="false">IF(AO155="","",ROUND(AO155/(1+Справочники!$B$13),2))</f>
        <v/>
      </c>
      <c r="AQ155" s="90" t="str">
        <f aca="false" t="array" ref="AQ155:AQ155">IF(AP155="","",AP155*INDEX(Справочники!$B$4:$B$7,MATCH("RUB",Справочники!$A$4:$A$7,0)))</f>
        <v/>
      </c>
      <c r="AR155" s="90" t="str">
        <f aca="false">IF(AQ155="","",ROUND(AQ155*(1+Справочники!$B$12),0))</f>
        <v/>
      </c>
      <c r="AS155" s="90" t="str">
        <f aca="false">IF(AR155="","",ROUND(AR155*(1-Справочники!$B$11),0))</f>
        <v/>
      </c>
      <c r="AT155" s="88"/>
      <c r="AU155" s="90" t="str">
        <f aca="false">IF(AT155="","",ROUND(AT155/(1+Справочники!$B$12),0))</f>
        <v/>
      </c>
      <c r="AV155" s="90" t="str">
        <f aca="false">IF(AT155="","",ROUND(AT155*(1-Справочники!$B$15),0))</f>
        <v/>
      </c>
      <c r="AW155" s="90" t="str">
        <f aca="false">IF(AT155="","",ROUND(AT155*(1-Справочники!$B$16),0))</f>
        <v/>
      </c>
      <c r="AX155" s="90" t="str">
        <f aca="false">IF(AT155="","",ROUND(AT155*(1-Справочники!$B$17),0))</f>
        <v/>
      </c>
      <c r="AY155" s="90" t="str">
        <f aca="false">IF(AT155="","",ROUND(AT155*(1-Справочники!$B$18),0))</f>
        <v/>
      </c>
      <c r="AZ155" s="90" t="str">
        <f aca="false">IF(AT155="","",ROUND(AT155*(1-Справочники!$B$19),0))</f>
        <v/>
      </c>
      <c r="BA155" s="81"/>
      <c r="BB155" s="81"/>
      <c r="BC155" s="81"/>
      <c r="BD155" s="81"/>
      <c r="BE155" s="91"/>
      <c r="BF155" s="81" t="s">
        <v>103</v>
      </c>
      <c r="BG155" s="89" t="n">
        <f aca="false" t="array" ref="BG155:BG155">IF(BF155="","",IFERROR(INDEX(Справочники!$B$4:$B$7,MATCH(BF155,Справочники!$A$4:$A$7,0)),""))</f>
        <v>68.5</v>
      </c>
      <c r="BH155" s="90" t="str">
        <f aca="false">IF(N(BN155)&gt;0,ROUND(SUMIF(ЗАКАЗЫ!$F$3:$F$500,$A155,ЗАКАЗЫ!$Y$3:$Y$500)/BN155,0),IF(OR(BE155="",BG155=""),"",ROUND(BE155*BG155*(1+Справочники!$B$10),0)))</f>
        <v/>
      </c>
      <c r="BI155" s="92" t="str">
        <f aca="false">IF(OR(AU155="",BH155="",AU155=0),"",(AU155-BH155)/AU155)</f>
        <v/>
      </c>
      <c r="BJ155" s="81"/>
      <c r="BK155" s="83"/>
      <c r="BL155" s="43" t="str">
        <f aca="false">IFERROR(INDEX(ЗАКАЗЫ!$N$3:$N$500,MATCH($A155,ЗАКАЗЫ!$F$3:$F$500,0)),"")</f>
        <v/>
      </c>
      <c r="BM155" s="8" t="str">
        <f aca="false">IF(BL155="","",IFERROR(VLOOKUP(BL155,'ТН ВЭД'!$A$4:$C$40,3,0),""))</f>
        <v/>
      </c>
      <c r="BN155" s="7" t="str">
        <f aca="false">IF(COUNTIF(ЗАКАЗЫ!$F$3:$F$500,$A155)=0,"",SUMIF(ЗАКАЗЫ!$F$3:$F$500,$A155,ЗАКАЗЫ!$J$3:$J$500))</f>
        <v/>
      </c>
      <c r="BO155" s="7" t="str">
        <f aca="false">IF(BN155="","",SUMIF(ЗАКАЗЫ!$F$3:$F$500,$A155,ЗАКАЗЫ!$AL$3:$AL$500))</f>
        <v/>
      </c>
      <c r="BP155" s="7" t="str">
        <f aca="false">IF(BN155="","",BN155-BO155)</f>
        <v/>
      </c>
      <c r="BQ155" s="55" t="str">
        <f aca="false">IF(BN155="","",IF(BO155&gt;=BN155,"На складе",IF(BO155&gt;0,"Частично","Ждём")))</f>
        <v/>
      </c>
      <c r="BR155" s="43"/>
      <c r="BS155" s="47" t="str">
        <f aca="false">IF(BN155="","",IF(_xlfn.MAXIFS(ЗАКАЗЫ!$AK$3:$AK$500,ЗАКАЗЫ!$F$3:$F$500,$A155)=0,"",_xlfn.MAXIFS(ЗАКАЗЫ!$AK$3:$AK$500,ЗАКАЗЫ!$F$3:$F$500,$A155)))</f>
        <v/>
      </c>
    </row>
    <row r="156" customFormat="false" ht="15.75" hidden="false" customHeight="true" outlineLevel="0" collapsed="false">
      <c r="A156" s="80" t="s">
        <v>3067</v>
      </c>
      <c r="B156" s="81"/>
      <c r="C156" s="81"/>
      <c r="D156" s="81"/>
      <c r="E156" s="83"/>
      <c r="F156" s="81"/>
      <c r="G156" s="83"/>
      <c r="H156" s="83"/>
      <c r="I156" s="84" t="str">
        <f aca="false">IF(E156="","",A156&amp;"_1.jpg")</f>
        <v/>
      </c>
      <c r="J156" s="84" t="str">
        <f aca="false">IF(E156="","",A156&amp;"_2.jpg; "&amp;A156&amp;"_3.jpg")</f>
        <v/>
      </c>
      <c r="K156" s="84" t="str">
        <f aca="false">IF(E156="","",A156&amp;"_schema.jpg")</f>
        <v/>
      </c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 t="s">
        <v>96</v>
      </c>
      <c r="W156" s="81"/>
      <c r="X156" s="81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6" t="str">
        <f aca="false">IF(SUM(Y156:AJ156)=0,"",SUM(Y156:AJ156))</f>
        <v/>
      </c>
      <c r="AL156" s="84" t="str">
        <f aca="false">MID(IF(N(Y156)&gt;0,", "&amp;Y$2,"")&amp;IF(N(Z156)&gt;0,", "&amp;Z$2,"")&amp;IF(N(AA156)&gt;0,", "&amp;AA$2,"")&amp;IF(N(AB156)&gt;0,", "&amp;AB$2,"")&amp;IF(N(AC156)&gt;0,", "&amp;AC$2,"")&amp;IF(N(AD156)&gt;0,", "&amp;AD$2,"")&amp;IF(N(AE156)&gt;0,", "&amp;AE$2,"")&amp;IF(N(AF156)&gt;0,", "&amp;AF$2,"")&amp;IF(N(AG156)&gt;0,", "&amp;AG$2,"")&amp;IF(N(AH156)&gt;0,", "&amp;AH$2,"")&amp;IF(N(AI156)&gt;0,", "&amp;AI$2,"")&amp;IF(N(AJ156)&gt;0,", "&amp;AJ$2,""),3,999)</f>
        <v/>
      </c>
      <c r="AM156" s="87" t="str">
        <f aca="false">IF(E156="","",MID(IF(N(Y156)&gt;0,", "&amp;A156&amp;"-"&amp;Y$2,"")&amp;IF(N(Z156)&gt;0,", "&amp;A156&amp;"-"&amp;Z$2,"")&amp;IF(N(AA156)&gt;0,", "&amp;A156&amp;"-"&amp;AA$2,"")&amp;IF(N(AB156)&gt;0,", "&amp;A156&amp;"-"&amp;AB$2,"")&amp;IF(N(AC156)&gt;0,", "&amp;A156&amp;"-"&amp;AC$2,"")&amp;IF(N(AD156)&gt;0,", "&amp;A156&amp;"-"&amp;AD$2,"")&amp;IF(N(AE156)&gt;0,", "&amp;A156&amp;"-"&amp;AE$2,"")&amp;IF(N(AF156)&gt;0,", "&amp;A156&amp;"-"&amp;AF$2,"")&amp;IF(N(AG156)&gt;0,", "&amp;A156&amp;"-"&amp;AG$2,"")&amp;IF(N(AH156)&gt;0,", "&amp;A156&amp;"-"&amp;AH$2,"")&amp;IF(N(AI156)&gt;0,", "&amp;A156&amp;"-"&amp;AI$2,"")&amp;IF(N(AJ156)&gt;0,", "&amp;A156&amp;"-"&amp;AJ$2,""),3,999))</f>
        <v/>
      </c>
      <c r="AN156" s="81"/>
      <c r="AO156" s="88"/>
      <c r="AP156" s="89" t="str">
        <f aca="false">IF(AO156="","",ROUND(AO156/(1+Справочники!$B$13),2))</f>
        <v/>
      </c>
      <c r="AQ156" s="90" t="str">
        <f aca="false" t="array" ref="AQ156:AQ156">IF(AP156="","",AP156*INDEX(Справочники!$B$4:$B$7,MATCH("RUB",Справочники!$A$4:$A$7,0)))</f>
        <v/>
      </c>
      <c r="AR156" s="90" t="str">
        <f aca="false">IF(AQ156="","",ROUND(AQ156*(1+Справочники!$B$12),0))</f>
        <v/>
      </c>
      <c r="AS156" s="90" t="str">
        <f aca="false">IF(AR156="","",ROUND(AR156*(1-Справочники!$B$11),0))</f>
        <v/>
      </c>
      <c r="AT156" s="88"/>
      <c r="AU156" s="90" t="str">
        <f aca="false">IF(AT156="","",ROUND(AT156/(1+Справочники!$B$12),0))</f>
        <v/>
      </c>
      <c r="AV156" s="90" t="str">
        <f aca="false">IF(AT156="","",ROUND(AT156*(1-Справочники!$B$15),0))</f>
        <v/>
      </c>
      <c r="AW156" s="90" t="str">
        <f aca="false">IF(AT156="","",ROUND(AT156*(1-Справочники!$B$16),0))</f>
        <v/>
      </c>
      <c r="AX156" s="90" t="str">
        <f aca="false">IF(AT156="","",ROUND(AT156*(1-Справочники!$B$17),0))</f>
        <v/>
      </c>
      <c r="AY156" s="90" t="str">
        <f aca="false">IF(AT156="","",ROUND(AT156*(1-Справочники!$B$18),0))</f>
        <v/>
      </c>
      <c r="AZ156" s="90" t="str">
        <f aca="false">IF(AT156="","",ROUND(AT156*(1-Справочники!$B$19),0))</f>
        <v/>
      </c>
      <c r="BA156" s="81"/>
      <c r="BB156" s="81"/>
      <c r="BC156" s="81"/>
      <c r="BD156" s="81"/>
      <c r="BE156" s="91"/>
      <c r="BF156" s="81" t="s">
        <v>103</v>
      </c>
      <c r="BG156" s="89" t="n">
        <f aca="false" t="array" ref="BG156:BG156">IF(BF156="","",IFERROR(INDEX(Справочники!$B$4:$B$7,MATCH(BF156,Справочники!$A$4:$A$7,0)),""))</f>
        <v>68.5</v>
      </c>
      <c r="BH156" s="90" t="str">
        <f aca="false">IF(N(BN156)&gt;0,ROUND(SUMIF(ЗАКАЗЫ!$F$3:$F$500,$A156,ЗАКАЗЫ!$Y$3:$Y$500)/BN156,0),IF(OR(BE156="",BG156=""),"",ROUND(BE156*BG156*(1+Справочники!$B$10),0)))</f>
        <v/>
      </c>
      <c r="BI156" s="92" t="str">
        <f aca="false">IF(OR(AU156="",BH156="",AU156=0),"",(AU156-BH156)/AU156)</f>
        <v/>
      </c>
      <c r="BJ156" s="81"/>
      <c r="BK156" s="83"/>
      <c r="BL156" s="43" t="str">
        <f aca="false">IFERROR(INDEX(ЗАКАЗЫ!$N$3:$N$500,MATCH($A156,ЗАКАЗЫ!$F$3:$F$500,0)),"")</f>
        <v/>
      </c>
      <c r="BM156" s="8" t="str">
        <f aca="false">IF(BL156="","",IFERROR(VLOOKUP(BL156,'ТН ВЭД'!$A$4:$C$40,3,0),""))</f>
        <v/>
      </c>
      <c r="BN156" s="7" t="str">
        <f aca="false">IF(COUNTIF(ЗАКАЗЫ!$F$3:$F$500,$A156)=0,"",SUMIF(ЗАКАЗЫ!$F$3:$F$500,$A156,ЗАКАЗЫ!$J$3:$J$500))</f>
        <v/>
      </c>
      <c r="BO156" s="7" t="str">
        <f aca="false">IF(BN156="","",SUMIF(ЗАКАЗЫ!$F$3:$F$500,$A156,ЗАКАЗЫ!$AL$3:$AL$500))</f>
        <v/>
      </c>
      <c r="BP156" s="7" t="str">
        <f aca="false">IF(BN156="","",BN156-BO156)</f>
        <v/>
      </c>
      <c r="BQ156" s="55" t="str">
        <f aca="false">IF(BN156="","",IF(BO156&gt;=BN156,"На складе",IF(BO156&gt;0,"Частично","Ждём")))</f>
        <v/>
      </c>
      <c r="BR156" s="43"/>
      <c r="BS156" s="47" t="str">
        <f aca="false">IF(BN156="","",IF(_xlfn.MAXIFS(ЗАКАЗЫ!$AK$3:$AK$500,ЗАКАЗЫ!$F$3:$F$500,$A156)=0,"",_xlfn.MAXIFS(ЗАКАЗЫ!$AK$3:$AK$500,ЗАКАЗЫ!$F$3:$F$500,$A156)))</f>
        <v/>
      </c>
    </row>
    <row r="157" customFormat="false" ht="15.75" hidden="false" customHeight="true" outlineLevel="0" collapsed="false">
      <c r="A157" s="80" t="s">
        <v>3068</v>
      </c>
      <c r="B157" s="81"/>
      <c r="C157" s="81"/>
      <c r="D157" s="81"/>
      <c r="E157" s="83"/>
      <c r="F157" s="81"/>
      <c r="G157" s="83"/>
      <c r="H157" s="83"/>
      <c r="I157" s="84" t="str">
        <f aca="false">IF(E157="","",A157&amp;"_1.jpg")</f>
        <v/>
      </c>
      <c r="J157" s="84" t="str">
        <f aca="false">IF(E157="","",A157&amp;"_2.jpg; "&amp;A157&amp;"_3.jpg")</f>
        <v/>
      </c>
      <c r="K157" s="84" t="str">
        <f aca="false">IF(E157="","",A157&amp;"_schema.jpg")</f>
        <v/>
      </c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 t="s">
        <v>96</v>
      </c>
      <c r="W157" s="81"/>
      <c r="X157" s="81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6" t="str">
        <f aca="false">IF(SUM(Y157:AJ157)=0,"",SUM(Y157:AJ157))</f>
        <v/>
      </c>
      <c r="AL157" s="84" t="str">
        <f aca="false">MID(IF(N(Y157)&gt;0,", "&amp;Y$2,"")&amp;IF(N(Z157)&gt;0,", "&amp;Z$2,"")&amp;IF(N(AA157)&gt;0,", "&amp;AA$2,"")&amp;IF(N(AB157)&gt;0,", "&amp;AB$2,"")&amp;IF(N(AC157)&gt;0,", "&amp;AC$2,"")&amp;IF(N(AD157)&gt;0,", "&amp;AD$2,"")&amp;IF(N(AE157)&gt;0,", "&amp;AE$2,"")&amp;IF(N(AF157)&gt;0,", "&amp;AF$2,"")&amp;IF(N(AG157)&gt;0,", "&amp;AG$2,"")&amp;IF(N(AH157)&gt;0,", "&amp;AH$2,"")&amp;IF(N(AI157)&gt;0,", "&amp;AI$2,"")&amp;IF(N(AJ157)&gt;0,", "&amp;AJ$2,""),3,999)</f>
        <v/>
      </c>
      <c r="AM157" s="87" t="str">
        <f aca="false">IF(E157="","",MID(IF(N(Y157)&gt;0,", "&amp;A157&amp;"-"&amp;Y$2,"")&amp;IF(N(Z157)&gt;0,", "&amp;A157&amp;"-"&amp;Z$2,"")&amp;IF(N(AA157)&gt;0,", "&amp;A157&amp;"-"&amp;AA$2,"")&amp;IF(N(AB157)&gt;0,", "&amp;A157&amp;"-"&amp;AB$2,"")&amp;IF(N(AC157)&gt;0,", "&amp;A157&amp;"-"&amp;AC$2,"")&amp;IF(N(AD157)&gt;0,", "&amp;A157&amp;"-"&amp;AD$2,"")&amp;IF(N(AE157)&gt;0,", "&amp;A157&amp;"-"&amp;AE$2,"")&amp;IF(N(AF157)&gt;0,", "&amp;A157&amp;"-"&amp;AF$2,"")&amp;IF(N(AG157)&gt;0,", "&amp;A157&amp;"-"&amp;AG$2,"")&amp;IF(N(AH157)&gt;0,", "&amp;A157&amp;"-"&amp;AH$2,"")&amp;IF(N(AI157)&gt;0,", "&amp;A157&amp;"-"&amp;AI$2,"")&amp;IF(N(AJ157)&gt;0,", "&amp;A157&amp;"-"&amp;AJ$2,""),3,999))</f>
        <v/>
      </c>
      <c r="AN157" s="81"/>
      <c r="AO157" s="88"/>
      <c r="AP157" s="89" t="str">
        <f aca="false">IF(AO157="","",ROUND(AO157/(1+Справочники!$B$13),2))</f>
        <v/>
      </c>
      <c r="AQ157" s="90" t="str">
        <f aca="false" t="array" ref="AQ157:AQ157">IF(AP157="","",AP157*INDEX(Справочники!$B$4:$B$7,MATCH("RUB",Справочники!$A$4:$A$7,0)))</f>
        <v/>
      </c>
      <c r="AR157" s="90" t="str">
        <f aca="false">IF(AQ157="","",ROUND(AQ157*(1+Справочники!$B$12),0))</f>
        <v/>
      </c>
      <c r="AS157" s="90" t="str">
        <f aca="false">IF(AR157="","",ROUND(AR157*(1-Справочники!$B$11),0))</f>
        <v/>
      </c>
      <c r="AT157" s="88"/>
      <c r="AU157" s="90" t="str">
        <f aca="false">IF(AT157="","",ROUND(AT157/(1+Справочники!$B$12),0))</f>
        <v/>
      </c>
      <c r="AV157" s="90" t="str">
        <f aca="false">IF(AT157="","",ROUND(AT157*(1-Справочники!$B$15),0))</f>
        <v/>
      </c>
      <c r="AW157" s="90" t="str">
        <f aca="false">IF(AT157="","",ROUND(AT157*(1-Справочники!$B$16),0))</f>
        <v/>
      </c>
      <c r="AX157" s="90" t="str">
        <f aca="false">IF(AT157="","",ROUND(AT157*(1-Справочники!$B$17),0))</f>
        <v/>
      </c>
      <c r="AY157" s="90" t="str">
        <f aca="false">IF(AT157="","",ROUND(AT157*(1-Справочники!$B$18),0))</f>
        <v/>
      </c>
      <c r="AZ157" s="90" t="str">
        <f aca="false">IF(AT157="","",ROUND(AT157*(1-Справочники!$B$19),0))</f>
        <v/>
      </c>
      <c r="BA157" s="81"/>
      <c r="BB157" s="81"/>
      <c r="BC157" s="81"/>
      <c r="BD157" s="81"/>
      <c r="BE157" s="91"/>
      <c r="BF157" s="81" t="s">
        <v>103</v>
      </c>
      <c r="BG157" s="89" t="n">
        <f aca="false" t="array" ref="BG157:BG157">IF(BF157="","",IFERROR(INDEX(Справочники!$B$4:$B$7,MATCH(BF157,Справочники!$A$4:$A$7,0)),""))</f>
        <v>68.5</v>
      </c>
      <c r="BH157" s="90" t="str">
        <f aca="false">IF(N(BN157)&gt;0,ROUND(SUMIF(ЗАКАЗЫ!$F$3:$F$500,$A157,ЗАКАЗЫ!$Y$3:$Y$500)/BN157,0),IF(OR(BE157="",BG157=""),"",ROUND(BE157*BG157*(1+Справочники!$B$10),0)))</f>
        <v/>
      </c>
      <c r="BI157" s="92" t="str">
        <f aca="false">IF(OR(AU157="",BH157="",AU157=0),"",(AU157-BH157)/AU157)</f>
        <v/>
      </c>
      <c r="BJ157" s="81"/>
      <c r="BK157" s="83"/>
      <c r="BL157" s="43" t="str">
        <f aca="false">IFERROR(INDEX(ЗАКАЗЫ!$N$3:$N$500,MATCH($A157,ЗАКАЗЫ!$F$3:$F$500,0)),"")</f>
        <v/>
      </c>
      <c r="BM157" s="8" t="str">
        <f aca="false">IF(BL157="","",IFERROR(VLOOKUP(BL157,'ТН ВЭД'!$A$4:$C$40,3,0),""))</f>
        <v/>
      </c>
      <c r="BN157" s="7" t="str">
        <f aca="false">IF(COUNTIF(ЗАКАЗЫ!$F$3:$F$500,$A157)=0,"",SUMIF(ЗАКАЗЫ!$F$3:$F$500,$A157,ЗАКАЗЫ!$J$3:$J$500))</f>
        <v/>
      </c>
      <c r="BO157" s="7" t="str">
        <f aca="false">IF(BN157="","",SUMIF(ЗАКАЗЫ!$F$3:$F$500,$A157,ЗАКАЗЫ!$AL$3:$AL$500))</f>
        <v/>
      </c>
      <c r="BP157" s="7" t="str">
        <f aca="false">IF(BN157="","",BN157-BO157)</f>
        <v/>
      </c>
      <c r="BQ157" s="55" t="str">
        <f aca="false">IF(BN157="","",IF(BO157&gt;=BN157,"На складе",IF(BO157&gt;0,"Частично","Ждём")))</f>
        <v/>
      </c>
      <c r="BR157" s="43"/>
      <c r="BS157" s="47" t="str">
        <f aca="false">IF(BN157="","",IF(_xlfn.MAXIFS(ЗАКАЗЫ!$AK$3:$AK$500,ЗАКАЗЫ!$F$3:$F$500,$A157)=0,"",_xlfn.MAXIFS(ЗАКАЗЫ!$AK$3:$AK$500,ЗАКАЗЫ!$F$3:$F$500,$A157)))</f>
        <v/>
      </c>
    </row>
    <row r="158" customFormat="false" ht="15.75" hidden="false" customHeight="true" outlineLevel="0" collapsed="false">
      <c r="A158" s="80" t="s">
        <v>3069</v>
      </c>
      <c r="B158" s="81"/>
      <c r="C158" s="81"/>
      <c r="D158" s="81"/>
      <c r="E158" s="83"/>
      <c r="F158" s="81"/>
      <c r="G158" s="83"/>
      <c r="H158" s="83"/>
      <c r="I158" s="84" t="str">
        <f aca="false">IF(E158="","",A158&amp;"_1.jpg")</f>
        <v/>
      </c>
      <c r="J158" s="84" t="str">
        <f aca="false">IF(E158="","",A158&amp;"_2.jpg; "&amp;A158&amp;"_3.jpg")</f>
        <v/>
      </c>
      <c r="K158" s="84" t="str">
        <f aca="false">IF(E158="","",A158&amp;"_schema.jpg")</f>
        <v/>
      </c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 t="s">
        <v>96</v>
      </c>
      <c r="W158" s="81"/>
      <c r="X158" s="81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6" t="str">
        <f aca="false">IF(SUM(Y158:AJ158)=0,"",SUM(Y158:AJ158))</f>
        <v/>
      </c>
      <c r="AL158" s="84" t="str">
        <f aca="false">MID(IF(N(Y158)&gt;0,", "&amp;Y$2,"")&amp;IF(N(Z158)&gt;0,", "&amp;Z$2,"")&amp;IF(N(AA158)&gt;0,", "&amp;AA$2,"")&amp;IF(N(AB158)&gt;0,", "&amp;AB$2,"")&amp;IF(N(AC158)&gt;0,", "&amp;AC$2,"")&amp;IF(N(AD158)&gt;0,", "&amp;AD$2,"")&amp;IF(N(AE158)&gt;0,", "&amp;AE$2,"")&amp;IF(N(AF158)&gt;0,", "&amp;AF$2,"")&amp;IF(N(AG158)&gt;0,", "&amp;AG$2,"")&amp;IF(N(AH158)&gt;0,", "&amp;AH$2,"")&amp;IF(N(AI158)&gt;0,", "&amp;AI$2,"")&amp;IF(N(AJ158)&gt;0,", "&amp;AJ$2,""),3,999)</f>
        <v/>
      </c>
      <c r="AM158" s="87" t="str">
        <f aca="false">IF(E158="","",MID(IF(N(Y158)&gt;0,", "&amp;A158&amp;"-"&amp;Y$2,"")&amp;IF(N(Z158)&gt;0,", "&amp;A158&amp;"-"&amp;Z$2,"")&amp;IF(N(AA158)&gt;0,", "&amp;A158&amp;"-"&amp;AA$2,"")&amp;IF(N(AB158)&gt;0,", "&amp;A158&amp;"-"&amp;AB$2,"")&amp;IF(N(AC158)&gt;0,", "&amp;A158&amp;"-"&amp;AC$2,"")&amp;IF(N(AD158)&gt;0,", "&amp;A158&amp;"-"&amp;AD$2,"")&amp;IF(N(AE158)&gt;0,", "&amp;A158&amp;"-"&amp;AE$2,"")&amp;IF(N(AF158)&gt;0,", "&amp;A158&amp;"-"&amp;AF$2,"")&amp;IF(N(AG158)&gt;0,", "&amp;A158&amp;"-"&amp;AG$2,"")&amp;IF(N(AH158)&gt;0,", "&amp;A158&amp;"-"&amp;AH$2,"")&amp;IF(N(AI158)&gt;0,", "&amp;A158&amp;"-"&amp;AI$2,"")&amp;IF(N(AJ158)&gt;0,", "&amp;A158&amp;"-"&amp;AJ$2,""),3,999))</f>
        <v/>
      </c>
      <c r="AN158" s="81"/>
      <c r="AO158" s="88"/>
      <c r="AP158" s="89" t="str">
        <f aca="false">IF(AO158="","",ROUND(AO158/(1+Справочники!$B$13),2))</f>
        <v/>
      </c>
      <c r="AQ158" s="90" t="str">
        <f aca="false" t="array" ref="AQ158:AQ158">IF(AP158="","",AP158*INDEX(Справочники!$B$4:$B$7,MATCH("RUB",Справочники!$A$4:$A$7,0)))</f>
        <v/>
      </c>
      <c r="AR158" s="90" t="str">
        <f aca="false">IF(AQ158="","",ROUND(AQ158*(1+Справочники!$B$12),0))</f>
        <v/>
      </c>
      <c r="AS158" s="90" t="str">
        <f aca="false">IF(AR158="","",ROUND(AR158*(1-Справочники!$B$11),0))</f>
        <v/>
      </c>
      <c r="AT158" s="88"/>
      <c r="AU158" s="90" t="str">
        <f aca="false">IF(AT158="","",ROUND(AT158/(1+Справочники!$B$12),0))</f>
        <v/>
      </c>
      <c r="AV158" s="90" t="str">
        <f aca="false">IF(AT158="","",ROUND(AT158*(1-Справочники!$B$15),0))</f>
        <v/>
      </c>
      <c r="AW158" s="90" t="str">
        <f aca="false">IF(AT158="","",ROUND(AT158*(1-Справочники!$B$16),0))</f>
        <v/>
      </c>
      <c r="AX158" s="90" t="str">
        <f aca="false">IF(AT158="","",ROUND(AT158*(1-Справочники!$B$17),0))</f>
        <v/>
      </c>
      <c r="AY158" s="90" t="str">
        <f aca="false">IF(AT158="","",ROUND(AT158*(1-Справочники!$B$18),0))</f>
        <v/>
      </c>
      <c r="AZ158" s="90" t="str">
        <f aca="false">IF(AT158="","",ROUND(AT158*(1-Справочники!$B$19),0))</f>
        <v/>
      </c>
      <c r="BA158" s="81"/>
      <c r="BB158" s="81"/>
      <c r="BC158" s="81"/>
      <c r="BD158" s="81"/>
      <c r="BE158" s="91"/>
      <c r="BF158" s="81" t="s">
        <v>103</v>
      </c>
      <c r="BG158" s="89" t="n">
        <f aca="false" t="array" ref="BG158:BG158">IF(BF158="","",IFERROR(INDEX(Справочники!$B$4:$B$7,MATCH(BF158,Справочники!$A$4:$A$7,0)),""))</f>
        <v>68.5</v>
      </c>
      <c r="BH158" s="90" t="str">
        <f aca="false">IF(N(BN158)&gt;0,ROUND(SUMIF(ЗАКАЗЫ!$F$3:$F$500,$A158,ЗАКАЗЫ!$Y$3:$Y$500)/BN158,0),IF(OR(BE158="",BG158=""),"",ROUND(BE158*BG158*(1+Справочники!$B$10),0)))</f>
        <v/>
      </c>
      <c r="BI158" s="92" t="str">
        <f aca="false">IF(OR(AU158="",BH158="",AU158=0),"",(AU158-BH158)/AU158)</f>
        <v/>
      </c>
      <c r="BJ158" s="81"/>
      <c r="BK158" s="83"/>
      <c r="BL158" s="43" t="str">
        <f aca="false">IFERROR(INDEX(ЗАКАЗЫ!$N$3:$N$500,MATCH($A158,ЗАКАЗЫ!$F$3:$F$500,0)),"")</f>
        <v/>
      </c>
      <c r="BM158" s="8" t="str">
        <f aca="false">IF(BL158="","",IFERROR(VLOOKUP(BL158,'ТН ВЭД'!$A$4:$C$40,3,0),""))</f>
        <v/>
      </c>
      <c r="BN158" s="7" t="str">
        <f aca="false">IF(COUNTIF(ЗАКАЗЫ!$F$3:$F$500,$A158)=0,"",SUMIF(ЗАКАЗЫ!$F$3:$F$500,$A158,ЗАКАЗЫ!$J$3:$J$500))</f>
        <v/>
      </c>
      <c r="BO158" s="7" t="str">
        <f aca="false">IF(BN158="","",SUMIF(ЗАКАЗЫ!$F$3:$F$500,$A158,ЗАКАЗЫ!$AL$3:$AL$500))</f>
        <v/>
      </c>
      <c r="BP158" s="7" t="str">
        <f aca="false">IF(BN158="","",BN158-BO158)</f>
        <v/>
      </c>
      <c r="BQ158" s="55" t="str">
        <f aca="false">IF(BN158="","",IF(BO158&gt;=BN158,"На складе",IF(BO158&gt;0,"Частично","Ждём")))</f>
        <v/>
      </c>
      <c r="BR158" s="43"/>
      <c r="BS158" s="47" t="str">
        <f aca="false">IF(BN158="","",IF(_xlfn.MAXIFS(ЗАКАЗЫ!$AK$3:$AK$500,ЗАКАЗЫ!$F$3:$F$500,$A158)=0,"",_xlfn.MAXIFS(ЗАКАЗЫ!$AK$3:$AK$500,ЗАКАЗЫ!$F$3:$F$500,$A158)))</f>
        <v/>
      </c>
    </row>
    <row r="159" customFormat="false" ht="15.75" hidden="false" customHeight="true" outlineLevel="0" collapsed="false">
      <c r="A159" s="80" t="s">
        <v>3070</v>
      </c>
      <c r="B159" s="81"/>
      <c r="C159" s="81"/>
      <c r="D159" s="81"/>
      <c r="E159" s="83"/>
      <c r="F159" s="81"/>
      <c r="G159" s="83"/>
      <c r="H159" s="83"/>
      <c r="I159" s="84" t="str">
        <f aca="false">IF(E159="","",A159&amp;"_1.jpg")</f>
        <v/>
      </c>
      <c r="J159" s="84" t="str">
        <f aca="false">IF(E159="","",A159&amp;"_2.jpg; "&amp;A159&amp;"_3.jpg")</f>
        <v/>
      </c>
      <c r="K159" s="84" t="str">
        <f aca="false">IF(E159="","",A159&amp;"_schema.jpg")</f>
        <v/>
      </c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 t="s">
        <v>96</v>
      </c>
      <c r="W159" s="81"/>
      <c r="X159" s="81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6" t="str">
        <f aca="false">IF(SUM(Y159:AJ159)=0,"",SUM(Y159:AJ159))</f>
        <v/>
      </c>
      <c r="AL159" s="84" t="str">
        <f aca="false">MID(IF(N(Y159)&gt;0,", "&amp;Y$2,"")&amp;IF(N(Z159)&gt;0,", "&amp;Z$2,"")&amp;IF(N(AA159)&gt;0,", "&amp;AA$2,"")&amp;IF(N(AB159)&gt;0,", "&amp;AB$2,"")&amp;IF(N(AC159)&gt;0,", "&amp;AC$2,"")&amp;IF(N(AD159)&gt;0,", "&amp;AD$2,"")&amp;IF(N(AE159)&gt;0,", "&amp;AE$2,"")&amp;IF(N(AF159)&gt;0,", "&amp;AF$2,"")&amp;IF(N(AG159)&gt;0,", "&amp;AG$2,"")&amp;IF(N(AH159)&gt;0,", "&amp;AH$2,"")&amp;IF(N(AI159)&gt;0,", "&amp;AI$2,"")&amp;IF(N(AJ159)&gt;0,", "&amp;AJ$2,""),3,999)</f>
        <v/>
      </c>
      <c r="AM159" s="87" t="str">
        <f aca="false">IF(E159="","",MID(IF(N(Y159)&gt;0,", "&amp;A159&amp;"-"&amp;Y$2,"")&amp;IF(N(Z159)&gt;0,", "&amp;A159&amp;"-"&amp;Z$2,"")&amp;IF(N(AA159)&gt;0,", "&amp;A159&amp;"-"&amp;AA$2,"")&amp;IF(N(AB159)&gt;0,", "&amp;A159&amp;"-"&amp;AB$2,"")&amp;IF(N(AC159)&gt;0,", "&amp;A159&amp;"-"&amp;AC$2,"")&amp;IF(N(AD159)&gt;0,", "&amp;A159&amp;"-"&amp;AD$2,"")&amp;IF(N(AE159)&gt;0,", "&amp;A159&amp;"-"&amp;AE$2,"")&amp;IF(N(AF159)&gt;0,", "&amp;A159&amp;"-"&amp;AF$2,"")&amp;IF(N(AG159)&gt;0,", "&amp;A159&amp;"-"&amp;AG$2,"")&amp;IF(N(AH159)&gt;0,", "&amp;A159&amp;"-"&amp;AH$2,"")&amp;IF(N(AI159)&gt;0,", "&amp;A159&amp;"-"&amp;AI$2,"")&amp;IF(N(AJ159)&gt;0,", "&amp;A159&amp;"-"&amp;AJ$2,""),3,999))</f>
        <v/>
      </c>
      <c r="AN159" s="81"/>
      <c r="AO159" s="88"/>
      <c r="AP159" s="89" t="str">
        <f aca="false">IF(AO159="","",ROUND(AO159/(1+Справочники!$B$13),2))</f>
        <v/>
      </c>
      <c r="AQ159" s="90" t="str">
        <f aca="false" t="array" ref="AQ159:AQ159">IF(AP159="","",AP159*INDEX(Справочники!$B$4:$B$7,MATCH("RUB",Справочники!$A$4:$A$7,0)))</f>
        <v/>
      </c>
      <c r="AR159" s="90" t="str">
        <f aca="false">IF(AQ159="","",ROUND(AQ159*(1+Справочники!$B$12),0))</f>
        <v/>
      </c>
      <c r="AS159" s="90" t="str">
        <f aca="false">IF(AR159="","",ROUND(AR159*(1-Справочники!$B$11),0))</f>
        <v/>
      </c>
      <c r="AT159" s="88"/>
      <c r="AU159" s="90" t="str">
        <f aca="false">IF(AT159="","",ROUND(AT159/(1+Справочники!$B$12),0))</f>
        <v/>
      </c>
      <c r="AV159" s="90" t="str">
        <f aca="false">IF(AT159="","",ROUND(AT159*(1-Справочники!$B$15),0))</f>
        <v/>
      </c>
      <c r="AW159" s="90" t="str">
        <f aca="false">IF(AT159="","",ROUND(AT159*(1-Справочники!$B$16),0))</f>
        <v/>
      </c>
      <c r="AX159" s="90" t="str">
        <f aca="false">IF(AT159="","",ROUND(AT159*(1-Справочники!$B$17),0))</f>
        <v/>
      </c>
      <c r="AY159" s="90" t="str">
        <f aca="false">IF(AT159="","",ROUND(AT159*(1-Справочники!$B$18),0))</f>
        <v/>
      </c>
      <c r="AZ159" s="90" t="str">
        <f aca="false">IF(AT159="","",ROUND(AT159*(1-Справочники!$B$19),0))</f>
        <v/>
      </c>
      <c r="BA159" s="81"/>
      <c r="BB159" s="81"/>
      <c r="BC159" s="81"/>
      <c r="BD159" s="81"/>
      <c r="BE159" s="91"/>
      <c r="BF159" s="81" t="s">
        <v>103</v>
      </c>
      <c r="BG159" s="89" t="n">
        <f aca="false" t="array" ref="BG159:BG159">IF(BF159="","",IFERROR(INDEX(Справочники!$B$4:$B$7,MATCH(BF159,Справочники!$A$4:$A$7,0)),""))</f>
        <v>68.5</v>
      </c>
      <c r="BH159" s="90" t="str">
        <f aca="false">IF(N(BN159)&gt;0,ROUND(SUMIF(ЗАКАЗЫ!$F$3:$F$500,$A159,ЗАКАЗЫ!$Y$3:$Y$500)/BN159,0),IF(OR(BE159="",BG159=""),"",ROUND(BE159*BG159*(1+Справочники!$B$10),0)))</f>
        <v/>
      </c>
      <c r="BI159" s="92" t="str">
        <f aca="false">IF(OR(AU159="",BH159="",AU159=0),"",(AU159-BH159)/AU159)</f>
        <v/>
      </c>
      <c r="BJ159" s="81"/>
      <c r="BK159" s="83"/>
      <c r="BL159" s="43" t="str">
        <f aca="false">IFERROR(INDEX(ЗАКАЗЫ!$N$3:$N$500,MATCH($A159,ЗАКАЗЫ!$F$3:$F$500,0)),"")</f>
        <v/>
      </c>
      <c r="BM159" s="8" t="str">
        <f aca="false">IF(BL159="","",IFERROR(VLOOKUP(BL159,'ТН ВЭД'!$A$4:$C$40,3,0),""))</f>
        <v/>
      </c>
      <c r="BN159" s="7" t="str">
        <f aca="false">IF(COUNTIF(ЗАКАЗЫ!$F$3:$F$500,$A159)=0,"",SUMIF(ЗАКАЗЫ!$F$3:$F$500,$A159,ЗАКАЗЫ!$J$3:$J$500))</f>
        <v/>
      </c>
      <c r="BO159" s="7" t="str">
        <f aca="false">IF(BN159="","",SUMIF(ЗАКАЗЫ!$F$3:$F$500,$A159,ЗАКАЗЫ!$AL$3:$AL$500))</f>
        <v/>
      </c>
      <c r="BP159" s="7" t="str">
        <f aca="false">IF(BN159="","",BN159-BO159)</f>
        <v/>
      </c>
      <c r="BQ159" s="55" t="str">
        <f aca="false">IF(BN159="","",IF(BO159&gt;=BN159,"На складе",IF(BO159&gt;0,"Частично","Ждём")))</f>
        <v/>
      </c>
      <c r="BR159" s="43"/>
      <c r="BS159" s="47" t="str">
        <f aca="false">IF(BN159="","",IF(_xlfn.MAXIFS(ЗАКАЗЫ!$AK$3:$AK$500,ЗАКАЗЫ!$F$3:$F$500,$A159)=0,"",_xlfn.MAXIFS(ЗАКАЗЫ!$AK$3:$AK$500,ЗАКАЗЫ!$F$3:$F$500,$A159)))</f>
        <v/>
      </c>
    </row>
    <row r="160" customFormat="false" ht="15.75" hidden="false" customHeight="true" outlineLevel="0" collapsed="false">
      <c r="A160" s="80" t="s">
        <v>3071</v>
      </c>
      <c r="B160" s="81"/>
      <c r="C160" s="81"/>
      <c r="D160" s="81"/>
      <c r="E160" s="83"/>
      <c r="F160" s="81"/>
      <c r="G160" s="83"/>
      <c r="H160" s="83"/>
      <c r="I160" s="84" t="str">
        <f aca="false">IF(E160="","",A160&amp;"_1.jpg")</f>
        <v/>
      </c>
      <c r="J160" s="84" t="str">
        <f aca="false">IF(E160="","",A160&amp;"_2.jpg; "&amp;A160&amp;"_3.jpg")</f>
        <v/>
      </c>
      <c r="K160" s="84" t="str">
        <f aca="false">IF(E160="","",A160&amp;"_schema.jpg")</f>
        <v/>
      </c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 t="s">
        <v>96</v>
      </c>
      <c r="W160" s="81"/>
      <c r="X160" s="81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6" t="str">
        <f aca="false">IF(SUM(Y160:AJ160)=0,"",SUM(Y160:AJ160))</f>
        <v/>
      </c>
      <c r="AL160" s="84" t="str">
        <f aca="false">MID(IF(N(Y160)&gt;0,", "&amp;Y$2,"")&amp;IF(N(Z160)&gt;0,", "&amp;Z$2,"")&amp;IF(N(AA160)&gt;0,", "&amp;AA$2,"")&amp;IF(N(AB160)&gt;0,", "&amp;AB$2,"")&amp;IF(N(AC160)&gt;0,", "&amp;AC$2,"")&amp;IF(N(AD160)&gt;0,", "&amp;AD$2,"")&amp;IF(N(AE160)&gt;0,", "&amp;AE$2,"")&amp;IF(N(AF160)&gt;0,", "&amp;AF$2,"")&amp;IF(N(AG160)&gt;0,", "&amp;AG$2,"")&amp;IF(N(AH160)&gt;0,", "&amp;AH$2,"")&amp;IF(N(AI160)&gt;0,", "&amp;AI$2,"")&amp;IF(N(AJ160)&gt;0,", "&amp;AJ$2,""),3,999)</f>
        <v/>
      </c>
      <c r="AM160" s="87" t="str">
        <f aca="false">IF(E160="","",MID(IF(N(Y160)&gt;0,", "&amp;A160&amp;"-"&amp;Y$2,"")&amp;IF(N(Z160)&gt;0,", "&amp;A160&amp;"-"&amp;Z$2,"")&amp;IF(N(AA160)&gt;0,", "&amp;A160&amp;"-"&amp;AA$2,"")&amp;IF(N(AB160)&gt;0,", "&amp;A160&amp;"-"&amp;AB$2,"")&amp;IF(N(AC160)&gt;0,", "&amp;A160&amp;"-"&amp;AC$2,"")&amp;IF(N(AD160)&gt;0,", "&amp;A160&amp;"-"&amp;AD$2,"")&amp;IF(N(AE160)&gt;0,", "&amp;A160&amp;"-"&amp;AE$2,"")&amp;IF(N(AF160)&gt;0,", "&amp;A160&amp;"-"&amp;AF$2,"")&amp;IF(N(AG160)&gt;0,", "&amp;A160&amp;"-"&amp;AG$2,"")&amp;IF(N(AH160)&gt;0,", "&amp;A160&amp;"-"&amp;AH$2,"")&amp;IF(N(AI160)&gt;0,", "&amp;A160&amp;"-"&amp;AI$2,"")&amp;IF(N(AJ160)&gt;0,", "&amp;A160&amp;"-"&amp;AJ$2,""),3,999))</f>
        <v/>
      </c>
      <c r="AN160" s="81"/>
      <c r="AO160" s="88"/>
      <c r="AP160" s="89" t="str">
        <f aca="false">IF(AO160="","",ROUND(AO160/(1+Справочники!$B$13),2))</f>
        <v/>
      </c>
      <c r="AQ160" s="90" t="str">
        <f aca="false" t="array" ref="AQ160:AQ160">IF(AP160="","",AP160*INDEX(Справочники!$B$4:$B$7,MATCH("RUB",Справочники!$A$4:$A$7,0)))</f>
        <v/>
      </c>
      <c r="AR160" s="90" t="str">
        <f aca="false">IF(AQ160="","",ROUND(AQ160*(1+Справочники!$B$12),0))</f>
        <v/>
      </c>
      <c r="AS160" s="90" t="str">
        <f aca="false">IF(AR160="","",ROUND(AR160*(1-Справочники!$B$11),0))</f>
        <v/>
      </c>
      <c r="AT160" s="88"/>
      <c r="AU160" s="90" t="str">
        <f aca="false">IF(AT160="","",ROUND(AT160/(1+Справочники!$B$12),0))</f>
        <v/>
      </c>
      <c r="AV160" s="90" t="str">
        <f aca="false">IF(AT160="","",ROUND(AT160*(1-Справочники!$B$15),0))</f>
        <v/>
      </c>
      <c r="AW160" s="90" t="str">
        <f aca="false">IF(AT160="","",ROUND(AT160*(1-Справочники!$B$16),0))</f>
        <v/>
      </c>
      <c r="AX160" s="90" t="str">
        <f aca="false">IF(AT160="","",ROUND(AT160*(1-Справочники!$B$17),0))</f>
        <v/>
      </c>
      <c r="AY160" s="90" t="str">
        <f aca="false">IF(AT160="","",ROUND(AT160*(1-Справочники!$B$18),0))</f>
        <v/>
      </c>
      <c r="AZ160" s="90" t="str">
        <f aca="false">IF(AT160="","",ROUND(AT160*(1-Справочники!$B$19),0))</f>
        <v/>
      </c>
      <c r="BA160" s="81"/>
      <c r="BB160" s="81"/>
      <c r="BC160" s="81"/>
      <c r="BD160" s="81"/>
      <c r="BE160" s="91"/>
      <c r="BF160" s="81" t="s">
        <v>103</v>
      </c>
      <c r="BG160" s="89" t="n">
        <f aca="false" t="array" ref="BG160:BG160">IF(BF160="","",IFERROR(INDEX(Справочники!$B$4:$B$7,MATCH(BF160,Справочники!$A$4:$A$7,0)),""))</f>
        <v>68.5</v>
      </c>
      <c r="BH160" s="90" t="str">
        <f aca="false">IF(N(BN160)&gt;0,ROUND(SUMIF(ЗАКАЗЫ!$F$3:$F$500,$A160,ЗАКАЗЫ!$Y$3:$Y$500)/BN160,0),IF(OR(BE160="",BG160=""),"",ROUND(BE160*BG160*(1+Справочники!$B$10),0)))</f>
        <v/>
      </c>
      <c r="BI160" s="92" t="str">
        <f aca="false">IF(OR(AU160="",BH160="",AU160=0),"",(AU160-BH160)/AU160)</f>
        <v/>
      </c>
      <c r="BJ160" s="81"/>
      <c r="BK160" s="83"/>
      <c r="BL160" s="43" t="str">
        <f aca="false">IFERROR(INDEX(ЗАКАЗЫ!$N$3:$N$500,MATCH($A160,ЗАКАЗЫ!$F$3:$F$500,0)),"")</f>
        <v/>
      </c>
      <c r="BM160" s="8" t="str">
        <f aca="false">IF(BL160="","",IFERROR(VLOOKUP(BL160,'ТН ВЭД'!$A$4:$C$40,3,0),""))</f>
        <v/>
      </c>
      <c r="BN160" s="7" t="str">
        <f aca="false">IF(COUNTIF(ЗАКАЗЫ!$F$3:$F$500,$A160)=0,"",SUMIF(ЗАКАЗЫ!$F$3:$F$500,$A160,ЗАКАЗЫ!$J$3:$J$500))</f>
        <v/>
      </c>
      <c r="BO160" s="7" t="str">
        <f aca="false">IF(BN160="","",SUMIF(ЗАКАЗЫ!$F$3:$F$500,$A160,ЗАКАЗЫ!$AL$3:$AL$500))</f>
        <v/>
      </c>
      <c r="BP160" s="7" t="str">
        <f aca="false">IF(BN160="","",BN160-BO160)</f>
        <v/>
      </c>
      <c r="BQ160" s="55" t="str">
        <f aca="false">IF(BN160="","",IF(BO160&gt;=BN160,"На складе",IF(BO160&gt;0,"Частично","Ждём")))</f>
        <v/>
      </c>
      <c r="BR160" s="43"/>
      <c r="BS160" s="47" t="str">
        <f aca="false">IF(BN160="","",IF(_xlfn.MAXIFS(ЗАКАЗЫ!$AK$3:$AK$500,ЗАКАЗЫ!$F$3:$F$500,$A160)=0,"",_xlfn.MAXIFS(ЗАКАЗЫ!$AK$3:$AK$500,ЗАКАЗЫ!$F$3:$F$500,$A160)))</f>
        <v/>
      </c>
    </row>
    <row r="161" customFormat="false" ht="15.75" hidden="false" customHeight="true" outlineLevel="0" collapsed="false">
      <c r="A161" s="80" t="s">
        <v>3072</v>
      </c>
      <c r="B161" s="81"/>
      <c r="C161" s="81"/>
      <c r="D161" s="81"/>
      <c r="E161" s="83"/>
      <c r="F161" s="81"/>
      <c r="G161" s="83"/>
      <c r="H161" s="83"/>
      <c r="I161" s="84" t="str">
        <f aca="false">IF(E161="","",A161&amp;"_1.jpg")</f>
        <v/>
      </c>
      <c r="J161" s="84" t="str">
        <f aca="false">IF(E161="","",A161&amp;"_2.jpg; "&amp;A161&amp;"_3.jpg")</f>
        <v/>
      </c>
      <c r="K161" s="84" t="str">
        <f aca="false">IF(E161="","",A161&amp;"_schema.jpg")</f>
        <v/>
      </c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 t="s">
        <v>96</v>
      </c>
      <c r="W161" s="81"/>
      <c r="X161" s="81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6" t="str">
        <f aca="false">IF(SUM(Y161:AJ161)=0,"",SUM(Y161:AJ161))</f>
        <v/>
      </c>
      <c r="AL161" s="84" t="str">
        <f aca="false">MID(IF(N(Y161)&gt;0,", "&amp;Y$2,"")&amp;IF(N(Z161)&gt;0,", "&amp;Z$2,"")&amp;IF(N(AA161)&gt;0,", "&amp;AA$2,"")&amp;IF(N(AB161)&gt;0,", "&amp;AB$2,"")&amp;IF(N(AC161)&gt;0,", "&amp;AC$2,"")&amp;IF(N(AD161)&gt;0,", "&amp;AD$2,"")&amp;IF(N(AE161)&gt;0,", "&amp;AE$2,"")&amp;IF(N(AF161)&gt;0,", "&amp;AF$2,"")&amp;IF(N(AG161)&gt;0,", "&amp;AG$2,"")&amp;IF(N(AH161)&gt;0,", "&amp;AH$2,"")&amp;IF(N(AI161)&gt;0,", "&amp;AI$2,"")&amp;IF(N(AJ161)&gt;0,", "&amp;AJ$2,""),3,999)</f>
        <v/>
      </c>
      <c r="AM161" s="87" t="str">
        <f aca="false">IF(E161="","",MID(IF(N(Y161)&gt;0,", "&amp;A161&amp;"-"&amp;Y$2,"")&amp;IF(N(Z161)&gt;0,", "&amp;A161&amp;"-"&amp;Z$2,"")&amp;IF(N(AA161)&gt;0,", "&amp;A161&amp;"-"&amp;AA$2,"")&amp;IF(N(AB161)&gt;0,", "&amp;A161&amp;"-"&amp;AB$2,"")&amp;IF(N(AC161)&gt;0,", "&amp;A161&amp;"-"&amp;AC$2,"")&amp;IF(N(AD161)&gt;0,", "&amp;A161&amp;"-"&amp;AD$2,"")&amp;IF(N(AE161)&gt;0,", "&amp;A161&amp;"-"&amp;AE$2,"")&amp;IF(N(AF161)&gt;0,", "&amp;A161&amp;"-"&amp;AF$2,"")&amp;IF(N(AG161)&gt;0,", "&amp;A161&amp;"-"&amp;AG$2,"")&amp;IF(N(AH161)&gt;0,", "&amp;A161&amp;"-"&amp;AH$2,"")&amp;IF(N(AI161)&gt;0,", "&amp;A161&amp;"-"&amp;AI$2,"")&amp;IF(N(AJ161)&gt;0,", "&amp;A161&amp;"-"&amp;AJ$2,""),3,999))</f>
        <v/>
      </c>
      <c r="AN161" s="81"/>
      <c r="AO161" s="88"/>
      <c r="AP161" s="89" t="str">
        <f aca="false">IF(AO161="","",ROUND(AO161/(1+Справочники!$B$13),2))</f>
        <v/>
      </c>
      <c r="AQ161" s="90" t="str">
        <f aca="false" t="array" ref="AQ161:AQ161">IF(AP161="","",AP161*INDEX(Справочники!$B$4:$B$7,MATCH("RUB",Справочники!$A$4:$A$7,0)))</f>
        <v/>
      </c>
      <c r="AR161" s="90" t="str">
        <f aca="false">IF(AQ161="","",ROUND(AQ161*(1+Справочники!$B$12),0))</f>
        <v/>
      </c>
      <c r="AS161" s="90" t="str">
        <f aca="false">IF(AR161="","",ROUND(AR161*(1-Справочники!$B$11),0))</f>
        <v/>
      </c>
      <c r="AT161" s="88"/>
      <c r="AU161" s="90" t="str">
        <f aca="false">IF(AT161="","",ROUND(AT161/(1+Справочники!$B$12),0))</f>
        <v/>
      </c>
      <c r="AV161" s="90" t="str">
        <f aca="false">IF(AT161="","",ROUND(AT161*(1-Справочники!$B$15),0))</f>
        <v/>
      </c>
      <c r="AW161" s="90" t="str">
        <f aca="false">IF(AT161="","",ROUND(AT161*(1-Справочники!$B$16),0))</f>
        <v/>
      </c>
      <c r="AX161" s="90" t="str">
        <f aca="false">IF(AT161="","",ROUND(AT161*(1-Справочники!$B$17),0))</f>
        <v/>
      </c>
      <c r="AY161" s="90" t="str">
        <f aca="false">IF(AT161="","",ROUND(AT161*(1-Справочники!$B$18),0))</f>
        <v/>
      </c>
      <c r="AZ161" s="90" t="str">
        <f aca="false">IF(AT161="","",ROUND(AT161*(1-Справочники!$B$19),0))</f>
        <v/>
      </c>
      <c r="BA161" s="81"/>
      <c r="BB161" s="81"/>
      <c r="BC161" s="81"/>
      <c r="BD161" s="81"/>
      <c r="BE161" s="91"/>
      <c r="BF161" s="81" t="s">
        <v>103</v>
      </c>
      <c r="BG161" s="89" t="n">
        <f aca="false" t="array" ref="BG161:BG161">IF(BF161="","",IFERROR(INDEX(Справочники!$B$4:$B$7,MATCH(BF161,Справочники!$A$4:$A$7,0)),""))</f>
        <v>68.5</v>
      </c>
      <c r="BH161" s="90" t="str">
        <f aca="false">IF(N(BN161)&gt;0,ROUND(SUMIF(ЗАКАЗЫ!$F$3:$F$500,$A161,ЗАКАЗЫ!$Y$3:$Y$500)/BN161,0),IF(OR(BE161="",BG161=""),"",ROUND(BE161*BG161*(1+Справочники!$B$10),0)))</f>
        <v/>
      </c>
      <c r="BI161" s="92" t="str">
        <f aca="false">IF(OR(AU161="",BH161="",AU161=0),"",(AU161-BH161)/AU161)</f>
        <v/>
      </c>
      <c r="BJ161" s="81"/>
      <c r="BK161" s="83"/>
      <c r="BL161" s="43" t="str">
        <f aca="false">IFERROR(INDEX(ЗАКАЗЫ!$N$3:$N$500,MATCH($A161,ЗАКАЗЫ!$F$3:$F$500,0)),"")</f>
        <v/>
      </c>
      <c r="BM161" s="8" t="str">
        <f aca="false">IF(BL161="","",IFERROR(VLOOKUP(BL161,'ТН ВЭД'!$A$4:$C$40,3,0),""))</f>
        <v/>
      </c>
      <c r="BN161" s="7" t="str">
        <f aca="false">IF(COUNTIF(ЗАКАЗЫ!$F$3:$F$500,$A161)=0,"",SUMIF(ЗАКАЗЫ!$F$3:$F$500,$A161,ЗАКАЗЫ!$J$3:$J$500))</f>
        <v/>
      </c>
      <c r="BO161" s="7" t="str">
        <f aca="false">IF(BN161="","",SUMIF(ЗАКАЗЫ!$F$3:$F$500,$A161,ЗАКАЗЫ!$AL$3:$AL$500))</f>
        <v/>
      </c>
      <c r="BP161" s="7" t="str">
        <f aca="false">IF(BN161="","",BN161-BO161)</f>
        <v/>
      </c>
      <c r="BQ161" s="55" t="str">
        <f aca="false">IF(BN161="","",IF(BO161&gt;=BN161,"На складе",IF(BO161&gt;0,"Частично","Ждём")))</f>
        <v/>
      </c>
      <c r="BR161" s="43"/>
      <c r="BS161" s="47" t="str">
        <f aca="false">IF(BN161="","",IF(_xlfn.MAXIFS(ЗАКАЗЫ!$AK$3:$AK$500,ЗАКАЗЫ!$F$3:$F$500,$A161)=0,"",_xlfn.MAXIFS(ЗАКАЗЫ!$AK$3:$AK$500,ЗАКАЗЫ!$F$3:$F$500,$A161)))</f>
        <v/>
      </c>
    </row>
    <row r="162" customFormat="false" ht="15.75" hidden="false" customHeight="true" outlineLevel="0" collapsed="false">
      <c r="A162" s="80" t="s">
        <v>3073</v>
      </c>
      <c r="B162" s="81"/>
      <c r="C162" s="81"/>
      <c r="D162" s="81"/>
      <c r="E162" s="83"/>
      <c r="F162" s="81"/>
      <c r="G162" s="83"/>
      <c r="H162" s="83"/>
      <c r="I162" s="84" t="str">
        <f aca="false">IF(E162="","",A162&amp;"_1.jpg")</f>
        <v/>
      </c>
      <c r="J162" s="84" t="str">
        <f aca="false">IF(E162="","",A162&amp;"_2.jpg; "&amp;A162&amp;"_3.jpg")</f>
        <v/>
      </c>
      <c r="K162" s="84" t="str">
        <f aca="false">IF(E162="","",A162&amp;"_schema.jpg")</f>
        <v/>
      </c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 t="s">
        <v>96</v>
      </c>
      <c r="W162" s="81"/>
      <c r="X162" s="81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6" t="str">
        <f aca="false">IF(SUM(Y162:AJ162)=0,"",SUM(Y162:AJ162))</f>
        <v/>
      </c>
      <c r="AL162" s="84" t="str">
        <f aca="false">MID(IF(N(Y162)&gt;0,", "&amp;Y$2,"")&amp;IF(N(Z162)&gt;0,", "&amp;Z$2,"")&amp;IF(N(AA162)&gt;0,", "&amp;AA$2,"")&amp;IF(N(AB162)&gt;0,", "&amp;AB$2,"")&amp;IF(N(AC162)&gt;0,", "&amp;AC$2,"")&amp;IF(N(AD162)&gt;0,", "&amp;AD$2,"")&amp;IF(N(AE162)&gt;0,", "&amp;AE$2,"")&amp;IF(N(AF162)&gt;0,", "&amp;AF$2,"")&amp;IF(N(AG162)&gt;0,", "&amp;AG$2,"")&amp;IF(N(AH162)&gt;0,", "&amp;AH$2,"")&amp;IF(N(AI162)&gt;0,", "&amp;AI$2,"")&amp;IF(N(AJ162)&gt;0,", "&amp;AJ$2,""),3,999)</f>
        <v/>
      </c>
      <c r="AM162" s="87" t="str">
        <f aca="false">IF(E162="","",MID(IF(N(Y162)&gt;0,", "&amp;A162&amp;"-"&amp;Y$2,"")&amp;IF(N(Z162)&gt;0,", "&amp;A162&amp;"-"&amp;Z$2,"")&amp;IF(N(AA162)&gt;0,", "&amp;A162&amp;"-"&amp;AA$2,"")&amp;IF(N(AB162)&gt;0,", "&amp;A162&amp;"-"&amp;AB$2,"")&amp;IF(N(AC162)&gt;0,", "&amp;A162&amp;"-"&amp;AC$2,"")&amp;IF(N(AD162)&gt;0,", "&amp;A162&amp;"-"&amp;AD$2,"")&amp;IF(N(AE162)&gt;0,", "&amp;A162&amp;"-"&amp;AE$2,"")&amp;IF(N(AF162)&gt;0,", "&amp;A162&amp;"-"&amp;AF$2,"")&amp;IF(N(AG162)&gt;0,", "&amp;A162&amp;"-"&amp;AG$2,"")&amp;IF(N(AH162)&gt;0,", "&amp;A162&amp;"-"&amp;AH$2,"")&amp;IF(N(AI162)&gt;0,", "&amp;A162&amp;"-"&amp;AI$2,"")&amp;IF(N(AJ162)&gt;0,", "&amp;A162&amp;"-"&amp;AJ$2,""),3,999))</f>
        <v/>
      </c>
      <c r="AN162" s="81"/>
      <c r="AO162" s="88"/>
      <c r="AP162" s="89" t="str">
        <f aca="false">IF(AO162="","",ROUND(AO162/(1+Справочники!$B$13),2))</f>
        <v/>
      </c>
      <c r="AQ162" s="90" t="str">
        <f aca="false" t="array" ref="AQ162:AQ162">IF(AP162="","",AP162*INDEX(Справочники!$B$4:$B$7,MATCH("RUB",Справочники!$A$4:$A$7,0)))</f>
        <v/>
      </c>
      <c r="AR162" s="90" t="str">
        <f aca="false">IF(AQ162="","",ROUND(AQ162*(1+Справочники!$B$12),0))</f>
        <v/>
      </c>
      <c r="AS162" s="90" t="str">
        <f aca="false">IF(AR162="","",ROUND(AR162*(1-Справочники!$B$11),0))</f>
        <v/>
      </c>
      <c r="AT162" s="88"/>
      <c r="AU162" s="90" t="str">
        <f aca="false">IF(AT162="","",ROUND(AT162/(1+Справочники!$B$12),0))</f>
        <v/>
      </c>
      <c r="AV162" s="90" t="str">
        <f aca="false">IF(AT162="","",ROUND(AT162*(1-Справочники!$B$15),0))</f>
        <v/>
      </c>
      <c r="AW162" s="90" t="str">
        <f aca="false">IF(AT162="","",ROUND(AT162*(1-Справочники!$B$16),0))</f>
        <v/>
      </c>
      <c r="AX162" s="90" t="str">
        <f aca="false">IF(AT162="","",ROUND(AT162*(1-Справочники!$B$17),0))</f>
        <v/>
      </c>
      <c r="AY162" s="90" t="str">
        <f aca="false">IF(AT162="","",ROUND(AT162*(1-Справочники!$B$18),0))</f>
        <v/>
      </c>
      <c r="AZ162" s="90" t="str">
        <f aca="false">IF(AT162="","",ROUND(AT162*(1-Справочники!$B$19),0))</f>
        <v/>
      </c>
      <c r="BA162" s="81"/>
      <c r="BB162" s="81"/>
      <c r="BC162" s="81"/>
      <c r="BD162" s="81"/>
      <c r="BE162" s="91"/>
      <c r="BF162" s="81" t="s">
        <v>103</v>
      </c>
      <c r="BG162" s="89" t="n">
        <f aca="false" t="array" ref="BG162:BG162">IF(BF162="","",IFERROR(INDEX(Справочники!$B$4:$B$7,MATCH(BF162,Справочники!$A$4:$A$7,0)),""))</f>
        <v>68.5</v>
      </c>
      <c r="BH162" s="90" t="str">
        <f aca="false">IF(N(BN162)&gt;0,ROUND(SUMIF(ЗАКАЗЫ!$F$3:$F$500,$A162,ЗАКАЗЫ!$Y$3:$Y$500)/BN162,0),IF(OR(BE162="",BG162=""),"",ROUND(BE162*BG162*(1+Справочники!$B$10),0)))</f>
        <v/>
      </c>
      <c r="BI162" s="92" t="str">
        <f aca="false">IF(OR(AU162="",BH162="",AU162=0),"",(AU162-BH162)/AU162)</f>
        <v/>
      </c>
      <c r="BJ162" s="81"/>
      <c r="BK162" s="83"/>
      <c r="BL162" s="43" t="str">
        <f aca="false">IFERROR(INDEX(ЗАКАЗЫ!$N$3:$N$500,MATCH($A162,ЗАКАЗЫ!$F$3:$F$500,0)),"")</f>
        <v/>
      </c>
      <c r="BM162" s="8" t="str">
        <f aca="false">IF(BL162="","",IFERROR(VLOOKUP(BL162,'ТН ВЭД'!$A$4:$C$40,3,0),""))</f>
        <v/>
      </c>
      <c r="BN162" s="7" t="str">
        <f aca="false">IF(COUNTIF(ЗАКАЗЫ!$F$3:$F$500,$A162)=0,"",SUMIF(ЗАКАЗЫ!$F$3:$F$500,$A162,ЗАКАЗЫ!$J$3:$J$500))</f>
        <v/>
      </c>
      <c r="BO162" s="7" t="str">
        <f aca="false">IF(BN162="","",SUMIF(ЗАКАЗЫ!$F$3:$F$500,$A162,ЗАКАЗЫ!$AL$3:$AL$500))</f>
        <v/>
      </c>
      <c r="BP162" s="7" t="str">
        <f aca="false">IF(BN162="","",BN162-BO162)</f>
        <v/>
      </c>
      <c r="BQ162" s="55" t="str">
        <f aca="false">IF(BN162="","",IF(BO162&gt;=BN162,"На складе",IF(BO162&gt;0,"Частично","Ждём")))</f>
        <v/>
      </c>
      <c r="BR162" s="43"/>
      <c r="BS162" s="47" t="str">
        <f aca="false">IF(BN162="","",IF(_xlfn.MAXIFS(ЗАКАЗЫ!$AK$3:$AK$500,ЗАКАЗЫ!$F$3:$F$500,$A162)=0,"",_xlfn.MAXIFS(ЗАКАЗЫ!$AK$3:$AK$500,ЗАКАЗЫ!$F$3:$F$500,$A162)))</f>
        <v/>
      </c>
    </row>
    <row r="163" customFormat="false" ht="15.75" hidden="false" customHeight="true" outlineLevel="0" collapsed="false">
      <c r="A163" s="80" t="s">
        <v>3074</v>
      </c>
      <c r="B163" s="81"/>
      <c r="C163" s="81"/>
      <c r="D163" s="81"/>
      <c r="E163" s="83"/>
      <c r="F163" s="81"/>
      <c r="G163" s="83"/>
      <c r="H163" s="83"/>
      <c r="I163" s="84" t="str">
        <f aca="false">IF(E163="","",A163&amp;"_1.jpg")</f>
        <v/>
      </c>
      <c r="J163" s="84" t="str">
        <f aca="false">IF(E163="","",A163&amp;"_2.jpg; "&amp;A163&amp;"_3.jpg")</f>
        <v/>
      </c>
      <c r="K163" s="84" t="str">
        <f aca="false">IF(E163="","",A163&amp;"_schema.jpg")</f>
        <v/>
      </c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 t="s">
        <v>96</v>
      </c>
      <c r="W163" s="81"/>
      <c r="X163" s="81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6" t="str">
        <f aca="false">IF(SUM(Y163:AJ163)=0,"",SUM(Y163:AJ163))</f>
        <v/>
      </c>
      <c r="AL163" s="84" t="str">
        <f aca="false">MID(IF(N(Y163)&gt;0,", "&amp;Y$2,"")&amp;IF(N(Z163)&gt;0,", "&amp;Z$2,"")&amp;IF(N(AA163)&gt;0,", "&amp;AA$2,"")&amp;IF(N(AB163)&gt;0,", "&amp;AB$2,"")&amp;IF(N(AC163)&gt;0,", "&amp;AC$2,"")&amp;IF(N(AD163)&gt;0,", "&amp;AD$2,"")&amp;IF(N(AE163)&gt;0,", "&amp;AE$2,"")&amp;IF(N(AF163)&gt;0,", "&amp;AF$2,"")&amp;IF(N(AG163)&gt;0,", "&amp;AG$2,"")&amp;IF(N(AH163)&gt;0,", "&amp;AH$2,"")&amp;IF(N(AI163)&gt;0,", "&amp;AI$2,"")&amp;IF(N(AJ163)&gt;0,", "&amp;AJ$2,""),3,999)</f>
        <v/>
      </c>
      <c r="AM163" s="87" t="str">
        <f aca="false">IF(E163="","",MID(IF(N(Y163)&gt;0,", "&amp;A163&amp;"-"&amp;Y$2,"")&amp;IF(N(Z163)&gt;0,", "&amp;A163&amp;"-"&amp;Z$2,"")&amp;IF(N(AA163)&gt;0,", "&amp;A163&amp;"-"&amp;AA$2,"")&amp;IF(N(AB163)&gt;0,", "&amp;A163&amp;"-"&amp;AB$2,"")&amp;IF(N(AC163)&gt;0,", "&amp;A163&amp;"-"&amp;AC$2,"")&amp;IF(N(AD163)&gt;0,", "&amp;A163&amp;"-"&amp;AD$2,"")&amp;IF(N(AE163)&gt;0,", "&amp;A163&amp;"-"&amp;AE$2,"")&amp;IF(N(AF163)&gt;0,", "&amp;A163&amp;"-"&amp;AF$2,"")&amp;IF(N(AG163)&gt;0,", "&amp;A163&amp;"-"&amp;AG$2,"")&amp;IF(N(AH163)&gt;0,", "&amp;A163&amp;"-"&amp;AH$2,"")&amp;IF(N(AI163)&gt;0,", "&amp;A163&amp;"-"&amp;AI$2,"")&amp;IF(N(AJ163)&gt;0,", "&amp;A163&amp;"-"&amp;AJ$2,""),3,999))</f>
        <v/>
      </c>
      <c r="AN163" s="81"/>
      <c r="AO163" s="88"/>
      <c r="AP163" s="89" t="str">
        <f aca="false">IF(AO163="","",ROUND(AO163/(1+Справочники!$B$13),2))</f>
        <v/>
      </c>
      <c r="AQ163" s="90" t="str">
        <f aca="false" t="array" ref="AQ163:AQ163">IF(AP163="","",AP163*INDEX(Справочники!$B$4:$B$7,MATCH("RUB",Справочники!$A$4:$A$7,0)))</f>
        <v/>
      </c>
      <c r="AR163" s="90" t="str">
        <f aca="false">IF(AQ163="","",ROUND(AQ163*(1+Справочники!$B$12),0))</f>
        <v/>
      </c>
      <c r="AS163" s="90" t="str">
        <f aca="false">IF(AR163="","",ROUND(AR163*(1-Справочники!$B$11),0))</f>
        <v/>
      </c>
      <c r="AT163" s="88"/>
      <c r="AU163" s="90" t="str">
        <f aca="false">IF(AT163="","",ROUND(AT163/(1+Справочники!$B$12),0))</f>
        <v/>
      </c>
      <c r="AV163" s="90" t="str">
        <f aca="false">IF(AT163="","",ROUND(AT163*(1-Справочники!$B$15),0))</f>
        <v/>
      </c>
      <c r="AW163" s="90" t="str">
        <f aca="false">IF(AT163="","",ROUND(AT163*(1-Справочники!$B$16),0))</f>
        <v/>
      </c>
      <c r="AX163" s="90" t="str">
        <f aca="false">IF(AT163="","",ROUND(AT163*(1-Справочники!$B$17),0))</f>
        <v/>
      </c>
      <c r="AY163" s="90" t="str">
        <f aca="false">IF(AT163="","",ROUND(AT163*(1-Справочники!$B$18),0))</f>
        <v/>
      </c>
      <c r="AZ163" s="90" t="str">
        <f aca="false">IF(AT163="","",ROUND(AT163*(1-Справочники!$B$19),0))</f>
        <v/>
      </c>
      <c r="BA163" s="81"/>
      <c r="BB163" s="81"/>
      <c r="BC163" s="81"/>
      <c r="BD163" s="81"/>
      <c r="BE163" s="91"/>
      <c r="BF163" s="81" t="s">
        <v>103</v>
      </c>
      <c r="BG163" s="89" t="n">
        <f aca="false" t="array" ref="BG163:BG163">IF(BF163="","",IFERROR(INDEX(Справочники!$B$4:$B$7,MATCH(BF163,Справочники!$A$4:$A$7,0)),""))</f>
        <v>68.5</v>
      </c>
      <c r="BH163" s="90" t="str">
        <f aca="false">IF(N(BN163)&gt;0,ROUND(SUMIF(ЗАКАЗЫ!$F$3:$F$500,$A163,ЗАКАЗЫ!$Y$3:$Y$500)/BN163,0),IF(OR(BE163="",BG163=""),"",ROUND(BE163*BG163*(1+Справочники!$B$10),0)))</f>
        <v/>
      </c>
      <c r="BI163" s="92" t="str">
        <f aca="false">IF(OR(AU163="",BH163="",AU163=0),"",(AU163-BH163)/AU163)</f>
        <v/>
      </c>
      <c r="BJ163" s="81"/>
      <c r="BK163" s="83"/>
      <c r="BL163" s="43" t="str">
        <f aca="false">IFERROR(INDEX(ЗАКАЗЫ!$N$3:$N$500,MATCH($A163,ЗАКАЗЫ!$F$3:$F$500,0)),"")</f>
        <v/>
      </c>
      <c r="BM163" s="8" t="str">
        <f aca="false">IF(BL163="","",IFERROR(VLOOKUP(BL163,'ТН ВЭД'!$A$4:$C$40,3,0),""))</f>
        <v/>
      </c>
      <c r="BN163" s="7" t="str">
        <f aca="false">IF(COUNTIF(ЗАКАЗЫ!$F$3:$F$500,$A163)=0,"",SUMIF(ЗАКАЗЫ!$F$3:$F$500,$A163,ЗАКАЗЫ!$J$3:$J$500))</f>
        <v/>
      </c>
      <c r="BO163" s="7" t="str">
        <f aca="false">IF(BN163="","",SUMIF(ЗАКАЗЫ!$F$3:$F$500,$A163,ЗАКАЗЫ!$AL$3:$AL$500))</f>
        <v/>
      </c>
      <c r="BP163" s="7" t="str">
        <f aca="false">IF(BN163="","",BN163-BO163)</f>
        <v/>
      </c>
      <c r="BQ163" s="55" t="str">
        <f aca="false">IF(BN163="","",IF(BO163&gt;=BN163,"На складе",IF(BO163&gt;0,"Частично","Ждём")))</f>
        <v/>
      </c>
      <c r="BR163" s="43"/>
      <c r="BS163" s="47" t="str">
        <f aca="false">IF(BN163="","",IF(_xlfn.MAXIFS(ЗАКАЗЫ!$AK$3:$AK$500,ЗАКАЗЫ!$F$3:$F$500,$A163)=0,"",_xlfn.MAXIFS(ЗАКАЗЫ!$AK$3:$AK$500,ЗАКАЗЫ!$F$3:$F$500,$A163)))</f>
        <v/>
      </c>
    </row>
    <row r="164" customFormat="false" ht="15.75" hidden="false" customHeight="true" outlineLevel="0" collapsed="false">
      <c r="A164" s="80" t="s">
        <v>3075</v>
      </c>
      <c r="B164" s="81"/>
      <c r="C164" s="81"/>
      <c r="D164" s="81"/>
      <c r="E164" s="83"/>
      <c r="F164" s="81"/>
      <c r="G164" s="83"/>
      <c r="H164" s="83"/>
      <c r="I164" s="84" t="str">
        <f aca="false">IF(E164="","",A164&amp;"_1.jpg")</f>
        <v/>
      </c>
      <c r="J164" s="84" t="str">
        <f aca="false">IF(E164="","",A164&amp;"_2.jpg; "&amp;A164&amp;"_3.jpg")</f>
        <v/>
      </c>
      <c r="K164" s="84" t="str">
        <f aca="false">IF(E164="","",A164&amp;"_schema.jpg")</f>
        <v/>
      </c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 t="s">
        <v>96</v>
      </c>
      <c r="W164" s="81"/>
      <c r="X164" s="81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6" t="str">
        <f aca="false">IF(SUM(Y164:AJ164)=0,"",SUM(Y164:AJ164))</f>
        <v/>
      </c>
      <c r="AL164" s="84" t="str">
        <f aca="false">MID(IF(N(Y164)&gt;0,", "&amp;Y$2,"")&amp;IF(N(Z164)&gt;0,", "&amp;Z$2,"")&amp;IF(N(AA164)&gt;0,", "&amp;AA$2,"")&amp;IF(N(AB164)&gt;0,", "&amp;AB$2,"")&amp;IF(N(AC164)&gt;0,", "&amp;AC$2,"")&amp;IF(N(AD164)&gt;0,", "&amp;AD$2,"")&amp;IF(N(AE164)&gt;0,", "&amp;AE$2,"")&amp;IF(N(AF164)&gt;0,", "&amp;AF$2,"")&amp;IF(N(AG164)&gt;0,", "&amp;AG$2,"")&amp;IF(N(AH164)&gt;0,", "&amp;AH$2,"")&amp;IF(N(AI164)&gt;0,", "&amp;AI$2,"")&amp;IF(N(AJ164)&gt;0,", "&amp;AJ$2,""),3,999)</f>
        <v/>
      </c>
      <c r="AM164" s="87" t="str">
        <f aca="false">IF(E164="","",MID(IF(N(Y164)&gt;0,", "&amp;A164&amp;"-"&amp;Y$2,"")&amp;IF(N(Z164)&gt;0,", "&amp;A164&amp;"-"&amp;Z$2,"")&amp;IF(N(AA164)&gt;0,", "&amp;A164&amp;"-"&amp;AA$2,"")&amp;IF(N(AB164)&gt;0,", "&amp;A164&amp;"-"&amp;AB$2,"")&amp;IF(N(AC164)&gt;0,", "&amp;A164&amp;"-"&amp;AC$2,"")&amp;IF(N(AD164)&gt;0,", "&amp;A164&amp;"-"&amp;AD$2,"")&amp;IF(N(AE164)&gt;0,", "&amp;A164&amp;"-"&amp;AE$2,"")&amp;IF(N(AF164)&gt;0,", "&amp;A164&amp;"-"&amp;AF$2,"")&amp;IF(N(AG164)&gt;0,", "&amp;A164&amp;"-"&amp;AG$2,"")&amp;IF(N(AH164)&gt;0,", "&amp;A164&amp;"-"&amp;AH$2,"")&amp;IF(N(AI164)&gt;0,", "&amp;A164&amp;"-"&amp;AI$2,"")&amp;IF(N(AJ164)&gt;0,", "&amp;A164&amp;"-"&amp;AJ$2,""),3,999))</f>
        <v/>
      </c>
      <c r="AN164" s="81"/>
      <c r="AO164" s="88"/>
      <c r="AP164" s="89" t="str">
        <f aca="false">IF(AO164="","",ROUND(AO164/(1+Справочники!$B$13),2))</f>
        <v/>
      </c>
      <c r="AQ164" s="90" t="str">
        <f aca="false" t="array" ref="AQ164:AQ164">IF(AP164="","",AP164*INDEX(Справочники!$B$4:$B$7,MATCH("RUB",Справочники!$A$4:$A$7,0)))</f>
        <v/>
      </c>
      <c r="AR164" s="90" t="str">
        <f aca="false">IF(AQ164="","",ROUND(AQ164*(1+Справочники!$B$12),0))</f>
        <v/>
      </c>
      <c r="AS164" s="90" t="str">
        <f aca="false">IF(AR164="","",ROUND(AR164*(1-Справочники!$B$11),0))</f>
        <v/>
      </c>
      <c r="AT164" s="88"/>
      <c r="AU164" s="90" t="str">
        <f aca="false">IF(AT164="","",ROUND(AT164/(1+Справочники!$B$12),0))</f>
        <v/>
      </c>
      <c r="AV164" s="90" t="str">
        <f aca="false">IF(AT164="","",ROUND(AT164*(1-Справочники!$B$15),0))</f>
        <v/>
      </c>
      <c r="AW164" s="90" t="str">
        <f aca="false">IF(AT164="","",ROUND(AT164*(1-Справочники!$B$16),0))</f>
        <v/>
      </c>
      <c r="AX164" s="90" t="str">
        <f aca="false">IF(AT164="","",ROUND(AT164*(1-Справочники!$B$17),0))</f>
        <v/>
      </c>
      <c r="AY164" s="90" t="str">
        <f aca="false">IF(AT164="","",ROUND(AT164*(1-Справочники!$B$18),0))</f>
        <v/>
      </c>
      <c r="AZ164" s="90" t="str">
        <f aca="false">IF(AT164="","",ROUND(AT164*(1-Справочники!$B$19),0))</f>
        <v/>
      </c>
      <c r="BA164" s="81"/>
      <c r="BB164" s="81"/>
      <c r="BC164" s="81"/>
      <c r="BD164" s="81"/>
      <c r="BE164" s="91"/>
      <c r="BF164" s="81" t="s">
        <v>103</v>
      </c>
      <c r="BG164" s="89" t="n">
        <f aca="false" t="array" ref="BG164:BG164">IF(BF164="","",IFERROR(INDEX(Справочники!$B$4:$B$7,MATCH(BF164,Справочники!$A$4:$A$7,0)),""))</f>
        <v>68.5</v>
      </c>
      <c r="BH164" s="90" t="str">
        <f aca="false">IF(N(BN164)&gt;0,ROUND(SUMIF(ЗАКАЗЫ!$F$3:$F$500,$A164,ЗАКАЗЫ!$Y$3:$Y$500)/BN164,0),IF(OR(BE164="",BG164=""),"",ROUND(BE164*BG164*(1+Справочники!$B$10),0)))</f>
        <v/>
      </c>
      <c r="BI164" s="92" t="str">
        <f aca="false">IF(OR(AU164="",BH164="",AU164=0),"",(AU164-BH164)/AU164)</f>
        <v/>
      </c>
      <c r="BJ164" s="81"/>
      <c r="BK164" s="83"/>
      <c r="BL164" s="43" t="str">
        <f aca="false">IFERROR(INDEX(ЗАКАЗЫ!$N$3:$N$500,MATCH($A164,ЗАКАЗЫ!$F$3:$F$500,0)),"")</f>
        <v/>
      </c>
      <c r="BM164" s="8" t="str">
        <f aca="false">IF(BL164="","",IFERROR(VLOOKUP(BL164,'ТН ВЭД'!$A$4:$C$40,3,0),""))</f>
        <v/>
      </c>
      <c r="BN164" s="7" t="str">
        <f aca="false">IF(COUNTIF(ЗАКАЗЫ!$F$3:$F$500,$A164)=0,"",SUMIF(ЗАКАЗЫ!$F$3:$F$500,$A164,ЗАКАЗЫ!$J$3:$J$500))</f>
        <v/>
      </c>
      <c r="BO164" s="7" t="str">
        <f aca="false">IF(BN164="","",SUMIF(ЗАКАЗЫ!$F$3:$F$500,$A164,ЗАКАЗЫ!$AL$3:$AL$500))</f>
        <v/>
      </c>
      <c r="BP164" s="7" t="str">
        <f aca="false">IF(BN164="","",BN164-BO164)</f>
        <v/>
      </c>
      <c r="BQ164" s="55" t="str">
        <f aca="false">IF(BN164="","",IF(BO164&gt;=BN164,"На складе",IF(BO164&gt;0,"Частично","Ждём")))</f>
        <v/>
      </c>
      <c r="BR164" s="43"/>
      <c r="BS164" s="47" t="str">
        <f aca="false">IF(BN164="","",IF(_xlfn.MAXIFS(ЗАКАЗЫ!$AK$3:$AK$500,ЗАКАЗЫ!$F$3:$F$500,$A164)=0,"",_xlfn.MAXIFS(ЗАКАЗЫ!$AK$3:$AK$500,ЗАКАЗЫ!$F$3:$F$500,$A164)))</f>
        <v/>
      </c>
    </row>
    <row r="165" customFormat="false" ht="15.75" hidden="false" customHeight="true" outlineLevel="0" collapsed="false">
      <c r="A165" s="80" t="s">
        <v>3076</v>
      </c>
      <c r="B165" s="81"/>
      <c r="C165" s="81"/>
      <c r="D165" s="81"/>
      <c r="E165" s="83"/>
      <c r="F165" s="81"/>
      <c r="G165" s="83"/>
      <c r="H165" s="83"/>
      <c r="I165" s="84" t="str">
        <f aca="false">IF(E165="","",A165&amp;"_1.jpg")</f>
        <v/>
      </c>
      <c r="J165" s="84" t="str">
        <f aca="false">IF(E165="","",A165&amp;"_2.jpg; "&amp;A165&amp;"_3.jpg")</f>
        <v/>
      </c>
      <c r="K165" s="84" t="str">
        <f aca="false">IF(E165="","",A165&amp;"_schema.jpg")</f>
        <v/>
      </c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 t="s">
        <v>96</v>
      </c>
      <c r="W165" s="81"/>
      <c r="X165" s="81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6" t="str">
        <f aca="false">IF(SUM(Y165:AJ165)=0,"",SUM(Y165:AJ165))</f>
        <v/>
      </c>
      <c r="AL165" s="84" t="str">
        <f aca="false">MID(IF(N(Y165)&gt;0,", "&amp;Y$2,"")&amp;IF(N(Z165)&gt;0,", "&amp;Z$2,"")&amp;IF(N(AA165)&gt;0,", "&amp;AA$2,"")&amp;IF(N(AB165)&gt;0,", "&amp;AB$2,"")&amp;IF(N(AC165)&gt;0,", "&amp;AC$2,"")&amp;IF(N(AD165)&gt;0,", "&amp;AD$2,"")&amp;IF(N(AE165)&gt;0,", "&amp;AE$2,"")&amp;IF(N(AF165)&gt;0,", "&amp;AF$2,"")&amp;IF(N(AG165)&gt;0,", "&amp;AG$2,"")&amp;IF(N(AH165)&gt;0,", "&amp;AH$2,"")&amp;IF(N(AI165)&gt;0,", "&amp;AI$2,"")&amp;IF(N(AJ165)&gt;0,", "&amp;AJ$2,""),3,999)</f>
        <v/>
      </c>
      <c r="AM165" s="87" t="str">
        <f aca="false">IF(E165="","",MID(IF(N(Y165)&gt;0,", "&amp;A165&amp;"-"&amp;Y$2,"")&amp;IF(N(Z165)&gt;0,", "&amp;A165&amp;"-"&amp;Z$2,"")&amp;IF(N(AA165)&gt;0,", "&amp;A165&amp;"-"&amp;AA$2,"")&amp;IF(N(AB165)&gt;0,", "&amp;A165&amp;"-"&amp;AB$2,"")&amp;IF(N(AC165)&gt;0,", "&amp;A165&amp;"-"&amp;AC$2,"")&amp;IF(N(AD165)&gt;0,", "&amp;A165&amp;"-"&amp;AD$2,"")&amp;IF(N(AE165)&gt;0,", "&amp;A165&amp;"-"&amp;AE$2,"")&amp;IF(N(AF165)&gt;0,", "&amp;A165&amp;"-"&amp;AF$2,"")&amp;IF(N(AG165)&gt;0,", "&amp;A165&amp;"-"&amp;AG$2,"")&amp;IF(N(AH165)&gt;0,", "&amp;A165&amp;"-"&amp;AH$2,"")&amp;IF(N(AI165)&gt;0,", "&amp;A165&amp;"-"&amp;AI$2,"")&amp;IF(N(AJ165)&gt;0,", "&amp;A165&amp;"-"&amp;AJ$2,""),3,999))</f>
        <v/>
      </c>
      <c r="AN165" s="81"/>
      <c r="AO165" s="88"/>
      <c r="AP165" s="89" t="str">
        <f aca="false">IF(AO165="","",ROUND(AO165/(1+Справочники!$B$13),2))</f>
        <v/>
      </c>
      <c r="AQ165" s="90" t="str">
        <f aca="false" t="array" ref="AQ165:AQ165">IF(AP165="","",AP165*INDEX(Справочники!$B$4:$B$7,MATCH("RUB",Справочники!$A$4:$A$7,0)))</f>
        <v/>
      </c>
      <c r="AR165" s="90" t="str">
        <f aca="false">IF(AQ165="","",ROUND(AQ165*(1+Справочники!$B$12),0))</f>
        <v/>
      </c>
      <c r="AS165" s="90" t="str">
        <f aca="false">IF(AR165="","",ROUND(AR165*(1-Справочники!$B$11),0))</f>
        <v/>
      </c>
      <c r="AT165" s="88"/>
      <c r="AU165" s="90" t="str">
        <f aca="false">IF(AT165="","",ROUND(AT165/(1+Справочники!$B$12),0))</f>
        <v/>
      </c>
      <c r="AV165" s="90" t="str">
        <f aca="false">IF(AT165="","",ROUND(AT165*(1-Справочники!$B$15),0))</f>
        <v/>
      </c>
      <c r="AW165" s="90" t="str">
        <f aca="false">IF(AT165="","",ROUND(AT165*(1-Справочники!$B$16),0))</f>
        <v/>
      </c>
      <c r="AX165" s="90" t="str">
        <f aca="false">IF(AT165="","",ROUND(AT165*(1-Справочники!$B$17),0))</f>
        <v/>
      </c>
      <c r="AY165" s="90" t="str">
        <f aca="false">IF(AT165="","",ROUND(AT165*(1-Справочники!$B$18),0))</f>
        <v/>
      </c>
      <c r="AZ165" s="90" t="str">
        <f aca="false">IF(AT165="","",ROUND(AT165*(1-Справочники!$B$19),0))</f>
        <v/>
      </c>
      <c r="BA165" s="81"/>
      <c r="BB165" s="81"/>
      <c r="BC165" s="81"/>
      <c r="BD165" s="81"/>
      <c r="BE165" s="91"/>
      <c r="BF165" s="81" t="s">
        <v>103</v>
      </c>
      <c r="BG165" s="89" t="n">
        <f aca="false" t="array" ref="BG165:BG165">IF(BF165="","",IFERROR(INDEX(Справочники!$B$4:$B$7,MATCH(BF165,Справочники!$A$4:$A$7,0)),""))</f>
        <v>68.5</v>
      </c>
      <c r="BH165" s="90" t="str">
        <f aca="false">IF(N(BN165)&gt;0,ROUND(SUMIF(ЗАКАЗЫ!$F$3:$F$500,$A165,ЗАКАЗЫ!$Y$3:$Y$500)/BN165,0),IF(OR(BE165="",BG165=""),"",ROUND(BE165*BG165*(1+Справочники!$B$10),0)))</f>
        <v/>
      </c>
      <c r="BI165" s="92" t="str">
        <f aca="false">IF(OR(AU165="",BH165="",AU165=0),"",(AU165-BH165)/AU165)</f>
        <v/>
      </c>
      <c r="BJ165" s="81"/>
      <c r="BK165" s="83"/>
      <c r="BL165" s="43" t="str">
        <f aca="false">IFERROR(INDEX(ЗАКАЗЫ!$N$3:$N$500,MATCH($A165,ЗАКАЗЫ!$F$3:$F$500,0)),"")</f>
        <v/>
      </c>
      <c r="BM165" s="8" t="str">
        <f aca="false">IF(BL165="","",IFERROR(VLOOKUP(BL165,'ТН ВЭД'!$A$4:$C$40,3,0),""))</f>
        <v/>
      </c>
      <c r="BN165" s="7" t="str">
        <f aca="false">IF(COUNTIF(ЗАКАЗЫ!$F$3:$F$500,$A165)=0,"",SUMIF(ЗАКАЗЫ!$F$3:$F$500,$A165,ЗАКАЗЫ!$J$3:$J$500))</f>
        <v/>
      </c>
      <c r="BO165" s="7" t="str">
        <f aca="false">IF(BN165="","",SUMIF(ЗАКАЗЫ!$F$3:$F$500,$A165,ЗАКАЗЫ!$AL$3:$AL$500))</f>
        <v/>
      </c>
      <c r="BP165" s="7" t="str">
        <f aca="false">IF(BN165="","",BN165-BO165)</f>
        <v/>
      </c>
      <c r="BQ165" s="55" t="str">
        <f aca="false">IF(BN165="","",IF(BO165&gt;=BN165,"На складе",IF(BO165&gt;0,"Частично","Ждём")))</f>
        <v/>
      </c>
      <c r="BR165" s="43"/>
      <c r="BS165" s="47" t="str">
        <f aca="false">IF(BN165="","",IF(_xlfn.MAXIFS(ЗАКАЗЫ!$AK$3:$AK$500,ЗАКАЗЫ!$F$3:$F$500,$A165)=0,"",_xlfn.MAXIFS(ЗАКАЗЫ!$AK$3:$AK$500,ЗАКАЗЫ!$F$3:$F$500,$A165)))</f>
        <v/>
      </c>
    </row>
    <row r="166" customFormat="false" ht="15.75" hidden="false" customHeight="true" outlineLevel="0" collapsed="false">
      <c r="A166" s="80" t="s">
        <v>3077</v>
      </c>
      <c r="B166" s="81"/>
      <c r="C166" s="81"/>
      <c r="D166" s="81"/>
      <c r="E166" s="83"/>
      <c r="F166" s="81"/>
      <c r="G166" s="83"/>
      <c r="H166" s="83"/>
      <c r="I166" s="84" t="str">
        <f aca="false">IF(E166="","",A166&amp;"_1.jpg")</f>
        <v/>
      </c>
      <c r="J166" s="84" t="str">
        <f aca="false">IF(E166="","",A166&amp;"_2.jpg; "&amp;A166&amp;"_3.jpg")</f>
        <v/>
      </c>
      <c r="K166" s="84" t="str">
        <f aca="false">IF(E166="","",A166&amp;"_schema.jpg")</f>
        <v/>
      </c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 t="s">
        <v>96</v>
      </c>
      <c r="W166" s="81"/>
      <c r="X166" s="81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6" t="str">
        <f aca="false">IF(SUM(Y166:AJ166)=0,"",SUM(Y166:AJ166))</f>
        <v/>
      </c>
      <c r="AL166" s="84" t="str">
        <f aca="false">MID(IF(N(Y166)&gt;0,", "&amp;Y$2,"")&amp;IF(N(Z166)&gt;0,", "&amp;Z$2,"")&amp;IF(N(AA166)&gt;0,", "&amp;AA$2,"")&amp;IF(N(AB166)&gt;0,", "&amp;AB$2,"")&amp;IF(N(AC166)&gt;0,", "&amp;AC$2,"")&amp;IF(N(AD166)&gt;0,", "&amp;AD$2,"")&amp;IF(N(AE166)&gt;0,", "&amp;AE$2,"")&amp;IF(N(AF166)&gt;0,", "&amp;AF$2,"")&amp;IF(N(AG166)&gt;0,", "&amp;AG$2,"")&amp;IF(N(AH166)&gt;0,", "&amp;AH$2,"")&amp;IF(N(AI166)&gt;0,", "&amp;AI$2,"")&amp;IF(N(AJ166)&gt;0,", "&amp;AJ$2,""),3,999)</f>
        <v/>
      </c>
      <c r="AM166" s="87" t="str">
        <f aca="false">IF(E166="","",MID(IF(N(Y166)&gt;0,", "&amp;A166&amp;"-"&amp;Y$2,"")&amp;IF(N(Z166)&gt;0,", "&amp;A166&amp;"-"&amp;Z$2,"")&amp;IF(N(AA166)&gt;0,", "&amp;A166&amp;"-"&amp;AA$2,"")&amp;IF(N(AB166)&gt;0,", "&amp;A166&amp;"-"&amp;AB$2,"")&amp;IF(N(AC166)&gt;0,", "&amp;A166&amp;"-"&amp;AC$2,"")&amp;IF(N(AD166)&gt;0,", "&amp;A166&amp;"-"&amp;AD$2,"")&amp;IF(N(AE166)&gt;0,", "&amp;A166&amp;"-"&amp;AE$2,"")&amp;IF(N(AF166)&gt;0,", "&amp;A166&amp;"-"&amp;AF$2,"")&amp;IF(N(AG166)&gt;0,", "&amp;A166&amp;"-"&amp;AG$2,"")&amp;IF(N(AH166)&gt;0,", "&amp;A166&amp;"-"&amp;AH$2,"")&amp;IF(N(AI166)&gt;0,", "&amp;A166&amp;"-"&amp;AI$2,"")&amp;IF(N(AJ166)&gt;0,", "&amp;A166&amp;"-"&amp;AJ$2,""),3,999))</f>
        <v/>
      </c>
      <c r="AN166" s="81"/>
      <c r="AO166" s="88"/>
      <c r="AP166" s="89" t="str">
        <f aca="false">IF(AO166="","",ROUND(AO166/(1+Справочники!$B$13),2))</f>
        <v/>
      </c>
      <c r="AQ166" s="90" t="str">
        <f aca="false" t="array" ref="AQ166:AQ166">IF(AP166="","",AP166*INDEX(Справочники!$B$4:$B$7,MATCH("RUB",Справочники!$A$4:$A$7,0)))</f>
        <v/>
      </c>
      <c r="AR166" s="90" t="str">
        <f aca="false">IF(AQ166="","",ROUND(AQ166*(1+Справочники!$B$12),0))</f>
        <v/>
      </c>
      <c r="AS166" s="90" t="str">
        <f aca="false">IF(AR166="","",ROUND(AR166*(1-Справочники!$B$11),0))</f>
        <v/>
      </c>
      <c r="AT166" s="88"/>
      <c r="AU166" s="90" t="str">
        <f aca="false">IF(AT166="","",ROUND(AT166/(1+Справочники!$B$12),0))</f>
        <v/>
      </c>
      <c r="AV166" s="90" t="str">
        <f aca="false">IF(AT166="","",ROUND(AT166*(1-Справочники!$B$15),0))</f>
        <v/>
      </c>
      <c r="AW166" s="90" t="str">
        <f aca="false">IF(AT166="","",ROUND(AT166*(1-Справочники!$B$16),0))</f>
        <v/>
      </c>
      <c r="AX166" s="90" t="str">
        <f aca="false">IF(AT166="","",ROUND(AT166*(1-Справочники!$B$17),0))</f>
        <v/>
      </c>
      <c r="AY166" s="90" t="str">
        <f aca="false">IF(AT166="","",ROUND(AT166*(1-Справочники!$B$18),0))</f>
        <v/>
      </c>
      <c r="AZ166" s="90" t="str">
        <f aca="false">IF(AT166="","",ROUND(AT166*(1-Справочники!$B$19),0))</f>
        <v/>
      </c>
      <c r="BA166" s="81"/>
      <c r="BB166" s="81"/>
      <c r="BC166" s="81"/>
      <c r="BD166" s="81"/>
      <c r="BE166" s="91"/>
      <c r="BF166" s="81" t="s">
        <v>103</v>
      </c>
      <c r="BG166" s="89" t="n">
        <f aca="false" t="array" ref="BG166:BG166">IF(BF166="","",IFERROR(INDEX(Справочники!$B$4:$B$7,MATCH(BF166,Справочники!$A$4:$A$7,0)),""))</f>
        <v>68.5</v>
      </c>
      <c r="BH166" s="90" t="str">
        <f aca="false">IF(N(BN166)&gt;0,ROUND(SUMIF(ЗАКАЗЫ!$F$3:$F$500,$A166,ЗАКАЗЫ!$Y$3:$Y$500)/BN166,0),IF(OR(BE166="",BG166=""),"",ROUND(BE166*BG166*(1+Справочники!$B$10),0)))</f>
        <v/>
      </c>
      <c r="BI166" s="92" t="str">
        <f aca="false">IF(OR(AU166="",BH166="",AU166=0),"",(AU166-BH166)/AU166)</f>
        <v/>
      </c>
      <c r="BJ166" s="81"/>
      <c r="BK166" s="83"/>
      <c r="BL166" s="43" t="str">
        <f aca="false">IFERROR(INDEX(ЗАКАЗЫ!$N$3:$N$500,MATCH($A166,ЗАКАЗЫ!$F$3:$F$500,0)),"")</f>
        <v/>
      </c>
      <c r="BM166" s="8" t="str">
        <f aca="false">IF(BL166="","",IFERROR(VLOOKUP(BL166,'ТН ВЭД'!$A$4:$C$40,3,0),""))</f>
        <v/>
      </c>
      <c r="BN166" s="7" t="str">
        <f aca="false">IF(COUNTIF(ЗАКАЗЫ!$F$3:$F$500,$A166)=0,"",SUMIF(ЗАКАЗЫ!$F$3:$F$500,$A166,ЗАКАЗЫ!$J$3:$J$500))</f>
        <v/>
      </c>
      <c r="BO166" s="7" t="str">
        <f aca="false">IF(BN166="","",SUMIF(ЗАКАЗЫ!$F$3:$F$500,$A166,ЗАКАЗЫ!$AL$3:$AL$500))</f>
        <v/>
      </c>
      <c r="BP166" s="7" t="str">
        <f aca="false">IF(BN166="","",BN166-BO166)</f>
        <v/>
      </c>
      <c r="BQ166" s="55" t="str">
        <f aca="false">IF(BN166="","",IF(BO166&gt;=BN166,"На складе",IF(BO166&gt;0,"Частично","Ждём")))</f>
        <v/>
      </c>
      <c r="BR166" s="43"/>
      <c r="BS166" s="47" t="str">
        <f aca="false">IF(BN166="","",IF(_xlfn.MAXIFS(ЗАКАЗЫ!$AK$3:$AK$500,ЗАКАЗЫ!$F$3:$F$500,$A166)=0,"",_xlfn.MAXIFS(ЗАКАЗЫ!$AK$3:$AK$500,ЗАКАЗЫ!$F$3:$F$500,$A166)))</f>
        <v/>
      </c>
    </row>
    <row r="167" customFormat="false" ht="15.75" hidden="false" customHeight="true" outlineLevel="0" collapsed="false">
      <c r="A167" s="80" t="s">
        <v>3078</v>
      </c>
      <c r="B167" s="81"/>
      <c r="C167" s="81"/>
      <c r="D167" s="81"/>
      <c r="E167" s="83"/>
      <c r="F167" s="81"/>
      <c r="G167" s="83"/>
      <c r="H167" s="83"/>
      <c r="I167" s="84" t="str">
        <f aca="false">IF(E167="","",A167&amp;"_1.jpg")</f>
        <v/>
      </c>
      <c r="J167" s="84" t="str">
        <f aca="false">IF(E167="","",A167&amp;"_2.jpg; "&amp;A167&amp;"_3.jpg")</f>
        <v/>
      </c>
      <c r="K167" s="84" t="str">
        <f aca="false">IF(E167="","",A167&amp;"_schema.jpg")</f>
        <v/>
      </c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 t="s">
        <v>96</v>
      </c>
      <c r="W167" s="81"/>
      <c r="X167" s="81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6" t="str">
        <f aca="false">IF(SUM(Y167:AJ167)=0,"",SUM(Y167:AJ167))</f>
        <v/>
      </c>
      <c r="AL167" s="84" t="str">
        <f aca="false">MID(IF(N(Y167)&gt;0,", "&amp;Y$2,"")&amp;IF(N(Z167)&gt;0,", "&amp;Z$2,"")&amp;IF(N(AA167)&gt;0,", "&amp;AA$2,"")&amp;IF(N(AB167)&gt;0,", "&amp;AB$2,"")&amp;IF(N(AC167)&gt;0,", "&amp;AC$2,"")&amp;IF(N(AD167)&gt;0,", "&amp;AD$2,"")&amp;IF(N(AE167)&gt;0,", "&amp;AE$2,"")&amp;IF(N(AF167)&gt;0,", "&amp;AF$2,"")&amp;IF(N(AG167)&gt;0,", "&amp;AG$2,"")&amp;IF(N(AH167)&gt;0,", "&amp;AH$2,"")&amp;IF(N(AI167)&gt;0,", "&amp;AI$2,"")&amp;IF(N(AJ167)&gt;0,", "&amp;AJ$2,""),3,999)</f>
        <v/>
      </c>
      <c r="AM167" s="87" t="str">
        <f aca="false">IF(E167="","",MID(IF(N(Y167)&gt;0,", "&amp;A167&amp;"-"&amp;Y$2,"")&amp;IF(N(Z167)&gt;0,", "&amp;A167&amp;"-"&amp;Z$2,"")&amp;IF(N(AA167)&gt;0,", "&amp;A167&amp;"-"&amp;AA$2,"")&amp;IF(N(AB167)&gt;0,", "&amp;A167&amp;"-"&amp;AB$2,"")&amp;IF(N(AC167)&gt;0,", "&amp;A167&amp;"-"&amp;AC$2,"")&amp;IF(N(AD167)&gt;0,", "&amp;A167&amp;"-"&amp;AD$2,"")&amp;IF(N(AE167)&gt;0,", "&amp;A167&amp;"-"&amp;AE$2,"")&amp;IF(N(AF167)&gt;0,", "&amp;A167&amp;"-"&amp;AF$2,"")&amp;IF(N(AG167)&gt;0,", "&amp;A167&amp;"-"&amp;AG$2,"")&amp;IF(N(AH167)&gt;0,", "&amp;A167&amp;"-"&amp;AH$2,"")&amp;IF(N(AI167)&gt;0,", "&amp;A167&amp;"-"&amp;AI$2,"")&amp;IF(N(AJ167)&gt;0,", "&amp;A167&amp;"-"&amp;AJ$2,""),3,999))</f>
        <v/>
      </c>
      <c r="AN167" s="81"/>
      <c r="AO167" s="88"/>
      <c r="AP167" s="89" t="str">
        <f aca="false">IF(AO167="","",ROUND(AO167/(1+Справочники!$B$13),2))</f>
        <v/>
      </c>
      <c r="AQ167" s="90" t="str">
        <f aca="false" t="array" ref="AQ167:AQ167">IF(AP167="","",AP167*INDEX(Справочники!$B$4:$B$7,MATCH("RUB",Справочники!$A$4:$A$7,0)))</f>
        <v/>
      </c>
      <c r="AR167" s="90" t="str">
        <f aca="false">IF(AQ167="","",ROUND(AQ167*(1+Справочники!$B$12),0))</f>
        <v/>
      </c>
      <c r="AS167" s="90" t="str">
        <f aca="false">IF(AR167="","",ROUND(AR167*(1-Справочники!$B$11),0))</f>
        <v/>
      </c>
      <c r="AT167" s="88"/>
      <c r="AU167" s="90" t="str">
        <f aca="false">IF(AT167="","",ROUND(AT167/(1+Справочники!$B$12),0))</f>
        <v/>
      </c>
      <c r="AV167" s="90" t="str">
        <f aca="false">IF(AT167="","",ROUND(AT167*(1-Справочники!$B$15),0))</f>
        <v/>
      </c>
      <c r="AW167" s="90" t="str">
        <f aca="false">IF(AT167="","",ROUND(AT167*(1-Справочники!$B$16),0))</f>
        <v/>
      </c>
      <c r="AX167" s="90" t="str">
        <f aca="false">IF(AT167="","",ROUND(AT167*(1-Справочники!$B$17),0))</f>
        <v/>
      </c>
      <c r="AY167" s="90" t="str">
        <f aca="false">IF(AT167="","",ROUND(AT167*(1-Справочники!$B$18),0))</f>
        <v/>
      </c>
      <c r="AZ167" s="90" t="str">
        <f aca="false">IF(AT167="","",ROUND(AT167*(1-Справочники!$B$19),0))</f>
        <v/>
      </c>
      <c r="BA167" s="81"/>
      <c r="BB167" s="81"/>
      <c r="BC167" s="81"/>
      <c r="BD167" s="81"/>
      <c r="BE167" s="91"/>
      <c r="BF167" s="81" t="s">
        <v>103</v>
      </c>
      <c r="BG167" s="89" t="n">
        <f aca="false" t="array" ref="BG167:BG167">IF(BF167="","",IFERROR(INDEX(Справочники!$B$4:$B$7,MATCH(BF167,Справочники!$A$4:$A$7,0)),""))</f>
        <v>68.5</v>
      </c>
      <c r="BH167" s="90" t="str">
        <f aca="false">IF(N(BN167)&gt;0,ROUND(SUMIF(ЗАКАЗЫ!$F$3:$F$500,$A167,ЗАКАЗЫ!$Y$3:$Y$500)/BN167,0),IF(OR(BE167="",BG167=""),"",ROUND(BE167*BG167*(1+Справочники!$B$10),0)))</f>
        <v/>
      </c>
      <c r="BI167" s="92" t="str">
        <f aca="false">IF(OR(AU167="",BH167="",AU167=0),"",(AU167-BH167)/AU167)</f>
        <v/>
      </c>
      <c r="BJ167" s="81"/>
      <c r="BK167" s="83"/>
      <c r="BL167" s="43" t="str">
        <f aca="false">IFERROR(INDEX(ЗАКАЗЫ!$N$3:$N$500,MATCH($A167,ЗАКАЗЫ!$F$3:$F$500,0)),"")</f>
        <v/>
      </c>
      <c r="BM167" s="8" t="str">
        <f aca="false">IF(BL167="","",IFERROR(VLOOKUP(BL167,'ТН ВЭД'!$A$4:$C$40,3,0),""))</f>
        <v/>
      </c>
      <c r="BN167" s="7" t="str">
        <f aca="false">IF(COUNTIF(ЗАКАЗЫ!$F$3:$F$500,$A167)=0,"",SUMIF(ЗАКАЗЫ!$F$3:$F$500,$A167,ЗАКАЗЫ!$J$3:$J$500))</f>
        <v/>
      </c>
      <c r="BO167" s="7" t="str">
        <f aca="false">IF(BN167="","",SUMIF(ЗАКАЗЫ!$F$3:$F$500,$A167,ЗАКАЗЫ!$AL$3:$AL$500))</f>
        <v/>
      </c>
      <c r="BP167" s="7" t="str">
        <f aca="false">IF(BN167="","",BN167-BO167)</f>
        <v/>
      </c>
      <c r="BQ167" s="55" t="str">
        <f aca="false">IF(BN167="","",IF(BO167&gt;=BN167,"На складе",IF(BO167&gt;0,"Частично","Ждём")))</f>
        <v/>
      </c>
      <c r="BR167" s="43"/>
      <c r="BS167" s="47" t="str">
        <f aca="false">IF(BN167="","",IF(_xlfn.MAXIFS(ЗАКАЗЫ!$AK$3:$AK$500,ЗАКАЗЫ!$F$3:$F$500,$A167)=0,"",_xlfn.MAXIFS(ЗАКАЗЫ!$AK$3:$AK$500,ЗАКАЗЫ!$F$3:$F$500,$A167)))</f>
        <v/>
      </c>
    </row>
    <row r="168" customFormat="false" ht="15.75" hidden="false" customHeight="true" outlineLevel="0" collapsed="false">
      <c r="A168" s="80" t="s">
        <v>3079</v>
      </c>
      <c r="B168" s="81"/>
      <c r="C168" s="81"/>
      <c r="D168" s="81"/>
      <c r="E168" s="83"/>
      <c r="F168" s="81"/>
      <c r="G168" s="83"/>
      <c r="H168" s="83"/>
      <c r="I168" s="84" t="str">
        <f aca="false">IF(E168="","",A168&amp;"_1.jpg")</f>
        <v/>
      </c>
      <c r="J168" s="84" t="str">
        <f aca="false">IF(E168="","",A168&amp;"_2.jpg; "&amp;A168&amp;"_3.jpg")</f>
        <v/>
      </c>
      <c r="K168" s="84" t="str">
        <f aca="false">IF(E168="","",A168&amp;"_schema.jpg")</f>
        <v/>
      </c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 t="s">
        <v>96</v>
      </c>
      <c r="W168" s="81"/>
      <c r="X168" s="81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6" t="str">
        <f aca="false">IF(SUM(Y168:AJ168)=0,"",SUM(Y168:AJ168))</f>
        <v/>
      </c>
      <c r="AL168" s="84" t="str">
        <f aca="false">MID(IF(N(Y168)&gt;0,", "&amp;Y$2,"")&amp;IF(N(Z168)&gt;0,", "&amp;Z$2,"")&amp;IF(N(AA168)&gt;0,", "&amp;AA$2,"")&amp;IF(N(AB168)&gt;0,", "&amp;AB$2,"")&amp;IF(N(AC168)&gt;0,", "&amp;AC$2,"")&amp;IF(N(AD168)&gt;0,", "&amp;AD$2,"")&amp;IF(N(AE168)&gt;0,", "&amp;AE$2,"")&amp;IF(N(AF168)&gt;0,", "&amp;AF$2,"")&amp;IF(N(AG168)&gt;0,", "&amp;AG$2,"")&amp;IF(N(AH168)&gt;0,", "&amp;AH$2,"")&amp;IF(N(AI168)&gt;0,", "&amp;AI$2,"")&amp;IF(N(AJ168)&gt;0,", "&amp;AJ$2,""),3,999)</f>
        <v/>
      </c>
      <c r="AM168" s="87" t="str">
        <f aca="false">IF(E168="","",MID(IF(N(Y168)&gt;0,", "&amp;A168&amp;"-"&amp;Y$2,"")&amp;IF(N(Z168)&gt;0,", "&amp;A168&amp;"-"&amp;Z$2,"")&amp;IF(N(AA168)&gt;0,", "&amp;A168&amp;"-"&amp;AA$2,"")&amp;IF(N(AB168)&gt;0,", "&amp;A168&amp;"-"&amp;AB$2,"")&amp;IF(N(AC168)&gt;0,", "&amp;A168&amp;"-"&amp;AC$2,"")&amp;IF(N(AD168)&gt;0,", "&amp;A168&amp;"-"&amp;AD$2,"")&amp;IF(N(AE168)&gt;0,", "&amp;A168&amp;"-"&amp;AE$2,"")&amp;IF(N(AF168)&gt;0,", "&amp;A168&amp;"-"&amp;AF$2,"")&amp;IF(N(AG168)&gt;0,", "&amp;A168&amp;"-"&amp;AG$2,"")&amp;IF(N(AH168)&gt;0,", "&amp;A168&amp;"-"&amp;AH$2,"")&amp;IF(N(AI168)&gt;0,", "&amp;A168&amp;"-"&amp;AI$2,"")&amp;IF(N(AJ168)&gt;0,", "&amp;A168&amp;"-"&amp;AJ$2,""),3,999))</f>
        <v/>
      </c>
      <c r="AN168" s="81"/>
      <c r="AO168" s="88"/>
      <c r="AP168" s="89" t="str">
        <f aca="false">IF(AO168="","",ROUND(AO168/(1+Справочники!$B$13),2))</f>
        <v/>
      </c>
      <c r="AQ168" s="90" t="str">
        <f aca="false" t="array" ref="AQ168:AQ168">IF(AP168="","",AP168*INDEX(Справочники!$B$4:$B$7,MATCH("RUB",Справочники!$A$4:$A$7,0)))</f>
        <v/>
      </c>
      <c r="AR168" s="90" t="str">
        <f aca="false">IF(AQ168="","",ROUND(AQ168*(1+Справочники!$B$12),0))</f>
        <v/>
      </c>
      <c r="AS168" s="90" t="str">
        <f aca="false">IF(AR168="","",ROUND(AR168*(1-Справочники!$B$11),0))</f>
        <v/>
      </c>
      <c r="AT168" s="88"/>
      <c r="AU168" s="90" t="str">
        <f aca="false">IF(AT168="","",ROUND(AT168/(1+Справочники!$B$12),0))</f>
        <v/>
      </c>
      <c r="AV168" s="90" t="str">
        <f aca="false">IF(AT168="","",ROUND(AT168*(1-Справочники!$B$15),0))</f>
        <v/>
      </c>
      <c r="AW168" s="90" t="str">
        <f aca="false">IF(AT168="","",ROUND(AT168*(1-Справочники!$B$16),0))</f>
        <v/>
      </c>
      <c r="AX168" s="90" t="str">
        <f aca="false">IF(AT168="","",ROUND(AT168*(1-Справочники!$B$17),0))</f>
        <v/>
      </c>
      <c r="AY168" s="90" t="str">
        <f aca="false">IF(AT168="","",ROUND(AT168*(1-Справочники!$B$18),0))</f>
        <v/>
      </c>
      <c r="AZ168" s="90" t="str">
        <f aca="false">IF(AT168="","",ROUND(AT168*(1-Справочники!$B$19),0))</f>
        <v/>
      </c>
      <c r="BA168" s="81"/>
      <c r="BB168" s="81"/>
      <c r="BC168" s="81"/>
      <c r="BD168" s="81"/>
      <c r="BE168" s="91"/>
      <c r="BF168" s="81" t="s">
        <v>103</v>
      </c>
      <c r="BG168" s="89" t="n">
        <f aca="false" t="array" ref="BG168:BG168">IF(BF168="","",IFERROR(INDEX(Справочники!$B$4:$B$7,MATCH(BF168,Справочники!$A$4:$A$7,0)),""))</f>
        <v>68.5</v>
      </c>
      <c r="BH168" s="90" t="str">
        <f aca="false">IF(N(BN168)&gt;0,ROUND(SUMIF(ЗАКАЗЫ!$F$3:$F$500,$A168,ЗАКАЗЫ!$Y$3:$Y$500)/BN168,0),IF(OR(BE168="",BG168=""),"",ROUND(BE168*BG168*(1+Справочники!$B$10),0)))</f>
        <v/>
      </c>
      <c r="BI168" s="92" t="str">
        <f aca="false">IF(OR(AU168="",BH168="",AU168=0),"",(AU168-BH168)/AU168)</f>
        <v/>
      </c>
      <c r="BJ168" s="81"/>
      <c r="BK168" s="83"/>
      <c r="BL168" s="43" t="str">
        <f aca="false">IFERROR(INDEX(ЗАКАЗЫ!$N$3:$N$500,MATCH($A168,ЗАКАЗЫ!$F$3:$F$500,0)),"")</f>
        <v/>
      </c>
      <c r="BM168" s="8" t="str">
        <f aca="false">IF(BL168="","",IFERROR(VLOOKUP(BL168,'ТН ВЭД'!$A$4:$C$40,3,0),""))</f>
        <v/>
      </c>
      <c r="BN168" s="7" t="str">
        <f aca="false">IF(COUNTIF(ЗАКАЗЫ!$F$3:$F$500,$A168)=0,"",SUMIF(ЗАКАЗЫ!$F$3:$F$500,$A168,ЗАКАЗЫ!$J$3:$J$500))</f>
        <v/>
      </c>
      <c r="BO168" s="7" t="str">
        <f aca="false">IF(BN168="","",SUMIF(ЗАКАЗЫ!$F$3:$F$500,$A168,ЗАКАЗЫ!$AL$3:$AL$500))</f>
        <v/>
      </c>
      <c r="BP168" s="7" t="str">
        <f aca="false">IF(BN168="","",BN168-BO168)</f>
        <v/>
      </c>
      <c r="BQ168" s="55" t="str">
        <f aca="false">IF(BN168="","",IF(BO168&gt;=BN168,"На складе",IF(BO168&gt;0,"Частично","Ждём")))</f>
        <v/>
      </c>
      <c r="BR168" s="43"/>
      <c r="BS168" s="47" t="str">
        <f aca="false">IF(BN168="","",IF(_xlfn.MAXIFS(ЗАКАЗЫ!$AK$3:$AK$500,ЗАКАЗЫ!$F$3:$F$500,$A168)=0,"",_xlfn.MAXIFS(ЗАКАЗЫ!$AK$3:$AK$500,ЗАКАЗЫ!$F$3:$F$500,$A168)))</f>
        <v/>
      </c>
    </row>
    <row r="169" customFormat="false" ht="15.75" hidden="false" customHeight="true" outlineLevel="0" collapsed="false">
      <c r="A169" s="80" t="s">
        <v>3080</v>
      </c>
      <c r="B169" s="81"/>
      <c r="C169" s="81"/>
      <c r="D169" s="81"/>
      <c r="E169" s="83"/>
      <c r="F169" s="81"/>
      <c r="G169" s="83"/>
      <c r="H169" s="83"/>
      <c r="I169" s="84" t="str">
        <f aca="false">IF(E169="","",A169&amp;"_1.jpg")</f>
        <v/>
      </c>
      <c r="J169" s="84" t="str">
        <f aca="false">IF(E169="","",A169&amp;"_2.jpg; "&amp;A169&amp;"_3.jpg")</f>
        <v/>
      </c>
      <c r="K169" s="84" t="str">
        <f aca="false">IF(E169="","",A169&amp;"_schema.jpg")</f>
        <v/>
      </c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 t="s">
        <v>96</v>
      </c>
      <c r="W169" s="81"/>
      <c r="X169" s="81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6" t="str">
        <f aca="false">IF(SUM(Y169:AJ169)=0,"",SUM(Y169:AJ169))</f>
        <v/>
      </c>
      <c r="AL169" s="84" t="str">
        <f aca="false">MID(IF(N(Y169)&gt;0,", "&amp;Y$2,"")&amp;IF(N(Z169)&gt;0,", "&amp;Z$2,"")&amp;IF(N(AA169)&gt;0,", "&amp;AA$2,"")&amp;IF(N(AB169)&gt;0,", "&amp;AB$2,"")&amp;IF(N(AC169)&gt;0,", "&amp;AC$2,"")&amp;IF(N(AD169)&gt;0,", "&amp;AD$2,"")&amp;IF(N(AE169)&gt;0,", "&amp;AE$2,"")&amp;IF(N(AF169)&gt;0,", "&amp;AF$2,"")&amp;IF(N(AG169)&gt;0,", "&amp;AG$2,"")&amp;IF(N(AH169)&gt;0,", "&amp;AH$2,"")&amp;IF(N(AI169)&gt;0,", "&amp;AI$2,"")&amp;IF(N(AJ169)&gt;0,", "&amp;AJ$2,""),3,999)</f>
        <v/>
      </c>
      <c r="AM169" s="87" t="str">
        <f aca="false">IF(E169="","",MID(IF(N(Y169)&gt;0,", "&amp;A169&amp;"-"&amp;Y$2,"")&amp;IF(N(Z169)&gt;0,", "&amp;A169&amp;"-"&amp;Z$2,"")&amp;IF(N(AA169)&gt;0,", "&amp;A169&amp;"-"&amp;AA$2,"")&amp;IF(N(AB169)&gt;0,", "&amp;A169&amp;"-"&amp;AB$2,"")&amp;IF(N(AC169)&gt;0,", "&amp;A169&amp;"-"&amp;AC$2,"")&amp;IF(N(AD169)&gt;0,", "&amp;A169&amp;"-"&amp;AD$2,"")&amp;IF(N(AE169)&gt;0,", "&amp;A169&amp;"-"&amp;AE$2,"")&amp;IF(N(AF169)&gt;0,", "&amp;A169&amp;"-"&amp;AF$2,"")&amp;IF(N(AG169)&gt;0,", "&amp;A169&amp;"-"&amp;AG$2,"")&amp;IF(N(AH169)&gt;0,", "&amp;A169&amp;"-"&amp;AH$2,"")&amp;IF(N(AI169)&gt;0,", "&amp;A169&amp;"-"&amp;AI$2,"")&amp;IF(N(AJ169)&gt;0,", "&amp;A169&amp;"-"&amp;AJ$2,""),3,999))</f>
        <v/>
      </c>
      <c r="AN169" s="81"/>
      <c r="AO169" s="88"/>
      <c r="AP169" s="89" t="str">
        <f aca="false">IF(AO169="","",ROUND(AO169/(1+Справочники!$B$13),2))</f>
        <v/>
      </c>
      <c r="AQ169" s="90" t="str">
        <f aca="false" t="array" ref="AQ169:AQ169">IF(AP169="","",AP169*INDEX(Справочники!$B$4:$B$7,MATCH("RUB",Справочники!$A$4:$A$7,0)))</f>
        <v/>
      </c>
      <c r="AR169" s="90" t="str">
        <f aca="false">IF(AQ169="","",ROUND(AQ169*(1+Справочники!$B$12),0))</f>
        <v/>
      </c>
      <c r="AS169" s="90" t="str">
        <f aca="false">IF(AR169="","",ROUND(AR169*(1-Справочники!$B$11),0))</f>
        <v/>
      </c>
      <c r="AT169" s="88"/>
      <c r="AU169" s="90" t="str">
        <f aca="false">IF(AT169="","",ROUND(AT169/(1+Справочники!$B$12),0))</f>
        <v/>
      </c>
      <c r="AV169" s="90" t="str">
        <f aca="false">IF(AT169="","",ROUND(AT169*(1-Справочники!$B$15),0))</f>
        <v/>
      </c>
      <c r="AW169" s="90" t="str">
        <f aca="false">IF(AT169="","",ROUND(AT169*(1-Справочники!$B$16),0))</f>
        <v/>
      </c>
      <c r="AX169" s="90" t="str">
        <f aca="false">IF(AT169="","",ROUND(AT169*(1-Справочники!$B$17),0))</f>
        <v/>
      </c>
      <c r="AY169" s="90" t="str">
        <f aca="false">IF(AT169="","",ROUND(AT169*(1-Справочники!$B$18),0))</f>
        <v/>
      </c>
      <c r="AZ169" s="90" t="str">
        <f aca="false">IF(AT169="","",ROUND(AT169*(1-Справочники!$B$19),0))</f>
        <v/>
      </c>
      <c r="BA169" s="81"/>
      <c r="BB169" s="81"/>
      <c r="BC169" s="81"/>
      <c r="BD169" s="81"/>
      <c r="BE169" s="91"/>
      <c r="BF169" s="81" t="s">
        <v>103</v>
      </c>
      <c r="BG169" s="89" t="n">
        <f aca="false" t="array" ref="BG169:BG169">IF(BF169="","",IFERROR(INDEX(Справочники!$B$4:$B$7,MATCH(BF169,Справочники!$A$4:$A$7,0)),""))</f>
        <v>68.5</v>
      </c>
      <c r="BH169" s="90" t="str">
        <f aca="false">IF(N(BN169)&gt;0,ROUND(SUMIF(ЗАКАЗЫ!$F$3:$F$500,$A169,ЗАКАЗЫ!$Y$3:$Y$500)/BN169,0),IF(OR(BE169="",BG169=""),"",ROUND(BE169*BG169*(1+Справочники!$B$10),0)))</f>
        <v/>
      </c>
      <c r="BI169" s="92" t="str">
        <f aca="false">IF(OR(AU169="",BH169="",AU169=0),"",(AU169-BH169)/AU169)</f>
        <v/>
      </c>
      <c r="BJ169" s="81"/>
      <c r="BK169" s="83"/>
      <c r="BL169" s="43" t="str">
        <f aca="false">IFERROR(INDEX(ЗАКАЗЫ!$N$3:$N$500,MATCH($A169,ЗАКАЗЫ!$F$3:$F$500,0)),"")</f>
        <v/>
      </c>
      <c r="BM169" s="8" t="str">
        <f aca="false">IF(BL169="","",IFERROR(VLOOKUP(BL169,'ТН ВЭД'!$A$4:$C$40,3,0),""))</f>
        <v/>
      </c>
      <c r="BN169" s="7" t="str">
        <f aca="false">IF(COUNTIF(ЗАКАЗЫ!$F$3:$F$500,$A169)=0,"",SUMIF(ЗАКАЗЫ!$F$3:$F$500,$A169,ЗАКАЗЫ!$J$3:$J$500))</f>
        <v/>
      </c>
      <c r="BO169" s="7" t="str">
        <f aca="false">IF(BN169="","",SUMIF(ЗАКАЗЫ!$F$3:$F$500,$A169,ЗАКАЗЫ!$AL$3:$AL$500))</f>
        <v/>
      </c>
      <c r="BP169" s="7" t="str">
        <f aca="false">IF(BN169="","",BN169-BO169)</f>
        <v/>
      </c>
      <c r="BQ169" s="55" t="str">
        <f aca="false">IF(BN169="","",IF(BO169&gt;=BN169,"На складе",IF(BO169&gt;0,"Частично","Ждём")))</f>
        <v/>
      </c>
      <c r="BR169" s="43"/>
      <c r="BS169" s="47" t="str">
        <f aca="false">IF(BN169="","",IF(_xlfn.MAXIFS(ЗАКАЗЫ!$AK$3:$AK$500,ЗАКАЗЫ!$F$3:$F$500,$A169)=0,"",_xlfn.MAXIFS(ЗАКАЗЫ!$AK$3:$AK$500,ЗАКАЗЫ!$F$3:$F$500,$A169)))</f>
        <v/>
      </c>
    </row>
    <row r="170" customFormat="false" ht="15.75" hidden="false" customHeight="true" outlineLevel="0" collapsed="false">
      <c r="A170" s="80" t="s">
        <v>3081</v>
      </c>
      <c r="B170" s="81"/>
      <c r="C170" s="81"/>
      <c r="D170" s="81"/>
      <c r="E170" s="83"/>
      <c r="F170" s="81"/>
      <c r="G170" s="83"/>
      <c r="H170" s="83"/>
      <c r="I170" s="84" t="str">
        <f aca="false">IF(E170="","",A170&amp;"_1.jpg")</f>
        <v/>
      </c>
      <c r="J170" s="84" t="str">
        <f aca="false">IF(E170="","",A170&amp;"_2.jpg; "&amp;A170&amp;"_3.jpg")</f>
        <v/>
      </c>
      <c r="K170" s="84" t="str">
        <f aca="false">IF(E170="","",A170&amp;"_schema.jpg")</f>
        <v/>
      </c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 t="s">
        <v>96</v>
      </c>
      <c r="W170" s="81"/>
      <c r="X170" s="81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6" t="str">
        <f aca="false">IF(SUM(Y170:AJ170)=0,"",SUM(Y170:AJ170))</f>
        <v/>
      </c>
      <c r="AL170" s="84" t="str">
        <f aca="false">MID(IF(N(Y170)&gt;0,", "&amp;Y$2,"")&amp;IF(N(Z170)&gt;0,", "&amp;Z$2,"")&amp;IF(N(AA170)&gt;0,", "&amp;AA$2,"")&amp;IF(N(AB170)&gt;0,", "&amp;AB$2,"")&amp;IF(N(AC170)&gt;0,", "&amp;AC$2,"")&amp;IF(N(AD170)&gt;0,", "&amp;AD$2,"")&amp;IF(N(AE170)&gt;0,", "&amp;AE$2,"")&amp;IF(N(AF170)&gt;0,", "&amp;AF$2,"")&amp;IF(N(AG170)&gt;0,", "&amp;AG$2,"")&amp;IF(N(AH170)&gt;0,", "&amp;AH$2,"")&amp;IF(N(AI170)&gt;0,", "&amp;AI$2,"")&amp;IF(N(AJ170)&gt;0,", "&amp;AJ$2,""),3,999)</f>
        <v/>
      </c>
      <c r="AM170" s="87" t="str">
        <f aca="false">IF(E170="","",MID(IF(N(Y170)&gt;0,", "&amp;A170&amp;"-"&amp;Y$2,"")&amp;IF(N(Z170)&gt;0,", "&amp;A170&amp;"-"&amp;Z$2,"")&amp;IF(N(AA170)&gt;0,", "&amp;A170&amp;"-"&amp;AA$2,"")&amp;IF(N(AB170)&gt;0,", "&amp;A170&amp;"-"&amp;AB$2,"")&amp;IF(N(AC170)&gt;0,", "&amp;A170&amp;"-"&amp;AC$2,"")&amp;IF(N(AD170)&gt;0,", "&amp;A170&amp;"-"&amp;AD$2,"")&amp;IF(N(AE170)&gt;0,", "&amp;A170&amp;"-"&amp;AE$2,"")&amp;IF(N(AF170)&gt;0,", "&amp;A170&amp;"-"&amp;AF$2,"")&amp;IF(N(AG170)&gt;0,", "&amp;A170&amp;"-"&amp;AG$2,"")&amp;IF(N(AH170)&gt;0,", "&amp;A170&amp;"-"&amp;AH$2,"")&amp;IF(N(AI170)&gt;0,", "&amp;A170&amp;"-"&amp;AI$2,"")&amp;IF(N(AJ170)&gt;0,", "&amp;A170&amp;"-"&amp;AJ$2,""),3,999))</f>
        <v/>
      </c>
      <c r="AN170" s="81"/>
      <c r="AO170" s="88"/>
      <c r="AP170" s="89" t="str">
        <f aca="false">IF(AO170="","",ROUND(AO170/(1+Справочники!$B$13),2))</f>
        <v/>
      </c>
      <c r="AQ170" s="90" t="str">
        <f aca="false" t="array" ref="AQ170:AQ170">IF(AP170="","",AP170*INDEX(Справочники!$B$4:$B$7,MATCH("RUB",Справочники!$A$4:$A$7,0)))</f>
        <v/>
      </c>
      <c r="AR170" s="90" t="str">
        <f aca="false">IF(AQ170="","",ROUND(AQ170*(1+Справочники!$B$12),0))</f>
        <v/>
      </c>
      <c r="AS170" s="90" t="str">
        <f aca="false">IF(AR170="","",ROUND(AR170*(1-Справочники!$B$11),0))</f>
        <v/>
      </c>
      <c r="AT170" s="88"/>
      <c r="AU170" s="90" t="str">
        <f aca="false">IF(AT170="","",ROUND(AT170/(1+Справочники!$B$12),0))</f>
        <v/>
      </c>
      <c r="AV170" s="90" t="str">
        <f aca="false">IF(AT170="","",ROUND(AT170*(1-Справочники!$B$15),0))</f>
        <v/>
      </c>
      <c r="AW170" s="90" t="str">
        <f aca="false">IF(AT170="","",ROUND(AT170*(1-Справочники!$B$16),0))</f>
        <v/>
      </c>
      <c r="AX170" s="90" t="str">
        <f aca="false">IF(AT170="","",ROUND(AT170*(1-Справочники!$B$17),0))</f>
        <v/>
      </c>
      <c r="AY170" s="90" t="str">
        <f aca="false">IF(AT170="","",ROUND(AT170*(1-Справочники!$B$18),0))</f>
        <v/>
      </c>
      <c r="AZ170" s="90" t="str">
        <f aca="false">IF(AT170="","",ROUND(AT170*(1-Справочники!$B$19),0))</f>
        <v/>
      </c>
      <c r="BA170" s="81"/>
      <c r="BB170" s="81"/>
      <c r="BC170" s="81"/>
      <c r="BD170" s="81"/>
      <c r="BE170" s="91"/>
      <c r="BF170" s="81" t="s">
        <v>103</v>
      </c>
      <c r="BG170" s="89" t="n">
        <f aca="false" t="array" ref="BG170:BG170">IF(BF170="","",IFERROR(INDEX(Справочники!$B$4:$B$7,MATCH(BF170,Справочники!$A$4:$A$7,0)),""))</f>
        <v>68.5</v>
      </c>
      <c r="BH170" s="90" t="str">
        <f aca="false">IF(N(BN170)&gt;0,ROUND(SUMIF(ЗАКАЗЫ!$F$3:$F$500,$A170,ЗАКАЗЫ!$Y$3:$Y$500)/BN170,0),IF(OR(BE170="",BG170=""),"",ROUND(BE170*BG170*(1+Справочники!$B$10),0)))</f>
        <v/>
      </c>
      <c r="BI170" s="92" t="str">
        <f aca="false">IF(OR(AU170="",BH170="",AU170=0),"",(AU170-BH170)/AU170)</f>
        <v/>
      </c>
      <c r="BJ170" s="81"/>
      <c r="BK170" s="83"/>
      <c r="BL170" s="43" t="str">
        <f aca="false">IFERROR(INDEX(ЗАКАЗЫ!$N$3:$N$500,MATCH($A170,ЗАКАЗЫ!$F$3:$F$500,0)),"")</f>
        <v/>
      </c>
      <c r="BM170" s="8" t="str">
        <f aca="false">IF(BL170="","",IFERROR(VLOOKUP(BL170,'ТН ВЭД'!$A$4:$C$40,3,0),""))</f>
        <v/>
      </c>
      <c r="BN170" s="7" t="str">
        <f aca="false">IF(COUNTIF(ЗАКАЗЫ!$F$3:$F$500,$A170)=0,"",SUMIF(ЗАКАЗЫ!$F$3:$F$500,$A170,ЗАКАЗЫ!$J$3:$J$500))</f>
        <v/>
      </c>
      <c r="BO170" s="7" t="str">
        <f aca="false">IF(BN170="","",SUMIF(ЗАКАЗЫ!$F$3:$F$500,$A170,ЗАКАЗЫ!$AL$3:$AL$500))</f>
        <v/>
      </c>
      <c r="BP170" s="7" t="str">
        <f aca="false">IF(BN170="","",BN170-BO170)</f>
        <v/>
      </c>
      <c r="BQ170" s="55" t="str">
        <f aca="false">IF(BN170="","",IF(BO170&gt;=BN170,"На складе",IF(BO170&gt;0,"Частично","Ждём")))</f>
        <v/>
      </c>
      <c r="BR170" s="43"/>
      <c r="BS170" s="47" t="str">
        <f aca="false">IF(BN170="","",IF(_xlfn.MAXIFS(ЗАКАЗЫ!$AK$3:$AK$500,ЗАКАЗЫ!$F$3:$F$500,$A170)=0,"",_xlfn.MAXIFS(ЗАКАЗЫ!$AK$3:$AK$500,ЗАКАЗЫ!$F$3:$F$500,$A170)))</f>
        <v/>
      </c>
    </row>
    <row r="171" customFormat="false" ht="15.75" hidden="false" customHeight="true" outlineLevel="0" collapsed="false">
      <c r="A171" s="80" t="s">
        <v>3082</v>
      </c>
      <c r="B171" s="81"/>
      <c r="C171" s="81"/>
      <c r="D171" s="81"/>
      <c r="E171" s="83"/>
      <c r="F171" s="81"/>
      <c r="G171" s="83"/>
      <c r="H171" s="83"/>
      <c r="I171" s="84" t="str">
        <f aca="false">IF(E171="","",A171&amp;"_1.jpg")</f>
        <v/>
      </c>
      <c r="J171" s="84" t="str">
        <f aca="false">IF(E171="","",A171&amp;"_2.jpg; "&amp;A171&amp;"_3.jpg")</f>
        <v/>
      </c>
      <c r="K171" s="84" t="str">
        <f aca="false">IF(E171="","",A171&amp;"_schema.jpg")</f>
        <v/>
      </c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 t="s">
        <v>96</v>
      </c>
      <c r="W171" s="81"/>
      <c r="X171" s="81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6" t="str">
        <f aca="false">IF(SUM(Y171:AJ171)=0,"",SUM(Y171:AJ171))</f>
        <v/>
      </c>
      <c r="AL171" s="84" t="str">
        <f aca="false">MID(IF(N(Y171)&gt;0,", "&amp;Y$2,"")&amp;IF(N(Z171)&gt;0,", "&amp;Z$2,"")&amp;IF(N(AA171)&gt;0,", "&amp;AA$2,"")&amp;IF(N(AB171)&gt;0,", "&amp;AB$2,"")&amp;IF(N(AC171)&gt;0,", "&amp;AC$2,"")&amp;IF(N(AD171)&gt;0,", "&amp;AD$2,"")&amp;IF(N(AE171)&gt;0,", "&amp;AE$2,"")&amp;IF(N(AF171)&gt;0,", "&amp;AF$2,"")&amp;IF(N(AG171)&gt;0,", "&amp;AG$2,"")&amp;IF(N(AH171)&gt;0,", "&amp;AH$2,"")&amp;IF(N(AI171)&gt;0,", "&amp;AI$2,"")&amp;IF(N(AJ171)&gt;0,", "&amp;AJ$2,""),3,999)</f>
        <v/>
      </c>
      <c r="AM171" s="87" t="str">
        <f aca="false">IF(E171="","",MID(IF(N(Y171)&gt;0,", "&amp;A171&amp;"-"&amp;Y$2,"")&amp;IF(N(Z171)&gt;0,", "&amp;A171&amp;"-"&amp;Z$2,"")&amp;IF(N(AA171)&gt;0,", "&amp;A171&amp;"-"&amp;AA$2,"")&amp;IF(N(AB171)&gt;0,", "&amp;A171&amp;"-"&amp;AB$2,"")&amp;IF(N(AC171)&gt;0,", "&amp;A171&amp;"-"&amp;AC$2,"")&amp;IF(N(AD171)&gt;0,", "&amp;A171&amp;"-"&amp;AD$2,"")&amp;IF(N(AE171)&gt;0,", "&amp;A171&amp;"-"&amp;AE$2,"")&amp;IF(N(AF171)&gt;0,", "&amp;A171&amp;"-"&amp;AF$2,"")&amp;IF(N(AG171)&gt;0,", "&amp;A171&amp;"-"&amp;AG$2,"")&amp;IF(N(AH171)&gt;0,", "&amp;A171&amp;"-"&amp;AH$2,"")&amp;IF(N(AI171)&gt;0,", "&amp;A171&amp;"-"&amp;AI$2,"")&amp;IF(N(AJ171)&gt;0,", "&amp;A171&amp;"-"&amp;AJ$2,""),3,999))</f>
        <v/>
      </c>
      <c r="AN171" s="81"/>
      <c r="AO171" s="88"/>
      <c r="AP171" s="89" t="str">
        <f aca="false">IF(AO171="","",ROUND(AO171/(1+Справочники!$B$13),2))</f>
        <v/>
      </c>
      <c r="AQ171" s="90" t="str">
        <f aca="false" t="array" ref="AQ171:AQ171">IF(AP171="","",AP171*INDEX(Справочники!$B$4:$B$7,MATCH("RUB",Справочники!$A$4:$A$7,0)))</f>
        <v/>
      </c>
      <c r="AR171" s="90" t="str">
        <f aca="false">IF(AQ171="","",ROUND(AQ171*(1+Справочники!$B$12),0))</f>
        <v/>
      </c>
      <c r="AS171" s="90" t="str">
        <f aca="false">IF(AR171="","",ROUND(AR171*(1-Справочники!$B$11),0))</f>
        <v/>
      </c>
      <c r="AT171" s="88"/>
      <c r="AU171" s="90" t="str">
        <f aca="false">IF(AT171="","",ROUND(AT171/(1+Справочники!$B$12),0))</f>
        <v/>
      </c>
      <c r="AV171" s="90" t="str">
        <f aca="false">IF(AT171="","",ROUND(AT171*(1-Справочники!$B$15),0))</f>
        <v/>
      </c>
      <c r="AW171" s="90" t="str">
        <f aca="false">IF(AT171="","",ROUND(AT171*(1-Справочники!$B$16),0))</f>
        <v/>
      </c>
      <c r="AX171" s="90" t="str">
        <f aca="false">IF(AT171="","",ROUND(AT171*(1-Справочники!$B$17),0))</f>
        <v/>
      </c>
      <c r="AY171" s="90" t="str">
        <f aca="false">IF(AT171="","",ROUND(AT171*(1-Справочники!$B$18),0))</f>
        <v/>
      </c>
      <c r="AZ171" s="90" t="str">
        <f aca="false">IF(AT171="","",ROUND(AT171*(1-Справочники!$B$19),0))</f>
        <v/>
      </c>
      <c r="BA171" s="81"/>
      <c r="BB171" s="81"/>
      <c r="BC171" s="81"/>
      <c r="BD171" s="81"/>
      <c r="BE171" s="91"/>
      <c r="BF171" s="81" t="s">
        <v>103</v>
      </c>
      <c r="BG171" s="89" t="n">
        <f aca="false" t="array" ref="BG171:BG171">IF(BF171="","",IFERROR(INDEX(Справочники!$B$4:$B$7,MATCH(BF171,Справочники!$A$4:$A$7,0)),""))</f>
        <v>68.5</v>
      </c>
      <c r="BH171" s="90" t="str">
        <f aca="false">IF(N(BN171)&gt;0,ROUND(SUMIF(ЗАКАЗЫ!$F$3:$F$500,$A171,ЗАКАЗЫ!$Y$3:$Y$500)/BN171,0),IF(OR(BE171="",BG171=""),"",ROUND(BE171*BG171*(1+Справочники!$B$10),0)))</f>
        <v/>
      </c>
      <c r="BI171" s="92" t="str">
        <f aca="false">IF(OR(AU171="",BH171="",AU171=0),"",(AU171-BH171)/AU171)</f>
        <v/>
      </c>
      <c r="BJ171" s="81"/>
      <c r="BK171" s="83"/>
      <c r="BL171" s="43" t="str">
        <f aca="false">IFERROR(INDEX(ЗАКАЗЫ!$N$3:$N$500,MATCH($A171,ЗАКАЗЫ!$F$3:$F$500,0)),"")</f>
        <v/>
      </c>
      <c r="BM171" s="8" t="str">
        <f aca="false">IF(BL171="","",IFERROR(VLOOKUP(BL171,'ТН ВЭД'!$A$4:$C$40,3,0),""))</f>
        <v/>
      </c>
      <c r="BN171" s="7" t="str">
        <f aca="false">IF(COUNTIF(ЗАКАЗЫ!$F$3:$F$500,$A171)=0,"",SUMIF(ЗАКАЗЫ!$F$3:$F$500,$A171,ЗАКАЗЫ!$J$3:$J$500))</f>
        <v/>
      </c>
      <c r="BO171" s="7" t="str">
        <f aca="false">IF(BN171="","",SUMIF(ЗАКАЗЫ!$F$3:$F$500,$A171,ЗАКАЗЫ!$AL$3:$AL$500))</f>
        <v/>
      </c>
      <c r="BP171" s="7" t="str">
        <f aca="false">IF(BN171="","",BN171-BO171)</f>
        <v/>
      </c>
      <c r="BQ171" s="55" t="str">
        <f aca="false">IF(BN171="","",IF(BO171&gt;=BN171,"На складе",IF(BO171&gt;0,"Частично","Ждём")))</f>
        <v/>
      </c>
      <c r="BR171" s="43"/>
      <c r="BS171" s="47" t="str">
        <f aca="false">IF(BN171="","",IF(_xlfn.MAXIFS(ЗАКАЗЫ!$AK$3:$AK$500,ЗАКАЗЫ!$F$3:$F$500,$A171)=0,"",_xlfn.MAXIFS(ЗАКАЗЫ!$AK$3:$AK$500,ЗАКАЗЫ!$F$3:$F$500,$A171)))</f>
        <v/>
      </c>
    </row>
    <row r="172" customFormat="false" ht="15.75" hidden="false" customHeight="true" outlineLevel="0" collapsed="false">
      <c r="A172" s="80" t="s">
        <v>3083</v>
      </c>
      <c r="B172" s="81"/>
      <c r="C172" s="81"/>
      <c r="D172" s="81"/>
      <c r="E172" s="83"/>
      <c r="F172" s="81"/>
      <c r="G172" s="83"/>
      <c r="H172" s="83"/>
      <c r="I172" s="84" t="str">
        <f aca="false">IF(E172="","",A172&amp;"_1.jpg")</f>
        <v/>
      </c>
      <c r="J172" s="84" t="str">
        <f aca="false">IF(E172="","",A172&amp;"_2.jpg; "&amp;A172&amp;"_3.jpg")</f>
        <v/>
      </c>
      <c r="K172" s="84" t="str">
        <f aca="false">IF(E172="","",A172&amp;"_schema.jpg")</f>
        <v/>
      </c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 t="s">
        <v>96</v>
      </c>
      <c r="W172" s="81"/>
      <c r="X172" s="81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6" t="str">
        <f aca="false">IF(SUM(Y172:AJ172)=0,"",SUM(Y172:AJ172))</f>
        <v/>
      </c>
      <c r="AL172" s="84" t="str">
        <f aca="false">MID(IF(N(Y172)&gt;0,", "&amp;Y$2,"")&amp;IF(N(Z172)&gt;0,", "&amp;Z$2,"")&amp;IF(N(AA172)&gt;0,", "&amp;AA$2,"")&amp;IF(N(AB172)&gt;0,", "&amp;AB$2,"")&amp;IF(N(AC172)&gt;0,", "&amp;AC$2,"")&amp;IF(N(AD172)&gt;0,", "&amp;AD$2,"")&amp;IF(N(AE172)&gt;0,", "&amp;AE$2,"")&amp;IF(N(AF172)&gt;0,", "&amp;AF$2,"")&amp;IF(N(AG172)&gt;0,", "&amp;AG$2,"")&amp;IF(N(AH172)&gt;0,", "&amp;AH$2,"")&amp;IF(N(AI172)&gt;0,", "&amp;AI$2,"")&amp;IF(N(AJ172)&gt;0,", "&amp;AJ$2,""),3,999)</f>
        <v/>
      </c>
      <c r="AM172" s="87" t="str">
        <f aca="false">IF(E172="","",MID(IF(N(Y172)&gt;0,", "&amp;A172&amp;"-"&amp;Y$2,"")&amp;IF(N(Z172)&gt;0,", "&amp;A172&amp;"-"&amp;Z$2,"")&amp;IF(N(AA172)&gt;0,", "&amp;A172&amp;"-"&amp;AA$2,"")&amp;IF(N(AB172)&gt;0,", "&amp;A172&amp;"-"&amp;AB$2,"")&amp;IF(N(AC172)&gt;0,", "&amp;A172&amp;"-"&amp;AC$2,"")&amp;IF(N(AD172)&gt;0,", "&amp;A172&amp;"-"&amp;AD$2,"")&amp;IF(N(AE172)&gt;0,", "&amp;A172&amp;"-"&amp;AE$2,"")&amp;IF(N(AF172)&gt;0,", "&amp;A172&amp;"-"&amp;AF$2,"")&amp;IF(N(AG172)&gt;0,", "&amp;A172&amp;"-"&amp;AG$2,"")&amp;IF(N(AH172)&gt;0,", "&amp;A172&amp;"-"&amp;AH$2,"")&amp;IF(N(AI172)&gt;0,", "&amp;A172&amp;"-"&amp;AI$2,"")&amp;IF(N(AJ172)&gt;0,", "&amp;A172&amp;"-"&amp;AJ$2,""),3,999))</f>
        <v/>
      </c>
      <c r="AN172" s="81"/>
      <c r="AO172" s="88"/>
      <c r="AP172" s="89" t="str">
        <f aca="false">IF(AO172="","",ROUND(AO172/(1+Справочники!$B$13),2))</f>
        <v/>
      </c>
      <c r="AQ172" s="90" t="str">
        <f aca="false" t="array" ref="AQ172:AQ172">IF(AP172="","",AP172*INDEX(Справочники!$B$4:$B$7,MATCH("RUB",Справочники!$A$4:$A$7,0)))</f>
        <v/>
      </c>
      <c r="AR172" s="90" t="str">
        <f aca="false">IF(AQ172="","",ROUND(AQ172*(1+Справочники!$B$12),0))</f>
        <v/>
      </c>
      <c r="AS172" s="90" t="str">
        <f aca="false">IF(AR172="","",ROUND(AR172*(1-Справочники!$B$11),0))</f>
        <v/>
      </c>
      <c r="AT172" s="88"/>
      <c r="AU172" s="90" t="str">
        <f aca="false">IF(AT172="","",ROUND(AT172/(1+Справочники!$B$12),0))</f>
        <v/>
      </c>
      <c r="AV172" s="90" t="str">
        <f aca="false">IF(AT172="","",ROUND(AT172*(1-Справочники!$B$15),0))</f>
        <v/>
      </c>
      <c r="AW172" s="90" t="str">
        <f aca="false">IF(AT172="","",ROUND(AT172*(1-Справочники!$B$16),0))</f>
        <v/>
      </c>
      <c r="AX172" s="90" t="str">
        <f aca="false">IF(AT172="","",ROUND(AT172*(1-Справочники!$B$17),0))</f>
        <v/>
      </c>
      <c r="AY172" s="90" t="str">
        <f aca="false">IF(AT172="","",ROUND(AT172*(1-Справочники!$B$18),0))</f>
        <v/>
      </c>
      <c r="AZ172" s="90" t="str">
        <f aca="false">IF(AT172="","",ROUND(AT172*(1-Справочники!$B$19),0))</f>
        <v/>
      </c>
      <c r="BA172" s="81"/>
      <c r="BB172" s="81"/>
      <c r="BC172" s="81"/>
      <c r="BD172" s="81"/>
      <c r="BE172" s="91"/>
      <c r="BF172" s="81" t="s">
        <v>103</v>
      </c>
      <c r="BG172" s="89" t="n">
        <f aca="false" t="array" ref="BG172:BG172">IF(BF172="","",IFERROR(INDEX(Справочники!$B$4:$B$7,MATCH(BF172,Справочники!$A$4:$A$7,0)),""))</f>
        <v>68.5</v>
      </c>
      <c r="BH172" s="90" t="str">
        <f aca="false">IF(N(BN172)&gt;0,ROUND(SUMIF(ЗАКАЗЫ!$F$3:$F$500,$A172,ЗАКАЗЫ!$Y$3:$Y$500)/BN172,0),IF(OR(BE172="",BG172=""),"",ROUND(BE172*BG172*(1+Справочники!$B$10),0)))</f>
        <v/>
      </c>
      <c r="BI172" s="92" t="str">
        <f aca="false">IF(OR(AU172="",BH172="",AU172=0),"",(AU172-BH172)/AU172)</f>
        <v/>
      </c>
      <c r="BJ172" s="81"/>
      <c r="BK172" s="83"/>
      <c r="BL172" s="43" t="str">
        <f aca="false">IFERROR(INDEX(ЗАКАЗЫ!$N$3:$N$500,MATCH($A172,ЗАКАЗЫ!$F$3:$F$500,0)),"")</f>
        <v/>
      </c>
      <c r="BM172" s="8" t="str">
        <f aca="false">IF(BL172="","",IFERROR(VLOOKUP(BL172,'ТН ВЭД'!$A$4:$C$40,3,0),""))</f>
        <v/>
      </c>
      <c r="BN172" s="7" t="str">
        <f aca="false">IF(COUNTIF(ЗАКАЗЫ!$F$3:$F$500,$A172)=0,"",SUMIF(ЗАКАЗЫ!$F$3:$F$500,$A172,ЗАКАЗЫ!$J$3:$J$500))</f>
        <v/>
      </c>
      <c r="BO172" s="7" t="str">
        <f aca="false">IF(BN172="","",SUMIF(ЗАКАЗЫ!$F$3:$F$500,$A172,ЗАКАЗЫ!$AL$3:$AL$500))</f>
        <v/>
      </c>
      <c r="BP172" s="7" t="str">
        <f aca="false">IF(BN172="","",BN172-BO172)</f>
        <v/>
      </c>
      <c r="BQ172" s="55" t="str">
        <f aca="false">IF(BN172="","",IF(BO172&gt;=BN172,"На складе",IF(BO172&gt;0,"Частично","Ждём")))</f>
        <v/>
      </c>
      <c r="BR172" s="43"/>
      <c r="BS172" s="47" t="str">
        <f aca="false">IF(BN172="","",IF(_xlfn.MAXIFS(ЗАКАЗЫ!$AK$3:$AK$500,ЗАКАЗЫ!$F$3:$F$500,$A172)=0,"",_xlfn.MAXIFS(ЗАКАЗЫ!$AK$3:$AK$500,ЗАКАЗЫ!$F$3:$F$500,$A172)))</f>
        <v/>
      </c>
    </row>
    <row r="173" customFormat="false" ht="15.75" hidden="false" customHeight="true" outlineLevel="0" collapsed="false">
      <c r="A173" s="80" t="s">
        <v>3084</v>
      </c>
      <c r="B173" s="81"/>
      <c r="C173" s="81"/>
      <c r="D173" s="81"/>
      <c r="E173" s="83"/>
      <c r="F173" s="81"/>
      <c r="G173" s="83"/>
      <c r="H173" s="83"/>
      <c r="I173" s="84" t="str">
        <f aca="false">IF(E173="","",A173&amp;"_1.jpg")</f>
        <v/>
      </c>
      <c r="J173" s="84" t="str">
        <f aca="false">IF(E173="","",A173&amp;"_2.jpg; "&amp;A173&amp;"_3.jpg")</f>
        <v/>
      </c>
      <c r="K173" s="84" t="str">
        <f aca="false">IF(E173="","",A173&amp;"_schema.jpg")</f>
        <v/>
      </c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 t="s">
        <v>96</v>
      </c>
      <c r="W173" s="81"/>
      <c r="X173" s="81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6" t="str">
        <f aca="false">IF(SUM(Y173:AJ173)=0,"",SUM(Y173:AJ173))</f>
        <v/>
      </c>
      <c r="AL173" s="84" t="str">
        <f aca="false">MID(IF(N(Y173)&gt;0,", "&amp;Y$2,"")&amp;IF(N(Z173)&gt;0,", "&amp;Z$2,"")&amp;IF(N(AA173)&gt;0,", "&amp;AA$2,"")&amp;IF(N(AB173)&gt;0,", "&amp;AB$2,"")&amp;IF(N(AC173)&gt;0,", "&amp;AC$2,"")&amp;IF(N(AD173)&gt;0,", "&amp;AD$2,"")&amp;IF(N(AE173)&gt;0,", "&amp;AE$2,"")&amp;IF(N(AF173)&gt;0,", "&amp;AF$2,"")&amp;IF(N(AG173)&gt;0,", "&amp;AG$2,"")&amp;IF(N(AH173)&gt;0,", "&amp;AH$2,"")&amp;IF(N(AI173)&gt;0,", "&amp;AI$2,"")&amp;IF(N(AJ173)&gt;0,", "&amp;AJ$2,""),3,999)</f>
        <v/>
      </c>
      <c r="AM173" s="87" t="str">
        <f aca="false">IF(E173="","",MID(IF(N(Y173)&gt;0,", "&amp;A173&amp;"-"&amp;Y$2,"")&amp;IF(N(Z173)&gt;0,", "&amp;A173&amp;"-"&amp;Z$2,"")&amp;IF(N(AA173)&gt;0,", "&amp;A173&amp;"-"&amp;AA$2,"")&amp;IF(N(AB173)&gt;0,", "&amp;A173&amp;"-"&amp;AB$2,"")&amp;IF(N(AC173)&gt;0,", "&amp;A173&amp;"-"&amp;AC$2,"")&amp;IF(N(AD173)&gt;0,", "&amp;A173&amp;"-"&amp;AD$2,"")&amp;IF(N(AE173)&gt;0,", "&amp;A173&amp;"-"&amp;AE$2,"")&amp;IF(N(AF173)&gt;0,", "&amp;A173&amp;"-"&amp;AF$2,"")&amp;IF(N(AG173)&gt;0,", "&amp;A173&amp;"-"&amp;AG$2,"")&amp;IF(N(AH173)&gt;0,", "&amp;A173&amp;"-"&amp;AH$2,"")&amp;IF(N(AI173)&gt;0,", "&amp;A173&amp;"-"&amp;AI$2,"")&amp;IF(N(AJ173)&gt;0,", "&amp;A173&amp;"-"&amp;AJ$2,""),3,999))</f>
        <v/>
      </c>
      <c r="AN173" s="81"/>
      <c r="AO173" s="88"/>
      <c r="AP173" s="89" t="str">
        <f aca="false">IF(AO173="","",ROUND(AO173/(1+Справочники!$B$13),2))</f>
        <v/>
      </c>
      <c r="AQ173" s="90" t="str">
        <f aca="false" t="array" ref="AQ173:AQ173">IF(AP173="","",AP173*INDEX(Справочники!$B$4:$B$7,MATCH("RUB",Справочники!$A$4:$A$7,0)))</f>
        <v/>
      </c>
      <c r="AR173" s="90" t="str">
        <f aca="false">IF(AQ173="","",ROUND(AQ173*(1+Справочники!$B$12),0))</f>
        <v/>
      </c>
      <c r="AS173" s="90" t="str">
        <f aca="false">IF(AR173="","",ROUND(AR173*(1-Справочники!$B$11),0))</f>
        <v/>
      </c>
      <c r="AT173" s="88"/>
      <c r="AU173" s="90" t="str">
        <f aca="false">IF(AT173="","",ROUND(AT173/(1+Справочники!$B$12),0))</f>
        <v/>
      </c>
      <c r="AV173" s="90" t="str">
        <f aca="false">IF(AT173="","",ROUND(AT173*(1-Справочники!$B$15),0))</f>
        <v/>
      </c>
      <c r="AW173" s="90" t="str">
        <f aca="false">IF(AT173="","",ROUND(AT173*(1-Справочники!$B$16),0))</f>
        <v/>
      </c>
      <c r="AX173" s="90" t="str">
        <f aca="false">IF(AT173="","",ROUND(AT173*(1-Справочники!$B$17),0))</f>
        <v/>
      </c>
      <c r="AY173" s="90" t="str">
        <f aca="false">IF(AT173="","",ROUND(AT173*(1-Справочники!$B$18),0))</f>
        <v/>
      </c>
      <c r="AZ173" s="90" t="str">
        <f aca="false">IF(AT173="","",ROUND(AT173*(1-Справочники!$B$19),0))</f>
        <v/>
      </c>
      <c r="BA173" s="81"/>
      <c r="BB173" s="81"/>
      <c r="BC173" s="81"/>
      <c r="BD173" s="81"/>
      <c r="BE173" s="91"/>
      <c r="BF173" s="81" t="s">
        <v>103</v>
      </c>
      <c r="BG173" s="89" t="n">
        <f aca="false" t="array" ref="BG173:BG173">IF(BF173="","",IFERROR(INDEX(Справочники!$B$4:$B$7,MATCH(BF173,Справочники!$A$4:$A$7,0)),""))</f>
        <v>68.5</v>
      </c>
      <c r="BH173" s="90" t="str">
        <f aca="false">IF(N(BN173)&gt;0,ROUND(SUMIF(ЗАКАЗЫ!$F$3:$F$500,$A173,ЗАКАЗЫ!$Y$3:$Y$500)/BN173,0),IF(OR(BE173="",BG173=""),"",ROUND(BE173*BG173*(1+Справочники!$B$10),0)))</f>
        <v/>
      </c>
      <c r="BI173" s="92" t="str">
        <f aca="false">IF(OR(AU173="",BH173="",AU173=0),"",(AU173-BH173)/AU173)</f>
        <v/>
      </c>
      <c r="BJ173" s="81"/>
      <c r="BK173" s="83"/>
      <c r="BL173" s="43" t="str">
        <f aca="false">IFERROR(INDEX(ЗАКАЗЫ!$N$3:$N$500,MATCH($A173,ЗАКАЗЫ!$F$3:$F$500,0)),"")</f>
        <v/>
      </c>
      <c r="BM173" s="8" t="str">
        <f aca="false">IF(BL173="","",IFERROR(VLOOKUP(BL173,'ТН ВЭД'!$A$4:$C$40,3,0),""))</f>
        <v/>
      </c>
      <c r="BN173" s="7" t="str">
        <f aca="false">IF(COUNTIF(ЗАКАЗЫ!$F$3:$F$500,$A173)=0,"",SUMIF(ЗАКАЗЫ!$F$3:$F$500,$A173,ЗАКАЗЫ!$J$3:$J$500))</f>
        <v/>
      </c>
      <c r="BO173" s="7" t="str">
        <f aca="false">IF(BN173="","",SUMIF(ЗАКАЗЫ!$F$3:$F$500,$A173,ЗАКАЗЫ!$AL$3:$AL$500))</f>
        <v/>
      </c>
      <c r="BP173" s="7" t="str">
        <f aca="false">IF(BN173="","",BN173-BO173)</f>
        <v/>
      </c>
      <c r="BQ173" s="55" t="str">
        <f aca="false">IF(BN173="","",IF(BO173&gt;=BN173,"На складе",IF(BO173&gt;0,"Частично","Ждём")))</f>
        <v/>
      </c>
      <c r="BR173" s="43"/>
      <c r="BS173" s="47" t="str">
        <f aca="false">IF(BN173="","",IF(_xlfn.MAXIFS(ЗАКАЗЫ!$AK$3:$AK$500,ЗАКАЗЫ!$F$3:$F$500,$A173)=0,"",_xlfn.MAXIFS(ЗАКАЗЫ!$AK$3:$AK$500,ЗАКАЗЫ!$F$3:$F$500,$A173)))</f>
        <v/>
      </c>
    </row>
    <row r="174" customFormat="false" ht="15.75" hidden="false" customHeight="true" outlineLevel="0" collapsed="false">
      <c r="A174" s="80" t="s">
        <v>3085</v>
      </c>
      <c r="B174" s="81"/>
      <c r="C174" s="81"/>
      <c r="D174" s="81"/>
      <c r="E174" s="83"/>
      <c r="F174" s="81"/>
      <c r="G174" s="83"/>
      <c r="H174" s="83"/>
      <c r="I174" s="84" t="str">
        <f aca="false">IF(E174="","",A174&amp;"_1.jpg")</f>
        <v/>
      </c>
      <c r="J174" s="84" t="str">
        <f aca="false">IF(E174="","",A174&amp;"_2.jpg; "&amp;A174&amp;"_3.jpg")</f>
        <v/>
      </c>
      <c r="K174" s="84" t="str">
        <f aca="false">IF(E174="","",A174&amp;"_schema.jpg")</f>
        <v/>
      </c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 t="s">
        <v>96</v>
      </c>
      <c r="W174" s="81"/>
      <c r="X174" s="81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6" t="str">
        <f aca="false">IF(SUM(Y174:AJ174)=0,"",SUM(Y174:AJ174))</f>
        <v/>
      </c>
      <c r="AL174" s="84" t="str">
        <f aca="false">MID(IF(N(Y174)&gt;0,", "&amp;Y$2,"")&amp;IF(N(Z174)&gt;0,", "&amp;Z$2,"")&amp;IF(N(AA174)&gt;0,", "&amp;AA$2,"")&amp;IF(N(AB174)&gt;0,", "&amp;AB$2,"")&amp;IF(N(AC174)&gt;0,", "&amp;AC$2,"")&amp;IF(N(AD174)&gt;0,", "&amp;AD$2,"")&amp;IF(N(AE174)&gt;0,", "&amp;AE$2,"")&amp;IF(N(AF174)&gt;0,", "&amp;AF$2,"")&amp;IF(N(AG174)&gt;0,", "&amp;AG$2,"")&amp;IF(N(AH174)&gt;0,", "&amp;AH$2,"")&amp;IF(N(AI174)&gt;0,", "&amp;AI$2,"")&amp;IF(N(AJ174)&gt;0,", "&amp;AJ$2,""),3,999)</f>
        <v/>
      </c>
      <c r="AM174" s="87" t="str">
        <f aca="false">IF(E174="","",MID(IF(N(Y174)&gt;0,", "&amp;A174&amp;"-"&amp;Y$2,"")&amp;IF(N(Z174)&gt;0,", "&amp;A174&amp;"-"&amp;Z$2,"")&amp;IF(N(AA174)&gt;0,", "&amp;A174&amp;"-"&amp;AA$2,"")&amp;IF(N(AB174)&gt;0,", "&amp;A174&amp;"-"&amp;AB$2,"")&amp;IF(N(AC174)&gt;0,", "&amp;A174&amp;"-"&amp;AC$2,"")&amp;IF(N(AD174)&gt;0,", "&amp;A174&amp;"-"&amp;AD$2,"")&amp;IF(N(AE174)&gt;0,", "&amp;A174&amp;"-"&amp;AE$2,"")&amp;IF(N(AF174)&gt;0,", "&amp;A174&amp;"-"&amp;AF$2,"")&amp;IF(N(AG174)&gt;0,", "&amp;A174&amp;"-"&amp;AG$2,"")&amp;IF(N(AH174)&gt;0,", "&amp;A174&amp;"-"&amp;AH$2,"")&amp;IF(N(AI174)&gt;0,", "&amp;A174&amp;"-"&amp;AI$2,"")&amp;IF(N(AJ174)&gt;0,", "&amp;A174&amp;"-"&amp;AJ$2,""),3,999))</f>
        <v/>
      </c>
      <c r="AN174" s="81"/>
      <c r="AO174" s="88"/>
      <c r="AP174" s="89" t="str">
        <f aca="false">IF(AO174="","",ROUND(AO174/(1+Справочники!$B$13),2))</f>
        <v/>
      </c>
      <c r="AQ174" s="90" t="str">
        <f aca="false" t="array" ref="AQ174:AQ174">IF(AP174="","",AP174*INDEX(Справочники!$B$4:$B$7,MATCH("RUB",Справочники!$A$4:$A$7,0)))</f>
        <v/>
      </c>
      <c r="AR174" s="90" t="str">
        <f aca="false">IF(AQ174="","",ROUND(AQ174*(1+Справочники!$B$12),0))</f>
        <v/>
      </c>
      <c r="AS174" s="90" t="str">
        <f aca="false">IF(AR174="","",ROUND(AR174*(1-Справочники!$B$11),0))</f>
        <v/>
      </c>
      <c r="AT174" s="88"/>
      <c r="AU174" s="90" t="str">
        <f aca="false">IF(AT174="","",ROUND(AT174/(1+Справочники!$B$12),0))</f>
        <v/>
      </c>
      <c r="AV174" s="90" t="str">
        <f aca="false">IF(AT174="","",ROUND(AT174*(1-Справочники!$B$15),0))</f>
        <v/>
      </c>
      <c r="AW174" s="90" t="str">
        <f aca="false">IF(AT174="","",ROUND(AT174*(1-Справочники!$B$16),0))</f>
        <v/>
      </c>
      <c r="AX174" s="90" t="str">
        <f aca="false">IF(AT174="","",ROUND(AT174*(1-Справочники!$B$17),0))</f>
        <v/>
      </c>
      <c r="AY174" s="90" t="str">
        <f aca="false">IF(AT174="","",ROUND(AT174*(1-Справочники!$B$18),0))</f>
        <v/>
      </c>
      <c r="AZ174" s="90" t="str">
        <f aca="false">IF(AT174="","",ROUND(AT174*(1-Справочники!$B$19),0))</f>
        <v/>
      </c>
      <c r="BA174" s="81"/>
      <c r="BB174" s="81"/>
      <c r="BC174" s="81"/>
      <c r="BD174" s="81"/>
      <c r="BE174" s="91"/>
      <c r="BF174" s="81" t="s">
        <v>103</v>
      </c>
      <c r="BG174" s="89" t="n">
        <f aca="false" t="array" ref="BG174:BG174">IF(BF174="","",IFERROR(INDEX(Справочники!$B$4:$B$7,MATCH(BF174,Справочники!$A$4:$A$7,0)),""))</f>
        <v>68.5</v>
      </c>
      <c r="BH174" s="90" t="str">
        <f aca="false">IF(N(BN174)&gt;0,ROUND(SUMIF(ЗАКАЗЫ!$F$3:$F$500,$A174,ЗАКАЗЫ!$Y$3:$Y$500)/BN174,0),IF(OR(BE174="",BG174=""),"",ROUND(BE174*BG174*(1+Справочники!$B$10),0)))</f>
        <v/>
      </c>
      <c r="BI174" s="92" t="str">
        <f aca="false">IF(OR(AU174="",BH174="",AU174=0),"",(AU174-BH174)/AU174)</f>
        <v/>
      </c>
      <c r="BJ174" s="81"/>
      <c r="BK174" s="83"/>
      <c r="BL174" s="43" t="str">
        <f aca="false">IFERROR(INDEX(ЗАКАЗЫ!$N$3:$N$500,MATCH($A174,ЗАКАЗЫ!$F$3:$F$500,0)),"")</f>
        <v/>
      </c>
      <c r="BM174" s="8" t="str">
        <f aca="false">IF(BL174="","",IFERROR(VLOOKUP(BL174,'ТН ВЭД'!$A$4:$C$40,3,0),""))</f>
        <v/>
      </c>
      <c r="BN174" s="7" t="str">
        <f aca="false">IF(COUNTIF(ЗАКАЗЫ!$F$3:$F$500,$A174)=0,"",SUMIF(ЗАКАЗЫ!$F$3:$F$500,$A174,ЗАКАЗЫ!$J$3:$J$500))</f>
        <v/>
      </c>
      <c r="BO174" s="7" t="str">
        <f aca="false">IF(BN174="","",SUMIF(ЗАКАЗЫ!$F$3:$F$500,$A174,ЗАКАЗЫ!$AL$3:$AL$500))</f>
        <v/>
      </c>
      <c r="BP174" s="7" t="str">
        <f aca="false">IF(BN174="","",BN174-BO174)</f>
        <v/>
      </c>
      <c r="BQ174" s="55" t="str">
        <f aca="false">IF(BN174="","",IF(BO174&gt;=BN174,"На складе",IF(BO174&gt;0,"Частично","Ждём")))</f>
        <v/>
      </c>
      <c r="BR174" s="43"/>
      <c r="BS174" s="47" t="str">
        <f aca="false">IF(BN174="","",IF(_xlfn.MAXIFS(ЗАКАЗЫ!$AK$3:$AK$500,ЗАКАЗЫ!$F$3:$F$500,$A174)=0,"",_xlfn.MAXIFS(ЗАКАЗЫ!$AK$3:$AK$500,ЗАКАЗЫ!$F$3:$F$500,$A174)))</f>
        <v/>
      </c>
    </row>
    <row r="175" customFormat="false" ht="15.75" hidden="false" customHeight="true" outlineLevel="0" collapsed="false">
      <c r="A175" s="80" t="s">
        <v>3086</v>
      </c>
      <c r="B175" s="81"/>
      <c r="C175" s="81"/>
      <c r="D175" s="81"/>
      <c r="E175" s="83"/>
      <c r="F175" s="81"/>
      <c r="G175" s="83"/>
      <c r="H175" s="83"/>
      <c r="I175" s="84" t="str">
        <f aca="false">IF(E175="","",A175&amp;"_1.jpg")</f>
        <v/>
      </c>
      <c r="J175" s="84" t="str">
        <f aca="false">IF(E175="","",A175&amp;"_2.jpg; "&amp;A175&amp;"_3.jpg")</f>
        <v/>
      </c>
      <c r="K175" s="84" t="str">
        <f aca="false">IF(E175="","",A175&amp;"_schema.jpg")</f>
        <v/>
      </c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 t="s">
        <v>96</v>
      </c>
      <c r="W175" s="81"/>
      <c r="X175" s="81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6" t="str">
        <f aca="false">IF(SUM(Y175:AJ175)=0,"",SUM(Y175:AJ175))</f>
        <v/>
      </c>
      <c r="AL175" s="84" t="str">
        <f aca="false">MID(IF(N(Y175)&gt;0,", "&amp;Y$2,"")&amp;IF(N(Z175)&gt;0,", "&amp;Z$2,"")&amp;IF(N(AA175)&gt;0,", "&amp;AA$2,"")&amp;IF(N(AB175)&gt;0,", "&amp;AB$2,"")&amp;IF(N(AC175)&gt;0,", "&amp;AC$2,"")&amp;IF(N(AD175)&gt;0,", "&amp;AD$2,"")&amp;IF(N(AE175)&gt;0,", "&amp;AE$2,"")&amp;IF(N(AF175)&gt;0,", "&amp;AF$2,"")&amp;IF(N(AG175)&gt;0,", "&amp;AG$2,"")&amp;IF(N(AH175)&gt;0,", "&amp;AH$2,"")&amp;IF(N(AI175)&gt;0,", "&amp;AI$2,"")&amp;IF(N(AJ175)&gt;0,", "&amp;AJ$2,""),3,999)</f>
        <v/>
      </c>
      <c r="AM175" s="87" t="str">
        <f aca="false">IF(E175="","",MID(IF(N(Y175)&gt;0,", "&amp;A175&amp;"-"&amp;Y$2,"")&amp;IF(N(Z175)&gt;0,", "&amp;A175&amp;"-"&amp;Z$2,"")&amp;IF(N(AA175)&gt;0,", "&amp;A175&amp;"-"&amp;AA$2,"")&amp;IF(N(AB175)&gt;0,", "&amp;A175&amp;"-"&amp;AB$2,"")&amp;IF(N(AC175)&gt;0,", "&amp;A175&amp;"-"&amp;AC$2,"")&amp;IF(N(AD175)&gt;0,", "&amp;A175&amp;"-"&amp;AD$2,"")&amp;IF(N(AE175)&gt;0,", "&amp;A175&amp;"-"&amp;AE$2,"")&amp;IF(N(AF175)&gt;0,", "&amp;A175&amp;"-"&amp;AF$2,"")&amp;IF(N(AG175)&gt;0,", "&amp;A175&amp;"-"&amp;AG$2,"")&amp;IF(N(AH175)&gt;0,", "&amp;A175&amp;"-"&amp;AH$2,"")&amp;IF(N(AI175)&gt;0,", "&amp;A175&amp;"-"&amp;AI$2,"")&amp;IF(N(AJ175)&gt;0,", "&amp;A175&amp;"-"&amp;AJ$2,""),3,999))</f>
        <v/>
      </c>
      <c r="AN175" s="81"/>
      <c r="AO175" s="88"/>
      <c r="AP175" s="89" t="str">
        <f aca="false">IF(AO175="","",ROUND(AO175/(1+Справочники!$B$13),2))</f>
        <v/>
      </c>
      <c r="AQ175" s="90" t="str">
        <f aca="false" t="array" ref="AQ175:AQ175">IF(AP175="","",AP175*INDEX(Справочники!$B$4:$B$7,MATCH("RUB",Справочники!$A$4:$A$7,0)))</f>
        <v/>
      </c>
      <c r="AR175" s="90" t="str">
        <f aca="false">IF(AQ175="","",ROUND(AQ175*(1+Справочники!$B$12),0))</f>
        <v/>
      </c>
      <c r="AS175" s="90" t="str">
        <f aca="false">IF(AR175="","",ROUND(AR175*(1-Справочники!$B$11),0))</f>
        <v/>
      </c>
      <c r="AT175" s="88"/>
      <c r="AU175" s="90" t="str">
        <f aca="false">IF(AT175="","",ROUND(AT175/(1+Справочники!$B$12),0))</f>
        <v/>
      </c>
      <c r="AV175" s="90" t="str">
        <f aca="false">IF(AT175="","",ROUND(AT175*(1-Справочники!$B$15),0))</f>
        <v/>
      </c>
      <c r="AW175" s="90" t="str">
        <f aca="false">IF(AT175="","",ROUND(AT175*(1-Справочники!$B$16),0))</f>
        <v/>
      </c>
      <c r="AX175" s="90" t="str">
        <f aca="false">IF(AT175="","",ROUND(AT175*(1-Справочники!$B$17),0))</f>
        <v/>
      </c>
      <c r="AY175" s="90" t="str">
        <f aca="false">IF(AT175="","",ROUND(AT175*(1-Справочники!$B$18),0))</f>
        <v/>
      </c>
      <c r="AZ175" s="90" t="str">
        <f aca="false">IF(AT175="","",ROUND(AT175*(1-Справочники!$B$19),0))</f>
        <v/>
      </c>
      <c r="BA175" s="81"/>
      <c r="BB175" s="81"/>
      <c r="BC175" s="81"/>
      <c r="BD175" s="81"/>
      <c r="BE175" s="91"/>
      <c r="BF175" s="81" t="s">
        <v>103</v>
      </c>
      <c r="BG175" s="89" t="n">
        <f aca="false" t="array" ref="BG175:BG175">IF(BF175="","",IFERROR(INDEX(Справочники!$B$4:$B$7,MATCH(BF175,Справочники!$A$4:$A$7,0)),""))</f>
        <v>68.5</v>
      </c>
      <c r="BH175" s="90" t="str">
        <f aca="false">IF(N(BN175)&gt;0,ROUND(SUMIF(ЗАКАЗЫ!$F$3:$F$500,$A175,ЗАКАЗЫ!$Y$3:$Y$500)/BN175,0),IF(OR(BE175="",BG175=""),"",ROUND(BE175*BG175*(1+Справочники!$B$10),0)))</f>
        <v/>
      </c>
      <c r="BI175" s="92" t="str">
        <f aca="false">IF(OR(AU175="",BH175="",AU175=0),"",(AU175-BH175)/AU175)</f>
        <v/>
      </c>
      <c r="BJ175" s="81"/>
      <c r="BK175" s="83"/>
      <c r="BL175" s="43" t="str">
        <f aca="false">IFERROR(INDEX(ЗАКАЗЫ!$N$3:$N$500,MATCH($A175,ЗАКАЗЫ!$F$3:$F$500,0)),"")</f>
        <v/>
      </c>
      <c r="BM175" s="8" t="str">
        <f aca="false">IF(BL175="","",IFERROR(VLOOKUP(BL175,'ТН ВЭД'!$A$4:$C$40,3,0),""))</f>
        <v/>
      </c>
      <c r="BN175" s="7" t="str">
        <f aca="false">IF(COUNTIF(ЗАКАЗЫ!$F$3:$F$500,$A175)=0,"",SUMIF(ЗАКАЗЫ!$F$3:$F$500,$A175,ЗАКАЗЫ!$J$3:$J$500))</f>
        <v/>
      </c>
      <c r="BO175" s="7" t="str">
        <f aca="false">IF(BN175="","",SUMIF(ЗАКАЗЫ!$F$3:$F$500,$A175,ЗАКАЗЫ!$AL$3:$AL$500))</f>
        <v/>
      </c>
      <c r="BP175" s="7" t="str">
        <f aca="false">IF(BN175="","",BN175-BO175)</f>
        <v/>
      </c>
      <c r="BQ175" s="55" t="str">
        <f aca="false">IF(BN175="","",IF(BO175&gt;=BN175,"На складе",IF(BO175&gt;0,"Частично","Ждём")))</f>
        <v/>
      </c>
      <c r="BR175" s="43"/>
      <c r="BS175" s="47" t="str">
        <f aca="false">IF(BN175="","",IF(_xlfn.MAXIFS(ЗАКАЗЫ!$AK$3:$AK$500,ЗАКАЗЫ!$F$3:$F$500,$A175)=0,"",_xlfn.MAXIFS(ЗАКАЗЫ!$AK$3:$AK$500,ЗАКАЗЫ!$F$3:$F$500,$A175)))</f>
        <v/>
      </c>
    </row>
    <row r="176" customFormat="false" ht="15.75" hidden="false" customHeight="true" outlineLevel="0" collapsed="false">
      <c r="A176" s="80" t="s">
        <v>3087</v>
      </c>
      <c r="B176" s="81"/>
      <c r="C176" s="81"/>
      <c r="D176" s="81"/>
      <c r="E176" s="83"/>
      <c r="F176" s="81"/>
      <c r="G176" s="83"/>
      <c r="H176" s="83"/>
      <c r="I176" s="84" t="str">
        <f aca="false">IF(E176="","",A176&amp;"_1.jpg")</f>
        <v/>
      </c>
      <c r="J176" s="84" t="str">
        <f aca="false">IF(E176="","",A176&amp;"_2.jpg; "&amp;A176&amp;"_3.jpg")</f>
        <v/>
      </c>
      <c r="K176" s="84" t="str">
        <f aca="false">IF(E176="","",A176&amp;"_schema.jpg")</f>
        <v/>
      </c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 t="s">
        <v>96</v>
      </c>
      <c r="W176" s="81"/>
      <c r="X176" s="81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6" t="str">
        <f aca="false">IF(SUM(Y176:AJ176)=0,"",SUM(Y176:AJ176))</f>
        <v/>
      </c>
      <c r="AL176" s="84" t="str">
        <f aca="false">MID(IF(N(Y176)&gt;0,", "&amp;Y$2,"")&amp;IF(N(Z176)&gt;0,", "&amp;Z$2,"")&amp;IF(N(AA176)&gt;0,", "&amp;AA$2,"")&amp;IF(N(AB176)&gt;0,", "&amp;AB$2,"")&amp;IF(N(AC176)&gt;0,", "&amp;AC$2,"")&amp;IF(N(AD176)&gt;0,", "&amp;AD$2,"")&amp;IF(N(AE176)&gt;0,", "&amp;AE$2,"")&amp;IF(N(AF176)&gt;0,", "&amp;AF$2,"")&amp;IF(N(AG176)&gt;0,", "&amp;AG$2,"")&amp;IF(N(AH176)&gt;0,", "&amp;AH$2,"")&amp;IF(N(AI176)&gt;0,", "&amp;AI$2,"")&amp;IF(N(AJ176)&gt;0,", "&amp;AJ$2,""),3,999)</f>
        <v/>
      </c>
      <c r="AM176" s="87" t="str">
        <f aca="false">IF(E176="","",MID(IF(N(Y176)&gt;0,", "&amp;A176&amp;"-"&amp;Y$2,"")&amp;IF(N(Z176)&gt;0,", "&amp;A176&amp;"-"&amp;Z$2,"")&amp;IF(N(AA176)&gt;0,", "&amp;A176&amp;"-"&amp;AA$2,"")&amp;IF(N(AB176)&gt;0,", "&amp;A176&amp;"-"&amp;AB$2,"")&amp;IF(N(AC176)&gt;0,", "&amp;A176&amp;"-"&amp;AC$2,"")&amp;IF(N(AD176)&gt;0,", "&amp;A176&amp;"-"&amp;AD$2,"")&amp;IF(N(AE176)&gt;0,", "&amp;A176&amp;"-"&amp;AE$2,"")&amp;IF(N(AF176)&gt;0,", "&amp;A176&amp;"-"&amp;AF$2,"")&amp;IF(N(AG176)&gt;0,", "&amp;A176&amp;"-"&amp;AG$2,"")&amp;IF(N(AH176)&gt;0,", "&amp;A176&amp;"-"&amp;AH$2,"")&amp;IF(N(AI176)&gt;0,", "&amp;A176&amp;"-"&amp;AI$2,"")&amp;IF(N(AJ176)&gt;0,", "&amp;A176&amp;"-"&amp;AJ$2,""),3,999))</f>
        <v/>
      </c>
      <c r="AN176" s="81"/>
      <c r="AO176" s="88"/>
      <c r="AP176" s="89" t="str">
        <f aca="false">IF(AO176="","",ROUND(AO176/(1+Справочники!$B$13),2))</f>
        <v/>
      </c>
      <c r="AQ176" s="90" t="str">
        <f aca="false" t="array" ref="AQ176:AQ176">IF(AP176="","",AP176*INDEX(Справочники!$B$4:$B$7,MATCH("RUB",Справочники!$A$4:$A$7,0)))</f>
        <v/>
      </c>
      <c r="AR176" s="90" t="str">
        <f aca="false">IF(AQ176="","",ROUND(AQ176*(1+Справочники!$B$12),0))</f>
        <v/>
      </c>
      <c r="AS176" s="90" t="str">
        <f aca="false">IF(AR176="","",ROUND(AR176*(1-Справочники!$B$11),0))</f>
        <v/>
      </c>
      <c r="AT176" s="88"/>
      <c r="AU176" s="90" t="str">
        <f aca="false">IF(AT176="","",ROUND(AT176/(1+Справочники!$B$12),0))</f>
        <v/>
      </c>
      <c r="AV176" s="90" t="str">
        <f aca="false">IF(AT176="","",ROUND(AT176*(1-Справочники!$B$15),0))</f>
        <v/>
      </c>
      <c r="AW176" s="90" t="str">
        <f aca="false">IF(AT176="","",ROUND(AT176*(1-Справочники!$B$16),0))</f>
        <v/>
      </c>
      <c r="AX176" s="90" t="str">
        <f aca="false">IF(AT176="","",ROUND(AT176*(1-Справочники!$B$17),0))</f>
        <v/>
      </c>
      <c r="AY176" s="90" t="str">
        <f aca="false">IF(AT176="","",ROUND(AT176*(1-Справочники!$B$18),0))</f>
        <v/>
      </c>
      <c r="AZ176" s="90" t="str">
        <f aca="false">IF(AT176="","",ROUND(AT176*(1-Справочники!$B$19),0))</f>
        <v/>
      </c>
      <c r="BA176" s="81"/>
      <c r="BB176" s="81"/>
      <c r="BC176" s="81"/>
      <c r="BD176" s="81"/>
      <c r="BE176" s="91"/>
      <c r="BF176" s="81" t="s">
        <v>103</v>
      </c>
      <c r="BG176" s="89" t="n">
        <f aca="false" t="array" ref="BG176:BG176">IF(BF176="","",IFERROR(INDEX(Справочники!$B$4:$B$7,MATCH(BF176,Справочники!$A$4:$A$7,0)),""))</f>
        <v>68.5</v>
      </c>
      <c r="BH176" s="90" t="str">
        <f aca="false">IF(N(BN176)&gt;0,ROUND(SUMIF(ЗАКАЗЫ!$F$3:$F$500,$A176,ЗАКАЗЫ!$Y$3:$Y$500)/BN176,0),IF(OR(BE176="",BG176=""),"",ROUND(BE176*BG176*(1+Справочники!$B$10),0)))</f>
        <v/>
      </c>
      <c r="BI176" s="92" t="str">
        <f aca="false">IF(OR(AU176="",BH176="",AU176=0),"",(AU176-BH176)/AU176)</f>
        <v/>
      </c>
      <c r="BJ176" s="81"/>
      <c r="BK176" s="83"/>
      <c r="BL176" s="43" t="str">
        <f aca="false">IFERROR(INDEX(ЗАКАЗЫ!$N$3:$N$500,MATCH($A176,ЗАКАЗЫ!$F$3:$F$500,0)),"")</f>
        <v/>
      </c>
      <c r="BM176" s="8" t="str">
        <f aca="false">IF(BL176="","",IFERROR(VLOOKUP(BL176,'ТН ВЭД'!$A$4:$C$40,3,0),""))</f>
        <v/>
      </c>
      <c r="BN176" s="7" t="str">
        <f aca="false">IF(COUNTIF(ЗАКАЗЫ!$F$3:$F$500,$A176)=0,"",SUMIF(ЗАКАЗЫ!$F$3:$F$500,$A176,ЗАКАЗЫ!$J$3:$J$500))</f>
        <v/>
      </c>
      <c r="BO176" s="7" t="str">
        <f aca="false">IF(BN176="","",SUMIF(ЗАКАЗЫ!$F$3:$F$500,$A176,ЗАКАЗЫ!$AL$3:$AL$500))</f>
        <v/>
      </c>
      <c r="BP176" s="7" t="str">
        <f aca="false">IF(BN176="","",BN176-BO176)</f>
        <v/>
      </c>
      <c r="BQ176" s="55" t="str">
        <f aca="false">IF(BN176="","",IF(BO176&gt;=BN176,"На складе",IF(BO176&gt;0,"Частично","Ждём")))</f>
        <v/>
      </c>
      <c r="BR176" s="43"/>
      <c r="BS176" s="47" t="str">
        <f aca="false">IF(BN176="","",IF(_xlfn.MAXIFS(ЗАКАЗЫ!$AK$3:$AK$500,ЗАКАЗЫ!$F$3:$F$500,$A176)=0,"",_xlfn.MAXIFS(ЗАКАЗЫ!$AK$3:$AK$500,ЗАКАЗЫ!$F$3:$F$500,$A176)))</f>
        <v/>
      </c>
    </row>
    <row r="177" customFormat="false" ht="15.75" hidden="false" customHeight="true" outlineLevel="0" collapsed="false">
      <c r="A177" s="80" t="s">
        <v>3088</v>
      </c>
      <c r="B177" s="81"/>
      <c r="C177" s="81"/>
      <c r="D177" s="81"/>
      <c r="E177" s="83"/>
      <c r="F177" s="81"/>
      <c r="G177" s="83"/>
      <c r="H177" s="83"/>
      <c r="I177" s="84" t="str">
        <f aca="false">IF(E177="","",A177&amp;"_1.jpg")</f>
        <v/>
      </c>
      <c r="J177" s="84" t="str">
        <f aca="false">IF(E177="","",A177&amp;"_2.jpg; "&amp;A177&amp;"_3.jpg")</f>
        <v/>
      </c>
      <c r="K177" s="84" t="str">
        <f aca="false">IF(E177="","",A177&amp;"_schema.jpg")</f>
        <v/>
      </c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 t="s">
        <v>96</v>
      </c>
      <c r="W177" s="81"/>
      <c r="X177" s="81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6" t="str">
        <f aca="false">IF(SUM(Y177:AJ177)=0,"",SUM(Y177:AJ177))</f>
        <v/>
      </c>
      <c r="AL177" s="84" t="str">
        <f aca="false">MID(IF(N(Y177)&gt;0,", "&amp;Y$2,"")&amp;IF(N(Z177)&gt;0,", "&amp;Z$2,"")&amp;IF(N(AA177)&gt;0,", "&amp;AA$2,"")&amp;IF(N(AB177)&gt;0,", "&amp;AB$2,"")&amp;IF(N(AC177)&gt;0,", "&amp;AC$2,"")&amp;IF(N(AD177)&gt;0,", "&amp;AD$2,"")&amp;IF(N(AE177)&gt;0,", "&amp;AE$2,"")&amp;IF(N(AF177)&gt;0,", "&amp;AF$2,"")&amp;IF(N(AG177)&gt;0,", "&amp;AG$2,"")&amp;IF(N(AH177)&gt;0,", "&amp;AH$2,"")&amp;IF(N(AI177)&gt;0,", "&amp;AI$2,"")&amp;IF(N(AJ177)&gt;0,", "&amp;AJ$2,""),3,999)</f>
        <v/>
      </c>
      <c r="AM177" s="87" t="str">
        <f aca="false">IF(E177="","",MID(IF(N(Y177)&gt;0,", "&amp;A177&amp;"-"&amp;Y$2,"")&amp;IF(N(Z177)&gt;0,", "&amp;A177&amp;"-"&amp;Z$2,"")&amp;IF(N(AA177)&gt;0,", "&amp;A177&amp;"-"&amp;AA$2,"")&amp;IF(N(AB177)&gt;0,", "&amp;A177&amp;"-"&amp;AB$2,"")&amp;IF(N(AC177)&gt;0,", "&amp;A177&amp;"-"&amp;AC$2,"")&amp;IF(N(AD177)&gt;0,", "&amp;A177&amp;"-"&amp;AD$2,"")&amp;IF(N(AE177)&gt;0,", "&amp;A177&amp;"-"&amp;AE$2,"")&amp;IF(N(AF177)&gt;0,", "&amp;A177&amp;"-"&amp;AF$2,"")&amp;IF(N(AG177)&gt;0,", "&amp;A177&amp;"-"&amp;AG$2,"")&amp;IF(N(AH177)&gt;0,", "&amp;A177&amp;"-"&amp;AH$2,"")&amp;IF(N(AI177)&gt;0,", "&amp;A177&amp;"-"&amp;AI$2,"")&amp;IF(N(AJ177)&gt;0,", "&amp;A177&amp;"-"&amp;AJ$2,""),3,999))</f>
        <v/>
      </c>
      <c r="AN177" s="81"/>
      <c r="AO177" s="88"/>
      <c r="AP177" s="89" t="str">
        <f aca="false">IF(AO177="","",ROUND(AO177/(1+Справочники!$B$13),2))</f>
        <v/>
      </c>
      <c r="AQ177" s="90" t="str">
        <f aca="false" t="array" ref="AQ177:AQ177">IF(AP177="","",AP177*INDEX(Справочники!$B$4:$B$7,MATCH("RUB",Справочники!$A$4:$A$7,0)))</f>
        <v/>
      </c>
      <c r="AR177" s="90" t="str">
        <f aca="false">IF(AQ177="","",ROUND(AQ177*(1+Справочники!$B$12),0))</f>
        <v/>
      </c>
      <c r="AS177" s="90" t="str">
        <f aca="false">IF(AR177="","",ROUND(AR177*(1-Справочники!$B$11),0))</f>
        <v/>
      </c>
      <c r="AT177" s="88"/>
      <c r="AU177" s="90" t="str">
        <f aca="false">IF(AT177="","",ROUND(AT177/(1+Справочники!$B$12),0))</f>
        <v/>
      </c>
      <c r="AV177" s="90" t="str">
        <f aca="false">IF(AT177="","",ROUND(AT177*(1-Справочники!$B$15),0))</f>
        <v/>
      </c>
      <c r="AW177" s="90" t="str">
        <f aca="false">IF(AT177="","",ROUND(AT177*(1-Справочники!$B$16),0))</f>
        <v/>
      </c>
      <c r="AX177" s="90" t="str">
        <f aca="false">IF(AT177="","",ROUND(AT177*(1-Справочники!$B$17),0))</f>
        <v/>
      </c>
      <c r="AY177" s="90" t="str">
        <f aca="false">IF(AT177="","",ROUND(AT177*(1-Справочники!$B$18),0))</f>
        <v/>
      </c>
      <c r="AZ177" s="90" t="str">
        <f aca="false">IF(AT177="","",ROUND(AT177*(1-Справочники!$B$19),0))</f>
        <v/>
      </c>
      <c r="BA177" s="81"/>
      <c r="BB177" s="81"/>
      <c r="BC177" s="81"/>
      <c r="BD177" s="81"/>
      <c r="BE177" s="91"/>
      <c r="BF177" s="81" t="s">
        <v>103</v>
      </c>
      <c r="BG177" s="89" t="n">
        <f aca="false" t="array" ref="BG177:BG177">IF(BF177="","",IFERROR(INDEX(Справочники!$B$4:$B$7,MATCH(BF177,Справочники!$A$4:$A$7,0)),""))</f>
        <v>68.5</v>
      </c>
      <c r="BH177" s="90" t="str">
        <f aca="false">IF(N(BN177)&gt;0,ROUND(SUMIF(ЗАКАЗЫ!$F$3:$F$500,$A177,ЗАКАЗЫ!$Y$3:$Y$500)/BN177,0),IF(OR(BE177="",BG177=""),"",ROUND(BE177*BG177*(1+Справочники!$B$10),0)))</f>
        <v/>
      </c>
      <c r="BI177" s="92" t="str">
        <f aca="false">IF(OR(AU177="",BH177="",AU177=0),"",(AU177-BH177)/AU177)</f>
        <v/>
      </c>
      <c r="BJ177" s="81"/>
      <c r="BK177" s="83"/>
      <c r="BL177" s="43" t="str">
        <f aca="false">IFERROR(INDEX(ЗАКАЗЫ!$N$3:$N$500,MATCH($A177,ЗАКАЗЫ!$F$3:$F$500,0)),"")</f>
        <v/>
      </c>
      <c r="BM177" s="8" t="str">
        <f aca="false">IF(BL177="","",IFERROR(VLOOKUP(BL177,'ТН ВЭД'!$A$4:$C$40,3,0),""))</f>
        <v/>
      </c>
      <c r="BN177" s="7" t="str">
        <f aca="false">IF(COUNTIF(ЗАКАЗЫ!$F$3:$F$500,$A177)=0,"",SUMIF(ЗАКАЗЫ!$F$3:$F$500,$A177,ЗАКАЗЫ!$J$3:$J$500))</f>
        <v/>
      </c>
      <c r="BO177" s="7" t="str">
        <f aca="false">IF(BN177="","",SUMIF(ЗАКАЗЫ!$F$3:$F$500,$A177,ЗАКАЗЫ!$AL$3:$AL$500))</f>
        <v/>
      </c>
      <c r="BP177" s="7" t="str">
        <f aca="false">IF(BN177="","",BN177-BO177)</f>
        <v/>
      </c>
      <c r="BQ177" s="55" t="str">
        <f aca="false">IF(BN177="","",IF(BO177&gt;=BN177,"На складе",IF(BO177&gt;0,"Частично","Ждём")))</f>
        <v/>
      </c>
      <c r="BR177" s="43"/>
      <c r="BS177" s="47" t="str">
        <f aca="false">IF(BN177="","",IF(_xlfn.MAXIFS(ЗАКАЗЫ!$AK$3:$AK$500,ЗАКАЗЫ!$F$3:$F$500,$A177)=0,"",_xlfn.MAXIFS(ЗАКАЗЫ!$AK$3:$AK$500,ЗАКАЗЫ!$F$3:$F$500,$A177)))</f>
        <v/>
      </c>
    </row>
    <row r="178" customFormat="false" ht="15.75" hidden="false" customHeight="true" outlineLevel="0" collapsed="false">
      <c r="A178" s="80" t="s">
        <v>3089</v>
      </c>
      <c r="B178" s="81"/>
      <c r="C178" s="81"/>
      <c r="D178" s="81"/>
      <c r="E178" s="83"/>
      <c r="F178" s="81"/>
      <c r="G178" s="83"/>
      <c r="H178" s="83"/>
      <c r="I178" s="84" t="str">
        <f aca="false">IF(E178="","",A178&amp;"_1.jpg")</f>
        <v/>
      </c>
      <c r="J178" s="84" t="str">
        <f aca="false">IF(E178="","",A178&amp;"_2.jpg; "&amp;A178&amp;"_3.jpg")</f>
        <v/>
      </c>
      <c r="K178" s="84" t="str">
        <f aca="false">IF(E178="","",A178&amp;"_schema.jpg")</f>
        <v/>
      </c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 t="s">
        <v>96</v>
      </c>
      <c r="W178" s="81"/>
      <c r="X178" s="81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6" t="str">
        <f aca="false">IF(SUM(Y178:AJ178)=0,"",SUM(Y178:AJ178))</f>
        <v/>
      </c>
      <c r="AL178" s="84" t="str">
        <f aca="false">MID(IF(N(Y178)&gt;0,", "&amp;Y$2,"")&amp;IF(N(Z178)&gt;0,", "&amp;Z$2,"")&amp;IF(N(AA178)&gt;0,", "&amp;AA$2,"")&amp;IF(N(AB178)&gt;0,", "&amp;AB$2,"")&amp;IF(N(AC178)&gt;0,", "&amp;AC$2,"")&amp;IF(N(AD178)&gt;0,", "&amp;AD$2,"")&amp;IF(N(AE178)&gt;0,", "&amp;AE$2,"")&amp;IF(N(AF178)&gt;0,", "&amp;AF$2,"")&amp;IF(N(AG178)&gt;0,", "&amp;AG$2,"")&amp;IF(N(AH178)&gt;0,", "&amp;AH$2,"")&amp;IF(N(AI178)&gt;0,", "&amp;AI$2,"")&amp;IF(N(AJ178)&gt;0,", "&amp;AJ$2,""),3,999)</f>
        <v/>
      </c>
      <c r="AM178" s="87" t="str">
        <f aca="false">IF(E178="","",MID(IF(N(Y178)&gt;0,", "&amp;A178&amp;"-"&amp;Y$2,"")&amp;IF(N(Z178)&gt;0,", "&amp;A178&amp;"-"&amp;Z$2,"")&amp;IF(N(AA178)&gt;0,", "&amp;A178&amp;"-"&amp;AA$2,"")&amp;IF(N(AB178)&gt;0,", "&amp;A178&amp;"-"&amp;AB$2,"")&amp;IF(N(AC178)&gt;0,", "&amp;A178&amp;"-"&amp;AC$2,"")&amp;IF(N(AD178)&gt;0,", "&amp;A178&amp;"-"&amp;AD$2,"")&amp;IF(N(AE178)&gt;0,", "&amp;A178&amp;"-"&amp;AE$2,"")&amp;IF(N(AF178)&gt;0,", "&amp;A178&amp;"-"&amp;AF$2,"")&amp;IF(N(AG178)&gt;0,", "&amp;A178&amp;"-"&amp;AG$2,"")&amp;IF(N(AH178)&gt;0,", "&amp;A178&amp;"-"&amp;AH$2,"")&amp;IF(N(AI178)&gt;0,", "&amp;A178&amp;"-"&amp;AI$2,"")&amp;IF(N(AJ178)&gt;0,", "&amp;A178&amp;"-"&amp;AJ$2,""),3,999))</f>
        <v/>
      </c>
      <c r="AN178" s="81"/>
      <c r="AO178" s="88"/>
      <c r="AP178" s="89" t="str">
        <f aca="false">IF(AO178="","",ROUND(AO178/(1+Справочники!$B$13),2))</f>
        <v/>
      </c>
      <c r="AQ178" s="90" t="str">
        <f aca="false" t="array" ref="AQ178:AQ178">IF(AP178="","",AP178*INDEX(Справочники!$B$4:$B$7,MATCH("RUB",Справочники!$A$4:$A$7,0)))</f>
        <v/>
      </c>
      <c r="AR178" s="90" t="str">
        <f aca="false">IF(AQ178="","",ROUND(AQ178*(1+Справочники!$B$12),0))</f>
        <v/>
      </c>
      <c r="AS178" s="90" t="str">
        <f aca="false">IF(AR178="","",ROUND(AR178*(1-Справочники!$B$11),0))</f>
        <v/>
      </c>
      <c r="AT178" s="88"/>
      <c r="AU178" s="90" t="str">
        <f aca="false">IF(AT178="","",ROUND(AT178/(1+Справочники!$B$12),0))</f>
        <v/>
      </c>
      <c r="AV178" s="90" t="str">
        <f aca="false">IF(AT178="","",ROUND(AT178*(1-Справочники!$B$15),0))</f>
        <v/>
      </c>
      <c r="AW178" s="90" t="str">
        <f aca="false">IF(AT178="","",ROUND(AT178*(1-Справочники!$B$16),0))</f>
        <v/>
      </c>
      <c r="AX178" s="90" t="str">
        <f aca="false">IF(AT178="","",ROUND(AT178*(1-Справочники!$B$17),0))</f>
        <v/>
      </c>
      <c r="AY178" s="90" t="str">
        <f aca="false">IF(AT178="","",ROUND(AT178*(1-Справочники!$B$18),0))</f>
        <v/>
      </c>
      <c r="AZ178" s="90" t="str">
        <f aca="false">IF(AT178="","",ROUND(AT178*(1-Справочники!$B$19),0))</f>
        <v/>
      </c>
      <c r="BA178" s="81"/>
      <c r="BB178" s="81"/>
      <c r="BC178" s="81"/>
      <c r="BD178" s="81"/>
      <c r="BE178" s="91"/>
      <c r="BF178" s="81" t="s">
        <v>103</v>
      </c>
      <c r="BG178" s="89" t="n">
        <f aca="false" t="array" ref="BG178:BG178">IF(BF178="","",IFERROR(INDEX(Справочники!$B$4:$B$7,MATCH(BF178,Справочники!$A$4:$A$7,0)),""))</f>
        <v>68.5</v>
      </c>
      <c r="BH178" s="90" t="str">
        <f aca="false">IF(N(BN178)&gt;0,ROUND(SUMIF(ЗАКАЗЫ!$F$3:$F$500,$A178,ЗАКАЗЫ!$Y$3:$Y$500)/BN178,0),IF(OR(BE178="",BG178=""),"",ROUND(BE178*BG178*(1+Справочники!$B$10),0)))</f>
        <v/>
      </c>
      <c r="BI178" s="92" t="str">
        <f aca="false">IF(OR(AU178="",BH178="",AU178=0),"",(AU178-BH178)/AU178)</f>
        <v/>
      </c>
      <c r="BJ178" s="81"/>
      <c r="BK178" s="83"/>
      <c r="BL178" s="43" t="str">
        <f aca="false">IFERROR(INDEX(ЗАКАЗЫ!$N$3:$N$500,MATCH($A178,ЗАКАЗЫ!$F$3:$F$500,0)),"")</f>
        <v/>
      </c>
      <c r="BM178" s="8" t="str">
        <f aca="false">IF(BL178="","",IFERROR(VLOOKUP(BL178,'ТН ВЭД'!$A$4:$C$40,3,0),""))</f>
        <v/>
      </c>
      <c r="BN178" s="7" t="str">
        <f aca="false">IF(COUNTIF(ЗАКАЗЫ!$F$3:$F$500,$A178)=0,"",SUMIF(ЗАКАЗЫ!$F$3:$F$500,$A178,ЗАКАЗЫ!$J$3:$J$500))</f>
        <v/>
      </c>
      <c r="BO178" s="7" t="str">
        <f aca="false">IF(BN178="","",SUMIF(ЗАКАЗЫ!$F$3:$F$500,$A178,ЗАКАЗЫ!$AL$3:$AL$500))</f>
        <v/>
      </c>
      <c r="BP178" s="7" t="str">
        <f aca="false">IF(BN178="","",BN178-BO178)</f>
        <v/>
      </c>
      <c r="BQ178" s="55" t="str">
        <f aca="false">IF(BN178="","",IF(BO178&gt;=BN178,"На складе",IF(BO178&gt;0,"Частично","Ждём")))</f>
        <v/>
      </c>
      <c r="BR178" s="43"/>
      <c r="BS178" s="47" t="str">
        <f aca="false">IF(BN178="","",IF(_xlfn.MAXIFS(ЗАКАЗЫ!$AK$3:$AK$500,ЗАКАЗЫ!$F$3:$F$500,$A178)=0,"",_xlfn.MAXIFS(ЗАКАЗЫ!$AK$3:$AK$500,ЗАКАЗЫ!$F$3:$F$500,$A178)))</f>
        <v/>
      </c>
    </row>
    <row r="179" customFormat="false" ht="15.75" hidden="false" customHeight="true" outlineLevel="0" collapsed="false">
      <c r="A179" s="80" t="s">
        <v>3090</v>
      </c>
      <c r="B179" s="81"/>
      <c r="C179" s="81"/>
      <c r="D179" s="81"/>
      <c r="E179" s="83"/>
      <c r="F179" s="81"/>
      <c r="G179" s="83"/>
      <c r="H179" s="83"/>
      <c r="I179" s="84" t="str">
        <f aca="false">IF(E179="","",A179&amp;"_1.jpg")</f>
        <v/>
      </c>
      <c r="J179" s="84" t="str">
        <f aca="false">IF(E179="","",A179&amp;"_2.jpg; "&amp;A179&amp;"_3.jpg")</f>
        <v/>
      </c>
      <c r="K179" s="84" t="str">
        <f aca="false">IF(E179="","",A179&amp;"_schema.jpg")</f>
        <v/>
      </c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 t="s">
        <v>96</v>
      </c>
      <c r="W179" s="81"/>
      <c r="X179" s="81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6" t="str">
        <f aca="false">IF(SUM(Y179:AJ179)=0,"",SUM(Y179:AJ179))</f>
        <v/>
      </c>
      <c r="AL179" s="84" t="str">
        <f aca="false">MID(IF(N(Y179)&gt;0,", "&amp;Y$2,"")&amp;IF(N(Z179)&gt;0,", "&amp;Z$2,"")&amp;IF(N(AA179)&gt;0,", "&amp;AA$2,"")&amp;IF(N(AB179)&gt;0,", "&amp;AB$2,"")&amp;IF(N(AC179)&gt;0,", "&amp;AC$2,"")&amp;IF(N(AD179)&gt;0,", "&amp;AD$2,"")&amp;IF(N(AE179)&gt;0,", "&amp;AE$2,"")&amp;IF(N(AF179)&gt;0,", "&amp;AF$2,"")&amp;IF(N(AG179)&gt;0,", "&amp;AG$2,"")&amp;IF(N(AH179)&gt;0,", "&amp;AH$2,"")&amp;IF(N(AI179)&gt;0,", "&amp;AI$2,"")&amp;IF(N(AJ179)&gt;0,", "&amp;AJ$2,""),3,999)</f>
        <v/>
      </c>
      <c r="AM179" s="87" t="str">
        <f aca="false">IF(E179="","",MID(IF(N(Y179)&gt;0,", "&amp;A179&amp;"-"&amp;Y$2,"")&amp;IF(N(Z179)&gt;0,", "&amp;A179&amp;"-"&amp;Z$2,"")&amp;IF(N(AA179)&gt;0,", "&amp;A179&amp;"-"&amp;AA$2,"")&amp;IF(N(AB179)&gt;0,", "&amp;A179&amp;"-"&amp;AB$2,"")&amp;IF(N(AC179)&gt;0,", "&amp;A179&amp;"-"&amp;AC$2,"")&amp;IF(N(AD179)&gt;0,", "&amp;A179&amp;"-"&amp;AD$2,"")&amp;IF(N(AE179)&gt;0,", "&amp;A179&amp;"-"&amp;AE$2,"")&amp;IF(N(AF179)&gt;0,", "&amp;A179&amp;"-"&amp;AF$2,"")&amp;IF(N(AG179)&gt;0,", "&amp;A179&amp;"-"&amp;AG$2,"")&amp;IF(N(AH179)&gt;0,", "&amp;A179&amp;"-"&amp;AH$2,"")&amp;IF(N(AI179)&gt;0,", "&amp;A179&amp;"-"&amp;AI$2,"")&amp;IF(N(AJ179)&gt;0,", "&amp;A179&amp;"-"&amp;AJ$2,""),3,999))</f>
        <v/>
      </c>
      <c r="AN179" s="81"/>
      <c r="AO179" s="88"/>
      <c r="AP179" s="89" t="str">
        <f aca="false">IF(AO179="","",ROUND(AO179/(1+Справочники!$B$13),2))</f>
        <v/>
      </c>
      <c r="AQ179" s="90" t="str">
        <f aca="false" t="array" ref="AQ179:AQ179">IF(AP179="","",AP179*INDEX(Справочники!$B$4:$B$7,MATCH("RUB",Справочники!$A$4:$A$7,0)))</f>
        <v/>
      </c>
      <c r="AR179" s="90" t="str">
        <f aca="false">IF(AQ179="","",ROUND(AQ179*(1+Справочники!$B$12),0))</f>
        <v/>
      </c>
      <c r="AS179" s="90" t="str">
        <f aca="false">IF(AR179="","",ROUND(AR179*(1-Справочники!$B$11),0))</f>
        <v/>
      </c>
      <c r="AT179" s="88"/>
      <c r="AU179" s="90" t="str">
        <f aca="false">IF(AT179="","",ROUND(AT179/(1+Справочники!$B$12),0))</f>
        <v/>
      </c>
      <c r="AV179" s="90" t="str">
        <f aca="false">IF(AT179="","",ROUND(AT179*(1-Справочники!$B$15),0))</f>
        <v/>
      </c>
      <c r="AW179" s="90" t="str">
        <f aca="false">IF(AT179="","",ROUND(AT179*(1-Справочники!$B$16),0))</f>
        <v/>
      </c>
      <c r="AX179" s="90" t="str">
        <f aca="false">IF(AT179="","",ROUND(AT179*(1-Справочники!$B$17),0))</f>
        <v/>
      </c>
      <c r="AY179" s="90" t="str">
        <f aca="false">IF(AT179="","",ROUND(AT179*(1-Справочники!$B$18),0))</f>
        <v/>
      </c>
      <c r="AZ179" s="90" t="str">
        <f aca="false">IF(AT179="","",ROUND(AT179*(1-Справочники!$B$19),0))</f>
        <v/>
      </c>
      <c r="BA179" s="81"/>
      <c r="BB179" s="81"/>
      <c r="BC179" s="81"/>
      <c r="BD179" s="81"/>
      <c r="BE179" s="91"/>
      <c r="BF179" s="81" t="s">
        <v>103</v>
      </c>
      <c r="BG179" s="89" t="n">
        <f aca="false" t="array" ref="BG179:BG179">IF(BF179="","",IFERROR(INDEX(Справочники!$B$4:$B$7,MATCH(BF179,Справочники!$A$4:$A$7,0)),""))</f>
        <v>68.5</v>
      </c>
      <c r="BH179" s="90" t="str">
        <f aca="false">IF(N(BN179)&gt;0,ROUND(SUMIF(ЗАКАЗЫ!$F$3:$F$500,$A179,ЗАКАЗЫ!$Y$3:$Y$500)/BN179,0),IF(OR(BE179="",BG179=""),"",ROUND(BE179*BG179*(1+Справочники!$B$10),0)))</f>
        <v/>
      </c>
      <c r="BI179" s="92" t="str">
        <f aca="false">IF(OR(AU179="",BH179="",AU179=0),"",(AU179-BH179)/AU179)</f>
        <v/>
      </c>
      <c r="BJ179" s="81"/>
      <c r="BK179" s="83"/>
      <c r="BL179" s="43" t="str">
        <f aca="false">IFERROR(INDEX(ЗАКАЗЫ!$N$3:$N$500,MATCH($A179,ЗАКАЗЫ!$F$3:$F$500,0)),"")</f>
        <v/>
      </c>
      <c r="BM179" s="8" t="str">
        <f aca="false">IF(BL179="","",IFERROR(VLOOKUP(BL179,'ТН ВЭД'!$A$4:$C$40,3,0),""))</f>
        <v/>
      </c>
      <c r="BN179" s="7" t="str">
        <f aca="false">IF(COUNTIF(ЗАКАЗЫ!$F$3:$F$500,$A179)=0,"",SUMIF(ЗАКАЗЫ!$F$3:$F$500,$A179,ЗАКАЗЫ!$J$3:$J$500))</f>
        <v/>
      </c>
      <c r="BO179" s="7" t="str">
        <f aca="false">IF(BN179="","",SUMIF(ЗАКАЗЫ!$F$3:$F$500,$A179,ЗАКАЗЫ!$AL$3:$AL$500))</f>
        <v/>
      </c>
      <c r="BP179" s="7" t="str">
        <f aca="false">IF(BN179="","",BN179-BO179)</f>
        <v/>
      </c>
      <c r="BQ179" s="55" t="str">
        <f aca="false">IF(BN179="","",IF(BO179&gt;=BN179,"На складе",IF(BO179&gt;0,"Частично","Ждём")))</f>
        <v/>
      </c>
      <c r="BR179" s="43"/>
      <c r="BS179" s="47" t="str">
        <f aca="false">IF(BN179="","",IF(_xlfn.MAXIFS(ЗАКАЗЫ!$AK$3:$AK$500,ЗАКАЗЫ!$F$3:$F$500,$A179)=0,"",_xlfn.MAXIFS(ЗАКАЗЫ!$AK$3:$AK$500,ЗАКАЗЫ!$F$3:$F$500,$A179)))</f>
        <v/>
      </c>
    </row>
    <row r="180" customFormat="false" ht="15.75" hidden="false" customHeight="true" outlineLevel="0" collapsed="false">
      <c r="A180" s="80" t="s">
        <v>3091</v>
      </c>
      <c r="B180" s="81"/>
      <c r="C180" s="81"/>
      <c r="D180" s="81"/>
      <c r="E180" s="83"/>
      <c r="F180" s="81"/>
      <c r="G180" s="83"/>
      <c r="H180" s="83"/>
      <c r="I180" s="84" t="str">
        <f aca="false">IF(E180="","",A180&amp;"_1.jpg")</f>
        <v/>
      </c>
      <c r="J180" s="84" t="str">
        <f aca="false">IF(E180="","",A180&amp;"_2.jpg; "&amp;A180&amp;"_3.jpg")</f>
        <v/>
      </c>
      <c r="K180" s="84" t="str">
        <f aca="false">IF(E180="","",A180&amp;"_schema.jpg")</f>
        <v/>
      </c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 t="s">
        <v>96</v>
      </c>
      <c r="W180" s="81"/>
      <c r="X180" s="81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6" t="str">
        <f aca="false">IF(SUM(Y180:AJ180)=0,"",SUM(Y180:AJ180))</f>
        <v/>
      </c>
      <c r="AL180" s="84" t="str">
        <f aca="false">MID(IF(N(Y180)&gt;0,", "&amp;Y$2,"")&amp;IF(N(Z180)&gt;0,", "&amp;Z$2,"")&amp;IF(N(AA180)&gt;0,", "&amp;AA$2,"")&amp;IF(N(AB180)&gt;0,", "&amp;AB$2,"")&amp;IF(N(AC180)&gt;0,", "&amp;AC$2,"")&amp;IF(N(AD180)&gt;0,", "&amp;AD$2,"")&amp;IF(N(AE180)&gt;0,", "&amp;AE$2,"")&amp;IF(N(AF180)&gt;0,", "&amp;AF$2,"")&amp;IF(N(AG180)&gt;0,", "&amp;AG$2,"")&amp;IF(N(AH180)&gt;0,", "&amp;AH$2,"")&amp;IF(N(AI180)&gt;0,", "&amp;AI$2,"")&amp;IF(N(AJ180)&gt;0,", "&amp;AJ$2,""),3,999)</f>
        <v/>
      </c>
      <c r="AM180" s="87" t="str">
        <f aca="false">IF(E180="","",MID(IF(N(Y180)&gt;0,", "&amp;A180&amp;"-"&amp;Y$2,"")&amp;IF(N(Z180)&gt;0,", "&amp;A180&amp;"-"&amp;Z$2,"")&amp;IF(N(AA180)&gt;0,", "&amp;A180&amp;"-"&amp;AA$2,"")&amp;IF(N(AB180)&gt;0,", "&amp;A180&amp;"-"&amp;AB$2,"")&amp;IF(N(AC180)&gt;0,", "&amp;A180&amp;"-"&amp;AC$2,"")&amp;IF(N(AD180)&gt;0,", "&amp;A180&amp;"-"&amp;AD$2,"")&amp;IF(N(AE180)&gt;0,", "&amp;A180&amp;"-"&amp;AE$2,"")&amp;IF(N(AF180)&gt;0,", "&amp;A180&amp;"-"&amp;AF$2,"")&amp;IF(N(AG180)&gt;0,", "&amp;A180&amp;"-"&amp;AG$2,"")&amp;IF(N(AH180)&gt;0,", "&amp;A180&amp;"-"&amp;AH$2,"")&amp;IF(N(AI180)&gt;0,", "&amp;A180&amp;"-"&amp;AI$2,"")&amp;IF(N(AJ180)&gt;0,", "&amp;A180&amp;"-"&amp;AJ$2,""),3,999))</f>
        <v/>
      </c>
      <c r="AN180" s="81"/>
      <c r="AO180" s="88"/>
      <c r="AP180" s="89" t="str">
        <f aca="false">IF(AO180="","",ROUND(AO180/(1+Справочники!$B$13),2))</f>
        <v/>
      </c>
      <c r="AQ180" s="90" t="str">
        <f aca="false" t="array" ref="AQ180:AQ180">IF(AP180="","",AP180*INDEX(Справочники!$B$4:$B$7,MATCH("RUB",Справочники!$A$4:$A$7,0)))</f>
        <v/>
      </c>
      <c r="AR180" s="90" t="str">
        <f aca="false">IF(AQ180="","",ROUND(AQ180*(1+Справочники!$B$12),0))</f>
        <v/>
      </c>
      <c r="AS180" s="90" t="str">
        <f aca="false">IF(AR180="","",ROUND(AR180*(1-Справочники!$B$11),0))</f>
        <v/>
      </c>
      <c r="AT180" s="88"/>
      <c r="AU180" s="90" t="str">
        <f aca="false">IF(AT180="","",ROUND(AT180/(1+Справочники!$B$12),0))</f>
        <v/>
      </c>
      <c r="AV180" s="90" t="str">
        <f aca="false">IF(AT180="","",ROUND(AT180*(1-Справочники!$B$15),0))</f>
        <v/>
      </c>
      <c r="AW180" s="90" t="str">
        <f aca="false">IF(AT180="","",ROUND(AT180*(1-Справочники!$B$16),0))</f>
        <v/>
      </c>
      <c r="AX180" s="90" t="str">
        <f aca="false">IF(AT180="","",ROUND(AT180*(1-Справочники!$B$17),0))</f>
        <v/>
      </c>
      <c r="AY180" s="90" t="str">
        <f aca="false">IF(AT180="","",ROUND(AT180*(1-Справочники!$B$18),0))</f>
        <v/>
      </c>
      <c r="AZ180" s="90" t="str">
        <f aca="false">IF(AT180="","",ROUND(AT180*(1-Справочники!$B$19),0))</f>
        <v/>
      </c>
      <c r="BA180" s="81"/>
      <c r="BB180" s="81"/>
      <c r="BC180" s="81"/>
      <c r="BD180" s="81"/>
      <c r="BE180" s="91"/>
      <c r="BF180" s="81" t="s">
        <v>103</v>
      </c>
      <c r="BG180" s="89" t="n">
        <f aca="false" t="array" ref="BG180:BG180">IF(BF180="","",IFERROR(INDEX(Справочники!$B$4:$B$7,MATCH(BF180,Справочники!$A$4:$A$7,0)),""))</f>
        <v>68.5</v>
      </c>
      <c r="BH180" s="90" t="str">
        <f aca="false">IF(N(BN180)&gt;0,ROUND(SUMIF(ЗАКАЗЫ!$F$3:$F$500,$A180,ЗАКАЗЫ!$Y$3:$Y$500)/BN180,0),IF(OR(BE180="",BG180=""),"",ROUND(BE180*BG180*(1+Справочники!$B$10),0)))</f>
        <v/>
      </c>
      <c r="BI180" s="92" t="str">
        <f aca="false">IF(OR(AU180="",BH180="",AU180=0),"",(AU180-BH180)/AU180)</f>
        <v/>
      </c>
      <c r="BJ180" s="81"/>
      <c r="BK180" s="83"/>
      <c r="BL180" s="43" t="str">
        <f aca="false">IFERROR(INDEX(ЗАКАЗЫ!$N$3:$N$500,MATCH($A180,ЗАКАЗЫ!$F$3:$F$500,0)),"")</f>
        <v/>
      </c>
      <c r="BM180" s="8" t="str">
        <f aca="false">IF(BL180="","",IFERROR(VLOOKUP(BL180,'ТН ВЭД'!$A$4:$C$40,3,0),""))</f>
        <v/>
      </c>
      <c r="BN180" s="7" t="str">
        <f aca="false">IF(COUNTIF(ЗАКАЗЫ!$F$3:$F$500,$A180)=0,"",SUMIF(ЗАКАЗЫ!$F$3:$F$500,$A180,ЗАКАЗЫ!$J$3:$J$500))</f>
        <v/>
      </c>
      <c r="BO180" s="7" t="str">
        <f aca="false">IF(BN180="","",SUMIF(ЗАКАЗЫ!$F$3:$F$500,$A180,ЗАКАЗЫ!$AL$3:$AL$500))</f>
        <v/>
      </c>
      <c r="BP180" s="7" t="str">
        <f aca="false">IF(BN180="","",BN180-BO180)</f>
        <v/>
      </c>
      <c r="BQ180" s="55" t="str">
        <f aca="false">IF(BN180="","",IF(BO180&gt;=BN180,"На складе",IF(BO180&gt;0,"Частично","Ждём")))</f>
        <v/>
      </c>
      <c r="BR180" s="43"/>
      <c r="BS180" s="47" t="str">
        <f aca="false">IF(BN180="","",IF(_xlfn.MAXIFS(ЗАКАЗЫ!$AK$3:$AK$500,ЗАКАЗЫ!$F$3:$F$500,$A180)=0,"",_xlfn.MAXIFS(ЗАКАЗЫ!$AK$3:$AK$500,ЗАКАЗЫ!$F$3:$F$500,$A180)))</f>
        <v/>
      </c>
    </row>
    <row r="181" customFormat="false" ht="15.75" hidden="false" customHeight="true" outlineLevel="0" collapsed="false">
      <c r="A181" s="80" t="s">
        <v>3092</v>
      </c>
      <c r="B181" s="81"/>
      <c r="C181" s="81"/>
      <c r="D181" s="81"/>
      <c r="E181" s="83"/>
      <c r="F181" s="81"/>
      <c r="G181" s="83"/>
      <c r="H181" s="83"/>
      <c r="I181" s="84" t="str">
        <f aca="false">IF(E181="","",A181&amp;"_1.jpg")</f>
        <v/>
      </c>
      <c r="J181" s="84" t="str">
        <f aca="false">IF(E181="","",A181&amp;"_2.jpg; "&amp;A181&amp;"_3.jpg")</f>
        <v/>
      </c>
      <c r="K181" s="84" t="str">
        <f aca="false">IF(E181="","",A181&amp;"_schema.jpg")</f>
        <v/>
      </c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 t="s">
        <v>96</v>
      </c>
      <c r="W181" s="81"/>
      <c r="X181" s="81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6" t="str">
        <f aca="false">IF(SUM(Y181:AJ181)=0,"",SUM(Y181:AJ181))</f>
        <v/>
      </c>
      <c r="AL181" s="84" t="str">
        <f aca="false">MID(IF(N(Y181)&gt;0,", "&amp;Y$2,"")&amp;IF(N(Z181)&gt;0,", "&amp;Z$2,"")&amp;IF(N(AA181)&gt;0,", "&amp;AA$2,"")&amp;IF(N(AB181)&gt;0,", "&amp;AB$2,"")&amp;IF(N(AC181)&gt;0,", "&amp;AC$2,"")&amp;IF(N(AD181)&gt;0,", "&amp;AD$2,"")&amp;IF(N(AE181)&gt;0,", "&amp;AE$2,"")&amp;IF(N(AF181)&gt;0,", "&amp;AF$2,"")&amp;IF(N(AG181)&gt;0,", "&amp;AG$2,"")&amp;IF(N(AH181)&gt;0,", "&amp;AH$2,"")&amp;IF(N(AI181)&gt;0,", "&amp;AI$2,"")&amp;IF(N(AJ181)&gt;0,", "&amp;AJ$2,""),3,999)</f>
        <v/>
      </c>
      <c r="AM181" s="87" t="str">
        <f aca="false">IF(E181="","",MID(IF(N(Y181)&gt;0,", "&amp;A181&amp;"-"&amp;Y$2,"")&amp;IF(N(Z181)&gt;0,", "&amp;A181&amp;"-"&amp;Z$2,"")&amp;IF(N(AA181)&gt;0,", "&amp;A181&amp;"-"&amp;AA$2,"")&amp;IF(N(AB181)&gt;0,", "&amp;A181&amp;"-"&amp;AB$2,"")&amp;IF(N(AC181)&gt;0,", "&amp;A181&amp;"-"&amp;AC$2,"")&amp;IF(N(AD181)&gt;0,", "&amp;A181&amp;"-"&amp;AD$2,"")&amp;IF(N(AE181)&gt;0,", "&amp;A181&amp;"-"&amp;AE$2,"")&amp;IF(N(AF181)&gt;0,", "&amp;A181&amp;"-"&amp;AF$2,"")&amp;IF(N(AG181)&gt;0,", "&amp;A181&amp;"-"&amp;AG$2,"")&amp;IF(N(AH181)&gt;0,", "&amp;A181&amp;"-"&amp;AH$2,"")&amp;IF(N(AI181)&gt;0,", "&amp;A181&amp;"-"&amp;AI$2,"")&amp;IF(N(AJ181)&gt;0,", "&amp;A181&amp;"-"&amp;AJ$2,""),3,999))</f>
        <v/>
      </c>
      <c r="AN181" s="81"/>
      <c r="AO181" s="88"/>
      <c r="AP181" s="89" t="str">
        <f aca="false">IF(AO181="","",ROUND(AO181/(1+Справочники!$B$13),2))</f>
        <v/>
      </c>
      <c r="AQ181" s="90" t="str">
        <f aca="false" t="array" ref="AQ181:AQ181">IF(AP181="","",AP181*INDEX(Справочники!$B$4:$B$7,MATCH("RUB",Справочники!$A$4:$A$7,0)))</f>
        <v/>
      </c>
      <c r="AR181" s="90" t="str">
        <f aca="false">IF(AQ181="","",ROUND(AQ181*(1+Справочники!$B$12),0))</f>
        <v/>
      </c>
      <c r="AS181" s="90" t="str">
        <f aca="false">IF(AR181="","",ROUND(AR181*(1-Справочники!$B$11),0))</f>
        <v/>
      </c>
      <c r="AT181" s="88"/>
      <c r="AU181" s="90" t="str">
        <f aca="false">IF(AT181="","",ROUND(AT181/(1+Справочники!$B$12),0))</f>
        <v/>
      </c>
      <c r="AV181" s="90" t="str">
        <f aca="false">IF(AT181="","",ROUND(AT181*(1-Справочники!$B$15),0))</f>
        <v/>
      </c>
      <c r="AW181" s="90" t="str">
        <f aca="false">IF(AT181="","",ROUND(AT181*(1-Справочники!$B$16),0))</f>
        <v/>
      </c>
      <c r="AX181" s="90" t="str">
        <f aca="false">IF(AT181="","",ROUND(AT181*(1-Справочники!$B$17),0))</f>
        <v/>
      </c>
      <c r="AY181" s="90" t="str">
        <f aca="false">IF(AT181="","",ROUND(AT181*(1-Справочники!$B$18),0))</f>
        <v/>
      </c>
      <c r="AZ181" s="90" t="str">
        <f aca="false">IF(AT181="","",ROUND(AT181*(1-Справочники!$B$19),0))</f>
        <v/>
      </c>
      <c r="BA181" s="81"/>
      <c r="BB181" s="81"/>
      <c r="BC181" s="81"/>
      <c r="BD181" s="81"/>
      <c r="BE181" s="91"/>
      <c r="BF181" s="81" t="s">
        <v>103</v>
      </c>
      <c r="BG181" s="89" t="n">
        <f aca="false" t="array" ref="BG181:BG181">IF(BF181="","",IFERROR(INDEX(Справочники!$B$4:$B$7,MATCH(BF181,Справочники!$A$4:$A$7,0)),""))</f>
        <v>68.5</v>
      </c>
      <c r="BH181" s="90" t="str">
        <f aca="false">IF(N(BN181)&gt;0,ROUND(SUMIF(ЗАКАЗЫ!$F$3:$F$500,$A181,ЗАКАЗЫ!$Y$3:$Y$500)/BN181,0),IF(OR(BE181="",BG181=""),"",ROUND(BE181*BG181*(1+Справочники!$B$10),0)))</f>
        <v/>
      </c>
      <c r="BI181" s="92" t="str">
        <f aca="false">IF(OR(AU181="",BH181="",AU181=0),"",(AU181-BH181)/AU181)</f>
        <v/>
      </c>
      <c r="BJ181" s="81"/>
      <c r="BK181" s="83"/>
      <c r="BL181" s="43" t="str">
        <f aca="false">IFERROR(INDEX(ЗАКАЗЫ!$N$3:$N$500,MATCH($A181,ЗАКАЗЫ!$F$3:$F$500,0)),"")</f>
        <v/>
      </c>
      <c r="BM181" s="8" t="str">
        <f aca="false">IF(BL181="","",IFERROR(VLOOKUP(BL181,'ТН ВЭД'!$A$4:$C$40,3,0),""))</f>
        <v/>
      </c>
      <c r="BN181" s="7" t="str">
        <f aca="false">IF(COUNTIF(ЗАКАЗЫ!$F$3:$F$500,$A181)=0,"",SUMIF(ЗАКАЗЫ!$F$3:$F$500,$A181,ЗАКАЗЫ!$J$3:$J$500))</f>
        <v/>
      </c>
      <c r="BO181" s="7" t="str">
        <f aca="false">IF(BN181="","",SUMIF(ЗАКАЗЫ!$F$3:$F$500,$A181,ЗАКАЗЫ!$AL$3:$AL$500))</f>
        <v/>
      </c>
      <c r="BP181" s="7" t="str">
        <f aca="false">IF(BN181="","",BN181-BO181)</f>
        <v/>
      </c>
      <c r="BQ181" s="55" t="str">
        <f aca="false">IF(BN181="","",IF(BO181&gt;=BN181,"На складе",IF(BO181&gt;0,"Частично","Ждём")))</f>
        <v/>
      </c>
      <c r="BR181" s="43"/>
      <c r="BS181" s="47" t="str">
        <f aca="false">IF(BN181="","",IF(_xlfn.MAXIFS(ЗАКАЗЫ!$AK$3:$AK$500,ЗАКАЗЫ!$F$3:$F$500,$A181)=0,"",_xlfn.MAXIFS(ЗАКАЗЫ!$AK$3:$AK$500,ЗАКАЗЫ!$F$3:$F$500,$A181)))</f>
        <v/>
      </c>
    </row>
    <row r="182" customFormat="false" ht="15.75" hidden="false" customHeight="true" outlineLevel="0" collapsed="false">
      <c r="A182" s="80" t="s">
        <v>3093</v>
      </c>
      <c r="B182" s="81"/>
      <c r="C182" s="81"/>
      <c r="D182" s="81"/>
      <c r="E182" s="83"/>
      <c r="F182" s="81"/>
      <c r="G182" s="83"/>
      <c r="H182" s="83"/>
      <c r="I182" s="84" t="str">
        <f aca="false">IF(E182="","",A182&amp;"_1.jpg")</f>
        <v/>
      </c>
      <c r="J182" s="84" t="str">
        <f aca="false">IF(E182="","",A182&amp;"_2.jpg; "&amp;A182&amp;"_3.jpg")</f>
        <v/>
      </c>
      <c r="K182" s="84" t="str">
        <f aca="false">IF(E182="","",A182&amp;"_schema.jpg")</f>
        <v/>
      </c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 t="s">
        <v>96</v>
      </c>
      <c r="W182" s="81"/>
      <c r="X182" s="81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6" t="str">
        <f aca="false">IF(SUM(Y182:AJ182)=0,"",SUM(Y182:AJ182))</f>
        <v/>
      </c>
      <c r="AL182" s="84" t="str">
        <f aca="false">MID(IF(N(Y182)&gt;0,", "&amp;Y$2,"")&amp;IF(N(Z182)&gt;0,", "&amp;Z$2,"")&amp;IF(N(AA182)&gt;0,", "&amp;AA$2,"")&amp;IF(N(AB182)&gt;0,", "&amp;AB$2,"")&amp;IF(N(AC182)&gt;0,", "&amp;AC$2,"")&amp;IF(N(AD182)&gt;0,", "&amp;AD$2,"")&amp;IF(N(AE182)&gt;0,", "&amp;AE$2,"")&amp;IF(N(AF182)&gt;0,", "&amp;AF$2,"")&amp;IF(N(AG182)&gt;0,", "&amp;AG$2,"")&amp;IF(N(AH182)&gt;0,", "&amp;AH$2,"")&amp;IF(N(AI182)&gt;0,", "&amp;AI$2,"")&amp;IF(N(AJ182)&gt;0,", "&amp;AJ$2,""),3,999)</f>
        <v/>
      </c>
      <c r="AM182" s="87" t="str">
        <f aca="false">IF(E182="","",MID(IF(N(Y182)&gt;0,", "&amp;A182&amp;"-"&amp;Y$2,"")&amp;IF(N(Z182)&gt;0,", "&amp;A182&amp;"-"&amp;Z$2,"")&amp;IF(N(AA182)&gt;0,", "&amp;A182&amp;"-"&amp;AA$2,"")&amp;IF(N(AB182)&gt;0,", "&amp;A182&amp;"-"&amp;AB$2,"")&amp;IF(N(AC182)&gt;0,", "&amp;A182&amp;"-"&amp;AC$2,"")&amp;IF(N(AD182)&gt;0,", "&amp;A182&amp;"-"&amp;AD$2,"")&amp;IF(N(AE182)&gt;0,", "&amp;A182&amp;"-"&amp;AE$2,"")&amp;IF(N(AF182)&gt;0,", "&amp;A182&amp;"-"&amp;AF$2,"")&amp;IF(N(AG182)&gt;0,", "&amp;A182&amp;"-"&amp;AG$2,"")&amp;IF(N(AH182)&gt;0,", "&amp;A182&amp;"-"&amp;AH$2,"")&amp;IF(N(AI182)&gt;0,", "&amp;A182&amp;"-"&amp;AI$2,"")&amp;IF(N(AJ182)&gt;0,", "&amp;A182&amp;"-"&amp;AJ$2,""),3,999))</f>
        <v/>
      </c>
      <c r="AN182" s="81"/>
      <c r="AO182" s="88"/>
      <c r="AP182" s="89" t="str">
        <f aca="false">IF(AO182="","",ROUND(AO182/(1+Справочники!$B$13),2))</f>
        <v/>
      </c>
      <c r="AQ182" s="90" t="str">
        <f aca="false" t="array" ref="AQ182:AQ182">IF(AP182="","",AP182*INDEX(Справочники!$B$4:$B$7,MATCH("RUB",Справочники!$A$4:$A$7,0)))</f>
        <v/>
      </c>
      <c r="AR182" s="90" t="str">
        <f aca="false">IF(AQ182="","",ROUND(AQ182*(1+Справочники!$B$12),0))</f>
        <v/>
      </c>
      <c r="AS182" s="90" t="str">
        <f aca="false">IF(AR182="","",ROUND(AR182*(1-Справочники!$B$11),0))</f>
        <v/>
      </c>
      <c r="AT182" s="88"/>
      <c r="AU182" s="90" t="str">
        <f aca="false">IF(AT182="","",ROUND(AT182/(1+Справочники!$B$12),0))</f>
        <v/>
      </c>
      <c r="AV182" s="90" t="str">
        <f aca="false">IF(AT182="","",ROUND(AT182*(1-Справочники!$B$15),0))</f>
        <v/>
      </c>
      <c r="AW182" s="90" t="str">
        <f aca="false">IF(AT182="","",ROUND(AT182*(1-Справочники!$B$16),0))</f>
        <v/>
      </c>
      <c r="AX182" s="90" t="str">
        <f aca="false">IF(AT182="","",ROUND(AT182*(1-Справочники!$B$17),0))</f>
        <v/>
      </c>
      <c r="AY182" s="90" t="str">
        <f aca="false">IF(AT182="","",ROUND(AT182*(1-Справочники!$B$18),0))</f>
        <v/>
      </c>
      <c r="AZ182" s="90" t="str">
        <f aca="false">IF(AT182="","",ROUND(AT182*(1-Справочники!$B$19),0))</f>
        <v/>
      </c>
      <c r="BA182" s="81"/>
      <c r="BB182" s="81"/>
      <c r="BC182" s="81"/>
      <c r="BD182" s="81"/>
      <c r="BE182" s="91"/>
      <c r="BF182" s="81" t="s">
        <v>103</v>
      </c>
      <c r="BG182" s="89" t="n">
        <f aca="false" t="array" ref="BG182:BG182">IF(BF182="","",IFERROR(INDEX(Справочники!$B$4:$B$7,MATCH(BF182,Справочники!$A$4:$A$7,0)),""))</f>
        <v>68.5</v>
      </c>
      <c r="BH182" s="90" t="str">
        <f aca="false">IF(N(BN182)&gt;0,ROUND(SUMIF(ЗАКАЗЫ!$F$3:$F$500,$A182,ЗАКАЗЫ!$Y$3:$Y$500)/BN182,0),IF(OR(BE182="",BG182=""),"",ROUND(BE182*BG182*(1+Справочники!$B$10),0)))</f>
        <v/>
      </c>
      <c r="BI182" s="92" t="str">
        <f aca="false">IF(OR(AU182="",BH182="",AU182=0),"",(AU182-BH182)/AU182)</f>
        <v/>
      </c>
      <c r="BJ182" s="81"/>
      <c r="BK182" s="83"/>
      <c r="BL182" s="43" t="str">
        <f aca="false">IFERROR(INDEX(ЗАКАЗЫ!$N$3:$N$500,MATCH($A182,ЗАКАЗЫ!$F$3:$F$500,0)),"")</f>
        <v/>
      </c>
      <c r="BM182" s="8" t="str">
        <f aca="false">IF(BL182="","",IFERROR(VLOOKUP(BL182,'ТН ВЭД'!$A$4:$C$40,3,0),""))</f>
        <v/>
      </c>
      <c r="BN182" s="7" t="str">
        <f aca="false">IF(COUNTIF(ЗАКАЗЫ!$F$3:$F$500,$A182)=0,"",SUMIF(ЗАКАЗЫ!$F$3:$F$500,$A182,ЗАКАЗЫ!$J$3:$J$500))</f>
        <v/>
      </c>
      <c r="BO182" s="7" t="str">
        <f aca="false">IF(BN182="","",SUMIF(ЗАКАЗЫ!$F$3:$F$500,$A182,ЗАКАЗЫ!$AL$3:$AL$500))</f>
        <v/>
      </c>
      <c r="BP182" s="7" t="str">
        <f aca="false">IF(BN182="","",BN182-BO182)</f>
        <v/>
      </c>
      <c r="BQ182" s="55" t="str">
        <f aca="false">IF(BN182="","",IF(BO182&gt;=BN182,"На складе",IF(BO182&gt;0,"Частично","Ждём")))</f>
        <v/>
      </c>
      <c r="BR182" s="43"/>
      <c r="BS182" s="47" t="str">
        <f aca="false">IF(BN182="","",IF(_xlfn.MAXIFS(ЗАКАЗЫ!$AK$3:$AK$500,ЗАКАЗЫ!$F$3:$F$500,$A182)=0,"",_xlfn.MAXIFS(ЗАКАЗЫ!$AK$3:$AK$500,ЗАКАЗЫ!$F$3:$F$500,$A182)))</f>
        <v/>
      </c>
    </row>
    <row r="183" customFormat="false" ht="15.75" hidden="false" customHeight="true" outlineLevel="0" collapsed="false">
      <c r="A183" s="80" t="s">
        <v>3094</v>
      </c>
      <c r="B183" s="81"/>
      <c r="C183" s="81"/>
      <c r="D183" s="81"/>
      <c r="E183" s="83"/>
      <c r="F183" s="81"/>
      <c r="G183" s="83"/>
      <c r="H183" s="83"/>
      <c r="I183" s="84" t="str">
        <f aca="false">IF(E183="","",A183&amp;"_1.jpg")</f>
        <v/>
      </c>
      <c r="J183" s="84" t="str">
        <f aca="false">IF(E183="","",A183&amp;"_2.jpg; "&amp;A183&amp;"_3.jpg")</f>
        <v/>
      </c>
      <c r="K183" s="84" t="str">
        <f aca="false">IF(E183="","",A183&amp;"_schema.jpg")</f>
        <v/>
      </c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 t="s">
        <v>96</v>
      </c>
      <c r="W183" s="81"/>
      <c r="X183" s="81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6" t="str">
        <f aca="false">IF(SUM(Y183:AJ183)=0,"",SUM(Y183:AJ183))</f>
        <v/>
      </c>
      <c r="AL183" s="84" t="str">
        <f aca="false">MID(IF(N(Y183)&gt;0,", "&amp;Y$2,"")&amp;IF(N(Z183)&gt;0,", "&amp;Z$2,"")&amp;IF(N(AA183)&gt;0,", "&amp;AA$2,"")&amp;IF(N(AB183)&gt;0,", "&amp;AB$2,"")&amp;IF(N(AC183)&gt;0,", "&amp;AC$2,"")&amp;IF(N(AD183)&gt;0,", "&amp;AD$2,"")&amp;IF(N(AE183)&gt;0,", "&amp;AE$2,"")&amp;IF(N(AF183)&gt;0,", "&amp;AF$2,"")&amp;IF(N(AG183)&gt;0,", "&amp;AG$2,"")&amp;IF(N(AH183)&gt;0,", "&amp;AH$2,"")&amp;IF(N(AI183)&gt;0,", "&amp;AI$2,"")&amp;IF(N(AJ183)&gt;0,", "&amp;AJ$2,""),3,999)</f>
        <v/>
      </c>
      <c r="AM183" s="87" t="str">
        <f aca="false">IF(E183="","",MID(IF(N(Y183)&gt;0,", "&amp;A183&amp;"-"&amp;Y$2,"")&amp;IF(N(Z183)&gt;0,", "&amp;A183&amp;"-"&amp;Z$2,"")&amp;IF(N(AA183)&gt;0,", "&amp;A183&amp;"-"&amp;AA$2,"")&amp;IF(N(AB183)&gt;0,", "&amp;A183&amp;"-"&amp;AB$2,"")&amp;IF(N(AC183)&gt;0,", "&amp;A183&amp;"-"&amp;AC$2,"")&amp;IF(N(AD183)&gt;0,", "&amp;A183&amp;"-"&amp;AD$2,"")&amp;IF(N(AE183)&gt;0,", "&amp;A183&amp;"-"&amp;AE$2,"")&amp;IF(N(AF183)&gt;0,", "&amp;A183&amp;"-"&amp;AF$2,"")&amp;IF(N(AG183)&gt;0,", "&amp;A183&amp;"-"&amp;AG$2,"")&amp;IF(N(AH183)&gt;0,", "&amp;A183&amp;"-"&amp;AH$2,"")&amp;IF(N(AI183)&gt;0,", "&amp;A183&amp;"-"&amp;AI$2,"")&amp;IF(N(AJ183)&gt;0,", "&amp;A183&amp;"-"&amp;AJ$2,""),3,999))</f>
        <v/>
      </c>
      <c r="AN183" s="81"/>
      <c r="AO183" s="88"/>
      <c r="AP183" s="89" t="str">
        <f aca="false">IF(AO183="","",ROUND(AO183/(1+Справочники!$B$13),2))</f>
        <v/>
      </c>
      <c r="AQ183" s="90" t="str">
        <f aca="false" t="array" ref="AQ183:AQ183">IF(AP183="","",AP183*INDEX(Справочники!$B$4:$B$7,MATCH("RUB",Справочники!$A$4:$A$7,0)))</f>
        <v/>
      </c>
      <c r="AR183" s="90" t="str">
        <f aca="false">IF(AQ183="","",ROUND(AQ183*(1+Справочники!$B$12),0))</f>
        <v/>
      </c>
      <c r="AS183" s="90" t="str">
        <f aca="false">IF(AR183="","",ROUND(AR183*(1-Справочники!$B$11),0))</f>
        <v/>
      </c>
      <c r="AT183" s="88"/>
      <c r="AU183" s="90" t="str">
        <f aca="false">IF(AT183="","",ROUND(AT183/(1+Справочники!$B$12),0))</f>
        <v/>
      </c>
      <c r="AV183" s="90" t="str">
        <f aca="false">IF(AT183="","",ROUND(AT183*(1-Справочники!$B$15),0))</f>
        <v/>
      </c>
      <c r="AW183" s="90" t="str">
        <f aca="false">IF(AT183="","",ROUND(AT183*(1-Справочники!$B$16),0))</f>
        <v/>
      </c>
      <c r="AX183" s="90" t="str">
        <f aca="false">IF(AT183="","",ROUND(AT183*(1-Справочники!$B$17),0))</f>
        <v/>
      </c>
      <c r="AY183" s="90" t="str">
        <f aca="false">IF(AT183="","",ROUND(AT183*(1-Справочники!$B$18),0))</f>
        <v/>
      </c>
      <c r="AZ183" s="90" t="str">
        <f aca="false">IF(AT183="","",ROUND(AT183*(1-Справочники!$B$19),0))</f>
        <v/>
      </c>
      <c r="BA183" s="81"/>
      <c r="BB183" s="81"/>
      <c r="BC183" s="81"/>
      <c r="BD183" s="81"/>
      <c r="BE183" s="91"/>
      <c r="BF183" s="81" t="s">
        <v>103</v>
      </c>
      <c r="BG183" s="89" t="n">
        <f aca="false" t="array" ref="BG183:BG183">IF(BF183="","",IFERROR(INDEX(Справочники!$B$4:$B$7,MATCH(BF183,Справочники!$A$4:$A$7,0)),""))</f>
        <v>68.5</v>
      </c>
      <c r="BH183" s="90" t="str">
        <f aca="false">IF(N(BN183)&gt;0,ROUND(SUMIF(ЗАКАЗЫ!$F$3:$F$500,$A183,ЗАКАЗЫ!$Y$3:$Y$500)/BN183,0),IF(OR(BE183="",BG183=""),"",ROUND(BE183*BG183*(1+Справочники!$B$10),0)))</f>
        <v/>
      </c>
      <c r="BI183" s="92" t="str">
        <f aca="false">IF(OR(AU183="",BH183="",AU183=0),"",(AU183-BH183)/AU183)</f>
        <v/>
      </c>
      <c r="BJ183" s="81"/>
      <c r="BK183" s="83"/>
      <c r="BL183" s="43" t="str">
        <f aca="false">IFERROR(INDEX(ЗАКАЗЫ!$N$3:$N$500,MATCH($A183,ЗАКАЗЫ!$F$3:$F$500,0)),"")</f>
        <v/>
      </c>
      <c r="BM183" s="8" t="str">
        <f aca="false">IF(BL183="","",IFERROR(VLOOKUP(BL183,'ТН ВЭД'!$A$4:$C$40,3,0),""))</f>
        <v/>
      </c>
      <c r="BN183" s="7" t="str">
        <f aca="false">IF(COUNTIF(ЗАКАЗЫ!$F$3:$F$500,$A183)=0,"",SUMIF(ЗАКАЗЫ!$F$3:$F$500,$A183,ЗАКАЗЫ!$J$3:$J$500))</f>
        <v/>
      </c>
      <c r="BO183" s="7" t="str">
        <f aca="false">IF(BN183="","",SUMIF(ЗАКАЗЫ!$F$3:$F$500,$A183,ЗАКАЗЫ!$AL$3:$AL$500))</f>
        <v/>
      </c>
      <c r="BP183" s="7" t="str">
        <f aca="false">IF(BN183="","",BN183-BO183)</f>
        <v/>
      </c>
      <c r="BQ183" s="55" t="str">
        <f aca="false">IF(BN183="","",IF(BO183&gt;=BN183,"На складе",IF(BO183&gt;0,"Частично","Ждём")))</f>
        <v/>
      </c>
      <c r="BR183" s="43"/>
      <c r="BS183" s="47" t="str">
        <f aca="false">IF(BN183="","",IF(_xlfn.MAXIFS(ЗАКАЗЫ!$AK$3:$AK$500,ЗАКАЗЫ!$F$3:$F$500,$A183)=0,"",_xlfn.MAXIFS(ЗАКАЗЫ!$AK$3:$AK$500,ЗАКАЗЫ!$F$3:$F$500,$A183)))</f>
        <v/>
      </c>
    </row>
    <row r="184" customFormat="false" ht="15.75" hidden="false" customHeight="true" outlineLevel="0" collapsed="false">
      <c r="A184" s="80" t="s">
        <v>3095</v>
      </c>
      <c r="B184" s="81"/>
      <c r="C184" s="81"/>
      <c r="D184" s="81"/>
      <c r="E184" s="83"/>
      <c r="F184" s="81"/>
      <c r="G184" s="83"/>
      <c r="H184" s="83"/>
      <c r="I184" s="84" t="str">
        <f aca="false">IF(E184="","",A184&amp;"_1.jpg")</f>
        <v/>
      </c>
      <c r="J184" s="84" t="str">
        <f aca="false">IF(E184="","",A184&amp;"_2.jpg; "&amp;A184&amp;"_3.jpg")</f>
        <v/>
      </c>
      <c r="K184" s="84" t="str">
        <f aca="false">IF(E184="","",A184&amp;"_schema.jpg")</f>
        <v/>
      </c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 t="s">
        <v>96</v>
      </c>
      <c r="W184" s="81"/>
      <c r="X184" s="81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6" t="str">
        <f aca="false">IF(SUM(Y184:AJ184)=0,"",SUM(Y184:AJ184))</f>
        <v/>
      </c>
      <c r="AL184" s="84" t="str">
        <f aca="false">MID(IF(N(Y184)&gt;0,", "&amp;Y$2,"")&amp;IF(N(Z184)&gt;0,", "&amp;Z$2,"")&amp;IF(N(AA184)&gt;0,", "&amp;AA$2,"")&amp;IF(N(AB184)&gt;0,", "&amp;AB$2,"")&amp;IF(N(AC184)&gt;0,", "&amp;AC$2,"")&amp;IF(N(AD184)&gt;0,", "&amp;AD$2,"")&amp;IF(N(AE184)&gt;0,", "&amp;AE$2,"")&amp;IF(N(AF184)&gt;0,", "&amp;AF$2,"")&amp;IF(N(AG184)&gt;0,", "&amp;AG$2,"")&amp;IF(N(AH184)&gt;0,", "&amp;AH$2,"")&amp;IF(N(AI184)&gt;0,", "&amp;AI$2,"")&amp;IF(N(AJ184)&gt;0,", "&amp;AJ$2,""),3,999)</f>
        <v/>
      </c>
      <c r="AM184" s="87" t="str">
        <f aca="false">IF(E184="","",MID(IF(N(Y184)&gt;0,", "&amp;A184&amp;"-"&amp;Y$2,"")&amp;IF(N(Z184)&gt;0,", "&amp;A184&amp;"-"&amp;Z$2,"")&amp;IF(N(AA184)&gt;0,", "&amp;A184&amp;"-"&amp;AA$2,"")&amp;IF(N(AB184)&gt;0,", "&amp;A184&amp;"-"&amp;AB$2,"")&amp;IF(N(AC184)&gt;0,", "&amp;A184&amp;"-"&amp;AC$2,"")&amp;IF(N(AD184)&gt;0,", "&amp;A184&amp;"-"&amp;AD$2,"")&amp;IF(N(AE184)&gt;0,", "&amp;A184&amp;"-"&amp;AE$2,"")&amp;IF(N(AF184)&gt;0,", "&amp;A184&amp;"-"&amp;AF$2,"")&amp;IF(N(AG184)&gt;0,", "&amp;A184&amp;"-"&amp;AG$2,"")&amp;IF(N(AH184)&gt;0,", "&amp;A184&amp;"-"&amp;AH$2,"")&amp;IF(N(AI184)&gt;0,", "&amp;A184&amp;"-"&amp;AI$2,"")&amp;IF(N(AJ184)&gt;0,", "&amp;A184&amp;"-"&amp;AJ$2,""),3,999))</f>
        <v/>
      </c>
      <c r="AN184" s="81"/>
      <c r="AO184" s="88"/>
      <c r="AP184" s="89" t="str">
        <f aca="false">IF(AO184="","",ROUND(AO184/(1+Справочники!$B$13),2))</f>
        <v/>
      </c>
      <c r="AQ184" s="90" t="str">
        <f aca="false" t="array" ref="AQ184:AQ184">IF(AP184="","",AP184*INDEX(Справочники!$B$4:$B$7,MATCH("RUB",Справочники!$A$4:$A$7,0)))</f>
        <v/>
      </c>
      <c r="AR184" s="90" t="str">
        <f aca="false">IF(AQ184="","",ROUND(AQ184*(1+Справочники!$B$12),0))</f>
        <v/>
      </c>
      <c r="AS184" s="90" t="str">
        <f aca="false">IF(AR184="","",ROUND(AR184*(1-Справочники!$B$11),0))</f>
        <v/>
      </c>
      <c r="AT184" s="88"/>
      <c r="AU184" s="90" t="str">
        <f aca="false">IF(AT184="","",ROUND(AT184/(1+Справочники!$B$12),0))</f>
        <v/>
      </c>
      <c r="AV184" s="90" t="str">
        <f aca="false">IF(AT184="","",ROUND(AT184*(1-Справочники!$B$15),0))</f>
        <v/>
      </c>
      <c r="AW184" s="90" t="str">
        <f aca="false">IF(AT184="","",ROUND(AT184*(1-Справочники!$B$16),0))</f>
        <v/>
      </c>
      <c r="AX184" s="90" t="str">
        <f aca="false">IF(AT184="","",ROUND(AT184*(1-Справочники!$B$17),0))</f>
        <v/>
      </c>
      <c r="AY184" s="90" t="str">
        <f aca="false">IF(AT184="","",ROUND(AT184*(1-Справочники!$B$18),0))</f>
        <v/>
      </c>
      <c r="AZ184" s="90" t="str">
        <f aca="false">IF(AT184="","",ROUND(AT184*(1-Справочники!$B$19),0))</f>
        <v/>
      </c>
      <c r="BA184" s="81"/>
      <c r="BB184" s="81"/>
      <c r="BC184" s="81"/>
      <c r="BD184" s="81"/>
      <c r="BE184" s="91"/>
      <c r="BF184" s="81" t="s">
        <v>103</v>
      </c>
      <c r="BG184" s="89" t="n">
        <f aca="false" t="array" ref="BG184:BG184">IF(BF184="","",IFERROR(INDEX(Справочники!$B$4:$B$7,MATCH(BF184,Справочники!$A$4:$A$7,0)),""))</f>
        <v>68.5</v>
      </c>
      <c r="BH184" s="90" t="str">
        <f aca="false">IF(N(BN184)&gt;0,ROUND(SUMIF(ЗАКАЗЫ!$F$3:$F$500,$A184,ЗАКАЗЫ!$Y$3:$Y$500)/BN184,0),IF(OR(BE184="",BG184=""),"",ROUND(BE184*BG184*(1+Справочники!$B$10),0)))</f>
        <v/>
      </c>
      <c r="BI184" s="92" t="str">
        <f aca="false">IF(OR(AU184="",BH184="",AU184=0),"",(AU184-BH184)/AU184)</f>
        <v/>
      </c>
      <c r="BJ184" s="81"/>
      <c r="BK184" s="83"/>
      <c r="BL184" s="43" t="str">
        <f aca="false">IFERROR(INDEX(ЗАКАЗЫ!$N$3:$N$500,MATCH($A184,ЗАКАЗЫ!$F$3:$F$500,0)),"")</f>
        <v/>
      </c>
      <c r="BM184" s="8" t="str">
        <f aca="false">IF(BL184="","",IFERROR(VLOOKUP(BL184,'ТН ВЭД'!$A$4:$C$40,3,0),""))</f>
        <v/>
      </c>
      <c r="BN184" s="7" t="str">
        <f aca="false">IF(COUNTIF(ЗАКАЗЫ!$F$3:$F$500,$A184)=0,"",SUMIF(ЗАКАЗЫ!$F$3:$F$500,$A184,ЗАКАЗЫ!$J$3:$J$500))</f>
        <v/>
      </c>
      <c r="BO184" s="7" t="str">
        <f aca="false">IF(BN184="","",SUMIF(ЗАКАЗЫ!$F$3:$F$500,$A184,ЗАКАЗЫ!$AL$3:$AL$500))</f>
        <v/>
      </c>
      <c r="BP184" s="7" t="str">
        <f aca="false">IF(BN184="","",BN184-BO184)</f>
        <v/>
      </c>
      <c r="BQ184" s="55" t="str">
        <f aca="false">IF(BN184="","",IF(BO184&gt;=BN184,"На складе",IF(BO184&gt;0,"Частично","Ждём")))</f>
        <v/>
      </c>
      <c r="BR184" s="43"/>
      <c r="BS184" s="47" t="str">
        <f aca="false">IF(BN184="","",IF(_xlfn.MAXIFS(ЗАКАЗЫ!$AK$3:$AK$500,ЗАКАЗЫ!$F$3:$F$500,$A184)=0,"",_xlfn.MAXIFS(ЗАКАЗЫ!$AK$3:$AK$500,ЗАКАЗЫ!$F$3:$F$500,$A184)))</f>
        <v/>
      </c>
    </row>
    <row r="185" customFormat="false" ht="15.75" hidden="false" customHeight="true" outlineLevel="0" collapsed="false">
      <c r="A185" s="80" t="s">
        <v>3096</v>
      </c>
      <c r="B185" s="81"/>
      <c r="C185" s="81"/>
      <c r="D185" s="81"/>
      <c r="E185" s="83"/>
      <c r="F185" s="81"/>
      <c r="G185" s="83"/>
      <c r="H185" s="83"/>
      <c r="I185" s="84" t="str">
        <f aca="false">IF(E185="","",A185&amp;"_1.jpg")</f>
        <v/>
      </c>
      <c r="J185" s="84" t="str">
        <f aca="false">IF(E185="","",A185&amp;"_2.jpg; "&amp;A185&amp;"_3.jpg")</f>
        <v/>
      </c>
      <c r="K185" s="84" t="str">
        <f aca="false">IF(E185="","",A185&amp;"_schema.jpg")</f>
        <v/>
      </c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 t="s">
        <v>96</v>
      </c>
      <c r="W185" s="81"/>
      <c r="X185" s="81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6" t="str">
        <f aca="false">IF(SUM(Y185:AJ185)=0,"",SUM(Y185:AJ185))</f>
        <v/>
      </c>
      <c r="AL185" s="84" t="str">
        <f aca="false">MID(IF(N(Y185)&gt;0,", "&amp;Y$2,"")&amp;IF(N(Z185)&gt;0,", "&amp;Z$2,"")&amp;IF(N(AA185)&gt;0,", "&amp;AA$2,"")&amp;IF(N(AB185)&gt;0,", "&amp;AB$2,"")&amp;IF(N(AC185)&gt;0,", "&amp;AC$2,"")&amp;IF(N(AD185)&gt;0,", "&amp;AD$2,"")&amp;IF(N(AE185)&gt;0,", "&amp;AE$2,"")&amp;IF(N(AF185)&gt;0,", "&amp;AF$2,"")&amp;IF(N(AG185)&gt;0,", "&amp;AG$2,"")&amp;IF(N(AH185)&gt;0,", "&amp;AH$2,"")&amp;IF(N(AI185)&gt;0,", "&amp;AI$2,"")&amp;IF(N(AJ185)&gt;0,", "&amp;AJ$2,""),3,999)</f>
        <v/>
      </c>
      <c r="AM185" s="87" t="str">
        <f aca="false">IF(E185="","",MID(IF(N(Y185)&gt;0,", "&amp;A185&amp;"-"&amp;Y$2,"")&amp;IF(N(Z185)&gt;0,", "&amp;A185&amp;"-"&amp;Z$2,"")&amp;IF(N(AA185)&gt;0,", "&amp;A185&amp;"-"&amp;AA$2,"")&amp;IF(N(AB185)&gt;0,", "&amp;A185&amp;"-"&amp;AB$2,"")&amp;IF(N(AC185)&gt;0,", "&amp;A185&amp;"-"&amp;AC$2,"")&amp;IF(N(AD185)&gt;0,", "&amp;A185&amp;"-"&amp;AD$2,"")&amp;IF(N(AE185)&gt;0,", "&amp;A185&amp;"-"&amp;AE$2,"")&amp;IF(N(AF185)&gt;0,", "&amp;A185&amp;"-"&amp;AF$2,"")&amp;IF(N(AG185)&gt;0,", "&amp;A185&amp;"-"&amp;AG$2,"")&amp;IF(N(AH185)&gt;0,", "&amp;A185&amp;"-"&amp;AH$2,"")&amp;IF(N(AI185)&gt;0,", "&amp;A185&amp;"-"&amp;AI$2,"")&amp;IF(N(AJ185)&gt;0,", "&amp;A185&amp;"-"&amp;AJ$2,""),3,999))</f>
        <v/>
      </c>
      <c r="AN185" s="81"/>
      <c r="AO185" s="88"/>
      <c r="AP185" s="89" t="str">
        <f aca="false">IF(AO185="","",ROUND(AO185/(1+Справочники!$B$13),2))</f>
        <v/>
      </c>
      <c r="AQ185" s="90" t="str">
        <f aca="false" t="array" ref="AQ185:AQ185">IF(AP185="","",AP185*INDEX(Справочники!$B$4:$B$7,MATCH("RUB",Справочники!$A$4:$A$7,0)))</f>
        <v/>
      </c>
      <c r="AR185" s="90" t="str">
        <f aca="false">IF(AQ185="","",ROUND(AQ185*(1+Справочники!$B$12),0))</f>
        <v/>
      </c>
      <c r="AS185" s="90" t="str">
        <f aca="false">IF(AR185="","",ROUND(AR185*(1-Справочники!$B$11),0))</f>
        <v/>
      </c>
      <c r="AT185" s="88"/>
      <c r="AU185" s="90" t="str">
        <f aca="false">IF(AT185="","",ROUND(AT185/(1+Справочники!$B$12),0))</f>
        <v/>
      </c>
      <c r="AV185" s="90" t="str">
        <f aca="false">IF(AT185="","",ROUND(AT185*(1-Справочники!$B$15),0))</f>
        <v/>
      </c>
      <c r="AW185" s="90" t="str">
        <f aca="false">IF(AT185="","",ROUND(AT185*(1-Справочники!$B$16),0))</f>
        <v/>
      </c>
      <c r="AX185" s="90" t="str">
        <f aca="false">IF(AT185="","",ROUND(AT185*(1-Справочники!$B$17),0))</f>
        <v/>
      </c>
      <c r="AY185" s="90" t="str">
        <f aca="false">IF(AT185="","",ROUND(AT185*(1-Справочники!$B$18),0))</f>
        <v/>
      </c>
      <c r="AZ185" s="90" t="str">
        <f aca="false">IF(AT185="","",ROUND(AT185*(1-Справочники!$B$19),0))</f>
        <v/>
      </c>
      <c r="BA185" s="81"/>
      <c r="BB185" s="81"/>
      <c r="BC185" s="81"/>
      <c r="BD185" s="81"/>
      <c r="BE185" s="91"/>
      <c r="BF185" s="81" t="s">
        <v>103</v>
      </c>
      <c r="BG185" s="89" t="n">
        <f aca="false" t="array" ref="BG185:BG185">IF(BF185="","",IFERROR(INDEX(Справочники!$B$4:$B$7,MATCH(BF185,Справочники!$A$4:$A$7,0)),""))</f>
        <v>68.5</v>
      </c>
      <c r="BH185" s="90" t="str">
        <f aca="false">IF(N(BN185)&gt;0,ROUND(SUMIF(ЗАКАЗЫ!$F$3:$F$500,$A185,ЗАКАЗЫ!$Y$3:$Y$500)/BN185,0),IF(OR(BE185="",BG185=""),"",ROUND(BE185*BG185*(1+Справочники!$B$10),0)))</f>
        <v/>
      </c>
      <c r="BI185" s="92" t="str">
        <f aca="false">IF(OR(AU185="",BH185="",AU185=0),"",(AU185-BH185)/AU185)</f>
        <v/>
      </c>
      <c r="BJ185" s="81"/>
      <c r="BK185" s="83"/>
      <c r="BL185" s="43" t="str">
        <f aca="false">IFERROR(INDEX(ЗАКАЗЫ!$N$3:$N$500,MATCH($A185,ЗАКАЗЫ!$F$3:$F$500,0)),"")</f>
        <v/>
      </c>
      <c r="BM185" s="8" t="str">
        <f aca="false">IF(BL185="","",IFERROR(VLOOKUP(BL185,'ТН ВЭД'!$A$4:$C$40,3,0),""))</f>
        <v/>
      </c>
      <c r="BN185" s="7" t="str">
        <f aca="false">IF(COUNTIF(ЗАКАЗЫ!$F$3:$F$500,$A185)=0,"",SUMIF(ЗАКАЗЫ!$F$3:$F$500,$A185,ЗАКАЗЫ!$J$3:$J$500))</f>
        <v/>
      </c>
      <c r="BO185" s="7" t="str">
        <f aca="false">IF(BN185="","",SUMIF(ЗАКАЗЫ!$F$3:$F$500,$A185,ЗАКАЗЫ!$AL$3:$AL$500))</f>
        <v/>
      </c>
      <c r="BP185" s="7" t="str">
        <f aca="false">IF(BN185="","",BN185-BO185)</f>
        <v/>
      </c>
      <c r="BQ185" s="55" t="str">
        <f aca="false">IF(BN185="","",IF(BO185&gt;=BN185,"На складе",IF(BO185&gt;0,"Частично","Ждём")))</f>
        <v/>
      </c>
      <c r="BR185" s="43"/>
      <c r="BS185" s="47" t="str">
        <f aca="false">IF(BN185="","",IF(_xlfn.MAXIFS(ЗАКАЗЫ!$AK$3:$AK$500,ЗАКАЗЫ!$F$3:$F$500,$A185)=0,"",_xlfn.MAXIFS(ЗАКАЗЫ!$AK$3:$AK$500,ЗАКАЗЫ!$F$3:$F$500,$A185)))</f>
        <v/>
      </c>
    </row>
    <row r="186" customFormat="false" ht="15.75" hidden="false" customHeight="true" outlineLevel="0" collapsed="false">
      <c r="A186" s="80" t="s">
        <v>3097</v>
      </c>
      <c r="B186" s="81"/>
      <c r="C186" s="81"/>
      <c r="D186" s="81"/>
      <c r="E186" s="83"/>
      <c r="F186" s="81"/>
      <c r="G186" s="83"/>
      <c r="H186" s="83"/>
      <c r="I186" s="84" t="str">
        <f aca="false">IF(E186="","",A186&amp;"_1.jpg")</f>
        <v/>
      </c>
      <c r="J186" s="84" t="str">
        <f aca="false">IF(E186="","",A186&amp;"_2.jpg; "&amp;A186&amp;"_3.jpg")</f>
        <v/>
      </c>
      <c r="K186" s="84" t="str">
        <f aca="false">IF(E186="","",A186&amp;"_schema.jpg")</f>
        <v/>
      </c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 t="s">
        <v>96</v>
      </c>
      <c r="W186" s="81"/>
      <c r="X186" s="81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6" t="str">
        <f aca="false">IF(SUM(Y186:AJ186)=0,"",SUM(Y186:AJ186))</f>
        <v/>
      </c>
      <c r="AL186" s="84" t="str">
        <f aca="false">MID(IF(N(Y186)&gt;0,", "&amp;Y$2,"")&amp;IF(N(Z186)&gt;0,", "&amp;Z$2,"")&amp;IF(N(AA186)&gt;0,", "&amp;AA$2,"")&amp;IF(N(AB186)&gt;0,", "&amp;AB$2,"")&amp;IF(N(AC186)&gt;0,", "&amp;AC$2,"")&amp;IF(N(AD186)&gt;0,", "&amp;AD$2,"")&amp;IF(N(AE186)&gt;0,", "&amp;AE$2,"")&amp;IF(N(AF186)&gt;0,", "&amp;AF$2,"")&amp;IF(N(AG186)&gt;0,", "&amp;AG$2,"")&amp;IF(N(AH186)&gt;0,", "&amp;AH$2,"")&amp;IF(N(AI186)&gt;0,", "&amp;AI$2,"")&amp;IF(N(AJ186)&gt;0,", "&amp;AJ$2,""),3,999)</f>
        <v/>
      </c>
      <c r="AM186" s="87" t="str">
        <f aca="false">IF(E186="","",MID(IF(N(Y186)&gt;0,", "&amp;A186&amp;"-"&amp;Y$2,"")&amp;IF(N(Z186)&gt;0,", "&amp;A186&amp;"-"&amp;Z$2,"")&amp;IF(N(AA186)&gt;0,", "&amp;A186&amp;"-"&amp;AA$2,"")&amp;IF(N(AB186)&gt;0,", "&amp;A186&amp;"-"&amp;AB$2,"")&amp;IF(N(AC186)&gt;0,", "&amp;A186&amp;"-"&amp;AC$2,"")&amp;IF(N(AD186)&gt;0,", "&amp;A186&amp;"-"&amp;AD$2,"")&amp;IF(N(AE186)&gt;0,", "&amp;A186&amp;"-"&amp;AE$2,"")&amp;IF(N(AF186)&gt;0,", "&amp;A186&amp;"-"&amp;AF$2,"")&amp;IF(N(AG186)&gt;0,", "&amp;A186&amp;"-"&amp;AG$2,"")&amp;IF(N(AH186)&gt;0,", "&amp;A186&amp;"-"&amp;AH$2,"")&amp;IF(N(AI186)&gt;0,", "&amp;A186&amp;"-"&amp;AI$2,"")&amp;IF(N(AJ186)&gt;0,", "&amp;A186&amp;"-"&amp;AJ$2,""),3,999))</f>
        <v/>
      </c>
      <c r="AN186" s="81"/>
      <c r="AO186" s="88"/>
      <c r="AP186" s="89" t="str">
        <f aca="false">IF(AO186="","",ROUND(AO186/(1+Справочники!$B$13),2))</f>
        <v/>
      </c>
      <c r="AQ186" s="90" t="str">
        <f aca="false" t="array" ref="AQ186:AQ186">IF(AP186="","",AP186*INDEX(Справочники!$B$4:$B$7,MATCH("RUB",Справочники!$A$4:$A$7,0)))</f>
        <v/>
      </c>
      <c r="AR186" s="90" t="str">
        <f aca="false">IF(AQ186="","",ROUND(AQ186*(1+Справочники!$B$12),0))</f>
        <v/>
      </c>
      <c r="AS186" s="90" t="str">
        <f aca="false">IF(AR186="","",ROUND(AR186*(1-Справочники!$B$11),0))</f>
        <v/>
      </c>
      <c r="AT186" s="88"/>
      <c r="AU186" s="90" t="str">
        <f aca="false">IF(AT186="","",ROUND(AT186/(1+Справочники!$B$12),0))</f>
        <v/>
      </c>
      <c r="AV186" s="90" t="str">
        <f aca="false">IF(AT186="","",ROUND(AT186*(1-Справочники!$B$15),0))</f>
        <v/>
      </c>
      <c r="AW186" s="90" t="str">
        <f aca="false">IF(AT186="","",ROUND(AT186*(1-Справочники!$B$16),0))</f>
        <v/>
      </c>
      <c r="AX186" s="90" t="str">
        <f aca="false">IF(AT186="","",ROUND(AT186*(1-Справочники!$B$17),0))</f>
        <v/>
      </c>
      <c r="AY186" s="90" t="str">
        <f aca="false">IF(AT186="","",ROUND(AT186*(1-Справочники!$B$18),0))</f>
        <v/>
      </c>
      <c r="AZ186" s="90" t="str">
        <f aca="false">IF(AT186="","",ROUND(AT186*(1-Справочники!$B$19),0))</f>
        <v/>
      </c>
      <c r="BA186" s="81"/>
      <c r="BB186" s="81"/>
      <c r="BC186" s="81"/>
      <c r="BD186" s="81"/>
      <c r="BE186" s="91"/>
      <c r="BF186" s="81" t="s">
        <v>103</v>
      </c>
      <c r="BG186" s="89" t="n">
        <f aca="false" t="array" ref="BG186:BG186">IF(BF186="","",IFERROR(INDEX(Справочники!$B$4:$B$7,MATCH(BF186,Справочники!$A$4:$A$7,0)),""))</f>
        <v>68.5</v>
      </c>
      <c r="BH186" s="90" t="str">
        <f aca="false">IF(N(BN186)&gt;0,ROUND(SUMIF(ЗАКАЗЫ!$F$3:$F$500,$A186,ЗАКАЗЫ!$Y$3:$Y$500)/BN186,0),IF(OR(BE186="",BG186=""),"",ROUND(BE186*BG186*(1+Справочники!$B$10),0)))</f>
        <v/>
      </c>
      <c r="BI186" s="92" t="str">
        <f aca="false">IF(OR(AU186="",BH186="",AU186=0),"",(AU186-BH186)/AU186)</f>
        <v/>
      </c>
      <c r="BJ186" s="81"/>
      <c r="BK186" s="83"/>
      <c r="BL186" s="43" t="str">
        <f aca="false">IFERROR(INDEX(ЗАКАЗЫ!$N$3:$N$500,MATCH($A186,ЗАКАЗЫ!$F$3:$F$500,0)),"")</f>
        <v/>
      </c>
      <c r="BM186" s="8" t="str">
        <f aca="false">IF(BL186="","",IFERROR(VLOOKUP(BL186,'ТН ВЭД'!$A$4:$C$40,3,0),""))</f>
        <v/>
      </c>
      <c r="BN186" s="7" t="str">
        <f aca="false">IF(COUNTIF(ЗАКАЗЫ!$F$3:$F$500,$A186)=0,"",SUMIF(ЗАКАЗЫ!$F$3:$F$500,$A186,ЗАКАЗЫ!$J$3:$J$500))</f>
        <v/>
      </c>
      <c r="BO186" s="7" t="str">
        <f aca="false">IF(BN186="","",SUMIF(ЗАКАЗЫ!$F$3:$F$500,$A186,ЗАКАЗЫ!$AL$3:$AL$500))</f>
        <v/>
      </c>
      <c r="BP186" s="7" t="str">
        <f aca="false">IF(BN186="","",BN186-BO186)</f>
        <v/>
      </c>
      <c r="BQ186" s="55" t="str">
        <f aca="false">IF(BN186="","",IF(BO186&gt;=BN186,"На складе",IF(BO186&gt;0,"Частично","Ждём")))</f>
        <v/>
      </c>
      <c r="BR186" s="43"/>
      <c r="BS186" s="47" t="str">
        <f aca="false">IF(BN186="","",IF(_xlfn.MAXIFS(ЗАКАЗЫ!$AK$3:$AK$500,ЗАКАЗЫ!$F$3:$F$500,$A186)=0,"",_xlfn.MAXIFS(ЗАКАЗЫ!$AK$3:$AK$500,ЗАКАЗЫ!$F$3:$F$500,$A186)))</f>
        <v/>
      </c>
    </row>
    <row r="187" customFormat="false" ht="15.75" hidden="false" customHeight="true" outlineLevel="0" collapsed="false">
      <c r="A187" s="80" t="s">
        <v>3098</v>
      </c>
      <c r="B187" s="81"/>
      <c r="C187" s="81"/>
      <c r="D187" s="81"/>
      <c r="E187" s="83"/>
      <c r="F187" s="81"/>
      <c r="G187" s="83"/>
      <c r="H187" s="83"/>
      <c r="I187" s="84" t="str">
        <f aca="false">IF(E187="","",A187&amp;"_1.jpg")</f>
        <v/>
      </c>
      <c r="J187" s="84" t="str">
        <f aca="false">IF(E187="","",A187&amp;"_2.jpg; "&amp;A187&amp;"_3.jpg")</f>
        <v/>
      </c>
      <c r="K187" s="84" t="str">
        <f aca="false">IF(E187="","",A187&amp;"_schema.jpg")</f>
        <v/>
      </c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 t="s">
        <v>96</v>
      </c>
      <c r="W187" s="81"/>
      <c r="X187" s="81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6" t="str">
        <f aca="false">IF(SUM(Y187:AJ187)=0,"",SUM(Y187:AJ187))</f>
        <v/>
      </c>
      <c r="AL187" s="84" t="str">
        <f aca="false">MID(IF(N(Y187)&gt;0,", "&amp;Y$2,"")&amp;IF(N(Z187)&gt;0,", "&amp;Z$2,"")&amp;IF(N(AA187)&gt;0,", "&amp;AA$2,"")&amp;IF(N(AB187)&gt;0,", "&amp;AB$2,"")&amp;IF(N(AC187)&gt;0,", "&amp;AC$2,"")&amp;IF(N(AD187)&gt;0,", "&amp;AD$2,"")&amp;IF(N(AE187)&gt;0,", "&amp;AE$2,"")&amp;IF(N(AF187)&gt;0,", "&amp;AF$2,"")&amp;IF(N(AG187)&gt;0,", "&amp;AG$2,"")&amp;IF(N(AH187)&gt;0,", "&amp;AH$2,"")&amp;IF(N(AI187)&gt;0,", "&amp;AI$2,"")&amp;IF(N(AJ187)&gt;0,", "&amp;AJ$2,""),3,999)</f>
        <v/>
      </c>
      <c r="AM187" s="87" t="str">
        <f aca="false">IF(E187="","",MID(IF(N(Y187)&gt;0,", "&amp;A187&amp;"-"&amp;Y$2,"")&amp;IF(N(Z187)&gt;0,", "&amp;A187&amp;"-"&amp;Z$2,"")&amp;IF(N(AA187)&gt;0,", "&amp;A187&amp;"-"&amp;AA$2,"")&amp;IF(N(AB187)&gt;0,", "&amp;A187&amp;"-"&amp;AB$2,"")&amp;IF(N(AC187)&gt;0,", "&amp;A187&amp;"-"&amp;AC$2,"")&amp;IF(N(AD187)&gt;0,", "&amp;A187&amp;"-"&amp;AD$2,"")&amp;IF(N(AE187)&gt;0,", "&amp;A187&amp;"-"&amp;AE$2,"")&amp;IF(N(AF187)&gt;0,", "&amp;A187&amp;"-"&amp;AF$2,"")&amp;IF(N(AG187)&gt;0,", "&amp;A187&amp;"-"&amp;AG$2,"")&amp;IF(N(AH187)&gt;0,", "&amp;A187&amp;"-"&amp;AH$2,"")&amp;IF(N(AI187)&gt;0,", "&amp;A187&amp;"-"&amp;AI$2,"")&amp;IF(N(AJ187)&gt;0,", "&amp;A187&amp;"-"&amp;AJ$2,""),3,999))</f>
        <v/>
      </c>
      <c r="AN187" s="81"/>
      <c r="AO187" s="88"/>
      <c r="AP187" s="89" t="str">
        <f aca="false">IF(AO187="","",ROUND(AO187/(1+Справочники!$B$13),2))</f>
        <v/>
      </c>
      <c r="AQ187" s="90" t="str">
        <f aca="false" t="array" ref="AQ187:AQ187">IF(AP187="","",AP187*INDEX(Справочники!$B$4:$B$7,MATCH("RUB",Справочники!$A$4:$A$7,0)))</f>
        <v/>
      </c>
      <c r="AR187" s="90" t="str">
        <f aca="false">IF(AQ187="","",ROUND(AQ187*(1+Справочники!$B$12),0))</f>
        <v/>
      </c>
      <c r="AS187" s="90" t="str">
        <f aca="false">IF(AR187="","",ROUND(AR187*(1-Справочники!$B$11),0))</f>
        <v/>
      </c>
      <c r="AT187" s="88"/>
      <c r="AU187" s="90" t="str">
        <f aca="false">IF(AT187="","",ROUND(AT187/(1+Справочники!$B$12),0))</f>
        <v/>
      </c>
      <c r="AV187" s="90" t="str">
        <f aca="false">IF(AT187="","",ROUND(AT187*(1-Справочники!$B$15),0))</f>
        <v/>
      </c>
      <c r="AW187" s="90" t="str">
        <f aca="false">IF(AT187="","",ROUND(AT187*(1-Справочники!$B$16),0))</f>
        <v/>
      </c>
      <c r="AX187" s="90" t="str">
        <f aca="false">IF(AT187="","",ROUND(AT187*(1-Справочники!$B$17),0))</f>
        <v/>
      </c>
      <c r="AY187" s="90" t="str">
        <f aca="false">IF(AT187="","",ROUND(AT187*(1-Справочники!$B$18),0))</f>
        <v/>
      </c>
      <c r="AZ187" s="90" t="str">
        <f aca="false">IF(AT187="","",ROUND(AT187*(1-Справочники!$B$19),0))</f>
        <v/>
      </c>
      <c r="BA187" s="81"/>
      <c r="BB187" s="81"/>
      <c r="BC187" s="81"/>
      <c r="BD187" s="81"/>
      <c r="BE187" s="91"/>
      <c r="BF187" s="81" t="s">
        <v>103</v>
      </c>
      <c r="BG187" s="89" t="n">
        <f aca="false" t="array" ref="BG187:BG187">IF(BF187="","",IFERROR(INDEX(Справочники!$B$4:$B$7,MATCH(BF187,Справочники!$A$4:$A$7,0)),""))</f>
        <v>68.5</v>
      </c>
      <c r="BH187" s="90" t="str">
        <f aca="false">IF(N(BN187)&gt;0,ROUND(SUMIF(ЗАКАЗЫ!$F$3:$F$500,$A187,ЗАКАЗЫ!$Y$3:$Y$500)/BN187,0),IF(OR(BE187="",BG187=""),"",ROUND(BE187*BG187*(1+Справочники!$B$10),0)))</f>
        <v/>
      </c>
      <c r="BI187" s="92" t="str">
        <f aca="false">IF(OR(AU187="",BH187="",AU187=0),"",(AU187-BH187)/AU187)</f>
        <v/>
      </c>
      <c r="BJ187" s="81"/>
      <c r="BK187" s="83"/>
      <c r="BL187" s="43" t="str">
        <f aca="false">IFERROR(INDEX(ЗАКАЗЫ!$N$3:$N$500,MATCH($A187,ЗАКАЗЫ!$F$3:$F$500,0)),"")</f>
        <v/>
      </c>
      <c r="BM187" s="8" t="str">
        <f aca="false">IF(BL187="","",IFERROR(VLOOKUP(BL187,'ТН ВЭД'!$A$4:$C$40,3,0),""))</f>
        <v/>
      </c>
      <c r="BN187" s="7" t="str">
        <f aca="false">IF(COUNTIF(ЗАКАЗЫ!$F$3:$F$500,$A187)=0,"",SUMIF(ЗАКАЗЫ!$F$3:$F$500,$A187,ЗАКАЗЫ!$J$3:$J$500))</f>
        <v/>
      </c>
      <c r="BO187" s="7" t="str">
        <f aca="false">IF(BN187="","",SUMIF(ЗАКАЗЫ!$F$3:$F$500,$A187,ЗАКАЗЫ!$AL$3:$AL$500))</f>
        <v/>
      </c>
      <c r="BP187" s="7" t="str">
        <f aca="false">IF(BN187="","",BN187-BO187)</f>
        <v/>
      </c>
      <c r="BQ187" s="55" t="str">
        <f aca="false">IF(BN187="","",IF(BO187&gt;=BN187,"На складе",IF(BO187&gt;0,"Частично","Ждём")))</f>
        <v/>
      </c>
      <c r="BR187" s="43"/>
      <c r="BS187" s="47" t="str">
        <f aca="false">IF(BN187="","",IF(_xlfn.MAXIFS(ЗАКАЗЫ!$AK$3:$AK$500,ЗАКАЗЫ!$F$3:$F$500,$A187)=0,"",_xlfn.MAXIFS(ЗАКАЗЫ!$AK$3:$AK$500,ЗАКАЗЫ!$F$3:$F$500,$A187)))</f>
        <v/>
      </c>
    </row>
    <row r="188" customFormat="false" ht="15.75" hidden="false" customHeight="true" outlineLevel="0" collapsed="false">
      <c r="A188" s="80" t="s">
        <v>3099</v>
      </c>
      <c r="B188" s="81"/>
      <c r="C188" s="81"/>
      <c r="D188" s="81"/>
      <c r="E188" s="83"/>
      <c r="F188" s="81"/>
      <c r="G188" s="83"/>
      <c r="H188" s="83"/>
      <c r="I188" s="84" t="str">
        <f aca="false">IF(E188="","",A188&amp;"_1.jpg")</f>
        <v/>
      </c>
      <c r="J188" s="84" t="str">
        <f aca="false">IF(E188="","",A188&amp;"_2.jpg; "&amp;A188&amp;"_3.jpg")</f>
        <v/>
      </c>
      <c r="K188" s="84" t="str">
        <f aca="false">IF(E188="","",A188&amp;"_schema.jpg")</f>
        <v/>
      </c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 t="s">
        <v>96</v>
      </c>
      <c r="W188" s="81"/>
      <c r="X188" s="81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6" t="str">
        <f aca="false">IF(SUM(Y188:AJ188)=0,"",SUM(Y188:AJ188))</f>
        <v/>
      </c>
      <c r="AL188" s="84" t="str">
        <f aca="false">MID(IF(N(Y188)&gt;0,", "&amp;Y$2,"")&amp;IF(N(Z188)&gt;0,", "&amp;Z$2,"")&amp;IF(N(AA188)&gt;0,", "&amp;AA$2,"")&amp;IF(N(AB188)&gt;0,", "&amp;AB$2,"")&amp;IF(N(AC188)&gt;0,", "&amp;AC$2,"")&amp;IF(N(AD188)&gt;0,", "&amp;AD$2,"")&amp;IF(N(AE188)&gt;0,", "&amp;AE$2,"")&amp;IF(N(AF188)&gt;0,", "&amp;AF$2,"")&amp;IF(N(AG188)&gt;0,", "&amp;AG$2,"")&amp;IF(N(AH188)&gt;0,", "&amp;AH$2,"")&amp;IF(N(AI188)&gt;0,", "&amp;AI$2,"")&amp;IF(N(AJ188)&gt;0,", "&amp;AJ$2,""),3,999)</f>
        <v/>
      </c>
      <c r="AM188" s="87" t="str">
        <f aca="false">IF(E188="","",MID(IF(N(Y188)&gt;0,", "&amp;A188&amp;"-"&amp;Y$2,"")&amp;IF(N(Z188)&gt;0,", "&amp;A188&amp;"-"&amp;Z$2,"")&amp;IF(N(AA188)&gt;0,", "&amp;A188&amp;"-"&amp;AA$2,"")&amp;IF(N(AB188)&gt;0,", "&amp;A188&amp;"-"&amp;AB$2,"")&amp;IF(N(AC188)&gt;0,", "&amp;A188&amp;"-"&amp;AC$2,"")&amp;IF(N(AD188)&gt;0,", "&amp;A188&amp;"-"&amp;AD$2,"")&amp;IF(N(AE188)&gt;0,", "&amp;A188&amp;"-"&amp;AE$2,"")&amp;IF(N(AF188)&gt;0,", "&amp;A188&amp;"-"&amp;AF$2,"")&amp;IF(N(AG188)&gt;0,", "&amp;A188&amp;"-"&amp;AG$2,"")&amp;IF(N(AH188)&gt;0,", "&amp;A188&amp;"-"&amp;AH$2,"")&amp;IF(N(AI188)&gt;0,", "&amp;A188&amp;"-"&amp;AI$2,"")&amp;IF(N(AJ188)&gt;0,", "&amp;A188&amp;"-"&amp;AJ$2,""),3,999))</f>
        <v/>
      </c>
      <c r="AN188" s="81"/>
      <c r="AO188" s="88"/>
      <c r="AP188" s="89" t="str">
        <f aca="false">IF(AO188="","",ROUND(AO188/(1+Справочники!$B$13),2))</f>
        <v/>
      </c>
      <c r="AQ188" s="90" t="str">
        <f aca="false" t="array" ref="AQ188:AQ188">IF(AP188="","",AP188*INDEX(Справочники!$B$4:$B$7,MATCH("RUB",Справочники!$A$4:$A$7,0)))</f>
        <v/>
      </c>
      <c r="AR188" s="90" t="str">
        <f aca="false">IF(AQ188="","",ROUND(AQ188*(1+Справочники!$B$12),0))</f>
        <v/>
      </c>
      <c r="AS188" s="90" t="str">
        <f aca="false">IF(AR188="","",ROUND(AR188*(1-Справочники!$B$11),0))</f>
        <v/>
      </c>
      <c r="AT188" s="88"/>
      <c r="AU188" s="90" t="str">
        <f aca="false">IF(AT188="","",ROUND(AT188/(1+Справочники!$B$12),0))</f>
        <v/>
      </c>
      <c r="AV188" s="90" t="str">
        <f aca="false">IF(AT188="","",ROUND(AT188*(1-Справочники!$B$15),0))</f>
        <v/>
      </c>
      <c r="AW188" s="90" t="str">
        <f aca="false">IF(AT188="","",ROUND(AT188*(1-Справочники!$B$16),0))</f>
        <v/>
      </c>
      <c r="AX188" s="90" t="str">
        <f aca="false">IF(AT188="","",ROUND(AT188*(1-Справочники!$B$17),0))</f>
        <v/>
      </c>
      <c r="AY188" s="90" t="str">
        <f aca="false">IF(AT188="","",ROUND(AT188*(1-Справочники!$B$18),0))</f>
        <v/>
      </c>
      <c r="AZ188" s="90" t="str">
        <f aca="false">IF(AT188="","",ROUND(AT188*(1-Справочники!$B$19),0))</f>
        <v/>
      </c>
      <c r="BA188" s="81"/>
      <c r="BB188" s="81"/>
      <c r="BC188" s="81"/>
      <c r="BD188" s="81"/>
      <c r="BE188" s="91"/>
      <c r="BF188" s="81" t="s">
        <v>103</v>
      </c>
      <c r="BG188" s="89" t="n">
        <f aca="false" t="array" ref="BG188:BG188">IF(BF188="","",IFERROR(INDEX(Справочники!$B$4:$B$7,MATCH(BF188,Справочники!$A$4:$A$7,0)),""))</f>
        <v>68.5</v>
      </c>
      <c r="BH188" s="90" t="str">
        <f aca="false">IF(N(BN188)&gt;0,ROUND(SUMIF(ЗАКАЗЫ!$F$3:$F$500,$A188,ЗАКАЗЫ!$Y$3:$Y$500)/BN188,0),IF(OR(BE188="",BG188=""),"",ROUND(BE188*BG188*(1+Справочники!$B$10),0)))</f>
        <v/>
      </c>
      <c r="BI188" s="92" t="str">
        <f aca="false">IF(OR(AU188="",BH188="",AU188=0),"",(AU188-BH188)/AU188)</f>
        <v/>
      </c>
      <c r="BJ188" s="81"/>
      <c r="BK188" s="83"/>
      <c r="BL188" s="43" t="str">
        <f aca="false">IFERROR(INDEX(ЗАКАЗЫ!$N$3:$N$500,MATCH($A188,ЗАКАЗЫ!$F$3:$F$500,0)),"")</f>
        <v/>
      </c>
      <c r="BM188" s="8" t="str">
        <f aca="false">IF(BL188="","",IFERROR(VLOOKUP(BL188,'ТН ВЭД'!$A$4:$C$40,3,0),""))</f>
        <v/>
      </c>
      <c r="BN188" s="7" t="str">
        <f aca="false">IF(COUNTIF(ЗАКАЗЫ!$F$3:$F$500,$A188)=0,"",SUMIF(ЗАКАЗЫ!$F$3:$F$500,$A188,ЗАКАЗЫ!$J$3:$J$500))</f>
        <v/>
      </c>
      <c r="BO188" s="7" t="str">
        <f aca="false">IF(BN188="","",SUMIF(ЗАКАЗЫ!$F$3:$F$500,$A188,ЗАКАЗЫ!$AL$3:$AL$500))</f>
        <v/>
      </c>
      <c r="BP188" s="7" t="str">
        <f aca="false">IF(BN188="","",BN188-BO188)</f>
        <v/>
      </c>
      <c r="BQ188" s="55" t="str">
        <f aca="false">IF(BN188="","",IF(BO188&gt;=BN188,"На складе",IF(BO188&gt;0,"Частично","Ждём")))</f>
        <v/>
      </c>
      <c r="BR188" s="43"/>
      <c r="BS188" s="47" t="str">
        <f aca="false">IF(BN188="","",IF(_xlfn.MAXIFS(ЗАКАЗЫ!$AK$3:$AK$500,ЗАКАЗЫ!$F$3:$F$500,$A188)=0,"",_xlfn.MAXIFS(ЗАКАЗЫ!$AK$3:$AK$500,ЗАКАЗЫ!$F$3:$F$500,$A188)))</f>
        <v/>
      </c>
    </row>
    <row r="189" customFormat="false" ht="15.75" hidden="false" customHeight="true" outlineLevel="0" collapsed="false">
      <c r="A189" s="80" t="s">
        <v>3100</v>
      </c>
      <c r="B189" s="81"/>
      <c r="C189" s="81"/>
      <c r="D189" s="81"/>
      <c r="E189" s="83"/>
      <c r="F189" s="81"/>
      <c r="G189" s="83"/>
      <c r="H189" s="83"/>
      <c r="I189" s="84" t="str">
        <f aca="false">IF(E189="","",A189&amp;"_1.jpg")</f>
        <v/>
      </c>
      <c r="J189" s="84" t="str">
        <f aca="false">IF(E189="","",A189&amp;"_2.jpg; "&amp;A189&amp;"_3.jpg")</f>
        <v/>
      </c>
      <c r="K189" s="84" t="str">
        <f aca="false">IF(E189="","",A189&amp;"_schema.jpg")</f>
        <v/>
      </c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 t="s">
        <v>96</v>
      </c>
      <c r="W189" s="81"/>
      <c r="X189" s="81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6" t="str">
        <f aca="false">IF(SUM(Y189:AJ189)=0,"",SUM(Y189:AJ189))</f>
        <v/>
      </c>
      <c r="AL189" s="84" t="str">
        <f aca="false">MID(IF(N(Y189)&gt;0,", "&amp;Y$2,"")&amp;IF(N(Z189)&gt;0,", "&amp;Z$2,"")&amp;IF(N(AA189)&gt;0,", "&amp;AA$2,"")&amp;IF(N(AB189)&gt;0,", "&amp;AB$2,"")&amp;IF(N(AC189)&gt;0,", "&amp;AC$2,"")&amp;IF(N(AD189)&gt;0,", "&amp;AD$2,"")&amp;IF(N(AE189)&gt;0,", "&amp;AE$2,"")&amp;IF(N(AF189)&gt;0,", "&amp;AF$2,"")&amp;IF(N(AG189)&gt;0,", "&amp;AG$2,"")&amp;IF(N(AH189)&gt;0,", "&amp;AH$2,"")&amp;IF(N(AI189)&gt;0,", "&amp;AI$2,"")&amp;IF(N(AJ189)&gt;0,", "&amp;AJ$2,""),3,999)</f>
        <v/>
      </c>
      <c r="AM189" s="87" t="str">
        <f aca="false">IF(E189="","",MID(IF(N(Y189)&gt;0,", "&amp;A189&amp;"-"&amp;Y$2,"")&amp;IF(N(Z189)&gt;0,", "&amp;A189&amp;"-"&amp;Z$2,"")&amp;IF(N(AA189)&gt;0,", "&amp;A189&amp;"-"&amp;AA$2,"")&amp;IF(N(AB189)&gt;0,", "&amp;A189&amp;"-"&amp;AB$2,"")&amp;IF(N(AC189)&gt;0,", "&amp;A189&amp;"-"&amp;AC$2,"")&amp;IF(N(AD189)&gt;0,", "&amp;A189&amp;"-"&amp;AD$2,"")&amp;IF(N(AE189)&gt;0,", "&amp;A189&amp;"-"&amp;AE$2,"")&amp;IF(N(AF189)&gt;0,", "&amp;A189&amp;"-"&amp;AF$2,"")&amp;IF(N(AG189)&gt;0,", "&amp;A189&amp;"-"&amp;AG$2,"")&amp;IF(N(AH189)&gt;0,", "&amp;A189&amp;"-"&amp;AH$2,"")&amp;IF(N(AI189)&gt;0,", "&amp;A189&amp;"-"&amp;AI$2,"")&amp;IF(N(AJ189)&gt;0,", "&amp;A189&amp;"-"&amp;AJ$2,""),3,999))</f>
        <v/>
      </c>
      <c r="AN189" s="81"/>
      <c r="AO189" s="88"/>
      <c r="AP189" s="89" t="str">
        <f aca="false">IF(AO189="","",ROUND(AO189/(1+Справочники!$B$13),2))</f>
        <v/>
      </c>
      <c r="AQ189" s="90" t="str">
        <f aca="false" t="array" ref="AQ189:AQ189">IF(AP189="","",AP189*INDEX(Справочники!$B$4:$B$7,MATCH("RUB",Справочники!$A$4:$A$7,0)))</f>
        <v/>
      </c>
      <c r="AR189" s="90" t="str">
        <f aca="false">IF(AQ189="","",ROUND(AQ189*(1+Справочники!$B$12),0))</f>
        <v/>
      </c>
      <c r="AS189" s="90" t="str">
        <f aca="false">IF(AR189="","",ROUND(AR189*(1-Справочники!$B$11),0))</f>
        <v/>
      </c>
      <c r="AT189" s="88"/>
      <c r="AU189" s="90" t="str">
        <f aca="false">IF(AT189="","",ROUND(AT189/(1+Справочники!$B$12),0))</f>
        <v/>
      </c>
      <c r="AV189" s="90" t="str">
        <f aca="false">IF(AT189="","",ROUND(AT189*(1-Справочники!$B$15),0))</f>
        <v/>
      </c>
      <c r="AW189" s="90" t="str">
        <f aca="false">IF(AT189="","",ROUND(AT189*(1-Справочники!$B$16),0))</f>
        <v/>
      </c>
      <c r="AX189" s="90" t="str">
        <f aca="false">IF(AT189="","",ROUND(AT189*(1-Справочники!$B$17),0))</f>
        <v/>
      </c>
      <c r="AY189" s="90" t="str">
        <f aca="false">IF(AT189="","",ROUND(AT189*(1-Справочники!$B$18),0))</f>
        <v/>
      </c>
      <c r="AZ189" s="90" t="str">
        <f aca="false">IF(AT189="","",ROUND(AT189*(1-Справочники!$B$19),0))</f>
        <v/>
      </c>
      <c r="BA189" s="81"/>
      <c r="BB189" s="81"/>
      <c r="BC189" s="81"/>
      <c r="BD189" s="81"/>
      <c r="BE189" s="91"/>
      <c r="BF189" s="81" t="s">
        <v>103</v>
      </c>
      <c r="BG189" s="89" t="n">
        <f aca="false" t="array" ref="BG189:BG189">IF(BF189="","",IFERROR(INDEX(Справочники!$B$4:$B$7,MATCH(BF189,Справочники!$A$4:$A$7,0)),""))</f>
        <v>68.5</v>
      </c>
      <c r="BH189" s="90" t="str">
        <f aca="false">IF(N(BN189)&gt;0,ROUND(SUMIF(ЗАКАЗЫ!$F$3:$F$500,$A189,ЗАКАЗЫ!$Y$3:$Y$500)/BN189,0),IF(OR(BE189="",BG189=""),"",ROUND(BE189*BG189*(1+Справочники!$B$10),0)))</f>
        <v/>
      </c>
      <c r="BI189" s="92" t="str">
        <f aca="false">IF(OR(AU189="",BH189="",AU189=0),"",(AU189-BH189)/AU189)</f>
        <v/>
      </c>
      <c r="BJ189" s="81"/>
      <c r="BK189" s="83"/>
      <c r="BL189" s="43" t="str">
        <f aca="false">IFERROR(INDEX(ЗАКАЗЫ!$N$3:$N$500,MATCH($A189,ЗАКАЗЫ!$F$3:$F$500,0)),"")</f>
        <v/>
      </c>
      <c r="BM189" s="8" t="str">
        <f aca="false">IF(BL189="","",IFERROR(VLOOKUP(BL189,'ТН ВЭД'!$A$4:$C$40,3,0),""))</f>
        <v/>
      </c>
      <c r="BN189" s="7" t="str">
        <f aca="false">IF(COUNTIF(ЗАКАЗЫ!$F$3:$F$500,$A189)=0,"",SUMIF(ЗАКАЗЫ!$F$3:$F$500,$A189,ЗАКАЗЫ!$J$3:$J$500))</f>
        <v/>
      </c>
      <c r="BO189" s="7" t="str">
        <f aca="false">IF(BN189="","",SUMIF(ЗАКАЗЫ!$F$3:$F$500,$A189,ЗАКАЗЫ!$AL$3:$AL$500))</f>
        <v/>
      </c>
      <c r="BP189" s="7" t="str">
        <f aca="false">IF(BN189="","",BN189-BO189)</f>
        <v/>
      </c>
      <c r="BQ189" s="55" t="str">
        <f aca="false">IF(BN189="","",IF(BO189&gt;=BN189,"На складе",IF(BO189&gt;0,"Частично","Ждём")))</f>
        <v/>
      </c>
      <c r="BR189" s="43"/>
      <c r="BS189" s="47" t="str">
        <f aca="false">IF(BN189="","",IF(_xlfn.MAXIFS(ЗАКАЗЫ!$AK$3:$AK$500,ЗАКАЗЫ!$F$3:$F$500,$A189)=0,"",_xlfn.MAXIFS(ЗАКАЗЫ!$AK$3:$AK$500,ЗАКАЗЫ!$F$3:$F$500,$A189)))</f>
        <v/>
      </c>
    </row>
    <row r="190" customFormat="false" ht="15.75" hidden="false" customHeight="true" outlineLevel="0" collapsed="false">
      <c r="A190" s="80" t="s">
        <v>3101</v>
      </c>
      <c r="B190" s="81"/>
      <c r="C190" s="81"/>
      <c r="D190" s="81"/>
      <c r="E190" s="83"/>
      <c r="F190" s="81"/>
      <c r="G190" s="83"/>
      <c r="H190" s="83"/>
      <c r="I190" s="84" t="str">
        <f aca="false">IF(E190="","",A190&amp;"_1.jpg")</f>
        <v/>
      </c>
      <c r="J190" s="84" t="str">
        <f aca="false">IF(E190="","",A190&amp;"_2.jpg; "&amp;A190&amp;"_3.jpg")</f>
        <v/>
      </c>
      <c r="K190" s="84" t="str">
        <f aca="false">IF(E190="","",A190&amp;"_schema.jpg")</f>
        <v/>
      </c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 t="s">
        <v>96</v>
      </c>
      <c r="W190" s="81"/>
      <c r="X190" s="81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6" t="str">
        <f aca="false">IF(SUM(Y190:AJ190)=0,"",SUM(Y190:AJ190))</f>
        <v/>
      </c>
      <c r="AL190" s="84" t="str">
        <f aca="false">MID(IF(N(Y190)&gt;0,", "&amp;Y$2,"")&amp;IF(N(Z190)&gt;0,", "&amp;Z$2,"")&amp;IF(N(AA190)&gt;0,", "&amp;AA$2,"")&amp;IF(N(AB190)&gt;0,", "&amp;AB$2,"")&amp;IF(N(AC190)&gt;0,", "&amp;AC$2,"")&amp;IF(N(AD190)&gt;0,", "&amp;AD$2,"")&amp;IF(N(AE190)&gt;0,", "&amp;AE$2,"")&amp;IF(N(AF190)&gt;0,", "&amp;AF$2,"")&amp;IF(N(AG190)&gt;0,", "&amp;AG$2,"")&amp;IF(N(AH190)&gt;0,", "&amp;AH$2,"")&amp;IF(N(AI190)&gt;0,", "&amp;AI$2,"")&amp;IF(N(AJ190)&gt;0,", "&amp;AJ$2,""),3,999)</f>
        <v/>
      </c>
      <c r="AM190" s="87" t="str">
        <f aca="false">IF(E190="","",MID(IF(N(Y190)&gt;0,", "&amp;A190&amp;"-"&amp;Y$2,"")&amp;IF(N(Z190)&gt;0,", "&amp;A190&amp;"-"&amp;Z$2,"")&amp;IF(N(AA190)&gt;0,", "&amp;A190&amp;"-"&amp;AA$2,"")&amp;IF(N(AB190)&gt;0,", "&amp;A190&amp;"-"&amp;AB$2,"")&amp;IF(N(AC190)&gt;0,", "&amp;A190&amp;"-"&amp;AC$2,"")&amp;IF(N(AD190)&gt;0,", "&amp;A190&amp;"-"&amp;AD$2,"")&amp;IF(N(AE190)&gt;0,", "&amp;A190&amp;"-"&amp;AE$2,"")&amp;IF(N(AF190)&gt;0,", "&amp;A190&amp;"-"&amp;AF$2,"")&amp;IF(N(AG190)&gt;0,", "&amp;A190&amp;"-"&amp;AG$2,"")&amp;IF(N(AH190)&gt;0,", "&amp;A190&amp;"-"&amp;AH$2,"")&amp;IF(N(AI190)&gt;0,", "&amp;A190&amp;"-"&amp;AI$2,"")&amp;IF(N(AJ190)&gt;0,", "&amp;A190&amp;"-"&amp;AJ$2,""),3,999))</f>
        <v/>
      </c>
      <c r="AN190" s="81"/>
      <c r="AO190" s="88"/>
      <c r="AP190" s="89" t="str">
        <f aca="false">IF(AO190="","",ROUND(AO190/(1+Справочники!$B$13),2))</f>
        <v/>
      </c>
      <c r="AQ190" s="90" t="str">
        <f aca="false" t="array" ref="AQ190:AQ190">IF(AP190="","",AP190*INDEX(Справочники!$B$4:$B$7,MATCH("RUB",Справочники!$A$4:$A$7,0)))</f>
        <v/>
      </c>
      <c r="AR190" s="90" t="str">
        <f aca="false">IF(AQ190="","",ROUND(AQ190*(1+Справочники!$B$12),0))</f>
        <v/>
      </c>
      <c r="AS190" s="90" t="str">
        <f aca="false">IF(AR190="","",ROUND(AR190*(1-Справочники!$B$11),0))</f>
        <v/>
      </c>
      <c r="AT190" s="88"/>
      <c r="AU190" s="90" t="str">
        <f aca="false">IF(AT190="","",ROUND(AT190/(1+Справочники!$B$12),0))</f>
        <v/>
      </c>
      <c r="AV190" s="90" t="str">
        <f aca="false">IF(AT190="","",ROUND(AT190*(1-Справочники!$B$15),0))</f>
        <v/>
      </c>
      <c r="AW190" s="90" t="str">
        <f aca="false">IF(AT190="","",ROUND(AT190*(1-Справочники!$B$16),0))</f>
        <v/>
      </c>
      <c r="AX190" s="90" t="str">
        <f aca="false">IF(AT190="","",ROUND(AT190*(1-Справочники!$B$17),0))</f>
        <v/>
      </c>
      <c r="AY190" s="90" t="str">
        <f aca="false">IF(AT190="","",ROUND(AT190*(1-Справочники!$B$18),0))</f>
        <v/>
      </c>
      <c r="AZ190" s="90" t="str">
        <f aca="false">IF(AT190="","",ROUND(AT190*(1-Справочники!$B$19),0))</f>
        <v/>
      </c>
      <c r="BA190" s="81"/>
      <c r="BB190" s="81"/>
      <c r="BC190" s="81"/>
      <c r="BD190" s="81"/>
      <c r="BE190" s="91"/>
      <c r="BF190" s="81" t="s">
        <v>103</v>
      </c>
      <c r="BG190" s="89" t="n">
        <f aca="false" t="array" ref="BG190:BG190">IF(BF190="","",IFERROR(INDEX(Справочники!$B$4:$B$7,MATCH(BF190,Справочники!$A$4:$A$7,0)),""))</f>
        <v>68.5</v>
      </c>
      <c r="BH190" s="90" t="str">
        <f aca="false">IF(N(BN190)&gt;0,ROUND(SUMIF(ЗАКАЗЫ!$F$3:$F$500,$A190,ЗАКАЗЫ!$Y$3:$Y$500)/BN190,0),IF(OR(BE190="",BG190=""),"",ROUND(BE190*BG190*(1+Справочники!$B$10),0)))</f>
        <v/>
      </c>
      <c r="BI190" s="92" t="str">
        <f aca="false">IF(OR(AU190="",BH190="",AU190=0),"",(AU190-BH190)/AU190)</f>
        <v/>
      </c>
      <c r="BJ190" s="81"/>
      <c r="BK190" s="83"/>
      <c r="BL190" s="43" t="str">
        <f aca="false">IFERROR(INDEX(ЗАКАЗЫ!$N$3:$N$500,MATCH($A190,ЗАКАЗЫ!$F$3:$F$500,0)),"")</f>
        <v/>
      </c>
      <c r="BM190" s="8" t="str">
        <f aca="false">IF(BL190="","",IFERROR(VLOOKUP(BL190,'ТН ВЭД'!$A$4:$C$40,3,0),""))</f>
        <v/>
      </c>
      <c r="BN190" s="7" t="str">
        <f aca="false">IF(COUNTIF(ЗАКАЗЫ!$F$3:$F$500,$A190)=0,"",SUMIF(ЗАКАЗЫ!$F$3:$F$500,$A190,ЗАКАЗЫ!$J$3:$J$500))</f>
        <v/>
      </c>
      <c r="BO190" s="7" t="str">
        <f aca="false">IF(BN190="","",SUMIF(ЗАКАЗЫ!$F$3:$F$500,$A190,ЗАКАЗЫ!$AL$3:$AL$500))</f>
        <v/>
      </c>
      <c r="BP190" s="7" t="str">
        <f aca="false">IF(BN190="","",BN190-BO190)</f>
        <v/>
      </c>
      <c r="BQ190" s="55" t="str">
        <f aca="false">IF(BN190="","",IF(BO190&gt;=BN190,"На складе",IF(BO190&gt;0,"Частично","Ждём")))</f>
        <v/>
      </c>
      <c r="BR190" s="43"/>
      <c r="BS190" s="47" t="str">
        <f aca="false">IF(BN190="","",IF(_xlfn.MAXIFS(ЗАКАЗЫ!$AK$3:$AK$500,ЗАКАЗЫ!$F$3:$F$500,$A190)=0,"",_xlfn.MAXIFS(ЗАКАЗЫ!$AK$3:$AK$500,ЗАКАЗЫ!$F$3:$F$500,$A190)))</f>
        <v/>
      </c>
    </row>
    <row r="191" customFormat="false" ht="15.75" hidden="false" customHeight="true" outlineLevel="0" collapsed="false">
      <c r="A191" s="80" t="s">
        <v>3102</v>
      </c>
      <c r="B191" s="81"/>
      <c r="C191" s="81"/>
      <c r="D191" s="81"/>
      <c r="E191" s="83"/>
      <c r="F191" s="81"/>
      <c r="G191" s="83"/>
      <c r="H191" s="83"/>
      <c r="I191" s="84" t="str">
        <f aca="false">IF(E191="","",A191&amp;"_1.jpg")</f>
        <v/>
      </c>
      <c r="J191" s="84" t="str">
        <f aca="false">IF(E191="","",A191&amp;"_2.jpg; "&amp;A191&amp;"_3.jpg")</f>
        <v/>
      </c>
      <c r="K191" s="84" t="str">
        <f aca="false">IF(E191="","",A191&amp;"_schema.jpg")</f>
        <v/>
      </c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 t="s">
        <v>96</v>
      </c>
      <c r="W191" s="81"/>
      <c r="X191" s="81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6" t="str">
        <f aca="false">IF(SUM(Y191:AJ191)=0,"",SUM(Y191:AJ191))</f>
        <v/>
      </c>
      <c r="AL191" s="84" t="str">
        <f aca="false">MID(IF(N(Y191)&gt;0,", "&amp;Y$2,"")&amp;IF(N(Z191)&gt;0,", "&amp;Z$2,"")&amp;IF(N(AA191)&gt;0,", "&amp;AA$2,"")&amp;IF(N(AB191)&gt;0,", "&amp;AB$2,"")&amp;IF(N(AC191)&gt;0,", "&amp;AC$2,"")&amp;IF(N(AD191)&gt;0,", "&amp;AD$2,"")&amp;IF(N(AE191)&gt;0,", "&amp;AE$2,"")&amp;IF(N(AF191)&gt;0,", "&amp;AF$2,"")&amp;IF(N(AG191)&gt;0,", "&amp;AG$2,"")&amp;IF(N(AH191)&gt;0,", "&amp;AH$2,"")&amp;IF(N(AI191)&gt;0,", "&amp;AI$2,"")&amp;IF(N(AJ191)&gt;0,", "&amp;AJ$2,""),3,999)</f>
        <v/>
      </c>
      <c r="AM191" s="87" t="str">
        <f aca="false">IF(E191="","",MID(IF(N(Y191)&gt;0,", "&amp;A191&amp;"-"&amp;Y$2,"")&amp;IF(N(Z191)&gt;0,", "&amp;A191&amp;"-"&amp;Z$2,"")&amp;IF(N(AA191)&gt;0,", "&amp;A191&amp;"-"&amp;AA$2,"")&amp;IF(N(AB191)&gt;0,", "&amp;A191&amp;"-"&amp;AB$2,"")&amp;IF(N(AC191)&gt;0,", "&amp;A191&amp;"-"&amp;AC$2,"")&amp;IF(N(AD191)&gt;0,", "&amp;A191&amp;"-"&amp;AD$2,"")&amp;IF(N(AE191)&gt;0,", "&amp;A191&amp;"-"&amp;AE$2,"")&amp;IF(N(AF191)&gt;0,", "&amp;A191&amp;"-"&amp;AF$2,"")&amp;IF(N(AG191)&gt;0,", "&amp;A191&amp;"-"&amp;AG$2,"")&amp;IF(N(AH191)&gt;0,", "&amp;A191&amp;"-"&amp;AH$2,"")&amp;IF(N(AI191)&gt;0,", "&amp;A191&amp;"-"&amp;AI$2,"")&amp;IF(N(AJ191)&gt;0,", "&amp;A191&amp;"-"&amp;AJ$2,""),3,999))</f>
        <v/>
      </c>
      <c r="AN191" s="81"/>
      <c r="AO191" s="88"/>
      <c r="AP191" s="89" t="str">
        <f aca="false">IF(AO191="","",ROUND(AO191/(1+Справочники!$B$13),2))</f>
        <v/>
      </c>
      <c r="AQ191" s="90" t="str">
        <f aca="false" t="array" ref="AQ191:AQ191">IF(AP191="","",AP191*INDEX(Справочники!$B$4:$B$7,MATCH("RUB",Справочники!$A$4:$A$7,0)))</f>
        <v/>
      </c>
      <c r="AR191" s="90" t="str">
        <f aca="false">IF(AQ191="","",ROUND(AQ191*(1+Справочники!$B$12),0))</f>
        <v/>
      </c>
      <c r="AS191" s="90" t="str">
        <f aca="false">IF(AR191="","",ROUND(AR191*(1-Справочники!$B$11),0))</f>
        <v/>
      </c>
      <c r="AT191" s="88"/>
      <c r="AU191" s="90" t="str">
        <f aca="false">IF(AT191="","",ROUND(AT191/(1+Справочники!$B$12),0))</f>
        <v/>
      </c>
      <c r="AV191" s="90" t="str">
        <f aca="false">IF(AT191="","",ROUND(AT191*(1-Справочники!$B$15),0))</f>
        <v/>
      </c>
      <c r="AW191" s="90" t="str">
        <f aca="false">IF(AT191="","",ROUND(AT191*(1-Справочники!$B$16),0))</f>
        <v/>
      </c>
      <c r="AX191" s="90" t="str">
        <f aca="false">IF(AT191="","",ROUND(AT191*(1-Справочники!$B$17),0))</f>
        <v/>
      </c>
      <c r="AY191" s="90" t="str">
        <f aca="false">IF(AT191="","",ROUND(AT191*(1-Справочники!$B$18),0))</f>
        <v/>
      </c>
      <c r="AZ191" s="90" t="str">
        <f aca="false">IF(AT191="","",ROUND(AT191*(1-Справочники!$B$19),0))</f>
        <v/>
      </c>
      <c r="BA191" s="81"/>
      <c r="BB191" s="81"/>
      <c r="BC191" s="81"/>
      <c r="BD191" s="81"/>
      <c r="BE191" s="91"/>
      <c r="BF191" s="81" t="s">
        <v>103</v>
      </c>
      <c r="BG191" s="89" t="n">
        <f aca="false" t="array" ref="BG191:BG191">IF(BF191="","",IFERROR(INDEX(Справочники!$B$4:$B$7,MATCH(BF191,Справочники!$A$4:$A$7,0)),""))</f>
        <v>68.5</v>
      </c>
      <c r="BH191" s="90" t="str">
        <f aca="false">IF(N(BN191)&gt;0,ROUND(SUMIF(ЗАКАЗЫ!$F$3:$F$500,$A191,ЗАКАЗЫ!$Y$3:$Y$500)/BN191,0),IF(OR(BE191="",BG191=""),"",ROUND(BE191*BG191*(1+Справочники!$B$10),0)))</f>
        <v/>
      </c>
      <c r="BI191" s="92" t="str">
        <f aca="false">IF(OR(AU191="",BH191="",AU191=0),"",(AU191-BH191)/AU191)</f>
        <v/>
      </c>
      <c r="BJ191" s="81"/>
      <c r="BK191" s="83"/>
      <c r="BL191" s="43" t="str">
        <f aca="false">IFERROR(INDEX(ЗАКАЗЫ!$N$3:$N$500,MATCH($A191,ЗАКАЗЫ!$F$3:$F$500,0)),"")</f>
        <v/>
      </c>
      <c r="BM191" s="8" t="str">
        <f aca="false">IF(BL191="","",IFERROR(VLOOKUP(BL191,'ТН ВЭД'!$A$4:$C$40,3,0),""))</f>
        <v/>
      </c>
      <c r="BN191" s="7" t="str">
        <f aca="false">IF(COUNTIF(ЗАКАЗЫ!$F$3:$F$500,$A191)=0,"",SUMIF(ЗАКАЗЫ!$F$3:$F$500,$A191,ЗАКАЗЫ!$J$3:$J$500))</f>
        <v/>
      </c>
      <c r="BO191" s="7" t="str">
        <f aca="false">IF(BN191="","",SUMIF(ЗАКАЗЫ!$F$3:$F$500,$A191,ЗАКАЗЫ!$AL$3:$AL$500))</f>
        <v/>
      </c>
      <c r="BP191" s="7" t="str">
        <f aca="false">IF(BN191="","",BN191-BO191)</f>
        <v/>
      </c>
      <c r="BQ191" s="55" t="str">
        <f aca="false">IF(BN191="","",IF(BO191&gt;=BN191,"На складе",IF(BO191&gt;0,"Частично","Ждём")))</f>
        <v/>
      </c>
      <c r="BR191" s="43"/>
      <c r="BS191" s="47" t="str">
        <f aca="false">IF(BN191="","",IF(_xlfn.MAXIFS(ЗАКАЗЫ!$AK$3:$AK$500,ЗАКАЗЫ!$F$3:$F$500,$A191)=0,"",_xlfn.MAXIFS(ЗАКАЗЫ!$AK$3:$AK$500,ЗАКАЗЫ!$F$3:$F$500,$A191)))</f>
        <v/>
      </c>
    </row>
    <row r="192" customFormat="false" ht="15.75" hidden="false" customHeight="true" outlineLevel="0" collapsed="false">
      <c r="A192" s="80" t="s">
        <v>3103</v>
      </c>
      <c r="B192" s="81"/>
      <c r="C192" s="81"/>
      <c r="D192" s="81"/>
      <c r="E192" s="83"/>
      <c r="F192" s="81"/>
      <c r="G192" s="83"/>
      <c r="H192" s="83"/>
      <c r="I192" s="84" t="str">
        <f aca="false">IF(E192="","",A192&amp;"_1.jpg")</f>
        <v/>
      </c>
      <c r="J192" s="84" t="str">
        <f aca="false">IF(E192="","",A192&amp;"_2.jpg; "&amp;A192&amp;"_3.jpg")</f>
        <v/>
      </c>
      <c r="K192" s="84" t="str">
        <f aca="false">IF(E192="","",A192&amp;"_schema.jpg")</f>
        <v/>
      </c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 t="s">
        <v>96</v>
      </c>
      <c r="W192" s="81"/>
      <c r="X192" s="81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6" t="str">
        <f aca="false">IF(SUM(Y192:AJ192)=0,"",SUM(Y192:AJ192))</f>
        <v/>
      </c>
      <c r="AL192" s="84" t="str">
        <f aca="false">MID(IF(N(Y192)&gt;0,", "&amp;Y$2,"")&amp;IF(N(Z192)&gt;0,", "&amp;Z$2,"")&amp;IF(N(AA192)&gt;0,", "&amp;AA$2,"")&amp;IF(N(AB192)&gt;0,", "&amp;AB$2,"")&amp;IF(N(AC192)&gt;0,", "&amp;AC$2,"")&amp;IF(N(AD192)&gt;0,", "&amp;AD$2,"")&amp;IF(N(AE192)&gt;0,", "&amp;AE$2,"")&amp;IF(N(AF192)&gt;0,", "&amp;AF$2,"")&amp;IF(N(AG192)&gt;0,", "&amp;AG$2,"")&amp;IF(N(AH192)&gt;0,", "&amp;AH$2,"")&amp;IF(N(AI192)&gt;0,", "&amp;AI$2,"")&amp;IF(N(AJ192)&gt;0,", "&amp;AJ$2,""),3,999)</f>
        <v/>
      </c>
      <c r="AM192" s="87" t="str">
        <f aca="false">IF(E192="","",MID(IF(N(Y192)&gt;0,", "&amp;A192&amp;"-"&amp;Y$2,"")&amp;IF(N(Z192)&gt;0,", "&amp;A192&amp;"-"&amp;Z$2,"")&amp;IF(N(AA192)&gt;0,", "&amp;A192&amp;"-"&amp;AA$2,"")&amp;IF(N(AB192)&gt;0,", "&amp;A192&amp;"-"&amp;AB$2,"")&amp;IF(N(AC192)&gt;0,", "&amp;A192&amp;"-"&amp;AC$2,"")&amp;IF(N(AD192)&gt;0,", "&amp;A192&amp;"-"&amp;AD$2,"")&amp;IF(N(AE192)&gt;0,", "&amp;A192&amp;"-"&amp;AE$2,"")&amp;IF(N(AF192)&gt;0,", "&amp;A192&amp;"-"&amp;AF$2,"")&amp;IF(N(AG192)&gt;0,", "&amp;A192&amp;"-"&amp;AG$2,"")&amp;IF(N(AH192)&gt;0,", "&amp;A192&amp;"-"&amp;AH$2,"")&amp;IF(N(AI192)&gt;0,", "&amp;A192&amp;"-"&amp;AI$2,"")&amp;IF(N(AJ192)&gt;0,", "&amp;A192&amp;"-"&amp;AJ$2,""),3,999))</f>
        <v/>
      </c>
      <c r="AN192" s="81"/>
      <c r="AO192" s="88"/>
      <c r="AP192" s="89" t="str">
        <f aca="false">IF(AO192="","",ROUND(AO192/(1+Справочники!$B$13),2))</f>
        <v/>
      </c>
      <c r="AQ192" s="90" t="str">
        <f aca="false" t="array" ref="AQ192:AQ192">IF(AP192="","",AP192*INDEX(Справочники!$B$4:$B$7,MATCH("RUB",Справочники!$A$4:$A$7,0)))</f>
        <v/>
      </c>
      <c r="AR192" s="90" t="str">
        <f aca="false">IF(AQ192="","",ROUND(AQ192*(1+Справочники!$B$12),0))</f>
        <v/>
      </c>
      <c r="AS192" s="90" t="str">
        <f aca="false">IF(AR192="","",ROUND(AR192*(1-Справочники!$B$11),0))</f>
        <v/>
      </c>
      <c r="AT192" s="88"/>
      <c r="AU192" s="90" t="str">
        <f aca="false">IF(AT192="","",ROUND(AT192/(1+Справочники!$B$12),0))</f>
        <v/>
      </c>
      <c r="AV192" s="90" t="str">
        <f aca="false">IF(AT192="","",ROUND(AT192*(1-Справочники!$B$15),0))</f>
        <v/>
      </c>
      <c r="AW192" s="90" t="str">
        <f aca="false">IF(AT192="","",ROUND(AT192*(1-Справочники!$B$16),0))</f>
        <v/>
      </c>
      <c r="AX192" s="90" t="str">
        <f aca="false">IF(AT192="","",ROUND(AT192*(1-Справочники!$B$17),0))</f>
        <v/>
      </c>
      <c r="AY192" s="90" t="str">
        <f aca="false">IF(AT192="","",ROUND(AT192*(1-Справочники!$B$18),0))</f>
        <v/>
      </c>
      <c r="AZ192" s="90" t="str">
        <f aca="false">IF(AT192="","",ROUND(AT192*(1-Справочники!$B$19),0))</f>
        <v/>
      </c>
      <c r="BA192" s="81"/>
      <c r="BB192" s="81"/>
      <c r="BC192" s="81"/>
      <c r="BD192" s="81"/>
      <c r="BE192" s="91"/>
      <c r="BF192" s="81" t="s">
        <v>103</v>
      </c>
      <c r="BG192" s="89" t="n">
        <f aca="false" t="array" ref="BG192:BG192">IF(BF192="","",IFERROR(INDEX(Справочники!$B$4:$B$7,MATCH(BF192,Справочники!$A$4:$A$7,0)),""))</f>
        <v>68.5</v>
      </c>
      <c r="BH192" s="90" t="str">
        <f aca="false">IF(N(BN192)&gt;0,ROUND(SUMIF(ЗАКАЗЫ!$F$3:$F$500,$A192,ЗАКАЗЫ!$Y$3:$Y$500)/BN192,0),IF(OR(BE192="",BG192=""),"",ROUND(BE192*BG192*(1+Справочники!$B$10),0)))</f>
        <v/>
      </c>
      <c r="BI192" s="92" t="str">
        <f aca="false">IF(OR(AU192="",BH192="",AU192=0),"",(AU192-BH192)/AU192)</f>
        <v/>
      </c>
      <c r="BJ192" s="81"/>
      <c r="BK192" s="83"/>
      <c r="BL192" s="43" t="str">
        <f aca="false">IFERROR(INDEX(ЗАКАЗЫ!$N$3:$N$500,MATCH($A192,ЗАКАЗЫ!$F$3:$F$500,0)),"")</f>
        <v/>
      </c>
      <c r="BM192" s="8" t="str">
        <f aca="false">IF(BL192="","",IFERROR(VLOOKUP(BL192,'ТН ВЭД'!$A$4:$C$40,3,0),""))</f>
        <v/>
      </c>
      <c r="BN192" s="7" t="str">
        <f aca="false">IF(COUNTIF(ЗАКАЗЫ!$F$3:$F$500,$A192)=0,"",SUMIF(ЗАКАЗЫ!$F$3:$F$500,$A192,ЗАКАЗЫ!$J$3:$J$500))</f>
        <v/>
      </c>
      <c r="BO192" s="7" t="str">
        <f aca="false">IF(BN192="","",SUMIF(ЗАКАЗЫ!$F$3:$F$500,$A192,ЗАКАЗЫ!$AL$3:$AL$500))</f>
        <v/>
      </c>
      <c r="BP192" s="7" t="str">
        <f aca="false">IF(BN192="","",BN192-BO192)</f>
        <v/>
      </c>
      <c r="BQ192" s="55" t="str">
        <f aca="false">IF(BN192="","",IF(BO192&gt;=BN192,"На складе",IF(BO192&gt;0,"Частично","Ждём")))</f>
        <v/>
      </c>
      <c r="BR192" s="43"/>
      <c r="BS192" s="47" t="str">
        <f aca="false">IF(BN192="","",IF(_xlfn.MAXIFS(ЗАКАЗЫ!$AK$3:$AK$500,ЗАКАЗЫ!$F$3:$F$500,$A192)=0,"",_xlfn.MAXIFS(ЗАКАЗЫ!$AK$3:$AK$500,ЗАКАЗЫ!$F$3:$F$500,$A192)))</f>
        <v/>
      </c>
    </row>
    <row r="193" customFormat="false" ht="15.75" hidden="false" customHeight="true" outlineLevel="0" collapsed="false">
      <c r="A193" s="80" t="s">
        <v>3104</v>
      </c>
      <c r="B193" s="81"/>
      <c r="C193" s="81"/>
      <c r="D193" s="81"/>
      <c r="E193" s="83"/>
      <c r="F193" s="81"/>
      <c r="G193" s="83"/>
      <c r="H193" s="83"/>
      <c r="I193" s="84" t="str">
        <f aca="false">IF(E193="","",A193&amp;"_1.jpg")</f>
        <v/>
      </c>
      <c r="J193" s="84" t="str">
        <f aca="false">IF(E193="","",A193&amp;"_2.jpg; "&amp;A193&amp;"_3.jpg")</f>
        <v/>
      </c>
      <c r="K193" s="84" t="str">
        <f aca="false">IF(E193="","",A193&amp;"_schema.jpg")</f>
        <v/>
      </c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 t="s">
        <v>96</v>
      </c>
      <c r="W193" s="81"/>
      <c r="X193" s="81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6" t="str">
        <f aca="false">IF(SUM(Y193:AJ193)=0,"",SUM(Y193:AJ193))</f>
        <v/>
      </c>
      <c r="AL193" s="84" t="str">
        <f aca="false">MID(IF(N(Y193)&gt;0,", "&amp;Y$2,"")&amp;IF(N(Z193)&gt;0,", "&amp;Z$2,"")&amp;IF(N(AA193)&gt;0,", "&amp;AA$2,"")&amp;IF(N(AB193)&gt;0,", "&amp;AB$2,"")&amp;IF(N(AC193)&gt;0,", "&amp;AC$2,"")&amp;IF(N(AD193)&gt;0,", "&amp;AD$2,"")&amp;IF(N(AE193)&gt;0,", "&amp;AE$2,"")&amp;IF(N(AF193)&gt;0,", "&amp;AF$2,"")&amp;IF(N(AG193)&gt;0,", "&amp;AG$2,"")&amp;IF(N(AH193)&gt;0,", "&amp;AH$2,"")&amp;IF(N(AI193)&gt;0,", "&amp;AI$2,"")&amp;IF(N(AJ193)&gt;0,", "&amp;AJ$2,""),3,999)</f>
        <v/>
      </c>
      <c r="AM193" s="87" t="str">
        <f aca="false">IF(E193="","",MID(IF(N(Y193)&gt;0,", "&amp;A193&amp;"-"&amp;Y$2,"")&amp;IF(N(Z193)&gt;0,", "&amp;A193&amp;"-"&amp;Z$2,"")&amp;IF(N(AA193)&gt;0,", "&amp;A193&amp;"-"&amp;AA$2,"")&amp;IF(N(AB193)&gt;0,", "&amp;A193&amp;"-"&amp;AB$2,"")&amp;IF(N(AC193)&gt;0,", "&amp;A193&amp;"-"&amp;AC$2,"")&amp;IF(N(AD193)&gt;0,", "&amp;A193&amp;"-"&amp;AD$2,"")&amp;IF(N(AE193)&gt;0,", "&amp;A193&amp;"-"&amp;AE$2,"")&amp;IF(N(AF193)&gt;0,", "&amp;A193&amp;"-"&amp;AF$2,"")&amp;IF(N(AG193)&gt;0,", "&amp;A193&amp;"-"&amp;AG$2,"")&amp;IF(N(AH193)&gt;0,", "&amp;A193&amp;"-"&amp;AH$2,"")&amp;IF(N(AI193)&gt;0,", "&amp;A193&amp;"-"&amp;AI$2,"")&amp;IF(N(AJ193)&gt;0,", "&amp;A193&amp;"-"&amp;AJ$2,""),3,999))</f>
        <v/>
      </c>
      <c r="AN193" s="81"/>
      <c r="AO193" s="88"/>
      <c r="AP193" s="89" t="str">
        <f aca="false">IF(AO193="","",ROUND(AO193/(1+Справочники!$B$13),2))</f>
        <v/>
      </c>
      <c r="AQ193" s="90" t="str">
        <f aca="false" t="array" ref="AQ193:AQ193">IF(AP193="","",AP193*INDEX(Справочники!$B$4:$B$7,MATCH("RUB",Справочники!$A$4:$A$7,0)))</f>
        <v/>
      </c>
      <c r="AR193" s="90" t="str">
        <f aca="false">IF(AQ193="","",ROUND(AQ193*(1+Справочники!$B$12),0))</f>
        <v/>
      </c>
      <c r="AS193" s="90" t="str">
        <f aca="false">IF(AR193="","",ROUND(AR193*(1-Справочники!$B$11),0))</f>
        <v/>
      </c>
      <c r="AT193" s="88"/>
      <c r="AU193" s="90" t="str">
        <f aca="false">IF(AT193="","",ROUND(AT193/(1+Справочники!$B$12),0))</f>
        <v/>
      </c>
      <c r="AV193" s="90" t="str">
        <f aca="false">IF(AT193="","",ROUND(AT193*(1-Справочники!$B$15),0))</f>
        <v/>
      </c>
      <c r="AW193" s="90" t="str">
        <f aca="false">IF(AT193="","",ROUND(AT193*(1-Справочники!$B$16),0))</f>
        <v/>
      </c>
      <c r="AX193" s="90" t="str">
        <f aca="false">IF(AT193="","",ROUND(AT193*(1-Справочники!$B$17),0))</f>
        <v/>
      </c>
      <c r="AY193" s="90" t="str">
        <f aca="false">IF(AT193="","",ROUND(AT193*(1-Справочники!$B$18),0))</f>
        <v/>
      </c>
      <c r="AZ193" s="90" t="str">
        <f aca="false">IF(AT193="","",ROUND(AT193*(1-Справочники!$B$19),0))</f>
        <v/>
      </c>
      <c r="BA193" s="81"/>
      <c r="BB193" s="81"/>
      <c r="BC193" s="81"/>
      <c r="BD193" s="81"/>
      <c r="BE193" s="91"/>
      <c r="BF193" s="81" t="s">
        <v>103</v>
      </c>
      <c r="BG193" s="89" t="n">
        <f aca="false" t="array" ref="BG193:BG193">IF(BF193="","",IFERROR(INDEX(Справочники!$B$4:$B$7,MATCH(BF193,Справочники!$A$4:$A$7,0)),""))</f>
        <v>68.5</v>
      </c>
      <c r="BH193" s="90" t="str">
        <f aca="false">IF(N(BN193)&gt;0,ROUND(SUMIF(ЗАКАЗЫ!$F$3:$F$500,$A193,ЗАКАЗЫ!$Y$3:$Y$500)/BN193,0),IF(OR(BE193="",BG193=""),"",ROUND(BE193*BG193*(1+Справочники!$B$10),0)))</f>
        <v/>
      </c>
      <c r="BI193" s="92" t="str">
        <f aca="false">IF(OR(AU193="",BH193="",AU193=0),"",(AU193-BH193)/AU193)</f>
        <v/>
      </c>
      <c r="BJ193" s="81"/>
      <c r="BK193" s="83"/>
      <c r="BL193" s="43" t="str">
        <f aca="false">IFERROR(INDEX(ЗАКАЗЫ!$N$3:$N$500,MATCH($A193,ЗАКАЗЫ!$F$3:$F$500,0)),"")</f>
        <v/>
      </c>
      <c r="BM193" s="8" t="str">
        <f aca="false">IF(BL193="","",IFERROR(VLOOKUP(BL193,'ТН ВЭД'!$A$4:$C$40,3,0),""))</f>
        <v/>
      </c>
      <c r="BN193" s="7" t="str">
        <f aca="false">IF(COUNTIF(ЗАКАЗЫ!$F$3:$F$500,$A193)=0,"",SUMIF(ЗАКАЗЫ!$F$3:$F$500,$A193,ЗАКАЗЫ!$J$3:$J$500))</f>
        <v/>
      </c>
      <c r="BO193" s="7" t="str">
        <f aca="false">IF(BN193="","",SUMIF(ЗАКАЗЫ!$F$3:$F$500,$A193,ЗАКАЗЫ!$AL$3:$AL$500))</f>
        <v/>
      </c>
      <c r="BP193" s="7" t="str">
        <f aca="false">IF(BN193="","",BN193-BO193)</f>
        <v/>
      </c>
      <c r="BQ193" s="55" t="str">
        <f aca="false">IF(BN193="","",IF(BO193&gt;=BN193,"На складе",IF(BO193&gt;0,"Частично","Ждём")))</f>
        <v/>
      </c>
      <c r="BR193" s="43"/>
      <c r="BS193" s="47" t="str">
        <f aca="false">IF(BN193="","",IF(_xlfn.MAXIFS(ЗАКАЗЫ!$AK$3:$AK$500,ЗАКАЗЫ!$F$3:$F$500,$A193)=0,"",_xlfn.MAXIFS(ЗАКАЗЫ!$AK$3:$AK$500,ЗАКАЗЫ!$F$3:$F$500,$A193)))</f>
        <v/>
      </c>
    </row>
    <row r="194" customFormat="false" ht="15.75" hidden="false" customHeight="true" outlineLevel="0" collapsed="false">
      <c r="A194" s="80" t="s">
        <v>3105</v>
      </c>
      <c r="B194" s="81"/>
      <c r="C194" s="81"/>
      <c r="D194" s="81"/>
      <c r="E194" s="83"/>
      <c r="F194" s="81"/>
      <c r="G194" s="83"/>
      <c r="H194" s="83"/>
      <c r="I194" s="84" t="str">
        <f aca="false">IF(E194="","",A194&amp;"_1.jpg")</f>
        <v/>
      </c>
      <c r="J194" s="84" t="str">
        <f aca="false">IF(E194="","",A194&amp;"_2.jpg; "&amp;A194&amp;"_3.jpg")</f>
        <v/>
      </c>
      <c r="K194" s="84" t="str">
        <f aca="false">IF(E194="","",A194&amp;"_schema.jpg")</f>
        <v/>
      </c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 t="s">
        <v>96</v>
      </c>
      <c r="W194" s="81"/>
      <c r="X194" s="81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6" t="str">
        <f aca="false">IF(SUM(Y194:AJ194)=0,"",SUM(Y194:AJ194))</f>
        <v/>
      </c>
      <c r="AL194" s="84" t="str">
        <f aca="false">MID(IF(N(Y194)&gt;0,", "&amp;Y$2,"")&amp;IF(N(Z194)&gt;0,", "&amp;Z$2,"")&amp;IF(N(AA194)&gt;0,", "&amp;AA$2,"")&amp;IF(N(AB194)&gt;0,", "&amp;AB$2,"")&amp;IF(N(AC194)&gt;0,", "&amp;AC$2,"")&amp;IF(N(AD194)&gt;0,", "&amp;AD$2,"")&amp;IF(N(AE194)&gt;0,", "&amp;AE$2,"")&amp;IF(N(AF194)&gt;0,", "&amp;AF$2,"")&amp;IF(N(AG194)&gt;0,", "&amp;AG$2,"")&amp;IF(N(AH194)&gt;0,", "&amp;AH$2,"")&amp;IF(N(AI194)&gt;0,", "&amp;AI$2,"")&amp;IF(N(AJ194)&gt;0,", "&amp;AJ$2,""),3,999)</f>
        <v/>
      </c>
      <c r="AM194" s="87" t="str">
        <f aca="false">IF(E194="","",MID(IF(N(Y194)&gt;0,", "&amp;A194&amp;"-"&amp;Y$2,"")&amp;IF(N(Z194)&gt;0,", "&amp;A194&amp;"-"&amp;Z$2,"")&amp;IF(N(AA194)&gt;0,", "&amp;A194&amp;"-"&amp;AA$2,"")&amp;IF(N(AB194)&gt;0,", "&amp;A194&amp;"-"&amp;AB$2,"")&amp;IF(N(AC194)&gt;0,", "&amp;A194&amp;"-"&amp;AC$2,"")&amp;IF(N(AD194)&gt;0,", "&amp;A194&amp;"-"&amp;AD$2,"")&amp;IF(N(AE194)&gt;0,", "&amp;A194&amp;"-"&amp;AE$2,"")&amp;IF(N(AF194)&gt;0,", "&amp;A194&amp;"-"&amp;AF$2,"")&amp;IF(N(AG194)&gt;0,", "&amp;A194&amp;"-"&amp;AG$2,"")&amp;IF(N(AH194)&gt;0,", "&amp;A194&amp;"-"&amp;AH$2,"")&amp;IF(N(AI194)&gt;0,", "&amp;A194&amp;"-"&amp;AI$2,"")&amp;IF(N(AJ194)&gt;0,", "&amp;A194&amp;"-"&amp;AJ$2,""),3,999))</f>
        <v/>
      </c>
      <c r="AN194" s="81"/>
      <c r="AO194" s="88"/>
      <c r="AP194" s="89" t="str">
        <f aca="false">IF(AO194="","",ROUND(AO194/(1+Справочники!$B$13),2))</f>
        <v/>
      </c>
      <c r="AQ194" s="90" t="str">
        <f aca="false" t="array" ref="AQ194:AQ194">IF(AP194="","",AP194*INDEX(Справочники!$B$4:$B$7,MATCH("RUB",Справочники!$A$4:$A$7,0)))</f>
        <v/>
      </c>
      <c r="AR194" s="90" t="str">
        <f aca="false">IF(AQ194="","",ROUND(AQ194*(1+Справочники!$B$12),0))</f>
        <v/>
      </c>
      <c r="AS194" s="90" t="str">
        <f aca="false">IF(AR194="","",ROUND(AR194*(1-Справочники!$B$11),0))</f>
        <v/>
      </c>
      <c r="AT194" s="88"/>
      <c r="AU194" s="90" t="str">
        <f aca="false">IF(AT194="","",ROUND(AT194/(1+Справочники!$B$12),0))</f>
        <v/>
      </c>
      <c r="AV194" s="90" t="str">
        <f aca="false">IF(AT194="","",ROUND(AT194*(1-Справочники!$B$15),0))</f>
        <v/>
      </c>
      <c r="AW194" s="90" t="str">
        <f aca="false">IF(AT194="","",ROUND(AT194*(1-Справочники!$B$16),0))</f>
        <v/>
      </c>
      <c r="AX194" s="90" t="str">
        <f aca="false">IF(AT194="","",ROUND(AT194*(1-Справочники!$B$17),0))</f>
        <v/>
      </c>
      <c r="AY194" s="90" t="str">
        <f aca="false">IF(AT194="","",ROUND(AT194*(1-Справочники!$B$18),0))</f>
        <v/>
      </c>
      <c r="AZ194" s="90" t="str">
        <f aca="false">IF(AT194="","",ROUND(AT194*(1-Справочники!$B$19),0))</f>
        <v/>
      </c>
      <c r="BA194" s="81"/>
      <c r="BB194" s="81"/>
      <c r="BC194" s="81"/>
      <c r="BD194" s="81"/>
      <c r="BE194" s="91"/>
      <c r="BF194" s="81" t="s">
        <v>103</v>
      </c>
      <c r="BG194" s="89" t="n">
        <f aca="false" t="array" ref="BG194:BG194">IF(BF194="","",IFERROR(INDEX(Справочники!$B$4:$B$7,MATCH(BF194,Справочники!$A$4:$A$7,0)),""))</f>
        <v>68.5</v>
      </c>
      <c r="BH194" s="90" t="str">
        <f aca="false">IF(N(BN194)&gt;0,ROUND(SUMIF(ЗАКАЗЫ!$F$3:$F$500,$A194,ЗАКАЗЫ!$Y$3:$Y$500)/BN194,0),IF(OR(BE194="",BG194=""),"",ROUND(BE194*BG194*(1+Справочники!$B$10),0)))</f>
        <v/>
      </c>
      <c r="BI194" s="92" t="str">
        <f aca="false">IF(OR(AU194="",BH194="",AU194=0),"",(AU194-BH194)/AU194)</f>
        <v/>
      </c>
      <c r="BJ194" s="81"/>
      <c r="BK194" s="83"/>
      <c r="BL194" s="43" t="str">
        <f aca="false">IFERROR(INDEX(ЗАКАЗЫ!$N$3:$N$500,MATCH($A194,ЗАКАЗЫ!$F$3:$F$500,0)),"")</f>
        <v/>
      </c>
      <c r="BM194" s="8" t="str">
        <f aca="false">IF(BL194="","",IFERROR(VLOOKUP(BL194,'ТН ВЭД'!$A$4:$C$40,3,0),""))</f>
        <v/>
      </c>
      <c r="BN194" s="7" t="str">
        <f aca="false">IF(COUNTIF(ЗАКАЗЫ!$F$3:$F$500,$A194)=0,"",SUMIF(ЗАКАЗЫ!$F$3:$F$500,$A194,ЗАКАЗЫ!$J$3:$J$500))</f>
        <v/>
      </c>
      <c r="BO194" s="7" t="str">
        <f aca="false">IF(BN194="","",SUMIF(ЗАКАЗЫ!$F$3:$F$500,$A194,ЗАКАЗЫ!$AL$3:$AL$500))</f>
        <v/>
      </c>
      <c r="BP194" s="7" t="str">
        <f aca="false">IF(BN194="","",BN194-BO194)</f>
        <v/>
      </c>
      <c r="BQ194" s="55" t="str">
        <f aca="false">IF(BN194="","",IF(BO194&gt;=BN194,"На складе",IF(BO194&gt;0,"Частично","Ждём")))</f>
        <v/>
      </c>
      <c r="BR194" s="43"/>
      <c r="BS194" s="47" t="str">
        <f aca="false">IF(BN194="","",IF(_xlfn.MAXIFS(ЗАКАЗЫ!$AK$3:$AK$500,ЗАКАЗЫ!$F$3:$F$500,$A194)=0,"",_xlfn.MAXIFS(ЗАКАЗЫ!$AK$3:$AK$500,ЗАКАЗЫ!$F$3:$F$500,$A194)))</f>
        <v/>
      </c>
    </row>
    <row r="195" customFormat="false" ht="15.75" hidden="false" customHeight="true" outlineLevel="0" collapsed="false">
      <c r="A195" s="80" t="s">
        <v>3106</v>
      </c>
      <c r="B195" s="81"/>
      <c r="C195" s="81"/>
      <c r="D195" s="81"/>
      <c r="E195" s="83"/>
      <c r="F195" s="81"/>
      <c r="G195" s="83"/>
      <c r="H195" s="83"/>
      <c r="I195" s="84" t="str">
        <f aca="false">IF(E195="","",A195&amp;"_1.jpg")</f>
        <v/>
      </c>
      <c r="J195" s="84" t="str">
        <f aca="false">IF(E195="","",A195&amp;"_2.jpg; "&amp;A195&amp;"_3.jpg")</f>
        <v/>
      </c>
      <c r="K195" s="84" t="str">
        <f aca="false">IF(E195="","",A195&amp;"_schema.jpg")</f>
        <v/>
      </c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 t="s">
        <v>96</v>
      </c>
      <c r="W195" s="81"/>
      <c r="X195" s="81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6" t="str">
        <f aca="false">IF(SUM(Y195:AJ195)=0,"",SUM(Y195:AJ195))</f>
        <v/>
      </c>
      <c r="AL195" s="84" t="str">
        <f aca="false">MID(IF(N(Y195)&gt;0,", "&amp;Y$2,"")&amp;IF(N(Z195)&gt;0,", "&amp;Z$2,"")&amp;IF(N(AA195)&gt;0,", "&amp;AA$2,"")&amp;IF(N(AB195)&gt;0,", "&amp;AB$2,"")&amp;IF(N(AC195)&gt;0,", "&amp;AC$2,"")&amp;IF(N(AD195)&gt;0,", "&amp;AD$2,"")&amp;IF(N(AE195)&gt;0,", "&amp;AE$2,"")&amp;IF(N(AF195)&gt;0,", "&amp;AF$2,"")&amp;IF(N(AG195)&gt;0,", "&amp;AG$2,"")&amp;IF(N(AH195)&gt;0,", "&amp;AH$2,"")&amp;IF(N(AI195)&gt;0,", "&amp;AI$2,"")&amp;IF(N(AJ195)&gt;0,", "&amp;AJ$2,""),3,999)</f>
        <v/>
      </c>
      <c r="AM195" s="87" t="str">
        <f aca="false">IF(E195="","",MID(IF(N(Y195)&gt;0,", "&amp;A195&amp;"-"&amp;Y$2,"")&amp;IF(N(Z195)&gt;0,", "&amp;A195&amp;"-"&amp;Z$2,"")&amp;IF(N(AA195)&gt;0,", "&amp;A195&amp;"-"&amp;AA$2,"")&amp;IF(N(AB195)&gt;0,", "&amp;A195&amp;"-"&amp;AB$2,"")&amp;IF(N(AC195)&gt;0,", "&amp;A195&amp;"-"&amp;AC$2,"")&amp;IF(N(AD195)&gt;0,", "&amp;A195&amp;"-"&amp;AD$2,"")&amp;IF(N(AE195)&gt;0,", "&amp;A195&amp;"-"&amp;AE$2,"")&amp;IF(N(AF195)&gt;0,", "&amp;A195&amp;"-"&amp;AF$2,"")&amp;IF(N(AG195)&gt;0,", "&amp;A195&amp;"-"&amp;AG$2,"")&amp;IF(N(AH195)&gt;0,", "&amp;A195&amp;"-"&amp;AH$2,"")&amp;IF(N(AI195)&gt;0,", "&amp;A195&amp;"-"&amp;AI$2,"")&amp;IF(N(AJ195)&gt;0,", "&amp;A195&amp;"-"&amp;AJ$2,""),3,999))</f>
        <v/>
      </c>
      <c r="AN195" s="81"/>
      <c r="AO195" s="88"/>
      <c r="AP195" s="89" t="str">
        <f aca="false">IF(AO195="","",ROUND(AO195/(1+Справочники!$B$13),2))</f>
        <v/>
      </c>
      <c r="AQ195" s="90" t="str">
        <f aca="false" t="array" ref="AQ195:AQ195">IF(AP195="","",AP195*INDEX(Справочники!$B$4:$B$7,MATCH("RUB",Справочники!$A$4:$A$7,0)))</f>
        <v/>
      </c>
      <c r="AR195" s="90" t="str">
        <f aca="false">IF(AQ195="","",ROUND(AQ195*(1+Справочники!$B$12),0))</f>
        <v/>
      </c>
      <c r="AS195" s="90" t="str">
        <f aca="false">IF(AR195="","",ROUND(AR195*(1-Справочники!$B$11),0))</f>
        <v/>
      </c>
      <c r="AT195" s="88"/>
      <c r="AU195" s="90" t="str">
        <f aca="false">IF(AT195="","",ROUND(AT195/(1+Справочники!$B$12),0))</f>
        <v/>
      </c>
      <c r="AV195" s="90" t="str">
        <f aca="false">IF(AT195="","",ROUND(AT195*(1-Справочники!$B$15),0))</f>
        <v/>
      </c>
      <c r="AW195" s="90" t="str">
        <f aca="false">IF(AT195="","",ROUND(AT195*(1-Справочники!$B$16),0))</f>
        <v/>
      </c>
      <c r="AX195" s="90" t="str">
        <f aca="false">IF(AT195="","",ROUND(AT195*(1-Справочники!$B$17),0))</f>
        <v/>
      </c>
      <c r="AY195" s="90" t="str">
        <f aca="false">IF(AT195="","",ROUND(AT195*(1-Справочники!$B$18),0))</f>
        <v/>
      </c>
      <c r="AZ195" s="90" t="str">
        <f aca="false">IF(AT195="","",ROUND(AT195*(1-Справочники!$B$19),0))</f>
        <v/>
      </c>
      <c r="BA195" s="81"/>
      <c r="BB195" s="81"/>
      <c r="BC195" s="81"/>
      <c r="BD195" s="81"/>
      <c r="BE195" s="91"/>
      <c r="BF195" s="81" t="s">
        <v>103</v>
      </c>
      <c r="BG195" s="89" t="n">
        <f aca="false" t="array" ref="BG195:BG195">IF(BF195="","",IFERROR(INDEX(Справочники!$B$4:$B$7,MATCH(BF195,Справочники!$A$4:$A$7,0)),""))</f>
        <v>68.5</v>
      </c>
      <c r="BH195" s="90" t="str">
        <f aca="false">IF(N(BN195)&gt;0,ROUND(SUMIF(ЗАКАЗЫ!$F$3:$F$500,$A195,ЗАКАЗЫ!$Y$3:$Y$500)/BN195,0),IF(OR(BE195="",BG195=""),"",ROUND(BE195*BG195*(1+Справочники!$B$10),0)))</f>
        <v/>
      </c>
      <c r="BI195" s="92" t="str">
        <f aca="false">IF(OR(AU195="",BH195="",AU195=0),"",(AU195-BH195)/AU195)</f>
        <v/>
      </c>
      <c r="BJ195" s="81"/>
      <c r="BK195" s="83"/>
      <c r="BL195" s="43" t="str">
        <f aca="false">IFERROR(INDEX(ЗАКАЗЫ!$N$3:$N$500,MATCH($A195,ЗАКАЗЫ!$F$3:$F$500,0)),"")</f>
        <v/>
      </c>
      <c r="BM195" s="8" t="str">
        <f aca="false">IF(BL195="","",IFERROR(VLOOKUP(BL195,'ТН ВЭД'!$A$4:$C$40,3,0),""))</f>
        <v/>
      </c>
      <c r="BN195" s="7" t="str">
        <f aca="false">IF(COUNTIF(ЗАКАЗЫ!$F$3:$F$500,$A195)=0,"",SUMIF(ЗАКАЗЫ!$F$3:$F$500,$A195,ЗАКАЗЫ!$J$3:$J$500))</f>
        <v/>
      </c>
      <c r="BO195" s="7" t="str">
        <f aca="false">IF(BN195="","",SUMIF(ЗАКАЗЫ!$F$3:$F$500,$A195,ЗАКАЗЫ!$AL$3:$AL$500))</f>
        <v/>
      </c>
      <c r="BP195" s="7" t="str">
        <f aca="false">IF(BN195="","",BN195-BO195)</f>
        <v/>
      </c>
      <c r="BQ195" s="55" t="str">
        <f aca="false">IF(BN195="","",IF(BO195&gt;=BN195,"На складе",IF(BO195&gt;0,"Частично","Ждём")))</f>
        <v/>
      </c>
      <c r="BR195" s="43"/>
      <c r="BS195" s="47" t="str">
        <f aca="false">IF(BN195="","",IF(_xlfn.MAXIFS(ЗАКАЗЫ!$AK$3:$AK$500,ЗАКАЗЫ!$F$3:$F$500,$A195)=0,"",_xlfn.MAXIFS(ЗАКАЗЫ!$AK$3:$AK$500,ЗАКАЗЫ!$F$3:$F$500,$A195)))</f>
        <v/>
      </c>
    </row>
    <row r="196" customFormat="false" ht="15.75" hidden="false" customHeight="true" outlineLevel="0" collapsed="false">
      <c r="A196" s="80" t="s">
        <v>3107</v>
      </c>
      <c r="B196" s="81"/>
      <c r="C196" s="81"/>
      <c r="D196" s="81"/>
      <c r="E196" s="83"/>
      <c r="F196" s="81"/>
      <c r="G196" s="83"/>
      <c r="H196" s="83"/>
      <c r="I196" s="84" t="str">
        <f aca="false">IF(E196="","",A196&amp;"_1.jpg")</f>
        <v/>
      </c>
      <c r="J196" s="84" t="str">
        <f aca="false">IF(E196="","",A196&amp;"_2.jpg; "&amp;A196&amp;"_3.jpg")</f>
        <v/>
      </c>
      <c r="K196" s="84" t="str">
        <f aca="false">IF(E196="","",A196&amp;"_schema.jpg")</f>
        <v/>
      </c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 t="s">
        <v>96</v>
      </c>
      <c r="W196" s="81"/>
      <c r="X196" s="81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6" t="str">
        <f aca="false">IF(SUM(Y196:AJ196)=0,"",SUM(Y196:AJ196))</f>
        <v/>
      </c>
      <c r="AL196" s="84" t="str">
        <f aca="false">MID(IF(N(Y196)&gt;0,", "&amp;Y$2,"")&amp;IF(N(Z196)&gt;0,", "&amp;Z$2,"")&amp;IF(N(AA196)&gt;0,", "&amp;AA$2,"")&amp;IF(N(AB196)&gt;0,", "&amp;AB$2,"")&amp;IF(N(AC196)&gt;0,", "&amp;AC$2,"")&amp;IF(N(AD196)&gt;0,", "&amp;AD$2,"")&amp;IF(N(AE196)&gt;0,", "&amp;AE$2,"")&amp;IF(N(AF196)&gt;0,", "&amp;AF$2,"")&amp;IF(N(AG196)&gt;0,", "&amp;AG$2,"")&amp;IF(N(AH196)&gt;0,", "&amp;AH$2,"")&amp;IF(N(AI196)&gt;0,", "&amp;AI$2,"")&amp;IF(N(AJ196)&gt;0,", "&amp;AJ$2,""),3,999)</f>
        <v/>
      </c>
      <c r="AM196" s="87" t="str">
        <f aca="false">IF(E196="","",MID(IF(N(Y196)&gt;0,", "&amp;A196&amp;"-"&amp;Y$2,"")&amp;IF(N(Z196)&gt;0,", "&amp;A196&amp;"-"&amp;Z$2,"")&amp;IF(N(AA196)&gt;0,", "&amp;A196&amp;"-"&amp;AA$2,"")&amp;IF(N(AB196)&gt;0,", "&amp;A196&amp;"-"&amp;AB$2,"")&amp;IF(N(AC196)&gt;0,", "&amp;A196&amp;"-"&amp;AC$2,"")&amp;IF(N(AD196)&gt;0,", "&amp;A196&amp;"-"&amp;AD$2,"")&amp;IF(N(AE196)&gt;0,", "&amp;A196&amp;"-"&amp;AE$2,"")&amp;IF(N(AF196)&gt;0,", "&amp;A196&amp;"-"&amp;AF$2,"")&amp;IF(N(AG196)&gt;0,", "&amp;A196&amp;"-"&amp;AG$2,"")&amp;IF(N(AH196)&gt;0,", "&amp;A196&amp;"-"&amp;AH$2,"")&amp;IF(N(AI196)&gt;0,", "&amp;A196&amp;"-"&amp;AI$2,"")&amp;IF(N(AJ196)&gt;0,", "&amp;A196&amp;"-"&amp;AJ$2,""),3,999))</f>
        <v/>
      </c>
      <c r="AN196" s="81"/>
      <c r="AO196" s="88"/>
      <c r="AP196" s="89" t="str">
        <f aca="false">IF(AO196="","",ROUND(AO196/(1+Справочники!$B$13),2))</f>
        <v/>
      </c>
      <c r="AQ196" s="90" t="str">
        <f aca="false" t="array" ref="AQ196:AQ196">IF(AP196="","",AP196*INDEX(Справочники!$B$4:$B$7,MATCH("RUB",Справочники!$A$4:$A$7,0)))</f>
        <v/>
      </c>
      <c r="AR196" s="90" t="str">
        <f aca="false">IF(AQ196="","",ROUND(AQ196*(1+Справочники!$B$12),0))</f>
        <v/>
      </c>
      <c r="AS196" s="90" t="str">
        <f aca="false">IF(AR196="","",ROUND(AR196*(1-Справочники!$B$11),0))</f>
        <v/>
      </c>
      <c r="AT196" s="88"/>
      <c r="AU196" s="90" t="str">
        <f aca="false">IF(AT196="","",ROUND(AT196/(1+Справочники!$B$12),0))</f>
        <v/>
      </c>
      <c r="AV196" s="90" t="str">
        <f aca="false">IF(AT196="","",ROUND(AT196*(1-Справочники!$B$15),0))</f>
        <v/>
      </c>
      <c r="AW196" s="90" t="str">
        <f aca="false">IF(AT196="","",ROUND(AT196*(1-Справочники!$B$16),0))</f>
        <v/>
      </c>
      <c r="AX196" s="90" t="str">
        <f aca="false">IF(AT196="","",ROUND(AT196*(1-Справочники!$B$17),0))</f>
        <v/>
      </c>
      <c r="AY196" s="90" t="str">
        <f aca="false">IF(AT196="","",ROUND(AT196*(1-Справочники!$B$18),0))</f>
        <v/>
      </c>
      <c r="AZ196" s="90" t="str">
        <f aca="false">IF(AT196="","",ROUND(AT196*(1-Справочники!$B$19),0))</f>
        <v/>
      </c>
      <c r="BA196" s="81"/>
      <c r="BB196" s="81"/>
      <c r="BC196" s="81"/>
      <c r="BD196" s="81"/>
      <c r="BE196" s="91"/>
      <c r="BF196" s="81" t="s">
        <v>103</v>
      </c>
      <c r="BG196" s="89" t="n">
        <f aca="false" t="array" ref="BG196:BG196">IF(BF196="","",IFERROR(INDEX(Справочники!$B$4:$B$7,MATCH(BF196,Справочники!$A$4:$A$7,0)),""))</f>
        <v>68.5</v>
      </c>
      <c r="BH196" s="90" t="str">
        <f aca="false">IF(N(BN196)&gt;0,ROUND(SUMIF(ЗАКАЗЫ!$F$3:$F$500,$A196,ЗАКАЗЫ!$Y$3:$Y$500)/BN196,0),IF(OR(BE196="",BG196=""),"",ROUND(BE196*BG196*(1+Справочники!$B$10),0)))</f>
        <v/>
      </c>
      <c r="BI196" s="92" t="str">
        <f aca="false">IF(OR(AU196="",BH196="",AU196=0),"",(AU196-BH196)/AU196)</f>
        <v/>
      </c>
      <c r="BJ196" s="81"/>
      <c r="BK196" s="83"/>
      <c r="BL196" s="43" t="str">
        <f aca="false">IFERROR(INDEX(ЗАКАЗЫ!$N$3:$N$500,MATCH($A196,ЗАКАЗЫ!$F$3:$F$500,0)),"")</f>
        <v/>
      </c>
      <c r="BM196" s="8" t="str">
        <f aca="false">IF(BL196="","",IFERROR(VLOOKUP(BL196,'ТН ВЭД'!$A$4:$C$40,3,0),""))</f>
        <v/>
      </c>
      <c r="BN196" s="7" t="str">
        <f aca="false">IF(COUNTIF(ЗАКАЗЫ!$F$3:$F$500,$A196)=0,"",SUMIF(ЗАКАЗЫ!$F$3:$F$500,$A196,ЗАКАЗЫ!$J$3:$J$500))</f>
        <v/>
      </c>
      <c r="BO196" s="7" t="str">
        <f aca="false">IF(BN196="","",SUMIF(ЗАКАЗЫ!$F$3:$F$500,$A196,ЗАКАЗЫ!$AL$3:$AL$500))</f>
        <v/>
      </c>
      <c r="BP196" s="7" t="str">
        <f aca="false">IF(BN196="","",BN196-BO196)</f>
        <v/>
      </c>
      <c r="BQ196" s="55" t="str">
        <f aca="false">IF(BN196="","",IF(BO196&gt;=BN196,"На складе",IF(BO196&gt;0,"Частично","Ждём")))</f>
        <v/>
      </c>
      <c r="BR196" s="43"/>
      <c r="BS196" s="47" t="str">
        <f aca="false">IF(BN196="","",IF(_xlfn.MAXIFS(ЗАКАЗЫ!$AK$3:$AK$500,ЗАКАЗЫ!$F$3:$F$500,$A196)=0,"",_xlfn.MAXIFS(ЗАКАЗЫ!$AK$3:$AK$500,ЗАКАЗЫ!$F$3:$F$500,$A196)))</f>
        <v/>
      </c>
    </row>
    <row r="197" customFormat="false" ht="15.75" hidden="false" customHeight="true" outlineLevel="0" collapsed="false">
      <c r="A197" s="80" t="s">
        <v>3108</v>
      </c>
      <c r="B197" s="81"/>
      <c r="C197" s="81"/>
      <c r="D197" s="81"/>
      <c r="E197" s="83"/>
      <c r="F197" s="81"/>
      <c r="G197" s="83"/>
      <c r="H197" s="83"/>
      <c r="I197" s="84" t="str">
        <f aca="false">IF(E197="","",A197&amp;"_1.jpg")</f>
        <v/>
      </c>
      <c r="J197" s="84" t="str">
        <f aca="false">IF(E197="","",A197&amp;"_2.jpg; "&amp;A197&amp;"_3.jpg")</f>
        <v/>
      </c>
      <c r="K197" s="84" t="str">
        <f aca="false">IF(E197="","",A197&amp;"_schema.jpg")</f>
        <v/>
      </c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 t="s">
        <v>96</v>
      </c>
      <c r="W197" s="81"/>
      <c r="X197" s="81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6" t="str">
        <f aca="false">IF(SUM(Y197:AJ197)=0,"",SUM(Y197:AJ197))</f>
        <v/>
      </c>
      <c r="AL197" s="84" t="str">
        <f aca="false">MID(IF(N(Y197)&gt;0,", "&amp;Y$2,"")&amp;IF(N(Z197)&gt;0,", "&amp;Z$2,"")&amp;IF(N(AA197)&gt;0,", "&amp;AA$2,"")&amp;IF(N(AB197)&gt;0,", "&amp;AB$2,"")&amp;IF(N(AC197)&gt;0,", "&amp;AC$2,"")&amp;IF(N(AD197)&gt;0,", "&amp;AD$2,"")&amp;IF(N(AE197)&gt;0,", "&amp;AE$2,"")&amp;IF(N(AF197)&gt;0,", "&amp;AF$2,"")&amp;IF(N(AG197)&gt;0,", "&amp;AG$2,"")&amp;IF(N(AH197)&gt;0,", "&amp;AH$2,"")&amp;IF(N(AI197)&gt;0,", "&amp;AI$2,"")&amp;IF(N(AJ197)&gt;0,", "&amp;AJ$2,""),3,999)</f>
        <v/>
      </c>
      <c r="AM197" s="87" t="str">
        <f aca="false">IF(E197="","",MID(IF(N(Y197)&gt;0,", "&amp;A197&amp;"-"&amp;Y$2,"")&amp;IF(N(Z197)&gt;0,", "&amp;A197&amp;"-"&amp;Z$2,"")&amp;IF(N(AA197)&gt;0,", "&amp;A197&amp;"-"&amp;AA$2,"")&amp;IF(N(AB197)&gt;0,", "&amp;A197&amp;"-"&amp;AB$2,"")&amp;IF(N(AC197)&gt;0,", "&amp;A197&amp;"-"&amp;AC$2,"")&amp;IF(N(AD197)&gt;0,", "&amp;A197&amp;"-"&amp;AD$2,"")&amp;IF(N(AE197)&gt;0,", "&amp;A197&amp;"-"&amp;AE$2,"")&amp;IF(N(AF197)&gt;0,", "&amp;A197&amp;"-"&amp;AF$2,"")&amp;IF(N(AG197)&gt;0,", "&amp;A197&amp;"-"&amp;AG$2,"")&amp;IF(N(AH197)&gt;0,", "&amp;A197&amp;"-"&amp;AH$2,"")&amp;IF(N(AI197)&gt;0,", "&amp;A197&amp;"-"&amp;AI$2,"")&amp;IF(N(AJ197)&gt;0,", "&amp;A197&amp;"-"&amp;AJ$2,""),3,999))</f>
        <v/>
      </c>
      <c r="AN197" s="81"/>
      <c r="AO197" s="88"/>
      <c r="AP197" s="89" t="str">
        <f aca="false">IF(AO197="","",ROUND(AO197/(1+Справочники!$B$13),2))</f>
        <v/>
      </c>
      <c r="AQ197" s="90" t="str">
        <f aca="false" t="array" ref="AQ197:AQ197">IF(AP197="","",AP197*INDEX(Справочники!$B$4:$B$7,MATCH("RUB",Справочники!$A$4:$A$7,0)))</f>
        <v/>
      </c>
      <c r="AR197" s="90" t="str">
        <f aca="false">IF(AQ197="","",ROUND(AQ197*(1+Справочники!$B$12),0))</f>
        <v/>
      </c>
      <c r="AS197" s="90" t="str">
        <f aca="false">IF(AR197="","",ROUND(AR197*(1-Справочники!$B$11),0))</f>
        <v/>
      </c>
      <c r="AT197" s="88"/>
      <c r="AU197" s="90" t="str">
        <f aca="false">IF(AT197="","",ROUND(AT197/(1+Справочники!$B$12),0))</f>
        <v/>
      </c>
      <c r="AV197" s="90" t="str">
        <f aca="false">IF(AT197="","",ROUND(AT197*(1-Справочники!$B$15),0))</f>
        <v/>
      </c>
      <c r="AW197" s="90" t="str">
        <f aca="false">IF(AT197="","",ROUND(AT197*(1-Справочники!$B$16),0))</f>
        <v/>
      </c>
      <c r="AX197" s="90" t="str">
        <f aca="false">IF(AT197="","",ROUND(AT197*(1-Справочники!$B$17),0))</f>
        <v/>
      </c>
      <c r="AY197" s="90" t="str">
        <f aca="false">IF(AT197="","",ROUND(AT197*(1-Справочники!$B$18),0))</f>
        <v/>
      </c>
      <c r="AZ197" s="90" t="str">
        <f aca="false">IF(AT197="","",ROUND(AT197*(1-Справочники!$B$19),0))</f>
        <v/>
      </c>
      <c r="BA197" s="81"/>
      <c r="BB197" s="81"/>
      <c r="BC197" s="81"/>
      <c r="BD197" s="81"/>
      <c r="BE197" s="91"/>
      <c r="BF197" s="81" t="s">
        <v>103</v>
      </c>
      <c r="BG197" s="89" t="n">
        <f aca="false" t="array" ref="BG197:BG197">IF(BF197="","",IFERROR(INDEX(Справочники!$B$4:$B$7,MATCH(BF197,Справочники!$A$4:$A$7,0)),""))</f>
        <v>68.5</v>
      </c>
      <c r="BH197" s="90" t="str">
        <f aca="false">IF(N(BN197)&gt;0,ROUND(SUMIF(ЗАКАЗЫ!$F$3:$F$500,$A197,ЗАКАЗЫ!$Y$3:$Y$500)/BN197,0),IF(OR(BE197="",BG197=""),"",ROUND(BE197*BG197*(1+Справочники!$B$10),0)))</f>
        <v/>
      </c>
      <c r="BI197" s="92" t="str">
        <f aca="false">IF(OR(AU197="",BH197="",AU197=0),"",(AU197-BH197)/AU197)</f>
        <v/>
      </c>
      <c r="BJ197" s="81"/>
      <c r="BK197" s="83"/>
      <c r="BL197" s="43" t="str">
        <f aca="false">IFERROR(INDEX(ЗАКАЗЫ!$N$3:$N$500,MATCH($A197,ЗАКАЗЫ!$F$3:$F$500,0)),"")</f>
        <v/>
      </c>
      <c r="BM197" s="8" t="str">
        <f aca="false">IF(BL197="","",IFERROR(VLOOKUP(BL197,'ТН ВЭД'!$A$4:$C$40,3,0),""))</f>
        <v/>
      </c>
      <c r="BN197" s="7" t="str">
        <f aca="false">IF(COUNTIF(ЗАКАЗЫ!$F$3:$F$500,$A197)=0,"",SUMIF(ЗАКАЗЫ!$F$3:$F$500,$A197,ЗАКАЗЫ!$J$3:$J$500))</f>
        <v/>
      </c>
      <c r="BO197" s="7" t="str">
        <f aca="false">IF(BN197="","",SUMIF(ЗАКАЗЫ!$F$3:$F$500,$A197,ЗАКАЗЫ!$AL$3:$AL$500))</f>
        <v/>
      </c>
      <c r="BP197" s="7" t="str">
        <f aca="false">IF(BN197="","",BN197-BO197)</f>
        <v/>
      </c>
      <c r="BQ197" s="55" t="str">
        <f aca="false">IF(BN197="","",IF(BO197&gt;=BN197,"На складе",IF(BO197&gt;0,"Частично","Ждём")))</f>
        <v/>
      </c>
      <c r="BR197" s="43"/>
      <c r="BS197" s="47" t="str">
        <f aca="false">IF(BN197="","",IF(_xlfn.MAXIFS(ЗАКАЗЫ!$AK$3:$AK$500,ЗАКАЗЫ!$F$3:$F$500,$A197)=0,"",_xlfn.MAXIFS(ЗАКАЗЫ!$AK$3:$AK$500,ЗАКАЗЫ!$F$3:$F$500,$A197)))</f>
        <v/>
      </c>
    </row>
    <row r="198" customFormat="false" ht="15.75" hidden="false" customHeight="true" outlineLevel="0" collapsed="false">
      <c r="A198" s="80" t="s">
        <v>3109</v>
      </c>
      <c r="B198" s="81"/>
      <c r="C198" s="81"/>
      <c r="D198" s="81"/>
      <c r="E198" s="83"/>
      <c r="F198" s="81"/>
      <c r="G198" s="83"/>
      <c r="H198" s="83"/>
      <c r="I198" s="84" t="str">
        <f aca="false">IF(E198="","",A198&amp;"_1.jpg")</f>
        <v/>
      </c>
      <c r="J198" s="84" t="str">
        <f aca="false">IF(E198="","",A198&amp;"_2.jpg; "&amp;A198&amp;"_3.jpg")</f>
        <v/>
      </c>
      <c r="K198" s="84" t="str">
        <f aca="false">IF(E198="","",A198&amp;"_schema.jpg")</f>
        <v/>
      </c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 t="s">
        <v>96</v>
      </c>
      <c r="W198" s="81"/>
      <c r="X198" s="81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6" t="str">
        <f aca="false">IF(SUM(Y198:AJ198)=0,"",SUM(Y198:AJ198))</f>
        <v/>
      </c>
      <c r="AL198" s="84" t="str">
        <f aca="false">MID(IF(N(Y198)&gt;0,", "&amp;Y$2,"")&amp;IF(N(Z198)&gt;0,", "&amp;Z$2,"")&amp;IF(N(AA198)&gt;0,", "&amp;AA$2,"")&amp;IF(N(AB198)&gt;0,", "&amp;AB$2,"")&amp;IF(N(AC198)&gt;0,", "&amp;AC$2,"")&amp;IF(N(AD198)&gt;0,", "&amp;AD$2,"")&amp;IF(N(AE198)&gt;0,", "&amp;AE$2,"")&amp;IF(N(AF198)&gt;0,", "&amp;AF$2,"")&amp;IF(N(AG198)&gt;0,", "&amp;AG$2,"")&amp;IF(N(AH198)&gt;0,", "&amp;AH$2,"")&amp;IF(N(AI198)&gt;0,", "&amp;AI$2,"")&amp;IF(N(AJ198)&gt;0,", "&amp;AJ$2,""),3,999)</f>
        <v/>
      </c>
      <c r="AM198" s="87" t="str">
        <f aca="false">IF(E198="","",MID(IF(N(Y198)&gt;0,", "&amp;A198&amp;"-"&amp;Y$2,"")&amp;IF(N(Z198)&gt;0,", "&amp;A198&amp;"-"&amp;Z$2,"")&amp;IF(N(AA198)&gt;0,", "&amp;A198&amp;"-"&amp;AA$2,"")&amp;IF(N(AB198)&gt;0,", "&amp;A198&amp;"-"&amp;AB$2,"")&amp;IF(N(AC198)&gt;0,", "&amp;A198&amp;"-"&amp;AC$2,"")&amp;IF(N(AD198)&gt;0,", "&amp;A198&amp;"-"&amp;AD$2,"")&amp;IF(N(AE198)&gt;0,", "&amp;A198&amp;"-"&amp;AE$2,"")&amp;IF(N(AF198)&gt;0,", "&amp;A198&amp;"-"&amp;AF$2,"")&amp;IF(N(AG198)&gt;0,", "&amp;A198&amp;"-"&amp;AG$2,"")&amp;IF(N(AH198)&gt;0,", "&amp;A198&amp;"-"&amp;AH$2,"")&amp;IF(N(AI198)&gt;0,", "&amp;A198&amp;"-"&amp;AI$2,"")&amp;IF(N(AJ198)&gt;0,", "&amp;A198&amp;"-"&amp;AJ$2,""),3,999))</f>
        <v/>
      </c>
      <c r="AN198" s="81"/>
      <c r="AO198" s="88"/>
      <c r="AP198" s="89" t="str">
        <f aca="false">IF(AO198="","",ROUND(AO198/(1+Справочники!$B$13),2))</f>
        <v/>
      </c>
      <c r="AQ198" s="90" t="str">
        <f aca="false" t="array" ref="AQ198:AQ198">IF(AP198="","",AP198*INDEX(Справочники!$B$4:$B$7,MATCH("RUB",Справочники!$A$4:$A$7,0)))</f>
        <v/>
      </c>
      <c r="AR198" s="90" t="str">
        <f aca="false">IF(AQ198="","",ROUND(AQ198*(1+Справочники!$B$12),0))</f>
        <v/>
      </c>
      <c r="AS198" s="90" t="str">
        <f aca="false">IF(AR198="","",ROUND(AR198*(1-Справочники!$B$11),0))</f>
        <v/>
      </c>
      <c r="AT198" s="88"/>
      <c r="AU198" s="90" t="str">
        <f aca="false">IF(AT198="","",ROUND(AT198/(1+Справочники!$B$12),0))</f>
        <v/>
      </c>
      <c r="AV198" s="90" t="str">
        <f aca="false">IF(AT198="","",ROUND(AT198*(1-Справочники!$B$15),0))</f>
        <v/>
      </c>
      <c r="AW198" s="90" t="str">
        <f aca="false">IF(AT198="","",ROUND(AT198*(1-Справочники!$B$16),0))</f>
        <v/>
      </c>
      <c r="AX198" s="90" t="str">
        <f aca="false">IF(AT198="","",ROUND(AT198*(1-Справочники!$B$17),0))</f>
        <v/>
      </c>
      <c r="AY198" s="90" t="str">
        <f aca="false">IF(AT198="","",ROUND(AT198*(1-Справочники!$B$18),0))</f>
        <v/>
      </c>
      <c r="AZ198" s="90" t="str">
        <f aca="false">IF(AT198="","",ROUND(AT198*(1-Справочники!$B$19),0))</f>
        <v/>
      </c>
      <c r="BA198" s="81"/>
      <c r="BB198" s="81"/>
      <c r="BC198" s="81"/>
      <c r="BD198" s="81"/>
      <c r="BE198" s="91"/>
      <c r="BF198" s="81" t="s">
        <v>103</v>
      </c>
      <c r="BG198" s="89" t="n">
        <f aca="false" t="array" ref="BG198:BG198">IF(BF198="","",IFERROR(INDEX(Справочники!$B$4:$B$7,MATCH(BF198,Справочники!$A$4:$A$7,0)),""))</f>
        <v>68.5</v>
      </c>
      <c r="BH198" s="90" t="str">
        <f aca="false">IF(N(BN198)&gt;0,ROUND(SUMIF(ЗАКАЗЫ!$F$3:$F$500,$A198,ЗАКАЗЫ!$Y$3:$Y$500)/BN198,0),IF(OR(BE198="",BG198=""),"",ROUND(BE198*BG198*(1+Справочники!$B$10),0)))</f>
        <v/>
      </c>
      <c r="BI198" s="92" t="str">
        <f aca="false">IF(OR(AU198="",BH198="",AU198=0),"",(AU198-BH198)/AU198)</f>
        <v/>
      </c>
      <c r="BJ198" s="81"/>
      <c r="BK198" s="83"/>
      <c r="BL198" s="43" t="str">
        <f aca="false">IFERROR(INDEX(ЗАКАЗЫ!$N$3:$N$500,MATCH($A198,ЗАКАЗЫ!$F$3:$F$500,0)),"")</f>
        <v/>
      </c>
      <c r="BM198" s="8" t="str">
        <f aca="false">IF(BL198="","",IFERROR(VLOOKUP(BL198,'ТН ВЭД'!$A$4:$C$40,3,0),""))</f>
        <v/>
      </c>
      <c r="BN198" s="7" t="str">
        <f aca="false">IF(COUNTIF(ЗАКАЗЫ!$F$3:$F$500,$A198)=0,"",SUMIF(ЗАКАЗЫ!$F$3:$F$500,$A198,ЗАКАЗЫ!$J$3:$J$500))</f>
        <v/>
      </c>
      <c r="BO198" s="7" t="str">
        <f aca="false">IF(BN198="","",SUMIF(ЗАКАЗЫ!$F$3:$F$500,$A198,ЗАКАЗЫ!$AL$3:$AL$500))</f>
        <v/>
      </c>
      <c r="BP198" s="7" t="str">
        <f aca="false">IF(BN198="","",BN198-BO198)</f>
        <v/>
      </c>
      <c r="BQ198" s="55" t="str">
        <f aca="false">IF(BN198="","",IF(BO198&gt;=BN198,"На складе",IF(BO198&gt;0,"Частично","Ждём")))</f>
        <v/>
      </c>
      <c r="BR198" s="43"/>
      <c r="BS198" s="47" t="str">
        <f aca="false">IF(BN198="","",IF(_xlfn.MAXIFS(ЗАКАЗЫ!$AK$3:$AK$500,ЗАКАЗЫ!$F$3:$F$500,$A198)=0,"",_xlfn.MAXIFS(ЗАКАЗЫ!$AK$3:$AK$500,ЗАКАЗЫ!$F$3:$F$500,$A198)))</f>
        <v/>
      </c>
    </row>
    <row r="199" customFormat="false" ht="15.75" hidden="false" customHeight="true" outlineLevel="0" collapsed="false">
      <c r="A199" s="80" t="s">
        <v>3110</v>
      </c>
      <c r="B199" s="81"/>
      <c r="C199" s="81"/>
      <c r="D199" s="81"/>
      <c r="E199" s="83"/>
      <c r="F199" s="81"/>
      <c r="G199" s="83"/>
      <c r="H199" s="83"/>
      <c r="I199" s="84" t="str">
        <f aca="false">IF(E199="","",A199&amp;"_1.jpg")</f>
        <v/>
      </c>
      <c r="J199" s="84" t="str">
        <f aca="false">IF(E199="","",A199&amp;"_2.jpg; "&amp;A199&amp;"_3.jpg")</f>
        <v/>
      </c>
      <c r="K199" s="84" t="str">
        <f aca="false">IF(E199="","",A199&amp;"_schema.jpg")</f>
        <v/>
      </c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 t="s">
        <v>96</v>
      </c>
      <c r="W199" s="81"/>
      <c r="X199" s="81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6" t="str">
        <f aca="false">IF(SUM(Y199:AJ199)=0,"",SUM(Y199:AJ199))</f>
        <v/>
      </c>
      <c r="AL199" s="84" t="str">
        <f aca="false">MID(IF(N(Y199)&gt;0,", "&amp;Y$2,"")&amp;IF(N(Z199)&gt;0,", "&amp;Z$2,"")&amp;IF(N(AA199)&gt;0,", "&amp;AA$2,"")&amp;IF(N(AB199)&gt;0,", "&amp;AB$2,"")&amp;IF(N(AC199)&gt;0,", "&amp;AC$2,"")&amp;IF(N(AD199)&gt;0,", "&amp;AD$2,"")&amp;IF(N(AE199)&gt;0,", "&amp;AE$2,"")&amp;IF(N(AF199)&gt;0,", "&amp;AF$2,"")&amp;IF(N(AG199)&gt;0,", "&amp;AG$2,"")&amp;IF(N(AH199)&gt;0,", "&amp;AH$2,"")&amp;IF(N(AI199)&gt;0,", "&amp;AI$2,"")&amp;IF(N(AJ199)&gt;0,", "&amp;AJ$2,""),3,999)</f>
        <v/>
      </c>
      <c r="AM199" s="87" t="str">
        <f aca="false">IF(E199="","",MID(IF(N(Y199)&gt;0,", "&amp;A199&amp;"-"&amp;Y$2,"")&amp;IF(N(Z199)&gt;0,", "&amp;A199&amp;"-"&amp;Z$2,"")&amp;IF(N(AA199)&gt;0,", "&amp;A199&amp;"-"&amp;AA$2,"")&amp;IF(N(AB199)&gt;0,", "&amp;A199&amp;"-"&amp;AB$2,"")&amp;IF(N(AC199)&gt;0,", "&amp;A199&amp;"-"&amp;AC$2,"")&amp;IF(N(AD199)&gt;0,", "&amp;A199&amp;"-"&amp;AD$2,"")&amp;IF(N(AE199)&gt;0,", "&amp;A199&amp;"-"&amp;AE$2,"")&amp;IF(N(AF199)&gt;0,", "&amp;A199&amp;"-"&amp;AF$2,"")&amp;IF(N(AG199)&gt;0,", "&amp;A199&amp;"-"&amp;AG$2,"")&amp;IF(N(AH199)&gt;0,", "&amp;A199&amp;"-"&amp;AH$2,"")&amp;IF(N(AI199)&gt;0,", "&amp;A199&amp;"-"&amp;AI$2,"")&amp;IF(N(AJ199)&gt;0,", "&amp;A199&amp;"-"&amp;AJ$2,""),3,999))</f>
        <v/>
      </c>
      <c r="AN199" s="81"/>
      <c r="AO199" s="88"/>
      <c r="AP199" s="89" t="str">
        <f aca="false">IF(AO199="","",ROUND(AO199/(1+Справочники!$B$13),2))</f>
        <v/>
      </c>
      <c r="AQ199" s="90" t="str">
        <f aca="false" t="array" ref="AQ199:AQ199">IF(AP199="","",AP199*INDEX(Справочники!$B$4:$B$7,MATCH("RUB",Справочники!$A$4:$A$7,0)))</f>
        <v/>
      </c>
      <c r="AR199" s="90" t="str">
        <f aca="false">IF(AQ199="","",ROUND(AQ199*(1+Справочники!$B$12),0))</f>
        <v/>
      </c>
      <c r="AS199" s="90" t="str">
        <f aca="false">IF(AR199="","",ROUND(AR199*(1-Справочники!$B$11),0))</f>
        <v/>
      </c>
      <c r="AT199" s="88"/>
      <c r="AU199" s="90" t="str">
        <f aca="false">IF(AT199="","",ROUND(AT199/(1+Справочники!$B$12),0))</f>
        <v/>
      </c>
      <c r="AV199" s="90" t="str">
        <f aca="false">IF(AT199="","",ROUND(AT199*(1-Справочники!$B$15),0))</f>
        <v/>
      </c>
      <c r="AW199" s="90" t="str">
        <f aca="false">IF(AT199="","",ROUND(AT199*(1-Справочники!$B$16),0))</f>
        <v/>
      </c>
      <c r="AX199" s="90" t="str">
        <f aca="false">IF(AT199="","",ROUND(AT199*(1-Справочники!$B$17),0))</f>
        <v/>
      </c>
      <c r="AY199" s="90" t="str">
        <f aca="false">IF(AT199="","",ROUND(AT199*(1-Справочники!$B$18),0))</f>
        <v/>
      </c>
      <c r="AZ199" s="90" t="str">
        <f aca="false">IF(AT199="","",ROUND(AT199*(1-Справочники!$B$19),0))</f>
        <v/>
      </c>
      <c r="BA199" s="81"/>
      <c r="BB199" s="81"/>
      <c r="BC199" s="81"/>
      <c r="BD199" s="81"/>
      <c r="BE199" s="91"/>
      <c r="BF199" s="81" t="s">
        <v>103</v>
      </c>
      <c r="BG199" s="89" t="n">
        <f aca="false" t="array" ref="BG199:BG199">IF(BF199="","",IFERROR(INDEX(Справочники!$B$4:$B$7,MATCH(BF199,Справочники!$A$4:$A$7,0)),""))</f>
        <v>68.5</v>
      </c>
      <c r="BH199" s="90" t="str">
        <f aca="false">IF(N(BN199)&gt;0,ROUND(SUMIF(ЗАКАЗЫ!$F$3:$F$500,$A199,ЗАКАЗЫ!$Y$3:$Y$500)/BN199,0),IF(OR(BE199="",BG199=""),"",ROUND(BE199*BG199*(1+Справочники!$B$10),0)))</f>
        <v/>
      </c>
      <c r="BI199" s="92" t="str">
        <f aca="false">IF(OR(AU199="",BH199="",AU199=0),"",(AU199-BH199)/AU199)</f>
        <v/>
      </c>
      <c r="BJ199" s="81"/>
      <c r="BK199" s="83"/>
      <c r="BL199" s="43" t="str">
        <f aca="false">IFERROR(INDEX(ЗАКАЗЫ!$N$3:$N$500,MATCH($A199,ЗАКАЗЫ!$F$3:$F$500,0)),"")</f>
        <v/>
      </c>
      <c r="BM199" s="8" t="str">
        <f aca="false">IF(BL199="","",IFERROR(VLOOKUP(BL199,'ТН ВЭД'!$A$4:$C$40,3,0),""))</f>
        <v/>
      </c>
      <c r="BN199" s="7" t="str">
        <f aca="false">IF(COUNTIF(ЗАКАЗЫ!$F$3:$F$500,$A199)=0,"",SUMIF(ЗАКАЗЫ!$F$3:$F$500,$A199,ЗАКАЗЫ!$J$3:$J$500))</f>
        <v/>
      </c>
      <c r="BO199" s="7" t="str">
        <f aca="false">IF(BN199="","",SUMIF(ЗАКАЗЫ!$F$3:$F$500,$A199,ЗАКАЗЫ!$AL$3:$AL$500))</f>
        <v/>
      </c>
      <c r="BP199" s="7" t="str">
        <f aca="false">IF(BN199="","",BN199-BO199)</f>
        <v/>
      </c>
      <c r="BQ199" s="55" t="str">
        <f aca="false">IF(BN199="","",IF(BO199&gt;=BN199,"На складе",IF(BO199&gt;0,"Частично","Ждём")))</f>
        <v/>
      </c>
      <c r="BR199" s="43"/>
      <c r="BS199" s="47" t="str">
        <f aca="false">IF(BN199="","",IF(_xlfn.MAXIFS(ЗАКАЗЫ!$AK$3:$AK$500,ЗАКАЗЫ!$F$3:$F$500,$A199)=0,"",_xlfn.MAXIFS(ЗАКАЗЫ!$AK$3:$AK$500,ЗАКАЗЫ!$F$3:$F$500,$A199)))</f>
        <v/>
      </c>
    </row>
    <row r="200" customFormat="false" ht="15.75" hidden="false" customHeight="true" outlineLevel="0" collapsed="false">
      <c r="A200" s="80" t="s">
        <v>3111</v>
      </c>
      <c r="B200" s="81"/>
      <c r="C200" s="81"/>
      <c r="D200" s="81"/>
      <c r="E200" s="83"/>
      <c r="F200" s="81"/>
      <c r="G200" s="83"/>
      <c r="H200" s="83"/>
      <c r="I200" s="84" t="str">
        <f aca="false">IF(E200="","",A200&amp;"_1.jpg")</f>
        <v/>
      </c>
      <c r="J200" s="84" t="str">
        <f aca="false">IF(E200="","",A200&amp;"_2.jpg; "&amp;A200&amp;"_3.jpg")</f>
        <v/>
      </c>
      <c r="K200" s="84" t="str">
        <f aca="false">IF(E200="","",A200&amp;"_schema.jpg")</f>
        <v/>
      </c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 t="s">
        <v>96</v>
      </c>
      <c r="W200" s="81"/>
      <c r="X200" s="81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6" t="str">
        <f aca="false">IF(SUM(Y200:AJ200)=0,"",SUM(Y200:AJ200))</f>
        <v/>
      </c>
      <c r="AL200" s="84" t="str">
        <f aca="false">MID(IF(N(Y200)&gt;0,", "&amp;Y$2,"")&amp;IF(N(Z200)&gt;0,", "&amp;Z$2,"")&amp;IF(N(AA200)&gt;0,", "&amp;AA$2,"")&amp;IF(N(AB200)&gt;0,", "&amp;AB$2,"")&amp;IF(N(AC200)&gt;0,", "&amp;AC$2,"")&amp;IF(N(AD200)&gt;0,", "&amp;AD$2,"")&amp;IF(N(AE200)&gt;0,", "&amp;AE$2,"")&amp;IF(N(AF200)&gt;0,", "&amp;AF$2,"")&amp;IF(N(AG200)&gt;0,", "&amp;AG$2,"")&amp;IF(N(AH200)&gt;0,", "&amp;AH$2,"")&amp;IF(N(AI200)&gt;0,", "&amp;AI$2,"")&amp;IF(N(AJ200)&gt;0,", "&amp;AJ$2,""),3,999)</f>
        <v/>
      </c>
      <c r="AM200" s="87" t="str">
        <f aca="false">IF(E200="","",MID(IF(N(Y200)&gt;0,", "&amp;A200&amp;"-"&amp;Y$2,"")&amp;IF(N(Z200)&gt;0,", "&amp;A200&amp;"-"&amp;Z$2,"")&amp;IF(N(AA200)&gt;0,", "&amp;A200&amp;"-"&amp;AA$2,"")&amp;IF(N(AB200)&gt;0,", "&amp;A200&amp;"-"&amp;AB$2,"")&amp;IF(N(AC200)&gt;0,", "&amp;A200&amp;"-"&amp;AC$2,"")&amp;IF(N(AD200)&gt;0,", "&amp;A200&amp;"-"&amp;AD$2,"")&amp;IF(N(AE200)&gt;0,", "&amp;A200&amp;"-"&amp;AE$2,"")&amp;IF(N(AF200)&gt;0,", "&amp;A200&amp;"-"&amp;AF$2,"")&amp;IF(N(AG200)&gt;0,", "&amp;A200&amp;"-"&amp;AG$2,"")&amp;IF(N(AH200)&gt;0,", "&amp;A200&amp;"-"&amp;AH$2,"")&amp;IF(N(AI200)&gt;0,", "&amp;A200&amp;"-"&amp;AI$2,"")&amp;IF(N(AJ200)&gt;0,", "&amp;A200&amp;"-"&amp;AJ$2,""),3,999))</f>
        <v/>
      </c>
      <c r="AN200" s="81"/>
      <c r="AO200" s="88"/>
      <c r="AP200" s="89" t="str">
        <f aca="false">IF(AO200="","",ROUND(AO200/(1+Справочники!$B$13),2))</f>
        <v/>
      </c>
      <c r="AQ200" s="90" t="str">
        <f aca="false" t="array" ref="AQ200:AQ200">IF(AP200="","",AP200*INDEX(Справочники!$B$4:$B$7,MATCH("RUB",Справочники!$A$4:$A$7,0)))</f>
        <v/>
      </c>
      <c r="AR200" s="90" t="str">
        <f aca="false">IF(AQ200="","",ROUND(AQ200*(1+Справочники!$B$12),0))</f>
        <v/>
      </c>
      <c r="AS200" s="90" t="str">
        <f aca="false">IF(AR200="","",ROUND(AR200*(1-Справочники!$B$11),0))</f>
        <v/>
      </c>
      <c r="AT200" s="88"/>
      <c r="AU200" s="90" t="str">
        <f aca="false">IF(AT200="","",ROUND(AT200/(1+Справочники!$B$12),0))</f>
        <v/>
      </c>
      <c r="AV200" s="90" t="str">
        <f aca="false">IF(AT200="","",ROUND(AT200*(1-Справочники!$B$15),0))</f>
        <v/>
      </c>
      <c r="AW200" s="90" t="str">
        <f aca="false">IF(AT200="","",ROUND(AT200*(1-Справочники!$B$16),0))</f>
        <v/>
      </c>
      <c r="AX200" s="90" t="str">
        <f aca="false">IF(AT200="","",ROUND(AT200*(1-Справочники!$B$17),0))</f>
        <v/>
      </c>
      <c r="AY200" s="90" t="str">
        <f aca="false">IF(AT200="","",ROUND(AT200*(1-Справочники!$B$18),0))</f>
        <v/>
      </c>
      <c r="AZ200" s="90" t="str">
        <f aca="false">IF(AT200="","",ROUND(AT200*(1-Справочники!$B$19),0))</f>
        <v/>
      </c>
      <c r="BA200" s="81"/>
      <c r="BB200" s="81"/>
      <c r="BC200" s="81"/>
      <c r="BD200" s="81"/>
      <c r="BE200" s="91"/>
      <c r="BF200" s="81" t="s">
        <v>103</v>
      </c>
      <c r="BG200" s="89" t="n">
        <f aca="false" t="array" ref="BG200:BG200">IF(BF200="","",IFERROR(INDEX(Справочники!$B$4:$B$7,MATCH(BF200,Справочники!$A$4:$A$7,0)),""))</f>
        <v>68.5</v>
      </c>
      <c r="BH200" s="90" t="str">
        <f aca="false">IF(N(BN200)&gt;0,ROUND(SUMIF(ЗАКАЗЫ!$F$3:$F$500,$A200,ЗАКАЗЫ!$Y$3:$Y$500)/BN200,0),IF(OR(BE200="",BG200=""),"",ROUND(BE200*BG200*(1+Справочники!$B$10),0)))</f>
        <v/>
      </c>
      <c r="BI200" s="92" t="str">
        <f aca="false">IF(OR(AU200="",BH200="",AU200=0),"",(AU200-BH200)/AU200)</f>
        <v/>
      </c>
      <c r="BJ200" s="81"/>
      <c r="BK200" s="83"/>
      <c r="BL200" s="43" t="str">
        <f aca="false">IFERROR(INDEX(ЗАКАЗЫ!$N$3:$N$500,MATCH($A200,ЗАКАЗЫ!$F$3:$F$500,0)),"")</f>
        <v/>
      </c>
      <c r="BM200" s="8" t="str">
        <f aca="false">IF(BL200="","",IFERROR(VLOOKUP(BL200,'ТН ВЭД'!$A$4:$C$40,3,0),""))</f>
        <v/>
      </c>
      <c r="BN200" s="7" t="str">
        <f aca="false">IF(COUNTIF(ЗАКАЗЫ!$F$3:$F$500,$A200)=0,"",SUMIF(ЗАКАЗЫ!$F$3:$F$500,$A200,ЗАКАЗЫ!$J$3:$J$500))</f>
        <v/>
      </c>
      <c r="BO200" s="7" t="str">
        <f aca="false">IF(BN200="","",SUMIF(ЗАКАЗЫ!$F$3:$F$500,$A200,ЗАКАЗЫ!$AL$3:$AL$500))</f>
        <v/>
      </c>
      <c r="BP200" s="7" t="str">
        <f aca="false">IF(BN200="","",BN200-BO200)</f>
        <v/>
      </c>
      <c r="BQ200" s="55" t="str">
        <f aca="false">IF(BN200="","",IF(BO200&gt;=BN200,"На складе",IF(BO200&gt;0,"Частично","Ждём")))</f>
        <v/>
      </c>
      <c r="BR200" s="43"/>
      <c r="BS200" s="47" t="str">
        <f aca="false">IF(BN200="","",IF(_xlfn.MAXIFS(ЗАКАЗЫ!$AK$3:$AK$500,ЗАКАЗЫ!$F$3:$F$500,$A200)=0,"",_xlfn.MAXIFS(ЗАКАЗЫ!$AK$3:$AK$500,ЗАКАЗЫ!$F$3:$F$500,$A200)))</f>
        <v/>
      </c>
    </row>
    <row r="201" customFormat="false" ht="15.75" hidden="false" customHeight="true" outlineLevel="0" collapsed="false">
      <c r="A201" s="80" t="s">
        <v>3112</v>
      </c>
      <c r="B201" s="81"/>
      <c r="C201" s="81"/>
      <c r="D201" s="81"/>
      <c r="E201" s="83"/>
      <c r="F201" s="81"/>
      <c r="G201" s="83"/>
      <c r="H201" s="83"/>
      <c r="I201" s="84" t="str">
        <f aca="false">IF(E201="","",A201&amp;"_1.jpg")</f>
        <v/>
      </c>
      <c r="J201" s="84" t="str">
        <f aca="false">IF(E201="","",A201&amp;"_2.jpg; "&amp;A201&amp;"_3.jpg")</f>
        <v/>
      </c>
      <c r="K201" s="84" t="str">
        <f aca="false">IF(E201="","",A201&amp;"_schema.jpg")</f>
        <v/>
      </c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 t="s">
        <v>96</v>
      </c>
      <c r="W201" s="81"/>
      <c r="X201" s="81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6" t="str">
        <f aca="false">IF(SUM(Y201:AJ201)=0,"",SUM(Y201:AJ201))</f>
        <v/>
      </c>
      <c r="AL201" s="84" t="str">
        <f aca="false">MID(IF(N(Y201)&gt;0,", "&amp;Y$2,"")&amp;IF(N(Z201)&gt;0,", "&amp;Z$2,"")&amp;IF(N(AA201)&gt;0,", "&amp;AA$2,"")&amp;IF(N(AB201)&gt;0,", "&amp;AB$2,"")&amp;IF(N(AC201)&gt;0,", "&amp;AC$2,"")&amp;IF(N(AD201)&gt;0,", "&amp;AD$2,"")&amp;IF(N(AE201)&gt;0,", "&amp;AE$2,"")&amp;IF(N(AF201)&gt;0,", "&amp;AF$2,"")&amp;IF(N(AG201)&gt;0,", "&amp;AG$2,"")&amp;IF(N(AH201)&gt;0,", "&amp;AH$2,"")&amp;IF(N(AI201)&gt;0,", "&amp;AI$2,"")&amp;IF(N(AJ201)&gt;0,", "&amp;AJ$2,""),3,999)</f>
        <v/>
      </c>
      <c r="AM201" s="87" t="str">
        <f aca="false">IF(E201="","",MID(IF(N(Y201)&gt;0,", "&amp;A201&amp;"-"&amp;Y$2,"")&amp;IF(N(Z201)&gt;0,", "&amp;A201&amp;"-"&amp;Z$2,"")&amp;IF(N(AA201)&gt;0,", "&amp;A201&amp;"-"&amp;AA$2,"")&amp;IF(N(AB201)&gt;0,", "&amp;A201&amp;"-"&amp;AB$2,"")&amp;IF(N(AC201)&gt;0,", "&amp;A201&amp;"-"&amp;AC$2,"")&amp;IF(N(AD201)&gt;0,", "&amp;A201&amp;"-"&amp;AD$2,"")&amp;IF(N(AE201)&gt;0,", "&amp;A201&amp;"-"&amp;AE$2,"")&amp;IF(N(AF201)&gt;0,", "&amp;A201&amp;"-"&amp;AF$2,"")&amp;IF(N(AG201)&gt;0,", "&amp;A201&amp;"-"&amp;AG$2,"")&amp;IF(N(AH201)&gt;0,", "&amp;A201&amp;"-"&amp;AH$2,"")&amp;IF(N(AI201)&gt;0,", "&amp;A201&amp;"-"&amp;AI$2,"")&amp;IF(N(AJ201)&gt;0,", "&amp;A201&amp;"-"&amp;AJ$2,""),3,999))</f>
        <v/>
      </c>
      <c r="AN201" s="81"/>
      <c r="AO201" s="88"/>
      <c r="AP201" s="89" t="str">
        <f aca="false">IF(AO201="","",ROUND(AO201/(1+Справочники!$B$13),2))</f>
        <v/>
      </c>
      <c r="AQ201" s="90" t="str">
        <f aca="false" t="array" ref="AQ201:AQ201">IF(AP201="","",AP201*INDEX(Справочники!$B$4:$B$7,MATCH("RUB",Справочники!$A$4:$A$7,0)))</f>
        <v/>
      </c>
      <c r="AR201" s="90" t="str">
        <f aca="false">IF(AQ201="","",ROUND(AQ201*(1+Справочники!$B$12),0))</f>
        <v/>
      </c>
      <c r="AS201" s="90" t="str">
        <f aca="false">IF(AR201="","",ROUND(AR201*(1-Справочники!$B$11),0))</f>
        <v/>
      </c>
      <c r="AT201" s="88"/>
      <c r="AU201" s="90" t="str">
        <f aca="false">IF(AT201="","",ROUND(AT201/(1+Справочники!$B$12),0))</f>
        <v/>
      </c>
      <c r="AV201" s="90" t="str">
        <f aca="false">IF(AT201="","",ROUND(AT201*(1-Справочники!$B$15),0))</f>
        <v/>
      </c>
      <c r="AW201" s="90" t="str">
        <f aca="false">IF(AT201="","",ROUND(AT201*(1-Справочники!$B$16),0))</f>
        <v/>
      </c>
      <c r="AX201" s="90" t="str">
        <f aca="false">IF(AT201="","",ROUND(AT201*(1-Справочники!$B$17),0))</f>
        <v/>
      </c>
      <c r="AY201" s="90" t="str">
        <f aca="false">IF(AT201="","",ROUND(AT201*(1-Справочники!$B$18),0))</f>
        <v/>
      </c>
      <c r="AZ201" s="90" t="str">
        <f aca="false">IF(AT201="","",ROUND(AT201*(1-Справочники!$B$19),0))</f>
        <v/>
      </c>
      <c r="BA201" s="81"/>
      <c r="BB201" s="81"/>
      <c r="BC201" s="81"/>
      <c r="BD201" s="81"/>
      <c r="BE201" s="91"/>
      <c r="BF201" s="81" t="s">
        <v>103</v>
      </c>
      <c r="BG201" s="89" t="n">
        <f aca="false" t="array" ref="BG201:BG201">IF(BF201="","",IFERROR(INDEX(Справочники!$B$4:$B$7,MATCH(BF201,Справочники!$A$4:$A$7,0)),""))</f>
        <v>68.5</v>
      </c>
      <c r="BH201" s="90" t="str">
        <f aca="false">IF(N(BN201)&gt;0,ROUND(SUMIF(ЗАКАЗЫ!$F$3:$F$500,$A201,ЗАКАЗЫ!$Y$3:$Y$500)/BN201,0),IF(OR(BE201="",BG201=""),"",ROUND(BE201*BG201*(1+Справочники!$B$10),0)))</f>
        <v/>
      </c>
      <c r="BI201" s="92" t="str">
        <f aca="false">IF(OR(AU201="",BH201="",AU201=0),"",(AU201-BH201)/AU201)</f>
        <v/>
      </c>
      <c r="BJ201" s="81"/>
      <c r="BK201" s="83"/>
      <c r="BL201" s="43" t="str">
        <f aca="false">IFERROR(INDEX(ЗАКАЗЫ!$N$3:$N$500,MATCH($A201,ЗАКАЗЫ!$F$3:$F$500,0)),"")</f>
        <v/>
      </c>
      <c r="BM201" s="8" t="str">
        <f aca="false">IF(BL201="","",IFERROR(VLOOKUP(BL201,'ТН ВЭД'!$A$4:$C$40,3,0),""))</f>
        <v/>
      </c>
      <c r="BN201" s="7" t="str">
        <f aca="false">IF(COUNTIF(ЗАКАЗЫ!$F$3:$F$500,$A201)=0,"",SUMIF(ЗАКАЗЫ!$F$3:$F$500,$A201,ЗАКАЗЫ!$J$3:$J$500))</f>
        <v/>
      </c>
      <c r="BO201" s="7" t="str">
        <f aca="false">IF(BN201="","",SUMIF(ЗАКАЗЫ!$F$3:$F$500,$A201,ЗАКАЗЫ!$AL$3:$AL$500))</f>
        <v/>
      </c>
      <c r="BP201" s="7" t="str">
        <f aca="false">IF(BN201="","",BN201-BO201)</f>
        <v/>
      </c>
      <c r="BQ201" s="55" t="str">
        <f aca="false">IF(BN201="","",IF(BO201&gt;=BN201,"На складе",IF(BO201&gt;0,"Частично","Ждём")))</f>
        <v/>
      </c>
      <c r="BR201" s="43"/>
      <c r="BS201" s="47" t="str">
        <f aca="false">IF(BN201="","",IF(_xlfn.MAXIFS(ЗАКАЗЫ!$AK$3:$AK$500,ЗАКАЗЫ!$F$3:$F$500,$A201)=0,"",_xlfn.MAXIFS(ЗАКАЗЫ!$AK$3:$AK$500,ЗАКАЗЫ!$F$3:$F$500,$A201)))</f>
        <v/>
      </c>
    </row>
    <row r="202" customFormat="false" ht="15.75" hidden="false" customHeight="true" outlineLevel="0" collapsed="false">
      <c r="A202" s="80" t="s">
        <v>3113</v>
      </c>
      <c r="B202" s="81"/>
      <c r="C202" s="81"/>
      <c r="D202" s="81"/>
      <c r="E202" s="83"/>
      <c r="F202" s="81"/>
      <c r="G202" s="83"/>
      <c r="H202" s="83"/>
      <c r="I202" s="84" t="str">
        <f aca="false">IF(E202="","",A202&amp;"_1.jpg")</f>
        <v/>
      </c>
      <c r="J202" s="84" t="str">
        <f aca="false">IF(E202="","",A202&amp;"_2.jpg; "&amp;A202&amp;"_3.jpg")</f>
        <v/>
      </c>
      <c r="K202" s="84" t="str">
        <f aca="false">IF(E202="","",A202&amp;"_schema.jpg")</f>
        <v/>
      </c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 t="s">
        <v>96</v>
      </c>
      <c r="W202" s="81"/>
      <c r="X202" s="81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6" t="str">
        <f aca="false">IF(SUM(Y202:AJ202)=0,"",SUM(Y202:AJ202))</f>
        <v/>
      </c>
      <c r="AL202" s="84" t="str">
        <f aca="false">MID(IF(N(Y202)&gt;0,", "&amp;Y$2,"")&amp;IF(N(Z202)&gt;0,", "&amp;Z$2,"")&amp;IF(N(AA202)&gt;0,", "&amp;AA$2,"")&amp;IF(N(AB202)&gt;0,", "&amp;AB$2,"")&amp;IF(N(AC202)&gt;0,", "&amp;AC$2,"")&amp;IF(N(AD202)&gt;0,", "&amp;AD$2,"")&amp;IF(N(AE202)&gt;0,", "&amp;AE$2,"")&amp;IF(N(AF202)&gt;0,", "&amp;AF$2,"")&amp;IF(N(AG202)&gt;0,", "&amp;AG$2,"")&amp;IF(N(AH202)&gt;0,", "&amp;AH$2,"")&amp;IF(N(AI202)&gt;0,", "&amp;AI$2,"")&amp;IF(N(AJ202)&gt;0,", "&amp;AJ$2,""),3,999)</f>
        <v/>
      </c>
      <c r="AM202" s="87" t="str">
        <f aca="false">IF(E202="","",MID(IF(N(Y202)&gt;0,", "&amp;A202&amp;"-"&amp;Y$2,"")&amp;IF(N(Z202)&gt;0,", "&amp;A202&amp;"-"&amp;Z$2,"")&amp;IF(N(AA202)&gt;0,", "&amp;A202&amp;"-"&amp;AA$2,"")&amp;IF(N(AB202)&gt;0,", "&amp;A202&amp;"-"&amp;AB$2,"")&amp;IF(N(AC202)&gt;0,", "&amp;A202&amp;"-"&amp;AC$2,"")&amp;IF(N(AD202)&gt;0,", "&amp;A202&amp;"-"&amp;AD$2,"")&amp;IF(N(AE202)&gt;0,", "&amp;A202&amp;"-"&amp;AE$2,"")&amp;IF(N(AF202)&gt;0,", "&amp;A202&amp;"-"&amp;AF$2,"")&amp;IF(N(AG202)&gt;0,", "&amp;A202&amp;"-"&amp;AG$2,"")&amp;IF(N(AH202)&gt;0,", "&amp;A202&amp;"-"&amp;AH$2,"")&amp;IF(N(AI202)&gt;0,", "&amp;A202&amp;"-"&amp;AI$2,"")&amp;IF(N(AJ202)&gt;0,", "&amp;A202&amp;"-"&amp;AJ$2,""),3,999))</f>
        <v/>
      </c>
      <c r="AN202" s="81"/>
      <c r="AO202" s="88"/>
      <c r="AP202" s="89" t="str">
        <f aca="false">IF(AO202="","",ROUND(AO202/(1+Справочники!$B$13),2))</f>
        <v/>
      </c>
      <c r="AQ202" s="90" t="str">
        <f aca="false" t="array" ref="AQ202:AQ202">IF(AP202="","",AP202*INDEX(Справочники!$B$4:$B$7,MATCH("RUB",Справочники!$A$4:$A$7,0)))</f>
        <v/>
      </c>
      <c r="AR202" s="90" t="str">
        <f aca="false">IF(AQ202="","",ROUND(AQ202*(1+Справочники!$B$12),0))</f>
        <v/>
      </c>
      <c r="AS202" s="90" t="str">
        <f aca="false">IF(AR202="","",ROUND(AR202*(1-Справочники!$B$11),0))</f>
        <v/>
      </c>
      <c r="AT202" s="88"/>
      <c r="AU202" s="90" t="str">
        <f aca="false">IF(AT202="","",ROUND(AT202/(1+Справочники!$B$12),0))</f>
        <v/>
      </c>
      <c r="AV202" s="90" t="str">
        <f aca="false">IF(AT202="","",ROUND(AT202*(1-Справочники!$B$15),0))</f>
        <v/>
      </c>
      <c r="AW202" s="90" t="str">
        <f aca="false">IF(AT202="","",ROUND(AT202*(1-Справочники!$B$16),0))</f>
        <v/>
      </c>
      <c r="AX202" s="90" t="str">
        <f aca="false">IF(AT202="","",ROUND(AT202*(1-Справочники!$B$17),0))</f>
        <v/>
      </c>
      <c r="AY202" s="90" t="str">
        <f aca="false">IF(AT202="","",ROUND(AT202*(1-Справочники!$B$18),0))</f>
        <v/>
      </c>
      <c r="AZ202" s="90" t="str">
        <f aca="false">IF(AT202="","",ROUND(AT202*(1-Справочники!$B$19),0))</f>
        <v/>
      </c>
      <c r="BA202" s="81"/>
      <c r="BB202" s="81"/>
      <c r="BC202" s="81"/>
      <c r="BD202" s="81"/>
      <c r="BE202" s="91"/>
      <c r="BF202" s="81" t="s">
        <v>103</v>
      </c>
      <c r="BG202" s="89" t="n">
        <f aca="false" t="array" ref="BG202:BG202">IF(BF202="","",IFERROR(INDEX(Справочники!$B$4:$B$7,MATCH(BF202,Справочники!$A$4:$A$7,0)),""))</f>
        <v>68.5</v>
      </c>
      <c r="BH202" s="90" t="str">
        <f aca="false">IF(N(BN202)&gt;0,ROUND(SUMIF(ЗАКАЗЫ!$F$3:$F$500,$A202,ЗАКАЗЫ!$Y$3:$Y$500)/BN202,0),IF(OR(BE202="",BG202=""),"",ROUND(BE202*BG202*(1+Справочники!$B$10),0)))</f>
        <v/>
      </c>
      <c r="BI202" s="92" t="str">
        <f aca="false">IF(OR(AU202="",BH202="",AU202=0),"",(AU202-BH202)/AU202)</f>
        <v/>
      </c>
      <c r="BJ202" s="81"/>
      <c r="BK202" s="83"/>
      <c r="BL202" s="43" t="str">
        <f aca="false">IFERROR(INDEX(ЗАКАЗЫ!$N$3:$N$500,MATCH($A202,ЗАКАЗЫ!$F$3:$F$500,0)),"")</f>
        <v/>
      </c>
      <c r="BM202" s="8" t="str">
        <f aca="false">IF(BL202="","",IFERROR(VLOOKUP(BL202,'ТН ВЭД'!$A$4:$C$40,3,0),""))</f>
        <v/>
      </c>
      <c r="BN202" s="7" t="str">
        <f aca="false">IF(COUNTIF(ЗАКАЗЫ!$F$3:$F$500,$A202)=0,"",SUMIF(ЗАКАЗЫ!$F$3:$F$500,$A202,ЗАКАЗЫ!$J$3:$J$500))</f>
        <v/>
      </c>
      <c r="BO202" s="7" t="str">
        <f aca="false">IF(BN202="","",SUMIF(ЗАКАЗЫ!$F$3:$F$500,$A202,ЗАКАЗЫ!$AL$3:$AL$500))</f>
        <v/>
      </c>
      <c r="BP202" s="7" t="str">
        <f aca="false">IF(BN202="","",BN202-BO202)</f>
        <v/>
      </c>
      <c r="BQ202" s="55" t="str">
        <f aca="false">IF(BN202="","",IF(BO202&gt;=BN202,"На складе",IF(BO202&gt;0,"Частично","Ждём")))</f>
        <v/>
      </c>
      <c r="BR202" s="43"/>
      <c r="BS202" s="47" t="str">
        <f aca="false">IF(BN202="","",IF(_xlfn.MAXIFS(ЗАКАЗЫ!$AK$3:$AK$500,ЗАКАЗЫ!$F$3:$F$500,$A202)=0,"",_xlfn.MAXIFS(ЗАКАЗЫ!$AK$3:$AK$500,ЗАКАЗЫ!$F$3:$F$500,$A202)))</f>
        <v/>
      </c>
    </row>
    <row r="203" customFormat="false" ht="15.75" hidden="false" customHeight="true" outlineLevel="0" collapsed="false">
      <c r="A203" s="80" t="s">
        <v>3114</v>
      </c>
      <c r="B203" s="81"/>
      <c r="C203" s="81"/>
      <c r="D203" s="81"/>
      <c r="E203" s="83"/>
      <c r="F203" s="81"/>
      <c r="G203" s="83"/>
      <c r="H203" s="83"/>
      <c r="I203" s="84" t="str">
        <f aca="false">IF(E203="","",A203&amp;"_1.jpg")</f>
        <v/>
      </c>
      <c r="J203" s="84" t="str">
        <f aca="false">IF(E203="","",A203&amp;"_2.jpg; "&amp;A203&amp;"_3.jpg")</f>
        <v/>
      </c>
      <c r="K203" s="84" t="str">
        <f aca="false">IF(E203="","",A203&amp;"_schema.jpg")</f>
        <v/>
      </c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 t="s">
        <v>96</v>
      </c>
      <c r="W203" s="81"/>
      <c r="X203" s="81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6" t="str">
        <f aca="false">IF(SUM(Y203:AJ203)=0,"",SUM(Y203:AJ203))</f>
        <v/>
      </c>
      <c r="AL203" s="84" t="str">
        <f aca="false">MID(IF(N(Y203)&gt;0,", "&amp;Y$2,"")&amp;IF(N(Z203)&gt;0,", "&amp;Z$2,"")&amp;IF(N(AA203)&gt;0,", "&amp;AA$2,"")&amp;IF(N(AB203)&gt;0,", "&amp;AB$2,"")&amp;IF(N(AC203)&gt;0,", "&amp;AC$2,"")&amp;IF(N(AD203)&gt;0,", "&amp;AD$2,"")&amp;IF(N(AE203)&gt;0,", "&amp;AE$2,"")&amp;IF(N(AF203)&gt;0,", "&amp;AF$2,"")&amp;IF(N(AG203)&gt;0,", "&amp;AG$2,"")&amp;IF(N(AH203)&gt;0,", "&amp;AH$2,"")&amp;IF(N(AI203)&gt;0,", "&amp;AI$2,"")&amp;IF(N(AJ203)&gt;0,", "&amp;AJ$2,""),3,999)</f>
        <v/>
      </c>
      <c r="AM203" s="87" t="str">
        <f aca="false">IF(E203="","",MID(IF(N(Y203)&gt;0,", "&amp;A203&amp;"-"&amp;Y$2,"")&amp;IF(N(Z203)&gt;0,", "&amp;A203&amp;"-"&amp;Z$2,"")&amp;IF(N(AA203)&gt;0,", "&amp;A203&amp;"-"&amp;AA$2,"")&amp;IF(N(AB203)&gt;0,", "&amp;A203&amp;"-"&amp;AB$2,"")&amp;IF(N(AC203)&gt;0,", "&amp;A203&amp;"-"&amp;AC$2,"")&amp;IF(N(AD203)&gt;0,", "&amp;A203&amp;"-"&amp;AD$2,"")&amp;IF(N(AE203)&gt;0,", "&amp;A203&amp;"-"&amp;AE$2,"")&amp;IF(N(AF203)&gt;0,", "&amp;A203&amp;"-"&amp;AF$2,"")&amp;IF(N(AG203)&gt;0,", "&amp;A203&amp;"-"&amp;AG$2,"")&amp;IF(N(AH203)&gt;0,", "&amp;A203&amp;"-"&amp;AH$2,"")&amp;IF(N(AI203)&gt;0,", "&amp;A203&amp;"-"&amp;AI$2,"")&amp;IF(N(AJ203)&gt;0,", "&amp;A203&amp;"-"&amp;AJ$2,""),3,999))</f>
        <v/>
      </c>
      <c r="AN203" s="81"/>
      <c r="AO203" s="88"/>
      <c r="AP203" s="89" t="str">
        <f aca="false">IF(AO203="","",ROUND(AO203/(1+Справочники!$B$13),2))</f>
        <v/>
      </c>
      <c r="AQ203" s="90" t="str">
        <f aca="false" t="array" ref="AQ203:AQ203">IF(AP203="","",AP203*INDEX(Справочники!$B$4:$B$7,MATCH("RUB",Справочники!$A$4:$A$7,0)))</f>
        <v/>
      </c>
      <c r="AR203" s="90" t="str">
        <f aca="false">IF(AQ203="","",ROUND(AQ203*(1+Справочники!$B$12),0))</f>
        <v/>
      </c>
      <c r="AS203" s="90" t="str">
        <f aca="false">IF(AR203="","",ROUND(AR203*(1-Справочники!$B$11),0))</f>
        <v/>
      </c>
      <c r="AT203" s="88"/>
      <c r="AU203" s="90" t="str">
        <f aca="false">IF(AT203="","",ROUND(AT203/(1+Справочники!$B$12),0))</f>
        <v/>
      </c>
      <c r="AV203" s="90" t="str">
        <f aca="false">IF(AT203="","",ROUND(AT203*(1-Справочники!$B$15),0))</f>
        <v/>
      </c>
      <c r="AW203" s="90" t="str">
        <f aca="false">IF(AT203="","",ROUND(AT203*(1-Справочники!$B$16),0))</f>
        <v/>
      </c>
      <c r="AX203" s="90" t="str">
        <f aca="false">IF(AT203="","",ROUND(AT203*(1-Справочники!$B$17),0))</f>
        <v/>
      </c>
      <c r="AY203" s="90" t="str">
        <f aca="false">IF(AT203="","",ROUND(AT203*(1-Справочники!$B$18),0))</f>
        <v/>
      </c>
      <c r="AZ203" s="90" t="str">
        <f aca="false">IF(AT203="","",ROUND(AT203*(1-Справочники!$B$19),0))</f>
        <v/>
      </c>
      <c r="BA203" s="81"/>
      <c r="BB203" s="81"/>
      <c r="BC203" s="81"/>
      <c r="BD203" s="81"/>
      <c r="BE203" s="91"/>
      <c r="BF203" s="81" t="s">
        <v>103</v>
      </c>
      <c r="BG203" s="89" t="n">
        <f aca="false" t="array" ref="BG203:BG203">IF(BF203="","",IFERROR(INDEX(Справочники!$B$4:$B$7,MATCH(BF203,Справочники!$A$4:$A$7,0)),""))</f>
        <v>68.5</v>
      </c>
      <c r="BH203" s="90" t="str">
        <f aca="false">IF(N(BN203)&gt;0,ROUND(SUMIF(ЗАКАЗЫ!$F$3:$F$500,$A203,ЗАКАЗЫ!$Y$3:$Y$500)/BN203,0),IF(OR(BE203="",BG203=""),"",ROUND(BE203*BG203*(1+Справочники!$B$10),0)))</f>
        <v/>
      </c>
      <c r="BI203" s="92" t="str">
        <f aca="false">IF(OR(AU203="",BH203="",AU203=0),"",(AU203-BH203)/AU203)</f>
        <v/>
      </c>
      <c r="BJ203" s="81"/>
      <c r="BK203" s="83"/>
      <c r="BL203" s="43" t="str">
        <f aca="false">IFERROR(INDEX(ЗАКАЗЫ!$N$3:$N$500,MATCH($A203,ЗАКАЗЫ!$F$3:$F$500,0)),"")</f>
        <v/>
      </c>
      <c r="BM203" s="8" t="str">
        <f aca="false">IF(BL203="","",IFERROR(VLOOKUP(BL203,'ТН ВЭД'!$A$4:$C$40,3,0),""))</f>
        <v/>
      </c>
      <c r="BN203" s="7" t="str">
        <f aca="false">IF(COUNTIF(ЗАКАЗЫ!$F$3:$F$500,$A203)=0,"",SUMIF(ЗАКАЗЫ!$F$3:$F$500,$A203,ЗАКАЗЫ!$J$3:$J$500))</f>
        <v/>
      </c>
      <c r="BO203" s="7" t="str">
        <f aca="false">IF(BN203="","",SUMIF(ЗАКАЗЫ!$F$3:$F$500,$A203,ЗАКАЗЫ!$AL$3:$AL$500))</f>
        <v/>
      </c>
      <c r="BP203" s="7" t="str">
        <f aca="false">IF(BN203="","",BN203-BO203)</f>
        <v/>
      </c>
      <c r="BQ203" s="55" t="str">
        <f aca="false">IF(BN203="","",IF(BO203&gt;=BN203,"На складе",IF(BO203&gt;0,"Частично","Ждём")))</f>
        <v/>
      </c>
      <c r="BR203" s="43"/>
      <c r="BS203" s="47" t="str">
        <f aca="false">IF(BN203="","",IF(_xlfn.MAXIFS(ЗАКАЗЫ!$AK$3:$AK$500,ЗАКАЗЫ!$F$3:$F$500,$A203)=0,"",_xlfn.MAXIFS(ЗАКАЗЫ!$AK$3:$AK$500,ЗАКАЗЫ!$F$3:$F$500,$A203)))</f>
        <v/>
      </c>
    </row>
    <row r="204" customFormat="false" ht="15.75" hidden="false" customHeight="true" outlineLevel="0" collapsed="false">
      <c r="A204" s="80" t="s">
        <v>3115</v>
      </c>
      <c r="B204" s="81"/>
      <c r="C204" s="81"/>
      <c r="D204" s="81"/>
      <c r="E204" s="83"/>
      <c r="F204" s="81"/>
      <c r="G204" s="83"/>
      <c r="H204" s="83"/>
      <c r="I204" s="84" t="str">
        <f aca="false">IF(E204="","",A204&amp;"_1.jpg")</f>
        <v/>
      </c>
      <c r="J204" s="84" t="str">
        <f aca="false">IF(E204="","",A204&amp;"_2.jpg; "&amp;A204&amp;"_3.jpg")</f>
        <v/>
      </c>
      <c r="K204" s="84" t="str">
        <f aca="false">IF(E204="","",A204&amp;"_schema.jpg")</f>
        <v/>
      </c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 t="s">
        <v>96</v>
      </c>
      <c r="W204" s="81"/>
      <c r="X204" s="81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6" t="str">
        <f aca="false">IF(SUM(Y204:AJ204)=0,"",SUM(Y204:AJ204))</f>
        <v/>
      </c>
      <c r="AL204" s="84" t="str">
        <f aca="false">MID(IF(N(Y204)&gt;0,", "&amp;Y$2,"")&amp;IF(N(Z204)&gt;0,", "&amp;Z$2,"")&amp;IF(N(AA204)&gt;0,", "&amp;AA$2,"")&amp;IF(N(AB204)&gt;0,", "&amp;AB$2,"")&amp;IF(N(AC204)&gt;0,", "&amp;AC$2,"")&amp;IF(N(AD204)&gt;0,", "&amp;AD$2,"")&amp;IF(N(AE204)&gt;0,", "&amp;AE$2,"")&amp;IF(N(AF204)&gt;0,", "&amp;AF$2,"")&amp;IF(N(AG204)&gt;0,", "&amp;AG$2,"")&amp;IF(N(AH204)&gt;0,", "&amp;AH$2,"")&amp;IF(N(AI204)&gt;0,", "&amp;AI$2,"")&amp;IF(N(AJ204)&gt;0,", "&amp;AJ$2,""),3,999)</f>
        <v/>
      </c>
      <c r="AM204" s="87" t="str">
        <f aca="false">IF(E204="","",MID(IF(N(Y204)&gt;0,", "&amp;A204&amp;"-"&amp;Y$2,"")&amp;IF(N(Z204)&gt;0,", "&amp;A204&amp;"-"&amp;Z$2,"")&amp;IF(N(AA204)&gt;0,", "&amp;A204&amp;"-"&amp;AA$2,"")&amp;IF(N(AB204)&gt;0,", "&amp;A204&amp;"-"&amp;AB$2,"")&amp;IF(N(AC204)&gt;0,", "&amp;A204&amp;"-"&amp;AC$2,"")&amp;IF(N(AD204)&gt;0,", "&amp;A204&amp;"-"&amp;AD$2,"")&amp;IF(N(AE204)&gt;0,", "&amp;A204&amp;"-"&amp;AE$2,"")&amp;IF(N(AF204)&gt;0,", "&amp;A204&amp;"-"&amp;AF$2,"")&amp;IF(N(AG204)&gt;0,", "&amp;A204&amp;"-"&amp;AG$2,"")&amp;IF(N(AH204)&gt;0,", "&amp;A204&amp;"-"&amp;AH$2,"")&amp;IF(N(AI204)&gt;0,", "&amp;A204&amp;"-"&amp;AI$2,"")&amp;IF(N(AJ204)&gt;0,", "&amp;A204&amp;"-"&amp;AJ$2,""),3,999))</f>
        <v/>
      </c>
      <c r="AN204" s="81"/>
      <c r="AO204" s="88"/>
      <c r="AP204" s="89" t="str">
        <f aca="false">IF(AO204="","",ROUND(AO204/(1+Справочники!$B$13),2))</f>
        <v/>
      </c>
      <c r="AQ204" s="90" t="str">
        <f aca="false" t="array" ref="AQ204:AQ204">IF(AP204="","",AP204*INDEX(Справочники!$B$4:$B$7,MATCH("RUB",Справочники!$A$4:$A$7,0)))</f>
        <v/>
      </c>
      <c r="AR204" s="90" t="str">
        <f aca="false">IF(AQ204="","",ROUND(AQ204*(1+Справочники!$B$12),0))</f>
        <v/>
      </c>
      <c r="AS204" s="90" t="str">
        <f aca="false">IF(AR204="","",ROUND(AR204*(1-Справочники!$B$11),0))</f>
        <v/>
      </c>
      <c r="AT204" s="88"/>
      <c r="AU204" s="90" t="str">
        <f aca="false">IF(AT204="","",ROUND(AT204/(1+Справочники!$B$12),0))</f>
        <v/>
      </c>
      <c r="AV204" s="90" t="str">
        <f aca="false">IF(AT204="","",ROUND(AT204*(1-Справочники!$B$15),0))</f>
        <v/>
      </c>
      <c r="AW204" s="90" t="str">
        <f aca="false">IF(AT204="","",ROUND(AT204*(1-Справочники!$B$16),0))</f>
        <v/>
      </c>
      <c r="AX204" s="90" t="str">
        <f aca="false">IF(AT204="","",ROUND(AT204*(1-Справочники!$B$17),0))</f>
        <v/>
      </c>
      <c r="AY204" s="90" t="str">
        <f aca="false">IF(AT204="","",ROUND(AT204*(1-Справочники!$B$18),0))</f>
        <v/>
      </c>
      <c r="AZ204" s="90" t="str">
        <f aca="false">IF(AT204="","",ROUND(AT204*(1-Справочники!$B$19),0))</f>
        <v/>
      </c>
      <c r="BA204" s="81"/>
      <c r="BB204" s="81"/>
      <c r="BC204" s="81"/>
      <c r="BD204" s="81"/>
      <c r="BE204" s="91"/>
      <c r="BF204" s="81" t="s">
        <v>103</v>
      </c>
      <c r="BG204" s="89" t="n">
        <f aca="false" t="array" ref="BG204:BG204">IF(BF204="","",IFERROR(INDEX(Справочники!$B$4:$B$7,MATCH(BF204,Справочники!$A$4:$A$7,0)),""))</f>
        <v>68.5</v>
      </c>
      <c r="BH204" s="90" t="str">
        <f aca="false">IF(N(BN204)&gt;0,ROUND(SUMIF(ЗАКАЗЫ!$F$3:$F$500,$A204,ЗАКАЗЫ!$Y$3:$Y$500)/BN204,0),IF(OR(BE204="",BG204=""),"",ROUND(BE204*BG204*(1+Справочники!$B$10),0)))</f>
        <v/>
      </c>
      <c r="BI204" s="92" t="str">
        <f aca="false">IF(OR(AU204="",BH204="",AU204=0),"",(AU204-BH204)/AU204)</f>
        <v/>
      </c>
      <c r="BJ204" s="81"/>
      <c r="BK204" s="83"/>
      <c r="BL204" s="43" t="str">
        <f aca="false">IFERROR(INDEX(ЗАКАЗЫ!$N$3:$N$500,MATCH($A204,ЗАКАЗЫ!$F$3:$F$500,0)),"")</f>
        <v/>
      </c>
      <c r="BM204" s="8" t="str">
        <f aca="false">IF(BL204="","",IFERROR(VLOOKUP(BL204,'ТН ВЭД'!$A$4:$C$40,3,0),""))</f>
        <v/>
      </c>
      <c r="BN204" s="7" t="str">
        <f aca="false">IF(COUNTIF(ЗАКАЗЫ!$F$3:$F$500,$A204)=0,"",SUMIF(ЗАКАЗЫ!$F$3:$F$500,$A204,ЗАКАЗЫ!$J$3:$J$500))</f>
        <v/>
      </c>
      <c r="BO204" s="7" t="str">
        <f aca="false">IF(BN204="","",SUMIF(ЗАКАЗЫ!$F$3:$F$500,$A204,ЗАКАЗЫ!$AL$3:$AL$500))</f>
        <v/>
      </c>
      <c r="BP204" s="7" t="str">
        <f aca="false">IF(BN204="","",BN204-BO204)</f>
        <v/>
      </c>
      <c r="BQ204" s="55" t="str">
        <f aca="false">IF(BN204="","",IF(BO204&gt;=BN204,"На складе",IF(BO204&gt;0,"Частично","Ждём")))</f>
        <v/>
      </c>
      <c r="BR204" s="43"/>
      <c r="BS204" s="47" t="str">
        <f aca="false">IF(BN204="","",IF(_xlfn.MAXIFS(ЗАКАЗЫ!$AK$3:$AK$500,ЗАКАЗЫ!$F$3:$F$500,$A204)=0,"",_xlfn.MAXIFS(ЗАКАЗЫ!$AK$3:$AK$500,ЗАКАЗЫ!$F$3:$F$500,$A204)))</f>
        <v/>
      </c>
    </row>
    <row r="205" customFormat="false" ht="15.75" hidden="false" customHeight="true" outlineLevel="0" collapsed="false">
      <c r="A205" s="80" t="s">
        <v>3116</v>
      </c>
      <c r="B205" s="81"/>
      <c r="C205" s="81"/>
      <c r="D205" s="81"/>
      <c r="E205" s="83"/>
      <c r="F205" s="81"/>
      <c r="G205" s="83"/>
      <c r="H205" s="83"/>
      <c r="I205" s="84" t="str">
        <f aca="false">IF(E205="","",A205&amp;"_1.jpg")</f>
        <v/>
      </c>
      <c r="J205" s="84" t="str">
        <f aca="false">IF(E205="","",A205&amp;"_2.jpg; "&amp;A205&amp;"_3.jpg")</f>
        <v/>
      </c>
      <c r="K205" s="84" t="str">
        <f aca="false">IF(E205="","",A205&amp;"_schema.jpg")</f>
        <v/>
      </c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 t="s">
        <v>96</v>
      </c>
      <c r="W205" s="81"/>
      <c r="X205" s="81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6" t="str">
        <f aca="false">IF(SUM(Y205:AJ205)=0,"",SUM(Y205:AJ205))</f>
        <v/>
      </c>
      <c r="AL205" s="84" t="str">
        <f aca="false">MID(IF(N(Y205)&gt;0,", "&amp;Y$2,"")&amp;IF(N(Z205)&gt;0,", "&amp;Z$2,"")&amp;IF(N(AA205)&gt;0,", "&amp;AA$2,"")&amp;IF(N(AB205)&gt;0,", "&amp;AB$2,"")&amp;IF(N(AC205)&gt;0,", "&amp;AC$2,"")&amp;IF(N(AD205)&gt;0,", "&amp;AD$2,"")&amp;IF(N(AE205)&gt;0,", "&amp;AE$2,"")&amp;IF(N(AF205)&gt;0,", "&amp;AF$2,"")&amp;IF(N(AG205)&gt;0,", "&amp;AG$2,"")&amp;IF(N(AH205)&gt;0,", "&amp;AH$2,"")&amp;IF(N(AI205)&gt;0,", "&amp;AI$2,"")&amp;IF(N(AJ205)&gt;0,", "&amp;AJ$2,""),3,999)</f>
        <v/>
      </c>
      <c r="AM205" s="87" t="str">
        <f aca="false">IF(E205="","",MID(IF(N(Y205)&gt;0,", "&amp;A205&amp;"-"&amp;Y$2,"")&amp;IF(N(Z205)&gt;0,", "&amp;A205&amp;"-"&amp;Z$2,"")&amp;IF(N(AA205)&gt;0,", "&amp;A205&amp;"-"&amp;AA$2,"")&amp;IF(N(AB205)&gt;0,", "&amp;A205&amp;"-"&amp;AB$2,"")&amp;IF(N(AC205)&gt;0,", "&amp;A205&amp;"-"&amp;AC$2,"")&amp;IF(N(AD205)&gt;0,", "&amp;A205&amp;"-"&amp;AD$2,"")&amp;IF(N(AE205)&gt;0,", "&amp;A205&amp;"-"&amp;AE$2,"")&amp;IF(N(AF205)&gt;0,", "&amp;A205&amp;"-"&amp;AF$2,"")&amp;IF(N(AG205)&gt;0,", "&amp;A205&amp;"-"&amp;AG$2,"")&amp;IF(N(AH205)&gt;0,", "&amp;A205&amp;"-"&amp;AH$2,"")&amp;IF(N(AI205)&gt;0,", "&amp;A205&amp;"-"&amp;AI$2,"")&amp;IF(N(AJ205)&gt;0,", "&amp;A205&amp;"-"&amp;AJ$2,""),3,999))</f>
        <v/>
      </c>
      <c r="AN205" s="81"/>
      <c r="AO205" s="88"/>
      <c r="AP205" s="89" t="str">
        <f aca="false">IF(AO205="","",ROUND(AO205/(1+Справочники!$B$13),2))</f>
        <v/>
      </c>
      <c r="AQ205" s="90" t="str">
        <f aca="false" t="array" ref="AQ205:AQ205">IF(AP205="","",AP205*INDEX(Справочники!$B$4:$B$7,MATCH("RUB",Справочники!$A$4:$A$7,0)))</f>
        <v/>
      </c>
      <c r="AR205" s="90" t="str">
        <f aca="false">IF(AQ205="","",ROUND(AQ205*(1+Справочники!$B$12),0))</f>
        <v/>
      </c>
      <c r="AS205" s="90" t="str">
        <f aca="false">IF(AR205="","",ROUND(AR205*(1-Справочники!$B$11),0))</f>
        <v/>
      </c>
      <c r="AT205" s="88"/>
      <c r="AU205" s="90" t="str">
        <f aca="false">IF(AT205="","",ROUND(AT205/(1+Справочники!$B$12),0))</f>
        <v/>
      </c>
      <c r="AV205" s="90" t="str">
        <f aca="false">IF(AT205="","",ROUND(AT205*(1-Справочники!$B$15),0))</f>
        <v/>
      </c>
      <c r="AW205" s="90" t="str">
        <f aca="false">IF(AT205="","",ROUND(AT205*(1-Справочники!$B$16),0))</f>
        <v/>
      </c>
      <c r="AX205" s="90" t="str">
        <f aca="false">IF(AT205="","",ROUND(AT205*(1-Справочники!$B$17),0))</f>
        <v/>
      </c>
      <c r="AY205" s="90" t="str">
        <f aca="false">IF(AT205="","",ROUND(AT205*(1-Справочники!$B$18),0))</f>
        <v/>
      </c>
      <c r="AZ205" s="90" t="str">
        <f aca="false">IF(AT205="","",ROUND(AT205*(1-Справочники!$B$19),0))</f>
        <v/>
      </c>
      <c r="BA205" s="81"/>
      <c r="BB205" s="81"/>
      <c r="BC205" s="81"/>
      <c r="BD205" s="81"/>
      <c r="BE205" s="91"/>
      <c r="BF205" s="81" t="s">
        <v>103</v>
      </c>
      <c r="BG205" s="89" t="n">
        <f aca="false" t="array" ref="BG205:BG205">IF(BF205="","",IFERROR(INDEX(Справочники!$B$4:$B$7,MATCH(BF205,Справочники!$A$4:$A$7,0)),""))</f>
        <v>68.5</v>
      </c>
      <c r="BH205" s="90" t="str">
        <f aca="false">IF(N(BN205)&gt;0,ROUND(SUMIF(ЗАКАЗЫ!$F$3:$F$500,$A205,ЗАКАЗЫ!$Y$3:$Y$500)/BN205,0),IF(OR(BE205="",BG205=""),"",ROUND(BE205*BG205*(1+Справочники!$B$10),0)))</f>
        <v/>
      </c>
      <c r="BI205" s="92" t="str">
        <f aca="false">IF(OR(AU205="",BH205="",AU205=0),"",(AU205-BH205)/AU205)</f>
        <v/>
      </c>
      <c r="BJ205" s="81"/>
      <c r="BK205" s="83"/>
      <c r="BL205" s="43" t="str">
        <f aca="false">IFERROR(INDEX(ЗАКАЗЫ!$N$3:$N$500,MATCH($A205,ЗАКАЗЫ!$F$3:$F$500,0)),"")</f>
        <v/>
      </c>
      <c r="BM205" s="8" t="str">
        <f aca="false">IF(BL205="","",IFERROR(VLOOKUP(BL205,'ТН ВЭД'!$A$4:$C$40,3,0),""))</f>
        <v/>
      </c>
      <c r="BN205" s="7" t="str">
        <f aca="false">IF(COUNTIF(ЗАКАЗЫ!$F$3:$F$500,$A205)=0,"",SUMIF(ЗАКАЗЫ!$F$3:$F$500,$A205,ЗАКАЗЫ!$J$3:$J$500))</f>
        <v/>
      </c>
      <c r="BO205" s="7" t="str">
        <f aca="false">IF(BN205="","",SUMIF(ЗАКАЗЫ!$F$3:$F$500,$A205,ЗАКАЗЫ!$AL$3:$AL$500))</f>
        <v/>
      </c>
      <c r="BP205" s="7" t="str">
        <f aca="false">IF(BN205="","",BN205-BO205)</f>
        <v/>
      </c>
      <c r="BQ205" s="55" t="str">
        <f aca="false">IF(BN205="","",IF(BO205&gt;=BN205,"На складе",IF(BO205&gt;0,"Частично","Ждём")))</f>
        <v/>
      </c>
      <c r="BR205" s="43"/>
      <c r="BS205" s="47" t="str">
        <f aca="false">IF(BN205="","",IF(_xlfn.MAXIFS(ЗАКАЗЫ!$AK$3:$AK$500,ЗАКАЗЫ!$F$3:$F$500,$A205)=0,"",_xlfn.MAXIFS(ЗАКАЗЫ!$AK$3:$AK$500,ЗАКАЗЫ!$F$3:$F$500,$A205)))</f>
        <v/>
      </c>
    </row>
    <row r="206" customFormat="false" ht="15.75" hidden="false" customHeight="true" outlineLevel="0" collapsed="false">
      <c r="A206" s="80" t="s">
        <v>3117</v>
      </c>
      <c r="B206" s="81"/>
      <c r="C206" s="81"/>
      <c r="D206" s="81"/>
      <c r="E206" s="83"/>
      <c r="F206" s="81"/>
      <c r="G206" s="83"/>
      <c r="H206" s="83"/>
      <c r="I206" s="84" t="str">
        <f aca="false">IF(E206="","",A206&amp;"_1.jpg")</f>
        <v/>
      </c>
      <c r="J206" s="84" t="str">
        <f aca="false">IF(E206="","",A206&amp;"_2.jpg; "&amp;A206&amp;"_3.jpg")</f>
        <v/>
      </c>
      <c r="K206" s="84" t="str">
        <f aca="false">IF(E206="","",A206&amp;"_schema.jpg")</f>
        <v/>
      </c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 t="s">
        <v>96</v>
      </c>
      <c r="W206" s="81"/>
      <c r="X206" s="81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6" t="str">
        <f aca="false">IF(SUM(Y206:AJ206)=0,"",SUM(Y206:AJ206))</f>
        <v/>
      </c>
      <c r="AL206" s="84" t="str">
        <f aca="false">MID(IF(N(Y206)&gt;0,", "&amp;Y$2,"")&amp;IF(N(Z206)&gt;0,", "&amp;Z$2,"")&amp;IF(N(AA206)&gt;0,", "&amp;AA$2,"")&amp;IF(N(AB206)&gt;0,", "&amp;AB$2,"")&amp;IF(N(AC206)&gt;0,", "&amp;AC$2,"")&amp;IF(N(AD206)&gt;0,", "&amp;AD$2,"")&amp;IF(N(AE206)&gt;0,", "&amp;AE$2,"")&amp;IF(N(AF206)&gt;0,", "&amp;AF$2,"")&amp;IF(N(AG206)&gt;0,", "&amp;AG$2,"")&amp;IF(N(AH206)&gt;0,", "&amp;AH$2,"")&amp;IF(N(AI206)&gt;0,", "&amp;AI$2,"")&amp;IF(N(AJ206)&gt;0,", "&amp;AJ$2,""),3,999)</f>
        <v/>
      </c>
      <c r="AM206" s="87" t="str">
        <f aca="false">IF(E206="","",MID(IF(N(Y206)&gt;0,", "&amp;A206&amp;"-"&amp;Y$2,"")&amp;IF(N(Z206)&gt;0,", "&amp;A206&amp;"-"&amp;Z$2,"")&amp;IF(N(AA206)&gt;0,", "&amp;A206&amp;"-"&amp;AA$2,"")&amp;IF(N(AB206)&gt;0,", "&amp;A206&amp;"-"&amp;AB$2,"")&amp;IF(N(AC206)&gt;0,", "&amp;A206&amp;"-"&amp;AC$2,"")&amp;IF(N(AD206)&gt;0,", "&amp;A206&amp;"-"&amp;AD$2,"")&amp;IF(N(AE206)&gt;0,", "&amp;A206&amp;"-"&amp;AE$2,"")&amp;IF(N(AF206)&gt;0,", "&amp;A206&amp;"-"&amp;AF$2,"")&amp;IF(N(AG206)&gt;0,", "&amp;A206&amp;"-"&amp;AG$2,"")&amp;IF(N(AH206)&gt;0,", "&amp;A206&amp;"-"&amp;AH$2,"")&amp;IF(N(AI206)&gt;0,", "&amp;A206&amp;"-"&amp;AI$2,"")&amp;IF(N(AJ206)&gt;0,", "&amp;A206&amp;"-"&amp;AJ$2,""),3,999))</f>
        <v/>
      </c>
      <c r="AN206" s="81"/>
      <c r="AO206" s="88"/>
      <c r="AP206" s="89" t="str">
        <f aca="false">IF(AO206="","",ROUND(AO206/(1+Справочники!$B$13),2))</f>
        <v/>
      </c>
      <c r="AQ206" s="90" t="str">
        <f aca="false" t="array" ref="AQ206:AQ206">IF(AP206="","",AP206*INDEX(Справочники!$B$4:$B$7,MATCH("RUB",Справочники!$A$4:$A$7,0)))</f>
        <v/>
      </c>
      <c r="AR206" s="90" t="str">
        <f aca="false">IF(AQ206="","",ROUND(AQ206*(1+Справочники!$B$12),0))</f>
        <v/>
      </c>
      <c r="AS206" s="90" t="str">
        <f aca="false">IF(AR206="","",ROUND(AR206*(1-Справочники!$B$11),0))</f>
        <v/>
      </c>
      <c r="AT206" s="88"/>
      <c r="AU206" s="90" t="str">
        <f aca="false">IF(AT206="","",ROUND(AT206/(1+Справочники!$B$12),0))</f>
        <v/>
      </c>
      <c r="AV206" s="90" t="str">
        <f aca="false">IF(AT206="","",ROUND(AT206*(1-Справочники!$B$15),0))</f>
        <v/>
      </c>
      <c r="AW206" s="90" t="str">
        <f aca="false">IF(AT206="","",ROUND(AT206*(1-Справочники!$B$16),0))</f>
        <v/>
      </c>
      <c r="AX206" s="90" t="str">
        <f aca="false">IF(AT206="","",ROUND(AT206*(1-Справочники!$B$17),0))</f>
        <v/>
      </c>
      <c r="AY206" s="90" t="str">
        <f aca="false">IF(AT206="","",ROUND(AT206*(1-Справочники!$B$18),0))</f>
        <v/>
      </c>
      <c r="AZ206" s="90" t="str">
        <f aca="false">IF(AT206="","",ROUND(AT206*(1-Справочники!$B$19),0))</f>
        <v/>
      </c>
      <c r="BA206" s="81"/>
      <c r="BB206" s="81"/>
      <c r="BC206" s="81"/>
      <c r="BD206" s="81"/>
      <c r="BE206" s="91"/>
      <c r="BF206" s="81" t="s">
        <v>103</v>
      </c>
      <c r="BG206" s="89" t="n">
        <f aca="false" t="array" ref="BG206:BG206">IF(BF206="","",IFERROR(INDEX(Справочники!$B$4:$B$7,MATCH(BF206,Справочники!$A$4:$A$7,0)),""))</f>
        <v>68.5</v>
      </c>
      <c r="BH206" s="90" t="str">
        <f aca="false">IF(N(BN206)&gt;0,ROUND(SUMIF(ЗАКАЗЫ!$F$3:$F$500,$A206,ЗАКАЗЫ!$Y$3:$Y$500)/BN206,0),IF(OR(BE206="",BG206=""),"",ROUND(BE206*BG206*(1+Справочники!$B$10),0)))</f>
        <v/>
      </c>
      <c r="BI206" s="92" t="str">
        <f aca="false">IF(OR(AU206="",BH206="",AU206=0),"",(AU206-BH206)/AU206)</f>
        <v/>
      </c>
      <c r="BJ206" s="81"/>
      <c r="BK206" s="83"/>
      <c r="BL206" s="43" t="str">
        <f aca="false">IFERROR(INDEX(ЗАКАЗЫ!$N$3:$N$500,MATCH($A206,ЗАКАЗЫ!$F$3:$F$500,0)),"")</f>
        <v/>
      </c>
      <c r="BM206" s="8" t="str">
        <f aca="false">IF(BL206="","",IFERROR(VLOOKUP(BL206,'ТН ВЭД'!$A$4:$C$40,3,0),""))</f>
        <v/>
      </c>
      <c r="BN206" s="7" t="str">
        <f aca="false">IF(COUNTIF(ЗАКАЗЫ!$F$3:$F$500,$A206)=0,"",SUMIF(ЗАКАЗЫ!$F$3:$F$500,$A206,ЗАКАЗЫ!$J$3:$J$500))</f>
        <v/>
      </c>
      <c r="BO206" s="7" t="str">
        <f aca="false">IF(BN206="","",SUMIF(ЗАКАЗЫ!$F$3:$F$500,$A206,ЗАКАЗЫ!$AL$3:$AL$500))</f>
        <v/>
      </c>
      <c r="BP206" s="7" t="str">
        <f aca="false">IF(BN206="","",BN206-BO206)</f>
        <v/>
      </c>
      <c r="BQ206" s="55" t="str">
        <f aca="false">IF(BN206="","",IF(BO206&gt;=BN206,"На складе",IF(BO206&gt;0,"Частично","Ждём")))</f>
        <v/>
      </c>
      <c r="BR206" s="43"/>
      <c r="BS206" s="47" t="str">
        <f aca="false">IF(BN206="","",IF(_xlfn.MAXIFS(ЗАКАЗЫ!$AK$3:$AK$500,ЗАКАЗЫ!$F$3:$F$500,$A206)=0,"",_xlfn.MAXIFS(ЗАКАЗЫ!$AK$3:$AK$500,ЗАКАЗЫ!$F$3:$F$500,$A206)))</f>
        <v/>
      </c>
    </row>
    <row r="207" customFormat="false" ht="15.75" hidden="false" customHeight="true" outlineLevel="0" collapsed="false">
      <c r="A207" s="80" t="s">
        <v>3118</v>
      </c>
      <c r="B207" s="81"/>
      <c r="C207" s="81"/>
      <c r="D207" s="81"/>
      <c r="E207" s="83"/>
      <c r="F207" s="81"/>
      <c r="G207" s="83"/>
      <c r="H207" s="83"/>
      <c r="I207" s="84" t="str">
        <f aca="false">IF(E207="","",A207&amp;"_1.jpg")</f>
        <v/>
      </c>
      <c r="J207" s="84" t="str">
        <f aca="false">IF(E207="","",A207&amp;"_2.jpg; "&amp;A207&amp;"_3.jpg")</f>
        <v/>
      </c>
      <c r="K207" s="84" t="str">
        <f aca="false">IF(E207="","",A207&amp;"_schema.jpg")</f>
        <v/>
      </c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 t="s">
        <v>96</v>
      </c>
      <c r="W207" s="81"/>
      <c r="X207" s="81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6" t="str">
        <f aca="false">IF(SUM(Y207:AJ207)=0,"",SUM(Y207:AJ207))</f>
        <v/>
      </c>
      <c r="AL207" s="84" t="str">
        <f aca="false">MID(IF(N(Y207)&gt;0,", "&amp;Y$2,"")&amp;IF(N(Z207)&gt;0,", "&amp;Z$2,"")&amp;IF(N(AA207)&gt;0,", "&amp;AA$2,"")&amp;IF(N(AB207)&gt;0,", "&amp;AB$2,"")&amp;IF(N(AC207)&gt;0,", "&amp;AC$2,"")&amp;IF(N(AD207)&gt;0,", "&amp;AD$2,"")&amp;IF(N(AE207)&gt;0,", "&amp;AE$2,"")&amp;IF(N(AF207)&gt;0,", "&amp;AF$2,"")&amp;IF(N(AG207)&gt;0,", "&amp;AG$2,"")&amp;IF(N(AH207)&gt;0,", "&amp;AH$2,"")&amp;IF(N(AI207)&gt;0,", "&amp;AI$2,"")&amp;IF(N(AJ207)&gt;0,", "&amp;AJ$2,""),3,999)</f>
        <v/>
      </c>
      <c r="AM207" s="87" t="str">
        <f aca="false">IF(E207="","",MID(IF(N(Y207)&gt;0,", "&amp;A207&amp;"-"&amp;Y$2,"")&amp;IF(N(Z207)&gt;0,", "&amp;A207&amp;"-"&amp;Z$2,"")&amp;IF(N(AA207)&gt;0,", "&amp;A207&amp;"-"&amp;AA$2,"")&amp;IF(N(AB207)&gt;0,", "&amp;A207&amp;"-"&amp;AB$2,"")&amp;IF(N(AC207)&gt;0,", "&amp;A207&amp;"-"&amp;AC$2,"")&amp;IF(N(AD207)&gt;0,", "&amp;A207&amp;"-"&amp;AD$2,"")&amp;IF(N(AE207)&gt;0,", "&amp;A207&amp;"-"&amp;AE$2,"")&amp;IF(N(AF207)&gt;0,", "&amp;A207&amp;"-"&amp;AF$2,"")&amp;IF(N(AG207)&gt;0,", "&amp;A207&amp;"-"&amp;AG$2,"")&amp;IF(N(AH207)&gt;0,", "&amp;A207&amp;"-"&amp;AH$2,"")&amp;IF(N(AI207)&gt;0,", "&amp;A207&amp;"-"&amp;AI$2,"")&amp;IF(N(AJ207)&gt;0,", "&amp;A207&amp;"-"&amp;AJ$2,""),3,999))</f>
        <v/>
      </c>
      <c r="AN207" s="81"/>
      <c r="AO207" s="88"/>
      <c r="AP207" s="89" t="str">
        <f aca="false">IF(AO207="","",ROUND(AO207/(1+Справочники!$B$13),2))</f>
        <v/>
      </c>
      <c r="AQ207" s="90" t="str">
        <f aca="false" t="array" ref="AQ207:AQ207">IF(AP207="","",AP207*INDEX(Справочники!$B$4:$B$7,MATCH("RUB",Справочники!$A$4:$A$7,0)))</f>
        <v/>
      </c>
      <c r="AR207" s="90" t="str">
        <f aca="false">IF(AQ207="","",ROUND(AQ207*(1+Справочники!$B$12),0))</f>
        <v/>
      </c>
      <c r="AS207" s="90" t="str">
        <f aca="false">IF(AR207="","",ROUND(AR207*(1-Справочники!$B$11),0))</f>
        <v/>
      </c>
      <c r="AT207" s="88"/>
      <c r="AU207" s="90" t="str">
        <f aca="false">IF(AT207="","",ROUND(AT207/(1+Справочники!$B$12),0))</f>
        <v/>
      </c>
      <c r="AV207" s="90" t="str">
        <f aca="false">IF(AT207="","",ROUND(AT207*(1-Справочники!$B$15),0))</f>
        <v/>
      </c>
      <c r="AW207" s="90" t="str">
        <f aca="false">IF(AT207="","",ROUND(AT207*(1-Справочники!$B$16),0))</f>
        <v/>
      </c>
      <c r="AX207" s="90" t="str">
        <f aca="false">IF(AT207="","",ROUND(AT207*(1-Справочники!$B$17),0))</f>
        <v/>
      </c>
      <c r="AY207" s="90" t="str">
        <f aca="false">IF(AT207="","",ROUND(AT207*(1-Справочники!$B$18),0))</f>
        <v/>
      </c>
      <c r="AZ207" s="90" t="str">
        <f aca="false">IF(AT207="","",ROUND(AT207*(1-Справочники!$B$19),0))</f>
        <v/>
      </c>
      <c r="BA207" s="81"/>
      <c r="BB207" s="81"/>
      <c r="BC207" s="81"/>
      <c r="BD207" s="81"/>
      <c r="BE207" s="91"/>
      <c r="BF207" s="81" t="s">
        <v>103</v>
      </c>
      <c r="BG207" s="89" t="n">
        <f aca="false" t="array" ref="BG207:BG207">IF(BF207="","",IFERROR(INDEX(Справочники!$B$4:$B$7,MATCH(BF207,Справочники!$A$4:$A$7,0)),""))</f>
        <v>68.5</v>
      </c>
      <c r="BH207" s="90" t="str">
        <f aca="false">IF(N(BN207)&gt;0,ROUND(SUMIF(ЗАКАЗЫ!$F$3:$F$500,$A207,ЗАКАЗЫ!$Y$3:$Y$500)/BN207,0),IF(OR(BE207="",BG207=""),"",ROUND(BE207*BG207*(1+Справочники!$B$10),0)))</f>
        <v/>
      </c>
      <c r="BI207" s="92" t="str">
        <f aca="false">IF(OR(AU207="",BH207="",AU207=0),"",(AU207-BH207)/AU207)</f>
        <v/>
      </c>
      <c r="BJ207" s="81"/>
      <c r="BK207" s="83"/>
      <c r="BL207" s="43" t="str">
        <f aca="false">IFERROR(INDEX(ЗАКАЗЫ!$N$3:$N$500,MATCH($A207,ЗАКАЗЫ!$F$3:$F$500,0)),"")</f>
        <v/>
      </c>
      <c r="BM207" s="8" t="str">
        <f aca="false">IF(BL207="","",IFERROR(VLOOKUP(BL207,'ТН ВЭД'!$A$4:$C$40,3,0),""))</f>
        <v/>
      </c>
      <c r="BN207" s="7" t="str">
        <f aca="false">IF(COUNTIF(ЗАКАЗЫ!$F$3:$F$500,$A207)=0,"",SUMIF(ЗАКАЗЫ!$F$3:$F$500,$A207,ЗАКАЗЫ!$J$3:$J$500))</f>
        <v/>
      </c>
      <c r="BO207" s="7" t="str">
        <f aca="false">IF(BN207="","",SUMIF(ЗАКАЗЫ!$F$3:$F$500,$A207,ЗАКАЗЫ!$AL$3:$AL$500))</f>
        <v/>
      </c>
      <c r="BP207" s="7" t="str">
        <f aca="false">IF(BN207="","",BN207-BO207)</f>
        <v/>
      </c>
      <c r="BQ207" s="55" t="str">
        <f aca="false">IF(BN207="","",IF(BO207&gt;=BN207,"На складе",IF(BO207&gt;0,"Частично","Ждём")))</f>
        <v/>
      </c>
      <c r="BR207" s="43"/>
      <c r="BS207" s="47" t="str">
        <f aca="false">IF(BN207="","",IF(_xlfn.MAXIFS(ЗАКАЗЫ!$AK$3:$AK$500,ЗАКАЗЫ!$F$3:$F$500,$A207)=0,"",_xlfn.MAXIFS(ЗАКАЗЫ!$AK$3:$AK$500,ЗАКАЗЫ!$F$3:$F$500,$A207)))</f>
        <v/>
      </c>
    </row>
    <row r="208" customFormat="false" ht="15.75" hidden="false" customHeight="true" outlineLevel="0" collapsed="false">
      <c r="A208" s="80" t="s">
        <v>3119</v>
      </c>
      <c r="B208" s="81"/>
      <c r="C208" s="81"/>
      <c r="D208" s="81"/>
      <c r="E208" s="83"/>
      <c r="F208" s="81"/>
      <c r="G208" s="83"/>
      <c r="H208" s="83"/>
      <c r="I208" s="84" t="str">
        <f aca="false">IF(E208="","",A208&amp;"_1.jpg")</f>
        <v/>
      </c>
      <c r="J208" s="84" t="str">
        <f aca="false">IF(E208="","",A208&amp;"_2.jpg; "&amp;A208&amp;"_3.jpg")</f>
        <v/>
      </c>
      <c r="K208" s="84" t="str">
        <f aca="false">IF(E208="","",A208&amp;"_schema.jpg")</f>
        <v/>
      </c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 t="s">
        <v>96</v>
      </c>
      <c r="W208" s="81"/>
      <c r="X208" s="81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6" t="str">
        <f aca="false">IF(SUM(Y208:AJ208)=0,"",SUM(Y208:AJ208))</f>
        <v/>
      </c>
      <c r="AL208" s="84" t="str">
        <f aca="false">MID(IF(N(Y208)&gt;0,", "&amp;Y$2,"")&amp;IF(N(Z208)&gt;0,", "&amp;Z$2,"")&amp;IF(N(AA208)&gt;0,", "&amp;AA$2,"")&amp;IF(N(AB208)&gt;0,", "&amp;AB$2,"")&amp;IF(N(AC208)&gt;0,", "&amp;AC$2,"")&amp;IF(N(AD208)&gt;0,", "&amp;AD$2,"")&amp;IF(N(AE208)&gt;0,", "&amp;AE$2,"")&amp;IF(N(AF208)&gt;0,", "&amp;AF$2,"")&amp;IF(N(AG208)&gt;0,", "&amp;AG$2,"")&amp;IF(N(AH208)&gt;0,", "&amp;AH$2,"")&amp;IF(N(AI208)&gt;0,", "&amp;AI$2,"")&amp;IF(N(AJ208)&gt;0,", "&amp;AJ$2,""),3,999)</f>
        <v/>
      </c>
      <c r="AM208" s="87" t="str">
        <f aca="false">IF(E208="","",MID(IF(N(Y208)&gt;0,", "&amp;A208&amp;"-"&amp;Y$2,"")&amp;IF(N(Z208)&gt;0,", "&amp;A208&amp;"-"&amp;Z$2,"")&amp;IF(N(AA208)&gt;0,", "&amp;A208&amp;"-"&amp;AA$2,"")&amp;IF(N(AB208)&gt;0,", "&amp;A208&amp;"-"&amp;AB$2,"")&amp;IF(N(AC208)&gt;0,", "&amp;A208&amp;"-"&amp;AC$2,"")&amp;IF(N(AD208)&gt;0,", "&amp;A208&amp;"-"&amp;AD$2,"")&amp;IF(N(AE208)&gt;0,", "&amp;A208&amp;"-"&amp;AE$2,"")&amp;IF(N(AF208)&gt;0,", "&amp;A208&amp;"-"&amp;AF$2,"")&amp;IF(N(AG208)&gt;0,", "&amp;A208&amp;"-"&amp;AG$2,"")&amp;IF(N(AH208)&gt;0,", "&amp;A208&amp;"-"&amp;AH$2,"")&amp;IF(N(AI208)&gt;0,", "&amp;A208&amp;"-"&amp;AI$2,"")&amp;IF(N(AJ208)&gt;0,", "&amp;A208&amp;"-"&amp;AJ$2,""),3,999))</f>
        <v/>
      </c>
      <c r="AN208" s="81"/>
      <c r="AO208" s="88"/>
      <c r="AP208" s="89" t="str">
        <f aca="false">IF(AO208="","",ROUND(AO208/(1+Справочники!$B$13),2))</f>
        <v/>
      </c>
      <c r="AQ208" s="90" t="str">
        <f aca="false" t="array" ref="AQ208:AQ208">IF(AP208="","",AP208*INDEX(Справочники!$B$4:$B$7,MATCH("RUB",Справочники!$A$4:$A$7,0)))</f>
        <v/>
      </c>
      <c r="AR208" s="90" t="str">
        <f aca="false">IF(AQ208="","",ROUND(AQ208*(1+Справочники!$B$12),0))</f>
        <v/>
      </c>
      <c r="AS208" s="90" t="str">
        <f aca="false">IF(AR208="","",ROUND(AR208*(1-Справочники!$B$11),0))</f>
        <v/>
      </c>
      <c r="AT208" s="88"/>
      <c r="AU208" s="90" t="str">
        <f aca="false">IF(AT208="","",ROUND(AT208/(1+Справочники!$B$12),0))</f>
        <v/>
      </c>
      <c r="AV208" s="90" t="str">
        <f aca="false">IF(AT208="","",ROUND(AT208*(1-Справочники!$B$15),0))</f>
        <v/>
      </c>
      <c r="AW208" s="90" t="str">
        <f aca="false">IF(AT208="","",ROUND(AT208*(1-Справочники!$B$16),0))</f>
        <v/>
      </c>
      <c r="AX208" s="90" t="str">
        <f aca="false">IF(AT208="","",ROUND(AT208*(1-Справочники!$B$17),0))</f>
        <v/>
      </c>
      <c r="AY208" s="90" t="str">
        <f aca="false">IF(AT208="","",ROUND(AT208*(1-Справочники!$B$18),0))</f>
        <v/>
      </c>
      <c r="AZ208" s="90" t="str">
        <f aca="false">IF(AT208="","",ROUND(AT208*(1-Справочники!$B$19),0))</f>
        <v/>
      </c>
      <c r="BA208" s="81"/>
      <c r="BB208" s="81"/>
      <c r="BC208" s="81"/>
      <c r="BD208" s="81"/>
      <c r="BE208" s="91"/>
      <c r="BF208" s="81" t="s">
        <v>103</v>
      </c>
      <c r="BG208" s="89" t="n">
        <f aca="false" t="array" ref="BG208:BG208">IF(BF208="","",IFERROR(INDEX(Справочники!$B$4:$B$7,MATCH(BF208,Справочники!$A$4:$A$7,0)),""))</f>
        <v>68.5</v>
      </c>
      <c r="BH208" s="90" t="str">
        <f aca="false">IF(N(BN208)&gt;0,ROUND(SUMIF(ЗАКАЗЫ!$F$3:$F$500,$A208,ЗАКАЗЫ!$Y$3:$Y$500)/BN208,0),IF(OR(BE208="",BG208=""),"",ROUND(BE208*BG208*(1+Справочники!$B$10),0)))</f>
        <v/>
      </c>
      <c r="BI208" s="92" t="str">
        <f aca="false">IF(OR(AU208="",BH208="",AU208=0),"",(AU208-BH208)/AU208)</f>
        <v/>
      </c>
      <c r="BJ208" s="81"/>
      <c r="BK208" s="83"/>
      <c r="BL208" s="43" t="str">
        <f aca="false">IFERROR(INDEX(ЗАКАЗЫ!$N$3:$N$500,MATCH($A208,ЗАКАЗЫ!$F$3:$F$500,0)),"")</f>
        <v/>
      </c>
      <c r="BM208" s="8" t="str">
        <f aca="false">IF(BL208="","",IFERROR(VLOOKUP(BL208,'ТН ВЭД'!$A$4:$C$40,3,0),""))</f>
        <v/>
      </c>
      <c r="BN208" s="7" t="str">
        <f aca="false">IF(COUNTIF(ЗАКАЗЫ!$F$3:$F$500,$A208)=0,"",SUMIF(ЗАКАЗЫ!$F$3:$F$500,$A208,ЗАКАЗЫ!$J$3:$J$500))</f>
        <v/>
      </c>
      <c r="BO208" s="7" t="str">
        <f aca="false">IF(BN208="","",SUMIF(ЗАКАЗЫ!$F$3:$F$500,$A208,ЗАКАЗЫ!$AL$3:$AL$500))</f>
        <v/>
      </c>
      <c r="BP208" s="7" t="str">
        <f aca="false">IF(BN208="","",BN208-BO208)</f>
        <v/>
      </c>
      <c r="BQ208" s="55" t="str">
        <f aca="false">IF(BN208="","",IF(BO208&gt;=BN208,"На складе",IF(BO208&gt;0,"Частично","Ждём")))</f>
        <v/>
      </c>
      <c r="BR208" s="43"/>
      <c r="BS208" s="47" t="str">
        <f aca="false">IF(BN208="","",IF(_xlfn.MAXIFS(ЗАКАЗЫ!$AK$3:$AK$500,ЗАКАЗЫ!$F$3:$F$500,$A208)=0,"",_xlfn.MAXIFS(ЗАКАЗЫ!$AK$3:$AK$500,ЗАКАЗЫ!$F$3:$F$500,$A208)))</f>
        <v/>
      </c>
    </row>
    <row r="209" customFormat="false" ht="15.75" hidden="false" customHeight="true" outlineLevel="0" collapsed="false">
      <c r="A209" s="80" t="s">
        <v>3120</v>
      </c>
      <c r="B209" s="81"/>
      <c r="C209" s="81"/>
      <c r="D209" s="81"/>
      <c r="E209" s="83"/>
      <c r="F209" s="81"/>
      <c r="G209" s="83"/>
      <c r="H209" s="83"/>
      <c r="I209" s="84" t="str">
        <f aca="false">IF(E209="","",A209&amp;"_1.jpg")</f>
        <v/>
      </c>
      <c r="J209" s="84" t="str">
        <f aca="false">IF(E209="","",A209&amp;"_2.jpg; "&amp;A209&amp;"_3.jpg")</f>
        <v/>
      </c>
      <c r="K209" s="84" t="str">
        <f aca="false">IF(E209="","",A209&amp;"_schema.jpg")</f>
        <v/>
      </c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 t="s">
        <v>96</v>
      </c>
      <c r="W209" s="81"/>
      <c r="X209" s="81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6" t="str">
        <f aca="false">IF(SUM(Y209:AJ209)=0,"",SUM(Y209:AJ209))</f>
        <v/>
      </c>
      <c r="AL209" s="84" t="str">
        <f aca="false">MID(IF(N(Y209)&gt;0,", "&amp;Y$2,"")&amp;IF(N(Z209)&gt;0,", "&amp;Z$2,"")&amp;IF(N(AA209)&gt;0,", "&amp;AA$2,"")&amp;IF(N(AB209)&gt;0,", "&amp;AB$2,"")&amp;IF(N(AC209)&gt;0,", "&amp;AC$2,"")&amp;IF(N(AD209)&gt;0,", "&amp;AD$2,"")&amp;IF(N(AE209)&gt;0,", "&amp;AE$2,"")&amp;IF(N(AF209)&gt;0,", "&amp;AF$2,"")&amp;IF(N(AG209)&gt;0,", "&amp;AG$2,"")&amp;IF(N(AH209)&gt;0,", "&amp;AH$2,"")&amp;IF(N(AI209)&gt;0,", "&amp;AI$2,"")&amp;IF(N(AJ209)&gt;0,", "&amp;AJ$2,""),3,999)</f>
        <v/>
      </c>
      <c r="AM209" s="87" t="str">
        <f aca="false">IF(E209="","",MID(IF(N(Y209)&gt;0,", "&amp;A209&amp;"-"&amp;Y$2,"")&amp;IF(N(Z209)&gt;0,", "&amp;A209&amp;"-"&amp;Z$2,"")&amp;IF(N(AA209)&gt;0,", "&amp;A209&amp;"-"&amp;AA$2,"")&amp;IF(N(AB209)&gt;0,", "&amp;A209&amp;"-"&amp;AB$2,"")&amp;IF(N(AC209)&gt;0,", "&amp;A209&amp;"-"&amp;AC$2,"")&amp;IF(N(AD209)&gt;0,", "&amp;A209&amp;"-"&amp;AD$2,"")&amp;IF(N(AE209)&gt;0,", "&amp;A209&amp;"-"&amp;AE$2,"")&amp;IF(N(AF209)&gt;0,", "&amp;A209&amp;"-"&amp;AF$2,"")&amp;IF(N(AG209)&gt;0,", "&amp;A209&amp;"-"&amp;AG$2,"")&amp;IF(N(AH209)&gt;0,", "&amp;A209&amp;"-"&amp;AH$2,"")&amp;IF(N(AI209)&gt;0,", "&amp;A209&amp;"-"&amp;AI$2,"")&amp;IF(N(AJ209)&gt;0,", "&amp;A209&amp;"-"&amp;AJ$2,""),3,999))</f>
        <v/>
      </c>
      <c r="AN209" s="81"/>
      <c r="AO209" s="88"/>
      <c r="AP209" s="89" t="str">
        <f aca="false">IF(AO209="","",ROUND(AO209/(1+Справочники!$B$13),2))</f>
        <v/>
      </c>
      <c r="AQ209" s="90" t="str">
        <f aca="false" t="array" ref="AQ209:AQ209">IF(AP209="","",AP209*INDEX(Справочники!$B$4:$B$7,MATCH("RUB",Справочники!$A$4:$A$7,0)))</f>
        <v/>
      </c>
      <c r="AR209" s="90" t="str">
        <f aca="false">IF(AQ209="","",ROUND(AQ209*(1+Справочники!$B$12),0))</f>
        <v/>
      </c>
      <c r="AS209" s="90" t="str">
        <f aca="false">IF(AR209="","",ROUND(AR209*(1-Справочники!$B$11),0))</f>
        <v/>
      </c>
      <c r="AT209" s="88"/>
      <c r="AU209" s="90" t="str">
        <f aca="false">IF(AT209="","",ROUND(AT209/(1+Справочники!$B$12),0))</f>
        <v/>
      </c>
      <c r="AV209" s="90" t="str">
        <f aca="false">IF(AT209="","",ROUND(AT209*(1-Справочники!$B$15),0))</f>
        <v/>
      </c>
      <c r="AW209" s="90" t="str">
        <f aca="false">IF(AT209="","",ROUND(AT209*(1-Справочники!$B$16),0))</f>
        <v/>
      </c>
      <c r="AX209" s="90" t="str">
        <f aca="false">IF(AT209="","",ROUND(AT209*(1-Справочники!$B$17),0))</f>
        <v/>
      </c>
      <c r="AY209" s="90" t="str">
        <f aca="false">IF(AT209="","",ROUND(AT209*(1-Справочники!$B$18),0))</f>
        <v/>
      </c>
      <c r="AZ209" s="90" t="str">
        <f aca="false">IF(AT209="","",ROUND(AT209*(1-Справочники!$B$19),0))</f>
        <v/>
      </c>
      <c r="BA209" s="81"/>
      <c r="BB209" s="81"/>
      <c r="BC209" s="81"/>
      <c r="BD209" s="81"/>
      <c r="BE209" s="91"/>
      <c r="BF209" s="81" t="s">
        <v>103</v>
      </c>
      <c r="BG209" s="89" t="n">
        <f aca="false" t="array" ref="BG209:BG209">IF(BF209="","",IFERROR(INDEX(Справочники!$B$4:$B$7,MATCH(BF209,Справочники!$A$4:$A$7,0)),""))</f>
        <v>68.5</v>
      </c>
      <c r="BH209" s="90" t="str">
        <f aca="false">IF(N(BN209)&gt;0,ROUND(SUMIF(ЗАКАЗЫ!$F$3:$F$500,$A209,ЗАКАЗЫ!$Y$3:$Y$500)/BN209,0),IF(OR(BE209="",BG209=""),"",ROUND(BE209*BG209*(1+Справочники!$B$10),0)))</f>
        <v/>
      </c>
      <c r="BI209" s="92" t="str">
        <f aca="false">IF(OR(AU209="",BH209="",AU209=0),"",(AU209-BH209)/AU209)</f>
        <v/>
      </c>
      <c r="BJ209" s="81"/>
      <c r="BK209" s="83"/>
      <c r="BL209" s="43" t="str">
        <f aca="false">IFERROR(INDEX(ЗАКАЗЫ!$N$3:$N$500,MATCH($A209,ЗАКАЗЫ!$F$3:$F$500,0)),"")</f>
        <v/>
      </c>
      <c r="BM209" s="8" t="str">
        <f aca="false">IF(BL209="","",IFERROR(VLOOKUP(BL209,'ТН ВЭД'!$A$4:$C$40,3,0),""))</f>
        <v/>
      </c>
      <c r="BN209" s="7" t="str">
        <f aca="false">IF(COUNTIF(ЗАКАЗЫ!$F$3:$F$500,$A209)=0,"",SUMIF(ЗАКАЗЫ!$F$3:$F$500,$A209,ЗАКАЗЫ!$J$3:$J$500))</f>
        <v/>
      </c>
      <c r="BO209" s="7" t="str">
        <f aca="false">IF(BN209="","",SUMIF(ЗАКАЗЫ!$F$3:$F$500,$A209,ЗАКАЗЫ!$AL$3:$AL$500))</f>
        <v/>
      </c>
      <c r="BP209" s="7" t="str">
        <f aca="false">IF(BN209="","",BN209-BO209)</f>
        <v/>
      </c>
      <c r="BQ209" s="55" t="str">
        <f aca="false">IF(BN209="","",IF(BO209&gt;=BN209,"На складе",IF(BO209&gt;0,"Частично","Ждём")))</f>
        <v/>
      </c>
      <c r="BR209" s="43"/>
      <c r="BS209" s="47" t="str">
        <f aca="false">IF(BN209="","",IF(_xlfn.MAXIFS(ЗАКАЗЫ!$AK$3:$AK$500,ЗАКАЗЫ!$F$3:$F$500,$A209)=0,"",_xlfn.MAXIFS(ЗАКАЗЫ!$AK$3:$AK$500,ЗАКАЗЫ!$F$3:$F$500,$A209)))</f>
        <v/>
      </c>
    </row>
    <row r="210" customFormat="false" ht="15.75" hidden="false" customHeight="true" outlineLevel="0" collapsed="false">
      <c r="A210" s="80" t="s">
        <v>3121</v>
      </c>
      <c r="B210" s="81"/>
      <c r="C210" s="81"/>
      <c r="D210" s="81"/>
      <c r="E210" s="83"/>
      <c r="F210" s="81"/>
      <c r="G210" s="83"/>
      <c r="H210" s="83"/>
      <c r="I210" s="84" t="str">
        <f aca="false">IF(E210="","",A210&amp;"_1.jpg")</f>
        <v/>
      </c>
      <c r="J210" s="84" t="str">
        <f aca="false">IF(E210="","",A210&amp;"_2.jpg; "&amp;A210&amp;"_3.jpg")</f>
        <v/>
      </c>
      <c r="K210" s="84" t="str">
        <f aca="false">IF(E210="","",A210&amp;"_schema.jpg")</f>
        <v/>
      </c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 t="s">
        <v>96</v>
      </c>
      <c r="W210" s="81"/>
      <c r="X210" s="81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6" t="str">
        <f aca="false">IF(SUM(Y210:AJ210)=0,"",SUM(Y210:AJ210))</f>
        <v/>
      </c>
      <c r="AL210" s="84" t="str">
        <f aca="false">MID(IF(N(Y210)&gt;0,", "&amp;Y$2,"")&amp;IF(N(Z210)&gt;0,", "&amp;Z$2,"")&amp;IF(N(AA210)&gt;0,", "&amp;AA$2,"")&amp;IF(N(AB210)&gt;0,", "&amp;AB$2,"")&amp;IF(N(AC210)&gt;0,", "&amp;AC$2,"")&amp;IF(N(AD210)&gt;0,", "&amp;AD$2,"")&amp;IF(N(AE210)&gt;0,", "&amp;AE$2,"")&amp;IF(N(AF210)&gt;0,", "&amp;AF$2,"")&amp;IF(N(AG210)&gt;0,", "&amp;AG$2,"")&amp;IF(N(AH210)&gt;0,", "&amp;AH$2,"")&amp;IF(N(AI210)&gt;0,", "&amp;AI$2,"")&amp;IF(N(AJ210)&gt;0,", "&amp;AJ$2,""),3,999)</f>
        <v/>
      </c>
      <c r="AM210" s="87" t="str">
        <f aca="false">IF(E210="","",MID(IF(N(Y210)&gt;0,", "&amp;A210&amp;"-"&amp;Y$2,"")&amp;IF(N(Z210)&gt;0,", "&amp;A210&amp;"-"&amp;Z$2,"")&amp;IF(N(AA210)&gt;0,", "&amp;A210&amp;"-"&amp;AA$2,"")&amp;IF(N(AB210)&gt;0,", "&amp;A210&amp;"-"&amp;AB$2,"")&amp;IF(N(AC210)&gt;0,", "&amp;A210&amp;"-"&amp;AC$2,"")&amp;IF(N(AD210)&gt;0,", "&amp;A210&amp;"-"&amp;AD$2,"")&amp;IF(N(AE210)&gt;0,", "&amp;A210&amp;"-"&amp;AE$2,"")&amp;IF(N(AF210)&gt;0,", "&amp;A210&amp;"-"&amp;AF$2,"")&amp;IF(N(AG210)&gt;0,", "&amp;A210&amp;"-"&amp;AG$2,"")&amp;IF(N(AH210)&gt;0,", "&amp;A210&amp;"-"&amp;AH$2,"")&amp;IF(N(AI210)&gt;0,", "&amp;A210&amp;"-"&amp;AI$2,"")&amp;IF(N(AJ210)&gt;0,", "&amp;A210&amp;"-"&amp;AJ$2,""),3,999))</f>
        <v/>
      </c>
      <c r="AN210" s="81"/>
      <c r="AO210" s="88"/>
      <c r="AP210" s="89" t="str">
        <f aca="false">IF(AO210="","",ROUND(AO210/(1+Справочники!$B$13),2))</f>
        <v/>
      </c>
      <c r="AQ210" s="90" t="str">
        <f aca="false" t="array" ref="AQ210:AQ210">IF(AP210="","",AP210*INDEX(Справочники!$B$4:$B$7,MATCH("RUB",Справочники!$A$4:$A$7,0)))</f>
        <v/>
      </c>
      <c r="AR210" s="90" t="str">
        <f aca="false">IF(AQ210="","",ROUND(AQ210*(1+Справочники!$B$12),0))</f>
        <v/>
      </c>
      <c r="AS210" s="90" t="str">
        <f aca="false">IF(AR210="","",ROUND(AR210*(1-Справочники!$B$11),0))</f>
        <v/>
      </c>
      <c r="AT210" s="88"/>
      <c r="AU210" s="90" t="str">
        <f aca="false">IF(AT210="","",ROUND(AT210/(1+Справочники!$B$12),0))</f>
        <v/>
      </c>
      <c r="AV210" s="90" t="str">
        <f aca="false">IF(AT210="","",ROUND(AT210*(1-Справочники!$B$15),0))</f>
        <v/>
      </c>
      <c r="AW210" s="90" t="str">
        <f aca="false">IF(AT210="","",ROUND(AT210*(1-Справочники!$B$16),0))</f>
        <v/>
      </c>
      <c r="AX210" s="90" t="str">
        <f aca="false">IF(AT210="","",ROUND(AT210*(1-Справочники!$B$17),0))</f>
        <v/>
      </c>
      <c r="AY210" s="90" t="str">
        <f aca="false">IF(AT210="","",ROUND(AT210*(1-Справочники!$B$18),0))</f>
        <v/>
      </c>
      <c r="AZ210" s="90" t="str">
        <f aca="false">IF(AT210="","",ROUND(AT210*(1-Справочники!$B$19),0))</f>
        <v/>
      </c>
      <c r="BA210" s="81"/>
      <c r="BB210" s="81"/>
      <c r="BC210" s="81"/>
      <c r="BD210" s="81"/>
      <c r="BE210" s="91"/>
      <c r="BF210" s="81" t="s">
        <v>103</v>
      </c>
      <c r="BG210" s="89" t="n">
        <f aca="false" t="array" ref="BG210:BG210">IF(BF210="","",IFERROR(INDEX(Справочники!$B$4:$B$7,MATCH(BF210,Справочники!$A$4:$A$7,0)),""))</f>
        <v>68.5</v>
      </c>
      <c r="BH210" s="90" t="str">
        <f aca="false">IF(N(BN210)&gt;0,ROUND(SUMIF(ЗАКАЗЫ!$F$3:$F$500,$A210,ЗАКАЗЫ!$Y$3:$Y$500)/BN210,0),IF(OR(BE210="",BG210=""),"",ROUND(BE210*BG210*(1+Справочники!$B$10),0)))</f>
        <v/>
      </c>
      <c r="BI210" s="92" t="str">
        <f aca="false">IF(OR(AU210="",BH210="",AU210=0),"",(AU210-BH210)/AU210)</f>
        <v/>
      </c>
      <c r="BJ210" s="81"/>
      <c r="BK210" s="83"/>
      <c r="BL210" s="43" t="str">
        <f aca="false">IFERROR(INDEX(ЗАКАЗЫ!$N$3:$N$500,MATCH($A210,ЗАКАЗЫ!$F$3:$F$500,0)),"")</f>
        <v/>
      </c>
      <c r="BM210" s="8" t="str">
        <f aca="false">IF(BL210="","",IFERROR(VLOOKUP(BL210,'ТН ВЭД'!$A$4:$C$40,3,0),""))</f>
        <v/>
      </c>
      <c r="BN210" s="7" t="str">
        <f aca="false">IF(COUNTIF(ЗАКАЗЫ!$F$3:$F$500,$A210)=0,"",SUMIF(ЗАКАЗЫ!$F$3:$F$500,$A210,ЗАКАЗЫ!$J$3:$J$500))</f>
        <v/>
      </c>
      <c r="BO210" s="7" t="str">
        <f aca="false">IF(BN210="","",SUMIF(ЗАКАЗЫ!$F$3:$F$500,$A210,ЗАКАЗЫ!$AL$3:$AL$500))</f>
        <v/>
      </c>
      <c r="BP210" s="7" t="str">
        <f aca="false">IF(BN210="","",BN210-BO210)</f>
        <v/>
      </c>
      <c r="BQ210" s="55" t="str">
        <f aca="false">IF(BN210="","",IF(BO210&gt;=BN210,"На складе",IF(BO210&gt;0,"Частично","Ждём")))</f>
        <v/>
      </c>
      <c r="BR210" s="43"/>
      <c r="BS210" s="47" t="str">
        <f aca="false">IF(BN210="","",IF(_xlfn.MAXIFS(ЗАКАЗЫ!$AK$3:$AK$500,ЗАКАЗЫ!$F$3:$F$500,$A210)=0,"",_xlfn.MAXIFS(ЗАКАЗЫ!$AK$3:$AK$500,ЗАКАЗЫ!$F$3:$F$500,$A210)))</f>
        <v/>
      </c>
    </row>
    <row r="211" customFormat="false" ht="15.75" hidden="false" customHeight="true" outlineLevel="0" collapsed="false">
      <c r="A211" s="80" t="s">
        <v>3122</v>
      </c>
      <c r="B211" s="81"/>
      <c r="C211" s="81"/>
      <c r="D211" s="81"/>
      <c r="E211" s="83"/>
      <c r="F211" s="81"/>
      <c r="G211" s="83"/>
      <c r="H211" s="83"/>
      <c r="I211" s="84" t="str">
        <f aca="false">IF(E211="","",A211&amp;"_1.jpg")</f>
        <v/>
      </c>
      <c r="J211" s="84" t="str">
        <f aca="false">IF(E211="","",A211&amp;"_2.jpg; "&amp;A211&amp;"_3.jpg")</f>
        <v/>
      </c>
      <c r="K211" s="84" t="str">
        <f aca="false">IF(E211="","",A211&amp;"_schema.jpg")</f>
        <v/>
      </c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 t="s">
        <v>96</v>
      </c>
      <c r="W211" s="81"/>
      <c r="X211" s="81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6" t="str">
        <f aca="false">IF(SUM(Y211:AJ211)=0,"",SUM(Y211:AJ211))</f>
        <v/>
      </c>
      <c r="AL211" s="84" t="str">
        <f aca="false">MID(IF(N(Y211)&gt;0,", "&amp;Y$2,"")&amp;IF(N(Z211)&gt;0,", "&amp;Z$2,"")&amp;IF(N(AA211)&gt;0,", "&amp;AA$2,"")&amp;IF(N(AB211)&gt;0,", "&amp;AB$2,"")&amp;IF(N(AC211)&gt;0,", "&amp;AC$2,"")&amp;IF(N(AD211)&gt;0,", "&amp;AD$2,"")&amp;IF(N(AE211)&gt;0,", "&amp;AE$2,"")&amp;IF(N(AF211)&gt;0,", "&amp;AF$2,"")&amp;IF(N(AG211)&gt;0,", "&amp;AG$2,"")&amp;IF(N(AH211)&gt;0,", "&amp;AH$2,"")&amp;IF(N(AI211)&gt;0,", "&amp;AI$2,"")&amp;IF(N(AJ211)&gt;0,", "&amp;AJ$2,""),3,999)</f>
        <v/>
      </c>
      <c r="AM211" s="87" t="str">
        <f aca="false">IF(E211="","",MID(IF(N(Y211)&gt;0,", "&amp;A211&amp;"-"&amp;Y$2,"")&amp;IF(N(Z211)&gt;0,", "&amp;A211&amp;"-"&amp;Z$2,"")&amp;IF(N(AA211)&gt;0,", "&amp;A211&amp;"-"&amp;AA$2,"")&amp;IF(N(AB211)&gt;0,", "&amp;A211&amp;"-"&amp;AB$2,"")&amp;IF(N(AC211)&gt;0,", "&amp;A211&amp;"-"&amp;AC$2,"")&amp;IF(N(AD211)&gt;0,", "&amp;A211&amp;"-"&amp;AD$2,"")&amp;IF(N(AE211)&gt;0,", "&amp;A211&amp;"-"&amp;AE$2,"")&amp;IF(N(AF211)&gt;0,", "&amp;A211&amp;"-"&amp;AF$2,"")&amp;IF(N(AG211)&gt;0,", "&amp;A211&amp;"-"&amp;AG$2,"")&amp;IF(N(AH211)&gt;0,", "&amp;A211&amp;"-"&amp;AH$2,"")&amp;IF(N(AI211)&gt;0,", "&amp;A211&amp;"-"&amp;AI$2,"")&amp;IF(N(AJ211)&gt;0,", "&amp;A211&amp;"-"&amp;AJ$2,""),3,999))</f>
        <v/>
      </c>
      <c r="AN211" s="81"/>
      <c r="AO211" s="88"/>
      <c r="AP211" s="89" t="str">
        <f aca="false">IF(AO211="","",ROUND(AO211/(1+Справочники!$B$13),2))</f>
        <v/>
      </c>
      <c r="AQ211" s="90" t="str">
        <f aca="false" t="array" ref="AQ211:AQ211">IF(AP211="","",AP211*INDEX(Справочники!$B$4:$B$7,MATCH("RUB",Справочники!$A$4:$A$7,0)))</f>
        <v/>
      </c>
      <c r="AR211" s="90" t="str">
        <f aca="false">IF(AQ211="","",ROUND(AQ211*(1+Справочники!$B$12),0))</f>
        <v/>
      </c>
      <c r="AS211" s="90" t="str">
        <f aca="false">IF(AR211="","",ROUND(AR211*(1-Справочники!$B$11),0))</f>
        <v/>
      </c>
      <c r="AT211" s="88"/>
      <c r="AU211" s="90" t="str">
        <f aca="false">IF(AT211="","",ROUND(AT211/(1+Справочники!$B$12),0))</f>
        <v/>
      </c>
      <c r="AV211" s="90" t="str">
        <f aca="false">IF(AT211="","",ROUND(AT211*(1-Справочники!$B$15),0))</f>
        <v/>
      </c>
      <c r="AW211" s="90" t="str">
        <f aca="false">IF(AT211="","",ROUND(AT211*(1-Справочники!$B$16),0))</f>
        <v/>
      </c>
      <c r="AX211" s="90" t="str">
        <f aca="false">IF(AT211="","",ROUND(AT211*(1-Справочники!$B$17),0))</f>
        <v/>
      </c>
      <c r="AY211" s="90" t="str">
        <f aca="false">IF(AT211="","",ROUND(AT211*(1-Справочники!$B$18),0))</f>
        <v/>
      </c>
      <c r="AZ211" s="90" t="str">
        <f aca="false">IF(AT211="","",ROUND(AT211*(1-Справочники!$B$19),0))</f>
        <v/>
      </c>
      <c r="BA211" s="81"/>
      <c r="BB211" s="81"/>
      <c r="BC211" s="81"/>
      <c r="BD211" s="81"/>
      <c r="BE211" s="91"/>
      <c r="BF211" s="81" t="s">
        <v>103</v>
      </c>
      <c r="BG211" s="89" t="n">
        <f aca="false" t="array" ref="BG211:BG211">IF(BF211="","",IFERROR(INDEX(Справочники!$B$4:$B$7,MATCH(BF211,Справочники!$A$4:$A$7,0)),""))</f>
        <v>68.5</v>
      </c>
      <c r="BH211" s="90" t="str">
        <f aca="false">IF(N(BN211)&gt;0,ROUND(SUMIF(ЗАКАЗЫ!$F$3:$F$500,$A211,ЗАКАЗЫ!$Y$3:$Y$500)/BN211,0),IF(OR(BE211="",BG211=""),"",ROUND(BE211*BG211*(1+Справочники!$B$10),0)))</f>
        <v/>
      </c>
      <c r="BI211" s="92" t="str">
        <f aca="false">IF(OR(AU211="",BH211="",AU211=0),"",(AU211-BH211)/AU211)</f>
        <v/>
      </c>
      <c r="BJ211" s="81"/>
      <c r="BK211" s="83"/>
      <c r="BL211" s="43" t="str">
        <f aca="false">IFERROR(INDEX(ЗАКАЗЫ!$N$3:$N$500,MATCH($A211,ЗАКАЗЫ!$F$3:$F$500,0)),"")</f>
        <v/>
      </c>
      <c r="BM211" s="8" t="str">
        <f aca="false">IF(BL211="","",IFERROR(VLOOKUP(BL211,'ТН ВЭД'!$A$4:$C$40,3,0),""))</f>
        <v/>
      </c>
      <c r="BN211" s="7" t="str">
        <f aca="false">IF(COUNTIF(ЗАКАЗЫ!$F$3:$F$500,$A211)=0,"",SUMIF(ЗАКАЗЫ!$F$3:$F$500,$A211,ЗАКАЗЫ!$J$3:$J$500))</f>
        <v/>
      </c>
      <c r="BO211" s="7" t="str">
        <f aca="false">IF(BN211="","",SUMIF(ЗАКАЗЫ!$F$3:$F$500,$A211,ЗАКАЗЫ!$AL$3:$AL$500))</f>
        <v/>
      </c>
      <c r="BP211" s="7" t="str">
        <f aca="false">IF(BN211="","",BN211-BO211)</f>
        <v/>
      </c>
      <c r="BQ211" s="55" t="str">
        <f aca="false">IF(BN211="","",IF(BO211&gt;=BN211,"На складе",IF(BO211&gt;0,"Частично","Ждём")))</f>
        <v/>
      </c>
      <c r="BR211" s="43"/>
      <c r="BS211" s="47" t="str">
        <f aca="false">IF(BN211="","",IF(_xlfn.MAXIFS(ЗАКАЗЫ!$AK$3:$AK$500,ЗАКАЗЫ!$F$3:$F$500,$A211)=0,"",_xlfn.MAXIFS(ЗАКАЗЫ!$AK$3:$AK$500,ЗАКАЗЫ!$F$3:$F$500,$A211)))</f>
        <v/>
      </c>
    </row>
    <row r="212" customFormat="false" ht="15.75" hidden="false" customHeight="true" outlineLevel="0" collapsed="false">
      <c r="A212" s="80" t="s">
        <v>3123</v>
      </c>
      <c r="B212" s="81"/>
      <c r="C212" s="81"/>
      <c r="D212" s="81"/>
      <c r="E212" s="83"/>
      <c r="F212" s="81"/>
      <c r="G212" s="83"/>
      <c r="H212" s="83"/>
      <c r="I212" s="84" t="str">
        <f aca="false">IF(E212="","",A212&amp;"_1.jpg")</f>
        <v/>
      </c>
      <c r="J212" s="84" t="str">
        <f aca="false">IF(E212="","",A212&amp;"_2.jpg; "&amp;A212&amp;"_3.jpg")</f>
        <v/>
      </c>
      <c r="K212" s="84" t="str">
        <f aca="false">IF(E212="","",A212&amp;"_schema.jpg")</f>
        <v/>
      </c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 t="s">
        <v>96</v>
      </c>
      <c r="W212" s="81"/>
      <c r="X212" s="81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6" t="str">
        <f aca="false">IF(SUM(Y212:AJ212)=0,"",SUM(Y212:AJ212))</f>
        <v/>
      </c>
      <c r="AL212" s="84" t="str">
        <f aca="false">MID(IF(N(Y212)&gt;0,", "&amp;Y$2,"")&amp;IF(N(Z212)&gt;0,", "&amp;Z$2,"")&amp;IF(N(AA212)&gt;0,", "&amp;AA$2,"")&amp;IF(N(AB212)&gt;0,", "&amp;AB$2,"")&amp;IF(N(AC212)&gt;0,", "&amp;AC$2,"")&amp;IF(N(AD212)&gt;0,", "&amp;AD$2,"")&amp;IF(N(AE212)&gt;0,", "&amp;AE$2,"")&amp;IF(N(AF212)&gt;0,", "&amp;AF$2,"")&amp;IF(N(AG212)&gt;0,", "&amp;AG$2,"")&amp;IF(N(AH212)&gt;0,", "&amp;AH$2,"")&amp;IF(N(AI212)&gt;0,", "&amp;AI$2,"")&amp;IF(N(AJ212)&gt;0,", "&amp;AJ$2,""),3,999)</f>
        <v/>
      </c>
      <c r="AM212" s="87" t="str">
        <f aca="false">IF(E212="","",MID(IF(N(Y212)&gt;0,", "&amp;A212&amp;"-"&amp;Y$2,"")&amp;IF(N(Z212)&gt;0,", "&amp;A212&amp;"-"&amp;Z$2,"")&amp;IF(N(AA212)&gt;0,", "&amp;A212&amp;"-"&amp;AA$2,"")&amp;IF(N(AB212)&gt;0,", "&amp;A212&amp;"-"&amp;AB$2,"")&amp;IF(N(AC212)&gt;0,", "&amp;A212&amp;"-"&amp;AC$2,"")&amp;IF(N(AD212)&gt;0,", "&amp;A212&amp;"-"&amp;AD$2,"")&amp;IF(N(AE212)&gt;0,", "&amp;A212&amp;"-"&amp;AE$2,"")&amp;IF(N(AF212)&gt;0,", "&amp;A212&amp;"-"&amp;AF$2,"")&amp;IF(N(AG212)&gt;0,", "&amp;A212&amp;"-"&amp;AG$2,"")&amp;IF(N(AH212)&gt;0,", "&amp;A212&amp;"-"&amp;AH$2,"")&amp;IF(N(AI212)&gt;0,", "&amp;A212&amp;"-"&amp;AI$2,"")&amp;IF(N(AJ212)&gt;0,", "&amp;A212&amp;"-"&amp;AJ$2,""),3,999))</f>
        <v/>
      </c>
      <c r="AN212" s="81"/>
      <c r="AO212" s="88"/>
      <c r="AP212" s="89" t="str">
        <f aca="false">IF(AO212="","",ROUND(AO212/(1+Справочники!$B$13),2))</f>
        <v/>
      </c>
      <c r="AQ212" s="90" t="str">
        <f aca="false" t="array" ref="AQ212:AQ212">IF(AP212="","",AP212*INDEX(Справочники!$B$4:$B$7,MATCH("RUB",Справочники!$A$4:$A$7,0)))</f>
        <v/>
      </c>
      <c r="AR212" s="90" t="str">
        <f aca="false">IF(AQ212="","",ROUND(AQ212*(1+Справочники!$B$12),0))</f>
        <v/>
      </c>
      <c r="AS212" s="90" t="str">
        <f aca="false">IF(AR212="","",ROUND(AR212*(1-Справочники!$B$11),0))</f>
        <v/>
      </c>
      <c r="AT212" s="88"/>
      <c r="AU212" s="90" t="str">
        <f aca="false">IF(AT212="","",ROUND(AT212/(1+Справочники!$B$12),0))</f>
        <v/>
      </c>
      <c r="AV212" s="90" t="str">
        <f aca="false">IF(AT212="","",ROUND(AT212*(1-Справочники!$B$15),0))</f>
        <v/>
      </c>
      <c r="AW212" s="90" t="str">
        <f aca="false">IF(AT212="","",ROUND(AT212*(1-Справочники!$B$16),0))</f>
        <v/>
      </c>
      <c r="AX212" s="90" t="str">
        <f aca="false">IF(AT212="","",ROUND(AT212*(1-Справочники!$B$17),0))</f>
        <v/>
      </c>
      <c r="AY212" s="90" t="str">
        <f aca="false">IF(AT212="","",ROUND(AT212*(1-Справочники!$B$18),0))</f>
        <v/>
      </c>
      <c r="AZ212" s="90" t="str">
        <f aca="false">IF(AT212="","",ROUND(AT212*(1-Справочники!$B$19),0))</f>
        <v/>
      </c>
      <c r="BA212" s="81"/>
      <c r="BB212" s="81"/>
      <c r="BC212" s="81"/>
      <c r="BD212" s="81"/>
      <c r="BE212" s="91"/>
      <c r="BF212" s="81" t="s">
        <v>103</v>
      </c>
      <c r="BG212" s="89" t="n">
        <f aca="false" t="array" ref="BG212:BG212">IF(BF212="","",IFERROR(INDEX(Справочники!$B$4:$B$7,MATCH(BF212,Справочники!$A$4:$A$7,0)),""))</f>
        <v>68.5</v>
      </c>
      <c r="BH212" s="90" t="str">
        <f aca="false">IF(N(BN212)&gt;0,ROUND(SUMIF(ЗАКАЗЫ!$F$3:$F$500,$A212,ЗАКАЗЫ!$Y$3:$Y$500)/BN212,0),IF(OR(BE212="",BG212=""),"",ROUND(BE212*BG212*(1+Справочники!$B$10),0)))</f>
        <v/>
      </c>
      <c r="BI212" s="92" t="str">
        <f aca="false">IF(OR(AU212="",BH212="",AU212=0),"",(AU212-BH212)/AU212)</f>
        <v/>
      </c>
      <c r="BJ212" s="81"/>
      <c r="BK212" s="83"/>
      <c r="BL212" s="43" t="str">
        <f aca="false">IFERROR(INDEX(ЗАКАЗЫ!$N$3:$N$500,MATCH($A212,ЗАКАЗЫ!$F$3:$F$500,0)),"")</f>
        <v/>
      </c>
      <c r="BM212" s="8" t="str">
        <f aca="false">IF(BL212="","",IFERROR(VLOOKUP(BL212,'ТН ВЭД'!$A$4:$C$40,3,0),""))</f>
        <v/>
      </c>
      <c r="BN212" s="7" t="str">
        <f aca="false">IF(COUNTIF(ЗАКАЗЫ!$F$3:$F$500,$A212)=0,"",SUMIF(ЗАКАЗЫ!$F$3:$F$500,$A212,ЗАКАЗЫ!$J$3:$J$500))</f>
        <v/>
      </c>
      <c r="BO212" s="7" t="str">
        <f aca="false">IF(BN212="","",SUMIF(ЗАКАЗЫ!$F$3:$F$500,$A212,ЗАКАЗЫ!$AL$3:$AL$500))</f>
        <v/>
      </c>
      <c r="BP212" s="7" t="str">
        <f aca="false">IF(BN212="","",BN212-BO212)</f>
        <v/>
      </c>
      <c r="BQ212" s="55" t="str">
        <f aca="false">IF(BN212="","",IF(BO212&gt;=BN212,"На складе",IF(BO212&gt;0,"Частично","Ждём")))</f>
        <v/>
      </c>
      <c r="BR212" s="43"/>
      <c r="BS212" s="47" t="str">
        <f aca="false">IF(BN212="","",IF(_xlfn.MAXIFS(ЗАКАЗЫ!$AK$3:$AK$500,ЗАКАЗЫ!$F$3:$F$500,$A212)=0,"",_xlfn.MAXIFS(ЗАКАЗЫ!$AK$3:$AK$500,ЗАКАЗЫ!$F$3:$F$500,$A212)))</f>
        <v/>
      </c>
    </row>
    <row r="213" customFormat="false" ht="15.75" hidden="false" customHeight="true" outlineLevel="0" collapsed="false">
      <c r="A213" s="80" t="s">
        <v>3124</v>
      </c>
      <c r="B213" s="81"/>
      <c r="C213" s="81"/>
      <c r="D213" s="81"/>
      <c r="E213" s="83"/>
      <c r="F213" s="81"/>
      <c r="G213" s="83"/>
      <c r="H213" s="83"/>
      <c r="I213" s="84" t="str">
        <f aca="false">IF(E213="","",A213&amp;"_1.jpg")</f>
        <v/>
      </c>
      <c r="J213" s="84" t="str">
        <f aca="false">IF(E213="","",A213&amp;"_2.jpg; "&amp;A213&amp;"_3.jpg")</f>
        <v/>
      </c>
      <c r="K213" s="84" t="str">
        <f aca="false">IF(E213="","",A213&amp;"_schema.jpg")</f>
        <v/>
      </c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 t="s">
        <v>96</v>
      </c>
      <c r="W213" s="81"/>
      <c r="X213" s="81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6" t="str">
        <f aca="false">IF(SUM(Y213:AJ213)=0,"",SUM(Y213:AJ213))</f>
        <v/>
      </c>
      <c r="AL213" s="84" t="str">
        <f aca="false">MID(IF(N(Y213)&gt;0,", "&amp;Y$2,"")&amp;IF(N(Z213)&gt;0,", "&amp;Z$2,"")&amp;IF(N(AA213)&gt;0,", "&amp;AA$2,"")&amp;IF(N(AB213)&gt;0,", "&amp;AB$2,"")&amp;IF(N(AC213)&gt;0,", "&amp;AC$2,"")&amp;IF(N(AD213)&gt;0,", "&amp;AD$2,"")&amp;IF(N(AE213)&gt;0,", "&amp;AE$2,"")&amp;IF(N(AF213)&gt;0,", "&amp;AF$2,"")&amp;IF(N(AG213)&gt;0,", "&amp;AG$2,"")&amp;IF(N(AH213)&gt;0,", "&amp;AH$2,"")&amp;IF(N(AI213)&gt;0,", "&amp;AI$2,"")&amp;IF(N(AJ213)&gt;0,", "&amp;AJ$2,""),3,999)</f>
        <v/>
      </c>
      <c r="AM213" s="87" t="str">
        <f aca="false">IF(E213="","",MID(IF(N(Y213)&gt;0,", "&amp;A213&amp;"-"&amp;Y$2,"")&amp;IF(N(Z213)&gt;0,", "&amp;A213&amp;"-"&amp;Z$2,"")&amp;IF(N(AA213)&gt;0,", "&amp;A213&amp;"-"&amp;AA$2,"")&amp;IF(N(AB213)&gt;0,", "&amp;A213&amp;"-"&amp;AB$2,"")&amp;IF(N(AC213)&gt;0,", "&amp;A213&amp;"-"&amp;AC$2,"")&amp;IF(N(AD213)&gt;0,", "&amp;A213&amp;"-"&amp;AD$2,"")&amp;IF(N(AE213)&gt;0,", "&amp;A213&amp;"-"&amp;AE$2,"")&amp;IF(N(AF213)&gt;0,", "&amp;A213&amp;"-"&amp;AF$2,"")&amp;IF(N(AG213)&gt;0,", "&amp;A213&amp;"-"&amp;AG$2,"")&amp;IF(N(AH213)&gt;0,", "&amp;A213&amp;"-"&amp;AH$2,"")&amp;IF(N(AI213)&gt;0,", "&amp;A213&amp;"-"&amp;AI$2,"")&amp;IF(N(AJ213)&gt;0,", "&amp;A213&amp;"-"&amp;AJ$2,""),3,999))</f>
        <v/>
      </c>
      <c r="AN213" s="81"/>
      <c r="AO213" s="88"/>
      <c r="AP213" s="89" t="str">
        <f aca="false">IF(AO213="","",ROUND(AO213/(1+Справочники!$B$13),2))</f>
        <v/>
      </c>
      <c r="AQ213" s="90" t="str">
        <f aca="false" t="array" ref="AQ213:AQ213">IF(AP213="","",AP213*INDEX(Справочники!$B$4:$B$7,MATCH("RUB",Справочники!$A$4:$A$7,0)))</f>
        <v/>
      </c>
      <c r="AR213" s="90" t="str">
        <f aca="false">IF(AQ213="","",ROUND(AQ213*(1+Справочники!$B$12),0))</f>
        <v/>
      </c>
      <c r="AS213" s="90" t="str">
        <f aca="false">IF(AR213="","",ROUND(AR213*(1-Справочники!$B$11),0))</f>
        <v/>
      </c>
      <c r="AT213" s="88"/>
      <c r="AU213" s="90" t="str">
        <f aca="false">IF(AT213="","",ROUND(AT213/(1+Справочники!$B$12),0))</f>
        <v/>
      </c>
      <c r="AV213" s="90" t="str">
        <f aca="false">IF(AT213="","",ROUND(AT213*(1-Справочники!$B$15),0))</f>
        <v/>
      </c>
      <c r="AW213" s="90" t="str">
        <f aca="false">IF(AT213="","",ROUND(AT213*(1-Справочники!$B$16),0))</f>
        <v/>
      </c>
      <c r="AX213" s="90" t="str">
        <f aca="false">IF(AT213="","",ROUND(AT213*(1-Справочники!$B$17),0))</f>
        <v/>
      </c>
      <c r="AY213" s="90" t="str">
        <f aca="false">IF(AT213="","",ROUND(AT213*(1-Справочники!$B$18),0))</f>
        <v/>
      </c>
      <c r="AZ213" s="90" t="str">
        <f aca="false">IF(AT213="","",ROUND(AT213*(1-Справочники!$B$19),0))</f>
        <v/>
      </c>
      <c r="BA213" s="81"/>
      <c r="BB213" s="81"/>
      <c r="BC213" s="81"/>
      <c r="BD213" s="81"/>
      <c r="BE213" s="91"/>
      <c r="BF213" s="81" t="s">
        <v>103</v>
      </c>
      <c r="BG213" s="89" t="n">
        <f aca="false" t="array" ref="BG213:BG213">IF(BF213="","",IFERROR(INDEX(Справочники!$B$4:$B$7,MATCH(BF213,Справочники!$A$4:$A$7,0)),""))</f>
        <v>68.5</v>
      </c>
      <c r="BH213" s="90" t="str">
        <f aca="false">IF(N(BN213)&gt;0,ROUND(SUMIF(ЗАКАЗЫ!$F$3:$F$500,$A213,ЗАКАЗЫ!$Y$3:$Y$500)/BN213,0),IF(OR(BE213="",BG213=""),"",ROUND(BE213*BG213*(1+Справочники!$B$10),0)))</f>
        <v/>
      </c>
      <c r="BI213" s="92" t="str">
        <f aca="false">IF(OR(AU213="",BH213="",AU213=0),"",(AU213-BH213)/AU213)</f>
        <v/>
      </c>
      <c r="BJ213" s="81"/>
      <c r="BK213" s="83"/>
      <c r="BL213" s="43" t="str">
        <f aca="false">IFERROR(INDEX(ЗАКАЗЫ!$N$3:$N$500,MATCH($A213,ЗАКАЗЫ!$F$3:$F$500,0)),"")</f>
        <v/>
      </c>
      <c r="BM213" s="8" t="str">
        <f aca="false">IF(BL213="","",IFERROR(VLOOKUP(BL213,'ТН ВЭД'!$A$4:$C$40,3,0),""))</f>
        <v/>
      </c>
      <c r="BN213" s="7" t="str">
        <f aca="false">IF(COUNTIF(ЗАКАЗЫ!$F$3:$F$500,$A213)=0,"",SUMIF(ЗАКАЗЫ!$F$3:$F$500,$A213,ЗАКАЗЫ!$J$3:$J$500))</f>
        <v/>
      </c>
      <c r="BO213" s="7" t="str">
        <f aca="false">IF(BN213="","",SUMIF(ЗАКАЗЫ!$F$3:$F$500,$A213,ЗАКАЗЫ!$AL$3:$AL$500))</f>
        <v/>
      </c>
      <c r="BP213" s="7" t="str">
        <f aca="false">IF(BN213="","",BN213-BO213)</f>
        <v/>
      </c>
      <c r="BQ213" s="55" t="str">
        <f aca="false">IF(BN213="","",IF(BO213&gt;=BN213,"На складе",IF(BO213&gt;0,"Частично","Ждём")))</f>
        <v/>
      </c>
      <c r="BR213" s="43"/>
      <c r="BS213" s="47" t="str">
        <f aca="false">IF(BN213="","",IF(_xlfn.MAXIFS(ЗАКАЗЫ!$AK$3:$AK$500,ЗАКАЗЫ!$F$3:$F$500,$A213)=0,"",_xlfn.MAXIFS(ЗАКАЗЫ!$AK$3:$AK$500,ЗАКАЗЫ!$F$3:$F$500,$A213)))</f>
        <v/>
      </c>
    </row>
    <row r="214" customFormat="false" ht="15.75" hidden="false" customHeight="true" outlineLevel="0" collapsed="false">
      <c r="A214" s="80" t="s">
        <v>3125</v>
      </c>
      <c r="B214" s="81"/>
      <c r="C214" s="81"/>
      <c r="D214" s="81"/>
      <c r="E214" s="83"/>
      <c r="F214" s="81"/>
      <c r="G214" s="83"/>
      <c r="H214" s="83"/>
      <c r="I214" s="84" t="str">
        <f aca="false">IF(E214="","",A214&amp;"_1.jpg")</f>
        <v/>
      </c>
      <c r="J214" s="84" t="str">
        <f aca="false">IF(E214="","",A214&amp;"_2.jpg; "&amp;A214&amp;"_3.jpg")</f>
        <v/>
      </c>
      <c r="K214" s="84" t="str">
        <f aca="false">IF(E214="","",A214&amp;"_schema.jpg")</f>
        <v/>
      </c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 t="s">
        <v>96</v>
      </c>
      <c r="W214" s="81"/>
      <c r="X214" s="81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6" t="str">
        <f aca="false">IF(SUM(Y214:AJ214)=0,"",SUM(Y214:AJ214))</f>
        <v/>
      </c>
      <c r="AL214" s="84" t="str">
        <f aca="false">MID(IF(N(Y214)&gt;0,", "&amp;Y$2,"")&amp;IF(N(Z214)&gt;0,", "&amp;Z$2,"")&amp;IF(N(AA214)&gt;0,", "&amp;AA$2,"")&amp;IF(N(AB214)&gt;0,", "&amp;AB$2,"")&amp;IF(N(AC214)&gt;0,", "&amp;AC$2,"")&amp;IF(N(AD214)&gt;0,", "&amp;AD$2,"")&amp;IF(N(AE214)&gt;0,", "&amp;AE$2,"")&amp;IF(N(AF214)&gt;0,", "&amp;AF$2,"")&amp;IF(N(AG214)&gt;0,", "&amp;AG$2,"")&amp;IF(N(AH214)&gt;0,", "&amp;AH$2,"")&amp;IF(N(AI214)&gt;0,", "&amp;AI$2,"")&amp;IF(N(AJ214)&gt;0,", "&amp;AJ$2,""),3,999)</f>
        <v/>
      </c>
      <c r="AM214" s="87" t="str">
        <f aca="false">IF(E214="","",MID(IF(N(Y214)&gt;0,", "&amp;A214&amp;"-"&amp;Y$2,"")&amp;IF(N(Z214)&gt;0,", "&amp;A214&amp;"-"&amp;Z$2,"")&amp;IF(N(AA214)&gt;0,", "&amp;A214&amp;"-"&amp;AA$2,"")&amp;IF(N(AB214)&gt;0,", "&amp;A214&amp;"-"&amp;AB$2,"")&amp;IF(N(AC214)&gt;0,", "&amp;A214&amp;"-"&amp;AC$2,"")&amp;IF(N(AD214)&gt;0,", "&amp;A214&amp;"-"&amp;AD$2,"")&amp;IF(N(AE214)&gt;0,", "&amp;A214&amp;"-"&amp;AE$2,"")&amp;IF(N(AF214)&gt;0,", "&amp;A214&amp;"-"&amp;AF$2,"")&amp;IF(N(AG214)&gt;0,", "&amp;A214&amp;"-"&amp;AG$2,"")&amp;IF(N(AH214)&gt;0,", "&amp;A214&amp;"-"&amp;AH$2,"")&amp;IF(N(AI214)&gt;0,", "&amp;A214&amp;"-"&amp;AI$2,"")&amp;IF(N(AJ214)&gt;0,", "&amp;A214&amp;"-"&amp;AJ$2,""),3,999))</f>
        <v/>
      </c>
      <c r="AN214" s="81"/>
      <c r="AO214" s="88"/>
      <c r="AP214" s="89" t="str">
        <f aca="false">IF(AO214="","",ROUND(AO214/(1+Справочники!$B$13),2))</f>
        <v/>
      </c>
      <c r="AQ214" s="90" t="str">
        <f aca="false" t="array" ref="AQ214:AQ214">IF(AP214="","",AP214*INDEX(Справочники!$B$4:$B$7,MATCH("RUB",Справочники!$A$4:$A$7,0)))</f>
        <v/>
      </c>
      <c r="AR214" s="90" t="str">
        <f aca="false">IF(AQ214="","",ROUND(AQ214*(1+Справочники!$B$12),0))</f>
        <v/>
      </c>
      <c r="AS214" s="90" t="str">
        <f aca="false">IF(AR214="","",ROUND(AR214*(1-Справочники!$B$11),0))</f>
        <v/>
      </c>
      <c r="AT214" s="88"/>
      <c r="AU214" s="90" t="str">
        <f aca="false">IF(AT214="","",ROUND(AT214/(1+Справочники!$B$12),0))</f>
        <v/>
      </c>
      <c r="AV214" s="90" t="str">
        <f aca="false">IF(AT214="","",ROUND(AT214*(1-Справочники!$B$15),0))</f>
        <v/>
      </c>
      <c r="AW214" s="90" t="str">
        <f aca="false">IF(AT214="","",ROUND(AT214*(1-Справочники!$B$16),0))</f>
        <v/>
      </c>
      <c r="AX214" s="90" t="str">
        <f aca="false">IF(AT214="","",ROUND(AT214*(1-Справочники!$B$17),0))</f>
        <v/>
      </c>
      <c r="AY214" s="90" t="str">
        <f aca="false">IF(AT214="","",ROUND(AT214*(1-Справочники!$B$18),0))</f>
        <v/>
      </c>
      <c r="AZ214" s="90" t="str">
        <f aca="false">IF(AT214="","",ROUND(AT214*(1-Справочники!$B$19),0))</f>
        <v/>
      </c>
      <c r="BA214" s="81"/>
      <c r="BB214" s="81"/>
      <c r="BC214" s="81"/>
      <c r="BD214" s="81"/>
      <c r="BE214" s="91"/>
      <c r="BF214" s="81" t="s">
        <v>103</v>
      </c>
      <c r="BG214" s="89" t="n">
        <f aca="false" t="array" ref="BG214:BG214">IF(BF214="","",IFERROR(INDEX(Справочники!$B$4:$B$7,MATCH(BF214,Справочники!$A$4:$A$7,0)),""))</f>
        <v>68.5</v>
      </c>
      <c r="BH214" s="90" t="str">
        <f aca="false">IF(N(BN214)&gt;0,ROUND(SUMIF(ЗАКАЗЫ!$F$3:$F$500,$A214,ЗАКАЗЫ!$Y$3:$Y$500)/BN214,0),IF(OR(BE214="",BG214=""),"",ROUND(BE214*BG214*(1+Справочники!$B$10),0)))</f>
        <v/>
      </c>
      <c r="BI214" s="92" t="str">
        <f aca="false">IF(OR(AU214="",BH214="",AU214=0),"",(AU214-BH214)/AU214)</f>
        <v/>
      </c>
      <c r="BJ214" s="81"/>
      <c r="BK214" s="83"/>
      <c r="BL214" s="43" t="str">
        <f aca="false">IFERROR(INDEX(ЗАКАЗЫ!$N$3:$N$500,MATCH($A214,ЗАКАЗЫ!$F$3:$F$500,0)),"")</f>
        <v/>
      </c>
      <c r="BM214" s="8" t="str">
        <f aca="false">IF(BL214="","",IFERROR(VLOOKUP(BL214,'ТН ВЭД'!$A$4:$C$40,3,0),""))</f>
        <v/>
      </c>
      <c r="BN214" s="7" t="str">
        <f aca="false">IF(COUNTIF(ЗАКАЗЫ!$F$3:$F$500,$A214)=0,"",SUMIF(ЗАКАЗЫ!$F$3:$F$500,$A214,ЗАКАЗЫ!$J$3:$J$500))</f>
        <v/>
      </c>
      <c r="BO214" s="7" t="str">
        <f aca="false">IF(BN214="","",SUMIF(ЗАКАЗЫ!$F$3:$F$500,$A214,ЗАКАЗЫ!$AL$3:$AL$500))</f>
        <v/>
      </c>
      <c r="BP214" s="7" t="str">
        <f aca="false">IF(BN214="","",BN214-BO214)</f>
        <v/>
      </c>
      <c r="BQ214" s="55" t="str">
        <f aca="false">IF(BN214="","",IF(BO214&gt;=BN214,"На складе",IF(BO214&gt;0,"Частично","Ждём")))</f>
        <v/>
      </c>
      <c r="BR214" s="43"/>
      <c r="BS214" s="47" t="str">
        <f aca="false">IF(BN214="","",IF(_xlfn.MAXIFS(ЗАКАЗЫ!$AK$3:$AK$500,ЗАКАЗЫ!$F$3:$F$500,$A214)=0,"",_xlfn.MAXIFS(ЗАКАЗЫ!$AK$3:$AK$500,ЗАКАЗЫ!$F$3:$F$500,$A214)))</f>
        <v/>
      </c>
    </row>
    <row r="215" customFormat="false" ht="15.75" hidden="false" customHeight="true" outlineLevel="0" collapsed="false">
      <c r="A215" s="80" t="s">
        <v>3126</v>
      </c>
      <c r="B215" s="81"/>
      <c r="C215" s="81"/>
      <c r="D215" s="81"/>
      <c r="E215" s="83"/>
      <c r="F215" s="81"/>
      <c r="G215" s="83"/>
      <c r="H215" s="83"/>
      <c r="I215" s="84" t="str">
        <f aca="false">IF(E215="","",A215&amp;"_1.jpg")</f>
        <v/>
      </c>
      <c r="J215" s="84" t="str">
        <f aca="false">IF(E215="","",A215&amp;"_2.jpg; "&amp;A215&amp;"_3.jpg")</f>
        <v/>
      </c>
      <c r="K215" s="84" t="str">
        <f aca="false">IF(E215="","",A215&amp;"_schema.jpg")</f>
        <v/>
      </c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 t="s">
        <v>96</v>
      </c>
      <c r="W215" s="81"/>
      <c r="X215" s="81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6" t="str">
        <f aca="false">IF(SUM(Y215:AJ215)=0,"",SUM(Y215:AJ215))</f>
        <v/>
      </c>
      <c r="AL215" s="84" t="str">
        <f aca="false">MID(IF(N(Y215)&gt;0,", "&amp;Y$2,"")&amp;IF(N(Z215)&gt;0,", "&amp;Z$2,"")&amp;IF(N(AA215)&gt;0,", "&amp;AA$2,"")&amp;IF(N(AB215)&gt;0,", "&amp;AB$2,"")&amp;IF(N(AC215)&gt;0,", "&amp;AC$2,"")&amp;IF(N(AD215)&gt;0,", "&amp;AD$2,"")&amp;IF(N(AE215)&gt;0,", "&amp;AE$2,"")&amp;IF(N(AF215)&gt;0,", "&amp;AF$2,"")&amp;IF(N(AG215)&gt;0,", "&amp;AG$2,"")&amp;IF(N(AH215)&gt;0,", "&amp;AH$2,"")&amp;IF(N(AI215)&gt;0,", "&amp;AI$2,"")&amp;IF(N(AJ215)&gt;0,", "&amp;AJ$2,""),3,999)</f>
        <v/>
      </c>
      <c r="AM215" s="87" t="str">
        <f aca="false">IF(E215="","",MID(IF(N(Y215)&gt;0,", "&amp;A215&amp;"-"&amp;Y$2,"")&amp;IF(N(Z215)&gt;0,", "&amp;A215&amp;"-"&amp;Z$2,"")&amp;IF(N(AA215)&gt;0,", "&amp;A215&amp;"-"&amp;AA$2,"")&amp;IF(N(AB215)&gt;0,", "&amp;A215&amp;"-"&amp;AB$2,"")&amp;IF(N(AC215)&gt;0,", "&amp;A215&amp;"-"&amp;AC$2,"")&amp;IF(N(AD215)&gt;0,", "&amp;A215&amp;"-"&amp;AD$2,"")&amp;IF(N(AE215)&gt;0,", "&amp;A215&amp;"-"&amp;AE$2,"")&amp;IF(N(AF215)&gt;0,", "&amp;A215&amp;"-"&amp;AF$2,"")&amp;IF(N(AG215)&gt;0,", "&amp;A215&amp;"-"&amp;AG$2,"")&amp;IF(N(AH215)&gt;0,", "&amp;A215&amp;"-"&amp;AH$2,"")&amp;IF(N(AI215)&gt;0,", "&amp;A215&amp;"-"&amp;AI$2,"")&amp;IF(N(AJ215)&gt;0,", "&amp;A215&amp;"-"&amp;AJ$2,""),3,999))</f>
        <v/>
      </c>
      <c r="AN215" s="81"/>
      <c r="AO215" s="88"/>
      <c r="AP215" s="89" t="str">
        <f aca="false">IF(AO215="","",ROUND(AO215/(1+Справочники!$B$13),2))</f>
        <v/>
      </c>
      <c r="AQ215" s="90" t="str">
        <f aca="false" t="array" ref="AQ215:AQ215">IF(AP215="","",AP215*INDEX(Справочники!$B$4:$B$7,MATCH("RUB",Справочники!$A$4:$A$7,0)))</f>
        <v/>
      </c>
      <c r="AR215" s="90" t="str">
        <f aca="false">IF(AQ215="","",ROUND(AQ215*(1+Справочники!$B$12),0))</f>
        <v/>
      </c>
      <c r="AS215" s="90" t="str">
        <f aca="false">IF(AR215="","",ROUND(AR215*(1-Справочники!$B$11),0))</f>
        <v/>
      </c>
      <c r="AT215" s="88"/>
      <c r="AU215" s="90" t="str">
        <f aca="false">IF(AT215="","",ROUND(AT215/(1+Справочники!$B$12),0))</f>
        <v/>
      </c>
      <c r="AV215" s="90" t="str">
        <f aca="false">IF(AT215="","",ROUND(AT215*(1-Справочники!$B$15),0))</f>
        <v/>
      </c>
      <c r="AW215" s="90" t="str">
        <f aca="false">IF(AT215="","",ROUND(AT215*(1-Справочники!$B$16),0))</f>
        <v/>
      </c>
      <c r="AX215" s="90" t="str">
        <f aca="false">IF(AT215="","",ROUND(AT215*(1-Справочники!$B$17),0))</f>
        <v/>
      </c>
      <c r="AY215" s="90" t="str">
        <f aca="false">IF(AT215="","",ROUND(AT215*(1-Справочники!$B$18),0))</f>
        <v/>
      </c>
      <c r="AZ215" s="90" t="str">
        <f aca="false">IF(AT215="","",ROUND(AT215*(1-Справочники!$B$19),0))</f>
        <v/>
      </c>
      <c r="BA215" s="81"/>
      <c r="BB215" s="81"/>
      <c r="BC215" s="81"/>
      <c r="BD215" s="81"/>
      <c r="BE215" s="91"/>
      <c r="BF215" s="81" t="s">
        <v>103</v>
      </c>
      <c r="BG215" s="89" t="n">
        <f aca="false" t="array" ref="BG215:BG215">IF(BF215="","",IFERROR(INDEX(Справочники!$B$4:$B$7,MATCH(BF215,Справочники!$A$4:$A$7,0)),""))</f>
        <v>68.5</v>
      </c>
      <c r="BH215" s="90" t="str">
        <f aca="false">IF(N(BN215)&gt;0,ROUND(SUMIF(ЗАКАЗЫ!$F$3:$F$500,$A215,ЗАКАЗЫ!$Y$3:$Y$500)/BN215,0),IF(OR(BE215="",BG215=""),"",ROUND(BE215*BG215*(1+Справочники!$B$10),0)))</f>
        <v/>
      </c>
      <c r="BI215" s="92" t="str">
        <f aca="false">IF(OR(AU215="",BH215="",AU215=0),"",(AU215-BH215)/AU215)</f>
        <v/>
      </c>
      <c r="BJ215" s="81"/>
      <c r="BK215" s="83"/>
      <c r="BL215" s="43" t="str">
        <f aca="false">IFERROR(INDEX(ЗАКАЗЫ!$N$3:$N$500,MATCH($A215,ЗАКАЗЫ!$F$3:$F$500,0)),"")</f>
        <v/>
      </c>
      <c r="BM215" s="8" t="str">
        <f aca="false">IF(BL215="","",IFERROR(VLOOKUP(BL215,'ТН ВЭД'!$A$4:$C$40,3,0),""))</f>
        <v/>
      </c>
      <c r="BN215" s="7" t="str">
        <f aca="false">IF(COUNTIF(ЗАКАЗЫ!$F$3:$F$500,$A215)=0,"",SUMIF(ЗАКАЗЫ!$F$3:$F$500,$A215,ЗАКАЗЫ!$J$3:$J$500))</f>
        <v/>
      </c>
      <c r="BO215" s="7" t="str">
        <f aca="false">IF(BN215="","",SUMIF(ЗАКАЗЫ!$F$3:$F$500,$A215,ЗАКАЗЫ!$AL$3:$AL$500))</f>
        <v/>
      </c>
      <c r="BP215" s="7" t="str">
        <f aca="false">IF(BN215="","",BN215-BO215)</f>
        <v/>
      </c>
      <c r="BQ215" s="55" t="str">
        <f aca="false">IF(BN215="","",IF(BO215&gt;=BN215,"На складе",IF(BO215&gt;0,"Частично","Ждём")))</f>
        <v/>
      </c>
      <c r="BR215" s="43"/>
      <c r="BS215" s="47" t="str">
        <f aca="false">IF(BN215="","",IF(_xlfn.MAXIFS(ЗАКАЗЫ!$AK$3:$AK$500,ЗАКАЗЫ!$F$3:$F$500,$A215)=0,"",_xlfn.MAXIFS(ЗАКАЗЫ!$AK$3:$AK$500,ЗАКАЗЫ!$F$3:$F$500,$A215)))</f>
        <v/>
      </c>
    </row>
    <row r="216" customFormat="false" ht="15.75" hidden="false" customHeight="true" outlineLevel="0" collapsed="false">
      <c r="A216" s="80" t="s">
        <v>3127</v>
      </c>
      <c r="B216" s="81"/>
      <c r="C216" s="81"/>
      <c r="D216" s="81"/>
      <c r="E216" s="83"/>
      <c r="F216" s="81"/>
      <c r="G216" s="83"/>
      <c r="H216" s="83"/>
      <c r="I216" s="84" t="str">
        <f aca="false">IF(E216="","",A216&amp;"_1.jpg")</f>
        <v/>
      </c>
      <c r="J216" s="84" t="str">
        <f aca="false">IF(E216="","",A216&amp;"_2.jpg; "&amp;A216&amp;"_3.jpg")</f>
        <v/>
      </c>
      <c r="K216" s="84" t="str">
        <f aca="false">IF(E216="","",A216&amp;"_schema.jpg")</f>
        <v/>
      </c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 t="s">
        <v>96</v>
      </c>
      <c r="W216" s="81"/>
      <c r="X216" s="81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6" t="str">
        <f aca="false">IF(SUM(Y216:AJ216)=0,"",SUM(Y216:AJ216))</f>
        <v/>
      </c>
      <c r="AL216" s="84" t="str">
        <f aca="false">MID(IF(N(Y216)&gt;0,", "&amp;Y$2,"")&amp;IF(N(Z216)&gt;0,", "&amp;Z$2,"")&amp;IF(N(AA216)&gt;0,", "&amp;AA$2,"")&amp;IF(N(AB216)&gt;0,", "&amp;AB$2,"")&amp;IF(N(AC216)&gt;0,", "&amp;AC$2,"")&amp;IF(N(AD216)&gt;0,", "&amp;AD$2,"")&amp;IF(N(AE216)&gt;0,", "&amp;AE$2,"")&amp;IF(N(AF216)&gt;0,", "&amp;AF$2,"")&amp;IF(N(AG216)&gt;0,", "&amp;AG$2,"")&amp;IF(N(AH216)&gt;0,", "&amp;AH$2,"")&amp;IF(N(AI216)&gt;0,", "&amp;AI$2,"")&amp;IF(N(AJ216)&gt;0,", "&amp;AJ$2,""),3,999)</f>
        <v/>
      </c>
      <c r="AM216" s="87" t="str">
        <f aca="false">IF(E216="","",MID(IF(N(Y216)&gt;0,", "&amp;A216&amp;"-"&amp;Y$2,"")&amp;IF(N(Z216)&gt;0,", "&amp;A216&amp;"-"&amp;Z$2,"")&amp;IF(N(AA216)&gt;0,", "&amp;A216&amp;"-"&amp;AA$2,"")&amp;IF(N(AB216)&gt;0,", "&amp;A216&amp;"-"&amp;AB$2,"")&amp;IF(N(AC216)&gt;0,", "&amp;A216&amp;"-"&amp;AC$2,"")&amp;IF(N(AD216)&gt;0,", "&amp;A216&amp;"-"&amp;AD$2,"")&amp;IF(N(AE216)&gt;0,", "&amp;A216&amp;"-"&amp;AE$2,"")&amp;IF(N(AF216)&gt;0,", "&amp;A216&amp;"-"&amp;AF$2,"")&amp;IF(N(AG216)&gt;0,", "&amp;A216&amp;"-"&amp;AG$2,"")&amp;IF(N(AH216)&gt;0,", "&amp;A216&amp;"-"&amp;AH$2,"")&amp;IF(N(AI216)&gt;0,", "&amp;A216&amp;"-"&amp;AI$2,"")&amp;IF(N(AJ216)&gt;0,", "&amp;A216&amp;"-"&amp;AJ$2,""),3,999))</f>
        <v/>
      </c>
      <c r="AN216" s="81"/>
      <c r="AO216" s="88"/>
      <c r="AP216" s="89" t="str">
        <f aca="false">IF(AO216="","",ROUND(AO216/(1+Справочники!$B$13),2))</f>
        <v/>
      </c>
      <c r="AQ216" s="90" t="str">
        <f aca="false" t="array" ref="AQ216:AQ216">IF(AP216="","",AP216*INDEX(Справочники!$B$4:$B$7,MATCH("RUB",Справочники!$A$4:$A$7,0)))</f>
        <v/>
      </c>
      <c r="AR216" s="90" t="str">
        <f aca="false">IF(AQ216="","",ROUND(AQ216*(1+Справочники!$B$12),0))</f>
        <v/>
      </c>
      <c r="AS216" s="90" t="str">
        <f aca="false">IF(AR216="","",ROUND(AR216*(1-Справочники!$B$11),0))</f>
        <v/>
      </c>
      <c r="AT216" s="88"/>
      <c r="AU216" s="90" t="str">
        <f aca="false">IF(AT216="","",ROUND(AT216/(1+Справочники!$B$12),0))</f>
        <v/>
      </c>
      <c r="AV216" s="90" t="str">
        <f aca="false">IF(AT216="","",ROUND(AT216*(1-Справочники!$B$15),0))</f>
        <v/>
      </c>
      <c r="AW216" s="90" t="str">
        <f aca="false">IF(AT216="","",ROUND(AT216*(1-Справочники!$B$16),0))</f>
        <v/>
      </c>
      <c r="AX216" s="90" t="str">
        <f aca="false">IF(AT216="","",ROUND(AT216*(1-Справочники!$B$17),0))</f>
        <v/>
      </c>
      <c r="AY216" s="90" t="str">
        <f aca="false">IF(AT216="","",ROUND(AT216*(1-Справочники!$B$18),0))</f>
        <v/>
      </c>
      <c r="AZ216" s="90" t="str">
        <f aca="false">IF(AT216="","",ROUND(AT216*(1-Справочники!$B$19),0))</f>
        <v/>
      </c>
      <c r="BA216" s="81"/>
      <c r="BB216" s="81"/>
      <c r="BC216" s="81"/>
      <c r="BD216" s="81"/>
      <c r="BE216" s="91"/>
      <c r="BF216" s="81" t="s">
        <v>103</v>
      </c>
      <c r="BG216" s="89" t="n">
        <f aca="false" t="array" ref="BG216:BG216">IF(BF216="","",IFERROR(INDEX(Справочники!$B$4:$B$7,MATCH(BF216,Справочники!$A$4:$A$7,0)),""))</f>
        <v>68.5</v>
      </c>
      <c r="BH216" s="90" t="str">
        <f aca="false">IF(N(BN216)&gt;0,ROUND(SUMIF(ЗАКАЗЫ!$F$3:$F$500,$A216,ЗАКАЗЫ!$Y$3:$Y$500)/BN216,0),IF(OR(BE216="",BG216=""),"",ROUND(BE216*BG216*(1+Справочники!$B$10),0)))</f>
        <v/>
      </c>
      <c r="BI216" s="92" t="str">
        <f aca="false">IF(OR(AU216="",BH216="",AU216=0),"",(AU216-BH216)/AU216)</f>
        <v/>
      </c>
      <c r="BJ216" s="81"/>
      <c r="BK216" s="83"/>
      <c r="BL216" s="43" t="str">
        <f aca="false">IFERROR(INDEX(ЗАКАЗЫ!$N$3:$N$500,MATCH($A216,ЗАКАЗЫ!$F$3:$F$500,0)),"")</f>
        <v/>
      </c>
      <c r="BM216" s="8" t="str">
        <f aca="false">IF(BL216="","",IFERROR(VLOOKUP(BL216,'ТН ВЭД'!$A$4:$C$40,3,0),""))</f>
        <v/>
      </c>
      <c r="BN216" s="7" t="str">
        <f aca="false">IF(COUNTIF(ЗАКАЗЫ!$F$3:$F$500,$A216)=0,"",SUMIF(ЗАКАЗЫ!$F$3:$F$500,$A216,ЗАКАЗЫ!$J$3:$J$500))</f>
        <v/>
      </c>
      <c r="BO216" s="7" t="str">
        <f aca="false">IF(BN216="","",SUMIF(ЗАКАЗЫ!$F$3:$F$500,$A216,ЗАКАЗЫ!$AL$3:$AL$500))</f>
        <v/>
      </c>
      <c r="BP216" s="7" t="str">
        <f aca="false">IF(BN216="","",BN216-BO216)</f>
        <v/>
      </c>
      <c r="BQ216" s="55" t="str">
        <f aca="false">IF(BN216="","",IF(BO216&gt;=BN216,"На складе",IF(BO216&gt;0,"Частично","Ждём")))</f>
        <v/>
      </c>
      <c r="BR216" s="43"/>
      <c r="BS216" s="47" t="str">
        <f aca="false">IF(BN216="","",IF(_xlfn.MAXIFS(ЗАКАЗЫ!$AK$3:$AK$500,ЗАКАЗЫ!$F$3:$F$500,$A216)=0,"",_xlfn.MAXIFS(ЗАКАЗЫ!$AK$3:$AK$500,ЗАКАЗЫ!$F$3:$F$500,$A216)))</f>
        <v/>
      </c>
    </row>
    <row r="217" customFormat="false" ht="15.75" hidden="false" customHeight="true" outlineLevel="0" collapsed="false">
      <c r="A217" s="80" t="s">
        <v>3128</v>
      </c>
      <c r="B217" s="81"/>
      <c r="C217" s="81"/>
      <c r="D217" s="81"/>
      <c r="E217" s="83"/>
      <c r="F217" s="81"/>
      <c r="G217" s="83"/>
      <c r="H217" s="83"/>
      <c r="I217" s="84" t="str">
        <f aca="false">IF(E217="","",A217&amp;"_1.jpg")</f>
        <v/>
      </c>
      <c r="J217" s="84" t="str">
        <f aca="false">IF(E217="","",A217&amp;"_2.jpg; "&amp;A217&amp;"_3.jpg")</f>
        <v/>
      </c>
      <c r="K217" s="84" t="str">
        <f aca="false">IF(E217="","",A217&amp;"_schema.jpg")</f>
        <v/>
      </c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 t="s">
        <v>96</v>
      </c>
      <c r="W217" s="81"/>
      <c r="X217" s="81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6" t="str">
        <f aca="false">IF(SUM(Y217:AJ217)=0,"",SUM(Y217:AJ217))</f>
        <v/>
      </c>
      <c r="AL217" s="84" t="str">
        <f aca="false">MID(IF(N(Y217)&gt;0,", "&amp;Y$2,"")&amp;IF(N(Z217)&gt;0,", "&amp;Z$2,"")&amp;IF(N(AA217)&gt;0,", "&amp;AA$2,"")&amp;IF(N(AB217)&gt;0,", "&amp;AB$2,"")&amp;IF(N(AC217)&gt;0,", "&amp;AC$2,"")&amp;IF(N(AD217)&gt;0,", "&amp;AD$2,"")&amp;IF(N(AE217)&gt;0,", "&amp;AE$2,"")&amp;IF(N(AF217)&gt;0,", "&amp;AF$2,"")&amp;IF(N(AG217)&gt;0,", "&amp;AG$2,"")&amp;IF(N(AH217)&gt;0,", "&amp;AH$2,"")&amp;IF(N(AI217)&gt;0,", "&amp;AI$2,"")&amp;IF(N(AJ217)&gt;0,", "&amp;AJ$2,""),3,999)</f>
        <v/>
      </c>
      <c r="AM217" s="87" t="str">
        <f aca="false">IF(E217="","",MID(IF(N(Y217)&gt;0,", "&amp;A217&amp;"-"&amp;Y$2,"")&amp;IF(N(Z217)&gt;0,", "&amp;A217&amp;"-"&amp;Z$2,"")&amp;IF(N(AA217)&gt;0,", "&amp;A217&amp;"-"&amp;AA$2,"")&amp;IF(N(AB217)&gt;0,", "&amp;A217&amp;"-"&amp;AB$2,"")&amp;IF(N(AC217)&gt;0,", "&amp;A217&amp;"-"&amp;AC$2,"")&amp;IF(N(AD217)&gt;0,", "&amp;A217&amp;"-"&amp;AD$2,"")&amp;IF(N(AE217)&gt;0,", "&amp;A217&amp;"-"&amp;AE$2,"")&amp;IF(N(AF217)&gt;0,", "&amp;A217&amp;"-"&amp;AF$2,"")&amp;IF(N(AG217)&gt;0,", "&amp;A217&amp;"-"&amp;AG$2,"")&amp;IF(N(AH217)&gt;0,", "&amp;A217&amp;"-"&amp;AH$2,"")&amp;IF(N(AI217)&gt;0,", "&amp;A217&amp;"-"&amp;AI$2,"")&amp;IF(N(AJ217)&gt;0,", "&amp;A217&amp;"-"&amp;AJ$2,""),3,999))</f>
        <v/>
      </c>
      <c r="AN217" s="81"/>
      <c r="AO217" s="88"/>
      <c r="AP217" s="89" t="str">
        <f aca="false">IF(AO217="","",ROUND(AO217/(1+Справочники!$B$13),2))</f>
        <v/>
      </c>
      <c r="AQ217" s="90" t="str">
        <f aca="false" t="array" ref="AQ217:AQ217">IF(AP217="","",AP217*INDEX(Справочники!$B$4:$B$7,MATCH("RUB",Справочники!$A$4:$A$7,0)))</f>
        <v/>
      </c>
      <c r="AR217" s="90" t="str">
        <f aca="false">IF(AQ217="","",ROUND(AQ217*(1+Справочники!$B$12),0))</f>
        <v/>
      </c>
      <c r="AS217" s="90" t="str">
        <f aca="false">IF(AR217="","",ROUND(AR217*(1-Справочники!$B$11),0))</f>
        <v/>
      </c>
      <c r="AT217" s="88"/>
      <c r="AU217" s="90" t="str">
        <f aca="false">IF(AT217="","",ROUND(AT217/(1+Справочники!$B$12),0))</f>
        <v/>
      </c>
      <c r="AV217" s="90" t="str">
        <f aca="false">IF(AT217="","",ROUND(AT217*(1-Справочники!$B$15),0))</f>
        <v/>
      </c>
      <c r="AW217" s="90" t="str">
        <f aca="false">IF(AT217="","",ROUND(AT217*(1-Справочники!$B$16),0))</f>
        <v/>
      </c>
      <c r="AX217" s="90" t="str">
        <f aca="false">IF(AT217="","",ROUND(AT217*(1-Справочники!$B$17),0))</f>
        <v/>
      </c>
      <c r="AY217" s="90" t="str">
        <f aca="false">IF(AT217="","",ROUND(AT217*(1-Справочники!$B$18),0))</f>
        <v/>
      </c>
      <c r="AZ217" s="90" t="str">
        <f aca="false">IF(AT217="","",ROUND(AT217*(1-Справочники!$B$19),0))</f>
        <v/>
      </c>
      <c r="BA217" s="81"/>
      <c r="BB217" s="81"/>
      <c r="BC217" s="81"/>
      <c r="BD217" s="81"/>
      <c r="BE217" s="91"/>
      <c r="BF217" s="81" t="s">
        <v>103</v>
      </c>
      <c r="BG217" s="89" t="n">
        <f aca="false" t="array" ref="BG217:BG217">IF(BF217="","",IFERROR(INDEX(Справочники!$B$4:$B$7,MATCH(BF217,Справочники!$A$4:$A$7,0)),""))</f>
        <v>68.5</v>
      </c>
      <c r="BH217" s="90" t="str">
        <f aca="false">IF(N(BN217)&gt;0,ROUND(SUMIF(ЗАКАЗЫ!$F$3:$F$500,$A217,ЗАКАЗЫ!$Y$3:$Y$500)/BN217,0),IF(OR(BE217="",BG217=""),"",ROUND(BE217*BG217*(1+Справочники!$B$10),0)))</f>
        <v/>
      </c>
      <c r="BI217" s="92" t="str">
        <f aca="false">IF(OR(AU217="",BH217="",AU217=0),"",(AU217-BH217)/AU217)</f>
        <v/>
      </c>
      <c r="BJ217" s="81"/>
      <c r="BK217" s="83"/>
      <c r="BL217" s="43" t="str">
        <f aca="false">IFERROR(INDEX(ЗАКАЗЫ!$N$3:$N$500,MATCH($A217,ЗАКАЗЫ!$F$3:$F$500,0)),"")</f>
        <v/>
      </c>
      <c r="BM217" s="8" t="str">
        <f aca="false">IF(BL217="","",IFERROR(VLOOKUP(BL217,'ТН ВЭД'!$A$4:$C$40,3,0),""))</f>
        <v/>
      </c>
      <c r="BN217" s="7" t="str">
        <f aca="false">IF(COUNTIF(ЗАКАЗЫ!$F$3:$F$500,$A217)=0,"",SUMIF(ЗАКАЗЫ!$F$3:$F$500,$A217,ЗАКАЗЫ!$J$3:$J$500))</f>
        <v/>
      </c>
      <c r="BO217" s="7" t="str">
        <f aca="false">IF(BN217="","",SUMIF(ЗАКАЗЫ!$F$3:$F$500,$A217,ЗАКАЗЫ!$AL$3:$AL$500))</f>
        <v/>
      </c>
      <c r="BP217" s="7" t="str">
        <f aca="false">IF(BN217="","",BN217-BO217)</f>
        <v/>
      </c>
      <c r="BQ217" s="55" t="str">
        <f aca="false">IF(BN217="","",IF(BO217&gt;=BN217,"На складе",IF(BO217&gt;0,"Частично","Ждём")))</f>
        <v/>
      </c>
      <c r="BR217" s="43"/>
      <c r="BS217" s="47" t="str">
        <f aca="false">IF(BN217="","",IF(_xlfn.MAXIFS(ЗАКАЗЫ!$AK$3:$AK$500,ЗАКАЗЫ!$F$3:$F$500,$A217)=0,"",_xlfn.MAXIFS(ЗАКАЗЫ!$AK$3:$AK$500,ЗАКАЗЫ!$F$3:$F$500,$A217)))</f>
        <v/>
      </c>
    </row>
    <row r="218" customFormat="false" ht="15.75" hidden="false" customHeight="true" outlineLevel="0" collapsed="false">
      <c r="A218" s="80" t="s">
        <v>3129</v>
      </c>
      <c r="B218" s="81"/>
      <c r="C218" s="81"/>
      <c r="D218" s="81"/>
      <c r="E218" s="83"/>
      <c r="F218" s="81"/>
      <c r="G218" s="83"/>
      <c r="H218" s="83"/>
      <c r="I218" s="84" t="str">
        <f aca="false">IF(E218="","",A218&amp;"_1.jpg")</f>
        <v/>
      </c>
      <c r="J218" s="84" t="str">
        <f aca="false">IF(E218="","",A218&amp;"_2.jpg; "&amp;A218&amp;"_3.jpg")</f>
        <v/>
      </c>
      <c r="K218" s="84" t="str">
        <f aca="false">IF(E218="","",A218&amp;"_schema.jpg")</f>
        <v/>
      </c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 t="s">
        <v>96</v>
      </c>
      <c r="W218" s="81"/>
      <c r="X218" s="81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6" t="str">
        <f aca="false">IF(SUM(Y218:AJ218)=0,"",SUM(Y218:AJ218))</f>
        <v/>
      </c>
      <c r="AL218" s="84" t="str">
        <f aca="false">MID(IF(N(Y218)&gt;0,", "&amp;Y$2,"")&amp;IF(N(Z218)&gt;0,", "&amp;Z$2,"")&amp;IF(N(AA218)&gt;0,", "&amp;AA$2,"")&amp;IF(N(AB218)&gt;0,", "&amp;AB$2,"")&amp;IF(N(AC218)&gt;0,", "&amp;AC$2,"")&amp;IF(N(AD218)&gt;0,", "&amp;AD$2,"")&amp;IF(N(AE218)&gt;0,", "&amp;AE$2,"")&amp;IF(N(AF218)&gt;0,", "&amp;AF$2,"")&amp;IF(N(AG218)&gt;0,", "&amp;AG$2,"")&amp;IF(N(AH218)&gt;0,", "&amp;AH$2,"")&amp;IF(N(AI218)&gt;0,", "&amp;AI$2,"")&amp;IF(N(AJ218)&gt;0,", "&amp;AJ$2,""),3,999)</f>
        <v/>
      </c>
      <c r="AM218" s="87" t="str">
        <f aca="false">IF(E218="","",MID(IF(N(Y218)&gt;0,", "&amp;A218&amp;"-"&amp;Y$2,"")&amp;IF(N(Z218)&gt;0,", "&amp;A218&amp;"-"&amp;Z$2,"")&amp;IF(N(AA218)&gt;0,", "&amp;A218&amp;"-"&amp;AA$2,"")&amp;IF(N(AB218)&gt;0,", "&amp;A218&amp;"-"&amp;AB$2,"")&amp;IF(N(AC218)&gt;0,", "&amp;A218&amp;"-"&amp;AC$2,"")&amp;IF(N(AD218)&gt;0,", "&amp;A218&amp;"-"&amp;AD$2,"")&amp;IF(N(AE218)&gt;0,", "&amp;A218&amp;"-"&amp;AE$2,"")&amp;IF(N(AF218)&gt;0,", "&amp;A218&amp;"-"&amp;AF$2,"")&amp;IF(N(AG218)&gt;0,", "&amp;A218&amp;"-"&amp;AG$2,"")&amp;IF(N(AH218)&gt;0,", "&amp;A218&amp;"-"&amp;AH$2,"")&amp;IF(N(AI218)&gt;0,", "&amp;A218&amp;"-"&amp;AI$2,"")&amp;IF(N(AJ218)&gt;0,", "&amp;A218&amp;"-"&amp;AJ$2,""),3,999))</f>
        <v/>
      </c>
      <c r="AN218" s="81"/>
      <c r="AO218" s="88"/>
      <c r="AP218" s="89" t="str">
        <f aca="false">IF(AO218="","",ROUND(AO218/(1+Справочники!$B$13),2))</f>
        <v/>
      </c>
      <c r="AQ218" s="90" t="str">
        <f aca="false" t="array" ref="AQ218:AQ218">IF(AP218="","",AP218*INDEX(Справочники!$B$4:$B$7,MATCH("RUB",Справочники!$A$4:$A$7,0)))</f>
        <v/>
      </c>
      <c r="AR218" s="90" t="str">
        <f aca="false">IF(AQ218="","",ROUND(AQ218*(1+Справочники!$B$12),0))</f>
        <v/>
      </c>
      <c r="AS218" s="90" t="str">
        <f aca="false">IF(AR218="","",ROUND(AR218*(1-Справочники!$B$11),0))</f>
        <v/>
      </c>
      <c r="AT218" s="88"/>
      <c r="AU218" s="90" t="str">
        <f aca="false">IF(AT218="","",ROUND(AT218/(1+Справочники!$B$12),0))</f>
        <v/>
      </c>
      <c r="AV218" s="90" t="str">
        <f aca="false">IF(AT218="","",ROUND(AT218*(1-Справочники!$B$15),0))</f>
        <v/>
      </c>
      <c r="AW218" s="90" t="str">
        <f aca="false">IF(AT218="","",ROUND(AT218*(1-Справочники!$B$16),0))</f>
        <v/>
      </c>
      <c r="AX218" s="90" t="str">
        <f aca="false">IF(AT218="","",ROUND(AT218*(1-Справочники!$B$17),0))</f>
        <v/>
      </c>
      <c r="AY218" s="90" t="str">
        <f aca="false">IF(AT218="","",ROUND(AT218*(1-Справочники!$B$18),0))</f>
        <v/>
      </c>
      <c r="AZ218" s="90" t="str">
        <f aca="false">IF(AT218="","",ROUND(AT218*(1-Справочники!$B$19),0))</f>
        <v/>
      </c>
      <c r="BA218" s="81"/>
      <c r="BB218" s="81"/>
      <c r="BC218" s="81"/>
      <c r="BD218" s="81"/>
      <c r="BE218" s="91"/>
      <c r="BF218" s="81" t="s">
        <v>103</v>
      </c>
      <c r="BG218" s="89" t="n">
        <f aca="false" t="array" ref="BG218:BG218">IF(BF218="","",IFERROR(INDEX(Справочники!$B$4:$B$7,MATCH(BF218,Справочники!$A$4:$A$7,0)),""))</f>
        <v>68.5</v>
      </c>
      <c r="BH218" s="90" t="str">
        <f aca="false">IF(N(BN218)&gt;0,ROUND(SUMIF(ЗАКАЗЫ!$F$3:$F$500,$A218,ЗАКАЗЫ!$Y$3:$Y$500)/BN218,0),IF(OR(BE218="",BG218=""),"",ROUND(BE218*BG218*(1+Справочники!$B$10),0)))</f>
        <v/>
      </c>
      <c r="BI218" s="92" t="str">
        <f aca="false">IF(OR(AU218="",BH218="",AU218=0),"",(AU218-BH218)/AU218)</f>
        <v/>
      </c>
      <c r="BJ218" s="81"/>
      <c r="BK218" s="83"/>
      <c r="BL218" s="43" t="str">
        <f aca="false">IFERROR(INDEX(ЗАКАЗЫ!$N$3:$N$500,MATCH($A218,ЗАКАЗЫ!$F$3:$F$500,0)),"")</f>
        <v/>
      </c>
      <c r="BM218" s="8" t="str">
        <f aca="false">IF(BL218="","",IFERROR(VLOOKUP(BL218,'ТН ВЭД'!$A$4:$C$40,3,0),""))</f>
        <v/>
      </c>
      <c r="BN218" s="7" t="str">
        <f aca="false">IF(COUNTIF(ЗАКАЗЫ!$F$3:$F$500,$A218)=0,"",SUMIF(ЗАКАЗЫ!$F$3:$F$500,$A218,ЗАКАЗЫ!$J$3:$J$500))</f>
        <v/>
      </c>
      <c r="BO218" s="7" t="str">
        <f aca="false">IF(BN218="","",SUMIF(ЗАКАЗЫ!$F$3:$F$500,$A218,ЗАКАЗЫ!$AL$3:$AL$500))</f>
        <v/>
      </c>
      <c r="BP218" s="7" t="str">
        <f aca="false">IF(BN218="","",BN218-BO218)</f>
        <v/>
      </c>
      <c r="BQ218" s="55" t="str">
        <f aca="false">IF(BN218="","",IF(BO218&gt;=BN218,"На складе",IF(BO218&gt;0,"Частично","Ждём")))</f>
        <v/>
      </c>
      <c r="BR218" s="43"/>
      <c r="BS218" s="47" t="str">
        <f aca="false">IF(BN218="","",IF(_xlfn.MAXIFS(ЗАКАЗЫ!$AK$3:$AK$500,ЗАКАЗЫ!$F$3:$F$500,$A218)=0,"",_xlfn.MAXIFS(ЗАКАЗЫ!$AK$3:$AK$500,ЗАКАЗЫ!$F$3:$F$500,$A218)))</f>
        <v/>
      </c>
    </row>
    <row r="219" customFormat="false" ht="15.75" hidden="false" customHeight="true" outlineLevel="0" collapsed="false">
      <c r="A219" s="80" t="s">
        <v>3130</v>
      </c>
      <c r="B219" s="81"/>
      <c r="C219" s="81"/>
      <c r="D219" s="81"/>
      <c r="E219" s="83"/>
      <c r="F219" s="81"/>
      <c r="G219" s="83"/>
      <c r="H219" s="83"/>
      <c r="I219" s="84" t="str">
        <f aca="false">IF(E219="","",A219&amp;"_1.jpg")</f>
        <v/>
      </c>
      <c r="J219" s="84" t="str">
        <f aca="false">IF(E219="","",A219&amp;"_2.jpg; "&amp;A219&amp;"_3.jpg")</f>
        <v/>
      </c>
      <c r="K219" s="84" t="str">
        <f aca="false">IF(E219="","",A219&amp;"_schema.jpg")</f>
        <v/>
      </c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 t="s">
        <v>96</v>
      </c>
      <c r="W219" s="81"/>
      <c r="X219" s="81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6" t="str">
        <f aca="false">IF(SUM(Y219:AJ219)=0,"",SUM(Y219:AJ219))</f>
        <v/>
      </c>
      <c r="AL219" s="84" t="str">
        <f aca="false">MID(IF(N(Y219)&gt;0,", "&amp;Y$2,"")&amp;IF(N(Z219)&gt;0,", "&amp;Z$2,"")&amp;IF(N(AA219)&gt;0,", "&amp;AA$2,"")&amp;IF(N(AB219)&gt;0,", "&amp;AB$2,"")&amp;IF(N(AC219)&gt;0,", "&amp;AC$2,"")&amp;IF(N(AD219)&gt;0,", "&amp;AD$2,"")&amp;IF(N(AE219)&gt;0,", "&amp;AE$2,"")&amp;IF(N(AF219)&gt;0,", "&amp;AF$2,"")&amp;IF(N(AG219)&gt;0,", "&amp;AG$2,"")&amp;IF(N(AH219)&gt;0,", "&amp;AH$2,"")&amp;IF(N(AI219)&gt;0,", "&amp;AI$2,"")&amp;IF(N(AJ219)&gt;0,", "&amp;AJ$2,""),3,999)</f>
        <v/>
      </c>
      <c r="AM219" s="87" t="str">
        <f aca="false">IF(E219="","",MID(IF(N(Y219)&gt;0,", "&amp;A219&amp;"-"&amp;Y$2,"")&amp;IF(N(Z219)&gt;0,", "&amp;A219&amp;"-"&amp;Z$2,"")&amp;IF(N(AA219)&gt;0,", "&amp;A219&amp;"-"&amp;AA$2,"")&amp;IF(N(AB219)&gt;0,", "&amp;A219&amp;"-"&amp;AB$2,"")&amp;IF(N(AC219)&gt;0,", "&amp;A219&amp;"-"&amp;AC$2,"")&amp;IF(N(AD219)&gt;0,", "&amp;A219&amp;"-"&amp;AD$2,"")&amp;IF(N(AE219)&gt;0,", "&amp;A219&amp;"-"&amp;AE$2,"")&amp;IF(N(AF219)&gt;0,", "&amp;A219&amp;"-"&amp;AF$2,"")&amp;IF(N(AG219)&gt;0,", "&amp;A219&amp;"-"&amp;AG$2,"")&amp;IF(N(AH219)&gt;0,", "&amp;A219&amp;"-"&amp;AH$2,"")&amp;IF(N(AI219)&gt;0,", "&amp;A219&amp;"-"&amp;AI$2,"")&amp;IF(N(AJ219)&gt;0,", "&amp;A219&amp;"-"&amp;AJ$2,""),3,999))</f>
        <v/>
      </c>
      <c r="AN219" s="81"/>
      <c r="AO219" s="88"/>
      <c r="AP219" s="89" t="str">
        <f aca="false">IF(AO219="","",ROUND(AO219/(1+Справочники!$B$13),2))</f>
        <v/>
      </c>
      <c r="AQ219" s="90" t="str">
        <f aca="false" t="array" ref="AQ219:AQ219">IF(AP219="","",AP219*INDEX(Справочники!$B$4:$B$7,MATCH("RUB",Справочники!$A$4:$A$7,0)))</f>
        <v/>
      </c>
      <c r="AR219" s="90" t="str">
        <f aca="false">IF(AQ219="","",ROUND(AQ219*(1+Справочники!$B$12),0))</f>
        <v/>
      </c>
      <c r="AS219" s="90" t="str">
        <f aca="false">IF(AR219="","",ROUND(AR219*(1-Справочники!$B$11),0))</f>
        <v/>
      </c>
      <c r="AT219" s="88"/>
      <c r="AU219" s="90" t="str">
        <f aca="false">IF(AT219="","",ROUND(AT219/(1+Справочники!$B$12),0))</f>
        <v/>
      </c>
      <c r="AV219" s="90" t="str">
        <f aca="false">IF(AT219="","",ROUND(AT219*(1-Справочники!$B$15),0))</f>
        <v/>
      </c>
      <c r="AW219" s="90" t="str">
        <f aca="false">IF(AT219="","",ROUND(AT219*(1-Справочники!$B$16),0))</f>
        <v/>
      </c>
      <c r="AX219" s="90" t="str">
        <f aca="false">IF(AT219="","",ROUND(AT219*(1-Справочники!$B$17),0))</f>
        <v/>
      </c>
      <c r="AY219" s="90" t="str">
        <f aca="false">IF(AT219="","",ROUND(AT219*(1-Справочники!$B$18),0))</f>
        <v/>
      </c>
      <c r="AZ219" s="90" t="str">
        <f aca="false">IF(AT219="","",ROUND(AT219*(1-Справочники!$B$19),0))</f>
        <v/>
      </c>
      <c r="BA219" s="81"/>
      <c r="BB219" s="81"/>
      <c r="BC219" s="81"/>
      <c r="BD219" s="81"/>
      <c r="BE219" s="91"/>
      <c r="BF219" s="81" t="s">
        <v>103</v>
      </c>
      <c r="BG219" s="89" t="n">
        <f aca="false" t="array" ref="BG219:BG219">IF(BF219="","",IFERROR(INDEX(Справочники!$B$4:$B$7,MATCH(BF219,Справочники!$A$4:$A$7,0)),""))</f>
        <v>68.5</v>
      </c>
      <c r="BH219" s="90" t="str">
        <f aca="false">IF(N(BN219)&gt;0,ROUND(SUMIF(ЗАКАЗЫ!$F$3:$F$500,$A219,ЗАКАЗЫ!$Y$3:$Y$500)/BN219,0),IF(OR(BE219="",BG219=""),"",ROUND(BE219*BG219*(1+Справочники!$B$10),0)))</f>
        <v/>
      </c>
      <c r="BI219" s="92" t="str">
        <f aca="false">IF(OR(AU219="",BH219="",AU219=0),"",(AU219-BH219)/AU219)</f>
        <v/>
      </c>
      <c r="BJ219" s="81"/>
      <c r="BK219" s="83"/>
      <c r="BL219" s="43" t="str">
        <f aca="false">IFERROR(INDEX(ЗАКАЗЫ!$N$3:$N$500,MATCH($A219,ЗАКАЗЫ!$F$3:$F$500,0)),"")</f>
        <v/>
      </c>
      <c r="BM219" s="8" t="str">
        <f aca="false">IF(BL219="","",IFERROR(VLOOKUP(BL219,'ТН ВЭД'!$A$4:$C$40,3,0),""))</f>
        <v/>
      </c>
      <c r="BN219" s="7" t="str">
        <f aca="false">IF(COUNTIF(ЗАКАЗЫ!$F$3:$F$500,$A219)=0,"",SUMIF(ЗАКАЗЫ!$F$3:$F$500,$A219,ЗАКАЗЫ!$J$3:$J$500))</f>
        <v/>
      </c>
      <c r="BO219" s="7" t="str">
        <f aca="false">IF(BN219="","",SUMIF(ЗАКАЗЫ!$F$3:$F$500,$A219,ЗАКАЗЫ!$AL$3:$AL$500))</f>
        <v/>
      </c>
      <c r="BP219" s="7" t="str">
        <f aca="false">IF(BN219="","",BN219-BO219)</f>
        <v/>
      </c>
      <c r="BQ219" s="55" t="str">
        <f aca="false">IF(BN219="","",IF(BO219&gt;=BN219,"На складе",IF(BO219&gt;0,"Частично","Ждём")))</f>
        <v/>
      </c>
      <c r="BR219" s="43"/>
      <c r="BS219" s="47" t="str">
        <f aca="false">IF(BN219="","",IF(_xlfn.MAXIFS(ЗАКАЗЫ!$AK$3:$AK$500,ЗАКАЗЫ!$F$3:$F$500,$A219)=0,"",_xlfn.MAXIFS(ЗАКАЗЫ!$AK$3:$AK$500,ЗАКАЗЫ!$F$3:$F$500,$A219)))</f>
        <v/>
      </c>
    </row>
    <row r="220" customFormat="false" ht="15.75" hidden="false" customHeight="true" outlineLevel="0" collapsed="false">
      <c r="A220" s="80" t="s">
        <v>3131</v>
      </c>
      <c r="B220" s="81"/>
      <c r="C220" s="81"/>
      <c r="D220" s="81"/>
      <c r="E220" s="83"/>
      <c r="F220" s="81"/>
      <c r="G220" s="83"/>
      <c r="H220" s="83"/>
      <c r="I220" s="84" t="str">
        <f aca="false">IF(E220="","",A220&amp;"_1.jpg")</f>
        <v/>
      </c>
      <c r="J220" s="84" t="str">
        <f aca="false">IF(E220="","",A220&amp;"_2.jpg; "&amp;A220&amp;"_3.jpg")</f>
        <v/>
      </c>
      <c r="K220" s="84" t="str">
        <f aca="false">IF(E220="","",A220&amp;"_schema.jpg")</f>
        <v/>
      </c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 t="s">
        <v>96</v>
      </c>
      <c r="W220" s="81"/>
      <c r="X220" s="81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6" t="str">
        <f aca="false">IF(SUM(Y220:AJ220)=0,"",SUM(Y220:AJ220))</f>
        <v/>
      </c>
      <c r="AL220" s="84" t="str">
        <f aca="false">MID(IF(N(Y220)&gt;0,", "&amp;Y$2,"")&amp;IF(N(Z220)&gt;0,", "&amp;Z$2,"")&amp;IF(N(AA220)&gt;0,", "&amp;AA$2,"")&amp;IF(N(AB220)&gt;0,", "&amp;AB$2,"")&amp;IF(N(AC220)&gt;0,", "&amp;AC$2,"")&amp;IF(N(AD220)&gt;0,", "&amp;AD$2,"")&amp;IF(N(AE220)&gt;0,", "&amp;AE$2,"")&amp;IF(N(AF220)&gt;0,", "&amp;AF$2,"")&amp;IF(N(AG220)&gt;0,", "&amp;AG$2,"")&amp;IF(N(AH220)&gt;0,", "&amp;AH$2,"")&amp;IF(N(AI220)&gt;0,", "&amp;AI$2,"")&amp;IF(N(AJ220)&gt;0,", "&amp;AJ$2,""),3,999)</f>
        <v/>
      </c>
      <c r="AM220" s="87" t="str">
        <f aca="false">IF(E220="","",MID(IF(N(Y220)&gt;0,", "&amp;A220&amp;"-"&amp;Y$2,"")&amp;IF(N(Z220)&gt;0,", "&amp;A220&amp;"-"&amp;Z$2,"")&amp;IF(N(AA220)&gt;0,", "&amp;A220&amp;"-"&amp;AA$2,"")&amp;IF(N(AB220)&gt;0,", "&amp;A220&amp;"-"&amp;AB$2,"")&amp;IF(N(AC220)&gt;0,", "&amp;A220&amp;"-"&amp;AC$2,"")&amp;IF(N(AD220)&gt;0,", "&amp;A220&amp;"-"&amp;AD$2,"")&amp;IF(N(AE220)&gt;0,", "&amp;A220&amp;"-"&amp;AE$2,"")&amp;IF(N(AF220)&gt;0,", "&amp;A220&amp;"-"&amp;AF$2,"")&amp;IF(N(AG220)&gt;0,", "&amp;A220&amp;"-"&amp;AG$2,"")&amp;IF(N(AH220)&gt;0,", "&amp;A220&amp;"-"&amp;AH$2,"")&amp;IF(N(AI220)&gt;0,", "&amp;A220&amp;"-"&amp;AI$2,"")&amp;IF(N(AJ220)&gt;0,", "&amp;A220&amp;"-"&amp;AJ$2,""),3,999))</f>
        <v/>
      </c>
      <c r="AN220" s="81"/>
      <c r="AO220" s="88"/>
      <c r="AP220" s="89" t="str">
        <f aca="false">IF(AO220="","",ROUND(AO220/(1+Справочники!$B$13),2))</f>
        <v/>
      </c>
      <c r="AQ220" s="90" t="str">
        <f aca="false" t="array" ref="AQ220:AQ220">IF(AP220="","",AP220*INDEX(Справочники!$B$4:$B$7,MATCH("RUB",Справочники!$A$4:$A$7,0)))</f>
        <v/>
      </c>
      <c r="AR220" s="90" t="str">
        <f aca="false">IF(AQ220="","",ROUND(AQ220*(1+Справочники!$B$12),0))</f>
        <v/>
      </c>
      <c r="AS220" s="90" t="str">
        <f aca="false">IF(AR220="","",ROUND(AR220*(1-Справочники!$B$11),0))</f>
        <v/>
      </c>
      <c r="AT220" s="88"/>
      <c r="AU220" s="90" t="str">
        <f aca="false">IF(AT220="","",ROUND(AT220/(1+Справочники!$B$12),0))</f>
        <v/>
      </c>
      <c r="AV220" s="90" t="str">
        <f aca="false">IF(AT220="","",ROUND(AT220*(1-Справочники!$B$15),0))</f>
        <v/>
      </c>
      <c r="AW220" s="90" t="str">
        <f aca="false">IF(AT220="","",ROUND(AT220*(1-Справочники!$B$16),0))</f>
        <v/>
      </c>
      <c r="AX220" s="90" t="str">
        <f aca="false">IF(AT220="","",ROUND(AT220*(1-Справочники!$B$17),0))</f>
        <v/>
      </c>
      <c r="AY220" s="90" t="str">
        <f aca="false">IF(AT220="","",ROUND(AT220*(1-Справочники!$B$18),0))</f>
        <v/>
      </c>
      <c r="AZ220" s="90" t="str">
        <f aca="false">IF(AT220="","",ROUND(AT220*(1-Справочники!$B$19),0))</f>
        <v/>
      </c>
      <c r="BA220" s="81"/>
      <c r="BB220" s="81"/>
      <c r="BC220" s="81"/>
      <c r="BD220" s="81"/>
      <c r="BE220" s="91"/>
      <c r="BF220" s="81" t="s">
        <v>103</v>
      </c>
      <c r="BG220" s="89" t="n">
        <f aca="false" t="array" ref="BG220:BG220">IF(BF220="","",IFERROR(INDEX(Справочники!$B$4:$B$7,MATCH(BF220,Справочники!$A$4:$A$7,0)),""))</f>
        <v>68.5</v>
      </c>
      <c r="BH220" s="90" t="str">
        <f aca="false">IF(N(BN220)&gt;0,ROUND(SUMIF(ЗАКАЗЫ!$F$3:$F$500,$A220,ЗАКАЗЫ!$Y$3:$Y$500)/BN220,0),IF(OR(BE220="",BG220=""),"",ROUND(BE220*BG220*(1+Справочники!$B$10),0)))</f>
        <v/>
      </c>
      <c r="BI220" s="92" t="str">
        <f aca="false">IF(OR(AU220="",BH220="",AU220=0),"",(AU220-BH220)/AU220)</f>
        <v/>
      </c>
      <c r="BJ220" s="81"/>
      <c r="BK220" s="83"/>
      <c r="BL220" s="43" t="str">
        <f aca="false">IFERROR(INDEX(ЗАКАЗЫ!$N$3:$N$500,MATCH($A220,ЗАКАЗЫ!$F$3:$F$500,0)),"")</f>
        <v/>
      </c>
      <c r="BM220" s="8" t="str">
        <f aca="false">IF(BL220="","",IFERROR(VLOOKUP(BL220,'ТН ВЭД'!$A$4:$C$40,3,0),""))</f>
        <v/>
      </c>
      <c r="BN220" s="7" t="str">
        <f aca="false">IF(COUNTIF(ЗАКАЗЫ!$F$3:$F$500,$A220)=0,"",SUMIF(ЗАКАЗЫ!$F$3:$F$500,$A220,ЗАКАЗЫ!$J$3:$J$500))</f>
        <v/>
      </c>
      <c r="BO220" s="7" t="str">
        <f aca="false">IF(BN220="","",SUMIF(ЗАКАЗЫ!$F$3:$F$500,$A220,ЗАКАЗЫ!$AL$3:$AL$500))</f>
        <v/>
      </c>
      <c r="BP220" s="7" t="str">
        <f aca="false">IF(BN220="","",BN220-BO220)</f>
        <v/>
      </c>
      <c r="BQ220" s="55" t="str">
        <f aca="false">IF(BN220="","",IF(BO220&gt;=BN220,"На складе",IF(BO220&gt;0,"Частично","Ждём")))</f>
        <v/>
      </c>
      <c r="BR220" s="43"/>
      <c r="BS220" s="47" t="str">
        <f aca="false">IF(BN220="","",IF(_xlfn.MAXIFS(ЗАКАЗЫ!$AK$3:$AK$500,ЗАКАЗЫ!$F$3:$F$500,$A220)=0,"",_xlfn.MAXIFS(ЗАКАЗЫ!$AK$3:$AK$500,ЗАКАЗЫ!$F$3:$F$500,$A220)))</f>
        <v/>
      </c>
    </row>
    <row r="221" customFormat="false" ht="15.75" hidden="false" customHeight="true" outlineLevel="0" collapsed="false">
      <c r="A221" s="80" t="s">
        <v>3132</v>
      </c>
      <c r="B221" s="81"/>
      <c r="C221" s="81"/>
      <c r="D221" s="81"/>
      <c r="E221" s="83"/>
      <c r="F221" s="81"/>
      <c r="G221" s="83"/>
      <c r="H221" s="83"/>
      <c r="I221" s="84" t="str">
        <f aca="false">IF(E221="","",A221&amp;"_1.jpg")</f>
        <v/>
      </c>
      <c r="J221" s="84" t="str">
        <f aca="false">IF(E221="","",A221&amp;"_2.jpg; "&amp;A221&amp;"_3.jpg")</f>
        <v/>
      </c>
      <c r="K221" s="84" t="str">
        <f aca="false">IF(E221="","",A221&amp;"_schema.jpg")</f>
        <v/>
      </c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 t="s">
        <v>96</v>
      </c>
      <c r="W221" s="81"/>
      <c r="X221" s="81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6" t="str">
        <f aca="false">IF(SUM(Y221:AJ221)=0,"",SUM(Y221:AJ221))</f>
        <v/>
      </c>
      <c r="AL221" s="84" t="str">
        <f aca="false">MID(IF(N(Y221)&gt;0,", "&amp;Y$2,"")&amp;IF(N(Z221)&gt;0,", "&amp;Z$2,"")&amp;IF(N(AA221)&gt;0,", "&amp;AA$2,"")&amp;IF(N(AB221)&gt;0,", "&amp;AB$2,"")&amp;IF(N(AC221)&gt;0,", "&amp;AC$2,"")&amp;IF(N(AD221)&gt;0,", "&amp;AD$2,"")&amp;IF(N(AE221)&gt;0,", "&amp;AE$2,"")&amp;IF(N(AF221)&gt;0,", "&amp;AF$2,"")&amp;IF(N(AG221)&gt;0,", "&amp;AG$2,"")&amp;IF(N(AH221)&gt;0,", "&amp;AH$2,"")&amp;IF(N(AI221)&gt;0,", "&amp;AI$2,"")&amp;IF(N(AJ221)&gt;0,", "&amp;AJ$2,""),3,999)</f>
        <v/>
      </c>
      <c r="AM221" s="87" t="str">
        <f aca="false">IF(E221="","",MID(IF(N(Y221)&gt;0,", "&amp;A221&amp;"-"&amp;Y$2,"")&amp;IF(N(Z221)&gt;0,", "&amp;A221&amp;"-"&amp;Z$2,"")&amp;IF(N(AA221)&gt;0,", "&amp;A221&amp;"-"&amp;AA$2,"")&amp;IF(N(AB221)&gt;0,", "&amp;A221&amp;"-"&amp;AB$2,"")&amp;IF(N(AC221)&gt;0,", "&amp;A221&amp;"-"&amp;AC$2,"")&amp;IF(N(AD221)&gt;0,", "&amp;A221&amp;"-"&amp;AD$2,"")&amp;IF(N(AE221)&gt;0,", "&amp;A221&amp;"-"&amp;AE$2,"")&amp;IF(N(AF221)&gt;0,", "&amp;A221&amp;"-"&amp;AF$2,"")&amp;IF(N(AG221)&gt;0,", "&amp;A221&amp;"-"&amp;AG$2,"")&amp;IF(N(AH221)&gt;0,", "&amp;A221&amp;"-"&amp;AH$2,"")&amp;IF(N(AI221)&gt;0,", "&amp;A221&amp;"-"&amp;AI$2,"")&amp;IF(N(AJ221)&gt;0,", "&amp;A221&amp;"-"&amp;AJ$2,""),3,999))</f>
        <v/>
      </c>
      <c r="AN221" s="81"/>
      <c r="AO221" s="88"/>
      <c r="AP221" s="89" t="str">
        <f aca="false">IF(AO221="","",ROUND(AO221/(1+Справочники!$B$13),2))</f>
        <v/>
      </c>
      <c r="AQ221" s="90" t="str">
        <f aca="false" t="array" ref="AQ221:AQ221">IF(AP221="","",AP221*INDEX(Справочники!$B$4:$B$7,MATCH("RUB",Справочники!$A$4:$A$7,0)))</f>
        <v/>
      </c>
      <c r="AR221" s="90" t="str">
        <f aca="false">IF(AQ221="","",ROUND(AQ221*(1+Справочники!$B$12),0))</f>
        <v/>
      </c>
      <c r="AS221" s="90" t="str">
        <f aca="false">IF(AR221="","",ROUND(AR221*(1-Справочники!$B$11),0))</f>
        <v/>
      </c>
      <c r="AT221" s="88"/>
      <c r="AU221" s="90" t="str">
        <f aca="false">IF(AT221="","",ROUND(AT221/(1+Справочники!$B$12),0))</f>
        <v/>
      </c>
      <c r="AV221" s="90" t="str">
        <f aca="false">IF(AT221="","",ROUND(AT221*(1-Справочники!$B$15),0))</f>
        <v/>
      </c>
      <c r="AW221" s="90" t="str">
        <f aca="false">IF(AT221="","",ROUND(AT221*(1-Справочники!$B$16),0))</f>
        <v/>
      </c>
      <c r="AX221" s="90" t="str">
        <f aca="false">IF(AT221="","",ROUND(AT221*(1-Справочники!$B$17),0))</f>
        <v/>
      </c>
      <c r="AY221" s="90" t="str">
        <f aca="false">IF(AT221="","",ROUND(AT221*(1-Справочники!$B$18),0))</f>
        <v/>
      </c>
      <c r="AZ221" s="90" t="str">
        <f aca="false">IF(AT221="","",ROUND(AT221*(1-Справочники!$B$19),0))</f>
        <v/>
      </c>
      <c r="BA221" s="81"/>
      <c r="BB221" s="81"/>
      <c r="BC221" s="81"/>
      <c r="BD221" s="81"/>
      <c r="BE221" s="91"/>
      <c r="BF221" s="81" t="s">
        <v>103</v>
      </c>
      <c r="BG221" s="89" t="n">
        <f aca="false" t="array" ref="BG221:BG221">IF(BF221="","",IFERROR(INDEX(Справочники!$B$4:$B$7,MATCH(BF221,Справочники!$A$4:$A$7,0)),""))</f>
        <v>68.5</v>
      </c>
      <c r="BH221" s="90" t="str">
        <f aca="false">IF(N(BN221)&gt;0,ROUND(SUMIF(ЗАКАЗЫ!$F$3:$F$500,$A221,ЗАКАЗЫ!$Y$3:$Y$500)/BN221,0),IF(OR(BE221="",BG221=""),"",ROUND(BE221*BG221*(1+Справочники!$B$10),0)))</f>
        <v/>
      </c>
      <c r="BI221" s="92" t="str">
        <f aca="false">IF(OR(AU221="",BH221="",AU221=0),"",(AU221-BH221)/AU221)</f>
        <v/>
      </c>
      <c r="BJ221" s="81"/>
      <c r="BK221" s="83"/>
      <c r="BL221" s="43" t="str">
        <f aca="false">IFERROR(INDEX(ЗАКАЗЫ!$N$3:$N$500,MATCH($A221,ЗАКАЗЫ!$F$3:$F$500,0)),"")</f>
        <v/>
      </c>
      <c r="BM221" s="8" t="str">
        <f aca="false">IF(BL221="","",IFERROR(VLOOKUP(BL221,'ТН ВЭД'!$A$4:$C$40,3,0),""))</f>
        <v/>
      </c>
      <c r="BN221" s="7" t="str">
        <f aca="false">IF(COUNTIF(ЗАКАЗЫ!$F$3:$F$500,$A221)=0,"",SUMIF(ЗАКАЗЫ!$F$3:$F$500,$A221,ЗАКАЗЫ!$J$3:$J$500))</f>
        <v/>
      </c>
      <c r="BO221" s="7" t="str">
        <f aca="false">IF(BN221="","",SUMIF(ЗАКАЗЫ!$F$3:$F$500,$A221,ЗАКАЗЫ!$AL$3:$AL$500))</f>
        <v/>
      </c>
      <c r="BP221" s="7" t="str">
        <f aca="false">IF(BN221="","",BN221-BO221)</f>
        <v/>
      </c>
      <c r="BQ221" s="55" t="str">
        <f aca="false">IF(BN221="","",IF(BO221&gt;=BN221,"На складе",IF(BO221&gt;0,"Частично","Ждём")))</f>
        <v/>
      </c>
      <c r="BR221" s="43"/>
      <c r="BS221" s="47" t="str">
        <f aca="false">IF(BN221="","",IF(_xlfn.MAXIFS(ЗАКАЗЫ!$AK$3:$AK$500,ЗАКАЗЫ!$F$3:$F$500,$A221)=0,"",_xlfn.MAXIFS(ЗАКАЗЫ!$AK$3:$AK$500,ЗАКАЗЫ!$F$3:$F$500,$A221)))</f>
        <v/>
      </c>
    </row>
    <row r="222" customFormat="false" ht="15.75" hidden="false" customHeight="true" outlineLevel="0" collapsed="false">
      <c r="A222" s="80" t="s">
        <v>3133</v>
      </c>
      <c r="B222" s="81"/>
      <c r="C222" s="81"/>
      <c r="D222" s="81"/>
      <c r="E222" s="83"/>
      <c r="F222" s="81"/>
      <c r="G222" s="83"/>
      <c r="H222" s="83"/>
      <c r="I222" s="84" t="str">
        <f aca="false">IF(E222="","",A222&amp;"_1.jpg")</f>
        <v/>
      </c>
      <c r="J222" s="84" t="str">
        <f aca="false">IF(E222="","",A222&amp;"_2.jpg; "&amp;A222&amp;"_3.jpg")</f>
        <v/>
      </c>
      <c r="K222" s="84" t="str">
        <f aca="false">IF(E222="","",A222&amp;"_schema.jpg")</f>
        <v/>
      </c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 t="s">
        <v>96</v>
      </c>
      <c r="W222" s="81"/>
      <c r="X222" s="81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6" t="str">
        <f aca="false">IF(SUM(Y222:AJ222)=0,"",SUM(Y222:AJ222))</f>
        <v/>
      </c>
      <c r="AL222" s="84" t="str">
        <f aca="false">MID(IF(N(Y222)&gt;0,", "&amp;Y$2,"")&amp;IF(N(Z222)&gt;0,", "&amp;Z$2,"")&amp;IF(N(AA222)&gt;0,", "&amp;AA$2,"")&amp;IF(N(AB222)&gt;0,", "&amp;AB$2,"")&amp;IF(N(AC222)&gt;0,", "&amp;AC$2,"")&amp;IF(N(AD222)&gt;0,", "&amp;AD$2,"")&amp;IF(N(AE222)&gt;0,", "&amp;AE$2,"")&amp;IF(N(AF222)&gt;0,", "&amp;AF$2,"")&amp;IF(N(AG222)&gt;0,", "&amp;AG$2,"")&amp;IF(N(AH222)&gt;0,", "&amp;AH$2,"")&amp;IF(N(AI222)&gt;0,", "&amp;AI$2,"")&amp;IF(N(AJ222)&gt;0,", "&amp;AJ$2,""),3,999)</f>
        <v/>
      </c>
      <c r="AM222" s="87" t="str">
        <f aca="false">IF(E222="","",MID(IF(N(Y222)&gt;0,", "&amp;A222&amp;"-"&amp;Y$2,"")&amp;IF(N(Z222)&gt;0,", "&amp;A222&amp;"-"&amp;Z$2,"")&amp;IF(N(AA222)&gt;0,", "&amp;A222&amp;"-"&amp;AA$2,"")&amp;IF(N(AB222)&gt;0,", "&amp;A222&amp;"-"&amp;AB$2,"")&amp;IF(N(AC222)&gt;0,", "&amp;A222&amp;"-"&amp;AC$2,"")&amp;IF(N(AD222)&gt;0,", "&amp;A222&amp;"-"&amp;AD$2,"")&amp;IF(N(AE222)&gt;0,", "&amp;A222&amp;"-"&amp;AE$2,"")&amp;IF(N(AF222)&gt;0,", "&amp;A222&amp;"-"&amp;AF$2,"")&amp;IF(N(AG222)&gt;0,", "&amp;A222&amp;"-"&amp;AG$2,"")&amp;IF(N(AH222)&gt;0,", "&amp;A222&amp;"-"&amp;AH$2,"")&amp;IF(N(AI222)&gt;0,", "&amp;A222&amp;"-"&amp;AI$2,"")&amp;IF(N(AJ222)&gt;0,", "&amp;A222&amp;"-"&amp;AJ$2,""),3,999))</f>
        <v/>
      </c>
      <c r="AN222" s="81"/>
      <c r="AO222" s="88"/>
      <c r="AP222" s="89" t="str">
        <f aca="false">IF(AO222="","",ROUND(AO222/(1+Справочники!$B$13),2))</f>
        <v/>
      </c>
      <c r="AQ222" s="90" t="str">
        <f aca="false" t="array" ref="AQ222:AQ222">IF(AP222="","",AP222*INDEX(Справочники!$B$4:$B$7,MATCH("RUB",Справочники!$A$4:$A$7,0)))</f>
        <v/>
      </c>
      <c r="AR222" s="90" t="str">
        <f aca="false">IF(AQ222="","",ROUND(AQ222*(1+Справочники!$B$12),0))</f>
        <v/>
      </c>
      <c r="AS222" s="90" t="str">
        <f aca="false">IF(AR222="","",ROUND(AR222*(1-Справочники!$B$11),0))</f>
        <v/>
      </c>
      <c r="AT222" s="88"/>
      <c r="AU222" s="90" t="str">
        <f aca="false">IF(AT222="","",ROUND(AT222/(1+Справочники!$B$12),0))</f>
        <v/>
      </c>
      <c r="AV222" s="90" t="str">
        <f aca="false">IF(AT222="","",ROUND(AT222*(1-Справочники!$B$15),0))</f>
        <v/>
      </c>
      <c r="AW222" s="90" t="str">
        <f aca="false">IF(AT222="","",ROUND(AT222*(1-Справочники!$B$16),0))</f>
        <v/>
      </c>
      <c r="AX222" s="90" t="str">
        <f aca="false">IF(AT222="","",ROUND(AT222*(1-Справочники!$B$17),0))</f>
        <v/>
      </c>
      <c r="AY222" s="90" t="str">
        <f aca="false">IF(AT222="","",ROUND(AT222*(1-Справочники!$B$18),0))</f>
        <v/>
      </c>
      <c r="AZ222" s="90" t="str">
        <f aca="false">IF(AT222="","",ROUND(AT222*(1-Справочники!$B$19),0))</f>
        <v/>
      </c>
      <c r="BA222" s="81"/>
      <c r="BB222" s="81"/>
      <c r="BC222" s="81"/>
      <c r="BD222" s="81"/>
      <c r="BE222" s="91"/>
      <c r="BF222" s="81" t="s">
        <v>103</v>
      </c>
      <c r="BG222" s="89" t="n">
        <f aca="false" t="array" ref="BG222:BG222">IF(BF222="","",IFERROR(INDEX(Справочники!$B$4:$B$7,MATCH(BF222,Справочники!$A$4:$A$7,0)),""))</f>
        <v>68.5</v>
      </c>
      <c r="BH222" s="90" t="str">
        <f aca="false">IF(N(BN222)&gt;0,ROUND(SUMIF(ЗАКАЗЫ!$F$3:$F$500,$A222,ЗАКАЗЫ!$Y$3:$Y$500)/BN222,0),IF(OR(BE222="",BG222=""),"",ROUND(BE222*BG222*(1+Справочники!$B$10),0)))</f>
        <v/>
      </c>
      <c r="BI222" s="92" t="str">
        <f aca="false">IF(OR(AU222="",BH222="",AU222=0),"",(AU222-BH222)/AU222)</f>
        <v/>
      </c>
      <c r="BJ222" s="81"/>
      <c r="BK222" s="83"/>
      <c r="BL222" s="43" t="str">
        <f aca="false">IFERROR(INDEX(ЗАКАЗЫ!$N$3:$N$500,MATCH($A222,ЗАКАЗЫ!$F$3:$F$500,0)),"")</f>
        <v/>
      </c>
      <c r="BM222" s="8" t="str">
        <f aca="false">IF(BL222="","",IFERROR(VLOOKUP(BL222,'ТН ВЭД'!$A$4:$C$40,3,0),""))</f>
        <v/>
      </c>
      <c r="BN222" s="7" t="str">
        <f aca="false">IF(COUNTIF(ЗАКАЗЫ!$F$3:$F$500,$A222)=0,"",SUMIF(ЗАКАЗЫ!$F$3:$F$500,$A222,ЗАКАЗЫ!$J$3:$J$500))</f>
        <v/>
      </c>
      <c r="BO222" s="7" t="str">
        <f aca="false">IF(BN222="","",SUMIF(ЗАКАЗЫ!$F$3:$F$500,$A222,ЗАКАЗЫ!$AL$3:$AL$500))</f>
        <v/>
      </c>
      <c r="BP222" s="7" t="str">
        <f aca="false">IF(BN222="","",BN222-BO222)</f>
        <v/>
      </c>
      <c r="BQ222" s="55" t="str">
        <f aca="false">IF(BN222="","",IF(BO222&gt;=BN222,"На складе",IF(BO222&gt;0,"Частично","Ждём")))</f>
        <v/>
      </c>
      <c r="BR222" s="43"/>
      <c r="BS222" s="47" t="str">
        <f aca="false">IF(BN222="","",IF(_xlfn.MAXIFS(ЗАКАЗЫ!$AK$3:$AK$500,ЗАКАЗЫ!$F$3:$F$500,$A222)=0,"",_xlfn.MAXIFS(ЗАКАЗЫ!$AK$3:$AK$500,ЗАКАЗЫ!$F$3:$F$500,$A222)))</f>
        <v/>
      </c>
    </row>
    <row r="223" customFormat="false" ht="15.75" hidden="false" customHeight="true" outlineLevel="0" collapsed="false">
      <c r="A223" s="80" t="s">
        <v>3134</v>
      </c>
      <c r="B223" s="81"/>
      <c r="C223" s="81"/>
      <c r="D223" s="81"/>
      <c r="E223" s="83"/>
      <c r="F223" s="81"/>
      <c r="G223" s="83"/>
      <c r="H223" s="83"/>
      <c r="I223" s="84" t="str">
        <f aca="false">IF(E223="","",A223&amp;"_1.jpg")</f>
        <v/>
      </c>
      <c r="J223" s="84" t="str">
        <f aca="false">IF(E223="","",A223&amp;"_2.jpg; "&amp;A223&amp;"_3.jpg")</f>
        <v/>
      </c>
      <c r="K223" s="84" t="str">
        <f aca="false">IF(E223="","",A223&amp;"_schema.jpg")</f>
        <v/>
      </c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 t="s">
        <v>96</v>
      </c>
      <c r="W223" s="81"/>
      <c r="X223" s="81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6" t="str">
        <f aca="false">IF(SUM(Y223:AJ223)=0,"",SUM(Y223:AJ223))</f>
        <v/>
      </c>
      <c r="AL223" s="84" t="str">
        <f aca="false">MID(IF(N(Y223)&gt;0,", "&amp;Y$2,"")&amp;IF(N(Z223)&gt;0,", "&amp;Z$2,"")&amp;IF(N(AA223)&gt;0,", "&amp;AA$2,"")&amp;IF(N(AB223)&gt;0,", "&amp;AB$2,"")&amp;IF(N(AC223)&gt;0,", "&amp;AC$2,"")&amp;IF(N(AD223)&gt;0,", "&amp;AD$2,"")&amp;IF(N(AE223)&gt;0,", "&amp;AE$2,"")&amp;IF(N(AF223)&gt;0,", "&amp;AF$2,"")&amp;IF(N(AG223)&gt;0,", "&amp;AG$2,"")&amp;IF(N(AH223)&gt;0,", "&amp;AH$2,"")&amp;IF(N(AI223)&gt;0,", "&amp;AI$2,"")&amp;IF(N(AJ223)&gt;0,", "&amp;AJ$2,""),3,999)</f>
        <v/>
      </c>
      <c r="AM223" s="87" t="str">
        <f aca="false">IF(E223="","",MID(IF(N(Y223)&gt;0,", "&amp;A223&amp;"-"&amp;Y$2,"")&amp;IF(N(Z223)&gt;0,", "&amp;A223&amp;"-"&amp;Z$2,"")&amp;IF(N(AA223)&gt;0,", "&amp;A223&amp;"-"&amp;AA$2,"")&amp;IF(N(AB223)&gt;0,", "&amp;A223&amp;"-"&amp;AB$2,"")&amp;IF(N(AC223)&gt;0,", "&amp;A223&amp;"-"&amp;AC$2,"")&amp;IF(N(AD223)&gt;0,", "&amp;A223&amp;"-"&amp;AD$2,"")&amp;IF(N(AE223)&gt;0,", "&amp;A223&amp;"-"&amp;AE$2,"")&amp;IF(N(AF223)&gt;0,", "&amp;A223&amp;"-"&amp;AF$2,"")&amp;IF(N(AG223)&gt;0,", "&amp;A223&amp;"-"&amp;AG$2,"")&amp;IF(N(AH223)&gt;0,", "&amp;A223&amp;"-"&amp;AH$2,"")&amp;IF(N(AI223)&gt;0,", "&amp;A223&amp;"-"&amp;AI$2,"")&amp;IF(N(AJ223)&gt;0,", "&amp;A223&amp;"-"&amp;AJ$2,""),3,999))</f>
        <v/>
      </c>
      <c r="AN223" s="81"/>
      <c r="AO223" s="88"/>
      <c r="AP223" s="89" t="str">
        <f aca="false">IF(AO223="","",ROUND(AO223/(1+Справочники!$B$13),2))</f>
        <v/>
      </c>
      <c r="AQ223" s="90" t="str">
        <f aca="false" t="array" ref="AQ223:AQ223">IF(AP223="","",AP223*INDEX(Справочники!$B$4:$B$7,MATCH("RUB",Справочники!$A$4:$A$7,0)))</f>
        <v/>
      </c>
      <c r="AR223" s="90" t="str">
        <f aca="false">IF(AQ223="","",ROUND(AQ223*(1+Справочники!$B$12),0))</f>
        <v/>
      </c>
      <c r="AS223" s="90" t="str">
        <f aca="false">IF(AR223="","",ROUND(AR223*(1-Справочники!$B$11),0))</f>
        <v/>
      </c>
      <c r="AT223" s="88"/>
      <c r="AU223" s="90" t="str">
        <f aca="false">IF(AT223="","",ROUND(AT223/(1+Справочники!$B$12),0))</f>
        <v/>
      </c>
      <c r="AV223" s="90" t="str">
        <f aca="false">IF(AT223="","",ROUND(AT223*(1-Справочники!$B$15),0))</f>
        <v/>
      </c>
      <c r="AW223" s="90" t="str">
        <f aca="false">IF(AT223="","",ROUND(AT223*(1-Справочники!$B$16),0))</f>
        <v/>
      </c>
      <c r="AX223" s="90" t="str">
        <f aca="false">IF(AT223="","",ROUND(AT223*(1-Справочники!$B$17),0))</f>
        <v/>
      </c>
      <c r="AY223" s="90" t="str">
        <f aca="false">IF(AT223="","",ROUND(AT223*(1-Справочники!$B$18),0))</f>
        <v/>
      </c>
      <c r="AZ223" s="90" t="str">
        <f aca="false">IF(AT223="","",ROUND(AT223*(1-Справочники!$B$19),0))</f>
        <v/>
      </c>
      <c r="BA223" s="81"/>
      <c r="BB223" s="81"/>
      <c r="BC223" s="81"/>
      <c r="BD223" s="81"/>
      <c r="BE223" s="91"/>
      <c r="BF223" s="81" t="s">
        <v>103</v>
      </c>
      <c r="BG223" s="89" t="n">
        <f aca="false" t="array" ref="BG223:BG223">IF(BF223="","",IFERROR(INDEX(Справочники!$B$4:$B$7,MATCH(BF223,Справочники!$A$4:$A$7,0)),""))</f>
        <v>68.5</v>
      </c>
      <c r="BH223" s="90" t="str">
        <f aca="false">IF(N(BN223)&gt;0,ROUND(SUMIF(ЗАКАЗЫ!$F$3:$F$500,$A223,ЗАКАЗЫ!$Y$3:$Y$500)/BN223,0),IF(OR(BE223="",BG223=""),"",ROUND(BE223*BG223*(1+Справочники!$B$10),0)))</f>
        <v/>
      </c>
      <c r="BI223" s="92" t="str">
        <f aca="false">IF(OR(AU223="",BH223="",AU223=0),"",(AU223-BH223)/AU223)</f>
        <v/>
      </c>
      <c r="BJ223" s="81"/>
      <c r="BK223" s="83"/>
      <c r="BL223" s="43" t="str">
        <f aca="false">IFERROR(INDEX(ЗАКАЗЫ!$N$3:$N$500,MATCH($A223,ЗАКАЗЫ!$F$3:$F$500,0)),"")</f>
        <v/>
      </c>
      <c r="BM223" s="8" t="str">
        <f aca="false">IF(BL223="","",IFERROR(VLOOKUP(BL223,'ТН ВЭД'!$A$4:$C$40,3,0),""))</f>
        <v/>
      </c>
      <c r="BN223" s="7" t="str">
        <f aca="false">IF(COUNTIF(ЗАКАЗЫ!$F$3:$F$500,$A223)=0,"",SUMIF(ЗАКАЗЫ!$F$3:$F$500,$A223,ЗАКАЗЫ!$J$3:$J$500))</f>
        <v/>
      </c>
      <c r="BO223" s="7" t="str">
        <f aca="false">IF(BN223="","",SUMIF(ЗАКАЗЫ!$F$3:$F$500,$A223,ЗАКАЗЫ!$AL$3:$AL$500))</f>
        <v/>
      </c>
      <c r="BP223" s="7" t="str">
        <f aca="false">IF(BN223="","",BN223-BO223)</f>
        <v/>
      </c>
      <c r="BQ223" s="55" t="str">
        <f aca="false">IF(BN223="","",IF(BO223&gt;=BN223,"На складе",IF(BO223&gt;0,"Частично","Ждём")))</f>
        <v/>
      </c>
      <c r="BR223" s="43"/>
      <c r="BS223" s="47" t="str">
        <f aca="false">IF(BN223="","",IF(_xlfn.MAXIFS(ЗАКАЗЫ!$AK$3:$AK$500,ЗАКАЗЫ!$F$3:$F$500,$A223)=0,"",_xlfn.MAXIFS(ЗАКАЗЫ!$AK$3:$AK$500,ЗАКАЗЫ!$F$3:$F$500,$A223)))</f>
        <v/>
      </c>
    </row>
    <row r="224" customFormat="false" ht="15.75" hidden="false" customHeight="true" outlineLevel="0" collapsed="false">
      <c r="A224" s="80" t="s">
        <v>3135</v>
      </c>
      <c r="B224" s="81"/>
      <c r="C224" s="81"/>
      <c r="D224" s="81"/>
      <c r="E224" s="83"/>
      <c r="F224" s="81"/>
      <c r="G224" s="83"/>
      <c r="H224" s="83"/>
      <c r="I224" s="84" t="str">
        <f aca="false">IF(E224="","",A224&amp;"_1.jpg")</f>
        <v/>
      </c>
      <c r="J224" s="84" t="str">
        <f aca="false">IF(E224="","",A224&amp;"_2.jpg; "&amp;A224&amp;"_3.jpg")</f>
        <v/>
      </c>
      <c r="K224" s="84" t="str">
        <f aca="false">IF(E224="","",A224&amp;"_schema.jpg")</f>
        <v/>
      </c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 t="s">
        <v>96</v>
      </c>
      <c r="W224" s="81"/>
      <c r="X224" s="81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6" t="str">
        <f aca="false">IF(SUM(Y224:AJ224)=0,"",SUM(Y224:AJ224))</f>
        <v/>
      </c>
      <c r="AL224" s="84" t="str">
        <f aca="false">MID(IF(N(Y224)&gt;0,", "&amp;Y$2,"")&amp;IF(N(Z224)&gt;0,", "&amp;Z$2,"")&amp;IF(N(AA224)&gt;0,", "&amp;AA$2,"")&amp;IF(N(AB224)&gt;0,", "&amp;AB$2,"")&amp;IF(N(AC224)&gt;0,", "&amp;AC$2,"")&amp;IF(N(AD224)&gt;0,", "&amp;AD$2,"")&amp;IF(N(AE224)&gt;0,", "&amp;AE$2,"")&amp;IF(N(AF224)&gt;0,", "&amp;AF$2,"")&amp;IF(N(AG224)&gt;0,", "&amp;AG$2,"")&amp;IF(N(AH224)&gt;0,", "&amp;AH$2,"")&amp;IF(N(AI224)&gt;0,", "&amp;AI$2,"")&amp;IF(N(AJ224)&gt;0,", "&amp;AJ$2,""),3,999)</f>
        <v/>
      </c>
      <c r="AM224" s="87" t="str">
        <f aca="false">IF(E224="","",MID(IF(N(Y224)&gt;0,", "&amp;A224&amp;"-"&amp;Y$2,"")&amp;IF(N(Z224)&gt;0,", "&amp;A224&amp;"-"&amp;Z$2,"")&amp;IF(N(AA224)&gt;0,", "&amp;A224&amp;"-"&amp;AA$2,"")&amp;IF(N(AB224)&gt;0,", "&amp;A224&amp;"-"&amp;AB$2,"")&amp;IF(N(AC224)&gt;0,", "&amp;A224&amp;"-"&amp;AC$2,"")&amp;IF(N(AD224)&gt;0,", "&amp;A224&amp;"-"&amp;AD$2,"")&amp;IF(N(AE224)&gt;0,", "&amp;A224&amp;"-"&amp;AE$2,"")&amp;IF(N(AF224)&gt;0,", "&amp;A224&amp;"-"&amp;AF$2,"")&amp;IF(N(AG224)&gt;0,", "&amp;A224&amp;"-"&amp;AG$2,"")&amp;IF(N(AH224)&gt;0,", "&amp;A224&amp;"-"&amp;AH$2,"")&amp;IF(N(AI224)&gt;0,", "&amp;A224&amp;"-"&amp;AI$2,"")&amp;IF(N(AJ224)&gt;0,", "&amp;A224&amp;"-"&amp;AJ$2,""),3,999))</f>
        <v/>
      </c>
      <c r="AN224" s="81"/>
      <c r="AO224" s="88"/>
      <c r="AP224" s="89" t="str">
        <f aca="false">IF(AO224="","",ROUND(AO224/(1+Справочники!$B$13),2))</f>
        <v/>
      </c>
      <c r="AQ224" s="90" t="str">
        <f aca="false" t="array" ref="AQ224:AQ224">IF(AP224="","",AP224*INDEX(Справочники!$B$4:$B$7,MATCH("RUB",Справочники!$A$4:$A$7,0)))</f>
        <v/>
      </c>
      <c r="AR224" s="90" t="str">
        <f aca="false">IF(AQ224="","",ROUND(AQ224*(1+Справочники!$B$12),0))</f>
        <v/>
      </c>
      <c r="AS224" s="90" t="str">
        <f aca="false">IF(AR224="","",ROUND(AR224*(1-Справочники!$B$11),0))</f>
        <v/>
      </c>
      <c r="AT224" s="88"/>
      <c r="AU224" s="90" t="str">
        <f aca="false">IF(AT224="","",ROUND(AT224/(1+Справочники!$B$12),0))</f>
        <v/>
      </c>
      <c r="AV224" s="90" t="str">
        <f aca="false">IF(AT224="","",ROUND(AT224*(1-Справочники!$B$15),0))</f>
        <v/>
      </c>
      <c r="AW224" s="90" t="str">
        <f aca="false">IF(AT224="","",ROUND(AT224*(1-Справочники!$B$16),0))</f>
        <v/>
      </c>
      <c r="AX224" s="90" t="str">
        <f aca="false">IF(AT224="","",ROUND(AT224*(1-Справочники!$B$17),0))</f>
        <v/>
      </c>
      <c r="AY224" s="90" t="str">
        <f aca="false">IF(AT224="","",ROUND(AT224*(1-Справочники!$B$18),0))</f>
        <v/>
      </c>
      <c r="AZ224" s="90" t="str">
        <f aca="false">IF(AT224="","",ROUND(AT224*(1-Справочники!$B$19),0))</f>
        <v/>
      </c>
      <c r="BA224" s="81"/>
      <c r="BB224" s="81"/>
      <c r="BC224" s="81"/>
      <c r="BD224" s="81"/>
      <c r="BE224" s="91"/>
      <c r="BF224" s="81" t="s">
        <v>103</v>
      </c>
      <c r="BG224" s="89" t="n">
        <f aca="false" t="array" ref="BG224:BG224">IF(BF224="","",IFERROR(INDEX(Справочники!$B$4:$B$7,MATCH(BF224,Справочники!$A$4:$A$7,0)),""))</f>
        <v>68.5</v>
      </c>
      <c r="BH224" s="90" t="str">
        <f aca="false">IF(N(BN224)&gt;0,ROUND(SUMIF(ЗАКАЗЫ!$F$3:$F$500,$A224,ЗАКАЗЫ!$Y$3:$Y$500)/BN224,0),IF(OR(BE224="",BG224=""),"",ROUND(BE224*BG224*(1+Справочники!$B$10),0)))</f>
        <v/>
      </c>
      <c r="BI224" s="92" t="str">
        <f aca="false">IF(OR(AU224="",BH224="",AU224=0),"",(AU224-BH224)/AU224)</f>
        <v/>
      </c>
      <c r="BJ224" s="81"/>
      <c r="BK224" s="83"/>
      <c r="BL224" s="43" t="str">
        <f aca="false">IFERROR(INDEX(ЗАКАЗЫ!$N$3:$N$500,MATCH($A224,ЗАКАЗЫ!$F$3:$F$500,0)),"")</f>
        <v/>
      </c>
      <c r="BM224" s="8" t="str">
        <f aca="false">IF(BL224="","",IFERROR(VLOOKUP(BL224,'ТН ВЭД'!$A$4:$C$40,3,0),""))</f>
        <v/>
      </c>
      <c r="BN224" s="7" t="str">
        <f aca="false">IF(COUNTIF(ЗАКАЗЫ!$F$3:$F$500,$A224)=0,"",SUMIF(ЗАКАЗЫ!$F$3:$F$500,$A224,ЗАКАЗЫ!$J$3:$J$500))</f>
        <v/>
      </c>
      <c r="BO224" s="7" t="str">
        <f aca="false">IF(BN224="","",SUMIF(ЗАКАЗЫ!$F$3:$F$500,$A224,ЗАКАЗЫ!$AL$3:$AL$500))</f>
        <v/>
      </c>
      <c r="BP224" s="7" t="str">
        <f aca="false">IF(BN224="","",BN224-BO224)</f>
        <v/>
      </c>
      <c r="BQ224" s="55" t="str">
        <f aca="false">IF(BN224="","",IF(BO224&gt;=BN224,"На складе",IF(BO224&gt;0,"Частично","Ждём")))</f>
        <v/>
      </c>
      <c r="BR224" s="43"/>
      <c r="BS224" s="47" t="str">
        <f aca="false">IF(BN224="","",IF(_xlfn.MAXIFS(ЗАКАЗЫ!$AK$3:$AK$500,ЗАКАЗЫ!$F$3:$F$500,$A224)=0,"",_xlfn.MAXIFS(ЗАКАЗЫ!$AK$3:$AK$500,ЗАКАЗЫ!$F$3:$F$500,$A224)))</f>
        <v/>
      </c>
    </row>
    <row r="225" customFormat="false" ht="15.75" hidden="false" customHeight="true" outlineLevel="0" collapsed="false">
      <c r="A225" s="80" t="s">
        <v>3136</v>
      </c>
      <c r="B225" s="81"/>
      <c r="C225" s="81"/>
      <c r="D225" s="81"/>
      <c r="E225" s="83"/>
      <c r="F225" s="81"/>
      <c r="G225" s="83"/>
      <c r="H225" s="83"/>
      <c r="I225" s="84" t="str">
        <f aca="false">IF(E225="","",A225&amp;"_1.jpg")</f>
        <v/>
      </c>
      <c r="J225" s="84" t="str">
        <f aca="false">IF(E225="","",A225&amp;"_2.jpg; "&amp;A225&amp;"_3.jpg")</f>
        <v/>
      </c>
      <c r="K225" s="84" t="str">
        <f aca="false">IF(E225="","",A225&amp;"_schema.jpg")</f>
        <v/>
      </c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 t="s">
        <v>96</v>
      </c>
      <c r="W225" s="81"/>
      <c r="X225" s="81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6" t="str">
        <f aca="false">IF(SUM(Y225:AJ225)=0,"",SUM(Y225:AJ225))</f>
        <v/>
      </c>
      <c r="AL225" s="84" t="str">
        <f aca="false">MID(IF(N(Y225)&gt;0,", "&amp;Y$2,"")&amp;IF(N(Z225)&gt;0,", "&amp;Z$2,"")&amp;IF(N(AA225)&gt;0,", "&amp;AA$2,"")&amp;IF(N(AB225)&gt;0,", "&amp;AB$2,"")&amp;IF(N(AC225)&gt;0,", "&amp;AC$2,"")&amp;IF(N(AD225)&gt;0,", "&amp;AD$2,"")&amp;IF(N(AE225)&gt;0,", "&amp;AE$2,"")&amp;IF(N(AF225)&gt;0,", "&amp;AF$2,"")&amp;IF(N(AG225)&gt;0,", "&amp;AG$2,"")&amp;IF(N(AH225)&gt;0,", "&amp;AH$2,"")&amp;IF(N(AI225)&gt;0,", "&amp;AI$2,"")&amp;IF(N(AJ225)&gt;0,", "&amp;AJ$2,""),3,999)</f>
        <v/>
      </c>
      <c r="AM225" s="87" t="str">
        <f aca="false">IF(E225="","",MID(IF(N(Y225)&gt;0,", "&amp;A225&amp;"-"&amp;Y$2,"")&amp;IF(N(Z225)&gt;0,", "&amp;A225&amp;"-"&amp;Z$2,"")&amp;IF(N(AA225)&gt;0,", "&amp;A225&amp;"-"&amp;AA$2,"")&amp;IF(N(AB225)&gt;0,", "&amp;A225&amp;"-"&amp;AB$2,"")&amp;IF(N(AC225)&gt;0,", "&amp;A225&amp;"-"&amp;AC$2,"")&amp;IF(N(AD225)&gt;0,", "&amp;A225&amp;"-"&amp;AD$2,"")&amp;IF(N(AE225)&gt;0,", "&amp;A225&amp;"-"&amp;AE$2,"")&amp;IF(N(AF225)&gt;0,", "&amp;A225&amp;"-"&amp;AF$2,"")&amp;IF(N(AG225)&gt;0,", "&amp;A225&amp;"-"&amp;AG$2,"")&amp;IF(N(AH225)&gt;0,", "&amp;A225&amp;"-"&amp;AH$2,"")&amp;IF(N(AI225)&gt;0,", "&amp;A225&amp;"-"&amp;AI$2,"")&amp;IF(N(AJ225)&gt;0,", "&amp;A225&amp;"-"&amp;AJ$2,""),3,999))</f>
        <v/>
      </c>
      <c r="AN225" s="81"/>
      <c r="AO225" s="88"/>
      <c r="AP225" s="89" t="str">
        <f aca="false">IF(AO225="","",ROUND(AO225/(1+Справочники!$B$13),2))</f>
        <v/>
      </c>
      <c r="AQ225" s="90" t="str">
        <f aca="false" t="array" ref="AQ225:AQ225">IF(AP225="","",AP225*INDEX(Справочники!$B$4:$B$7,MATCH("RUB",Справочники!$A$4:$A$7,0)))</f>
        <v/>
      </c>
      <c r="AR225" s="90" t="str">
        <f aca="false">IF(AQ225="","",ROUND(AQ225*(1+Справочники!$B$12),0))</f>
        <v/>
      </c>
      <c r="AS225" s="90" t="str">
        <f aca="false">IF(AR225="","",ROUND(AR225*(1-Справочники!$B$11),0))</f>
        <v/>
      </c>
      <c r="AT225" s="88"/>
      <c r="AU225" s="90" t="str">
        <f aca="false">IF(AT225="","",ROUND(AT225/(1+Справочники!$B$12),0))</f>
        <v/>
      </c>
      <c r="AV225" s="90" t="str">
        <f aca="false">IF(AT225="","",ROUND(AT225*(1-Справочники!$B$15),0))</f>
        <v/>
      </c>
      <c r="AW225" s="90" t="str">
        <f aca="false">IF(AT225="","",ROUND(AT225*(1-Справочники!$B$16),0))</f>
        <v/>
      </c>
      <c r="AX225" s="90" t="str">
        <f aca="false">IF(AT225="","",ROUND(AT225*(1-Справочники!$B$17),0))</f>
        <v/>
      </c>
      <c r="AY225" s="90" t="str">
        <f aca="false">IF(AT225="","",ROUND(AT225*(1-Справочники!$B$18),0))</f>
        <v/>
      </c>
      <c r="AZ225" s="90" t="str">
        <f aca="false">IF(AT225="","",ROUND(AT225*(1-Справочники!$B$19),0))</f>
        <v/>
      </c>
      <c r="BA225" s="81"/>
      <c r="BB225" s="81"/>
      <c r="BC225" s="81"/>
      <c r="BD225" s="81"/>
      <c r="BE225" s="91"/>
      <c r="BF225" s="81" t="s">
        <v>103</v>
      </c>
      <c r="BG225" s="89" t="n">
        <f aca="false" t="array" ref="BG225:BG225">IF(BF225="","",IFERROR(INDEX(Справочники!$B$4:$B$7,MATCH(BF225,Справочники!$A$4:$A$7,0)),""))</f>
        <v>68.5</v>
      </c>
      <c r="BH225" s="90" t="str">
        <f aca="false">IF(N(BN225)&gt;0,ROUND(SUMIF(ЗАКАЗЫ!$F$3:$F$500,$A225,ЗАКАЗЫ!$Y$3:$Y$500)/BN225,0),IF(OR(BE225="",BG225=""),"",ROUND(BE225*BG225*(1+Справочники!$B$10),0)))</f>
        <v/>
      </c>
      <c r="BI225" s="92" t="str">
        <f aca="false">IF(OR(AU225="",BH225="",AU225=0),"",(AU225-BH225)/AU225)</f>
        <v/>
      </c>
      <c r="BJ225" s="81"/>
      <c r="BK225" s="83"/>
      <c r="BL225" s="43" t="str">
        <f aca="false">IFERROR(INDEX(ЗАКАЗЫ!$N$3:$N$500,MATCH($A225,ЗАКАЗЫ!$F$3:$F$500,0)),"")</f>
        <v/>
      </c>
      <c r="BM225" s="8" t="str">
        <f aca="false">IF(BL225="","",IFERROR(VLOOKUP(BL225,'ТН ВЭД'!$A$4:$C$40,3,0),""))</f>
        <v/>
      </c>
      <c r="BN225" s="7" t="str">
        <f aca="false">IF(COUNTIF(ЗАКАЗЫ!$F$3:$F$500,$A225)=0,"",SUMIF(ЗАКАЗЫ!$F$3:$F$500,$A225,ЗАКАЗЫ!$J$3:$J$500))</f>
        <v/>
      </c>
      <c r="BO225" s="7" t="str">
        <f aca="false">IF(BN225="","",SUMIF(ЗАКАЗЫ!$F$3:$F$500,$A225,ЗАКАЗЫ!$AL$3:$AL$500))</f>
        <v/>
      </c>
      <c r="BP225" s="7" t="str">
        <f aca="false">IF(BN225="","",BN225-BO225)</f>
        <v/>
      </c>
      <c r="BQ225" s="55" t="str">
        <f aca="false">IF(BN225="","",IF(BO225&gt;=BN225,"На складе",IF(BO225&gt;0,"Частично","Ждём")))</f>
        <v/>
      </c>
      <c r="BR225" s="43"/>
      <c r="BS225" s="47" t="str">
        <f aca="false">IF(BN225="","",IF(_xlfn.MAXIFS(ЗАКАЗЫ!$AK$3:$AK$500,ЗАКАЗЫ!$F$3:$F$500,$A225)=0,"",_xlfn.MAXIFS(ЗАКАЗЫ!$AK$3:$AK$500,ЗАКАЗЫ!$F$3:$F$500,$A225)))</f>
        <v/>
      </c>
    </row>
    <row r="226" customFormat="false" ht="15.75" hidden="false" customHeight="true" outlineLevel="0" collapsed="false">
      <c r="A226" s="80" t="s">
        <v>3137</v>
      </c>
      <c r="B226" s="81"/>
      <c r="C226" s="81"/>
      <c r="D226" s="81"/>
      <c r="E226" s="83"/>
      <c r="F226" s="81"/>
      <c r="G226" s="83"/>
      <c r="H226" s="83"/>
      <c r="I226" s="84" t="str">
        <f aca="false">IF(E226="","",A226&amp;"_1.jpg")</f>
        <v/>
      </c>
      <c r="J226" s="84" t="str">
        <f aca="false">IF(E226="","",A226&amp;"_2.jpg; "&amp;A226&amp;"_3.jpg")</f>
        <v/>
      </c>
      <c r="K226" s="84" t="str">
        <f aca="false">IF(E226="","",A226&amp;"_schema.jpg")</f>
        <v/>
      </c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 t="s">
        <v>96</v>
      </c>
      <c r="W226" s="81"/>
      <c r="X226" s="81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6" t="str">
        <f aca="false">IF(SUM(Y226:AJ226)=0,"",SUM(Y226:AJ226))</f>
        <v/>
      </c>
      <c r="AL226" s="84" t="str">
        <f aca="false">MID(IF(N(Y226)&gt;0,", "&amp;Y$2,"")&amp;IF(N(Z226)&gt;0,", "&amp;Z$2,"")&amp;IF(N(AA226)&gt;0,", "&amp;AA$2,"")&amp;IF(N(AB226)&gt;0,", "&amp;AB$2,"")&amp;IF(N(AC226)&gt;0,", "&amp;AC$2,"")&amp;IF(N(AD226)&gt;0,", "&amp;AD$2,"")&amp;IF(N(AE226)&gt;0,", "&amp;AE$2,"")&amp;IF(N(AF226)&gt;0,", "&amp;AF$2,"")&amp;IF(N(AG226)&gt;0,", "&amp;AG$2,"")&amp;IF(N(AH226)&gt;0,", "&amp;AH$2,"")&amp;IF(N(AI226)&gt;0,", "&amp;AI$2,"")&amp;IF(N(AJ226)&gt;0,", "&amp;AJ$2,""),3,999)</f>
        <v/>
      </c>
      <c r="AM226" s="87" t="str">
        <f aca="false">IF(E226="","",MID(IF(N(Y226)&gt;0,", "&amp;A226&amp;"-"&amp;Y$2,"")&amp;IF(N(Z226)&gt;0,", "&amp;A226&amp;"-"&amp;Z$2,"")&amp;IF(N(AA226)&gt;0,", "&amp;A226&amp;"-"&amp;AA$2,"")&amp;IF(N(AB226)&gt;0,", "&amp;A226&amp;"-"&amp;AB$2,"")&amp;IF(N(AC226)&gt;0,", "&amp;A226&amp;"-"&amp;AC$2,"")&amp;IF(N(AD226)&gt;0,", "&amp;A226&amp;"-"&amp;AD$2,"")&amp;IF(N(AE226)&gt;0,", "&amp;A226&amp;"-"&amp;AE$2,"")&amp;IF(N(AF226)&gt;0,", "&amp;A226&amp;"-"&amp;AF$2,"")&amp;IF(N(AG226)&gt;0,", "&amp;A226&amp;"-"&amp;AG$2,"")&amp;IF(N(AH226)&gt;0,", "&amp;A226&amp;"-"&amp;AH$2,"")&amp;IF(N(AI226)&gt;0,", "&amp;A226&amp;"-"&amp;AI$2,"")&amp;IF(N(AJ226)&gt;0,", "&amp;A226&amp;"-"&amp;AJ$2,""),3,999))</f>
        <v/>
      </c>
      <c r="AN226" s="81"/>
      <c r="AO226" s="88"/>
      <c r="AP226" s="89" t="str">
        <f aca="false">IF(AO226="","",ROUND(AO226/(1+Справочники!$B$13),2))</f>
        <v/>
      </c>
      <c r="AQ226" s="90" t="str">
        <f aca="false" t="array" ref="AQ226:AQ226">IF(AP226="","",AP226*INDEX(Справочники!$B$4:$B$7,MATCH("RUB",Справочники!$A$4:$A$7,0)))</f>
        <v/>
      </c>
      <c r="AR226" s="90" t="str">
        <f aca="false">IF(AQ226="","",ROUND(AQ226*(1+Справочники!$B$12),0))</f>
        <v/>
      </c>
      <c r="AS226" s="90" t="str">
        <f aca="false">IF(AR226="","",ROUND(AR226*(1-Справочники!$B$11),0))</f>
        <v/>
      </c>
      <c r="AT226" s="88"/>
      <c r="AU226" s="90" t="str">
        <f aca="false">IF(AT226="","",ROUND(AT226/(1+Справочники!$B$12),0))</f>
        <v/>
      </c>
      <c r="AV226" s="90" t="str">
        <f aca="false">IF(AT226="","",ROUND(AT226*(1-Справочники!$B$15),0))</f>
        <v/>
      </c>
      <c r="AW226" s="90" t="str">
        <f aca="false">IF(AT226="","",ROUND(AT226*(1-Справочники!$B$16),0))</f>
        <v/>
      </c>
      <c r="AX226" s="90" t="str">
        <f aca="false">IF(AT226="","",ROUND(AT226*(1-Справочники!$B$17),0))</f>
        <v/>
      </c>
      <c r="AY226" s="90" t="str">
        <f aca="false">IF(AT226="","",ROUND(AT226*(1-Справочники!$B$18),0))</f>
        <v/>
      </c>
      <c r="AZ226" s="90" t="str">
        <f aca="false">IF(AT226="","",ROUND(AT226*(1-Справочники!$B$19),0))</f>
        <v/>
      </c>
      <c r="BA226" s="81"/>
      <c r="BB226" s="81"/>
      <c r="BC226" s="81"/>
      <c r="BD226" s="81"/>
      <c r="BE226" s="91"/>
      <c r="BF226" s="81" t="s">
        <v>103</v>
      </c>
      <c r="BG226" s="89" t="n">
        <f aca="false" t="array" ref="BG226:BG226">IF(BF226="","",IFERROR(INDEX(Справочники!$B$4:$B$7,MATCH(BF226,Справочники!$A$4:$A$7,0)),""))</f>
        <v>68.5</v>
      </c>
      <c r="BH226" s="90" t="str">
        <f aca="false">IF(N(BN226)&gt;0,ROUND(SUMIF(ЗАКАЗЫ!$F$3:$F$500,$A226,ЗАКАЗЫ!$Y$3:$Y$500)/BN226,0),IF(OR(BE226="",BG226=""),"",ROUND(BE226*BG226*(1+Справочники!$B$10),0)))</f>
        <v/>
      </c>
      <c r="BI226" s="92" t="str">
        <f aca="false">IF(OR(AU226="",BH226="",AU226=0),"",(AU226-BH226)/AU226)</f>
        <v/>
      </c>
      <c r="BJ226" s="81"/>
      <c r="BK226" s="83"/>
      <c r="BL226" s="43" t="str">
        <f aca="false">IFERROR(INDEX(ЗАКАЗЫ!$N$3:$N$500,MATCH($A226,ЗАКАЗЫ!$F$3:$F$500,0)),"")</f>
        <v/>
      </c>
      <c r="BM226" s="8" t="str">
        <f aca="false">IF(BL226="","",IFERROR(VLOOKUP(BL226,'ТН ВЭД'!$A$4:$C$40,3,0),""))</f>
        <v/>
      </c>
      <c r="BN226" s="7" t="str">
        <f aca="false">IF(COUNTIF(ЗАКАЗЫ!$F$3:$F$500,$A226)=0,"",SUMIF(ЗАКАЗЫ!$F$3:$F$500,$A226,ЗАКАЗЫ!$J$3:$J$500))</f>
        <v/>
      </c>
      <c r="BO226" s="7" t="str">
        <f aca="false">IF(BN226="","",SUMIF(ЗАКАЗЫ!$F$3:$F$500,$A226,ЗАКАЗЫ!$AL$3:$AL$500))</f>
        <v/>
      </c>
      <c r="BP226" s="7" t="str">
        <f aca="false">IF(BN226="","",BN226-BO226)</f>
        <v/>
      </c>
      <c r="BQ226" s="55" t="str">
        <f aca="false">IF(BN226="","",IF(BO226&gt;=BN226,"На складе",IF(BO226&gt;0,"Частично","Ждём")))</f>
        <v/>
      </c>
      <c r="BR226" s="43"/>
      <c r="BS226" s="47" t="str">
        <f aca="false">IF(BN226="","",IF(_xlfn.MAXIFS(ЗАКАЗЫ!$AK$3:$AK$500,ЗАКАЗЫ!$F$3:$F$500,$A226)=0,"",_xlfn.MAXIFS(ЗАКАЗЫ!$AK$3:$AK$500,ЗАКАЗЫ!$F$3:$F$500,$A226)))</f>
        <v/>
      </c>
    </row>
    <row r="227" customFormat="false" ht="15.75" hidden="false" customHeight="true" outlineLevel="0" collapsed="false">
      <c r="A227" s="80" t="s">
        <v>3138</v>
      </c>
      <c r="B227" s="81"/>
      <c r="C227" s="81"/>
      <c r="D227" s="81"/>
      <c r="E227" s="83"/>
      <c r="F227" s="81"/>
      <c r="G227" s="83"/>
      <c r="H227" s="83"/>
      <c r="I227" s="84" t="str">
        <f aca="false">IF(E227="","",A227&amp;"_1.jpg")</f>
        <v/>
      </c>
      <c r="J227" s="84" t="str">
        <f aca="false">IF(E227="","",A227&amp;"_2.jpg; "&amp;A227&amp;"_3.jpg")</f>
        <v/>
      </c>
      <c r="K227" s="84" t="str">
        <f aca="false">IF(E227="","",A227&amp;"_schema.jpg")</f>
        <v/>
      </c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 t="s">
        <v>96</v>
      </c>
      <c r="W227" s="81"/>
      <c r="X227" s="81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6" t="str">
        <f aca="false">IF(SUM(Y227:AJ227)=0,"",SUM(Y227:AJ227))</f>
        <v/>
      </c>
      <c r="AL227" s="84" t="str">
        <f aca="false">MID(IF(N(Y227)&gt;0,", "&amp;Y$2,"")&amp;IF(N(Z227)&gt;0,", "&amp;Z$2,"")&amp;IF(N(AA227)&gt;0,", "&amp;AA$2,"")&amp;IF(N(AB227)&gt;0,", "&amp;AB$2,"")&amp;IF(N(AC227)&gt;0,", "&amp;AC$2,"")&amp;IF(N(AD227)&gt;0,", "&amp;AD$2,"")&amp;IF(N(AE227)&gt;0,", "&amp;AE$2,"")&amp;IF(N(AF227)&gt;0,", "&amp;AF$2,"")&amp;IF(N(AG227)&gt;0,", "&amp;AG$2,"")&amp;IF(N(AH227)&gt;0,", "&amp;AH$2,"")&amp;IF(N(AI227)&gt;0,", "&amp;AI$2,"")&amp;IF(N(AJ227)&gt;0,", "&amp;AJ$2,""),3,999)</f>
        <v/>
      </c>
      <c r="AM227" s="87" t="str">
        <f aca="false">IF(E227="","",MID(IF(N(Y227)&gt;0,", "&amp;A227&amp;"-"&amp;Y$2,"")&amp;IF(N(Z227)&gt;0,", "&amp;A227&amp;"-"&amp;Z$2,"")&amp;IF(N(AA227)&gt;0,", "&amp;A227&amp;"-"&amp;AA$2,"")&amp;IF(N(AB227)&gt;0,", "&amp;A227&amp;"-"&amp;AB$2,"")&amp;IF(N(AC227)&gt;0,", "&amp;A227&amp;"-"&amp;AC$2,"")&amp;IF(N(AD227)&gt;0,", "&amp;A227&amp;"-"&amp;AD$2,"")&amp;IF(N(AE227)&gt;0,", "&amp;A227&amp;"-"&amp;AE$2,"")&amp;IF(N(AF227)&gt;0,", "&amp;A227&amp;"-"&amp;AF$2,"")&amp;IF(N(AG227)&gt;0,", "&amp;A227&amp;"-"&amp;AG$2,"")&amp;IF(N(AH227)&gt;0,", "&amp;A227&amp;"-"&amp;AH$2,"")&amp;IF(N(AI227)&gt;0,", "&amp;A227&amp;"-"&amp;AI$2,"")&amp;IF(N(AJ227)&gt;0,", "&amp;A227&amp;"-"&amp;AJ$2,""),3,999))</f>
        <v/>
      </c>
      <c r="AN227" s="81"/>
      <c r="AO227" s="88"/>
      <c r="AP227" s="89" t="str">
        <f aca="false">IF(AO227="","",ROUND(AO227/(1+Справочники!$B$13),2))</f>
        <v/>
      </c>
      <c r="AQ227" s="90" t="str">
        <f aca="false" t="array" ref="AQ227:AQ227">IF(AP227="","",AP227*INDEX(Справочники!$B$4:$B$7,MATCH("RUB",Справочники!$A$4:$A$7,0)))</f>
        <v/>
      </c>
      <c r="AR227" s="90" t="str">
        <f aca="false">IF(AQ227="","",ROUND(AQ227*(1+Справочники!$B$12),0))</f>
        <v/>
      </c>
      <c r="AS227" s="90" t="str">
        <f aca="false">IF(AR227="","",ROUND(AR227*(1-Справочники!$B$11),0))</f>
        <v/>
      </c>
      <c r="AT227" s="88"/>
      <c r="AU227" s="90" t="str">
        <f aca="false">IF(AT227="","",ROUND(AT227/(1+Справочники!$B$12),0))</f>
        <v/>
      </c>
      <c r="AV227" s="90" t="str">
        <f aca="false">IF(AT227="","",ROUND(AT227*(1-Справочники!$B$15),0))</f>
        <v/>
      </c>
      <c r="AW227" s="90" t="str">
        <f aca="false">IF(AT227="","",ROUND(AT227*(1-Справочники!$B$16),0))</f>
        <v/>
      </c>
      <c r="AX227" s="90" t="str">
        <f aca="false">IF(AT227="","",ROUND(AT227*(1-Справочники!$B$17),0))</f>
        <v/>
      </c>
      <c r="AY227" s="90" t="str">
        <f aca="false">IF(AT227="","",ROUND(AT227*(1-Справочники!$B$18),0))</f>
        <v/>
      </c>
      <c r="AZ227" s="90" t="str">
        <f aca="false">IF(AT227="","",ROUND(AT227*(1-Справочники!$B$19),0))</f>
        <v/>
      </c>
      <c r="BA227" s="81"/>
      <c r="BB227" s="81"/>
      <c r="BC227" s="81"/>
      <c r="BD227" s="81"/>
      <c r="BE227" s="91"/>
      <c r="BF227" s="81" t="s">
        <v>103</v>
      </c>
      <c r="BG227" s="89" t="n">
        <f aca="false" t="array" ref="BG227:BG227">IF(BF227="","",IFERROR(INDEX(Справочники!$B$4:$B$7,MATCH(BF227,Справочники!$A$4:$A$7,0)),""))</f>
        <v>68.5</v>
      </c>
      <c r="BH227" s="90" t="str">
        <f aca="false">IF(N(BN227)&gt;0,ROUND(SUMIF(ЗАКАЗЫ!$F$3:$F$500,$A227,ЗАКАЗЫ!$Y$3:$Y$500)/BN227,0),IF(OR(BE227="",BG227=""),"",ROUND(BE227*BG227*(1+Справочники!$B$10),0)))</f>
        <v/>
      </c>
      <c r="BI227" s="92" t="str">
        <f aca="false">IF(OR(AU227="",BH227="",AU227=0),"",(AU227-BH227)/AU227)</f>
        <v/>
      </c>
      <c r="BJ227" s="81"/>
      <c r="BK227" s="83"/>
      <c r="BL227" s="43" t="str">
        <f aca="false">IFERROR(INDEX(ЗАКАЗЫ!$N$3:$N$500,MATCH($A227,ЗАКАЗЫ!$F$3:$F$500,0)),"")</f>
        <v/>
      </c>
      <c r="BM227" s="8" t="str">
        <f aca="false">IF(BL227="","",IFERROR(VLOOKUP(BL227,'ТН ВЭД'!$A$4:$C$40,3,0),""))</f>
        <v/>
      </c>
      <c r="BN227" s="7" t="str">
        <f aca="false">IF(COUNTIF(ЗАКАЗЫ!$F$3:$F$500,$A227)=0,"",SUMIF(ЗАКАЗЫ!$F$3:$F$500,$A227,ЗАКАЗЫ!$J$3:$J$500))</f>
        <v/>
      </c>
      <c r="BO227" s="7" t="str">
        <f aca="false">IF(BN227="","",SUMIF(ЗАКАЗЫ!$F$3:$F$500,$A227,ЗАКАЗЫ!$AL$3:$AL$500))</f>
        <v/>
      </c>
      <c r="BP227" s="7" t="str">
        <f aca="false">IF(BN227="","",BN227-BO227)</f>
        <v/>
      </c>
      <c r="BQ227" s="55" t="str">
        <f aca="false">IF(BN227="","",IF(BO227&gt;=BN227,"На складе",IF(BO227&gt;0,"Частично","Ждём")))</f>
        <v/>
      </c>
      <c r="BR227" s="43"/>
      <c r="BS227" s="47" t="str">
        <f aca="false">IF(BN227="","",IF(_xlfn.MAXIFS(ЗАКАЗЫ!$AK$3:$AK$500,ЗАКАЗЫ!$F$3:$F$500,$A227)=0,"",_xlfn.MAXIFS(ЗАКАЗЫ!$AK$3:$AK$500,ЗАКАЗЫ!$F$3:$F$500,$A227)))</f>
        <v/>
      </c>
    </row>
    <row r="228" customFormat="false" ht="15.75" hidden="false" customHeight="true" outlineLevel="0" collapsed="false">
      <c r="A228" s="80" t="s">
        <v>3139</v>
      </c>
      <c r="B228" s="81"/>
      <c r="C228" s="81"/>
      <c r="D228" s="81"/>
      <c r="E228" s="83"/>
      <c r="F228" s="81"/>
      <c r="G228" s="83"/>
      <c r="H228" s="83"/>
      <c r="I228" s="84" t="str">
        <f aca="false">IF(E228="","",A228&amp;"_1.jpg")</f>
        <v/>
      </c>
      <c r="J228" s="84" t="str">
        <f aca="false">IF(E228="","",A228&amp;"_2.jpg; "&amp;A228&amp;"_3.jpg")</f>
        <v/>
      </c>
      <c r="K228" s="84" t="str">
        <f aca="false">IF(E228="","",A228&amp;"_schema.jpg")</f>
        <v/>
      </c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 t="s">
        <v>96</v>
      </c>
      <c r="W228" s="81"/>
      <c r="X228" s="81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6" t="str">
        <f aca="false">IF(SUM(Y228:AJ228)=0,"",SUM(Y228:AJ228))</f>
        <v/>
      </c>
      <c r="AL228" s="84" t="str">
        <f aca="false">MID(IF(N(Y228)&gt;0,", "&amp;Y$2,"")&amp;IF(N(Z228)&gt;0,", "&amp;Z$2,"")&amp;IF(N(AA228)&gt;0,", "&amp;AA$2,"")&amp;IF(N(AB228)&gt;0,", "&amp;AB$2,"")&amp;IF(N(AC228)&gt;0,", "&amp;AC$2,"")&amp;IF(N(AD228)&gt;0,", "&amp;AD$2,"")&amp;IF(N(AE228)&gt;0,", "&amp;AE$2,"")&amp;IF(N(AF228)&gt;0,", "&amp;AF$2,"")&amp;IF(N(AG228)&gt;0,", "&amp;AG$2,"")&amp;IF(N(AH228)&gt;0,", "&amp;AH$2,"")&amp;IF(N(AI228)&gt;0,", "&amp;AI$2,"")&amp;IF(N(AJ228)&gt;0,", "&amp;AJ$2,""),3,999)</f>
        <v/>
      </c>
      <c r="AM228" s="87" t="str">
        <f aca="false">IF(E228="","",MID(IF(N(Y228)&gt;0,", "&amp;A228&amp;"-"&amp;Y$2,"")&amp;IF(N(Z228)&gt;0,", "&amp;A228&amp;"-"&amp;Z$2,"")&amp;IF(N(AA228)&gt;0,", "&amp;A228&amp;"-"&amp;AA$2,"")&amp;IF(N(AB228)&gt;0,", "&amp;A228&amp;"-"&amp;AB$2,"")&amp;IF(N(AC228)&gt;0,", "&amp;A228&amp;"-"&amp;AC$2,"")&amp;IF(N(AD228)&gt;0,", "&amp;A228&amp;"-"&amp;AD$2,"")&amp;IF(N(AE228)&gt;0,", "&amp;A228&amp;"-"&amp;AE$2,"")&amp;IF(N(AF228)&gt;0,", "&amp;A228&amp;"-"&amp;AF$2,"")&amp;IF(N(AG228)&gt;0,", "&amp;A228&amp;"-"&amp;AG$2,"")&amp;IF(N(AH228)&gt;0,", "&amp;A228&amp;"-"&amp;AH$2,"")&amp;IF(N(AI228)&gt;0,", "&amp;A228&amp;"-"&amp;AI$2,"")&amp;IF(N(AJ228)&gt;0,", "&amp;A228&amp;"-"&amp;AJ$2,""),3,999))</f>
        <v/>
      </c>
      <c r="AN228" s="81"/>
      <c r="AO228" s="88"/>
      <c r="AP228" s="89" t="str">
        <f aca="false">IF(AO228="","",ROUND(AO228/(1+Справочники!$B$13),2))</f>
        <v/>
      </c>
      <c r="AQ228" s="90" t="str">
        <f aca="false" t="array" ref="AQ228:AQ228">IF(AP228="","",AP228*INDEX(Справочники!$B$4:$B$7,MATCH("RUB",Справочники!$A$4:$A$7,0)))</f>
        <v/>
      </c>
      <c r="AR228" s="90" t="str">
        <f aca="false">IF(AQ228="","",ROUND(AQ228*(1+Справочники!$B$12),0))</f>
        <v/>
      </c>
      <c r="AS228" s="90" t="str">
        <f aca="false">IF(AR228="","",ROUND(AR228*(1-Справочники!$B$11),0))</f>
        <v/>
      </c>
      <c r="AT228" s="88"/>
      <c r="AU228" s="90" t="str">
        <f aca="false">IF(AT228="","",ROUND(AT228/(1+Справочники!$B$12),0))</f>
        <v/>
      </c>
      <c r="AV228" s="90" t="str">
        <f aca="false">IF(AT228="","",ROUND(AT228*(1-Справочники!$B$15),0))</f>
        <v/>
      </c>
      <c r="AW228" s="90" t="str">
        <f aca="false">IF(AT228="","",ROUND(AT228*(1-Справочники!$B$16),0))</f>
        <v/>
      </c>
      <c r="AX228" s="90" t="str">
        <f aca="false">IF(AT228="","",ROUND(AT228*(1-Справочники!$B$17),0))</f>
        <v/>
      </c>
      <c r="AY228" s="90" t="str">
        <f aca="false">IF(AT228="","",ROUND(AT228*(1-Справочники!$B$18),0))</f>
        <v/>
      </c>
      <c r="AZ228" s="90" t="str">
        <f aca="false">IF(AT228="","",ROUND(AT228*(1-Справочники!$B$19),0))</f>
        <v/>
      </c>
      <c r="BA228" s="81"/>
      <c r="BB228" s="81"/>
      <c r="BC228" s="81"/>
      <c r="BD228" s="81"/>
      <c r="BE228" s="91"/>
      <c r="BF228" s="81" t="s">
        <v>103</v>
      </c>
      <c r="BG228" s="89" t="n">
        <f aca="false" t="array" ref="BG228:BG228">IF(BF228="","",IFERROR(INDEX(Справочники!$B$4:$B$7,MATCH(BF228,Справочники!$A$4:$A$7,0)),""))</f>
        <v>68.5</v>
      </c>
      <c r="BH228" s="90" t="str">
        <f aca="false">IF(N(BN228)&gt;0,ROUND(SUMIF(ЗАКАЗЫ!$F$3:$F$500,$A228,ЗАКАЗЫ!$Y$3:$Y$500)/BN228,0),IF(OR(BE228="",BG228=""),"",ROUND(BE228*BG228*(1+Справочники!$B$10),0)))</f>
        <v/>
      </c>
      <c r="BI228" s="92" t="str">
        <f aca="false">IF(OR(AU228="",BH228="",AU228=0),"",(AU228-BH228)/AU228)</f>
        <v/>
      </c>
      <c r="BJ228" s="81"/>
      <c r="BK228" s="83"/>
      <c r="BL228" s="43" t="str">
        <f aca="false">IFERROR(INDEX(ЗАКАЗЫ!$N$3:$N$500,MATCH($A228,ЗАКАЗЫ!$F$3:$F$500,0)),"")</f>
        <v/>
      </c>
      <c r="BM228" s="8" t="str">
        <f aca="false">IF(BL228="","",IFERROR(VLOOKUP(BL228,'ТН ВЭД'!$A$4:$C$40,3,0),""))</f>
        <v/>
      </c>
      <c r="BN228" s="7" t="str">
        <f aca="false">IF(COUNTIF(ЗАКАЗЫ!$F$3:$F$500,$A228)=0,"",SUMIF(ЗАКАЗЫ!$F$3:$F$500,$A228,ЗАКАЗЫ!$J$3:$J$500))</f>
        <v/>
      </c>
      <c r="BO228" s="7" t="str">
        <f aca="false">IF(BN228="","",SUMIF(ЗАКАЗЫ!$F$3:$F$500,$A228,ЗАКАЗЫ!$AL$3:$AL$500))</f>
        <v/>
      </c>
      <c r="BP228" s="7" t="str">
        <f aca="false">IF(BN228="","",BN228-BO228)</f>
        <v/>
      </c>
      <c r="BQ228" s="55" t="str">
        <f aca="false">IF(BN228="","",IF(BO228&gt;=BN228,"На складе",IF(BO228&gt;0,"Частично","Ждём")))</f>
        <v/>
      </c>
      <c r="BR228" s="43"/>
      <c r="BS228" s="47" t="str">
        <f aca="false">IF(BN228="","",IF(_xlfn.MAXIFS(ЗАКАЗЫ!$AK$3:$AK$500,ЗАКАЗЫ!$F$3:$F$500,$A228)=0,"",_xlfn.MAXIFS(ЗАКАЗЫ!$AK$3:$AK$500,ЗАКАЗЫ!$F$3:$F$500,$A228)))</f>
        <v/>
      </c>
    </row>
    <row r="229" customFormat="false" ht="15.75" hidden="false" customHeight="true" outlineLevel="0" collapsed="false">
      <c r="A229" s="80" t="s">
        <v>3140</v>
      </c>
      <c r="B229" s="81"/>
      <c r="C229" s="81"/>
      <c r="D229" s="81"/>
      <c r="E229" s="83"/>
      <c r="F229" s="81"/>
      <c r="G229" s="83"/>
      <c r="H229" s="83"/>
      <c r="I229" s="84" t="str">
        <f aca="false">IF(E229="","",A229&amp;"_1.jpg")</f>
        <v/>
      </c>
      <c r="J229" s="84" t="str">
        <f aca="false">IF(E229="","",A229&amp;"_2.jpg; "&amp;A229&amp;"_3.jpg")</f>
        <v/>
      </c>
      <c r="K229" s="84" t="str">
        <f aca="false">IF(E229="","",A229&amp;"_schema.jpg")</f>
        <v/>
      </c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 t="s">
        <v>96</v>
      </c>
      <c r="W229" s="81"/>
      <c r="X229" s="81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6" t="str">
        <f aca="false">IF(SUM(Y229:AJ229)=0,"",SUM(Y229:AJ229))</f>
        <v/>
      </c>
      <c r="AL229" s="84" t="str">
        <f aca="false">MID(IF(N(Y229)&gt;0,", "&amp;Y$2,"")&amp;IF(N(Z229)&gt;0,", "&amp;Z$2,"")&amp;IF(N(AA229)&gt;0,", "&amp;AA$2,"")&amp;IF(N(AB229)&gt;0,", "&amp;AB$2,"")&amp;IF(N(AC229)&gt;0,", "&amp;AC$2,"")&amp;IF(N(AD229)&gt;0,", "&amp;AD$2,"")&amp;IF(N(AE229)&gt;0,", "&amp;AE$2,"")&amp;IF(N(AF229)&gt;0,", "&amp;AF$2,"")&amp;IF(N(AG229)&gt;0,", "&amp;AG$2,"")&amp;IF(N(AH229)&gt;0,", "&amp;AH$2,"")&amp;IF(N(AI229)&gt;0,", "&amp;AI$2,"")&amp;IF(N(AJ229)&gt;0,", "&amp;AJ$2,""),3,999)</f>
        <v/>
      </c>
      <c r="AM229" s="87" t="str">
        <f aca="false">IF(E229="","",MID(IF(N(Y229)&gt;0,", "&amp;A229&amp;"-"&amp;Y$2,"")&amp;IF(N(Z229)&gt;0,", "&amp;A229&amp;"-"&amp;Z$2,"")&amp;IF(N(AA229)&gt;0,", "&amp;A229&amp;"-"&amp;AA$2,"")&amp;IF(N(AB229)&gt;0,", "&amp;A229&amp;"-"&amp;AB$2,"")&amp;IF(N(AC229)&gt;0,", "&amp;A229&amp;"-"&amp;AC$2,"")&amp;IF(N(AD229)&gt;0,", "&amp;A229&amp;"-"&amp;AD$2,"")&amp;IF(N(AE229)&gt;0,", "&amp;A229&amp;"-"&amp;AE$2,"")&amp;IF(N(AF229)&gt;0,", "&amp;A229&amp;"-"&amp;AF$2,"")&amp;IF(N(AG229)&gt;0,", "&amp;A229&amp;"-"&amp;AG$2,"")&amp;IF(N(AH229)&gt;0,", "&amp;A229&amp;"-"&amp;AH$2,"")&amp;IF(N(AI229)&gt;0,", "&amp;A229&amp;"-"&amp;AI$2,"")&amp;IF(N(AJ229)&gt;0,", "&amp;A229&amp;"-"&amp;AJ$2,""),3,999))</f>
        <v/>
      </c>
      <c r="AN229" s="81"/>
      <c r="AO229" s="88"/>
      <c r="AP229" s="89" t="str">
        <f aca="false">IF(AO229="","",ROUND(AO229/(1+Справочники!$B$13),2))</f>
        <v/>
      </c>
      <c r="AQ229" s="90" t="str">
        <f aca="false" t="array" ref="AQ229:AQ229">IF(AP229="","",AP229*INDEX(Справочники!$B$4:$B$7,MATCH("RUB",Справочники!$A$4:$A$7,0)))</f>
        <v/>
      </c>
      <c r="AR229" s="90" t="str">
        <f aca="false">IF(AQ229="","",ROUND(AQ229*(1+Справочники!$B$12),0))</f>
        <v/>
      </c>
      <c r="AS229" s="90" t="str">
        <f aca="false">IF(AR229="","",ROUND(AR229*(1-Справочники!$B$11),0))</f>
        <v/>
      </c>
      <c r="AT229" s="88"/>
      <c r="AU229" s="90" t="str">
        <f aca="false">IF(AT229="","",ROUND(AT229/(1+Справочники!$B$12),0))</f>
        <v/>
      </c>
      <c r="AV229" s="90" t="str">
        <f aca="false">IF(AT229="","",ROUND(AT229*(1-Справочники!$B$15),0))</f>
        <v/>
      </c>
      <c r="AW229" s="90" t="str">
        <f aca="false">IF(AT229="","",ROUND(AT229*(1-Справочники!$B$16),0))</f>
        <v/>
      </c>
      <c r="AX229" s="90" t="str">
        <f aca="false">IF(AT229="","",ROUND(AT229*(1-Справочники!$B$17),0))</f>
        <v/>
      </c>
      <c r="AY229" s="90" t="str">
        <f aca="false">IF(AT229="","",ROUND(AT229*(1-Справочники!$B$18),0))</f>
        <v/>
      </c>
      <c r="AZ229" s="90" t="str">
        <f aca="false">IF(AT229="","",ROUND(AT229*(1-Справочники!$B$19),0))</f>
        <v/>
      </c>
      <c r="BA229" s="81"/>
      <c r="BB229" s="81"/>
      <c r="BC229" s="81"/>
      <c r="BD229" s="81"/>
      <c r="BE229" s="91"/>
      <c r="BF229" s="81" t="s">
        <v>103</v>
      </c>
      <c r="BG229" s="89" t="n">
        <f aca="false" t="array" ref="BG229:BG229">IF(BF229="","",IFERROR(INDEX(Справочники!$B$4:$B$7,MATCH(BF229,Справочники!$A$4:$A$7,0)),""))</f>
        <v>68.5</v>
      </c>
      <c r="BH229" s="90" t="str">
        <f aca="false">IF(N(BN229)&gt;0,ROUND(SUMIF(ЗАКАЗЫ!$F$3:$F$500,$A229,ЗАКАЗЫ!$Y$3:$Y$500)/BN229,0),IF(OR(BE229="",BG229=""),"",ROUND(BE229*BG229*(1+Справочники!$B$10),0)))</f>
        <v/>
      </c>
      <c r="BI229" s="92" t="str">
        <f aca="false">IF(OR(AU229="",BH229="",AU229=0),"",(AU229-BH229)/AU229)</f>
        <v/>
      </c>
      <c r="BJ229" s="81"/>
      <c r="BK229" s="83"/>
      <c r="BL229" s="43" t="str">
        <f aca="false">IFERROR(INDEX(ЗАКАЗЫ!$N$3:$N$500,MATCH($A229,ЗАКАЗЫ!$F$3:$F$500,0)),"")</f>
        <v/>
      </c>
      <c r="BM229" s="8" t="str">
        <f aca="false">IF(BL229="","",IFERROR(VLOOKUP(BL229,'ТН ВЭД'!$A$4:$C$40,3,0),""))</f>
        <v/>
      </c>
      <c r="BN229" s="7" t="str">
        <f aca="false">IF(COUNTIF(ЗАКАЗЫ!$F$3:$F$500,$A229)=0,"",SUMIF(ЗАКАЗЫ!$F$3:$F$500,$A229,ЗАКАЗЫ!$J$3:$J$500))</f>
        <v/>
      </c>
      <c r="BO229" s="7" t="str">
        <f aca="false">IF(BN229="","",SUMIF(ЗАКАЗЫ!$F$3:$F$500,$A229,ЗАКАЗЫ!$AL$3:$AL$500))</f>
        <v/>
      </c>
      <c r="BP229" s="7" t="str">
        <f aca="false">IF(BN229="","",BN229-BO229)</f>
        <v/>
      </c>
      <c r="BQ229" s="55" t="str">
        <f aca="false">IF(BN229="","",IF(BO229&gt;=BN229,"На складе",IF(BO229&gt;0,"Частично","Ждём")))</f>
        <v/>
      </c>
      <c r="BR229" s="43"/>
      <c r="BS229" s="47" t="str">
        <f aca="false">IF(BN229="","",IF(_xlfn.MAXIFS(ЗАКАЗЫ!$AK$3:$AK$500,ЗАКАЗЫ!$F$3:$F$500,$A229)=0,"",_xlfn.MAXIFS(ЗАКАЗЫ!$AK$3:$AK$500,ЗАКАЗЫ!$F$3:$F$500,$A229)))</f>
        <v/>
      </c>
    </row>
    <row r="230" customFormat="false" ht="15.75" hidden="false" customHeight="true" outlineLevel="0" collapsed="false">
      <c r="A230" s="80" t="s">
        <v>3141</v>
      </c>
      <c r="B230" s="81"/>
      <c r="C230" s="81"/>
      <c r="D230" s="81"/>
      <c r="E230" s="83"/>
      <c r="F230" s="81"/>
      <c r="G230" s="83"/>
      <c r="H230" s="83"/>
      <c r="I230" s="84" t="str">
        <f aca="false">IF(E230="","",A230&amp;"_1.jpg")</f>
        <v/>
      </c>
      <c r="J230" s="84" t="str">
        <f aca="false">IF(E230="","",A230&amp;"_2.jpg; "&amp;A230&amp;"_3.jpg")</f>
        <v/>
      </c>
      <c r="K230" s="84" t="str">
        <f aca="false">IF(E230="","",A230&amp;"_schema.jpg")</f>
        <v/>
      </c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 t="s">
        <v>96</v>
      </c>
      <c r="W230" s="81"/>
      <c r="X230" s="81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6" t="str">
        <f aca="false">IF(SUM(Y230:AJ230)=0,"",SUM(Y230:AJ230))</f>
        <v/>
      </c>
      <c r="AL230" s="84" t="str">
        <f aca="false">MID(IF(N(Y230)&gt;0,", "&amp;Y$2,"")&amp;IF(N(Z230)&gt;0,", "&amp;Z$2,"")&amp;IF(N(AA230)&gt;0,", "&amp;AA$2,"")&amp;IF(N(AB230)&gt;0,", "&amp;AB$2,"")&amp;IF(N(AC230)&gt;0,", "&amp;AC$2,"")&amp;IF(N(AD230)&gt;0,", "&amp;AD$2,"")&amp;IF(N(AE230)&gt;0,", "&amp;AE$2,"")&amp;IF(N(AF230)&gt;0,", "&amp;AF$2,"")&amp;IF(N(AG230)&gt;0,", "&amp;AG$2,"")&amp;IF(N(AH230)&gt;0,", "&amp;AH$2,"")&amp;IF(N(AI230)&gt;0,", "&amp;AI$2,"")&amp;IF(N(AJ230)&gt;0,", "&amp;AJ$2,""),3,999)</f>
        <v/>
      </c>
      <c r="AM230" s="87" t="str">
        <f aca="false">IF(E230="","",MID(IF(N(Y230)&gt;0,", "&amp;A230&amp;"-"&amp;Y$2,"")&amp;IF(N(Z230)&gt;0,", "&amp;A230&amp;"-"&amp;Z$2,"")&amp;IF(N(AA230)&gt;0,", "&amp;A230&amp;"-"&amp;AA$2,"")&amp;IF(N(AB230)&gt;0,", "&amp;A230&amp;"-"&amp;AB$2,"")&amp;IF(N(AC230)&gt;0,", "&amp;A230&amp;"-"&amp;AC$2,"")&amp;IF(N(AD230)&gt;0,", "&amp;A230&amp;"-"&amp;AD$2,"")&amp;IF(N(AE230)&gt;0,", "&amp;A230&amp;"-"&amp;AE$2,"")&amp;IF(N(AF230)&gt;0,", "&amp;A230&amp;"-"&amp;AF$2,"")&amp;IF(N(AG230)&gt;0,", "&amp;A230&amp;"-"&amp;AG$2,"")&amp;IF(N(AH230)&gt;0,", "&amp;A230&amp;"-"&amp;AH$2,"")&amp;IF(N(AI230)&gt;0,", "&amp;A230&amp;"-"&amp;AI$2,"")&amp;IF(N(AJ230)&gt;0,", "&amp;A230&amp;"-"&amp;AJ$2,""),3,999))</f>
        <v/>
      </c>
      <c r="AN230" s="81"/>
      <c r="AO230" s="88"/>
      <c r="AP230" s="89" t="str">
        <f aca="false">IF(AO230="","",ROUND(AO230/(1+Справочники!$B$13),2))</f>
        <v/>
      </c>
      <c r="AQ230" s="90" t="str">
        <f aca="false" t="array" ref="AQ230:AQ230">IF(AP230="","",AP230*INDEX(Справочники!$B$4:$B$7,MATCH("RUB",Справочники!$A$4:$A$7,0)))</f>
        <v/>
      </c>
      <c r="AR230" s="90" t="str">
        <f aca="false">IF(AQ230="","",ROUND(AQ230*(1+Справочники!$B$12),0))</f>
        <v/>
      </c>
      <c r="AS230" s="90" t="str">
        <f aca="false">IF(AR230="","",ROUND(AR230*(1-Справочники!$B$11),0))</f>
        <v/>
      </c>
      <c r="AT230" s="88"/>
      <c r="AU230" s="90" t="str">
        <f aca="false">IF(AT230="","",ROUND(AT230/(1+Справочники!$B$12),0))</f>
        <v/>
      </c>
      <c r="AV230" s="90" t="str">
        <f aca="false">IF(AT230="","",ROUND(AT230*(1-Справочники!$B$15),0))</f>
        <v/>
      </c>
      <c r="AW230" s="90" t="str">
        <f aca="false">IF(AT230="","",ROUND(AT230*(1-Справочники!$B$16),0))</f>
        <v/>
      </c>
      <c r="AX230" s="90" t="str">
        <f aca="false">IF(AT230="","",ROUND(AT230*(1-Справочники!$B$17),0))</f>
        <v/>
      </c>
      <c r="AY230" s="90" t="str">
        <f aca="false">IF(AT230="","",ROUND(AT230*(1-Справочники!$B$18),0))</f>
        <v/>
      </c>
      <c r="AZ230" s="90" t="str">
        <f aca="false">IF(AT230="","",ROUND(AT230*(1-Справочники!$B$19),0))</f>
        <v/>
      </c>
      <c r="BA230" s="81"/>
      <c r="BB230" s="81"/>
      <c r="BC230" s="81"/>
      <c r="BD230" s="81"/>
      <c r="BE230" s="91"/>
      <c r="BF230" s="81" t="s">
        <v>103</v>
      </c>
      <c r="BG230" s="89" t="n">
        <f aca="false" t="array" ref="BG230:BG230">IF(BF230="","",IFERROR(INDEX(Справочники!$B$4:$B$7,MATCH(BF230,Справочники!$A$4:$A$7,0)),""))</f>
        <v>68.5</v>
      </c>
      <c r="BH230" s="90" t="str">
        <f aca="false">IF(N(BN230)&gt;0,ROUND(SUMIF(ЗАКАЗЫ!$F$3:$F$500,$A230,ЗАКАЗЫ!$Y$3:$Y$500)/BN230,0),IF(OR(BE230="",BG230=""),"",ROUND(BE230*BG230*(1+Справочники!$B$10),0)))</f>
        <v/>
      </c>
      <c r="BI230" s="92" t="str">
        <f aca="false">IF(OR(AU230="",BH230="",AU230=0),"",(AU230-BH230)/AU230)</f>
        <v/>
      </c>
      <c r="BJ230" s="81"/>
      <c r="BK230" s="83"/>
      <c r="BL230" s="43" t="str">
        <f aca="false">IFERROR(INDEX(ЗАКАЗЫ!$N$3:$N$500,MATCH($A230,ЗАКАЗЫ!$F$3:$F$500,0)),"")</f>
        <v/>
      </c>
      <c r="BM230" s="8" t="str">
        <f aca="false">IF(BL230="","",IFERROR(VLOOKUP(BL230,'ТН ВЭД'!$A$4:$C$40,3,0),""))</f>
        <v/>
      </c>
      <c r="BN230" s="7" t="str">
        <f aca="false">IF(COUNTIF(ЗАКАЗЫ!$F$3:$F$500,$A230)=0,"",SUMIF(ЗАКАЗЫ!$F$3:$F$500,$A230,ЗАКАЗЫ!$J$3:$J$500))</f>
        <v/>
      </c>
      <c r="BO230" s="7" t="str">
        <f aca="false">IF(BN230="","",SUMIF(ЗАКАЗЫ!$F$3:$F$500,$A230,ЗАКАЗЫ!$AL$3:$AL$500))</f>
        <v/>
      </c>
      <c r="BP230" s="7" t="str">
        <f aca="false">IF(BN230="","",BN230-BO230)</f>
        <v/>
      </c>
      <c r="BQ230" s="55" t="str">
        <f aca="false">IF(BN230="","",IF(BO230&gt;=BN230,"На складе",IF(BO230&gt;0,"Частично","Ждём")))</f>
        <v/>
      </c>
      <c r="BR230" s="43"/>
      <c r="BS230" s="47" t="str">
        <f aca="false">IF(BN230="","",IF(_xlfn.MAXIFS(ЗАКАЗЫ!$AK$3:$AK$500,ЗАКАЗЫ!$F$3:$F$500,$A230)=0,"",_xlfn.MAXIFS(ЗАКАЗЫ!$AK$3:$AK$500,ЗАКАЗЫ!$F$3:$F$500,$A230)))</f>
        <v/>
      </c>
    </row>
    <row r="231" customFormat="false" ht="15.75" hidden="false" customHeight="true" outlineLevel="0" collapsed="false">
      <c r="A231" s="80" t="s">
        <v>3142</v>
      </c>
      <c r="B231" s="81"/>
      <c r="C231" s="81"/>
      <c r="D231" s="81"/>
      <c r="E231" s="83"/>
      <c r="F231" s="81"/>
      <c r="G231" s="83"/>
      <c r="H231" s="83"/>
      <c r="I231" s="84" t="str">
        <f aca="false">IF(E231="","",A231&amp;"_1.jpg")</f>
        <v/>
      </c>
      <c r="J231" s="84" t="str">
        <f aca="false">IF(E231="","",A231&amp;"_2.jpg; "&amp;A231&amp;"_3.jpg")</f>
        <v/>
      </c>
      <c r="K231" s="84" t="str">
        <f aca="false">IF(E231="","",A231&amp;"_schema.jpg")</f>
        <v/>
      </c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 t="s">
        <v>96</v>
      </c>
      <c r="W231" s="81"/>
      <c r="X231" s="81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6" t="str">
        <f aca="false">IF(SUM(Y231:AJ231)=0,"",SUM(Y231:AJ231))</f>
        <v/>
      </c>
      <c r="AL231" s="84" t="str">
        <f aca="false">MID(IF(N(Y231)&gt;0,", "&amp;Y$2,"")&amp;IF(N(Z231)&gt;0,", "&amp;Z$2,"")&amp;IF(N(AA231)&gt;0,", "&amp;AA$2,"")&amp;IF(N(AB231)&gt;0,", "&amp;AB$2,"")&amp;IF(N(AC231)&gt;0,", "&amp;AC$2,"")&amp;IF(N(AD231)&gt;0,", "&amp;AD$2,"")&amp;IF(N(AE231)&gt;0,", "&amp;AE$2,"")&amp;IF(N(AF231)&gt;0,", "&amp;AF$2,"")&amp;IF(N(AG231)&gt;0,", "&amp;AG$2,"")&amp;IF(N(AH231)&gt;0,", "&amp;AH$2,"")&amp;IF(N(AI231)&gt;0,", "&amp;AI$2,"")&amp;IF(N(AJ231)&gt;0,", "&amp;AJ$2,""),3,999)</f>
        <v/>
      </c>
      <c r="AM231" s="87" t="str">
        <f aca="false">IF(E231="","",MID(IF(N(Y231)&gt;0,", "&amp;A231&amp;"-"&amp;Y$2,"")&amp;IF(N(Z231)&gt;0,", "&amp;A231&amp;"-"&amp;Z$2,"")&amp;IF(N(AA231)&gt;0,", "&amp;A231&amp;"-"&amp;AA$2,"")&amp;IF(N(AB231)&gt;0,", "&amp;A231&amp;"-"&amp;AB$2,"")&amp;IF(N(AC231)&gt;0,", "&amp;A231&amp;"-"&amp;AC$2,"")&amp;IF(N(AD231)&gt;0,", "&amp;A231&amp;"-"&amp;AD$2,"")&amp;IF(N(AE231)&gt;0,", "&amp;A231&amp;"-"&amp;AE$2,"")&amp;IF(N(AF231)&gt;0,", "&amp;A231&amp;"-"&amp;AF$2,"")&amp;IF(N(AG231)&gt;0,", "&amp;A231&amp;"-"&amp;AG$2,"")&amp;IF(N(AH231)&gt;0,", "&amp;A231&amp;"-"&amp;AH$2,"")&amp;IF(N(AI231)&gt;0,", "&amp;A231&amp;"-"&amp;AI$2,"")&amp;IF(N(AJ231)&gt;0,", "&amp;A231&amp;"-"&amp;AJ$2,""),3,999))</f>
        <v/>
      </c>
      <c r="AN231" s="81"/>
      <c r="AO231" s="88"/>
      <c r="AP231" s="89" t="str">
        <f aca="false">IF(AO231="","",ROUND(AO231/(1+Справочники!$B$13),2))</f>
        <v/>
      </c>
      <c r="AQ231" s="90" t="str">
        <f aca="false" t="array" ref="AQ231:AQ231">IF(AP231="","",AP231*INDEX(Справочники!$B$4:$B$7,MATCH("RUB",Справочники!$A$4:$A$7,0)))</f>
        <v/>
      </c>
      <c r="AR231" s="90" t="str">
        <f aca="false">IF(AQ231="","",ROUND(AQ231*(1+Справочники!$B$12),0))</f>
        <v/>
      </c>
      <c r="AS231" s="90" t="str">
        <f aca="false">IF(AR231="","",ROUND(AR231*(1-Справочники!$B$11),0))</f>
        <v/>
      </c>
      <c r="AT231" s="88"/>
      <c r="AU231" s="90" t="str">
        <f aca="false">IF(AT231="","",ROUND(AT231/(1+Справочники!$B$12),0))</f>
        <v/>
      </c>
      <c r="AV231" s="90" t="str">
        <f aca="false">IF(AT231="","",ROUND(AT231*(1-Справочники!$B$15),0))</f>
        <v/>
      </c>
      <c r="AW231" s="90" t="str">
        <f aca="false">IF(AT231="","",ROUND(AT231*(1-Справочники!$B$16),0))</f>
        <v/>
      </c>
      <c r="AX231" s="90" t="str">
        <f aca="false">IF(AT231="","",ROUND(AT231*(1-Справочники!$B$17),0))</f>
        <v/>
      </c>
      <c r="AY231" s="90" t="str">
        <f aca="false">IF(AT231="","",ROUND(AT231*(1-Справочники!$B$18),0))</f>
        <v/>
      </c>
      <c r="AZ231" s="90" t="str">
        <f aca="false">IF(AT231="","",ROUND(AT231*(1-Справочники!$B$19),0))</f>
        <v/>
      </c>
      <c r="BA231" s="81"/>
      <c r="BB231" s="81"/>
      <c r="BC231" s="81"/>
      <c r="BD231" s="81"/>
      <c r="BE231" s="91"/>
      <c r="BF231" s="81" t="s">
        <v>103</v>
      </c>
      <c r="BG231" s="89" t="n">
        <f aca="false" t="array" ref="BG231:BG231">IF(BF231="","",IFERROR(INDEX(Справочники!$B$4:$B$7,MATCH(BF231,Справочники!$A$4:$A$7,0)),""))</f>
        <v>68.5</v>
      </c>
      <c r="BH231" s="90" t="str">
        <f aca="false">IF(N(BN231)&gt;0,ROUND(SUMIF(ЗАКАЗЫ!$F$3:$F$500,$A231,ЗАКАЗЫ!$Y$3:$Y$500)/BN231,0),IF(OR(BE231="",BG231=""),"",ROUND(BE231*BG231*(1+Справочники!$B$10),0)))</f>
        <v/>
      </c>
      <c r="BI231" s="92" t="str">
        <f aca="false">IF(OR(AU231="",BH231="",AU231=0),"",(AU231-BH231)/AU231)</f>
        <v/>
      </c>
      <c r="BJ231" s="81"/>
      <c r="BK231" s="83"/>
      <c r="BL231" s="43" t="str">
        <f aca="false">IFERROR(INDEX(ЗАКАЗЫ!$N$3:$N$500,MATCH($A231,ЗАКАЗЫ!$F$3:$F$500,0)),"")</f>
        <v/>
      </c>
      <c r="BM231" s="8" t="str">
        <f aca="false">IF(BL231="","",IFERROR(VLOOKUP(BL231,'ТН ВЭД'!$A$4:$C$40,3,0),""))</f>
        <v/>
      </c>
      <c r="BN231" s="7" t="str">
        <f aca="false">IF(COUNTIF(ЗАКАЗЫ!$F$3:$F$500,$A231)=0,"",SUMIF(ЗАКАЗЫ!$F$3:$F$500,$A231,ЗАКАЗЫ!$J$3:$J$500))</f>
        <v/>
      </c>
      <c r="BO231" s="7" t="str">
        <f aca="false">IF(BN231="","",SUMIF(ЗАКАЗЫ!$F$3:$F$500,$A231,ЗАКАЗЫ!$AL$3:$AL$500))</f>
        <v/>
      </c>
      <c r="BP231" s="7" t="str">
        <f aca="false">IF(BN231="","",BN231-BO231)</f>
        <v/>
      </c>
      <c r="BQ231" s="55" t="str">
        <f aca="false">IF(BN231="","",IF(BO231&gt;=BN231,"На складе",IF(BO231&gt;0,"Частично","Ждём")))</f>
        <v/>
      </c>
      <c r="BR231" s="43"/>
      <c r="BS231" s="47" t="str">
        <f aca="false">IF(BN231="","",IF(_xlfn.MAXIFS(ЗАКАЗЫ!$AK$3:$AK$500,ЗАКАЗЫ!$F$3:$F$500,$A231)=0,"",_xlfn.MAXIFS(ЗАКАЗЫ!$AK$3:$AK$500,ЗАКАЗЫ!$F$3:$F$500,$A231)))</f>
        <v/>
      </c>
    </row>
    <row r="232" customFormat="false" ht="15.75" hidden="false" customHeight="true" outlineLevel="0" collapsed="false">
      <c r="A232" s="80" t="s">
        <v>3143</v>
      </c>
      <c r="B232" s="81"/>
      <c r="C232" s="81"/>
      <c r="D232" s="81"/>
      <c r="E232" s="83"/>
      <c r="F232" s="81"/>
      <c r="G232" s="83"/>
      <c r="H232" s="83"/>
      <c r="I232" s="84" t="str">
        <f aca="false">IF(E232="","",A232&amp;"_1.jpg")</f>
        <v/>
      </c>
      <c r="J232" s="84" t="str">
        <f aca="false">IF(E232="","",A232&amp;"_2.jpg; "&amp;A232&amp;"_3.jpg")</f>
        <v/>
      </c>
      <c r="K232" s="84" t="str">
        <f aca="false">IF(E232="","",A232&amp;"_schema.jpg")</f>
        <v/>
      </c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 t="s">
        <v>96</v>
      </c>
      <c r="W232" s="81"/>
      <c r="X232" s="81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6" t="str">
        <f aca="false">IF(SUM(Y232:AJ232)=0,"",SUM(Y232:AJ232))</f>
        <v/>
      </c>
      <c r="AL232" s="84" t="str">
        <f aca="false">MID(IF(N(Y232)&gt;0,", "&amp;Y$2,"")&amp;IF(N(Z232)&gt;0,", "&amp;Z$2,"")&amp;IF(N(AA232)&gt;0,", "&amp;AA$2,"")&amp;IF(N(AB232)&gt;0,", "&amp;AB$2,"")&amp;IF(N(AC232)&gt;0,", "&amp;AC$2,"")&amp;IF(N(AD232)&gt;0,", "&amp;AD$2,"")&amp;IF(N(AE232)&gt;0,", "&amp;AE$2,"")&amp;IF(N(AF232)&gt;0,", "&amp;AF$2,"")&amp;IF(N(AG232)&gt;0,", "&amp;AG$2,"")&amp;IF(N(AH232)&gt;0,", "&amp;AH$2,"")&amp;IF(N(AI232)&gt;0,", "&amp;AI$2,"")&amp;IF(N(AJ232)&gt;0,", "&amp;AJ$2,""),3,999)</f>
        <v/>
      </c>
      <c r="AM232" s="87" t="str">
        <f aca="false">IF(E232="","",MID(IF(N(Y232)&gt;0,", "&amp;A232&amp;"-"&amp;Y$2,"")&amp;IF(N(Z232)&gt;0,", "&amp;A232&amp;"-"&amp;Z$2,"")&amp;IF(N(AA232)&gt;0,", "&amp;A232&amp;"-"&amp;AA$2,"")&amp;IF(N(AB232)&gt;0,", "&amp;A232&amp;"-"&amp;AB$2,"")&amp;IF(N(AC232)&gt;0,", "&amp;A232&amp;"-"&amp;AC$2,"")&amp;IF(N(AD232)&gt;0,", "&amp;A232&amp;"-"&amp;AD$2,"")&amp;IF(N(AE232)&gt;0,", "&amp;A232&amp;"-"&amp;AE$2,"")&amp;IF(N(AF232)&gt;0,", "&amp;A232&amp;"-"&amp;AF$2,"")&amp;IF(N(AG232)&gt;0,", "&amp;A232&amp;"-"&amp;AG$2,"")&amp;IF(N(AH232)&gt;0,", "&amp;A232&amp;"-"&amp;AH$2,"")&amp;IF(N(AI232)&gt;0,", "&amp;A232&amp;"-"&amp;AI$2,"")&amp;IF(N(AJ232)&gt;0,", "&amp;A232&amp;"-"&amp;AJ$2,""),3,999))</f>
        <v/>
      </c>
      <c r="AN232" s="81"/>
      <c r="AO232" s="88"/>
      <c r="AP232" s="89" t="str">
        <f aca="false">IF(AO232="","",ROUND(AO232/(1+Справочники!$B$13),2))</f>
        <v/>
      </c>
      <c r="AQ232" s="90" t="str">
        <f aca="false" t="array" ref="AQ232:AQ232">IF(AP232="","",AP232*INDEX(Справочники!$B$4:$B$7,MATCH("RUB",Справочники!$A$4:$A$7,0)))</f>
        <v/>
      </c>
      <c r="AR232" s="90" t="str">
        <f aca="false">IF(AQ232="","",ROUND(AQ232*(1+Справочники!$B$12),0))</f>
        <v/>
      </c>
      <c r="AS232" s="90" t="str">
        <f aca="false">IF(AR232="","",ROUND(AR232*(1-Справочники!$B$11),0))</f>
        <v/>
      </c>
      <c r="AT232" s="88"/>
      <c r="AU232" s="90" t="str">
        <f aca="false">IF(AT232="","",ROUND(AT232/(1+Справочники!$B$12),0))</f>
        <v/>
      </c>
      <c r="AV232" s="90" t="str">
        <f aca="false">IF(AT232="","",ROUND(AT232*(1-Справочники!$B$15),0))</f>
        <v/>
      </c>
      <c r="AW232" s="90" t="str">
        <f aca="false">IF(AT232="","",ROUND(AT232*(1-Справочники!$B$16),0))</f>
        <v/>
      </c>
      <c r="AX232" s="90" t="str">
        <f aca="false">IF(AT232="","",ROUND(AT232*(1-Справочники!$B$17),0))</f>
        <v/>
      </c>
      <c r="AY232" s="90" t="str">
        <f aca="false">IF(AT232="","",ROUND(AT232*(1-Справочники!$B$18),0))</f>
        <v/>
      </c>
      <c r="AZ232" s="90" t="str">
        <f aca="false">IF(AT232="","",ROUND(AT232*(1-Справочники!$B$19),0))</f>
        <v/>
      </c>
      <c r="BA232" s="81"/>
      <c r="BB232" s="81"/>
      <c r="BC232" s="81"/>
      <c r="BD232" s="81"/>
      <c r="BE232" s="91"/>
      <c r="BF232" s="81" t="s">
        <v>103</v>
      </c>
      <c r="BG232" s="89" t="n">
        <f aca="false" t="array" ref="BG232:BG232">IF(BF232="","",IFERROR(INDEX(Справочники!$B$4:$B$7,MATCH(BF232,Справочники!$A$4:$A$7,0)),""))</f>
        <v>68.5</v>
      </c>
      <c r="BH232" s="90" t="str">
        <f aca="false">IF(N(BN232)&gt;0,ROUND(SUMIF(ЗАКАЗЫ!$F$3:$F$500,$A232,ЗАКАЗЫ!$Y$3:$Y$500)/BN232,0),IF(OR(BE232="",BG232=""),"",ROUND(BE232*BG232*(1+Справочники!$B$10),0)))</f>
        <v/>
      </c>
      <c r="BI232" s="92" t="str">
        <f aca="false">IF(OR(AU232="",BH232="",AU232=0),"",(AU232-BH232)/AU232)</f>
        <v/>
      </c>
      <c r="BJ232" s="81"/>
      <c r="BK232" s="83"/>
      <c r="BL232" s="43" t="str">
        <f aca="false">IFERROR(INDEX(ЗАКАЗЫ!$N$3:$N$500,MATCH($A232,ЗАКАЗЫ!$F$3:$F$500,0)),"")</f>
        <v/>
      </c>
      <c r="BM232" s="8" t="str">
        <f aca="false">IF(BL232="","",IFERROR(VLOOKUP(BL232,'ТН ВЭД'!$A$4:$C$40,3,0),""))</f>
        <v/>
      </c>
      <c r="BN232" s="7" t="str">
        <f aca="false">IF(COUNTIF(ЗАКАЗЫ!$F$3:$F$500,$A232)=0,"",SUMIF(ЗАКАЗЫ!$F$3:$F$500,$A232,ЗАКАЗЫ!$J$3:$J$500))</f>
        <v/>
      </c>
      <c r="BO232" s="7" t="str">
        <f aca="false">IF(BN232="","",SUMIF(ЗАКАЗЫ!$F$3:$F$500,$A232,ЗАКАЗЫ!$AL$3:$AL$500))</f>
        <v/>
      </c>
      <c r="BP232" s="7" t="str">
        <f aca="false">IF(BN232="","",BN232-BO232)</f>
        <v/>
      </c>
      <c r="BQ232" s="55" t="str">
        <f aca="false">IF(BN232="","",IF(BO232&gt;=BN232,"На складе",IF(BO232&gt;0,"Частично","Ждём")))</f>
        <v/>
      </c>
      <c r="BR232" s="43"/>
      <c r="BS232" s="47" t="str">
        <f aca="false">IF(BN232="","",IF(_xlfn.MAXIFS(ЗАКАЗЫ!$AK$3:$AK$500,ЗАКАЗЫ!$F$3:$F$500,$A232)=0,"",_xlfn.MAXIFS(ЗАКАЗЫ!$AK$3:$AK$500,ЗАКАЗЫ!$F$3:$F$500,$A232)))</f>
        <v/>
      </c>
    </row>
    <row r="233" customFormat="false" ht="15.75" hidden="false" customHeight="true" outlineLevel="0" collapsed="false">
      <c r="A233" s="80" t="s">
        <v>3144</v>
      </c>
      <c r="B233" s="81"/>
      <c r="C233" s="81"/>
      <c r="D233" s="81"/>
      <c r="E233" s="83"/>
      <c r="F233" s="81"/>
      <c r="G233" s="83"/>
      <c r="H233" s="83"/>
      <c r="I233" s="84" t="str">
        <f aca="false">IF(E233="","",A233&amp;"_1.jpg")</f>
        <v/>
      </c>
      <c r="J233" s="84" t="str">
        <f aca="false">IF(E233="","",A233&amp;"_2.jpg; "&amp;A233&amp;"_3.jpg")</f>
        <v/>
      </c>
      <c r="K233" s="84" t="str">
        <f aca="false">IF(E233="","",A233&amp;"_schema.jpg")</f>
        <v/>
      </c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 t="s">
        <v>96</v>
      </c>
      <c r="W233" s="81"/>
      <c r="X233" s="81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6" t="str">
        <f aca="false">IF(SUM(Y233:AJ233)=0,"",SUM(Y233:AJ233))</f>
        <v/>
      </c>
      <c r="AL233" s="84" t="str">
        <f aca="false">MID(IF(N(Y233)&gt;0,", "&amp;Y$2,"")&amp;IF(N(Z233)&gt;0,", "&amp;Z$2,"")&amp;IF(N(AA233)&gt;0,", "&amp;AA$2,"")&amp;IF(N(AB233)&gt;0,", "&amp;AB$2,"")&amp;IF(N(AC233)&gt;0,", "&amp;AC$2,"")&amp;IF(N(AD233)&gt;0,", "&amp;AD$2,"")&amp;IF(N(AE233)&gt;0,", "&amp;AE$2,"")&amp;IF(N(AF233)&gt;0,", "&amp;AF$2,"")&amp;IF(N(AG233)&gt;0,", "&amp;AG$2,"")&amp;IF(N(AH233)&gt;0,", "&amp;AH$2,"")&amp;IF(N(AI233)&gt;0,", "&amp;AI$2,"")&amp;IF(N(AJ233)&gt;0,", "&amp;AJ$2,""),3,999)</f>
        <v/>
      </c>
      <c r="AM233" s="87" t="str">
        <f aca="false">IF(E233="","",MID(IF(N(Y233)&gt;0,", "&amp;A233&amp;"-"&amp;Y$2,"")&amp;IF(N(Z233)&gt;0,", "&amp;A233&amp;"-"&amp;Z$2,"")&amp;IF(N(AA233)&gt;0,", "&amp;A233&amp;"-"&amp;AA$2,"")&amp;IF(N(AB233)&gt;0,", "&amp;A233&amp;"-"&amp;AB$2,"")&amp;IF(N(AC233)&gt;0,", "&amp;A233&amp;"-"&amp;AC$2,"")&amp;IF(N(AD233)&gt;0,", "&amp;A233&amp;"-"&amp;AD$2,"")&amp;IF(N(AE233)&gt;0,", "&amp;A233&amp;"-"&amp;AE$2,"")&amp;IF(N(AF233)&gt;0,", "&amp;A233&amp;"-"&amp;AF$2,"")&amp;IF(N(AG233)&gt;0,", "&amp;A233&amp;"-"&amp;AG$2,"")&amp;IF(N(AH233)&gt;0,", "&amp;A233&amp;"-"&amp;AH$2,"")&amp;IF(N(AI233)&gt;0,", "&amp;A233&amp;"-"&amp;AI$2,"")&amp;IF(N(AJ233)&gt;0,", "&amp;A233&amp;"-"&amp;AJ$2,""),3,999))</f>
        <v/>
      </c>
      <c r="AN233" s="81"/>
      <c r="AO233" s="88"/>
      <c r="AP233" s="89" t="str">
        <f aca="false">IF(AO233="","",ROUND(AO233/(1+Справочники!$B$13),2))</f>
        <v/>
      </c>
      <c r="AQ233" s="90" t="str">
        <f aca="false" t="array" ref="AQ233:AQ233">IF(AP233="","",AP233*INDEX(Справочники!$B$4:$B$7,MATCH("RUB",Справочники!$A$4:$A$7,0)))</f>
        <v/>
      </c>
      <c r="AR233" s="90" t="str">
        <f aca="false">IF(AQ233="","",ROUND(AQ233*(1+Справочники!$B$12),0))</f>
        <v/>
      </c>
      <c r="AS233" s="90" t="str">
        <f aca="false">IF(AR233="","",ROUND(AR233*(1-Справочники!$B$11),0))</f>
        <v/>
      </c>
      <c r="AT233" s="88"/>
      <c r="AU233" s="90" t="str">
        <f aca="false">IF(AT233="","",ROUND(AT233/(1+Справочники!$B$12),0))</f>
        <v/>
      </c>
      <c r="AV233" s="90" t="str">
        <f aca="false">IF(AT233="","",ROUND(AT233*(1-Справочники!$B$15),0))</f>
        <v/>
      </c>
      <c r="AW233" s="90" t="str">
        <f aca="false">IF(AT233="","",ROUND(AT233*(1-Справочники!$B$16),0))</f>
        <v/>
      </c>
      <c r="AX233" s="90" t="str">
        <f aca="false">IF(AT233="","",ROUND(AT233*(1-Справочники!$B$17),0))</f>
        <v/>
      </c>
      <c r="AY233" s="90" t="str">
        <f aca="false">IF(AT233="","",ROUND(AT233*(1-Справочники!$B$18),0))</f>
        <v/>
      </c>
      <c r="AZ233" s="90" t="str">
        <f aca="false">IF(AT233="","",ROUND(AT233*(1-Справочники!$B$19),0))</f>
        <v/>
      </c>
      <c r="BA233" s="81"/>
      <c r="BB233" s="81"/>
      <c r="BC233" s="81"/>
      <c r="BD233" s="81"/>
      <c r="BE233" s="91"/>
      <c r="BF233" s="81" t="s">
        <v>103</v>
      </c>
      <c r="BG233" s="89" t="n">
        <f aca="false" t="array" ref="BG233:BG233">IF(BF233="","",IFERROR(INDEX(Справочники!$B$4:$B$7,MATCH(BF233,Справочники!$A$4:$A$7,0)),""))</f>
        <v>68.5</v>
      </c>
      <c r="BH233" s="90" t="str">
        <f aca="false">IF(N(BN233)&gt;0,ROUND(SUMIF(ЗАКАЗЫ!$F$3:$F$500,$A233,ЗАКАЗЫ!$Y$3:$Y$500)/BN233,0),IF(OR(BE233="",BG233=""),"",ROUND(BE233*BG233*(1+Справочники!$B$10),0)))</f>
        <v/>
      </c>
      <c r="BI233" s="92" t="str">
        <f aca="false">IF(OR(AU233="",BH233="",AU233=0),"",(AU233-BH233)/AU233)</f>
        <v/>
      </c>
      <c r="BJ233" s="81"/>
      <c r="BK233" s="83"/>
      <c r="BL233" s="43" t="str">
        <f aca="false">IFERROR(INDEX(ЗАКАЗЫ!$N$3:$N$500,MATCH($A233,ЗАКАЗЫ!$F$3:$F$500,0)),"")</f>
        <v/>
      </c>
      <c r="BM233" s="8" t="str">
        <f aca="false">IF(BL233="","",IFERROR(VLOOKUP(BL233,'ТН ВЭД'!$A$4:$C$40,3,0),""))</f>
        <v/>
      </c>
      <c r="BN233" s="7" t="str">
        <f aca="false">IF(COUNTIF(ЗАКАЗЫ!$F$3:$F$500,$A233)=0,"",SUMIF(ЗАКАЗЫ!$F$3:$F$500,$A233,ЗАКАЗЫ!$J$3:$J$500))</f>
        <v/>
      </c>
      <c r="BO233" s="7" t="str">
        <f aca="false">IF(BN233="","",SUMIF(ЗАКАЗЫ!$F$3:$F$500,$A233,ЗАКАЗЫ!$AL$3:$AL$500))</f>
        <v/>
      </c>
      <c r="BP233" s="7" t="str">
        <f aca="false">IF(BN233="","",BN233-BO233)</f>
        <v/>
      </c>
      <c r="BQ233" s="55" t="str">
        <f aca="false">IF(BN233="","",IF(BO233&gt;=BN233,"На складе",IF(BO233&gt;0,"Частично","Ждём")))</f>
        <v/>
      </c>
      <c r="BR233" s="43"/>
      <c r="BS233" s="47" t="str">
        <f aca="false">IF(BN233="","",IF(_xlfn.MAXIFS(ЗАКАЗЫ!$AK$3:$AK$500,ЗАКАЗЫ!$F$3:$F$500,$A233)=0,"",_xlfn.MAXIFS(ЗАКАЗЫ!$AK$3:$AK$500,ЗАКАЗЫ!$F$3:$F$500,$A233)))</f>
        <v/>
      </c>
    </row>
    <row r="234" customFormat="false" ht="15.75" hidden="false" customHeight="true" outlineLevel="0" collapsed="false">
      <c r="A234" s="80" t="s">
        <v>3145</v>
      </c>
      <c r="B234" s="81"/>
      <c r="C234" s="81"/>
      <c r="D234" s="81"/>
      <c r="E234" s="83"/>
      <c r="F234" s="81"/>
      <c r="G234" s="83"/>
      <c r="H234" s="83"/>
      <c r="I234" s="84" t="str">
        <f aca="false">IF(E234="","",A234&amp;"_1.jpg")</f>
        <v/>
      </c>
      <c r="J234" s="84" t="str">
        <f aca="false">IF(E234="","",A234&amp;"_2.jpg; "&amp;A234&amp;"_3.jpg")</f>
        <v/>
      </c>
      <c r="K234" s="84" t="str">
        <f aca="false">IF(E234="","",A234&amp;"_schema.jpg")</f>
        <v/>
      </c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 t="s">
        <v>96</v>
      </c>
      <c r="W234" s="81"/>
      <c r="X234" s="81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6" t="str">
        <f aca="false">IF(SUM(Y234:AJ234)=0,"",SUM(Y234:AJ234))</f>
        <v/>
      </c>
      <c r="AL234" s="84" t="str">
        <f aca="false">MID(IF(N(Y234)&gt;0,", "&amp;Y$2,"")&amp;IF(N(Z234)&gt;0,", "&amp;Z$2,"")&amp;IF(N(AA234)&gt;0,", "&amp;AA$2,"")&amp;IF(N(AB234)&gt;0,", "&amp;AB$2,"")&amp;IF(N(AC234)&gt;0,", "&amp;AC$2,"")&amp;IF(N(AD234)&gt;0,", "&amp;AD$2,"")&amp;IF(N(AE234)&gt;0,", "&amp;AE$2,"")&amp;IF(N(AF234)&gt;0,", "&amp;AF$2,"")&amp;IF(N(AG234)&gt;0,", "&amp;AG$2,"")&amp;IF(N(AH234)&gt;0,", "&amp;AH$2,"")&amp;IF(N(AI234)&gt;0,", "&amp;AI$2,"")&amp;IF(N(AJ234)&gt;0,", "&amp;AJ$2,""),3,999)</f>
        <v/>
      </c>
      <c r="AM234" s="87" t="str">
        <f aca="false">IF(E234="","",MID(IF(N(Y234)&gt;0,", "&amp;A234&amp;"-"&amp;Y$2,"")&amp;IF(N(Z234)&gt;0,", "&amp;A234&amp;"-"&amp;Z$2,"")&amp;IF(N(AA234)&gt;0,", "&amp;A234&amp;"-"&amp;AA$2,"")&amp;IF(N(AB234)&gt;0,", "&amp;A234&amp;"-"&amp;AB$2,"")&amp;IF(N(AC234)&gt;0,", "&amp;A234&amp;"-"&amp;AC$2,"")&amp;IF(N(AD234)&gt;0,", "&amp;A234&amp;"-"&amp;AD$2,"")&amp;IF(N(AE234)&gt;0,", "&amp;A234&amp;"-"&amp;AE$2,"")&amp;IF(N(AF234)&gt;0,", "&amp;A234&amp;"-"&amp;AF$2,"")&amp;IF(N(AG234)&gt;0,", "&amp;A234&amp;"-"&amp;AG$2,"")&amp;IF(N(AH234)&gt;0,", "&amp;A234&amp;"-"&amp;AH$2,"")&amp;IF(N(AI234)&gt;0,", "&amp;A234&amp;"-"&amp;AI$2,"")&amp;IF(N(AJ234)&gt;0,", "&amp;A234&amp;"-"&amp;AJ$2,""),3,999))</f>
        <v/>
      </c>
      <c r="AN234" s="81"/>
      <c r="AO234" s="88"/>
      <c r="AP234" s="89" t="str">
        <f aca="false">IF(AO234="","",ROUND(AO234/(1+Справочники!$B$13),2))</f>
        <v/>
      </c>
      <c r="AQ234" s="90" t="str">
        <f aca="false" t="array" ref="AQ234:AQ234">IF(AP234="","",AP234*INDEX(Справочники!$B$4:$B$7,MATCH("RUB",Справочники!$A$4:$A$7,0)))</f>
        <v/>
      </c>
      <c r="AR234" s="90" t="str">
        <f aca="false">IF(AQ234="","",ROUND(AQ234*(1+Справочники!$B$12),0))</f>
        <v/>
      </c>
      <c r="AS234" s="90" t="str">
        <f aca="false">IF(AR234="","",ROUND(AR234*(1-Справочники!$B$11),0))</f>
        <v/>
      </c>
      <c r="AT234" s="88"/>
      <c r="AU234" s="90" t="str">
        <f aca="false">IF(AT234="","",ROUND(AT234/(1+Справочники!$B$12),0))</f>
        <v/>
      </c>
      <c r="AV234" s="90" t="str">
        <f aca="false">IF(AT234="","",ROUND(AT234*(1-Справочники!$B$15),0))</f>
        <v/>
      </c>
      <c r="AW234" s="90" t="str">
        <f aca="false">IF(AT234="","",ROUND(AT234*(1-Справочники!$B$16),0))</f>
        <v/>
      </c>
      <c r="AX234" s="90" t="str">
        <f aca="false">IF(AT234="","",ROUND(AT234*(1-Справочники!$B$17),0))</f>
        <v/>
      </c>
      <c r="AY234" s="90" t="str">
        <f aca="false">IF(AT234="","",ROUND(AT234*(1-Справочники!$B$18),0))</f>
        <v/>
      </c>
      <c r="AZ234" s="90" t="str">
        <f aca="false">IF(AT234="","",ROUND(AT234*(1-Справочники!$B$19),0))</f>
        <v/>
      </c>
      <c r="BA234" s="81"/>
      <c r="BB234" s="81"/>
      <c r="BC234" s="81"/>
      <c r="BD234" s="81"/>
      <c r="BE234" s="91"/>
      <c r="BF234" s="81" t="s">
        <v>103</v>
      </c>
      <c r="BG234" s="89" t="n">
        <f aca="false" t="array" ref="BG234:BG234">IF(BF234="","",IFERROR(INDEX(Справочники!$B$4:$B$7,MATCH(BF234,Справочники!$A$4:$A$7,0)),""))</f>
        <v>68.5</v>
      </c>
      <c r="BH234" s="90" t="str">
        <f aca="false">IF(N(BN234)&gt;0,ROUND(SUMIF(ЗАКАЗЫ!$F$3:$F$500,$A234,ЗАКАЗЫ!$Y$3:$Y$500)/BN234,0),IF(OR(BE234="",BG234=""),"",ROUND(BE234*BG234*(1+Справочники!$B$10),0)))</f>
        <v/>
      </c>
      <c r="BI234" s="92" t="str">
        <f aca="false">IF(OR(AU234="",BH234="",AU234=0),"",(AU234-BH234)/AU234)</f>
        <v/>
      </c>
      <c r="BJ234" s="81"/>
      <c r="BK234" s="83"/>
      <c r="BL234" s="43" t="str">
        <f aca="false">IFERROR(INDEX(ЗАКАЗЫ!$N$3:$N$500,MATCH($A234,ЗАКАЗЫ!$F$3:$F$500,0)),"")</f>
        <v/>
      </c>
      <c r="BM234" s="8" t="str">
        <f aca="false">IF(BL234="","",IFERROR(VLOOKUP(BL234,'ТН ВЭД'!$A$4:$C$40,3,0),""))</f>
        <v/>
      </c>
      <c r="BN234" s="7" t="str">
        <f aca="false">IF(COUNTIF(ЗАКАЗЫ!$F$3:$F$500,$A234)=0,"",SUMIF(ЗАКАЗЫ!$F$3:$F$500,$A234,ЗАКАЗЫ!$J$3:$J$500))</f>
        <v/>
      </c>
      <c r="BO234" s="7" t="str">
        <f aca="false">IF(BN234="","",SUMIF(ЗАКАЗЫ!$F$3:$F$500,$A234,ЗАКАЗЫ!$AL$3:$AL$500))</f>
        <v/>
      </c>
      <c r="BP234" s="7" t="str">
        <f aca="false">IF(BN234="","",BN234-BO234)</f>
        <v/>
      </c>
      <c r="BQ234" s="55" t="str">
        <f aca="false">IF(BN234="","",IF(BO234&gt;=BN234,"На складе",IF(BO234&gt;0,"Частично","Ждём")))</f>
        <v/>
      </c>
      <c r="BR234" s="43"/>
      <c r="BS234" s="47" t="str">
        <f aca="false">IF(BN234="","",IF(_xlfn.MAXIFS(ЗАКАЗЫ!$AK$3:$AK$500,ЗАКАЗЫ!$F$3:$F$500,$A234)=0,"",_xlfn.MAXIFS(ЗАКАЗЫ!$AK$3:$AK$500,ЗАКАЗЫ!$F$3:$F$500,$A234)))</f>
        <v/>
      </c>
    </row>
    <row r="235" customFormat="false" ht="15.75" hidden="false" customHeight="true" outlineLevel="0" collapsed="false">
      <c r="A235" s="80" t="s">
        <v>3146</v>
      </c>
      <c r="B235" s="81"/>
      <c r="C235" s="81"/>
      <c r="D235" s="81"/>
      <c r="E235" s="83"/>
      <c r="F235" s="81"/>
      <c r="G235" s="83"/>
      <c r="H235" s="83"/>
      <c r="I235" s="84" t="str">
        <f aca="false">IF(E235="","",A235&amp;"_1.jpg")</f>
        <v/>
      </c>
      <c r="J235" s="84" t="str">
        <f aca="false">IF(E235="","",A235&amp;"_2.jpg; "&amp;A235&amp;"_3.jpg")</f>
        <v/>
      </c>
      <c r="K235" s="84" t="str">
        <f aca="false">IF(E235="","",A235&amp;"_schema.jpg")</f>
        <v/>
      </c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 t="s">
        <v>96</v>
      </c>
      <c r="W235" s="81"/>
      <c r="X235" s="81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6" t="str">
        <f aca="false">IF(SUM(Y235:AJ235)=0,"",SUM(Y235:AJ235))</f>
        <v/>
      </c>
      <c r="AL235" s="84" t="str">
        <f aca="false">MID(IF(N(Y235)&gt;0,", "&amp;Y$2,"")&amp;IF(N(Z235)&gt;0,", "&amp;Z$2,"")&amp;IF(N(AA235)&gt;0,", "&amp;AA$2,"")&amp;IF(N(AB235)&gt;0,", "&amp;AB$2,"")&amp;IF(N(AC235)&gt;0,", "&amp;AC$2,"")&amp;IF(N(AD235)&gt;0,", "&amp;AD$2,"")&amp;IF(N(AE235)&gt;0,", "&amp;AE$2,"")&amp;IF(N(AF235)&gt;0,", "&amp;AF$2,"")&amp;IF(N(AG235)&gt;0,", "&amp;AG$2,"")&amp;IF(N(AH235)&gt;0,", "&amp;AH$2,"")&amp;IF(N(AI235)&gt;0,", "&amp;AI$2,"")&amp;IF(N(AJ235)&gt;0,", "&amp;AJ$2,""),3,999)</f>
        <v/>
      </c>
      <c r="AM235" s="87" t="str">
        <f aca="false">IF(E235="","",MID(IF(N(Y235)&gt;0,", "&amp;A235&amp;"-"&amp;Y$2,"")&amp;IF(N(Z235)&gt;0,", "&amp;A235&amp;"-"&amp;Z$2,"")&amp;IF(N(AA235)&gt;0,", "&amp;A235&amp;"-"&amp;AA$2,"")&amp;IF(N(AB235)&gt;0,", "&amp;A235&amp;"-"&amp;AB$2,"")&amp;IF(N(AC235)&gt;0,", "&amp;A235&amp;"-"&amp;AC$2,"")&amp;IF(N(AD235)&gt;0,", "&amp;A235&amp;"-"&amp;AD$2,"")&amp;IF(N(AE235)&gt;0,", "&amp;A235&amp;"-"&amp;AE$2,"")&amp;IF(N(AF235)&gt;0,", "&amp;A235&amp;"-"&amp;AF$2,"")&amp;IF(N(AG235)&gt;0,", "&amp;A235&amp;"-"&amp;AG$2,"")&amp;IF(N(AH235)&gt;0,", "&amp;A235&amp;"-"&amp;AH$2,"")&amp;IF(N(AI235)&gt;0,", "&amp;A235&amp;"-"&amp;AI$2,"")&amp;IF(N(AJ235)&gt;0,", "&amp;A235&amp;"-"&amp;AJ$2,""),3,999))</f>
        <v/>
      </c>
      <c r="AN235" s="81"/>
      <c r="AO235" s="88"/>
      <c r="AP235" s="89" t="str">
        <f aca="false">IF(AO235="","",ROUND(AO235/(1+Справочники!$B$13),2))</f>
        <v/>
      </c>
      <c r="AQ235" s="90" t="str">
        <f aca="false" t="array" ref="AQ235:AQ235">IF(AP235="","",AP235*INDEX(Справочники!$B$4:$B$7,MATCH("RUB",Справочники!$A$4:$A$7,0)))</f>
        <v/>
      </c>
      <c r="AR235" s="90" t="str">
        <f aca="false">IF(AQ235="","",ROUND(AQ235*(1+Справочники!$B$12),0))</f>
        <v/>
      </c>
      <c r="AS235" s="90" t="str">
        <f aca="false">IF(AR235="","",ROUND(AR235*(1-Справочники!$B$11),0))</f>
        <v/>
      </c>
      <c r="AT235" s="88"/>
      <c r="AU235" s="90" t="str">
        <f aca="false">IF(AT235="","",ROUND(AT235/(1+Справочники!$B$12),0))</f>
        <v/>
      </c>
      <c r="AV235" s="90" t="str">
        <f aca="false">IF(AT235="","",ROUND(AT235*(1-Справочники!$B$15),0))</f>
        <v/>
      </c>
      <c r="AW235" s="90" t="str">
        <f aca="false">IF(AT235="","",ROUND(AT235*(1-Справочники!$B$16),0))</f>
        <v/>
      </c>
      <c r="AX235" s="90" t="str">
        <f aca="false">IF(AT235="","",ROUND(AT235*(1-Справочники!$B$17),0))</f>
        <v/>
      </c>
      <c r="AY235" s="90" t="str">
        <f aca="false">IF(AT235="","",ROUND(AT235*(1-Справочники!$B$18),0))</f>
        <v/>
      </c>
      <c r="AZ235" s="90" t="str">
        <f aca="false">IF(AT235="","",ROUND(AT235*(1-Справочники!$B$19),0))</f>
        <v/>
      </c>
      <c r="BA235" s="81"/>
      <c r="BB235" s="81"/>
      <c r="BC235" s="81"/>
      <c r="BD235" s="81"/>
      <c r="BE235" s="91"/>
      <c r="BF235" s="81" t="s">
        <v>103</v>
      </c>
      <c r="BG235" s="89" t="n">
        <f aca="false" t="array" ref="BG235:BG235">IF(BF235="","",IFERROR(INDEX(Справочники!$B$4:$B$7,MATCH(BF235,Справочники!$A$4:$A$7,0)),""))</f>
        <v>68.5</v>
      </c>
      <c r="BH235" s="90" t="str">
        <f aca="false">IF(N(BN235)&gt;0,ROUND(SUMIF(ЗАКАЗЫ!$F$3:$F$500,$A235,ЗАКАЗЫ!$Y$3:$Y$500)/BN235,0),IF(OR(BE235="",BG235=""),"",ROUND(BE235*BG235*(1+Справочники!$B$10),0)))</f>
        <v/>
      </c>
      <c r="BI235" s="92" t="str">
        <f aca="false">IF(OR(AU235="",BH235="",AU235=0),"",(AU235-BH235)/AU235)</f>
        <v/>
      </c>
      <c r="BJ235" s="81"/>
      <c r="BK235" s="83"/>
      <c r="BL235" s="43" t="str">
        <f aca="false">IFERROR(INDEX(ЗАКАЗЫ!$N$3:$N$500,MATCH($A235,ЗАКАЗЫ!$F$3:$F$500,0)),"")</f>
        <v/>
      </c>
      <c r="BM235" s="8" t="str">
        <f aca="false">IF(BL235="","",IFERROR(VLOOKUP(BL235,'ТН ВЭД'!$A$4:$C$40,3,0),""))</f>
        <v/>
      </c>
      <c r="BN235" s="7" t="str">
        <f aca="false">IF(COUNTIF(ЗАКАЗЫ!$F$3:$F$500,$A235)=0,"",SUMIF(ЗАКАЗЫ!$F$3:$F$500,$A235,ЗАКАЗЫ!$J$3:$J$500))</f>
        <v/>
      </c>
      <c r="BO235" s="7" t="str">
        <f aca="false">IF(BN235="","",SUMIF(ЗАКАЗЫ!$F$3:$F$500,$A235,ЗАКАЗЫ!$AL$3:$AL$500))</f>
        <v/>
      </c>
      <c r="BP235" s="7" t="str">
        <f aca="false">IF(BN235="","",BN235-BO235)</f>
        <v/>
      </c>
      <c r="BQ235" s="55" t="str">
        <f aca="false">IF(BN235="","",IF(BO235&gt;=BN235,"На складе",IF(BO235&gt;0,"Частично","Ждём")))</f>
        <v/>
      </c>
      <c r="BR235" s="43"/>
      <c r="BS235" s="47" t="str">
        <f aca="false">IF(BN235="","",IF(_xlfn.MAXIFS(ЗАКАЗЫ!$AK$3:$AK$500,ЗАКАЗЫ!$F$3:$F$500,$A235)=0,"",_xlfn.MAXIFS(ЗАКАЗЫ!$AK$3:$AK$500,ЗАКАЗЫ!$F$3:$F$500,$A235)))</f>
        <v/>
      </c>
    </row>
    <row r="236" customFormat="false" ht="15.75" hidden="false" customHeight="true" outlineLevel="0" collapsed="false">
      <c r="A236" s="80" t="s">
        <v>3147</v>
      </c>
      <c r="B236" s="81"/>
      <c r="C236" s="81"/>
      <c r="D236" s="81"/>
      <c r="E236" s="83"/>
      <c r="F236" s="81"/>
      <c r="G236" s="83"/>
      <c r="H236" s="83"/>
      <c r="I236" s="84" t="str">
        <f aca="false">IF(E236="","",A236&amp;"_1.jpg")</f>
        <v/>
      </c>
      <c r="J236" s="84" t="str">
        <f aca="false">IF(E236="","",A236&amp;"_2.jpg; "&amp;A236&amp;"_3.jpg")</f>
        <v/>
      </c>
      <c r="K236" s="84" t="str">
        <f aca="false">IF(E236="","",A236&amp;"_schema.jpg")</f>
        <v/>
      </c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 t="s">
        <v>96</v>
      </c>
      <c r="W236" s="81"/>
      <c r="X236" s="81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6" t="str">
        <f aca="false">IF(SUM(Y236:AJ236)=0,"",SUM(Y236:AJ236))</f>
        <v/>
      </c>
      <c r="AL236" s="84" t="str">
        <f aca="false">MID(IF(N(Y236)&gt;0,", "&amp;Y$2,"")&amp;IF(N(Z236)&gt;0,", "&amp;Z$2,"")&amp;IF(N(AA236)&gt;0,", "&amp;AA$2,"")&amp;IF(N(AB236)&gt;0,", "&amp;AB$2,"")&amp;IF(N(AC236)&gt;0,", "&amp;AC$2,"")&amp;IF(N(AD236)&gt;0,", "&amp;AD$2,"")&amp;IF(N(AE236)&gt;0,", "&amp;AE$2,"")&amp;IF(N(AF236)&gt;0,", "&amp;AF$2,"")&amp;IF(N(AG236)&gt;0,", "&amp;AG$2,"")&amp;IF(N(AH236)&gt;0,", "&amp;AH$2,"")&amp;IF(N(AI236)&gt;0,", "&amp;AI$2,"")&amp;IF(N(AJ236)&gt;0,", "&amp;AJ$2,""),3,999)</f>
        <v/>
      </c>
      <c r="AM236" s="87" t="str">
        <f aca="false">IF(E236="","",MID(IF(N(Y236)&gt;0,", "&amp;A236&amp;"-"&amp;Y$2,"")&amp;IF(N(Z236)&gt;0,", "&amp;A236&amp;"-"&amp;Z$2,"")&amp;IF(N(AA236)&gt;0,", "&amp;A236&amp;"-"&amp;AA$2,"")&amp;IF(N(AB236)&gt;0,", "&amp;A236&amp;"-"&amp;AB$2,"")&amp;IF(N(AC236)&gt;0,", "&amp;A236&amp;"-"&amp;AC$2,"")&amp;IF(N(AD236)&gt;0,", "&amp;A236&amp;"-"&amp;AD$2,"")&amp;IF(N(AE236)&gt;0,", "&amp;A236&amp;"-"&amp;AE$2,"")&amp;IF(N(AF236)&gt;0,", "&amp;A236&amp;"-"&amp;AF$2,"")&amp;IF(N(AG236)&gt;0,", "&amp;A236&amp;"-"&amp;AG$2,"")&amp;IF(N(AH236)&gt;0,", "&amp;A236&amp;"-"&amp;AH$2,"")&amp;IF(N(AI236)&gt;0,", "&amp;A236&amp;"-"&amp;AI$2,"")&amp;IF(N(AJ236)&gt;0,", "&amp;A236&amp;"-"&amp;AJ$2,""),3,999))</f>
        <v/>
      </c>
      <c r="AN236" s="81"/>
      <c r="AO236" s="88"/>
      <c r="AP236" s="89" t="str">
        <f aca="false">IF(AO236="","",ROUND(AO236/(1+Справочники!$B$13),2))</f>
        <v/>
      </c>
      <c r="AQ236" s="90" t="str">
        <f aca="false" t="array" ref="AQ236:AQ236">IF(AP236="","",AP236*INDEX(Справочники!$B$4:$B$7,MATCH("RUB",Справочники!$A$4:$A$7,0)))</f>
        <v/>
      </c>
      <c r="AR236" s="90" t="str">
        <f aca="false">IF(AQ236="","",ROUND(AQ236*(1+Справочники!$B$12),0))</f>
        <v/>
      </c>
      <c r="AS236" s="90" t="str">
        <f aca="false">IF(AR236="","",ROUND(AR236*(1-Справочники!$B$11),0))</f>
        <v/>
      </c>
      <c r="AT236" s="88"/>
      <c r="AU236" s="90" t="str">
        <f aca="false">IF(AT236="","",ROUND(AT236/(1+Справочники!$B$12),0))</f>
        <v/>
      </c>
      <c r="AV236" s="90" t="str">
        <f aca="false">IF(AT236="","",ROUND(AT236*(1-Справочники!$B$15),0))</f>
        <v/>
      </c>
      <c r="AW236" s="90" t="str">
        <f aca="false">IF(AT236="","",ROUND(AT236*(1-Справочники!$B$16),0))</f>
        <v/>
      </c>
      <c r="AX236" s="90" t="str">
        <f aca="false">IF(AT236="","",ROUND(AT236*(1-Справочники!$B$17),0))</f>
        <v/>
      </c>
      <c r="AY236" s="90" t="str">
        <f aca="false">IF(AT236="","",ROUND(AT236*(1-Справочники!$B$18),0))</f>
        <v/>
      </c>
      <c r="AZ236" s="90" t="str">
        <f aca="false">IF(AT236="","",ROUND(AT236*(1-Справочники!$B$19),0))</f>
        <v/>
      </c>
      <c r="BA236" s="81"/>
      <c r="BB236" s="81"/>
      <c r="BC236" s="81"/>
      <c r="BD236" s="81"/>
      <c r="BE236" s="91"/>
      <c r="BF236" s="81" t="s">
        <v>103</v>
      </c>
      <c r="BG236" s="89" t="n">
        <f aca="false" t="array" ref="BG236:BG236">IF(BF236="","",IFERROR(INDEX(Справочники!$B$4:$B$7,MATCH(BF236,Справочники!$A$4:$A$7,0)),""))</f>
        <v>68.5</v>
      </c>
      <c r="BH236" s="90" t="str">
        <f aca="false">IF(N(BN236)&gt;0,ROUND(SUMIF(ЗАКАЗЫ!$F$3:$F$500,$A236,ЗАКАЗЫ!$Y$3:$Y$500)/BN236,0),IF(OR(BE236="",BG236=""),"",ROUND(BE236*BG236*(1+Справочники!$B$10),0)))</f>
        <v/>
      </c>
      <c r="BI236" s="92" t="str">
        <f aca="false">IF(OR(AU236="",BH236="",AU236=0),"",(AU236-BH236)/AU236)</f>
        <v/>
      </c>
      <c r="BJ236" s="81"/>
      <c r="BK236" s="83"/>
      <c r="BL236" s="43" t="str">
        <f aca="false">IFERROR(INDEX(ЗАКАЗЫ!$N$3:$N$500,MATCH($A236,ЗАКАЗЫ!$F$3:$F$500,0)),"")</f>
        <v/>
      </c>
      <c r="BM236" s="8" t="str">
        <f aca="false">IF(BL236="","",IFERROR(VLOOKUP(BL236,'ТН ВЭД'!$A$4:$C$40,3,0),""))</f>
        <v/>
      </c>
      <c r="BN236" s="7" t="str">
        <f aca="false">IF(COUNTIF(ЗАКАЗЫ!$F$3:$F$500,$A236)=0,"",SUMIF(ЗАКАЗЫ!$F$3:$F$500,$A236,ЗАКАЗЫ!$J$3:$J$500))</f>
        <v/>
      </c>
      <c r="BO236" s="7" t="str">
        <f aca="false">IF(BN236="","",SUMIF(ЗАКАЗЫ!$F$3:$F$500,$A236,ЗАКАЗЫ!$AL$3:$AL$500))</f>
        <v/>
      </c>
      <c r="BP236" s="7" t="str">
        <f aca="false">IF(BN236="","",BN236-BO236)</f>
        <v/>
      </c>
      <c r="BQ236" s="55" t="str">
        <f aca="false">IF(BN236="","",IF(BO236&gt;=BN236,"На складе",IF(BO236&gt;0,"Частично","Ждём")))</f>
        <v/>
      </c>
      <c r="BR236" s="43"/>
      <c r="BS236" s="47" t="str">
        <f aca="false">IF(BN236="","",IF(_xlfn.MAXIFS(ЗАКАЗЫ!$AK$3:$AK$500,ЗАКАЗЫ!$F$3:$F$500,$A236)=0,"",_xlfn.MAXIFS(ЗАКАЗЫ!$AK$3:$AK$500,ЗАКАЗЫ!$F$3:$F$500,$A236)))</f>
        <v/>
      </c>
    </row>
    <row r="237" customFormat="false" ht="15.75" hidden="false" customHeight="true" outlineLevel="0" collapsed="false">
      <c r="A237" s="80" t="s">
        <v>3148</v>
      </c>
      <c r="B237" s="81"/>
      <c r="C237" s="81"/>
      <c r="D237" s="81"/>
      <c r="E237" s="83"/>
      <c r="F237" s="81"/>
      <c r="G237" s="83"/>
      <c r="H237" s="83"/>
      <c r="I237" s="84" t="str">
        <f aca="false">IF(E237="","",A237&amp;"_1.jpg")</f>
        <v/>
      </c>
      <c r="J237" s="84" t="str">
        <f aca="false">IF(E237="","",A237&amp;"_2.jpg; "&amp;A237&amp;"_3.jpg")</f>
        <v/>
      </c>
      <c r="K237" s="84" t="str">
        <f aca="false">IF(E237="","",A237&amp;"_schema.jpg")</f>
        <v/>
      </c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 t="s">
        <v>96</v>
      </c>
      <c r="W237" s="81"/>
      <c r="X237" s="81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6" t="str">
        <f aca="false">IF(SUM(Y237:AJ237)=0,"",SUM(Y237:AJ237))</f>
        <v/>
      </c>
      <c r="AL237" s="84" t="str">
        <f aca="false">MID(IF(N(Y237)&gt;0,", "&amp;Y$2,"")&amp;IF(N(Z237)&gt;0,", "&amp;Z$2,"")&amp;IF(N(AA237)&gt;0,", "&amp;AA$2,"")&amp;IF(N(AB237)&gt;0,", "&amp;AB$2,"")&amp;IF(N(AC237)&gt;0,", "&amp;AC$2,"")&amp;IF(N(AD237)&gt;0,", "&amp;AD$2,"")&amp;IF(N(AE237)&gt;0,", "&amp;AE$2,"")&amp;IF(N(AF237)&gt;0,", "&amp;AF$2,"")&amp;IF(N(AG237)&gt;0,", "&amp;AG$2,"")&amp;IF(N(AH237)&gt;0,", "&amp;AH$2,"")&amp;IF(N(AI237)&gt;0,", "&amp;AI$2,"")&amp;IF(N(AJ237)&gt;0,", "&amp;AJ$2,""),3,999)</f>
        <v/>
      </c>
      <c r="AM237" s="87" t="str">
        <f aca="false">IF(E237="","",MID(IF(N(Y237)&gt;0,", "&amp;A237&amp;"-"&amp;Y$2,"")&amp;IF(N(Z237)&gt;0,", "&amp;A237&amp;"-"&amp;Z$2,"")&amp;IF(N(AA237)&gt;0,", "&amp;A237&amp;"-"&amp;AA$2,"")&amp;IF(N(AB237)&gt;0,", "&amp;A237&amp;"-"&amp;AB$2,"")&amp;IF(N(AC237)&gt;0,", "&amp;A237&amp;"-"&amp;AC$2,"")&amp;IF(N(AD237)&gt;0,", "&amp;A237&amp;"-"&amp;AD$2,"")&amp;IF(N(AE237)&gt;0,", "&amp;A237&amp;"-"&amp;AE$2,"")&amp;IF(N(AF237)&gt;0,", "&amp;A237&amp;"-"&amp;AF$2,"")&amp;IF(N(AG237)&gt;0,", "&amp;A237&amp;"-"&amp;AG$2,"")&amp;IF(N(AH237)&gt;0,", "&amp;A237&amp;"-"&amp;AH$2,"")&amp;IF(N(AI237)&gt;0,", "&amp;A237&amp;"-"&amp;AI$2,"")&amp;IF(N(AJ237)&gt;0,", "&amp;A237&amp;"-"&amp;AJ$2,""),3,999))</f>
        <v/>
      </c>
      <c r="AN237" s="81"/>
      <c r="AO237" s="88"/>
      <c r="AP237" s="89" t="str">
        <f aca="false">IF(AO237="","",ROUND(AO237/(1+Справочники!$B$13),2))</f>
        <v/>
      </c>
      <c r="AQ237" s="90" t="str">
        <f aca="false" t="array" ref="AQ237:AQ237">IF(AP237="","",AP237*INDEX(Справочники!$B$4:$B$7,MATCH("RUB",Справочники!$A$4:$A$7,0)))</f>
        <v/>
      </c>
      <c r="AR237" s="90" t="str">
        <f aca="false">IF(AQ237="","",ROUND(AQ237*(1+Справочники!$B$12),0))</f>
        <v/>
      </c>
      <c r="AS237" s="90" t="str">
        <f aca="false">IF(AR237="","",ROUND(AR237*(1-Справочники!$B$11),0))</f>
        <v/>
      </c>
      <c r="AT237" s="88"/>
      <c r="AU237" s="90" t="str">
        <f aca="false">IF(AT237="","",ROUND(AT237/(1+Справочники!$B$12),0))</f>
        <v/>
      </c>
      <c r="AV237" s="90" t="str">
        <f aca="false">IF(AT237="","",ROUND(AT237*(1-Справочники!$B$15),0))</f>
        <v/>
      </c>
      <c r="AW237" s="90" t="str">
        <f aca="false">IF(AT237="","",ROUND(AT237*(1-Справочники!$B$16),0))</f>
        <v/>
      </c>
      <c r="AX237" s="90" t="str">
        <f aca="false">IF(AT237="","",ROUND(AT237*(1-Справочники!$B$17),0))</f>
        <v/>
      </c>
      <c r="AY237" s="90" t="str">
        <f aca="false">IF(AT237="","",ROUND(AT237*(1-Справочники!$B$18),0))</f>
        <v/>
      </c>
      <c r="AZ237" s="90" t="str">
        <f aca="false">IF(AT237="","",ROUND(AT237*(1-Справочники!$B$19),0))</f>
        <v/>
      </c>
      <c r="BA237" s="81"/>
      <c r="BB237" s="81"/>
      <c r="BC237" s="81"/>
      <c r="BD237" s="81"/>
      <c r="BE237" s="91"/>
      <c r="BF237" s="81" t="s">
        <v>103</v>
      </c>
      <c r="BG237" s="89" t="n">
        <f aca="false" t="array" ref="BG237:BG237">IF(BF237="","",IFERROR(INDEX(Справочники!$B$4:$B$7,MATCH(BF237,Справочники!$A$4:$A$7,0)),""))</f>
        <v>68.5</v>
      </c>
      <c r="BH237" s="90" t="str">
        <f aca="false">IF(N(BN237)&gt;0,ROUND(SUMIF(ЗАКАЗЫ!$F$3:$F$500,$A237,ЗАКАЗЫ!$Y$3:$Y$500)/BN237,0),IF(OR(BE237="",BG237=""),"",ROUND(BE237*BG237*(1+Справочники!$B$10),0)))</f>
        <v/>
      </c>
      <c r="BI237" s="92" t="str">
        <f aca="false">IF(OR(AU237="",BH237="",AU237=0),"",(AU237-BH237)/AU237)</f>
        <v/>
      </c>
      <c r="BJ237" s="81"/>
      <c r="BK237" s="83"/>
      <c r="BL237" s="43" t="str">
        <f aca="false">IFERROR(INDEX(ЗАКАЗЫ!$N$3:$N$500,MATCH($A237,ЗАКАЗЫ!$F$3:$F$500,0)),"")</f>
        <v/>
      </c>
      <c r="BM237" s="8" t="str">
        <f aca="false">IF(BL237="","",IFERROR(VLOOKUP(BL237,'ТН ВЭД'!$A$4:$C$40,3,0),""))</f>
        <v/>
      </c>
      <c r="BN237" s="7" t="str">
        <f aca="false">IF(COUNTIF(ЗАКАЗЫ!$F$3:$F$500,$A237)=0,"",SUMIF(ЗАКАЗЫ!$F$3:$F$500,$A237,ЗАКАЗЫ!$J$3:$J$500))</f>
        <v/>
      </c>
      <c r="BO237" s="7" t="str">
        <f aca="false">IF(BN237="","",SUMIF(ЗАКАЗЫ!$F$3:$F$500,$A237,ЗАКАЗЫ!$AL$3:$AL$500))</f>
        <v/>
      </c>
      <c r="BP237" s="7" t="str">
        <f aca="false">IF(BN237="","",BN237-BO237)</f>
        <v/>
      </c>
      <c r="BQ237" s="55" t="str">
        <f aca="false">IF(BN237="","",IF(BO237&gt;=BN237,"На складе",IF(BO237&gt;0,"Частично","Ждём")))</f>
        <v/>
      </c>
      <c r="BR237" s="43"/>
      <c r="BS237" s="47" t="str">
        <f aca="false">IF(BN237="","",IF(_xlfn.MAXIFS(ЗАКАЗЫ!$AK$3:$AK$500,ЗАКАЗЫ!$F$3:$F$500,$A237)=0,"",_xlfn.MAXIFS(ЗАКАЗЫ!$AK$3:$AK$500,ЗАКАЗЫ!$F$3:$F$500,$A237)))</f>
        <v/>
      </c>
    </row>
    <row r="238" customFormat="false" ht="15.75" hidden="false" customHeight="true" outlineLevel="0" collapsed="false">
      <c r="A238" s="80" t="s">
        <v>3149</v>
      </c>
      <c r="B238" s="81"/>
      <c r="C238" s="81"/>
      <c r="D238" s="81"/>
      <c r="E238" s="83"/>
      <c r="F238" s="81"/>
      <c r="G238" s="83"/>
      <c r="H238" s="83"/>
      <c r="I238" s="84" t="str">
        <f aca="false">IF(E238="","",A238&amp;"_1.jpg")</f>
        <v/>
      </c>
      <c r="J238" s="84" t="str">
        <f aca="false">IF(E238="","",A238&amp;"_2.jpg; "&amp;A238&amp;"_3.jpg")</f>
        <v/>
      </c>
      <c r="K238" s="84" t="str">
        <f aca="false">IF(E238="","",A238&amp;"_schema.jpg")</f>
        <v/>
      </c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 t="s">
        <v>96</v>
      </c>
      <c r="W238" s="81"/>
      <c r="X238" s="81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6" t="str">
        <f aca="false">IF(SUM(Y238:AJ238)=0,"",SUM(Y238:AJ238))</f>
        <v/>
      </c>
      <c r="AL238" s="84" t="str">
        <f aca="false">MID(IF(N(Y238)&gt;0,", "&amp;Y$2,"")&amp;IF(N(Z238)&gt;0,", "&amp;Z$2,"")&amp;IF(N(AA238)&gt;0,", "&amp;AA$2,"")&amp;IF(N(AB238)&gt;0,", "&amp;AB$2,"")&amp;IF(N(AC238)&gt;0,", "&amp;AC$2,"")&amp;IF(N(AD238)&gt;0,", "&amp;AD$2,"")&amp;IF(N(AE238)&gt;0,", "&amp;AE$2,"")&amp;IF(N(AF238)&gt;0,", "&amp;AF$2,"")&amp;IF(N(AG238)&gt;0,", "&amp;AG$2,"")&amp;IF(N(AH238)&gt;0,", "&amp;AH$2,"")&amp;IF(N(AI238)&gt;0,", "&amp;AI$2,"")&amp;IF(N(AJ238)&gt;0,", "&amp;AJ$2,""),3,999)</f>
        <v/>
      </c>
      <c r="AM238" s="87" t="str">
        <f aca="false">IF(E238="","",MID(IF(N(Y238)&gt;0,", "&amp;A238&amp;"-"&amp;Y$2,"")&amp;IF(N(Z238)&gt;0,", "&amp;A238&amp;"-"&amp;Z$2,"")&amp;IF(N(AA238)&gt;0,", "&amp;A238&amp;"-"&amp;AA$2,"")&amp;IF(N(AB238)&gt;0,", "&amp;A238&amp;"-"&amp;AB$2,"")&amp;IF(N(AC238)&gt;0,", "&amp;A238&amp;"-"&amp;AC$2,"")&amp;IF(N(AD238)&gt;0,", "&amp;A238&amp;"-"&amp;AD$2,"")&amp;IF(N(AE238)&gt;0,", "&amp;A238&amp;"-"&amp;AE$2,"")&amp;IF(N(AF238)&gt;0,", "&amp;A238&amp;"-"&amp;AF$2,"")&amp;IF(N(AG238)&gt;0,", "&amp;A238&amp;"-"&amp;AG$2,"")&amp;IF(N(AH238)&gt;0,", "&amp;A238&amp;"-"&amp;AH$2,"")&amp;IF(N(AI238)&gt;0,", "&amp;A238&amp;"-"&amp;AI$2,"")&amp;IF(N(AJ238)&gt;0,", "&amp;A238&amp;"-"&amp;AJ$2,""),3,999))</f>
        <v/>
      </c>
      <c r="AN238" s="81"/>
      <c r="AO238" s="88"/>
      <c r="AP238" s="89" t="str">
        <f aca="false">IF(AO238="","",ROUND(AO238/(1+Справочники!$B$13),2))</f>
        <v/>
      </c>
      <c r="AQ238" s="90" t="str">
        <f aca="false" t="array" ref="AQ238:AQ238">IF(AP238="","",AP238*INDEX(Справочники!$B$4:$B$7,MATCH("RUB",Справочники!$A$4:$A$7,0)))</f>
        <v/>
      </c>
      <c r="AR238" s="90" t="str">
        <f aca="false">IF(AQ238="","",ROUND(AQ238*(1+Справочники!$B$12),0))</f>
        <v/>
      </c>
      <c r="AS238" s="90" t="str">
        <f aca="false">IF(AR238="","",ROUND(AR238*(1-Справочники!$B$11),0))</f>
        <v/>
      </c>
      <c r="AT238" s="88"/>
      <c r="AU238" s="90" t="str">
        <f aca="false">IF(AT238="","",ROUND(AT238/(1+Справочники!$B$12),0))</f>
        <v/>
      </c>
      <c r="AV238" s="90" t="str">
        <f aca="false">IF(AT238="","",ROUND(AT238*(1-Справочники!$B$15),0))</f>
        <v/>
      </c>
      <c r="AW238" s="90" t="str">
        <f aca="false">IF(AT238="","",ROUND(AT238*(1-Справочники!$B$16),0))</f>
        <v/>
      </c>
      <c r="AX238" s="90" t="str">
        <f aca="false">IF(AT238="","",ROUND(AT238*(1-Справочники!$B$17),0))</f>
        <v/>
      </c>
      <c r="AY238" s="90" t="str">
        <f aca="false">IF(AT238="","",ROUND(AT238*(1-Справочники!$B$18),0))</f>
        <v/>
      </c>
      <c r="AZ238" s="90" t="str">
        <f aca="false">IF(AT238="","",ROUND(AT238*(1-Справочники!$B$19),0))</f>
        <v/>
      </c>
      <c r="BA238" s="81"/>
      <c r="BB238" s="81"/>
      <c r="BC238" s="81"/>
      <c r="BD238" s="81"/>
      <c r="BE238" s="91"/>
      <c r="BF238" s="81" t="s">
        <v>103</v>
      </c>
      <c r="BG238" s="89" t="n">
        <f aca="false" t="array" ref="BG238:BG238">IF(BF238="","",IFERROR(INDEX(Справочники!$B$4:$B$7,MATCH(BF238,Справочники!$A$4:$A$7,0)),""))</f>
        <v>68.5</v>
      </c>
      <c r="BH238" s="90" t="str">
        <f aca="false">IF(N(BN238)&gt;0,ROUND(SUMIF(ЗАКАЗЫ!$F$3:$F$500,$A238,ЗАКАЗЫ!$Y$3:$Y$500)/BN238,0),IF(OR(BE238="",BG238=""),"",ROUND(BE238*BG238*(1+Справочники!$B$10),0)))</f>
        <v/>
      </c>
      <c r="BI238" s="92" t="str">
        <f aca="false">IF(OR(AU238="",BH238="",AU238=0),"",(AU238-BH238)/AU238)</f>
        <v/>
      </c>
      <c r="BJ238" s="81"/>
      <c r="BK238" s="83"/>
      <c r="BL238" s="43" t="str">
        <f aca="false">IFERROR(INDEX(ЗАКАЗЫ!$N$3:$N$500,MATCH($A238,ЗАКАЗЫ!$F$3:$F$500,0)),"")</f>
        <v/>
      </c>
      <c r="BM238" s="8" t="str">
        <f aca="false">IF(BL238="","",IFERROR(VLOOKUP(BL238,'ТН ВЭД'!$A$4:$C$40,3,0),""))</f>
        <v/>
      </c>
      <c r="BN238" s="7" t="str">
        <f aca="false">IF(COUNTIF(ЗАКАЗЫ!$F$3:$F$500,$A238)=0,"",SUMIF(ЗАКАЗЫ!$F$3:$F$500,$A238,ЗАКАЗЫ!$J$3:$J$500))</f>
        <v/>
      </c>
      <c r="BO238" s="7" t="str">
        <f aca="false">IF(BN238="","",SUMIF(ЗАКАЗЫ!$F$3:$F$500,$A238,ЗАКАЗЫ!$AL$3:$AL$500))</f>
        <v/>
      </c>
      <c r="BP238" s="7" t="str">
        <f aca="false">IF(BN238="","",BN238-BO238)</f>
        <v/>
      </c>
      <c r="BQ238" s="55" t="str">
        <f aca="false">IF(BN238="","",IF(BO238&gt;=BN238,"На складе",IF(BO238&gt;0,"Частично","Ждём")))</f>
        <v/>
      </c>
      <c r="BR238" s="43"/>
      <c r="BS238" s="47" t="str">
        <f aca="false">IF(BN238="","",IF(_xlfn.MAXIFS(ЗАКАЗЫ!$AK$3:$AK$500,ЗАКАЗЫ!$F$3:$F$500,$A238)=0,"",_xlfn.MAXIFS(ЗАКАЗЫ!$AK$3:$AK$500,ЗАКАЗЫ!$F$3:$F$500,$A238)))</f>
        <v/>
      </c>
    </row>
    <row r="239" customFormat="false" ht="15.75" hidden="false" customHeight="true" outlineLevel="0" collapsed="false">
      <c r="A239" s="80" t="s">
        <v>3150</v>
      </c>
      <c r="B239" s="81"/>
      <c r="C239" s="81"/>
      <c r="D239" s="81"/>
      <c r="E239" s="83"/>
      <c r="F239" s="81"/>
      <c r="G239" s="83"/>
      <c r="H239" s="83"/>
      <c r="I239" s="84" t="str">
        <f aca="false">IF(E239="","",A239&amp;"_1.jpg")</f>
        <v/>
      </c>
      <c r="J239" s="84" t="str">
        <f aca="false">IF(E239="","",A239&amp;"_2.jpg; "&amp;A239&amp;"_3.jpg")</f>
        <v/>
      </c>
      <c r="K239" s="84" t="str">
        <f aca="false">IF(E239="","",A239&amp;"_schema.jpg")</f>
        <v/>
      </c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 t="s">
        <v>96</v>
      </c>
      <c r="W239" s="81"/>
      <c r="X239" s="81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6" t="str">
        <f aca="false">IF(SUM(Y239:AJ239)=0,"",SUM(Y239:AJ239))</f>
        <v/>
      </c>
      <c r="AL239" s="84" t="str">
        <f aca="false">MID(IF(N(Y239)&gt;0,", "&amp;Y$2,"")&amp;IF(N(Z239)&gt;0,", "&amp;Z$2,"")&amp;IF(N(AA239)&gt;0,", "&amp;AA$2,"")&amp;IF(N(AB239)&gt;0,", "&amp;AB$2,"")&amp;IF(N(AC239)&gt;0,", "&amp;AC$2,"")&amp;IF(N(AD239)&gt;0,", "&amp;AD$2,"")&amp;IF(N(AE239)&gt;0,", "&amp;AE$2,"")&amp;IF(N(AF239)&gt;0,", "&amp;AF$2,"")&amp;IF(N(AG239)&gt;0,", "&amp;AG$2,"")&amp;IF(N(AH239)&gt;0,", "&amp;AH$2,"")&amp;IF(N(AI239)&gt;0,", "&amp;AI$2,"")&amp;IF(N(AJ239)&gt;0,", "&amp;AJ$2,""),3,999)</f>
        <v/>
      </c>
      <c r="AM239" s="87" t="str">
        <f aca="false">IF(E239="","",MID(IF(N(Y239)&gt;0,", "&amp;A239&amp;"-"&amp;Y$2,"")&amp;IF(N(Z239)&gt;0,", "&amp;A239&amp;"-"&amp;Z$2,"")&amp;IF(N(AA239)&gt;0,", "&amp;A239&amp;"-"&amp;AA$2,"")&amp;IF(N(AB239)&gt;0,", "&amp;A239&amp;"-"&amp;AB$2,"")&amp;IF(N(AC239)&gt;0,", "&amp;A239&amp;"-"&amp;AC$2,"")&amp;IF(N(AD239)&gt;0,", "&amp;A239&amp;"-"&amp;AD$2,"")&amp;IF(N(AE239)&gt;0,", "&amp;A239&amp;"-"&amp;AE$2,"")&amp;IF(N(AF239)&gt;0,", "&amp;A239&amp;"-"&amp;AF$2,"")&amp;IF(N(AG239)&gt;0,", "&amp;A239&amp;"-"&amp;AG$2,"")&amp;IF(N(AH239)&gt;0,", "&amp;A239&amp;"-"&amp;AH$2,"")&amp;IF(N(AI239)&gt;0,", "&amp;A239&amp;"-"&amp;AI$2,"")&amp;IF(N(AJ239)&gt;0,", "&amp;A239&amp;"-"&amp;AJ$2,""),3,999))</f>
        <v/>
      </c>
      <c r="AN239" s="81"/>
      <c r="AO239" s="88"/>
      <c r="AP239" s="89" t="str">
        <f aca="false">IF(AO239="","",ROUND(AO239/(1+Справочники!$B$13),2))</f>
        <v/>
      </c>
      <c r="AQ239" s="90" t="str">
        <f aca="false" t="array" ref="AQ239:AQ239">IF(AP239="","",AP239*INDEX(Справочники!$B$4:$B$7,MATCH("RUB",Справочники!$A$4:$A$7,0)))</f>
        <v/>
      </c>
      <c r="AR239" s="90" t="str">
        <f aca="false">IF(AQ239="","",ROUND(AQ239*(1+Справочники!$B$12),0))</f>
        <v/>
      </c>
      <c r="AS239" s="90" t="str">
        <f aca="false">IF(AR239="","",ROUND(AR239*(1-Справочники!$B$11),0))</f>
        <v/>
      </c>
      <c r="AT239" s="88"/>
      <c r="AU239" s="90" t="str">
        <f aca="false">IF(AT239="","",ROUND(AT239/(1+Справочники!$B$12),0))</f>
        <v/>
      </c>
      <c r="AV239" s="90" t="str">
        <f aca="false">IF(AT239="","",ROUND(AT239*(1-Справочники!$B$15),0))</f>
        <v/>
      </c>
      <c r="AW239" s="90" t="str">
        <f aca="false">IF(AT239="","",ROUND(AT239*(1-Справочники!$B$16),0))</f>
        <v/>
      </c>
      <c r="AX239" s="90" t="str">
        <f aca="false">IF(AT239="","",ROUND(AT239*(1-Справочники!$B$17),0))</f>
        <v/>
      </c>
      <c r="AY239" s="90" t="str">
        <f aca="false">IF(AT239="","",ROUND(AT239*(1-Справочники!$B$18),0))</f>
        <v/>
      </c>
      <c r="AZ239" s="90" t="str">
        <f aca="false">IF(AT239="","",ROUND(AT239*(1-Справочники!$B$19),0))</f>
        <v/>
      </c>
      <c r="BA239" s="81"/>
      <c r="BB239" s="81"/>
      <c r="BC239" s="81"/>
      <c r="BD239" s="81"/>
      <c r="BE239" s="91"/>
      <c r="BF239" s="81" t="s">
        <v>103</v>
      </c>
      <c r="BG239" s="89" t="n">
        <f aca="false" t="array" ref="BG239:BG239">IF(BF239="","",IFERROR(INDEX(Справочники!$B$4:$B$7,MATCH(BF239,Справочники!$A$4:$A$7,0)),""))</f>
        <v>68.5</v>
      </c>
      <c r="BH239" s="90" t="str">
        <f aca="false">IF(N(BN239)&gt;0,ROUND(SUMIF(ЗАКАЗЫ!$F$3:$F$500,$A239,ЗАКАЗЫ!$Y$3:$Y$500)/BN239,0),IF(OR(BE239="",BG239=""),"",ROUND(BE239*BG239*(1+Справочники!$B$10),0)))</f>
        <v/>
      </c>
      <c r="BI239" s="92" t="str">
        <f aca="false">IF(OR(AU239="",BH239="",AU239=0),"",(AU239-BH239)/AU239)</f>
        <v/>
      </c>
      <c r="BJ239" s="81"/>
      <c r="BK239" s="83"/>
      <c r="BL239" s="43" t="str">
        <f aca="false">IFERROR(INDEX(ЗАКАЗЫ!$N$3:$N$500,MATCH($A239,ЗАКАЗЫ!$F$3:$F$500,0)),"")</f>
        <v/>
      </c>
      <c r="BM239" s="8" t="str">
        <f aca="false">IF(BL239="","",IFERROR(VLOOKUP(BL239,'ТН ВЭД'!$A$4:$C$40,3,0),""))</f>
        <v/>
      </c>
      <c r="BN239" s="7" t="str">
        <f aca="false">IF(COUNTIF(ЗАКАЗЫ!$F$3:$F$500,$A239)=0,"",SUMIF(ЗАКАЗЫ!$F$3:$F$500,$A239,ЗАКАЗЫ!$J$3:$J$500))</f>
        <v/>
      </c>
      <c r="BO239" s="7" t="str">
        <f aca="false">IF(BN239="","",SUMIF(ЗАКАЗЫ!$F$3:$F$500,$A239,ЗАКАЗЫ!$AL$3:$AL$500))</f>
        <v/>
      </c>
      <c r="BP239" s="7" t="str">
        <f aca="false">IF(BN239="","",BN239-BO239)</f>
        <v/>
      </c>
      <c r="BQ239" s="55" t="str">
        <f aca="false">IF(BN239="","",IF(BO239&gt;=BN239,"На складе",IF(BO239&gt;0,"Частично","Ждём")))</f>
        <v/>
      </c>
      <c r="BR239" s="43"/>
      <c r="BS239" s="47" t="str">
        <f aca="false">IF(BN239="","",IF(_xlfn.MAXIFS(ЗАКАЗЫ!$AK$3:$AK$500,ЗАКАЗЫ!$F$3:$F$500,$A239)=0,"",_xlfn.MAXIFS(ЗАКАЗЫ!$AK$3:$AK$500,ЗАКАЗЫ!$F$3:$F$500,$A239)))</f>
        <v/>
      </c>
    </row>
    <row r="240" customFormat="false" ht="15.75" hidden="false" customHeight="true" outlineLevel="0" collapsed="false">
      <c r="A240" s="80" t="s">
        <v>3151</v>
      </c>
      <c r="B240" s="81"/>
      <c r="C240" s="81"/>
      <c r="D240" s="81"/>
      <c r="E240" s="83"/>
      <c r="F240" s="81"/>
      <c r="G240" s="83"/>
      <c r="H240" s="83"/>
      <c r="I240" s="84" t="str">
        <f aca="false">IF(E240="","",A240&amp;"_1.jpg")</f>
        <v/>
      </c>
      <c r="J240" s="84" t="str">
        <f aca="false">IF(E240="","",A240&amp;"_2.jpg; "&amp;A240&amp;"_3.jpg")</f>
        <v/>
      </c>
      <c r="K240" s="84" t="str">
        <f aca="false">IF(E240="","",A240&amp;"_schema.jpg")</f>
        <v/>
      </c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 t="s">
        <v>96</v>
      </c>
      <c r="W240" s="81"/>
      <c r="X240" s="81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6" t="str">
        <f aca="false">IF(SUM(Y240:AJ240)=0,"",SUM(Y240:AJ240))</f>
        <v/>
      </c>
      <c r="AL240" s="84" t="str">
        <f aca="false">MID(IF(N(Y240)&gt;0,", "&amp;Y$2,"")&amp;IF(N(Z240)&gt;0,", "&amp;Z$2,"")&amp;IF(N(AA240)&gt;0,", "&amp;AA$2,"")&amp;IF(N(AB240)&gt;0,", "&amp;AB$2,"")&amp;IF(N(AC240)&gt;0,", "&amp;AC$2,"")&amp;IF(N(AD240)&gt;0,", "&amp;AD$2,"")&amp;IF(N(AE240)&gt;0,", "&amp;AE$2,"")&amp;IF(N(AF240)&gt;0,", "&amp;AF$2,"")&amp;IF(N(AG240)&gt;0,", "&amp;AG$2,"")&amp;IF(N(AH240)&gt;0,", "&amp;AH$2,"")&amp;IF(N(AI240)&gt;0,", "&amp;AI$2,"")&amp;IF(N(AJ240)&gt;0,", "&amp;AJ$2,""),3,999)</f>
        <v/>
      </c>
      <c r="AM240" s="87" t="str">
        <f aca="false">IF(E240="","",MID(IF(N(Y240)&gt;0,", "&amp;A240&amp;"-"&amp;Y$2,"")&amp;IF(N(Z240)&gt;0,", "&amp;A240&amp;"-"&amp;Z$2,"")&amp;IF(N(AA240)&gt;0,", "&amp;A240&amp;"-"&amp;AA$2,"")&amp;IF(N(AB240)&gt;0,", "&amp;A240&amp;"-"&amp;AB$2,"")&amp;IF(N(AC240)&gt;0,", "&amp;A240&amp;"-"&amp;AC$2,"")&amp;IF(N(AD240)&gt;0,", "&amp;A240&amp;"-"&amp;AD$2,"")&amp;IF(N(AE240)&gt;0,", "&amp;A240&amp;"-"&amp;AE$2,"")&amp;IF(N(AF240)&gt;0,", "&amp;A240&amp;"-"&amp;AF$2,"")&amp;IF(N(AG240)&gt;0,", "&amp;A240&amp;"-"&amp;AG$2,"")&amp;IF(N(AH240)&gt;0,", "&amp;A240&amp;"-"&amp;AH$2,"")&amp;IF(N(AI240)&gt;0,", "&amp;A240&amp;"-"&amp;AI$2,"")&amp;IF(N(AJ240)&gt;0,", "&amp;A240&amp;"-"&amp;AJ$2,""),3,999))</f>
        <v/>
      </c>
      <c r="AN240" s="81"/>
      <c r="AO240" s="88"/>
      <c r="AP240" s="89" t="str">
        <f aca="false">IF(AO240="","",ROUND(AO240/(1+Справочники!$B$13),2))</f>
        <v/>
      </c>
      <c r="AQ240" s="90" t="str">
        <f aca="false" t="array" ref="AQ240:AQ240">IF(AP240="","",AP240*INDEX(Справочники!$B$4:$B$7,MATCH("RUB",Справочники!$A$4:$A$7,0)))</f>
        <v/>
      </c>
      <c r="AR240" s="90" t="str">
        <f aca="false">IF(AQ240="","",ROUND(AQ240*(1+Справочники!$B$12),0))</f>
        <v/>
      </c>
      <c r="AS240" s="90" t="str">
        <f aca="false">IF(AR240="","",ROUND(AR240*(1-Справочники!$B$11),0))</f>
        <v/>
      </c>
      <c r="AT240" s="88"/>
      <c r="AU240" s="90" t="str">
        <f aca="false">IF(AT240="","",ROUND(AT240/(1+Справочники!$B$12),0))</f>
        <v/>
      </c>
      <c r="AV240" s="90" t="str">
        <f aca="false">IF(AT240="","",ROUND(AT240*(1-Справочники!$B$15),0))</f>
        <v/>
      </c>
      <c r="AW240" s="90" t="str">
        <f aca="false">IF(AT240="","",ROUND(AT240*(1-Справочники!$B$16),0))</f>
        <v/>
      </c>
      <c r="AX240" s="90" t="str">
        <f aca="false">IF(AT240="","",ROUND(AT240*(1-Справочники!$B$17),0))</f>
        <v/>
      </c>
      <c r="AY240" s="90" t="str">
        <f aca="false">IF(AT240="","",ROUND(AT240*(1-Справочники!$B$18),0))</f>
        <v/>
      </c>
      <c r="AZ240" s="90" t="str">
        <f aca="false">IF(AT240="","",ROUND(AT240*(1-Справочники!$B$19),0))</f>
        <v/>
      </c>
      <c r="BA240" s="81"/>
      <c r="BB240" s="81"/>
      <c r="BC240" s="81"/>
      <c r="BD240" s="81"/>
      <c r="BE240" s="91"/>
      <c r="BF240" s="81" t="s">
        <v>103</v>
      </c>
      <c r="BG240" s="89" t="n">
        <f aca="false" t="array" ref="BG240:BG240">IF(BF240="","",IFERROR(INDEX(Справочники!$B$4:$B$7,MATCH(BF240,Справочники!$A$4:$A$7,0)),""))</f>
        <v>68.5</v>
      </c>
      <c r="BH240" s="90" t="str">
        <f aca="false">IF(N(BN240)&gt;0,ROUND(SUMIF(ЗАКАЗЫ!$F$3:$F$500,$A240,ЗАКАЗЫ!$Y$3:$Y$500)/BN240,0),IF(OR(BE240="",BG240=""),"",ROUND(BE240*BG240*(1+Справочники!$B$10),0)))</f>
        <v/>
      </c>
      <c r="BI240" s="92" t="str">
        <f aca="false">IF(OR(AU240="",BH240="",AU240=0),"",(AU240-BH240)/AU240)</f>
        <v/>
      </c>
      <c r="BJ240" s="81"/>
      <c r="BK240" s="83"/>
      <c r="BL240" s="43" t="str">
        <f aca="false">IFERROR(INDEX(ЗАКАЗЫ!$N$3:$N$500,MATCH($A240,ЗАКАЗЫ!$F$3:$F$500,0)),"")</f>
        <v/>
      </c>
      <c r="BM240" s="8" t="str">
        <f aca="false">IF(BL240="","",IFERROR(VLOOKUP(BL240,'ТН ВЭД'!$A$4:$C$40,3,0),""))</f>
        <v/>
      </c>
      <c r="BN240" s="7" t="str">
        <f aca="false">IF(COUNTIF(ЗАКАЗЫ!$F$3:$F$500,$A240)=0,"",SUMIF(ЗАКАЗЫ!$F$3:$F$500,$A240,ЗАКАЗЫ!$J$3:$J$500))</f>
        <v/>
      </c>
      <c r="BO240" s="7" t="str">
        <f aca="false">IF(BN240="","",SUMIF(ЗАКАЗЫ!$F$3:$F$500,$A240,ЗАКАЗЫ!$AL$3:$AL$500))</f>
        <v/>
      </c>
      <c r="BP240" s="7" t="str">
        <f aca="false">IF(BN240="","",BN240-BO240)</f>
        <v/>
      </c>
      <c r="BQ240" s="55" t="str">
        <f aca="false">IF(BN240="","",IF(BO240&gt;=BN240,"На складе",IF(BO240&gt;0,"Частично","Ждём")))</f>
        <v/>
      </c>
      <c r="BR240" s="43"/>
      <c r="BS240" s="47" t="str">
        <f aca="false">IF(BN240="","",IF(_xlfn.MAXIFS(ЗАКАЗЫ!$AK$3:$AK$500,ЗАКАЗЫ!$F$3:$F$500,$A240)=0,"",_xlfn.MAXIFS(ЗАКАЗЫ!$AK$3:$AK$500,ЗАКАЗЫ!$F$3:$F$500,$A240)))</f>
        <v/>
      </c>
    </row>
    <row r="241" customFormat="false" ht="15.75" hidden="false" customHeight="true" outlineLevel="0" collapsed="false">
      <c r="A241" s="80" t="s">
        <v>3152</v>
      </c>
      <c r="B241" s="81"/>
      <c r="C241" s="81"/>
      <c r="D241" s="81"/>
      <c r="E241" s="83"/>
      <c r="F241" s="81"/>
      <c r="G241" s="83"/>
      <c r="H241" s="83"/>
      <c r="I241" s="84" t="str">
        <f aca="false">IF(E241="","",A241&amp;"_1.jpg")</f>
        <v/>
      </c>
      <c r="J241" s="84" t="str">
        <f aca="false">IF(E241="","",A241&amp;"_2.jpg; "&amp;A241&amp;"_3.jpg")</f>
        <v/>
      </c>
      <c r="K241" s="84" t="str">
        <f aca="false">IF(E241="","",A241&amp;"_schema.jpg")</f>
        <v/>
      </c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 t="s">
        <v>96</v>
      </c>
      <c r="W241" s="81"/>
      <c r="X241" s="81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6" t="str">
        <f aca="false">IF(SUM(Y241:AJ241)=0,"",SUM(Y241:AJ241))</f>
        <v/>
      </c>
      <c r="AL241" s="84" t="str">
        <f aca="false">MID(IF(N(Y241)&gt;0,", "&amp;Y$2,"")&amp;IF(N(Z241)&gt;0,", "&amp;Z$2,"")&amp;IF(N(AA241)&gt;0,", "&amp;AA$2,"")&amp;IF(N(AB241)&gt;0,", "&amp;AB$2,"")&amp;IF(N(AC241)&gt;0,", "&amp;AC$2,"")&amp;IF(N(AD241)&gt;0,", "&amp;AD$2,"")&amp;IF(N(AE241)&gt;0,", "&amp;AE$2,"")&amp;IF(N(AF241)&gt;0,", "&amp;AF$2,"")&amp;IF(N(AG241)&gt;0,", "&amp;AG$2,"")&amp;IF(N(AH241)&gt;0,", "&amp;AH$2,"")&amp;IF(N(AI241)&gt;0,", "&amp;AI$2,"")&amp;IF(N(AJ241)&gt;0,", "&amp;AJ$2,""),3,999)</f>
        <v/>
      </c>
      <c r="AM241" s="87" t="str">
        <f aca="false">IF(E241="","",MID(IF(N(Y241)&gt;0,", "&amp;A241&amp;"-"&amp;Y$2,"")&amp;IF(N(Z241)&gt;0,", "&amp;A241&amp;"-"&amp;Z$2,"")&amp;IF(N(AA241)&gt;0,", "&amp;A241&amp;"-"&amp;AA$2,"")&amp;IF(N(AB241)&gt;0,", "&amp;A241&amp;"-"&amp;AB$2,"")&amp;IF(N(AC241)&gt;0,", "&amp;A241&amp;"-"&amp;AC$2,"")&amp;IF(N(AD241)&gt;0,", "&amp;A241&amp;"-"&amp;AD$2,"")&amp;IF(N(AE241)&gt;0,", "&amp;A241&amp;"-"&amp;AE$2,"")&amp;IF(N(AF241)&gt;0,", "&amp;A241&amp;"-"&amp;AF$2,"")&amp;IF(N(AG241)&gt;0,", "&amp;A241&amp;"-"&amp;AG$2,"")&amp;IF(N(AH241)&gt;0,", "&amp;A241&amp;"-"&amp;AH$2,"")&amp;IF(N(AI241)&gt;0,", "&amp;A241&amp;"-"&amp;AI$2,"")&amp;IF(N(AJ241)&gt;0,", "&amp;A241&amp;"-"&amp;AJ$2,""),3,999))</f>
        <v/>
      </c>
      <c r="AN241" s="81"/>
      <c r="AO241" s="88"/>
      <c r="AP241" s="89" t="str">
        <f aca="false">IF(AO241="","",ROUND(AO241/(1+Справочники!$B$13),2))</f>
        <v/>
      </c>
      <c r="AQ241" s="90" t="str">
        <f aca="false" t="array" ref="AQ241:AQ241">IF(AP241="","",AP241*INDEX(Справочники!$B$4:$B$7,MATCH("RUB",Справочники!$A$4:$A$7,0)))</f>
        <v/>
      </c>
      <c r="AR241" s="90" t="str">
        <f aca="false">IF(AQ241="","",ROUND(AQ241*(1+Справочники!$B$12),0))</f>
        <v/>
      </c>
      <c r="AS241" s="90" t="str">
        <f aca="false">IF(AR241="","",ROUND(AR241*(1-Справочники!$B$11),0))</f>
        <v/>
      </c>
      <c r="AT241" s="88"/>
      <c r="AU241" s="90" t="str">
        <f aca="false">IF(AT241="","",ROUND(AT241/(1+Справочники!$B$12),0))</f>
        <v/>
      </c>
      <c r="AV241" s="90" t="str">
        <f aca="false">IF(AT241="","",ROUND(AT241*(1-Справочники!$B$15),0))</f>
        <v/>
      </c>
      <c r="AW241" s="90" t="str">
        <f aca="false">IF(AT241="","",ROUND(AT241*(1-Справочники!$B$16),0))</f>
        <v/>
      </c>
      <c r="AX241" s="90" t="str">
        <f aca="false">IF(AT241="","",ROUND(AT241*(1-Справочники!$B$17),0))</f>
        <v/>
      </c>
      <c r="AY241" s="90" t="str">
        <f aca="false">IF(AT241="","",ROUND(AT241*(1-Справочники!$B$18),0))</f>
        <v/>
      </c>
      <c r="AZ241" s="90" t="str">
        <f aca="false">IF(AT241="","",ROUND(AT241*(1-Справочники!$B$19),0))</f>
        <v/>
      </c>
      <c r="BA241" s="81"/>
      <c r="BB241" s="81"/>
      <c r="BC241" s="81"/>
      <c r="BD241" s="81"/>
      <c r="BE241" s="91"/>
      <c r="BF241" s="81" t="s">
        <v>103</v>
      </c>
      <c r="BG241" s="89" t="n">
        <f aca="false" t="array" ref="BG241:BG241">IF(BF241="","",IFERROR(INDEX(Справочники!$B$4:$B$7,MATCH(BF241,Справочники!$A$4:$A$7,0)),""))</f>
        <v>68.5</v>
      </c>
      <c r="BH241" s="90" t="str">
        <f aca="false">IF(N(BN241)&gt;0,ROUND(SUMIF(ЗАКАЗЫ!$F$3:$F$500,$A241,ЗАКАЗЫ!$Y$3:$Y$500)/BN241,0),IF(OR(BE241="",BG241=""),"",ROUND(BE241*BG241*(1+Справочники!$B$10),0)))</f>
        <v/>
      </c>
      <c r="BI241" s="92" t="str">
        <f aca="false">IF(OR(AU241="",BH241="",AU241=0),"",(AU241-BH241)/AU241)</f>
        <v/>
      </c>
      <c r="BJ241" s="81"/>
      <c r="BK241" s="83"/>
      <c r="BL241" s="43" t="str">
        <f aca="false">IFERROR(INDEX(ЗАКАЗЫ!$N$3:$N$500,MATCH($A241,ЗАКАЗЫ!$F$3:$F$500,0)),"")</f>
        <v/>
      </c>
      <c r="BM241" s="8" t="str">
        <f aca="false">IF(BL241="","",IFERROR(VLOOKUP(BL241,'ТН ВЭД'!$A$4:$C$40,3,0),""))</f>
        <v/>
      </c>
      <c r="BN241" s="7" t="str">
        <f aca="false">IF(COUNTIF(ЗАКАЗЫ!$F$3:$F$500,$A241)=0,"",SUMIF(ЗАКАЗЫ!$F$3:$F$500,$A241,ЗАКАЗЫ!$J$3:$J$500))</f>
        <v/>
      </c>
      <c r="BO241" s="7" t="str">
        <f aca="false">IF(BN241="","",SUMIF(ЗАКАЗЫ!$F$3:$F$500,$A241,ЗАКАЗЫ!$AL$3:$AL$500))</f>
        <v/>
      </c>
      <c r="BP241" s="7" t="str">
        <f aca="false">IF(BN241="","",BN241-BO241)</f>
        <v/>
      </c>
      <c r="BQ241" s="55" t="str">
        <f aca="false">IF(BN241="","",IF(BO241&gt;=BN241,"На складе",IF(BO241&gt;0,"Частично","Ждём")))</f>
        <v/>
      </c>
      <c r="BR241" s="43"/>
      <c r="BS241" s="47" t="str">
        <f aca="false">IF(BN241="","",IF(_xlfn.MAXIFS(ЗАКАЗЫ!$AK$3:$AK$500,ЗАКАЗЫ!$F$3:$F$500,$A241)=0,"",_xlfn.MAXIFS(ЗАКАЗЫ!$AK$3:$AK$500,ЗАКАЗЫ!$F$3:$F$500,$A241)))</f>
        <v/>
      </c>
    </row>
    <row r="242" customFormat="false" ht="15.75" hidden="false" customHeight="true" outlineLevel="0" collapsed="false">
      <c r="A242" s="80" t="s">
        <v>3153</v>
      </c>
      <c r="B242" s="81"/>
      <c r="C242" s="81"/>
      <c r="D242" s="81"/>
      <c r="E242" s="83"/>
      <c r="F242" s="81"/>
      <c r="G242" s="83"/>
      <c r="H242" s="83"/>
      <c r="I242" s="84" t="str">
        <f aca="false">IF(E242="","",A242&amp;"_1.jpg")</f>
        <v/>
      </c>
      <c r="J242" s="84" t="str">
        <f aca="false">IF(E242="","",A242&amp;"_2.jpg; "&amp;A242&amp;"_3.jpg")</f>
        <v/>
      </c>
      <c r="K242" s="84" t="str">
        <f aca="false">IF(E242="","",A242&amp;"_schema.jpg")</f>
        <v/>
      </c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 t="s">
        <v>96</v>
      </c>
      <c r="W242" s="81"/>
      <c r="X242" s="81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6" t="str">
        <f aca="false">IF(SUM(Y242:AJ242)=0,"",SUM(Y242:AJ242))</f>
        <v/>
      </c>
      <c r="AL242" s="84" t="str">
        <f aca="false">MID(IF(N(Y242)&gt;0,", "&amp;Y$2,"")&amp;IF(N(Z242)&gt;0,", "&amp;Z$2,"")&amp;IF(N(AA242)&gt;0,", "&amp;AA$2,"")&amp;IF(N(AB242)&gt;0,", "&amp;AB$2,"")&amp;IF(N(AC242)&gt;0,", "&amp;AC$2,"")&amp;IF(N(AD242)&gt;0,", "&amp;AD$2,"")&amp;IF(N(AE242)&gt;0,", "&amp;AE$2,"")&amp;IF(N(AF242)&gt;0,", "&amp;AF$2,"")&amp;IF(N(AG242)&gt;0,", "&amp;AG$2,"")&amp;IF(N(AH242)&gt;0,", "&amp;AH$2,"")&amp;IF(N(AI242)&gt;0,", "&amp;AI$2,"")&amp;IF(N(AJ242)&gt;0,", "&amp;AJ$2,""),3,999)</f>
        <v/>
      </c>
      <c r="AM242" s="87" t="str">
        <f aca="false">IF(E242="","",MID(IF(N(Y242)&gt;0,", "&amp;A242&amp;"-"&amp;Y$2,"")&amp;IF(N(Z242)&gt;0,", "&amp;A242&amp;"-"&amp;Z$2,"")&amp;IF(N(AA242)&gt;0,", "&amp;A242&amp;"-"&amp;AA$2,"")&amp;IF(N(AB242)&gt;0,", "&amp;A242&amp;"-"&amp;AB$2,"")&amp;IF(N(AC242)&gt;0,", "&amp;A242&amp;"-"&amp;AC$2,"")&amp;IF(N(AD242)&gt;0,", "&amp;A242&amp;"-"&amp;AD$2,"")&amp;IF(N(AE242)&gt;0,", "&amp;A242&amp;"-"&amp;AE$2,"")&amp;IF(N(AF242)&gt;0,", "&amp;A242&amp;"-"&amp;AF$2,"")&amp;IF(N(AG242)&gt;0,", "&amp;A242&amp;"-"&amp;AG$2,"")&amp;IF(N(AH242)&gt;0,", "&amp;A242&amp;"-"&amp;AH$2,"")&amp;IF(N(AI242)&gt;0,", "&amp;A242&amp;"-"&amp;AI$2,"")&amp;IF(N(AJ242)&gt;0,", "&amp;A242&amp;"-"&amp;AJ$2,""),3,999))</f>
        <v/>
      </c>
      <c r="AN242" s="81"/>
      <c r="AO242" s="88"/>
      <c r="AP242" s="89" t="str">
        <f aca="false">IF(AO242="","",ROUND(AO242/(1+Справочники!$B$13),2))</f>
        <v/>
      </c>
      <c r="AQ242" s="90" t="str">
        <f aca="false" t="array" ref="AQ242:AQ242">IF(AP242="","",AP242*INDEX(Справочники!$B$4:$B$7,MATCH("RUB",Справочники!$A$4:$A$7,0)))</f>
        <v/>
      </c>
      <c r="AR242" s="90" t="str">
        <f aca="false">IF(AQ242="","",ROUND(AQ242*(1+Справочники!$B$12),0))</f>
        <v/>
      </c>
      <c r="AS242" s="90" t="str">
        <f aca="false">IF(AR242="","",ROUND(AR242*(1-Справочники!$B$11),0))</f>
        <v/>
      </c>
      <c r="AT242" s="88"/>
      <c r="AU242" s="90" t="str">
        <f aca="false">IF(AT242="","",ROUND(AT242/(1+Справочники!$B$12),0))</f>
        <v/>
      </c>
      <c r="AV242" s="90" t="str">
        <f aca="false">IF(AT242="","",ROUND(AT242*(1-Справочники!$B$15),0))</f>
        <v/>
      </c>
      <c r="AW242" s="90" t="str">
        <f aca="false">IF(AT242="","",ROUND(AT242*(1-Справочники!$B$16),0))</f>
        <v/>
      </c>
      <c r="AX242" s="90" t="str">
        <f aca="false">IF(AT242="","",ROUND(AT242*(1-Справочники!$B$17),0))</f>
        <v/>
      </c>
      <c r="AY242" s="90" t="str">
        <f aca="false">IF(AT242="","",ROUND(AT242*(1-Справочники!$B$18),0))</f>
        <v/>
      </c>
      <c r="AZ242" s="90" t="str">
        <f aca="false">IF(AT242="","",ROUND(AT242*(1-Справочники!$B$19),0))</f>
        <v/>
      </c>
      <c r="BA242" s="81"/>
      <c r="BB242" s="81"/>
      <c r="BC242" s="81"/>
      <c r="BD242" s="81"/>
      <c r="BE242" s="91"/>
      <c r="BF242" s="81" t="s">
        <v>103</v>
      </c>
      <c r="BG242" s="89" t="n">
        <f aca="false" t="array" ref="BG242:BG242">IF(BF242="","",IFERROR(INDEX(Справочники!$B$4:$B$7,MATCH(BF242,Справочники!$A$4:$A$7,0)),""))</f>
        <v>68.5</v>
      </c>
      <c r="BH242" s="90" t="str">
        <f aca="false">IF(N(BN242)&gt;0,ROUND(SUMIF(ЗАКАЗЫ!$F$3:$F$500,$A242,ЗАКАЗЫ!$Y$3:$Y$500)/BN242,0),IF(OR(BE242="",BG242=""),"",ROUND(BE242*BG242*(1+Справочники!$B$10),0)))</f>
        <v/>
      </c>
      <c r="BI242" s="92" t="str">
        <f aca="false">IF(OR(AU242="",BH242="",AU242=0),"",(AU242-BH242)/AU242)</f>
        <v/>
      </c>
      <c r="BJ242" s="81"/>
      <c r="BK242" s="83"/>
      <c r="BL242" s="43" t="str">
        <f aca="false">IFERROR(INDEX(ЗАКАЗЫ!$N$3:$N$500,MATCH($A242,ЗАКАЗЫ!$F$3:$F$500,0)),"")</f>
        <v/>
      </c>
      <c r="BM242" s="8" t="str">
        <f aca="false">IF(BL242="","",IFERROR(VLOOKUP(BL242,'ТН ВЭД'!$A$4:$C$40,3,0),""))</f>
        <v/>
      </c>
      <c r="BN242" s="7" t="str">
        <f aca="false">IF(COUNTIF(ЗАКАЗЫ!$F$3:$F$500,$A242)=0,"",SUMIF(ЗАКАЗЫ!$F$3:$F$500,$A242,ЗАКАЗЫ!$J$3:$J$500))</f>
        <v/>
      </c>
      <c r="BO242" s="7" t="str">
        <f aca="false">IF(BN242="","",SUMIF(ЗАКАЗЫ!$F$3:$F$500,$A242,ЗАКАЗЫ!$AL$3:$AL$500))</f>
        <v/>
      </c>
      <c r="BP242" s="7" t="str">
        <f aca="false">IF(BN242="","",BN242-BO242)</f>
        <v/>
      </c>
      <c r="BQ242" s="55" t="str">
        <f aca="false">IF(BN242="","",IF(BO242&gt;=BN242,"На складе",IF(BO242&gt;0,"Частично","Ждём")))</f>
        <v/>
      </c>
      <c r="BR242" s="43"/>
      <c r="BS242" s="47" t="str">
        <f aca="false">IF(BN242="","",IF(_xlfn.MAXIFS(ЗАКАЗЫ!$AK$3:$AK$500,ЗАКАЗЫ!$F$3:$F$500,$A242)=0,"",_xlfn.MAXIFS(ЗАКАЗЫ!$AK$3:$AK$500,ЗАКАЗЫ!$F$3:$F$500,$A242)))</f>
        <v/>
      </c>
    </row>
    <row r="243" customFormat="false" ht="15.75" hidden="false" customHeight="true" outlineLevel="0" collapsed="false">
      <c r="A243" s="80" t="s">
        <v>3154</v>
      </c>
      <c r="B243" s="81"/>
      <c r="C243" s="81"/>
      <c r="D243" s="81"/>
      <c r="E243" s="83"/>
      <c r="F243" s="81"/>
      <c r="G243" s="83"/>
      <c r="H243" s="83"/>
      <c r="I243" s="84" t="str">
        <f aca="false">IF(E243="","",A243&amp;"_1.jpg")</f>
        <v/>
      </c>
      <c r="J243" s="84" t="str">
        <f aca="false">IF(E243="","",A243&amp;"_2.jpg; "&amp;A243&amp;"_3.jpg")</f>
        <v/>
      </c>
      <c r="K243" s="84" t="str">
        <f aca="false">IF(E243="","",A243&amp;"_schema.jpg")</f>
        <v/>
      </c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 t="s">
        <v>96</v>
      </c>
      <c r="W243" s="81"/>
      <c r="X243" s="81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6" t="str">
        <f aca="false">IF(SUM(Y243:AJ243)=0,"",SUM(Y243:AJ243))</f>
        <v/>
      </c>
      <c r="AL243" s="84" t="str">
        <f aca="false">MID(IF(N(Y243)&gt;0,", "&amp;Y$2,"")&amp;IF(N(Z243)&gt;0,", "&amp;Z$2,"")&amp;IF(N(AA243)&gt;0,", "&amp;AA$2,"")&amp;IF(N(AB243)&gt;0,", "&amp;AB$2,"")&amp;IF(N(AC243)&gt;0,", "&amp;AC$2,"")&amp;IF(N(AD243)&gt;0,", "&amp;AD$2,"")&amp;IF(N(AE243)&gt;0,", "&amp;AE$2,"")&amp;IF(N(AF243)&gt;0,", "&amp;AF$2,"")&amp;IF(N(AG243)&gt;0,", "&amp;AG$2,"")&amp;IF(N(AH243)&gt;0,", "&amp;AH$2,"")&amp;IF(N(AI243)&gt;0,", "&amp;AI$2,"")&amp;IF(N(AJ243)&gt;0,", "&amp;AJ$2,""),3,999)</f>
        <v/>
      </c>
      <c r="AM243" s="87" t="str">
        <f aca="false">IF(E243="","",MID(IF(N(Y243)&gt;0,", "&amp;A243&amp;"-"&amp;Y$2,"")&amp;IF(N(Z243)&gt;0,", "&amp;A243&amp;"-"&amp;Z$2,"")&amp;IF(N(AA243)&gt;0,", "&amp;A243&amp;"-"&amp;AA$2,"")&amp;IF(N(AB243)&gt;0,", "&amp;A243&amp;"-"&amp;AB$2,"")&amp;IF(N(AC243)&gt;0,", "&amp;A243&amp;"-"&amp;AC$2,"")&amp;IF(N(AD243)&gt;0,", "&amp;A243&amp;"-"&amp;AD$2,"")&amp;IF(N(AE243)&gt;0,", "&amp;A243&amp;"-"&amp;AE$2,"")&amp;IF(N(AF243)&gt;0,", "&amp;A243&amp;"-"&amp;AF$2,"")&amp;IF(N(AG243)&gt;0,", "&amp;A243&amp;"-"&amp;AG$2,"")&amp;IF(N(AH243)&gt;0,", "&amp;A243&amp;"-"&amp;AH$2,"")&amp;IF(N(AI243)&gt;0,", "&amp;A243&amp;"-"&amp;AI$2,"")&amp;IF(N(AJ243)&gt;0,", "&amp;A243&amp;"-"&amp;AJ$2,""),3,999))</f>
        <v/>
      </c>
      <c r="AN243" s="81"/>
      <c r="AO243" s="88"/>
      <c r="AP243" s="89" t="str">
        <f aca="false">IF(AO243="","",ROUND(AO243/(1+Справочники!$B$13),2))</f>
        <v/>
      </c>
      <c r="AQ243" s="90" t="str">
        <f aca="false" t="array" ref="AQ243:AQ243">IF(AP243="","",AP243*INDEX(Справочники!$B$4:$B$7,MATCH("RUB",Справочники!$A$4:$A$7,0)))</f>
        <v/>
      </c>
      <c r="AR243" s="90" t="str">
        <f aca="false">IF(AQ243="","",ROUND(AQ243*(1+Справочники!$B$12),0))</f>
        <v/>
      </c>
      <c r="AS243" s="90" t="str">
        <f aca="false">IF(AR243="","",ROUND(AR243*(1-Справочники!$B$11),0))</f>
        <v/>
      </c>
      <c r="AT243" s="88"/>
      <c r="AU243" s="90" t="str">
        <f aca="false">IF(AT243="","",ROUND(AT243/(1+Справочники!$B$12),0))</f>
        <v/>
      </c>
      <c r="AV243" s="90" t="str">
        <f aca="false">IF(AT243="","",ROUND(AT243*(1-Справочники!$B$15),0))</f>
        <v/>
      </c>
      <c r="AW243" s="90" t="str">
        <f aca="false">IF(AT243="","",ROUND(AT243*(1-Справочники!$B$16),0))</f>
        <v/>
      </c>
      <c r="AX243" s="90" t="str">
        <f aca="false">IF(AT243="","",ROUND(AT243*(1-Справочники!$B$17),0))</f>
        <v/>
      </c>
      <c r="AY243" s="90" t="str">
        <f aca="false">IF(AT243="","",ROUND(AT243*(1-Справочники!$B$18),0))</f>
        <v/>
      </c>
      <c r="AZ243" s="90" t="str">
        <f aca="false">IF(AT243="","",ROUND(AT243*(1-Справочники!$B$19),0))</f>
        <v/>
      </c>
      <c r="BA243" s="81"/>
      <c r="BB243" s="81"/>
      <c r="BC243" s="81"/>
      <c r="BD243" s="81"/>
      <c r="BE243" s="91"/>
      <c r="BF243" s="81" t="s">
        <v>103</v>
      </c>
      <c r="BG243" s="89" t="n">
        <f aca="false" t="array" ref="BG243:BG243">IF(BF243="","",IFERROR(INDEX(Справочники!$B$4:$B$7,MATCH(BF243,Справочники!$A$4:$A$7,0)),""))</f>
        <v>68.5</v>
      </c>
      <c r="BH243" s="90" t="str">
        <f aca="false">IF(N(BN243)&gt;0,ROUND(SUMIF(ЗАКАЗЫ!$F$3:$F$500,$A243,ЗАКАЗЫ!$Y$3:$Y$500)/BN243,0),IF(OR(BE243="",BG243=""),"",ROUND(BE243*BG243*(1+Справочники!$B$10),0)))</f>
        <v/>
      </c>
      <c r="BI243" s="92" t="str">
        <f aca="false">IF(OR(AU243="",BH243="",AU243=0),"",(AU243-BH243)/AU243)</f>
        <v/>
      </c>
      <c r="BJ243" s="81"/>
      <c r="BK243" s="83"/>
      <c r="BL243" s="43" t="str">
        <f aca="false">IFERROR(INDEX(ЗАКАЗЫ!$N$3:$N$500,MATCH($A243,ЗАКАЗЫ!$F$3:$F$500,0)),"")</f>
        <v/>
      </c>
      <c r="BM243" s="8" t="str">
        <f aca="false">IF(BL243="","",IFERROR(VLOOKUP(BL243,'ТН ВЭД'!$A$4:$C$40,3,0),""))</f>
        <v/>
      </c>
      <c r="BN243" s="7" t="str">
        <f aca="false">IF(COUNTIF(ЗАКАЗЫ!$F$3:$F$500,$A243)=0,"",SUMIF(ЗАКАЗЫ!$F$3:$F$500,$A243,ЗАКАЗЫ!$J$3:$J$500))</f>
        <v/>
      </c>
      <c r="BO243" s="7" t="str">
        <f aca="false">IF(BN243="","",SUMIF(ЗАКАЗЫ!$F$3:$F$500,$A243,ЗАКАЗЫ!$AL$3:$AL$500))</f>
        <v/>
      </c>
      <c r="BP243" s="7" t="str">
        <f aca="false">IF(BN243="","",BN243-BO243)</f>
        <v/>
      </c>
      <c r="BQ243" s="55" t="str">
        <f aca="false">IF(BN243="","",IF(BO243&gt;=BN243,"На складе",IF(BO243&gt;0,"Частично","Ждём")))</f>
        <v/>
      </c>
      <c r="BR243" s="43"/>
      <c r="BS243" s="47" t="str">
        <f aca="false">IF(BN243="","",IF(_xlfn.MAXIFS(ЗАКАЗЫ!$AK$3:$AK$500,ЗАКАЗЫ!$F$3:$F$500,$A243)=0,"",_xlfn.MAXIFS(ЗАКАЗЫ!$AK$3:$AK$500,ЗАКАЗЫ!$F$3:$F$500,$A243)))</f>
        <v/>
      </c>
    </row>
    <row r="244" customFormat="false" ht="15.75" hidden="false" customHeight="true" outlineLevel="0" collapsed="false">
      <c r="A244" s="80" t="s">
        <v>3155</v>
      </c>
      <c r="B244" s="81"/>
      <c r="C244" s="81"/>
      <c r="D244" s="81"/>
      <c r="E244" s="83"/>
      <c r="F244" s="81"/>
      <c r="G244" s="83"/>
      <c r="H244" s="83"/>
      <c r="I244" s="84" t="str">
        <f aca="false">IF(E244="","",A244&amp;"_1.jpg")</f>
        <v/>
      </c>
      <c r="J244" s="84" t="str">
        <f aca="false">IF(E244="","",A244&amp;"_2.jpg; "&amp;A244&amp;"_3.jpg")</f>
        <v/>
      </c>
      <c r="K244" s="84" t="str">
        <f aca="false">IF(E244="","",A244&amp;"_schema.jpg")</f>
        <v/>
      </c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 t="s">
        <v>96</v>
      </c>
      <c r="W244" s="81"/>
      <c r="X244" s="81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6" t="str">
        <f aca="false">IF(SUM(Y244:AJ244)=0,"",SUM(Y244:AJ244))</f>
        <v/>
      </c>
      <c r="AL244" s="84" t="str">
        <f aca="false">MID(IF(N(Y244)&gt;0,", "&amp;Y$2,"")&amp;IF(N(Z244)&gt;0,", "&amp;Z$2,"")&amp;IF(N(AA244)&gt;0,", "&amp;AA$2,"")&amp;IF(N(AB244)&gt;0,", "&amp;AB$2,"")&amp;IF(N(AC244)&gt;0,", "&amp;AC$2,"")&amp;IF(N(AD244)&gt;0,", "&amp;AD$2,"")&amp;IF(N(AE244)&gt;0,", "&amp;AE$2,"")&amp;IF(N(AF244)&gt;0,", "&amp;AF$2,"")&amp;IF(N(AG244)&gt;0,", "&amp;AG$2,"")&amp;IF(N(AH244)&gt;0,", "&amp;AH$2,"")&amp;IF(N(AI244)&gt;0,", "&amp;AI$2,"")&amp;IF(N(AJ244)&gt;0,", "&amp;AJ$2,""),3,999)</f>
        <v/>
      </c>
      <c r="AM244" s="87" t="str">
        <f aca="false">IF(E244="","",MID(IF(N(Y244)&gt;0,", "&amp;A244&amp;"-"&amp;Y$2,"")&amp;IF(N(Z244)&gt;0,", "&amp;A244&amp;"-"&amp;Z$2,"")&amp;IF(N(AA244)&gt;0,", "&amp;A244&amp;"-"&amp;AA$2,"")&amp;IF(N(AB244)&gt;0,", "&amp;A244&amp;"-"&amp;AB$2,"")&amp;IF(N(AC244)&gt;0,", "&amp;A244&amp;"-"&amp;AC$2,"")&amp;IF(N(AD244)&gt;0,", "&amp;A244&amp;"-"&amp;AD$2,"")&amp;IF(N(AE244)&gt;0,", "&amp;A244&amp;"-"&amp;AE$2,"")&amp;IF(N(AF244)&gt;0,", "&amp;A244&amp;"-"&amp;AF$2,"")&amp;IF(N(AG244)&gt;0,", "&amp;A244&amp;"-"&amp;AG$2,"")&amp;IF(N(AH244)&gt;0,", "&amp;A244&amp;"-"&amp;AH$2,"")&amp;IF(N(AI244)&gt;0,", "&amp;A244&amp;"-"&amp;AI$2,"")&amp;IF(N(AJ244)&gt;0,", "&amp;A244&amp;"-"&amp;AJ$2,""),3,999))</f>
        <v/>
      </c>
      <c r="AN244" s="81"/>
      <c r="AO244" s="88"/>
      <c r="AP244" s="89" t="str">
        <f aca="false">IF(AO244="","",ROUND(AO244/(1+Справочники!$B$13),2))</f>
        <v/>
      </c>
      <c r="AQ244" s="90" t="str">
        <f aca="false" t="array" ref="AQ244:AQ244">IF(AP244="","",AP244*INDEX(Справочники!$B$4:$B$7,MATCH("RUB",Справочники!$A$4:$A$7,0)))</f>
        <v/>
      </c>
      <c r="AR244" s="90" t="str">
        <f aca="false">IF(AQ244="","",ROUND(AQ244*(1+Справочники!$B$12),0))</f>
        <v/>
      </c>
      <c r="AS244" s="90" t="str">
        <f aca="false">IF(AR244="","",ROUND(AR244*(1-Справочники!$B$11),0))</f>
        <v/>
      </c>
      <c r="AT244" s="88"/>
      <c r="AU244" s="90" t="str">
        <f aca="false">IF(AT244="","",ROUND(AT244/(1+Справочники!$B$12),0))</f>
        <v/>
      </c>
      <c r="AV244" s="90" t="str">
        <f aca="false">IF(AT244="","",ROUND(AT244*(1-Справочники!$B$15),0))</f>
        <v/>
      </c>
      <c r="AW244" s="90" t="str">
        <f aca="false">IF(AT244="","",ROUND(AT244*(1-Справочники!$B$16),0))</f>
        <v/>
      </c>
      <c r="AX244" s="90" t="str">
        <f aca="false">IF(AT244="","",ROUND(AT244*(1-Справочники!$B$17),0))</f>
        <v/>
      </c>
      <c r="AY244" s="90" t="str">
        <f aca="false">IF(AT244="","",ROUND(AT244*(1-Справочники!$B$18),0))</f>
        <v/>
      </c>
      <c r="AZ244" s="90" t="str">
        <f aca="false">IF(AT244="","",ROUND(AT244*(1-Справочники!$B$19),0))</f>
        <v/>
      </c>
      <c r="BA244" s="81"/>
      <c r="BB244" s="81"/>
      <c r="BC244" s="81"/>
      <c r="BD244" s="81"/>
      <c r="BE244" s="91"/>
      <c r="BF244" s="81" t="s">
        <v>103</v>
      </c>
      <c r="BG244" s="89" t="n">
        <f aca="false" t="array" ref="BG244:BG244">IF(BF244="","",IFERROR(INDEX(Справочники!$B$4:$B$7,MATCH(BF244,Справочники!$A$4:$A$7,0)),""))</f>
        <v>68.5</v>
      </c>
      <c r="BH244" s="90" t="str">
        <f aca="false">IF(N(BN244)&gt;0,ROUND(SUMIF(ЗАКАЗЫ!$F$3:$F$500,$A244,ЗАКАЗЫ!$Y$3:$Y$500)/BN244,0),IF(OR(BE244="",BG244=""),"",ROUND(BE244*BG244*(1+Справочники!$B$10),0)))</f>
        <v/>
      </c>
      <c r="BI244" s="92" t="str">
        <f aca="false">IF(OR(AU244="",BH244="",AU244=0),"",(AU244-BH244)/AU244)</f>
        <v/>
      </c>
      <c r="BJ244" s="81"/>
      <c r="BK244" s="83"/>
      <c r="BL244" s="43" t="str">
        <f aca="false">IFERROR(INDEX(ЗАКАЗЫ!$N$3:$N$500,MATCH($A244,ЗАКАЗЫ!$F$3:$F$500,0)),"")</f>
        <v/>
      </c>
      <c r="BM244" s="8" t="str">
        <f aca="false">IF(BL244="","",IFERROR(VLOOKUP(BL244,'ТН ВЭД'!$A$4:$C$40,3,0),""))</f>
        <v/>
      </c>
      <c r="BN244" s="7" t="str">
        <f aca="false">IF(COUNTIF(ЗАКАЗЫ!$F$3:$F$500,$A244)=0,"",SUMIF(ЗАКАЗЫ!$F$3:$F$500,$A244,ЗАКАЗЫ!$J$3:$J$500))</f>
        <v/>
      </c>
      <c r="BO244" s="7" t="str">
        <f aca="false">IF(BN244="","",SUMIF(ЗАКАЗЫ!$F$3:$F$500,$A244,ЗАКАЗЫ!$AL$3:$AL$500))</f>
        <v/>
      </c>
      <c r="BP244" s="7" t="str">
        <f aca="false">IF(BN244="","",BN244-BO244)</f>
        <v/>
      </c>
      <c r="BQ244" s="55" t="str">
        <f aca="false">IF(BN244="","",IF(BO244&gt;=BN244,"На складе",IF(BO244&gt;0,"Частично","Ждём")))</f>
        <v/>
      </c>
      <c r="BR244" s="43"/>
      <c r="BS244" s="47" t="str">
        <f aca="false">IF(BN244="","",IF(_xlfn.MAXIFS(ЗАКАЗЫ!$AK$3:$AK$500,ЗАКАЗЫ!$F$3:$F$500,$A244)=0,"",_xlfn.MAXIFS(ЗАКАЗЫ!$AK$3:$AK$500,ЗАКАЗЫ!$F$3:$F$500,$A244)))</f>
        <v/>
      </c>
    </row>
    <row r="245" customFormat="false" ht="15.75" hidden="false" customHeight="true" outlineLevel="0" collapsed="false">
      <c r="A245" s="80" t="s">
        <v>3156</v>
      </c>
      <c r="B245" s="81"/>
      <c r="C245" s="81"/>
      <c r="D245" s="81"/>
      <c r="E245" s="83"/>
      <c r="F245" s="81"/>
      <c r="G245" s="83"/>
      <c r="H245" s="83"/>
      <c r="I245" s="84" t="str">
        <f aca="false">IF(E245="","",A245&amp;"_1.jpg")</f>
        <v/>
      </c>
      <c r="J245" s="84" t="str">
        <f aca="false">IF(E245="","",A245&amp;"_2.jpg; "&amp;A245&amp;"_3.jpg")</f>
        <v/>
      </c>
      <c r="K245" s="84" t="str">
        <f aca="false">IF(E245="","",A245&amp;"_schema.jpg")</f>
        <v/>
      </c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 t="s">
        <v>96</v>
      </c>
      <c r="W245" s="81"/>
      <c r="X245" s="81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6" t="str">
        <f aca="false">IF(SUM(Y245:AJ245)=0,"",SUM(Y245:AJ245))</f>
        <v/>
      </c>
      <c r="AL245" s="84" t="str">
        <f aca="false">MID(IF(N(Y245)&gt;0,", "&amp;Y$2,"")&amp;IF(N(Z245)&gt;0,", "&amp;Z$2,"")&amp;IF(N(AA245)&gt;0,", "&amp;AA$2,"")&amp;IF(N(AB245)&gt;0,", "&amp;AB$2,"")&amp;IF(N(AC245)&gt;0,", "&amp;AC$2,"")&amp;IF(N(AD245)&gt;0,", "&amp;AD$2,"")&amp;IF(N(AE245)&gt;0,", "&amp;AE$2,"")&amp;IF(N(AF245)&gt;0,", "&amp;AF$2,"")&amp;IF(N(AG245)&gt;0,", "&amp;AG$2,"")&amp;IF(N(AH245)&gt;0,", "&amp;AH$2,"")&amp;IF(N(AI245)&gt;0,", "&amp;AI$2,"")&amp;IF(N(AJ245)&gt;0,", "&amp;AJ$2,""),3,999)</f>
        <v/>
      </c>
      <c r="AM245" s="87" t="str">
        <f aca="false">IF(E245="","",MID(IF(N(Y245)&gt;0,", "&amp;A245&amp;"-"&amp;Y$2,"")&amp;IF(N(Z245)&gt;0,", "&amp;A245&amp;"-"&amp;Z$2,"")&amp;IF(N(AA245)&gt;0,", "&amp;A245&amp;"-"&amp;AA$2,"")&amp;IF(N(AB245)&gt;0,", "&amp;A245&amp;"-"&amp;AB$2,"")&amp;IF(N(AC245)&gt;0,", "&amp;A245&amp;"-"&amp;AC$2,"")&amp;IF(N(AD245)&gt;0,", "&amp;A245&amp;"-"&amp;AD$2,"")&amp;IF(N(AE245)&gt;0,", "&amp;A245&amp;"-"&amp;AE$2,"")&amp;IF(N(AF245)&gt;0,", "&amp;A245&amp;"-"&amp;AF$2,"")&amp;IF(N(AG245)&gt;0,", "&amp;A245&amp;"-"&amp;AG$2,"")&amp;IF(N(AH245)&gt;0,", "&amp;A245&amp;"-"&amp;AH$2,"")&amp;IF(N(AI245)&gt;0,", "&amp;A245&amp;"-"&amp;AI$2,"")&amp;IF(N(AJ245)&gt;0,", "&amp;A245&amp;"-"&amp;AJ$2,""),3,999))</f>
        <v/>
      </c>
      <c r="AN245" s="81"/>
      <c r="AO245" s="88"/>
      <c r="AP245" s="89" t="str">
        <f aca="false">IF(AO245="","",ROUND(AO245/(1+Справочники!$B$13),2))</f>
        <v/>
      </c>
      <c r="AQ245" s="90" t="str">
        <f aca="false" t="array" ref="AQ245:AQ245">IF(AP245="","",AP245*INDEX(Справочники!$B$4:$B$7,MATCH("RUB",Справочники!$A$4:$A$7,0)))</f>
        <v/>
      </c>
      <c r="AR245" s="90" t="str">
        <f aca="false">IF(AQ245="","",ROUND(AQ245*(1+Справочники!$B$12),0))</f>
        <v/>
      </c>
      <c r="AS245" s="90" t="str">
        <f aca="false">IF(AR245="","",ROUND(AR245*(1-Справочники!$B$11),0))</f>
        <v/>
      </c>
      <c r="AT245" s="88"/>
      <c r="AU245" s="90" t="str">
        <f aca="false">IF(AT245="","",ROUND(AT245/(1+Справочники!$B$12),0))</f>
        <v/>
      </c>
      <c r="AV245" s="90" t="str">
        <f aca="false">IF(AT245="","",ROUND(AT245*(1-Справочники!$B$15),0))</f>
        <v/>
      </c>
      <c r="AW245" s="90" t="str">
        <f aca="false">IF(AT245="","",ROUND(AT245*(1-Справочники!$B$16),0))</f>
        <v/>
      </c>
      <c r="AX245" s="90" t="str">
        <f aca="false">IF(AT245="","",ROUND(AT245*(1-Справочники!$B$17),0))</f>
        <v/>
      </c>
      <c r="AY245" s="90" t="str">
        <f aca="false">IF(AT245="","",ROUND(AT245*(1-Справочники!$B$18),0))</f>
        <v/>
      </c>
      <c r="AZ245" s="90" t="str">
        <f aca="false">IF(AT245="","",ROUND(AT245*(1-Справочники!$B$19),0))</f>
        <v/>
      </c>
      <c r="BA245" s="81"/>
      <c r="BB245" s="81"/>
      <c r="BC245" s="81"/>
      <c r="BD245" s="81"/>
      <c r="BE245" s="91"/>
      <c r="BF245" s="81" t="s">
        <v>103</v>
      </c>
      <c r="BG245" s="89" t="n">
        <f aca="false" t="array" ref="BG245:BG245">IF(BF245="","",IFERROR(INDEX(Справочники!$B$4:$B$7,MATCH(BF245,Справочники!$A$4:$A$7,0)),""))</f>
        <v>68.5</v>
      </c>
      <c r="BH245" s="90" t="str">
        <f aca="false">IF(N(BN245)&gt;0,ROUND(SUMIF(ЗАКАЗЫ!$F$3:$F$500,$A245,ЗАКАЗЫ!$Y$3:$Y$500)/BN245,0),IF(OR(BE245="",BG245=""),"",ROUND(BE245*BG245*(1+Справочники!$B$10),0)))</f>
        <v/>
      </c>
      <c r="BI245" s="92" t="str">
        <f aca="false">IF(OR(AU245="",BH245="",AU245=0),"",(AU245-BH245)/AU245)</f>
        <v/>
      </c>
      <c r="BJ245" s="81"/>
      <c r="BK245" s="83"/>
      <c r="BL245" s="43" t="str">
        <f aca="false">IFERROR(INDEX(ЗАКАЗЫ!$N$3:$N$500,MATCH($A245,ЗАКАЗЫ!$F$3:$F$500,0)),"")</f>
        <v/>
      </c>
      <c r="BM245" s="8" t="str">
        <f aca="false">IF(BL245="","",IFERROR(VLOOKUP(BL245,'ТН ВЭД'!$A$4:$C$40,3,0),""))</f>
        <v/>
      </c>
      <c r="BN245" s="7" t="str">
        <f aca="false">IF(COUNTIF(ЗАКАЗЫ!$F$3:$F$500,$A245)=0,"",SUMIF(ЗАКАЗЫ!$F$3:$F$500,$A245,ЗАКАЗЫ!$J$3:$J$500))</f>
        <v/>
      </c>
      <c r="BO245" s="7" t="str">
        <f aca="false">IF(BN245="","",SUMIF(ЗАКАЗЫ!$F$3:$F$500,$A245,ЗАКАЗЫ!$AL$3:$AL$500))</f>
        <v/>
      </c>
      <c r="BP245" s="7" t="str">
        <f aca="false">IF(BN245="","",BN245-BO245)</f>
        <v/>
      </c>
      <c r="BQ245" s="55" t="str">
        <f aca="false">IF(BN245="","",IF(BO245&gt;=BN245,"На складе",IF(BO245&gt;0,"Частично","Ждём")))</f>
        <v/>
      </c>
      <c r="BR245" s="43"/>
      <c r="BS245" s="47" t="str">
        <f aca="false">IF(BN245="","",IF(_xlfn.MAXIFS(ЗАКАЗЫ!$AK$3:$AK$500,ЗАКАЗЫ!$F$3:$F$500,$A245)=0,"",_xlfn.MAXIFS(ЗАКАЗЫ!$AK$3:$AK$500,ЗАКАЗЫ!$F$3:$F$500,$A245)))</f>
        <v/>
      </c>
    </row>
    <row r="246" customFormat="false" ht="15.75" hidden="false" customHeight="true" outlineLevel="0" collapsed="false">
      <c r="A246" s="80" t="s">
        <v>3157</v>
      </c>
      <c r="B246" s="81"/>
      <c r="C246" s="81"/>
      <c r="D246" s="81"/>
      <c r="E246" s="83"/>
      <c r="F246" s="81"/>
      <c r="G246" s="83"/>
      <c r="H246" s="83"/>
      <c r="I246" s="84" t="str">
        <f aca="false">IF(E246="","",A246&amp;"_1.jpg")</f>
        <v/>
      </c>
      <c r="J246" s="84" t="str">
        <f aca="false">IF(E246="","",A246&amp;"_2.jpg; "&amp;A246&amp;"_3.jpg")</f>
        <v/>
      </c>
      <c r="K246" s="84" t="str">
        <f aca="false">IF(E246="","",A246&amp;"_schema.jpg")</f>
        <v/>
      </c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 t="s">
        <v>96</v>
      </c>
      <c r="W246" s="81"/>
      <c r="X246" s="81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6" t="str">
        <f aca="false">IF(SUM(Y246:AJ246)=0,"",SUM(Y246:AJ246))</f>
        <v/>
      </c>
      <c r="AL246" s="84" t="str">
        <f aca="false">MID(IF(N(Y246)&gt;0,", "&amp;Y$2,"")&amp;IF(N(Z246)&gt;0,", "&amp;Z$2,"")&amp;IF(N(AA246)&gt;0,", "&amp;AA$2,"")&amp;IF(N(AB246)&gt;0,", "&amp;AB$2,"")&amp;IF(N(AC246)&gt;0,", "&amp;AC$2,"")&amp;IF(N(AD246)&gt;0,", "&amp;AD$2,"")&amp;IF(N(AE246)&gt;0,", "&amp;AE$2,"")&amp;IF(N(AF246)&gt;0,", "&amp;AF$2,"")&amp;IF(N(AG246)&gt;0,", "&amp;AG$2,"")&amp;IF(N(AH246)&gt;0,", "&amp;AH$2,"")&amp;IF(N(AI246)&gt;0,", "&amp;AI$2,"")&amp;IF(N(AJ246)&gt;0,", "&amp;AJ$2,""),3,999)</f>
        <v/>
      </c>
      <c r="AM246" s="87" t="str">
        <f aca="false">IF(E246="","",MID(IF(N(Y246)&gt;0,", "&amp;A246&amp;"-"&amp;Y$2,"")&amp;IF(N(Z246)&gt;0,", "&amp;A246&amp;"-"&amp;Z$2,"")&amp;IF(N(AA246)&gt;0,", "&amp;A246&amp;"-"&amp;AA$2,"")&amp;IF(N(AB246)&gt;0,", "&amp;A246&amp;"-"&amp;AB$2,"")&amp;IF(N(AC246)&gt;0,", "&amp;A246&amp;"-"&amp;AC$2,"")&amp;IF(N(AD246)&gt;0,", "&amp;A246&amp;"-"&amp;AD$2,"")&amp;IF(N(AE246)&gt;0,", "&amp;A246&amp;"-"&amp;AE$2,"")&amp;IF(N(AF246)&gt;0,", "&amp;A246&amp;"-"&amp;AF$2,"")&amp;IF(N(AG246)&gt;0,", "&amp;A246&amp;"-"&amp;AG$2,"")&amp;IF(N(AH246)&gt;0,", "&amp;A246&amp;"-"&amp;AH$2,"")&amp;IF(N(AI246)&gt;0,", "&amp;A246&amp;"-"&amp;AI$2,"")&amp;IF(N(AJ246)&gt;0,", "&amp;A246&amp;"-"&amp;AJ$2,""),3,999))</f>
        <v/>
      </c>
      <c r="AN246" s="81"/>
      <c r="AO246" s="88"/>
      <c r="AP246" s="89" t="str">
        <f aca="false">IF(AO246="","",ROUND(AO246/(1+Справочники!$B$13),2))</f>
        <v/>
      </c>
      <c r="AQ246" s="90" t="str">
        <f aca="false" t="array" ref="AQ246:AQ246">IF(AP246="","",AP246*INDEX(Справочники!$B$4:$B$7,MATCH("RUB",Справочники!$A$4:$A$7,0)))</f>
        <v/>
      </c>
      <c r="AR246" s="90" t="str">
        <f aca="false">IF(AQ246="","",ROUND(AQ246*(1+Справочники!$B$12),0))</f>
        <v/>
      </c>
      <c r="AS246" s="90" t="str">
        <f aca="false">IF(AR246="","",ROUND(AR246*(1-Справочники!$B$11),0))</f>
        <v/>
      </c>
      <c r="AT246" s="88"/>
      <c r="AU246" s="90" t="str">
        <f aca="false">IF(AT246="","",ROUND(AT246/(1+Справочники!$B$12),0))</f>
        <v/>
      </c>
      <c r="AV246" s="90" t="str">
        <f aca="false">IF(AT246="","",ROUND(AT246*(1-Справочники!$B$15),0))</f>
        <v/>
      </c>
      <c r="AW246" s="90" t="str">
        <f aca="false">IF(AT246="","",ROUND(AT246*(1-Справочники!$B$16),0))</f>
        <v/>
      </c>
      <c r="AX246" s="90" t="str">
        <f aca="false">IF(AT246="","",ROUND(AT246*(1-Справочники!$B$17),0))</f>
        <v/>
      </c>
      <c r="AY246" s="90" t="str">
        <f aca="false">IF(AT246="","",ROUND(AT246*(1-Справочники!$B$18),0))</f>
        <v/>
      </c>
      <c r="AZ246" s="90" t="str">
        <f aca="false">IF(AT246="","",ROUND(AT246*(1-Справочники!$B$19),0))</f>
        <v/>
      </c>
      <c r="BA246" s="81"/>
      <c r="BB246" s="81"/>
      <c r="BC246" s="81"/>
      <c r="BD246" s="81"/>
      <c r="BE246" s="91"/>
      <c r="BF246" s="81" t="s">
        <v>103</v>
      </c>
      <c r="BG246" s="89" t="n">
        <f aca="false" t="array" ref="BG246:BG246">IF(BF246="","",IFERROR(INDEX(Справочники!$B$4:$B$7,MATCH(BF246,Справочники!$A$4:$A$7,0)),""))</f>
        <v>68.5</v>
      </c>
      <c r="BH246" s="90" t="str">
        <f aca="false">IF(N(BN246)&gt;0,ROUND(SUMIF(ЗАКАЗЫ!$F$3:$F$500,$A246,ЗАКАЗЫ!$Y$3:$Y$500)/BN246,0),IF(OR(BE246="",BG246=""),"",ROUND(BE246*BG246*(1+Справочники!$B$10),0)))</f>
        <v/>
      </c>
      <c r="BI246" s="92" t="str">
        <f aca="false">IF(OR(AU246="",BH246="",AU246=0),"",(AU246-BH246)/AU246)</f>
        <v/>
      </c>
      <c r="BJ246" s="81"/>
      <c r="BK246" s="83"/>
      <c r="BL246" s="43" t="str">
        <f aca="false">IFERROR(INDEX(ЗАКАЗЫ!$N$3:$N$500,MATCH($A246,ЗАКАЗЫ!$F$3:$F$500,0)),"")</f>
        <v/>
      </c>
      <c r="BM246" s="8" t="str">
        <f aca="false">IF(BL246="","",IFERROR(VLOOKUP(BL246,'ТН ВЭД'!$A$4:$C$40,3,0),""))</f>
        <v/>
      </c>
      <c r="BN246" s="7" t="str">
        <f aca="false">IF(COUNTIF(ЗАКАЗЫ!$F$3:$F$500,$A246)=0,"",SUMIF(ЗАКАЗЫ!$F$3:$F$500,$A246,ЗАКАЗЫ!$J$3:$J$500))</f>
        <v/>
      </c>
      <c r="BO246" s="7" t="str">
        <f aca="false">IF(BN246="","",SUMIF(ЗАКАЗЫ!$F$3:$F$500,$A246,ЗАКАЗЫ!$AL$3:$AL$500))</f>
        <v/>
      </c>
      <c r="BP246" s="7" t="str">
        <f aca="false">IF(BN246="","",BN246-BO246)</f>
        <v/>
      </c>
      <c r="BQ246" s="55" t="str">
        <f aca="false">IF(BN246="","",IF(BO246&gt;=BN246,"На складе",IF(BO246&gt;0,"Частично","Ждём")))</f>
        <v/>
      </c>
      <c r="BR246" s="43"/>
      <c r="BS246" s="47" t="str">
        <f aca="false">IF(BN246="","",IF(_xlfn.MAXIFS(ЗАКАЗЫ!$AK$3:$AK$500,ЗАКАЗЫ!$F$3:$F$500,$A246)=0,"",_xlfn.MAXIFS(ЗАКАЗЫ!$AK$3:$AK$500,ЗАКАЗЫ!$F$3:$F$500,$A246)))</f>
        <v/>
      </c>
    </row>
    <row r="247" customFormat="false" ht="15.75" hidden="false" customHeight="true" outlineLevel="0" collapsed="false">
      <c r="A247" s="80" t="s">
        <v>3158</v>
      </c>
      <c r="B247" s="81"/>
      <c r="C247" s="81"/>
      <c r="D247" s="81"/>
      <c r="E247" s="83"/>
      <c r="F247" s="81"/>
      <c r="G247" s="83"/>
      <c r="H247" s="83"/>
      <c r="I247" s="84" t="str">
        <f aca="false">IF(E247="","",A247&amp;"_1.jpg")</f>
        <v/>
      </c>
      <c r="J247" s="84" t="str">
        <f aca="false">IF(E247="","",A247&amp;"_2.jpg; "&amp;A247&amp;"_3.jpg")</f>
        <v/>
      </c>
      <c r="K247" s="84" t="str">
        <f aca="false">IF(E247="","",A247&amp;"_schema.jpg")</f>
        <v/>
      </c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 t="s">
        <v>96</v>
      </c>
      <c r="W247" s="81"/>
      <c r="X247" s="81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6" t="str">
        <f aca="false">IF(SUM(Y247:AJ247)=0,"",SUM(Y247:AJ247))</f>
        <v/>
      </c>
      <c r="AL247" s="84" t="str">
        <f aca="false">MID(IF(N(Y247)&gt;0,", "&amp;Y$2,"")&amp;IF(N(Z247)&gt;0,", "&amp;Z$2,"")&amp;IF(N(AA247)&gt;0,", "&amp;AA$2,"")&amp;IF(N(AB247)&gt;0,", "&amp;AB$2,"")&amp;IF(N(AC247)&gt;0,", "&amp;AC$2,"")&amp;IF(N(AD247)&gt;0,", "&amp;AD$2,"")&amp;IF(N(AE247)&gt;0,", "&amp;AE$2,"")&amp;IF(N(AF247)&gt;0,", "&amp;AF$2,"")&amp;IF(N(AG247)&gt;0,", "&amp;AG$2,"")&amp;IF(N(AH247)&gt;0,", "&amp;AH$2,"")&amp;IF(N(AI247)&gt;0,", "&amp;AI$2,"")&amp;IF(N(AJ247)&gt;0,", "&amp;AJ$2,""),3,999)</f>
        <v/>
      </c>
      <c r="AM247" s="87" t="str">
        <f aca="false">IF(E247="","",MID(IF(N(Y247)&gt;0,", "&amp;A247&amp;"-"&amp;Y$2,"")&amp;IF(N(Z247)&gt;0,", "&amp;A247&amp;"-"&amp;Z$2,"")&amp;IF(N(AA247)&gt;0,", "&amp;A247&amp;"-"&amp;AA$2,"")&amp;IF(N(AB247)&gt;0,", "&amp;A247&amp;"-"&amp;AB$2,"")&amp;IF(N(AC247)&gt;0,", "&amp;A247&amp;"-"&amp;AC$2,"")&amp;IF(N(AD247)&gt;0,", "&amp;A247&amp;"-"&amp;AD$2,"")&amp;IF(N(AE247)&gt;0,", "&amp;A247&amp;"-"&amp;AE$2,"")&amp;IF(N(AF247)&gt;0,", "&amp;A247&amp;"-"&amp;AF$2,"")&amp;IF(N(AG247)&gt;0,", "&amp;A247&amp;"-"&amp;AG$2,"")&amp;IF(N(AH247)&gt;0,", "&amp;A247&amp;"-"&amp;AH$2,"")&amp;IF(N(AI247)&gt;0,", "&amp;A247&amp;"-"&amp;AI$2,"")&amp;IF(N(AJ247)&gt;0,", "&amp;A247&amp;"-"&amp;AJ$2,""),3,999))</f>
        <v/>
      </c>
      <c r="AN247" s="81"/>
      <c r="AO247" s="88"/>
      <c r="AP247" s="89" t="str">
        <f aca="false">IF(AO247="","",ROUND(AO247/(1+Справочники!$B$13),2))</f>
        <v/>
      </c>
      <c r="AQ247" s="90" t="str">
        <f aca="false" t="array" ref="AQ247:AQ247">IF(AP247="","",AP247*INDEX(Справочники!$B$4:$B$7,MATCH("RUB",Справочники!$A$4:$A$7,0)))</f>
        <v/>
      </c>
      <c r="AR247" s="90" t="str">
        <f aca="false">IF(AQ247="","",ROUND(AQ247*(1+Справочники!$B$12),0))</f>
        <v/>
      </c>
      <c r="AS247" s="90" t="str">
        <f aca="false">IF(AR247="","",ROUND(AR247*(1-Справочники!$B$11),0))</f>
        <v/>
      </c>
      <c r="AT247" s="88"/>
      <c r="AU247" s="90" t="str">
        <f aca="false">IF(AT247="","",ROUND(AT247/(1+Справочники!$B$12),0))</f>
        <v/>
      </c>
      <c r="AV247" s="90" t="str">
        <f aca="false">IF(AT247="","",ROUND(AT247*(1-Справочники!$B$15),0))</f>
        <v/>
      </c>
      <c r="AW247" s="90" t="str">
        <f aca="false">IF(AT247="","",ROUND(AT247*(1-Справочники!$B$16),0))</f>
        <v/>
      </c>
      <c r="AX247" s="90" t="str">
        <f aca="false">IF(AT247="","",ROUND(AT247*(1-Справочники!$B$17),0))</f>
        <v/>
      </c>
      <c r="AY247" s="90" t="str">
        <f aca="false">IF(AT247="","",ROUND(AT247*(1-Справочники!$B$18),0))</f>
        <v/>
      </c>
      <c r="AZ247" s="90" t="str">
        <f aca="false">IF(AT247="","",ROUND(AT247*(1-Справочники!$B$19),0))</f>
        <v/>
      </c>
      <c r="BA247" s="81"/>
      <c r="BB247" s="81"/>
      <c r="BC247" s="81"/>
      <c r="BD247" s="81"/>
      <c r="BE247" s="91"/>
      <c r="BF247" s="81" t="s">
        <v>103</v>
      </c>
      <c r="BG247" s="89" t="n">
        <f aca="false" t="array" ref="BG247:BG247">IF(BF247="","",IFERROR(INDEX(Справочники!$B$4:$B$7,MATCH(BF247,Справочники!$A$4:$A$7,0)),""))</f>
        <v>68.5</v>
      </c>
      <c r="BH247" s="90" t="str">
        <f aca="false">IF(N(BN247)&gt;0,ROUND(SUMIF(ЗАКАЗЫ!$F$3:$F$500,$A247,ЗАКАЗЫ!$Y$3:$Y$500)/BN247,0),IF(OR(BE247="",BG247=""),"",ROUND(BE247*BG247*(1+Справочники!$B$10),0)))</f>
        <v/>
      </c>
      <c r="BI247" s="92" t="str">
        <f aca="false">IF(OR(AU247="",BH247="",AU247=0),"",(AU247-BH247)/AU247)</f>
        <v/>
      </c>
      <c r="BJ247" s="81"/>
      <c r="BK247" s="83"/>
      <c r="BL247" s="43" t="str">
        <f aca="false">IFERROR(INDEX(ЗАКАЗЫ!$N$3:$N$500,MATCH($A247,ЗАКАЗЫ!$F$3:$F$500,0)),"")</f>
        <v/>
      </c>
      <c r="BM247" s="8" t="str">
        <f aca="false">IF(BL247="","",IFERROR(VLOOKUP(BL247,'ТН ВЭД'!$A$4:$C$40,3,0),""))</f>
        <v/>
      </c>
      <c r="BN247" s="7" t="str">
        <f aca="false">IF(COUNTIF(ЗАКАЗЫ!$F$3:$F$500,$A247)=0,"",SUMIF(ЗАКАЗЫ!$F$3:$F$500,$A247,ЗАКАЗЫ!$J$3:$J$500))</f>
        <v/>
      </c>
      <c r="BO247" s="7" t="str">
        <f aca="false">IF(BN247="","",SUMIF(ЗАКАЗЫ!$F$3:$F$500,$A247,ЗАКАЗЫ!$AL$3:$AL$500))</f>
        <v/>
      </c>
      <c r="BP247" s="7" t="str">
        <f aca="false">IF(BN247="","",BN247-BO247)</f>
        <v/>
      </c>
      <c r="BQ247" s="55" t="str">
        <f aca="false">IF(BN247="","",IF(BO247&gt;=BN247,"На складе",IF(BO247&gt;0,"Частично","Ждём")))</f>
        <v/>
      </c>
      <c r="BR247" s="43"/>
      <c r="BS247" s="47" t="str">
        <f aca="false">IF(BN247="","",IF(_xlfn.MAXIFS(ЗАКАЗЫ!$AK$3:$AK$500,ЗАКАЗЫ!$F$3:$F$500,$A247)=0,"",_xlfn.MAXIFS(ЗАКАЗЫ!$AK$3:$AK$500,ЗАКАЗЫ!$F$3:$F$500,$A247)))</f>
        <v/>
      </c>
    </row>
    <row r="248" customFormat="false" ht="15.75" hidden="false" customHeight="true" outlineLevel="0" collapsed="false">
      <c r="A248" s="80" t="s">
        <v>3159</v>
      </c>
      <c r="B248" s="81"/>
      <c r="C248" s="81"/>
      <c r="D248" s="81"/>
      <c r="E248" s="83"/>
      <c r="F248" s="81"/>
      <c r="G248" s="83"/>
      <c r="H248" s="83"/>
      <c r="I248" s="84" t="str">
        <f aca="false">IF(E248="","",A248&amp;"_1.jpg")</f>
        <v/>
      </c>
      <c r="J248" s="84" t="str">
        <f aca="false">IF(E248="","",A248&amp;"_2.jpg; "&amp;A248&amp;"_3.jpg")</f>
        <v/>
      </c>
      <c r="K248" s="84" t="str">
        <f aca="false">IF(E248="","",A248&amp;"_schema.jpg")</f>
        <v/>
      </c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 t="s">
        <v>96</v>
      </c>
      <c r="W248" s="81"/>
      <c r="X248" s="81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6" t="str">
        <f aca="false">IF(SUM(Y248:AJ248)=0,"",SUM(Y248:AJ248))</f>
        <v/>
      </c>
      <c r="AL248" s="84" t="str">
        <f aca="false">MID(IF(N(Y248)&gt;0,", "&amp;Y$2,"")&amp;IF(N(Z248)&gt;0,", "&amp;Z$2,"")&amp;IF(N(AA248)&gt;0,", "&amp;AA$2,"")&amp;IF(N(AB248)&gt;0,", "&amp;AB$2,"")&amp;IF(N(AC248)&gt;0,", "&amp;AC$2,"")&amp;IF(N(AD248)&gt;0,", "&amp;AD$2,"")&amp;IF(N(AE248)&gt;0,", "&amp;AE$2,"")&amp;IF(N(AF248)&gt;0,", "&amp;AF$2,"")&amp;IF(N(AG248)&gt;0,", "&amp;AG$2,"")&amp;IF(N(AH248)&gt;0,", "&amp;AH$2,"")&amp;IF(N(AI248)&gt;0,", "&amp;AI$2,"")&amp;IF(N(AJ248)&gt;0,", "&amp;AJ$2,""),3,999)</f>
        <v/>
      </c>
      <c r="AM248" s="87" t="str">
        <f aca="false">IF(E248="","",MID(IF(N(Y248)&gt;0,", "&amp;A248&amp;"-"&amp;Y$2,"")&amp;IF(N(Z248)&gt;0,", "&amp;A248&amp;"-"&amp;Z$2,"")&amp;IF(N(AA248)&gt;0,", "&amp;A248&amp;"-"&amp;AA$2,"")&amp;IF(N(AB248)&gt;0,", "&amp;A248&amp;"-"&amp;AB$2,"")&amp;IF(N(AC248)&gt;0,", "&amp;A248&amp;"-"&amp;AC$2,"")&amp;IF(N(AD248)&gt;0,", "&amp;A248&amp;"-"&amp;AD$2,"")&amp;IF(N(AE248)&gt;0,", "&amp;A248&amp;"-"&amp;AE$2,"")&amp;IF(N(AF248)&gt;0,", "&amp;A248&amp;"-"&amp;AF$2,"")&amp;IF(N(AG248)&gt;0,", "&amp;A248&amp;"-"&amp;AG$2,"")&amp;IF(N(AH248)&gt;0,", "&amp;A248&amp;"-"&amp;AH$2,"")&amp;IF(N(AI248)&gt;0,", "&amp;A248&amp;"-"&amp;AI$2,"")&amp;IF(N(AJ248)&gt;0,", "&amp;A248&amp;"-"&amp;AJ$2,""),3,999))</f>
        <v/>
      </c>
      <c r="AN248" s="81"/>
      <c r="AO248" s="88"/>
      <c r="AP248" s="89" t="str">
        <f aca="false">IF(AO248="","",ROUND(AO248/(1+Справочники!$B$13),2))</f>
        <v/>
      </c>
      <c r="AQ248" s="90" t="str">
        <f aca="false" t="array" ref="AQ248:AQ248">IF(AP248="","",AP248*INDEX(Справочники!$B$4:$B$7,MATCH("RUB",Справочники!$A$4:$A$7,0)))</f>
        <v/>
      </c>
      <c r="AR248" s="90" t="str">
        <f aca="false">IF(AQ248="","",ROUND(AQ248*(1+Справочники!$B$12),0))</f>
        <v/>
      </c>
      <c r="AS248" s="90" t="str">
        <f aca="false">IF(AR248="","",ROUND(AR248*(1-Справочники!$B$11),0))</f>
        <v/>
      </c>
      <c r="AT248" s="88"/>
      <c r="AU248" s="90" t="str">
        <f aca="false">IF(AT248="","",ROUND(AT248/(1+Справочники!$B$12),0))</f>
        <v/>
      </c>
      <c r="AV248" s="90" t="str">
        <f aca="false">IF(AT248="","",ROUND(AT248*(1-Справочники!$B$15),0))</f>
        <v/>
      </c>
      <c r="AW248" s="90" t="str">
        <f aca="false">IF(AT248="","",ROUND(AT248*(1-Справочники!$B$16),0))</f>
        <v/>
      </c>
      <c r="AX248" s="90" t="str">
        <f aca="false">IF(AT248="","",ROUND(AT248*(1-Справочники!$B$17),0))</f>
        <v/>
      </c>
      <c r="AY248" s="90" t="str">
        <f aca="false">IF(AT248="","",ROUND(AT248*(1-Справочники!$B$18),0))</f>
        <v/>
      </c>
      <c r="AZ248" s="90" t="str">
        <f aca="false">IF(AT248="","",ROUND(AT248*(1-Справочники!$B$19),0))</f>
        <v/>
      </c>
      <c r="BA248" s="81"/>
      <c r="BB248" s="81"/>
      <c r="BC248" s="81"/>
      <c r="BD248" s="81"/>
      <c r="BE248" s="91"/>
      <c r="BF248" s="81" t="s">
        <v>103</v>
      </c>
      <c r="BG248" s="89" t="n">
        <f aca="false" t="array" ref="BG248:BG248">IF(BF248="","",IFERROR(INDEX(Справочники!$B$4:$B$7,MATCH(BF248,Справочники!$A$4:$A$7,0)),""))</f>
        <v>68.5</v>
      </c>
      <c r="BH248" s="90" t="str">
        <f aca="false">IF(N(BN248)&gt;0,ROUND(SUMIF(ЗАКАЗЫ!$F$3:$F$500,$A248,ЗАКАЗЫ!$Y$3:$Y$500)/BN248,0),IF(OR(BE248="",BG248=""),"",ROUND(BE248*BG248*(1+Справочники!$B$10),0)))</f>
        <v/>
      </c>
      <c r="BI248" s="92" t="str">
        <f aca="false">IF(OR(AU248="",BH248="",AU248=0),"",(AU248-BH248)/AU248)</f>
        <v/>
      </c>
      <c r="BJ248" s="81"/>
      <c r="BK248" s="83"/>
      <c r="BL248" s="43" t="str">
        <f aca="false">IFERROR(INDEX(ЗАКАЗЫ!$N$3:$N$500,MATCH($A248,ЗАКАЗЫ!$F$3:$F$500,0)),"")</f>
        <v/>
      </c>
      <c r="BM248" s="8" t="str">
        <f aca="false">IF(BL248="","",IFERROR(VLOOKUP(BL248,'ТН ВЭД'!$A$4:$C$40,3,0),""))</f>
        <v/>
      </c>
      <c r="BN248" s="7" t="str">
        <f aca="false">IF(COUNTIF(ЗАКАЗЫ!$F$3:$F$500,$A248)=0,"",SUMIF(ЗАКАЗЫ!$F$3:$F$500,$A248,ЗАКАЗЫ!$J$3:$J$500))</f>
        <v/>
      </c>
      <c r="BO248" s="7" t="str">
        <f aca="false">IF(BN248="","",SUMIF(ЗАКАЗЫ!$F$3:$F$500,$A248,ЗАКАЗЫ!$AL$3:$AL$500))</f>
        <v/>
      </c>
      <c r="BP248" s="7" t="str">
        <f aca="false">IF(BN248="","",BN248-BO248)</f>
        <v/>
      </c>
      <c r="BQ248" s="55" t="str">
        <f aca="false">IF(BN248="","",IF(BO248&gt;=BN248,"На складе",IF(BO248&gt;0,"Частично","Ждём")))</f>
        <v/>
      </c>
      <c r="BR248" s="43"/>
      <c r="BS248" s="47" t="str">
        <f aca="false">IF(BN248="","",IF(_xlfn.MAXIFS(ЗАКАЗЫ!$AK$3:$AK$500,ЗАКАЗЫ!$F$3:$F$500,$A248)=0,"",_xlfn.MAXIFS(ЗАКАЗЫ!$AK$3:$AK$500,ЗАКАЗЫ!$F$3:$F$500,$A248)))</f>
        <v/>
      </c>
    </row>
    <row r="249" customFormat="false" ht="15.75" hidden="false" customHeight="true" outlineLevel="0" collapsed="false">
      <c r="A249" s="80" t="s">
        <v>3160</v>
      </c>
      <c r="B249" s="81"/>
      <c r="C249" s="81"/>
      <c r="D249" s="81"/>
      <c r="E249" s="83"/>
      <c r="F249" s="81"/>
      <c r="G249" s="83"/>
      <c r="H249" s="83"/>
      <c r="I249" s="84" t="str">
        <f aca="false">IF(E249="","",A249&amp;"_1.jpg")</f>
        <v/>
      </c>
      <c r="J249" s="84" t="str">
        <f aca="false">IF(E249="","",A249&amp;"_2.jpg; "&amp;A249&amp;"_3.jpg")</f>
        <v/>
      </c>
      <c r="K249" s="84" t="str">
        <f aca="false">IF(E249="","",A249&amp;"_schema.jpg")</f>
        <v/>
      </c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 t="s">
        <v>96</v>
      </c>
      <c r="W249" s="81"/>
      <c r="X249" s="81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6" t="str">
        <f aca="false">IF(SUM(Y249:AJ249)=0,"",SUM(Y249:AJ249))</f>
        <v/>
      </c>
      <c r="AL249" s="84" t="str">
        <f aca="false">MID(IF(N(Y249)&gt;0,", "&amp;Y$2,"")&amp;IF(N(Z249)&gt;0,", "&amp;Z$2,"")&amp;IF(N(AA249)&gt;0,", "&amp;AA$2,"")&amp;IF(N(AB249)&gt;0,", "&amp;AB$2,"")&amp;IF(N(AC249)&gt;0,", "&amp;AC$2,"")&amp;IF(N(AD249)&gt;0,", "&amp;AD$2,"")&amp;IF(N(AE249)&gt;0,", "&amp;AE$2,"")&amp;IF(N(AF249)&gt;0,", "&amp;AF$2,"")&amp;IF(N(AG249)&gt;0,", "&amp;AG$2,"")&amp;IF(N(AH249)&gt;0,", "&amp;AH$2,"")&amp;IF(N(AI249)&gt;0,", "&amp;AI$2,"")&amp;IF(N(AJ249)&gt;0,", "&amp;AJ$2,""),3,999)</f>
        <v/>
      </c>
      <c r="AM249" s="87" t="str">
        <f aca="false">IF(E249="","",MID(IF(N(Y249)&gt;0,", "&amp;A249&amp;"-"&amp;Y$2,"")&amp;IF(N(Z249)&gt;0,", "&amp;A249&amp;"-"&amp;Z$2,"")&amp;IF(N(AA249)&gt;0,", "&amp;A249&amp;"-"&amp;AA$2,"")&amp;IF(N(AB249)&gt;0,", "&amp;A249&amp;"-"&amp;AB$2,"")&amp;IF(N(AC249)&gt;0,", "&amp;A249&amp;"-"&amp;AC$2,"")&amp;IF(N(AD249)&gt;0,", "&amp;A249&amp;"-"&amp;AD$2,"")&amp;IF(N(AE249)&gt;0,", "&amp;A249&amp;"-"&amp;AE$2,"")&amp;IF(N(AF249)&gt;0,", "&amp;A249&amp;"-"&amp;AF$2,"")&amp;IF(N(AG249)&gt;0,", "&amp;A249&amp;"-"&amp;AG$2,"")&amp;IF(N(AH249)&gt;0,", "&amp;A249&amp;"-"&amp;AH$2,"")&amp;IF(N(AI249)&gt;0,", "&amp;A249&amp;"-"&amp;AI$2,"")&amp;IF(N(AJ249)&gt;0,", "&amp;A249&amp;"-"&amp;AJ$2,""),3,999))</f>
        <v/>
      </c>
      <c r="AN249" s="81"/>
      <c r="AO249" s="88"/>
      <c r="AP249" s="89" t="str">
        <f aca="false">IF(AO249="","",ROUND(AO249/(1+Справочники!$B$13),2))</f>
        <v/>
      </c>
      <c r="AQ249" s="90" t="str">
        <f aca="false" t="array" ref="AQ249:AQ249">IF(AP249="","",AP249*INDEX(Справочники!$B$4:$B$7,MATCH("RUB",Справочники!$A$4:$A$7,0)))</f>
        <v/>
      </c>
      <c r="AR249" s="90" t="str">
        <f aca="false">IF(AQ249="","",ROUND(AQ249*(1+Справочники!$B$12),0))</f>
        <v/>
      </c>
      <c r="AS249" s="90" t="str">
        <f aca="false">IF(AR249="","",ROUND(AR249*(1-Справочники!$B$11),0))</f>
        <v/>
      </c>
      <c r="AT249" s="88"/>
      <c r="AU249" s="90" t="str">
        <f aca="false">IF(AT249="","",ROUND(AT249/(1+Справочники!$B$12),0))</f>
        <v/>
      </c>
      <c r="AV249" s="90" t="str">
        <f aca="false">IF(AT249="","",ROUND(AT249*(1-Справочники!$B$15),0))</f>
        <v/>
      </c>
      <c r="AW249" s="90" t="str">
        <f aca="false">IF(AT249="","",ROUND(AT249*(1-Справочники!$B$16),0))</f>
        <v/>
      </c>
      <c r="AX249" s="90" t="str">
        <f aca="false">IF(AT249="","",ROUND(AT249*(1-Справочники!$B$17),0))</f>
        <v/>
      </c>
      <c r="AY249" s="90" t="str">
        <f aca="false">IF(AT249="","",ROUND(AT249*(1-Справочники!$B$18),0))</f>
        <v/>
      </c>
      <c r="AZ249" s="90" t="str">
        <f aca="false">IF(AT249="","",ROUND(AT249*(1-Справочники!$B$19),0))</f>
        <v/>
      </c>
      <c r="BA249" s="81"/>
      <c r="BB249" s="81"/>
      <c r="BC249" s="81"/>
      <c r="BD249" s="81"/>
      <c r="BE249" s="91"/>
      <c r="BF249" s="81" t="s">
        <v>103</v>
      </c>
      <c r="BG249" s="89" t="n">
        <f aca="false" t="array" ref="BG249:BG249">IF(BF249="","",IFERROR(INDEX(Справочники!$B$4:$B$7,MATCH(BF249,Справочники!$A$4:$A$7,0)),""))</f>
        <v>68.5</v>
      </c>
      <c r="BH249" s="90" t="str">
        <f aca="false">IF(N(BN249)&gt;0,ROUND(SUMIF(ЗАКАЗЫ!$F$3:$F$500,$A249,ЗАКАЗЫ!$Y$3:$Y$500)/BN249,0),IF(OR(BE249="",BG249=""),"",ROUND(BE249*BG249*(1+Справочники!$B$10),0)))</f>
        <v/>
      </c>
      <c r="BI249" s="92" t="str">
        <f aca="false">IF(OR(AU249="",BH249="",AU249=0),"",(AU249-BH249)/AU249)</f>
        <v/>
      </c>
      <c r="BJ249" s="81"/>
      <c r="BK249" s="83"/>
      <c r="BL249" s="43" t="str">
        <f aca="false">IFERROR(INDEX(ЗАКАЗЫ!$N$3:$N$500,MATCH($A249,ЗАКАЗЫ!$F$3:$F$500,0)),"")</f>
        <v/>
      </c>
      <c r="BM249" s="8" t="str">
        <f aca="false">IF(BL249="","",IFERROR(VLOOKUP(BL249,'ТН ВЭД'!$A$4:$C$40,3,0),""))</f>
        <v/>
      </c>
      <c r="BN249" s="7" t="str">
        <f aca="false">IF(COUNTIF(ЗАКАЗЫ!$F$3:$F$500,$A249)=0,"",SUMIF(ЗАКАЗЫ!$F$3:$F$500,$A249,ЗАКАЗЫ!$J$3:$J$500))</f>
        <v/>
      </c>
      <c r="BO249" s="7" t="str">
        <f aca="false">IF(BN249="","",SUMIF(ЗАКАЗЫ!$F$3:$F$500,$A249,ЗАКАЗЫ!$AL$3:$AL$500))</f>
        <v/>
      </c>
      <c r="BP249" s="7" t="str">
        <f aca="false">IF(BN249="","",BN249-BO249)</f>
        <v/>
      </c>
      <c r="BQ249" s="55" t="str">
        <f aca="false">IF(BN249="","",IF(BO249&gt;=BN249,"На складе",IF(BO249&gt;0,"Частично","Ждём")))</f>
        <v/>
      </c>
      <c r="BR249" s="43"/>
      <c r="BS249" s="47" t="str">
        <f aca="false">IF(BN249="","",IF(_xlfn.MAXIFS(ЗАКАЗЫ!$AK$3:$AK$500,ЗАКАЗЫ!$F$3:$F$500,$A249)=0,"",_xlfn.MAXIFS(ЗАКАЗЫ!$AK$3:$AK$500,ЗАКАЗЫ!$F$3:$F$500,$A249)))</f>
        <v/>
      </c>
    </row>
    <row r="250" customFormat="false" ht="15.75" hidden="false" customHeight="true" outlineLevel="0" collapsed="false">
      <c r="A250" s="80" t="s">
        <v>3161</v>
      </c>
      <c r="B250" s="81"/>
      <c r="C250" s="81"/>
      <c r="D250" s="81"/>
      <c r="E250" s="83"/>
      <c r="F250" s="81"/>
      <c r="G250" s="83"/>
      <c r="H250" s="83"/>
      <c r="I250" s="84" t="str">
        <f aca="false">IF(E250="","",A250&amp;"_1.jpg")</f>
        <v/>
      </c>
      <c r="J250" s="84" t="str">
        <f aca="false">IF(E250="","",A250&amp;"_2.jpg; "&amp;A250&amp;"_3.jpg")</f>
        <v/>
      </c>
      <c r="K250" s="84" t="str">
        <f aca="false">IF(E250="","",A250&amp;"_schema.jpg")</f>
        <v/>
      </c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 t="s">
        <v>96</v>
      </c>
      <c r="W250" s="81"/>
      <c r="X250" s="81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6" t="str">
        <f aca="false">IF(SUM(Y250:AJ250)=0,"",SUM(Y250:AJ250))</f>
        <v/>
      </c>
      <c r="AL250" s="84" t="str">
        <f aca="false">MID(IF(N(Y250)&gt;0,", "&amp;Y$2,"")&amp;IF(N(Z250)&gt;0,", "&amp;Z$2,"")&amp;IF(N(AA250)&gt;0,", "&amp;AA$2,"")&amp;IF(N(AB250)&gt;0,", "&amp;AB$2,"")&amp;IF(N(AC250)&gt;0,", "&amp;AC$2,"")&amp;IF(N(AD250)&gt;0,", "&amp;AD$2,"")&amp;IF(N(AE250)&gt;0,", "&amp;AE$2,"")&amp;IF(N(AF250)&gt;0,", "&amp;AF$2,"")&amp;IF(N(AG250)&gt;0,", "&amp;AG$2,"")&amp;IF(N(AH250)&gt;0,", "&amp;AH$2,"")&amp;IF(N(AI250)&gt;0,", "&amp;AI$2,"")&amp;IF(N(AJ250)&gt;0,", "&amp;AJ$2,""),3,999)</f>
        <v/>
      </c>
      <c r="AM250" s="87" t="str">
        <f aca="false">IF(E250="","",MID(IF(N(Y250)&gt;0,", "&amp;A250&amp;"-"&amp;Y$2,"")&amp;IF(N(Z250)&gt;0,", "&amp;A250&amp;"-"&amp;Z$2,"")&amp;IF(N(AA250)&gt;0,", "&amp;A250&amp;"-"&amp;AA$2,"")&amp;IF(N(AB250)&gt;0,", "&amp;A250&amp;"-"&amp;AB$2,"")&amp;IF(N(AC250)&gt;0,", "&amp;A250&amp;"-"&amp;AC$2,"")&amp;IF(N(AD250)&gt;0,", "&amp;A250&amp;"-"&amp;AD$2,"")&amp;IF(N(AE250)&gt;0,", "&amp;A250&amp;"-"&amp;AE$2,"")&amp;IF(N(AF250)&gt;0,", "&amp;A250&amp;"-"&amp;AF$2,"")&amp;IF(N(AG250)&gt;0,", "&amp;A250&amp;"-"&amp;AG$2,"")&amp;IF(N(AH250)&gt;0,", "&amp;A250&amp;"-"&amp;AH$2,"")&amp;IF(N(AI250)&gt;0,", "&amp;A250&amp;"-"&amp;AI$2,"")&amp;IF(N(AJ250)&gt;0,", "&amp;A250&amp;"-"&amp;AJ$2,""),3,999))</f>
        <v/>
      </c>
      <c r="AN250" s="81"/>
      <c r="AO250" s="88"/>
      <c r="AP250" s="89" t="str">
        <f aca="false">IF(AO250="","",ROUND(AO250/(1+Справочники!$B$13),2))</f>
        <v/>
      </c>
      <c r="AQ250" s="90" t="str">
        <f aca="false" t="array" ref="AQ250:AQ250">IF(AP250="","",AP250*INDEX(Справочники!$B$4:$B$7,MATCH("RUB",Справочники!$A$4:$A$7,0)))</f>
        <v/>
      </c>
      <c r="AR250" s="90" t="str">
        <f aca="false">IF(AQ250="","",ROUND(AQ250*(1+Справочники!$B$12),0))</f>
        <v/>
      </c>
      <c r="AS250" s="90" t="str">
        <f aca="false">IF(AR250="","",ROUND(AR250*(1-Справочники!$B$11),0))</f>
        <v/>
      </c>
      <c r="AT250" s="88"/>
      <c r="AU250" s="90" t="str">
        <f aca="false">IF(AT250="","",ROUND(AT250/(1+Справочники!$B$12),0))</f>
        <v/>
      </c>
      <c r="AV250" s="90" t="str">
        <f aca="false">IF(AT250="","",ROUND(AT250*(1-Справочники!$B$15),0))</f>
        <v/>
      </c>
      <c r="AW250" s="90" t="str">
        <f aca="false">IF(AT250="","",ROUND(AT250*(1-Справочники!$B$16),0))</f>
        <v/>
      </c>
      <c r="AX250" s="90" t="str">
        <f aca="false">IF(AT250="","",ROUND(AT250*(1-Справочники!$B$17),0))</f>
        <v/>
      </c>
      <c r="AY250" s="90" t="str">
        <f aca="false">IF(AT250="","",ROUND(AT250*(1-Справочники!$B$18),0))</f>
        <v/>
      </c>
      <c r="AZ250" s="90" t="str">
        <f aca="false">IF(AT250="","",ROUND(AT250*(1-Справочники!$B$19),0))</f>
        <v/>
      </c>
      <c r="BA250" s="81"/>
      <c r="BB250" s="81"/>
      <c r="BC250" s="81"/>
      <c r="BD250" s="81"/>
      <c r="BE250" s="91"/>
      <c r="BF250" s="81" t="s">
        <v>103</v>
      </c>
      <c r="BG250" s="89" t="n">
        <f aca="false" t="array" ref="BG250:BG250">IF(BF250="","",IFERROR(INDEX(Справочники!$B$4:$B$7,MATCH(BF250,Справочники!$A$4:$A$7,0)),""))</f>
        <v>68.5</v>
      </c>
      <c r="BH250" s="90" t="str">
        <f aca="false">IF(N(BN250)&gt;0,ROUND(SUMIF(ЗАКАЗЫ!$F$3:$F$500,$A250,ЗАКАЗЫ!$Y$3:$Y$500)/BN250,0),IF(OR(BE250="",BG250=""),"",ROUND(BE250*BG250*(1+Справочники!$B$10),0)))</f>
        <v/>
      </c>
      <c r="BI250" s="92" t="str">
        <f aca="false">IF(OR(AU250="",BH250="",AU250=0),"",(AU250-BH250)/AU250)</f>
        <v/>
      </c>
      <c r="BJ250" s="81"/>
      <c r="BK250" s="83"/>
      <c r="BL250" s="43" t="str">
        <f aca="false">IFERROR(INDEX(ЗАКАЗЫ!$N$3:$N$500,MATCH($A250,ЗАКАЗЫ!$F$3:$F$500,0)),"")</f>
        <v/>
      </c>
      <c r="BM250" s="8" t="str">
        <f aca="false">IF(BL250="","",IFERROR(VLOOKUP(BL250,'ТН ВЭД'!$A$4:$C$40,3,0),""))</f>
        <v/>
      </c>
      <c r="BN250" s="7" t="str">
        <f aca="false">IF(COUNTIF(ЗАКАЗЫ!$F$3:$F$500,$A250)=0,"",SUMIF(ЗАКАЗЫ!$F$3:$F$500,$A250,ЗАКАЗЫ!$J$3:$J$500))</f>
        <v/>
      </c>
      <c r="BO250" s="7" t="str">
        <f aca="false">IF(BN250="","",SUMIF(ЗАКАЗЫ!$F$3:$F$500,$A250,ЗАКАЗЫ!$AL$3:$AL$500))</f>
        <v/>
      </c>
      <c r="BP250" s="7" t="str">
        <f aca="false">IF(BN250="","",BN250-BO250)</f>
        <v/>
      </c>
      <c r="BQ250" s="55" t="str">
        <f aca="false">IF(BN250="","",IF(BO250&gt;=BN250,"На складе",IF(BO250&gt;0,"Частично","Ждём")))</f>
        <v/>
      </c>
      <c r="BR250" s="43"/>
      <c r="BS250" s="47" t="str">
        <f aca="false">IF(BN250="","",IF(_xlfn.MAXIFS(ЗАКАЗЫ!$AK$3:$AK$500,ЗАКАЗЫ!$F$3:$F$500,$A250)=0,"",_xlfn.MAXIFS(ЗАКАЗЫ!$AK$3:$AK$500,ЗАКАЗЫ!$F$3:$F$500,$A250)))</f>
        <v/>
      </c>
    </row>
    <row r="251" customFormat="false" ht="15.75" hidden="false" customHeight="true" outlineLevel="0" collapsed="false">
      <c r="A251" s="80" t="s">
        <v>3162</v>
      </c>
      <c r="B251" s="81"/>
      <c r="C251" s="81"/>
      <c r="D251" s="81"/>
      <c r="E251" s="83"/>
      <c r="F251" s="81"/>
      <c r="G251" s="83"/>
      <c r="H251" s="83"/>
      <c r="I251" s="84" t="str">
        <f aca="false">IF(E251="","",A251&amp;"_1.jpg")</f>
        <v/>
      </c>
      <c r="J251" s="84" t="str">
        <f aca="false">IF(E251="","",A251&amp;"_2.jpg; "&amp;A251&amp;"_3.jpg")</f>
        <v/>
      </c>
      <c r="K251" s="84" t="str">
        <f aca="false">IF(E251="","",A251&amp;"_schema.jpg")</f>
        <v/>
      </c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 t="s">
        <v>96</v>
      </c>
      <c r="W251" s="81"/>
      <c r="X251" s="81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6" t="str">
        <f aca="false">IF(SUM(Y251:AJ251)=0,"",SUM(Y251:AJ251))</f>
        <v/>
      </c>
      <c r="AL251" s="84" t="str">
        <f aca="false">MID(IF(N(Y251)&gt;0,", "&amp;Y$2,"")&amp;IF(N(Z251)&gt;0,", "&amp;Z$2,"")&amp;IF(N(AA251)&gt;0,", "&amp;AA$2,"")&amp;IF(N(AB251)&gt;0,", "&amp;AB$2,"")&amp;IF(N(AC251)&gt;0,", "&amp;AC$2,"")&amp;IF(N(AD251)&gt;0,", "&amp;AD$2,"")&amp;IF(N(AE251)&gt;0,", "&amp;AE$2,"")&amp;IF(N(AF251)&gt;0,", "&amp;AF$2,"")&amp;IF(N(AG251)&gt;0,", "&amp;AG$2,"")&amp;IF(N(AH251)&gt;0,", "&amp;AH$2,"")&amp;IF(N(AI251)&gt;0,", "&amp;AI$2,"")&amp;IF(N(AJ251)&gt;0,", "&amp;AJ$2,""),3,999)</f>
        <v/>
      </c>
      <c r="AM251" s="87" t="str">
        <f aca="false">IF(E251="","",MID(IF(N(Y251)&gt;0,", "&amp;A251&amp;"-"&amp;Y$2,"")&amp;IF(N(Z251)&gt;0,", "&amp;A251&amp;"-"&amp;Z$2,"")&amp;IF(N(AA251)&gt;0,", "&amp;A251&amp;"-"&amp;AA$2,"")&amp;IF(N(AB251)&gt;0,", "&amp;A251&amp;"-"&amp;AB$2,"")&amp;IF(N(AC251)&gt;0,", "&amp;A251&amp;"-"&amp;AC$2,"")&amp;IF(N(AD251)&gt;0,", "&amp;A251&amp;"-"&amp;AD$2,"")&amp;IF(N(AE251)&gt;0,", "&amp;A251&amp;"-"&amp;AE$2,"")&amp;IF(N(AF251)&gt;0,", "&amp;A251&amp;"-"&amp;AF$2,"")&amp;IF(N(AG251)&gt;0,", "&amp;A251&amp;"-"&amp;AG$2,"")&amp;IF(N(AH251)&gt;0,", "&amp;A251&amp;"-"&amp;AH$2,"")&amp;IF(N(AI251)&gt;0,", "&amp;A251&amp;"-"&amp;AI$2,"")&amp;IF(N(AJ251)&gt;0,", "&amp;A251&amp;"-"&amp;AJ$2,""),3,999))</f>
        <v/>
      </c>
      <c r="AN251" s="81"/>
      <c r="AO251" s="88"/>
      <c r="AP251" s="89" t="str">
        <f aca="false">IF(AO251="","",ROUND(AO251/(1+Справочники!$B$13),2))</f>
        <v/>
      </c>
      <c r="AQ251" s="90" t="str">
        <f aca="false" t="array" ref="AQ251:AQ251">IF(AP251="","",AP251*INDEX(Справочники!$B$4:$B$7,MATCH("RUB",Справочники!$A$4:$A$7,0)))</f>
        <v/>
      </c>
      <c r="AR251" s="90" t="str">
        <f aca="false">IF(AQ251="","",ROUND(AQ251*(1+Справочники!$B$12),0))</f>
        <v/>
      </c>
      <c r="AS251" s="90" t="str">
        <f aca="false">IF(AR251="","",ROUND(AR251*(1-Справочники!$B$11),0))</f>
        <v/>
      </c>
      <c r="AT251" s="88"/>
      <c r="AU251" s="90" t="str">
        <f aca="false">IF(AT251="","",ROUND(AT251/(1+Справочники!$B$12),0))</f>
        <v/>
      </c>
      <c r="AV251" s="90" t="str">
        <f aca="false">IF(AT251="","",ROUND(AT251*(1-Справочники!$B$15),0))</f>
        <v/>
      </c>
      <c r="AW251" s="90" t="str">
        <f aca="false">IF(AT251="","",ROUND(AT251*(1-Справочники!$B$16),0))</f>
        <v/>
      </c>
      <c r="AX251" s="90" t="str">
        <f aca="false">IF(AT251="","",ROUND(AT251*(1-Справочники!$B$17),0))</f>
        <v/>
      </c>
      <c r="AY251" s="90" t="str">
        <f aca="false">IF(AT251="","",ROUND(AT251*(1-Справочники!$B$18),0))</f>
        <v/>
      </c>
      <c r="AZ251" s="90" t="str">
        <f aca="false">IF(AT251="","",ROUND(AT251*(1-Справочники!$B$19),0))</f>
        <v/>
      </c>
      <c r="BA251" s="81"/>
      <c r="BB251" s="81"/>
      <c r="BC251" s="81"/>
      <c r="BD251" s="81"/>
      <c r="BE251" s="91"/>
      <c r="BF251" s="81" t="s">
        <v>103</v>
      </c>
      <c r="BG251" s="89" t="n">
        <f aca="false" t="array" ref="BG251:BG251">IF(BF251="","",IFERROR(INDEX(Справочники!$B$4:$B$7,MATCH(BF251,Справочники!$A$4:$A$7,0)),""))</f>
        <v>68.5</v>
      </c>
      <c r="BH251" s="90" t="str">
        <f aca="false">IF(N(BN251)&gt;0,ROUND(SUMIF(ЗАКАЗЫ!$F$3:$F$500,$A251,ЗАКАЗЫ!$Y$3:$Y$500)/BN251,0),IF(OR(BE251="",BG251=""),"",ROUND(BE251*BG251*(1+Справочники!$B$10),0)))</f>
        <v/>
      </c>
      <c r="BI251" s="92" t="str">
        <f aca="false">IF(OR(AU251="",BH251="",AU251=0),"",(AU251-BH251)/AU251)</f>
        <v/>
      </c>
      <c r="BJ251" s="81"/>
      <c r="BK251" s="83"/>
      <c r="BL251" s="43" t="str">
        <f aca="false">IFERROR(INDEX(ЗАКАЗЫ!$N$3:$N$500,MATCH($A251,ЗАКАЗЫ!$F$3:$F$500,0)),"")</f>
        <v/>
      </c>
      <c r="BM251" s="8" t="str">
        <f aca="false">IF(BL251="","",IFERROR(VLOOKUP(BL251,'ТН ВЭД'!$A$4:$C$40,3,0),""))</f>
        <v/>
      </c>
      <c r="BN251" s="7" t="str">
        <f aca="false">IF(COUNTIF(ЗАКАЗЫ!$F$3:$F$500,$A251)=0,"",SUMIF(ЗАКАЗЫ!$F$3:$F$500,$A251,ЗАКАЗЫ!$J$3:$J$500))</f>
        <v/>
      </c>
      <c r="BO251" s="7" t="str">
        <f aca="false">IF(BN251="","",SUMIF(ЗАКАЗЫ!$F$3:$F$500,$A251,ЗАКАЗЫ!$AL$3:$AL$500))</f>
        <v/>
      </c>
      <c r="BP251" s="7" t="str">
        <f aca="false">IF(BN251="","",BN251-BO251)</f>
        <v/>
      </c>
      <c r="BQ251" s="55" t="str">
        <f aca="false">IF(BN251="","",IF(BO251&gt;=BN251,"На складе",IF(BO251&gt;0,"Частично","Ждём")))</f>
        <v/>
      </c>
      <c r="BR251" s="43"/>
      <c r="BS251" s="47" t="str">
        <f aca="false">IF(BN251="","",IF(_xlfn.MAXIFS(ЗАКАЗЫ!$AK$3:$AK$500,ЗАКАЗЫ!$F$3:$F$500,$A251)=0,"",_xlfn.MAXIFS(ЗАКАЗЫ!$AK$3:$AK$500,ЗАКАЗЫ!$F$3:$F$500,$A251)))</f>
        <v/>
      </c>
    </row>
    <row r="252" customFormat="false" ht="15.75" hidden="false" customHeight="true" outlineLevel="0" collapsed="false">
      <c r="A252" s="80" t="s">
        <v>3163</v>
      </c>
      <c r="B252" s="81"/>
      <c r="C252" s="81"/>
      <c r="D252" s="81"/>
      <c r="E252" s="83"/>
      <c r="F252" s="81"/>
      <c r="G252" s="83"/>
      <c r="H252" s="83"/>
      <c r="I252" s="84" t="str">
        <f aca="false">IF(E252="","",A252&amp;"_1.jpg")</f>
        <v/>
      </c>
      <c r="J252" s="84" t="str">
        <f aca="false">IF(E252="","",A252&amp;"_2.jpg; "&amp;A252&amp;"_3.jpg")</f>
        <v/>
      </c>
      <c r="K252" s="84" t="str">
        <f aca="false">IF(E252="","",A252&amp;"_schema.jpg")</f>
        <v/>
      </c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 t="s">
        <v>96</v>
      </c>
      <c r="W252" s="81"/>
      <c r="X252" s="81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6" t="str">
        <f aca="false">IF(SUM(Y252:AJ252)=0,"",SUM(Y252:AJ252))</f>
        <v/>
      </c>
      <c r="AL252" s="84" t="str">
        <f aca="false">MID(IF(N(Y252)&gt;0,", "&amp;Y$2,"")&amp;IF(N(Z252)&gt;0,", "&amp;Z$2,"")&amp;IF(N(AA252)&gt;0,", "&amp;AA$2,"")&amp;IF(N(AB252)&gt;0,", "&amp;AB$2,"")&amp;IF(N(AC252)&gt;0,", "&amp;AC$2,"")&amp;IF(N(AD252)&gt;0,", "&amp;AD$2,"")&amp;IF(N(AE252)&gt;0,", "&amp;AE$2,"")&amp;IF(N(AF252)&gt;0,", "&amp;AF$2,"")&amp;IF(N(AG252)&gt;0,", "&amp;AG$2,"")&amp;IF(N(AH252)&gt;0,", "&amp;AH$2,"")&amp;IF(N(AI252)&gt;0,", "&amp;AI$2,"")&amp;IF(N(AJ252)&gt;0,", "&amp;AJ$2,""),3,999)</f>
        <v/>
      </c>
      <c r="AM252" s="87" t="str">
        <f aca="false">IF(E252="","",MID(IF(N(Y252)&gt;0,", "&amp;A252&amp;"-"&amp;Y$2,"")&amp;IF(N(Z252)&gt;0,", "&amp;A252&amp;"-"&amp;Z$2,"")&amp;IF(N(AA252)&gt;0,", "&amp;A252&amp;"-"&amp;AA$2,"")&amp;IF(N(AB252)&gt;0,", "&amp;A252&amp;"-"&amp;AB$2,"")&amp;IF(N(AC252)&gt;0,", "&amp;A252&amp;"-"&amp;AC$2,"")&amp;IF(N(AD252)&gt;0,", "&amp;A252&amp;"-"&amp;AD$2,"")&amp;IF(N(AE252)&gt;0,", "&amp;A252&amp;"-"&amp;AE$2,"")&amp;IF(N(AF252)&gt;0,", "&amp;A252&amp;"-"&amp;AF$2,"")&amp;IF(N(AG252)&gt;0,", "&amp;A252&amp;"-"&amp;AG$2,"")&amp;IF(N(AH252)&gt;0,", "&amp;A252&amp;"-"&amp;AH$2,"")&amp;IF(N(AI252)&gt;0,", "&amp;A252&amp;"-"&amp;AI$2,"")&amp;IF(N(AJ252)&gt;0,", "&amp;A252&amp;"-"&amp;AJ$2,""),3,999))</f>
        <v/>
      </c>
      <c r="AN252" s="81"/>
      <c r="AO252" s="88"/>
      <c r="AP252" s="89" t="str">
        <f aca="false">IF(AO252="","",ROUND(AO252/(1+Справочники!$B$13),2))</f>
        <v/>
      </c>
      <c r="AQ252" s="90" t="str">
        <f aca="false" t="array" ref="AQ252:AQ252">IF(AP252="","",AP252*INDEX(Справочники!$B$4:$B$7,MATCH("RUB",Справочники!$A$4:$A$7,0)))</f>
        <v/>
      </c>
      <c r="AR252" s="90" t="str">
        <f aca="false">IF(AQ252="","",ROUND(AQ252*(1+Справочники!$B$12),0))</f>
        <v/>
      </c>
      <c r="AS252" s="90" t="str">
        <f aca="false">IF(AR252="","",ROUND(AR252*(1-Справочники!$B$11),0))</f>
        <v/>
      </c>
      <c r="AT252" s="88"/>
      <c r="AU252" s="90" t="str">
        <f aca="false">IF(AT252="","",ROUND(AT252/(1+Справочники!$B$12),0))</f>
        <v/>
      </c>
      <c r="AV252" s="90" t="str">
        <f aca="false">IF(AT252="","",ROUND(AT252*(1-Справочники!$B$15),0))</f>
        <v/>
      </c>
      <c r="AW252" s="90" t="str">
        <f aca="false">IF(AT252="","",ROUND(AT252*(1-Справочники!$B$16),0))</f>
        <v/>
      </c>
      <c r="AX252" s="90" t="str">
        <f aca="false">IF(AT252="","",ROUND(AT252*(1-Справочники!$B$17),0))</f>
        <v/>
      </c>
      <c r="AY252" s="90" t="str">
        <f aca="false">IF(AT252="","",ROUND(AT252*(1-Справочники!$B$18),0))</f>
        <v/>
      </c>
      <c r="AZ252" s="90" t="str">
        <f aca="false">IF(AT252="","",ROUND(AT252*(1-Справочники!$B$19),0))</f>
        <v/>
      </c>
      <c r="BA252" s="81"/>
      <c r="BB252" s="81"/>
      <c r="BC252" s="81"/>
      <c r="BD252" s="81"/>
      <c r="BE252" s="91"/>
      <c r="BF252" s="81" t="s">
        <v>103</v>
      </c>
      <c r="BG252" s="89" t="n">
        <f aca="false" t="array" ref="BG252:BG252">IF(BF252="","",IFERROR(INDEX(Справочники!$B$4:$B$7,MATCH(BF252,Справочники!$A$4:$A$7,0)),""))</f>
        <v>68.5</v>
      </c>
      <c r="BH252" s="90" t="str">
        <f aca="false">IF(N(BN252)&gt;0,ROUND(SUMIF(ЗАКАЗЫ!$F$3:$F$500,$A252,ЗАКАЗЫ!$Y$3:$Y$500)/BN252,0),IF(OR(BE252="",BG252=""),"",ROUND(BE252*BG252*(1+Справочники!$B$10),0)))</f>
        <v/>
      </c>
      <c r="BI252" s="92" t="str">
        <f aca="false">IF(OR(AU252="",BH252="",AU252=0),"",(AU252-BH252)/AU252)</f>
        <v/>
      </c>
      <c r="BJ252" s="81"/>
      <c r="BK252" s="83"/>
      <c r="BL252" s="43" t="str">
        <f aca="false">IFERROR(INDEX(ЗАКАЗЫ!$N$3:$N$500,MATCH($A252,ЗАКАЗЫ!$F$3:$F$500,0)),"")</f>
        <v/>
      </c>
      <c r="BM252" s="8" t="str">
        <f aca="false">IF(BL252="","",IFERROR(VLOOKUP(BL252,'ТН ВЭД'!$A$4:$C$40,3,0),""))</f>
        <v/>
      </c>
      <c r="BN252" s="7" t="str">
        <f aca="false">IF(COUNTIF(ЗАКАЗЫ!$F$3:$F$500,$A252)=0,"",SUMIF(ЗАКАЗЫ!$F$3:$F$500,$A252,ЗАКАЗЫ!$J$3:$J$500))</f>
        <v/>
      </c>
      <c r="BO252" s="7" t="str">
        <f aca="false">IF(BN252="","",SUMIF(ЗАКАЗЫ!$F$3:$F$500,$A252,ЗАКАЗЫ!$AL$3:$AL$500))</f>
        <v/>
      </c>
      <c r="BP252" s="7" t="str">
        <f aca="false">IF(BN252="","",BN252-BO252)</f>
        <v/>
      </c>
      <c r="BQ252" s="55" t="str">
        <f aca="false">IF(BN252="","",IF(BO252&gt;=BN252,"На складе",IF(BO252&gt;0,"Частично","Ждём")))</f>
        <v/>
      </c>
      <c r="BR252" s="43"/>
      <c r="BS252" s="47" t="str">
        <f aca="false">IF(BN252="","",IF(_xlfn.MAXIFS(ЗАКАЗЫ!$AK$3:$AK$500,ЗАКАЗЫ!$F$3:$F$500,$A252)=0,"",_xlfn.MAXIFS(ЗАКАЗЫ!$AK$3:$AK$500,ЗАКАЗЫ!$F$3:$F$500,$A252)))</f>
        <v/>
      </c>
    </row>
    <row r="253" customFormat="false" ht="15.75" hidden="false" customHeight="true" outlineLevel="0" collapsed="false">
      <c r="A253" s="80" t="s">
        <v>3164</v>
      </c>
      <c r="B253" s="81"/>
      <c r="C253" s="81"/>
      <c r="D253" s="81"/>
      <c r="E253" s="83"/>
      <c r="F253" s="81"/>
      <c r="G253" s="83"/>
      <c r="H253" s="83"/>
      <c r="I253" s="84" t="str">
        <f aca="false">IF(E253="","",A253&amp;"_1.jpg")</f>
        <v/>
      </c>
      <c r="J253" s="84" t="str">
        <f aca="false">IF(E253="","",A253&amp;"_2.jpg; "&amp;A253&amp;"_3.jpg")</f>
        <v/>
      </c>
      <c r="K253" s="84" t="str">
        <f aca="false">IF(E253="","",A253&amp;"_schema.jpg")</f>
        <v/>
      </c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 t="s">
        <v>96</v>
      </c>
      <c r="W253" s="81"/>
      <c r="X253" s="81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6" t="str">
        <f aca="false">IF(SUM(Y253:AJ253)=0,"",SUM(Y253:AJ253))</f>
        <v/>
      </c>
      <c r="AL253" s="84" t="str">
        <f aca="false">MID(IF(N(Y253)&gt;0,", "&amp;Y$2,"")&amp;IF(N(Z253)&gt;0,", "&amp;Z$2,"")&amp;IF(N(AA253)&gt;0,", "&amp;AA$2,"")&amp;IF(N(AB253)&gt;0,", "&amp;AB$2,"")&amp;IF(N(AC253)&gt;0,", "&amp;AC$2,"")&amp;IF(N(AD253)&gt;0,", "&amp;AD$2,"")&amp;IF(N(AE253)&gt;0,", "&amp;AE$2,"")&amp;IF(N(AF253)&gt;0,", "&amp;AF$2,"")&amp;IF(N(AG253)&gt;0,", "&amp;AG$2,"")&amp;IF(N(AH253)&gt;0,", "&amp;AH$2,"")&amp;IF(N(AI253)&gt;0,", "&amp;AI$2,"")&amp;IF(N(AJ253)&gt;0,", "&amp;AJ$2,""),3,999)</f>
        <v/>
      </c>
      <c r="AM253" s="87" t="str">
        <f aca="false">IF(E253="","",MID(IF(N(Y253)&gt;0,", "&amp;A253&amp;"-"&amp;Y$2,"")&amp;IF(N(Z253)&gt;0,", "&amp;A253&amp;"-"&amp;Z$2,"")&amp;IF(N(AA253)&gt;0,", "&amp;A253&amp;"-"&amp;AA$2,"")&amp;IF(N(AB253)&gt;0,", "&amp;A253&amp;"-"&amp;AB$2,"")&amp;IF(N(AC253)&gt;0,", "&amp;A253&amp;"-"&amp;AC$2,"")&amp;IF(N(AD253)&gt;0,", "&amp;A253&amp;"-"&amp;AD$2,"")&amp;IF(N(AE253)&gt;0,", "&amp;A253&amp;"-"&amp;AE$2,"")&amp;IF(N(AF253)&gt;0,", "&amp;A253&amp;"-"&amp;AF$2,"")&amp;IF(N(AG253)&gt;0,", "&amp;A253&amp;"-"&amp;AG$2,"")&amp;IF(N(AH253)&gt;0,", "&amp;A253&amp;"-"&amp;AH$2,"")&amp;IF(N(AI253)&gt;0,", "&amp;A253&amp;"-"&amp;AI$2,"")&amp;IF(N(AJ253)&gt;0,", "&amp;A253&amp;"-"&amp;AJ$2,""),3,999))</f>
        <v/>
      </c>
      <c r="AN253" s="81"/>
      <c r="AO253" s="88"/>
      <c r="AP253" s="89" t="str">
        <f aca="false">IF(AO253="","",ROUND(AO253/(1+Справочники!$B$13),2))</f>
        <v/>
      </c>
      <c r="AQ253" s="90" t="str">
        <f aca="false" t="array" ref="AQ253:AQ253">IF(AP253="","",AP253*INDEX(Справочники!$B$4:$B$7,MATCH("RUB",Справочники!$A$4:$A$7,0)))</f>
        <v/>
      </c>
      <c r="AR253" s="90" t="str">
        <f aca="false">IF(AQ253="","",ROUND(AQ253*(1+Справочники!$B$12),0))</f>
        <v/>
      </c>
      <c r="AS253" s="90" t="str">
        <f aca="false">IF(AR253="","",ROUND(AR253*(1-Справочники!$B$11),0))</f>
        <v/>
      </c>
      <c r="AT253" s="88"/>
      <c r="AU253" s="90" t="str">
        <f aca="false">IF(AT253="","",ROUND(AT253/(1+Справочники!$B$12),0))</f>
        <v/>
      </c>
      <c r="AV253" s="90" t="str">
        <f aca="false">IF(AT253="","",ROUND(AT253*(1-Справочники!$B$15),0))</f>
        <v/>
      </c>
      <c r="AW253" s="90" t="str">
        <f aca="false">IF(AT253="","",ROUND(AT253*(1-Справочники!$B$16),0))</f>
        <v/>
      </c>
      <c r="AX253" s="90" t="str">
        <f aca="false">IF(AT253="","",ROUND(AT253*(1-Справочники!$B$17),0))</f>
        <v/>
      </c>
      <c r="AY253" s="90" t="str">
        <f aca="false">IF(AT253="","",ROUND(AT253*(1-Справочники!$B$18),0))</f>
        <v/>
      </c>
      <c r="AZ253" s="90" t="str">
        <f aca="false">IF(AT253="","",ROUND(AT253*(1-Справочники!$B$19),0))</f>
        <v/>
      </c>
      <c r="BA253" s="81"/>
      <c r="BB253" s="81"/>
      <c r="BC253" s="81"/>
      <c r="BD253" s="81"/>
      <c r="BE253" s="91"/>
      <c r="BF253" s="81" t="s">
        <v>103</v>
      </c>
      <c r="BG253" s="89" t="n">
        <f aca="false" t="array" ref="BG253:BG253">IF(BF253="","",IFERROR(INDEX(Справочники!$B$4:$B$7,MATCH(BF253,Справочники!$A$4:$A$7,0)),""))</f>
        <v>68.5</v>
      </c>
      <c r="BH253" s="90" t="str">
        <f aca="false">IF(N(BN253)&gt;0,ROUND(SUMIF(ЗАКАЗЫ!$F$3:$F$500,$A253,ЗАКАЗЫ!$Y$3:$Y$500)/BN253,0),IF(OR(BE253="",BG253=""),"",ROUND(BE253*BG253*(1+Справочники!$B$10),0)))</f>
        <v/>
      </c>
      <c r="BI253" s="92" t="str">
        <f aca="false">IF(OR(AU253="",BH253="",AU253=0),"",(AU253-BH253)/AU253)</f>
        <v/>
      </c>
      <c r="BJ253" s="81"/>
      <c r="BK253" s="83"/>
      <c r="BL253" s="43" t="str">
        <f aca="false">IFERROR(INDEX(ЗАКАЗЫ!$N$3:$N$500,MATCH($A253,ЗАКАЗЫ!$F$3:$F$500,0)),"")</f>
        <v/>
      </c>
      <c r="BM253" s="8" t="str">
        <f aca="false">IF(BL253="","",IFERROR(VLOOKUP(BL253,'ТН ВЭД'!$A$4:$C$40,3,0),""))</f>
        <v/>
      </c>
      <c r="BN253" s="7" t="str">
        <f aca="false">IF(COUNTIF(ЗАКАЗЫ!$F$3:$F$500,$A253)=0,"",SUMIF(ЗАКАЗЫ!$F$3:$F$500,$A253,ЗАКАЗЫ!$J$3:$J$500))</f>
        <v/>
      </c>
      <c r="BO253" s="7" t="str">
        <f aca="false">IF(BN253="","",SUMIF(ЗАКАЗЫ!$F$3:$F$500,$A253,ЗАКАЗЫ!$AL$3:$AL$500))</f>
        <v/>
      </c>
      <c r="BP253" s="7" t="str">
        <f aca="false">IF(BN253="","",BN253-BO253)</f>
        <v/>
      </c>
      <c r="BQ253" s="55" t="str">
        <f aca="false">IF(BN253="","",IF(BO253&gt;=BN253,"На складе",IF(BO253&gt;0,"Частично","Ждём")))</f>
        <v/>
      </c>
      <c r="BR253" s="43"/>
      <c r="BS253" s="47" t="str">
        <f aca="false">IF(BN253="","",IF(_xlfn.MAXIFS(ЗАКАЗЫ!$AK$3:$AK$500,ЗАКАЗЫ!$F$3:$F$500,$A253)=0,"",_xlfn.MAXIFS(ЗАКАЗЫ!$AK$3:$AK$500,ЗАКАЗЫ!$F$3:$F$500,$A253)))</f>
        <v/>
      </c>
    </row>
    <row r="254" customFormat="false" ht="15.75" hidden="false" customHeight="true" outlineLevel="0" collapsed="false">
      <c r="A254" s="80" t="s">
        <v>3165</v>
      </c>
      <c r="B254" s="81"/>
      <c r="C254" s="81"/>
      <c r="D254" s="81"/>
      <c r="E254" s="83"/>
      <c r="F254" s="81"/>
      <c r="G254" s="83"/>
      <c r="H254" s="83"/>
      <c r="I254" s="84" t="str">
        <f aca="false">IF(E254="","",A254&amp;"_1.jpg")</f>
        <v/>
      </c>
      <c r="J254" s="84" t="str">
        <f aca="false">IF(E254="","",A254&amp;"_2.jpg; "&amp;A254&amp;"_3.jpg")</f>
        <v/>
      </c>
      <c r="K254" s="84" t="str">
        <f aca="false">IF(E254="","",A254&amp;"_schema.jpg")</f>
        <v/>
      </c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 t="s">
        <v>96</v>
      </c>
      <c r="W254" s="81"/>
      <c r="X254" s="81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6" t="str">
        <f aca="false">IF(SUM(Y254:AJ254)=0,"",SUM(Y254:AJ254))</f>
        <v/>
      </c>
      <c r="AL254" s="84" t="str">
        <f aca="false">MID(IF(N(Y254)&gt;0,", "&amp;Y$2,"")&amp;IF(N(Z254)&gt;0,", "&amp;Z$2,"")&amp;IF(N(AA254)&gt;0,", "&amp;AA$2,"")&amp;IF(N(AB254)&gt;0,", "&amp;AB$2,"")&amp;IF(N(AC254)&gt;0,", "&amp;AC$2,"")&amp;IF(N(AD254)&gt;0,", "&amp;AD$2,"")&amp;IF(N(AE254)&gt;0,", "&amp;AE$2,"")&amp;IF(N(AF254)&gt;0,", "&amp;AF$2,"")&amp;IF(N(AG254)&gt;0,", "&amp;AG$2,"")&amp;IF(N(AH254)&gt;0,", "&amp;AH$2,"")&amp;IF(N(AI254)&gt;0,", "&amp;AI$2,"")&amp;IF(N(AJ254)&gt;0,", "&amp;AJ$2,""),3,999)</f>
        <v/>
      </c>
      <c r="AM254" s="87" t="str">
        <f aca="false">IF(E254="","",MID(IF(N(Y254)&gt;0,", "&amp;A254&amp;"-"&amp;Y$2,"")&amp;IF(N(Z254)&gt;0,", "&amp;A254&amp;"-"&amp;Z$2,"")&amp;IF(N(AA254)&gt;0,", "&amp;A254&amp;"-"&amp;AA$2,"")&amp;IF(N(AB254)&gt;0,", "&amp;A254&amp;"-"&amp;AB$2,"")&amp;IF(N(AC254)&gt;0,", "&amp;A254&amp;"-"&amp;AC$2,"")&amp;IF(N(AD254)&gt;0,", "&amp;A254&amp;"-"&amp;AD$2,"")&amp;IF(N(AE254)&gt;0,", "&amp;A254&amp;"-"&amp;AE$2,"")&amp;IF(N(AF254)&gt;0,", "&amp;A254&amp;"-"&amp;AF$2,"")&amp;IF(N(AG254)&gt;0,", "&amp;A254&amp;"-"&amp;AG$2,"")&amp;IF(N(AH254)&gt;0,", "&amp;A254&amp;"-"&amp;AH$2,"")&amp;IF(N(AI254)&gt;0,", "&amp;A254&amp;"-"&amp;AI$2,"")&amp;IF(N(AJ254)&gt;0,", "&amp;A254&amp;"-"&amp;AJ$2,""),3,999))</f>
        <v/>
      </c>
      <c r="AN254" s="81"/>
      <c r="AO254" s="88"/>
      <c r="AP254" s="89" t="str">
        <f aca="false">IF(AO254="","",ROUND(AO254/(1+Справочники!$B$13),2))</f>
        <v/>
      </c>
      <c r="AQ254" s="90" t="str">
        <f aca="false" t="array" ref="AQ254:AQ254">IF(AP254="","",AP254*INDEX(Справочники!$B$4:$B$7,MATCH("RUB",Справочники!$A$4:$A$7,0)))</f>
        <v/>
      </c>
      <c r="AR254" s="90" t="str">
        <f aca="false">IF(AQ254="","",ROUND(AQ254*(1+Справочники!$B$12),0))</f>
        <v/>
      </c>
      <c r="AS254" s="90" t="str">
        <f aca="false">IF(AR254="","",ROUND(AR254*(1-Справочники!$B$11),0))</f>
        <v/>
      </c>
      <c r="AT254" s="88"/>
      <c r="AU254" s="90" t="str">
        <f aca="false">IF(AT254="","",ROUND(AT254/(1+Справочники!$B$12),0))</f>
        <v/>
      </c>
      <c r="AV254" s="90" t="str">
        <f aca="false">IF(AT254="","",ROUND(AT254*(1-Справочники!$B$15),0))</f>
        <v/>
      </c>
      <c r="AW254" s="90" t="str">
        <f aca="false">IF(AT254="","",ROUND(AT254*(1-Справочники!$B$16),0))</f>
        <v/>
      </c>
      <c r="AX254" s="90" t="str">
        <f aca="false">IF(AT254="","",ROUND(AT254*(1-Справочники!$B$17),0))</f>
        <v/>
      </c>
      <c r="AY254" s="90" t="str">
        <f aca="false">IF(AT254="","",ROUND(AT254*(1-Справочники!$B$18),0))</f>
        <v/>
      </c>
      <c r="AZ254" s="90" t="str">
        <f aca="false">IF(AT254="","",ROUND(AT254*(1-Справочники!$B$19),0))</f>
        <v/>
      </c>
      <c r="BA254" s="81"/>
      <c r="BB254" s="81"/>
      <c r="BC254" s="81"/>
      <c r="BD254" s="81"/>
      <c r="BE254" s="91"/>
      <c r="BF254" s="81" t="s">
        <v>103</v>
      </c>
      <c r="BG254" s="89" t="n">
        <f aca="false" t="array" ref="BG254:BG254">IF(BF254="","",IFERROR(INDEX(Справочники!$B$4:$B$7,MATCH(BF254,Справочники!$A$4:$A$7,0)),""))</f>
        <v>68.5</v>
      </c>
      <c r="BH254" s="90" t="str">
        <f aca="false">IF(N(BN254)&gt;0,ROUND(SUMIF(ЗАКАЗЫ!$F$3:$F$500,$A254,ЗАКАЗЫ!$Y$3:$Y$500)/BN254,0),IF(OR(BE254="",BG254=""),"",ROUND(BE254*BG254*(1+Справочники!$B$10),0)))</f>
        <v/>
      </c>
      <c r="BI254" s="92" t="str">
        <f aca="false">IF(OR(AU254="",BH254="",AU254=0),"",(AU254-BH254)/AU254)</f>
        <v/>
      </c>
      <c r="BJ254" s="81"/>
      <c r="BK254" s="83"/>
      <c r="BL254" s="43" t="str">
        <f aca="false">IFERROR(INDEX(ЗАКАЗЫ!$N$3:$N$500,MATCH($A254,ЗАКАЗЫ!$F$3:$F$500,0)),"")</f>
        <v/>
      </c>
      <c r="BM254" s="8" t="str">
        <f aca="false">IF(BL254="","",IFERROR(VLOOKUP(BL254,'ТН ВЭД'!$A$4:$C$40,3,0),""))</f>
        <v/>
      </c>
      <c r="BN254" s="7" t="str">
        <f aca="false">IF(COUNTIF(ЗАКАЗЫ!$F$3:$F$500,$A254)=0,"",SUMIF(ЗАКАЗЫ!$F$3:$F$500,$A254,ЗАКАЗЫ!$J$3:$J$500))</f>
        <v/>
      </c>
      <c r="BO254" s="7" t="str">
        <f aca="false">IF(BN254="","",SUMIF(ЗАКАЗЫ!$F$3:$F$500,$A254,ЗАКАЗЫ!$AL$3:$AL$500))</f>
        <v/>
      </c>
      <c r="BP254" s="7" t="str">
        <f aca="false">IF(BN254="","",BN254-BO254)</f>
        <v/>
      </c>
      <c r="BQ254" s="55" t="str">
        <f aca="false">IF(BN254="","",IF(BO254&gt;=BN254,"На складе",IF(BO254&gt;0,"Частично","Ждём")))</f>
        <v/>
      </c>
      <c r="BR254" s="43"/>
      <c r="BS254" s="47" t="str">
        <f aca="false">IF(BN254="","",IF(_xlfn.MAXIFS(ЗАКАЗЫ!$AK$3:$AK$500,ЗАКАЗЫ!$F$3:$F$500,$A254)=0,"",_xlfn.MAXIFS(ЗАКАЗЫ!$AK$3:$AK$500,ЗАКАЗЫ!$F$3:$F$500,$A254)))</f>
        <v/>
      </c>
    </row>
    <row r="255" customFormat="false" ht="15.75" hidden="false" customHeight="true" outlineLevel="0" collapsed="false">
      <c r="A255" s="80" t="s">
        <v>3166</v>
      </c>
      <c r="B255" s="81"/>
      <c r="C255" s="81"/>
      <c r="D255" s="81"/>
      <c r="E255" s="83"/>
      <c r="F255" s="81"/>
      <c r="G255" s="83"/>
      <c r="H255" s="83"/>
      <c r="I255" s="84" t="str">
        <f aca="false">IF(E255="","",A255&amp;"_1.jpg")</f>
        <v/>
      </c>
      <c r="J255" s="84" t="str">
        <f aca="false">IF(E255="","",A255&amp;"_2.jpg; "&amp;A255&amp;"_3.jpg")</f>
        <v/>
      </c>
      <c r="K255" s="84" t="str">
        <f aca="false">IF(E255="","",A255&amp;"_schema.jpg")</f>
        <v/>
      </c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 t="s">
        <v>96</v>
      </c>
      <c r="W255" s="81"/>
      <c r="X255" s="81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6" t="str">
        <f aca="false">IF(SUM(Y255:AJ255)=0,"",SUM(Y255:AJ255))</f>
        <v/>
      </c>
      <c r="AL255" s="84" t="str">
        <f aca="false">MID(IF(N(Y255)&gt;0,", "&amp;Y$2,"")&amp;IF(N(Z255)&gt;0,", "&amp;Z$2,"")&amp;IF(N(AA255)&gt;0,", "&amp;AA$2,"")&amp;IF(N(AB255)&gt;0,", "&amp;AB$2,"")&amp;IF(N(AC255)&gt;0,", "&amp;AC$2,"")&amp;IF(N(AD255)&gt;0,", "&amp;AD$2,"")&amp;IF(N(AE255)&gt;0,", "&amp;AE$2,"")&amp;IF(N(AF255)&gt;0,", "&amp;AF$2,"")&amp;IF(N(AG255)&gt;0,", "&amp;AG$2,"")&amp;IF(N(AH255)&gt;0,", "&amp;AH$2,"")&amp;IF(N(AI255)&gt;0,", "&amp;AI$2,"")&amp;IF(N(AJ255)&gt;0,", "&amp;AJ$2,""),3,999)</f>
        <v/>
      </c>
      <c r="AM255" s="87" t="str">
        <f aca="false">IF(E255="","",MID(IF(N(Y255)&gt;0,", "&amp;A255&amp;"-"&amp;Y$2,"")&amp;IF(N(Z255)&gt;0,", "&amp;A255&amp;"-"&amp;Z$2,"")&amp;IF(N(AA255)&gt;0,", "&amp;A255&amp;"-"&amp;AA$2,"")&amp;IF(N(AB255)&gt;0,", "&amp;A255&amp;"-"&amp;AB$2,"")&amp;IF(N(AC255)&gt;0,", "&amp;A255&amp;"-"&amp;AC$2,"")&amp;IF(N(AD255)&gt;0,", "&amp;A255&amp;"-"&amp;AD$2,"")&amp;IF(N(AE255)&gt;0,", "&amp;A255&amp;"-"&amp;AE$2,"")&amp;IF(N(AF255)&gt;0,", "&amp;A255&amp;"-"&amp;AF$2,"")&amp;IF(N(AG255)&gt;0,", "&amp;A255&amp;"-"&amp;AG$2,"")&amp;IF(N(AH255)&gt;0,", "&amp;A255&amp;"-"&amp;AH$2,"")&amp;IF(N(AI255)&gt;0,", "&amp;A255&amp;"-"&amp;AI$2,"")&amp;IF(N(AJ255)&gt;0,", "&amp;A255&amp;"-"&amp;AJ$2,""),3,999))</f>
        <v/>
      </c>
      <c r="AN255" s="81"/>
      <c r="AO255" s="88"/>
      <c r="AP255" s="89" t="str">
        <f aca="false">IF(AO255="","",ROUND(AO255/(1+Справочники!$B$13),2))</f>
        <v/>
      </c>
      <c r="AQ255" s="90" t="str">
        <f aca="false" t="array" ref="AQ255:AQ255">IF(AP255="","",AP255*INDEX(Справочники!$B$4:$B$7,MATCH("RUB",Справочники!$A$4:$A$7,0)))</f>
        <v/>
      </c>
      <c r="AR255" s="90" t="str">
        <f aca="false">IF(AQ255="","",ROUND(AQ255*(1+Справочники!$B$12),0))</f>
        <v/>
      </c>
      <c r="AS255" s="90" t="str">
        <f aca="false">IF(AR255="","",ROUND(AR255*(1-Справочники!$B$11),0))</f>
        <v/>
      </c>
      <c r="AT255" s="88"/>
      <c r="AU255" s="90" t="str">
        <f aca="false">IF(AT255="","",ROUND(AT255/(1+Справочники!$B$12),0))</f>
        <v/>
      </c>
      <c r="AV255" s="90" t="str">
        <f aca="false">IF(AT255="","",ROUND(AT255*(1-Справочники!$B$15),0))</f>
        <v/>
      </c>
      <c r="AW255" s="90" t="str">
        <f aca="false">IF(AT255="","",ROUND(AT255*(1-Справочники!$B$16),0))</f>
        <v/>
      </c>
      <c r="AX255" s="90" t="str">
        <f aca="false">IF(AT255="","",ROUND(AT255*(1-Справочники!$B$17),0))</f>
        <v/>
      </c>
      <c r="AY255" s="90" t="str">
        <f aca="false">IF(AT255="","",ROUND(AT255*(1-Справочники!$B$18),0))</f>
        <v/>
      </c>
      <c r="AZ255" s="90" t="str">
        <f aca="false">IF(AT255="","",ROUND(AT255*(1-Справочники!$B$19),0))</f>
        <v/>
      </c>
      <c r="BA255" s="81"/>
      <c r="BB255" s="81"/>
      <c r="BC255" s="81"/>
      <c r="BD255" s="81"/>
      <c r="BE255" s="91"/>
      <c r="BF255" s="81" t="s">
        <v>103</v>
      </c>
      <c r="BG255" s="89" t="n">
        <f aca="false" t="array" ref="BG255:BG255">IF(BF255="","",IFERROR(INDEX(Справочники!$B$4:$B$7,MATCH(BF255,Справочники!$A$4:$A$7,0)),""))</f>
        <v>68.5</v>
      </c>
      <c r="BH255" s="90" t="str">
        <f aca="false">IF(N(BN255)&gt;0,ROUND(SUMIF(ЗАКАЗЫ!$F$3:$F$500,$A255,ЗАКАЗЫ!$Y$3:$Y$500)/BN255,0),IF(OR(BE255="",BG255=""),"",ROUND(BE255*BG255*(1+Справочники!$B$10),0)))</f>
        <v/>
      </c>
      <c r="BI255" s="92" t="str">
        <f aca="false">IF(OR(AU255="",BH255="",AU255=0),"",(AU255-BH255)/AU255)</f>
        <v/>
      </c>
      <c r="BJ255" s="81"/>
      <c r="BK255" s="83"/>
      <c r="BL255" s="43" t="str">
        <f aca="false">IFERROR(INDEX(ЗАКАЗЫ!$N$3:$N$500,MATCH($A255,ЗАКАЗЫ!$F$3:$F$500,0)),"")</f>
        <v/>
      </c>
      <c r="BM255" s="8" t="str">
        <f aca="false">IF(BL255="","",IFERROR(VLOOKUP(BL255,'ТН ВЭД'!$A$4:$C$40,3,0),""))</f>
        <v/>
      </c>
      <c r="BN255" s="7" t="str">
        <f aca="false">IF(COUNTIF(ЗАКАЗЫ!$F$3:$F$500,$A255)=0,"",SUMIF(ЗАКАЗЫ!$F$3:$F$500,$A255,ЗАКАЗЫ!$J$3:$J$500))</f>
        <v/>
      </c>
      <c r="BO255" s="7" t="str">
        <f aca="false">IF(BN255="","",SUMIF(ЗАКАЗЫ!$F$3:$F$500,$A255,ЗАКАЗЫ!$AL$3:$AL$500))</f>
        <v/>
      </c>
      <c r="BP255" s="7" t="str">
        <f aca="false">IF(BN255="","",BN255-BO255)</f>
        <v/>
      </c>
      <c r="BQ255" s="55" t="str">
        <f aca="false">IF(BN255="","",IF(BO255&gt;=BN255,"На складе",IF(BO255&gt;0,"Частично","Ждём")))</f>
        <v/>
      </c>
      <c r="BR255" s="43"/>
      <c r="BS255" s="47" t="str">
        <f aca="false">IF(BN255="","",IF(_xlfn.MAXIFS(ЗАКАЗЫ!$AK$3:$AK$500,ЗАКАЗЫ!$F$3:$F$500,$A255)=0,"",_xlfn.MAXIFS(ЗАКАЗЫ!$AK$3:$AK$500,ЗАКАЗЫ!$F$3:$F$500,$A255)))</f>
        <v/>
      </c>
    </row>
    <row r="256" customFormat="false" ht="15.75" hidden="false" customHeight="true" outlineLevel="0" collapsed="false">
      <c r="A256" s="80" t="s">
        <v>3167</v>
      </c>
      <c r="B256" s="81"/>
      <c r="C256" s="81"/>
      <c r="D256" s="81"/>
      <c r="E256" s="83"/>
      <c r="F256" s="81"/>
      <c r="G256" s="83"/>
      <c r="H256" s="83"/>
      <c r="I256" s="84" t="str">
        <f aca="false">IF(E256="","",A256&amp;"_1.jpg")</f>
        <v/>
      </c>
      <c r="J256" s="84" t="str">
        <f aca="false">IF(E256="","",A256&amp;"_2.jpg; "&amp;A256&amp;"_3.jpg")</f>
        <v/>
      </c>
      <c r="K256" s="84" t="str">
        <f aca="false">IF(E256="","",A256&amp;"_schema.jpg")</f>
        <v/>
      </c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 t="s">
        <v>96</v>
      </c>
      <c r="W256" s="81"/>
      <c r="X256" s="81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6" t="str">
        <f aca="false">IF(SUM(Y256:AJ256)=0,"",SUM(Y256:AJ256))</f>
        <v/>
      </c>
      <c r="AL256" s="84" t="str">
        <f aca="false">MID(IF(N(Y256)&gt;0,", "&amp;Y$2,"")&amp;IF(N(Z256)&gt;0,", "&amp;Z$2,"")&amp;IF(N(AA256)&gt;0,", "&amp;AA$2,"")&amp;IF(N(AB256)&gt;0,", "&amp;AB$2,"")&amp;IF(N(AC256)&gt;0,", "&amp;AC$2,"")&amp;IF(N(AD256)&gt;0,", "&amp;AD$2,"")&amp;IF(N(AE256)&gt;0,", "&amp;AE$2,"")&amp;IF(N(AF256)&gt;0,", "&amp;AF$2,"")&amp;IF(N(AG256)&gt;0,", "&amp;AG$2,"")&amp;IF(N(AH256)&gt;0,", "&amp;AH$2,"")&amp;IF(N(AI256)&gt;0,", "&amp;AI$2,"")&amp;IF(N(AJ256)&gt;0,", "&amp;AJ$2,""),3,999)</f>
        <v/>
      </c>
      <c r="AM256" s="87" t="str">
        <f aca="false">IF(E256="","",MID(IF(N(Y256)&gt;0,", "&amp;A256&amp;"-"&amp;Y$2,"")&amp;IF(N(Z256)&gt;0,", "&amp;A256&amp;"-"&amp;Z$2,"")&amp;IF(N(AA256)&gt;0,", "&amp;A256&amp;"-"&amp;AA$2,"")&amp;IF(N(AB256)&gt;0,", "&amp;A256&amp;"-"&amp;AB$2,"")&amp;IF(N(AC256)&gt;0,", "&amp;A256&amp;"-"&amp;AC$2,"")&amp;IF(N(AD256)&gt;0,", "&amp;A256&amp;"-"&amp;AD$2,"")&amp;IF(N(AE256)&gt;0,", "&amp;A256&amp;"-"&amp;AE$2,"")&amp;IF(N(AF256)&gt;0,", "&amp;A256&amp;"-"&amp;AF$2,"")&amp;IF(N(AG256)&gt;0,", "&amp;A256&amp;"-"&amp;AG$2,"")&amp;IF(N(AH256)&gt;0,", "&amp;A256&amp;"-"&amp;AH$2,"")&amp;IF(N(AI256)&gt;0,", "&amp;A256&amp;"-"&amp;AI$2,"")&amp;IF(N(AJ256)&gt;0,", "&amp;A256&amp;"-"&amp;AJ$2,""),3,999))</f>
        <v/>
      </c>
      <c r="AN256" s="81"/>
      <c r="AO256" s="88"/>
      <c r="AP256" s="89" t="str">
        <f aca="false">IF(AO256="","",ROUND(AO256/(1+Справочники!$B$13),2))</f>
        <v/>
      </c>
      <c r="AQ256" s="90" t="str">
        <f aca="false" t="array" ref="AQ256:AQ256">IF(AP256="","",AP256*INDEX(Справочники!$B$4:$B$7,MATCH("RUB",Справочники!$A$4:$A$7,0)))</f>
        <v/>
      </c>
      <c r="AR256" s="90" t="str">
        <f aca="false">IF(AQ256="","",ROUND(AQ256*(1+Справочники!$B$12),0))</f>
        <v/>
      </c>
      <c r="AS256" s="90" t="str">
        <f aca="false">IF(AR256="","",ROUND(AR256*(1-Справочники!$B$11),0))</f>
        <v/>
      </c>
      <c r="AT256" s="88"/>
      <c r="AU256" s="90" t="str">
        <f aca="false">IF(AT256="","",ROUND(AT256/(1+Справочники!$B$12),0))</f>
        <v/>
      </c>
      <c r="AV256" s="90" t="str">
        <f aca="false">IF(AT256="","",ROUND(AT256*(1-Справочники!$B$15),0))</f>
        <v/>
      </c>
      <c r="AW256" s="90" t="str">
        <f aca="false">IF(AT256="","",ROUND(AT256*(1-Справочники!$B$16),0))</f>
        <v/>
      </c>
      <c r="AX256" s="90" t="str">
        <f aca="false">IF(AT256="","",ROUND(AT256*(1-Справочники!$B$17),0))</f>
        <v/>
      </c>
      <c r="AY256" s="90" t="str">
        <f aca="false">IF(AT256="","",ROUND(AT256*(1-Справочники!$B$18),0))</f>
        <v/>
      </c>
      <c r="AZ256" s="90" t="str">
        <f aca="false">IF(AT256="","",ROUND(AT256*(1-Справочники!$B$19),0))</f>
        <v/>
      </c>
      <c r="BA256" s="81"/>
      <c r="BB256" s="81"/>
      <c r="BC256" s="81"/>
      <c r="BD256" s="81"/>
      <c r="BE256" s="91"/>
      <c r="BF256" s="81" t="s">
        <v>103</v>
      </c>
      <c r="BG256" s="89" t="n">
        <f aca="false" t="array" ref="BG256:BG256">IF(BF256="","",IFERROR(INDEX(Справочники!$B$4:$B$7,MATCH(BF256,Справочники!$A$4:$A$7,0)),""))</f>
        <v>68.5</v>
      </c>
      <c r="BH256" s="90" t="str">
        <f aca="false">IF(N(BN256)&gt;0,ROUND(SUMIF(ЗАКАЗЫ!$F$3:$F$500,$A256,ЗАКАЗЫ!$Y$3:$Y$500)/BN256,0),IF(OR(BE256="",BG256=""),"",ROUND(BE256*BG256*(1+Справочники!$B$10),0)))</f>
        <v/>
      </c>
      <c r="BI256" s="92" t="str">
        <f aca="false">IF(OR(AU256="",BH256="",AU256=0),"",(AU256-BH256)/AU256)</f>
        <v/>
      </c>
      <c r="BJ256" s="81"/>
      <c r="BK256" s="83"/>
      <c r="BL256" s="43" t="str">
        <f aca="false">IFERROR(INDEX(ЗАКАЗЫ!$N$3:$N$500,MATCH($A256,ЗАКАЗЫ!$F$3:$F$500,0)),"")</f>
        <v/>
      </c>
      <c r="BM256" s="8" t="str">
        <f aca="false">IF(BL256="","",IFERROR(VLOOKUP(BL256,'ТН ВЭД'!$A$4:$C$40,3,0),""))</f>
        <v/>
      </c>
      <c r="BN256" s="7" t="str">
        <f aca="false">IF(COUNTIF(ЗАКАЗЫ!$F$3:$F$500,$A256)=0,"",SUMIF(ЗАКАЗЫ!$F$3:$F$500,$A256,ЗАКАЗЫ!$J$3:$J$500))</f>
        <v/>
      </c>
      <c r="BO256" s="7" t="str">
        <f aca="false">IF(BN256="","",SUMIF(ЗАКАЗЫ!$F$3:$F$500,$A256,ЗАКАЗЫ!$AL$3:$AL$500))</f>
        <v/>
      </c>
      <c r="BP256" s="7" t="str">
        <f aca="false">IF(BN256="","",BN256-BO256)</f>
        <v/>
      </c>
      <c r="BQ256" s="55" t="str">
        <f aca="false">IF(BN256="","",IF(BO256&gt;=BN256,"На складе",IF(BO256&gt;0,"Частично","Ждём")))</f>
        <v/>
      </c>
      <c r="BR256" s="43"/>
      <c r="BS256" s="47" t="str">
        <f aca="false">IF(BN256="","",IF(_xlfn.MAXIFS(ЗАКАЗЫ!$AK$3:$AK$500,ЗАКАЗЫ!$F$3:$F$500,$A256)=0,"",_xlfn.MAXIFS(ЗАКАЗЫ!$AK$3:$AK$500,ЗАКАЗЫ!$F$3:$F$500,$A256)))</f>
        <v/>
      </c>
    </row>
    <row r="257" customFormat="false" ht="15.75" hidden="false" customHeight="true" outlineLevel="0" collapsed="false">
      <c r="A257" s="80" t="s">
        <v>3168</v>
      </c>
      <c r="B257" s="81"/>
      <c r="C257" s="81"/>
      <c r="D257" s="81"/>
      <c r="E257" s="83"/>
      <c r="F257" s="81"/>
      <c r="G257" s="83"/>
      <c r="H257" s="83"/>
      <c r="I257" s="84" t="str">
        <f aca="false">IF(E257="","",A257&amp;"_1.jpg")</f>
        <v/>
      </c>
      <c r="J257" s="84" t="str">
        <f aca="false">IF(E257="","",A257&amp;"_2.jpg; "&amp;A257&amp;"_3.jpg")</f>
        <v/>
      </c>
      <c r="K257" s="84" t="str">
        <f aca="false">IF(E257="","",A257&amp;"_schema.jpg")</f>
        <v/>
      </c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 t="s">
        <v>96</v>
      </c>
      <c r="W257" s="81"/>
      <c r="X257" s="81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6" t="str">
        <f aca="false">IF(SUM(Y257:AJ257)=0,"",SUM(Y257:AJ257))</f>
        <v/>
      </c>
      <c r="AL257" s="84" t="str">
        <f aca="false">MID(IF(N(Y257)&gt;0,", "&amp;Y$2,"")&amp;IF(N(Z257)&gt;0,", "&amp;Z$2,"")&amp;IF(N(AA257)&gt;0,", "&amp;AA$2,"")&amp;IF(N(AB257)&gt;0,", "&amp;AB$2,"")&amp;IF(N(AC257)&gt;0,", "&amp;AC$2,"")&amp;IF(N(AD257)&gt;0,", "&amp;AD$2,"")&amp;IF(N(AE257)&gt;0,", "&amp;AE$2,"")&amp;IF(N(AF257)&gt;0,", "&amp;AF$2,"")&amp;IF(N(AG257)&gt;0,", "&amp;AG$2,"")&amp;IF(N(AH257)&gt;0,", "&amp;AH$2,"")&amp;IF(N(AI257)&gt;0,", "&amp;AI$2,"")&amp;IF(N(AJ257)&gt;0,", "&amp;AJ$2,""),3,999)</f>
        <v/>
      </c>
      <c r="AM257" s="87" t="str">
        <f aca="false">IF(E257="","",MID(IF(N(Y257)&gt;0,", "&amp;A257&amp;"-"&amp;Y$2,"")&amp;IF(N(Z257)&gt;0,", "&amp;A257&amp;"-"&amp;Z$2,"")&amp;IF(N(AA257)&gt;0,", "&amp;A257&amp;"-"&amp;AA$2,"")&amp;IF(N(AB257)&gt;0,", "&amp;A257&amp;"-"&amp;AB$2,"")&amp;IF(N(AC257)&gt;0,", "&amp;A257&amp;"-"&amp;AC$2,"")&amp;IF(N(AD257)&gt;0,", "&amp;A257&amp;"-"&amp;AD$2,"")&amp;IF(N(AE257)&gt;0,", "&amp;A257&amp;"-"&amp;AE$2,"")&amp;IF(N(AF257)&gt;0,", "&amp;A257&amp;"-"&amp;AF$2,"")&amp;IF(N(AG257)&gt;0,", "&amp;A257&amp;"-"&amp;AG$2,"")&amp;IF(N(AH257)&gt;0,", "&amp;A257&amp;"-"&amp;AH$2,"")&amp;IF(N(AI257)&gt;0,", "&amp;A257&amp;"-"&amp;AI$2,"")&amp;IF(N(AJ257)&gt;0,", "&amp;A257&amp;"-"&amp;AJ$2,""),3,999))</f>
        <v/>
      </c>
      <c r="AN257" s="81"/>
      <c r="AO257" s="88"/>
      <c r="AP257" s="89" t="str">
        <f aca="false">IF(AO257="","",ROUND(AO257/(1+Справочники!$B$13),2))</f>
        <v/>
      </c>
      <c r="AQ257" s="90" t="str">
        <f aca="false" t="array" ref="AQ257:AQ257">IF(AP257="","",AP257*INDEX(Справочники!$B$4:$B$7,MATCH("RUB",Справочники!$A$4:$A$7,0)))</f>
        <v/>
      </c>
      <c r="AR257" s="90" t="str">
        <f aca="false">IF(AQ257="","",ROUND(AQ257*(1+Справочники!$B$12),0))</f>
        <v/>
      </c>
      <c r="AS257" s="90" t="str">
        <f aca="false">IF(AR257="","",ROUND(AR257*(1-Справочники!$B$11),0))</f>
        <v/>
      </c>
      <c r="AT257" s="88"/>
      <c r="AU257" s="90" t="str">
        <f aca="false">IF(AT257="","",ROUND(AT257/(1+Справочники!$B$12),0))</f>
        <v/>
      </c>
      <c r="AV257" s="90" t="str">
        <f aca="false">IF(AT257="","",ROUND(AT257*(1-Справочники!$B$15),0))</f>
        <v/>
      </c>
      <c r="AW257" s="90" t="str">
        <f aca="false">IF(AT257="","",ROUND(AT257*(1-Справочники!$B$16),0))</f>
        <v/>
      </c>
      <c r="AX257" s="90" t="str">
        <f aca="false">IF(AT257="","",ROUND(AT257*(1-Справочники!$B$17),0))</f>
        <v/>
      </c>
      <c r="AY257" s="90" t="str">
        <f aca="false">IF(AT257="","",ROUND(AT257*(1-Справочники!$B$18),0))</f>
        <v/>
      </c>
      <c r="AZ257" s="90" t="str">
        <f aca="false">IF(AT257="","",ROUND(AT257*(1-Справочники!$B$19),0))</f>
        <v/>
      </c>
      <c r="BA257" s="81"/>
      <c r="BB257" s="81"/>
      <c r="BC257" s="81"/>
      <c r="BD257" s="81"/>
      <c r="BE257" s="91"/>
      <c r="BF257" s="81" t="s">
        <v>103</v>
      </c>
      <c r="BG257" s="89" t="n">
        <f aca="false" t="array" ref="BG257:BG257">IF(BF257="","",IFERROR(INDEX(Справочники!$B$4:$B$7,MATCH(BF257,Справочники!$A$4:$A$7,0)),""))</f>
        <v>68.5</v>
      </c>
      <c r="BH257" s="90" t="str">
        <f aca="false">IF(N(BN257)&gt;0,ROUND(SUMIF(ЗАКАЗЫ!$F$3:$F$500,$A257,ЗАКАЗЫ!$Y$3:$Y$500)/BN257,0),IF(OR(BE257="",BG257=""),"",ROUND(BE257*BG257*(1+Справочники!$B$10),0)))</f>
        <v/>
      </c>
      <c r="BI257" s="92" t="str">
        <f aca="false">IF(OR(AU257="",BH257="",AU257=0),"",(AU257-BH257)/AU257)</f>
        <v/>
      </c>
      <c r="BJ257" s="81"/>
      <c r="BK257" s="83"/>
      <c r="BL257" s="43" t="str">
        <f aca="false">IFERROR(INDEX(ЗАКАЗЫ!$N$3:$N$500,MATCH($A257,ЗАКАЗЫ!$F$3:$F$500,0)),"")</f>
        <v/>
      </c>
      <c r="BM257" s="8" t="str">
        <f aca="false">IF(BL257="","",IFERROR(VLOOKUP(BL257,'ТН ВЭД'!$A$4:$C$40,3,0),""))</f>
        <v/>
      </c>
      <c r="BN257" s="7" t="str">
        <f aca="false">IF(COUNTIF(ЗАКАЗЫ!$F$3:$F$500,$A257)=0,"",SUMIF(ЗАКАЗЫ!$F$3:$F$500,$A257,ЗАКАЗЫ!$J$3:$J$500))</f>
        <v/>
      </c>
      <c r="BO257" s="7" t="str">
        <f aca="false">IF(BN257="","",SUMIF(ЗАКАЗЫ!$F$3:$F$500,$A257,ЗАКАЗЫ!$AL$3:$AL$500))</f>
        <v/>
      </c>
      <c r="BP257" s="7" t="str">
        <f aca="false">IF(BN257="","",BN257-BO257)</f>
        <v/>
      </c>
      <c r="BQ257" s="55" t="str">
        <f aca="false">IF(BN257="","",IF(BO257&gt;=BN257,"На складе",IF(BO257&gt;0,"Частично","Ждём")))</f>
        <v/>
      </c>
      <c r="BR257" s="43"/>
      <c r="BS257" s="47" t="str">
        <f aca="false">IF(BN257="","",IF(_xlfn.MAXIFS(ЗАКАЗЫ!$AK$3:$AK$500,ЗАКАЗЫ!$F$3:$F$500,$A257)=0,"",_xlfn.MAXIFS(ЗАКАЗЫ!$AK$3:$AK$500,ЗАКАЗЫ!$F$3:$F$500,$A257)))</f>
        <v/>
      </c>
    </row>
    <row r="258" customFormat="false" ht="15.75" hidden="false" customHeight="true" outlineLevel="0" collapsed="false">
      <c r="A258" s="80" t="s">
        <v>3169</v>
      </c>
      <c r="B258" s="81"/>
      <c r="C258" s="81"/>
      <c r="D258" s="81"/>
      <c r="E258" s="83"/>
      <c r="F258" s="81"/>
      <c r="G258" s="83"/>
      <c r="H258" s="83"/>
      <c r="I258" s="84" t="str">
        <f aca="false">IF(E258="","",A258&amp;"_1.jpg")</f>
        <v/>
      </c>
      <c r="J258" s="84" t="str">
        <f aca="false">IF(E258="","",A258&amp;"_2.jpg; "&amp;A258&amp;"_3.jpg")</f>
        <v/>
      </c>
      <c r="K258" s="84" t="str">
        <f aca="false">IF(E258="","",A258&amp;"_schema.jpg")</f>
        <v/>
      </c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 t="s">
        <v>96</v>
      </c>
      <c r="W258" s="81"/>
      <c r="X258" s="81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6" t="str">
        <f aca="false">IF(SUM(Y258:AJ258)=0,"",SUM(Y258:AJ258))</f>
        <v/>
      </c>
      <c r="AL258" s="84" t="str">
        <f aca="false">MID(IF(N(Y258)&gt;0,", "&amp;Y$2,"")&amp;IF(N(Z258)&gt;0,", "&amp;Z$2,"")&amp;IF(N(AA258)&gt;0,", "&amp;AA$2,"")&amp;IF(N(AB258)&gt;0,", "&amp;AB$2,"")&amp;IF(N(AC258)&gt;0,", "&amp;AC$2,"")&amp;IF(N(AD258)&gt;0,", "&amp;AD$2,"")&amp;IF(N(AE258)&gt;0,", "&amp;AE$2,"")&amp;IF(N(AF258)&gt;0,", "&amp;AF$2,"")&amp;IF(N(AG258)&gt;0,", "&amp;AG$2,"")&amp;IF(N(AH258)&gt;0,", "&amp;AH$2,"")&amp;IF(N(AI258)&gt;0,", "&amp;AI$2,"")&amp;IF(N(AJ258)&gt;0,", "&amp;AJ$2,""),3,999)</f>
        <v/>
      </c>
      <c r="AM258" s="87" t="str">
        <f aca="false">IF(E258="","",MID(IF(N(Y258)&gt;0,", "&amp;A258&amp;"-"&amp;Y$2,"")&amp;IF(N(Z258)&gt;0,", "&amp;A258&amp;"-"&amp;Z$2,"")&amp;IF(N(AA258)&gt;0,", "&amp;A258&amp;"-"&amp;AA$2,"")&amp;IF(N(AB258)&gt;0,", "&amp;A258&amp;"-"&amp;AB$2,"")&amp;IF(N(AC258)&gt;0,", "&amp;A258&amp;"-"&amp;AC$2,"")&amp;IF(N(AD258)&gt;0,", "&amp;A258&amp;"-"&amp;AD$2,"")&amp;IF(N(AE258)&gt;0,", "&amp;A258&amp;"-"&amp;AE$2,"")&amp;IF(N(AF258)&gt;0,", "&amp;A258&amp;"-"&amp;AF$2,"")&amp;IF(N(AG258)&gt;0,", "&amp;A258&amp;"-"&amp;AG$2,"")&amp;IF(N(AH258)&gt;0,", "&amp;A258&amp;"-"&amp;AH$2,"")&amp;IF(N(AI258)&gt;0,", "&amp;A258&amp;"-"&amp;AI$2,"")&amp;IF(N(AJ258)&gt;0,", "&amp;A258&amp;"-"&amp;AJ$2,""),3,999))</f>
        <v/>
      </c>
      <c r="AN258" s="81"/>
      <c r="AO258" s="88"/>
      <c r="AP258" s="89" t="str">
        <f aca="false">IF(AO258="","",ROUND(AO258/(1+Справочники!$B$13),2))</f>
        <v/>
      </c>
      <c r="AQ258" s="90" t="str">
        <f aca="false" t="array" ref="AQ258:AQ258">IF(AP258="","",AP258*INDEX(Справочники!$B$4:$B$7,MATCH("RUB",Справочники!$A$4:$A$7,0)))</f>
        <v/>
      </c>
      <c r="AR258" s="90" t="str">
        <f aca="false">IF(AQ258="","",ROUND(AQ258*(1+Справочники!$B$12),0))</f>
        <v/>
      </c>
      <c r="AS258" s="90" t="str">
        <f aca="false">IF(AR258="","",ROUND(AR258*(1-Справочники!$B$11),0))</f>
        <v/>
      </c>
      <c r="AT258" s="88"/>
      <c r="AU258" s="90" t="str">
        <f aca="false">IF(AT258="","",ROUND(AT258/(1+Справочники!$B$12),0))</f>
        <v/>
      </c>
      <c r="AV258" s="90" t="str">
        <f aca="false">IF(AT258="","",ROUND(AT258*(1-Справочники!$B$15),0))</f>
        <v/>
      </c>
      <c r="AW258" s="90" t="str">
        <f aca="false">IF(AT258="","",ROUND(AT258*(1-Справочники!$B$16),0))</f>
        <v/>
      </c>
      <c r="AX258" s="90" t="str">
        <f aca="false">IF(AT258="","",ROUND(AT258*(1-Справочники!$B$17),0))</f>
        <v/>
      </c>
      <c r="AY258" s="90" t="str">
        <f aca="false">IF(AT258="","",ROUND(AT258*(1-Справочники!$B$18),0))</f>
        <v/>
      </c>
      <c r="AZ258" s="90" t="str">
        <f aca="false">IF(AT258="","",ROUND(AT258*(1-Справочники!$B$19),0))</f>
        <v/>
      </c>
      <c r="BA258" s="81"/>
      <c r="BB258" s="81"/>
      <c r="BC258" s="81"/>
      <c r="BD258" s="81"/>
      <c r="BE258" s="91"/>
      <c r="BF258" s="81" t="s">
        <v>103</v>
      </c>
      <c r="BG258" s="89" t="n">
        <f aca="false" t="array" ref="BG258:BG258">IF(BF258="","",IFERROR(INDEX(Справочники!$B$4:$B$7,MATCH(BF258,Справочники!$A$4:$A$7,0)),""))</f>
        <v>68.5</v>
      </c>
      <c r="BH258" s="90" t="str">
        <f aca="false">IF(N(BN258)&gt;0,ROUND(SUMIF(ЗАКАЗЫ!$F$3:$F$500,$A258,ЗАКАЗЫ!$Y$3:$Y$500)/BN258,0),IF(OR(BE258="",BG258=""),"",ROUND(BE258*BG258*(1+Справочники!$B$10),0)))</f>
        <v/>
      </c>
      <c r="BI258" s="92" t="str">
        <f aca="false">IF(OR(AU258="",BH258="",AU258=0),"",(AU258-BH258)/AU258)</f>
        <v/>
      </c>
      <c r="BJ258" s="81"/>
      <c r="BK258" s="83"/>
      <c r="BL258" s="43" t="str">
        <f aca="false">IFERROR(INDEX(ЗАКАЗЫ!$N$3:$N$500,MATCH($A258,ЗАКАЗЫ!$F$3:$F$500,0)),"")</f>
        <v/>
      </c>
      <c r="BM258" s="8" t="str">
        <f aca="false">IF(BL258="","",IFERROR(VLOOKUP(BL258,'ТН ВЭД'!$A$4:$C$40,3,0),""))</f>
        <v/>
      </c>
      <c r="BN258" s="7" t="str">
        <f aca="false">IF(COUNTIF(ЗАКАЗЫ!$F$3:$F$500,$A258)=0,"",SUMIF(ЗАКАЗЫ!$F$3:$F$500,$A258,ЗАКАЗЫ!$J$3:$J$500))</f>
        <v/>
      </c>
      <c r="BO258" s="7" t="str">
        <f aca="false">IF(BN258="","",SUMIF(ЗАКАЗЫ!$F$3:$F$500,$A258,ЗАКАЗЫ!$AL$3:$AL$500))</f>
        <v/>
      </c>
      <c r="BP258" s="7" t="str">
        <f aca="false">IF(BN258="","",BN258-BO258)</f>
        <v/>
      </c>
      <c r="BQ258" s="55" t="str">
        <f aca="false">IF(BN258="","",IF(BO258&gt;=BN258,"На складе",IF(BO258&gt;0,"Частично","Ждём")))</f>
        <v/>
      </c>
      <c r="BR258" s="43"/>
      <c r="BS258" s="47" t="str">
        <f aca="false">IF(BN258="","",IF(_xlfn.MAXIFS(ЗАКАЗЫ!$AK$3:$AK$500,ЗАКАЗЫ!$F$3:$F$500,$A258)=0,"",_xlfn.MAXIFS(ЗАКАЗЫ!$AK$3:$AK$500,ЗАКАЗЫ!$F$3:$F$500,$A258)))</f>
        <v/>
      </c>
    </row>
    <row r="259" customFormat="false" ht="15.75" hidden="false" customHeight="true" outlineLevel="0" collapsed="false">
      <c r="A259" s="80" t="s">
        <v>3170</v>
      </c>
      <c r="B259" s="81"/>
      <c r="C259" s="81"/>
      <c r="D259" s="81"/>
      <c r="E259" s="83"/>
      <c r="F259" s="81"/>
      <c r="G259" s="83"/>
      <c r="H259" s="83"/>
      <c r="I259" s="84" t="str">
        <f aca="false">IF(E259="","",A259&amp;"_1.jpg")</f>
        <v/>
      </c>
      <c r="J259" s="84" t="str">
        <f aca="false">IF(E259="","",A259&amp;"_2.jpg; "&amp;A259&amp;"_3.jpg")</f>
        <v/>
      </c>
      <c r="K259" s="84" t="str">
        <f aca="false">IF(E259="","",A259&amp;"_schema.jpg")</f>
        <v/>
      </c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 t="s">
        <v>96</v>
      </c>
      <c r="W259" s="81"/>
      <c r="X259" s="81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6" t="str">
        <f aca="false">IF(SUM(Y259:AJ259)=0,"",SUM(Y259:AJ259))</f>
        <v/>
      </c>
      <c r="AL259" s="84" t="str">
        <f aca="false">MID(IF(N(Y259)&gt;0,", "&amp;Y$2,"")&amp;IF(N(Z259)&gt;0,", "&amp;Z$2,"")&amp;IF(N(AA259)&gt;0,", "&amp;AA$2,"")&amp;IF(N(AB259)&gt;0,", "&amp;AB$2,"")&amp;IF(N(AC259)&gt;0,", "&amp;AC$2,"")&amp;IF(N(AD259)&gt;0,", "&amp;AD$2,"")&amp;IF(N(AE259)&gt;0,", "&amp;AE$2,"")&amp;IF(N(AF259)&gt;0,", "&amp;AF$2,"")&amp;IF(N(AG259)&gt;0,", "&amp;AG$2,"")&amp;IF(N(AH259)&gt;0,", "&amp;AH$2,"")&amp;IF(N(AI259)&gt;0,", "&amp;AI$2,"")&amp;IF(N(AJ259)&gt;0,", "&amp;AJ$2,""),3,999)</f>
        <v/>
      </c>
      <c r="AM259" s="87" t="str">
        <f aca="false">IF(E259="","",MID(IF(N(Y259)&gt;0,", "&amp;A259&amp;"-"&amp;Y$2,"")&amp;IF(N(Z259)&gt;0,", "&amp;A259&amp;"-"&amp;Z$2,"")&amp;IF(N(AA259)&gt;0,", "&amp;A259&amp;"-"&amp;AA$2,"")&amp;IF(N(AB259)&gt;0,", "&amp;A259&amp;"-"&amp;AB$2,"")&amp;IF(N(AC259)&gt;0,", "&amp;A259&amp;"-"&amp;AC$2,"")&amp;IF(N(AD259)&gt;0,", "&amp;A259&amp;"-"&amp;AD$2,"")&amp;IF(N(AE259)&gt;0,", "&amp;A259&amp;"-"&amp;AE$2,"")&amp;IF(N(AF259)&gt;0,", "&amp;A259&amp;"-"&amp;AF$2,"")&amp;IF(N(AG259)&gt;0,", "&amp;A259&amp;"-"&amp;AG$2,"")&amp;IF(N(AH259)&gt;0,", "&amp;A259&amp;"-"&amp;AH$2,"")&amp;IF(N(AI259)&gt;0,", "&amp;A259&amp;"-"&amp;AI$2,"")&amp;IF(N(AJ259)&gt;0,", "&amp;A259&amp;"-"&amp;AJ$2,""),3,999))</f>
        <v/>
      </c>
      <c r="AN259" s="81"/>
      <c r="AO259" s="88"/>
      <c r="AP259" s="89" t="str">
        <f aca="false">IF(AO259="","",ROUND(AO259/(1+Справочники!$B$13),2))</f>
        <v/>
      </c>
      <c r="AQ259" s="90" t="str">
        <f aca="false" t="array" ref="AQ259:AQ259">IF(AP259="","",AP259*INDEX(Справочники!$B$4:$B$7,MATCH("RUB",Справочники!$A$4:$A$7,0)))</f>
        <v/>
      </c>
      <c r="AR259" s="90" t="str">
        <f aca="false">IF(AQ259="","",ROUND(AQ259*(1+Справочники!$B$12),0))</f>
        <v/>
      </c>
      <c r="AS259" s="90" t="str">
        <f aca="false">IF(AR259="","",ROUND(AR259*(1-Справочники!$B$11),0))</f>
        <v/>
      </c>
      <c r="AT259" s="88"/>
      <c r="AU259" s="90" t="str">
        <f aca="false">IF(AT259="","",ROUND(AT259/(1+Справочники!$B$12),0))</f>
        <v/>
      </c>
      <c r="AV259" s="90" t="str">
        <f aca="false">IF(AT259="","",ROUND(AT259*(1-Справочники!$B$15),0))</f>
        <v/>
      </c>
      <c r="AW259" s="90" t="str">
        <f aca="false">IF(AT259="","",ROUND(AT259*(1-Справочники!$B$16),0))</f>
        <v/>
      </c>
      <c r="AX259" s="90" t="str">
        <f aca="false">IF(AT259="","",ROUND(AT259*(1-Справочники!$B$17),0))</f>
        <v/>
      </c>
      <c r="AY259" s="90" t="str">
        <f aca="false">IF(AT259="","",ROUND(AT259*(1-Справочники!$B$18),0))</f>
        <v/>
      </c>
      <c r="AZ259" s="90" t="str">
        <f aca="false">IF(AT259="","",ROUND(AT259*(1-Справочники!$B$19),0))</f>
        <v/>
      </c>
      <c r="BA259" s="81"/>
      <c r="BB259" s="81"/>
      <c r="BC259" s="81"/>
      <c r="BD259" s="81"/>
      <c r="BE259" s="91"/>
      <c r="BF259" s="81" t="s">
        <v>103</v>
      </c>
      <c r="BG259" s="89" t="n">
        <f aca="false" t="array" ref="BG259:BG259">IF(BF259="","",IFERROR(INDEX(Справочники!$B$4:$B$7,MATCH(BF259,Справочники!$A$4:$A$7,0)),""))</f>
        <v>68.5</v>
      </c>
      <c r="BH259" s="90" t="str">
        <f aca="false">IF(N(BN259)&gt;0,ROUND(SUMIF(ЗАКАЗЫ!$F$3:$F$500,$A259,ЗАКАЗЫ!$Y$3:$Y$500)/BN259,0),IF(OR(BE259="",BG259=""),"",ROUND(BE259*BG259*(1+Справочники!$B$10),0)))</f>
        <v/>
      </c>
      <c r="BI259" s="92" t="str">
        <f aca="false">IF(OR(AU259="",BH259="",AU259=0),"",(AU259-BH259)/AU259)</f>
        <v/>
      </c>
      <c r="BJ259" s="81"/>
      <c r="BK259" s="83"/>
      <c r="BL259" s="43" t="str">
        <f aca="false">IFERROR(INDEX(ЗАКАЗЫ!$N$3:$N$500,MATCH($A259,ЗАКАЗЫ!$F$3:$F$500,0)),"")</f>
        <v/>
      </c>
      <c r="BM259" s="8" t="str">
        <f aca="false">IF(BL259="","",IFERROR(VLOOKUP(BL259,'ТН ВЭД'!$A$4:$C$40,3,0),""))</f>
        <v/>
      </c>
      <c r="BN259" s="7" t="str">
        <f aca="false">IF(COUNTIF(ЗАКАЗЫ!$F$3:$F$500,$A259)=0,"",SUMIF(ЗАКАЗЫ!$F$3:$F$500,$A259,ЗАКАЗЫ!$J$3:$J$500))</f>
        <v/>
      </c>
      <c r="BO259" s="7" t="str">
        <f aca="false">IF(BN259="","",SUMIF(ЗАКАЗЫ!$F$3:$F$500,$A259,ЗАКАЗЫ!$AL$3:$AL$500))</f>
        <v/>
      </c>
      <c r="BP259" s="7" t="str">
        <f aca="false">IF(BN259="","",BN259-BO259)</f>
        <v/>
      </c>
      <c r="BQ259" s="55" t="str">
        <f aca="false">IF(BN259="","",IF(BO259&gt;=BN259,"На складе",IF(BO259&gt;0,"Частично","Ждём")))</f>
        <v/>
      </c>
      <c r="BR259" s="43"/>
      <c r="BS259" s="47" t="str">
        <f aca="false">IF(BN259="","",IF(_xlfn.MAXIFS(ЗАКАЗЫ!$AK$3:$AK$500,ЗАКАЗЫ!$F$3:$F$500,$A259)=0,"",_xlfn.MAXIFS(ЗАКАЗЫ!$AK$3:$AK$500,ЗАКАЗЫ!$F$3:$F$500,$A259)))</f>
        <v/>
      </c>
    </row>
    <row r="260" customFormat="false" ht="15.75" hidden="false" customHeight="true" outlineLevel="0" collapsed="false">
      <c r="A260" s="80" t="s">
        <v>3171</v>
      </c>
      <c r="B260" s="81"/>
      <c r="C260" s="81"/>
      <c r="D260" s="81"/>
      <c r="E260" s="83"/>
      <c r="F260" s="81"/>
      <c r="G260" s="83"/>
      <c r="H260" s="83"/>
      <c r="I260" s="84" t="str">
        <f aca="false">IF(E260="","",A260&amp;"_1.jpg")</f>
        <v/>
      </c>
      <c r="J260" s="84" t="str">
        <f aca="false">IF(E260="","",A260&amp;"_2.jpg; "&amp;A260&amp;"_3.jpg")</f>
        <v/>
      </c>
      <c r="K260" s="84" t="str">
        <f aca="false">IF(E260="","",A260&amp;"_schema.jpg")</f>
        <v/>
      </c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 t="s">
        <v>96</v>
      </c>
      <c r="W260" s="81"/>
      <c r="X260" s="81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6" t="str">
        <f aca="false">IF(SUM(Y260:AJ260)=0,"",SUM(Y260:AJ260))</f>
        <v/>
      </c>
      <c r="AL260" s="84" t="str">
        <f aca="false">MID(IF(N(Y260)&gt;0,", "&amp;Y$2,"")&amp;IF(N(Z260)&gt;0,", "&amp;Z$2,"")&amp;IF(N(AA260)&gt;0,", "&amp;AA$2,"")&amp;IF(N(AB260)&gt;0,", "&amp;AB$2,"")&amp;IF(N(AC260)&gt;0,", "&amp;AC$2,"")&amp;IF(N(AD260)&gt;0,", "&amp;AD$2,"")&amp;IF(N(AE260)&gt;0,", "&amp;AE$2,"")&amp;IF(N(AF260)&gt;0,", "&amp;AF$2,"")&amp;IF(N(AG260)&gt;0,", "&amp;AG$2,"")&amp;IF(N(AH260)&gt;0,", "&amp;AH$2,"")&amp;IF(N(AI260)&gt;0,", "&amp;AI$2,"")&amp;IF(N(AJ260)&gt;0,", "&amp;AJ$2,""),3,999)</f>
        <v/>
      </c>
      <c r="AM260" s="87" t="str">
        <f aca="false">IF(E260="","",MID(IF(N(Y260)&gt;0,", "&amp;A260&amp;"-"&amp;Y$2,"")&amp;IF(N(Z260)&gt;0,", "&amp;A260&amp;"-"&amp;Z$2,"")&amp;IF(N(AA260)&gt;0,", "&amp;A260&amp;"-"&amp;AA$2,"")&amp;IF(N(AB260)&gt;0,", "&amp;A260&amp;"-"&amp;AB$2,"")&amp;IF(N(AC260)&gt;0,", "&amp;A260&amp;"-"&amp;AC$2,"")&amp;IF(N(AD260)&gt;0,", "&amp;A260&amp;"-"&amp;AD$2,"")&amp;IF(N(AE260)&gt;0,", "&amp;A260&amp;"-"&amp;AE$2,"")&amp;IF(N(AF260)&gt;0,", "&amp;A260&amp;"-"&amp;AF$2,"")&amp;IF(N(AG260)&gt;0,", "&amp;A260&amp;"-"&amp;AG$2,"")&amp;IF(N(AH260)&gt;0,", "&amp;A260&amp;"-"&amp;AH$2,"")&amp;IF(N(AI260)&gt;0,", "&amp;A260&amp;"-"&amp;AI$2,"")&amp;IF(N(AJ260)&gt;0,", "&amp;A260&amp;"-"&amp;AJ$2,""),3,999))</f>
        <v/>
      </c>
      <c r="AN260" s="81"/>
      <c r="AO260" s="88"/>
      <c r="AP260" s="89" t="str">
        <f aca="false">IF(AO260="","",ROUND(AO260/(1+Справочники!$B$13),2))</f>
        <v/>
      </c>
      <c r="AQ260" s="90" t="str">
        <f aca="false" t="array" ref="AQ260:AQ260">IF(AP260="","",AP260*INDEX(Справочники!$B$4:$B$7,MATCH("RUB",Справочники!$A$4:$A$7,0)))</f>
        <v/>
      </c>
      <c r="AR260" s="90" t="str">
        <f aca="false">IF(AQ260="","",ROUND(AQ260*(1+Справочники!$B$12),0))</f>
        <v/>
      </c>
      <c r="AS260" s="90" t="str">
        <f aca="false">IF(AR260="","",ROUND(AR260*(1-Справочники!$B$11),0))</f>
        <v/>
      </c>
      <c r="AT260" s="88"/>
      <c r="AU260" s="90" t="str">
        <f aca="false">IF(AT260="","",ROUND(AT260/(1+Справочники!$B$12),0))</f>
        <v/>
      </c>
      <c r="AV260" s="90" t="str">
        <f aca="false">IF(AT260="","",ROUND(AT260*(1-Справочники!$B$15),0))</f>
        <v/>
      </c>
      <c r="AW260" s="90" t="str">
        <f aca="false">IF(AT260="","",ROUND(AT260*(1-Справочники!$B$16),0))</f>
        <v/>
      </c>
      <c r="AX260" s="90" t="str">
        <f aca="false">IF(AT260="","",ROUND(AT260*(1-Справочники!$B$17),0))</f>
        <v/>
      </c>
      <c r="AY260" s="90" t="str">
        <f aca="false">IF(AT260="","",ROUND(AT260*(1-Справочники!$B$18),0))</f>
        <v/>
      </c>
      <c r="AZ260" s="90" t="str">
        <f aca="false">IF(AT260="","",ROUND(AT260*(1-Справочники!$B$19),0))</f>
        <v/>
      </c>
      <c r="BA260" s="81"/>
      <c r="BB260" s="81"/>
      <c r="BC260" s="81"/>
      <c r="BD260" s="81"/>
      <c r="BE260" s="91"/>
      <c r="BF260" s="81" t="s">
        <v>103</v>
      </c>
      <c r="BG260" s="89" t="n">
        <f aca="false" t="array" ref="BG260:BG260">IF(BF260="","",IFERROR(INDEX(Справочники!$B$4:$B$7,MATCH(BF260,Справочники!$A$4:$A$7,0)),""))</f>
        <v>68.5</v>
      </c>
      <c r="BH260" s="90" t="str">
        <f aca="false">IF(N(BN260)&gt;0,ROUND(SUMIF(ЗАКАЗЫ!$F$3:$F$500,$A260,ЗАКАЗЫ!$Y$3:$Y$500)/BN260,0),IF(OR(BE260="",BG260=""),"",ROUND(BE260*BG260*(1+Справочники!$B$10),0)))</f>
        <v/>
      </c>
      <c r="BI260" s="92" t="str">
        <f aca="false">IF(OR(AU260="",BH260="",AU260=0),"",(AU260-BH260)/AU260)</f>
        <v/>
      </c>
      <c r="BJ260" s="81"/>
      <c r="BK260" s="83"/>
      <c r="BL260" s="43" t="str">
        <f aca="false">IFERROR(INDEX(ЗАКАЗЫ!$N$3:$N$500,MATCH($A260,ЗАКАЗЫ!$F$3:$F$500,0)),"")</f>
        <v/>
      </c>
      <c r="BM260" s="8" t="str">
        <f aca="false">IF(BL260="","",IFERROR(VLOOKUP(BL260,'ТН ВЭД'!$A$4:$C$40,3,0),""))</f>
        <v/>
      </c>
      <c r="BN260" s="7" t="str">
        <f aca="false">IF(COUNTIF(ЗАКАЗЫ!$F$3:$F$500,$A260)=0,"",SUMIF(ЗАКАЗЫ!$F$3:$F$500,$A260,ЗАКАЗЫ!$J$3:$J$500))</f>
        <v/>
      </c>
      <c r="BO260" s="7" t="str">
        <f aca="false">IF(BN260="","",SUMIF(ЗАКАЗЫ!$F$3:$F$500,$A260,ЗАКАЗЫ!$AL$3:$AL$500))</f>
        <v/>
      </c>
      <c r="BP260" s="7" t="str">
        <f aca="false">IF(BN260="","",BN260-BO260)</f>
        <v/>
      </c>
      <c r="BQ260" s="55" t="str">
        <f aca="false">IF(BN260="","",IF(BO260&gt;=BN260,"На складе",IF(BO260&gt;0,"Частично","Ждём")))</f>
        <v/>
      </c>
      <c r="BR260" s="43"/>
      <c r="BS260" s="47" t="str">
        <f aca="false">IF(BN260="","",IF(_xlfn.MAXIFS(ЗАКАЗЫ!$AK$3:$AK$500,ЗАКАЗЫ!$F$3:$F$500,$A260)=0,"",_xlfn.MAXIFS(ЗАКАЗЫ!$AK$3:$AK$500,ЗАКАЗЫ!$F$3:$F$500,$A260)))</f>
        <v/>
      </c>
    </row>
    <row r="261" customFormat="false" ht="15.75" hidden="false" customHeight="true" outlineLevel="0" collapsed="false">
      <c r="A261" s="80" t="s">
        <v>3172</v>
      </c>
      <c r="B261" s="81"/>
      <c r="C261" s="81"/>
      <c r="D261" s="81"/>
      <c r="E261" s="83"/>
      <c r="F261" s="81"/>
      <c r="G261" s="83"/>
      <c r="H261" s="83"/>
      <c r="I261" s="84" t="str">
        <f aca="false">IF(E261="","",A261&amp;"_1.jpg")</f>
        <v/>
      </c>
      <c r="J261" s="84" t="str">
        <f aca="false">IF(E261="","",A261&amp;"_2.jpg; "&amp;A261&amp;"_3.jpg")</f>
        <v/>
      </c>
      <c r="K261" s="84" t="str">
        <f aca="false">IF(E261="","",A261&amp;"_schema.jpg")</f>
        <v/>
      </c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 t="s">
        <v>96</v>
      </c>
      <c r="W261" s="81"/>
      <c r="X261" s="81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6" t="str">
        <f aca="false">IF(SUM(Y261:AJ261)=0,"",SUM(Y261:AJ261))</f>
        <v/>
      </c>
      <c r="AL261" s="84" t="str">
        <f aca="false">MID(IF(N(Y261)&gt;0,", "&amp;Y$2,"")&amp;IF(N(Z261)&gt;0,", "&amp;Z$2,"")&amp;IF(N(AA261)&gt;0,", "&amp;AA$2,"")&amp;IF(N(AB261)&gt;0,", "&amp;AB$2,"")&amp;IF(N(AC261)&gt;0,", "&amp;AC$2,"")&amp;IF(N(AD261)&gt;0,", "&amp;AD$2,"")&amp;IF(N(AE261)&gt;0,", "&amp;AE$2,"")&amp;IF(N(AF261)&gt;0,", "&amp;AF$2,"")&amp;IF(N(AG261)&gt;0,", "&amp;AG$2,"")&amp;IF(N(AH261)&gt;0,", "&amp;AH$2,"")&amp;IF(N(AI261)&gt;0,", "&amp;AI$2,"")&amp;IF(N(AJ261)&gt;0,", "&amp;AJ$2,""),3,999)</f>
        <v/>
      </c>
      <c r="AM261" s="87" t="str">
        <f aca="false">IF(E261="","",MID(IF(N(Y261)&gt;0,", "&amp;A261&amp;"-"&amp;Y$2,"")&amp;IF(N(Z261)&gt;0,", "&amp;A261&amp;"-"&amp;Z$2,"")&amp;IF(N(AA261)&gt;0,", "&amp;A261&amp;"-"&amp;AA$2,"")&amp;IF(N(AB261)&gt;0,", "&amp;A261&amp;"-"&amp;AB$2,"")&amp;IF(N(AC261)&gt;0,", "&amp;A261&amp;"-"&amp;AC$2,"")&amp;IF(N(AD261)&gt;0,", "&amp;A261&amp;"-"&amp;AD$2,"")&amp;IF(N(AE261)&gt;0,", "&amp;A261&amp;"-"&amp;AE$2,"")&amp;IF(N(AF261)&gt;0,", "&amp;A261&amp;"-"&amp;AF$2,"")&amp;IF(N(AG261)&gt;0,", "&amp;A261&amp;"-"&amp;AG$2,"")&amp;IF(N(AH261)&gt;0,", "&amp;A261&amp;"-"&amp;AH$2,"")&amp;IF(N(AI261)&gt;0,", "&amp;A261&amp;"-"&amp;AI$2,"")&amp;IF(N(AJ261)&gt;0,", "&amp;A261&amp;"-"&amp;AJ$2,""),3,999))</f>
        <v/>
      </c>
      <c r="AN261" s="81"/>
      <c r="AO261" s="88"/>
      <c r="AP261" s="89" t="str">
        <f aca="false">IF(AO261="","",ROUND(AO261/(1+Справочники!$B$13),2))</f>
        <v/>
      </c>
      <c r="AQ261" s="90" t="str">
        <f aca="false" t="array" ref="AQ261:AQ261">IF(AP261="","",AP261*INDEX(Справочники!$B$4:$B$7,MATCH("RUB",Справочники!$A$4:$A$7,0)))</f>
        <v/>
      </c>
      <c r="AR261" s="90" t="str">
        <f aca="false">IF(AQ261="","",ROUND(AQ261*(1+Справочники!$B$12),0))</f>
        <v/>
      </c>
      <c r="AS261" s="90" t="str">
        <f aca="false">IF(AR261="","",ROUND(AR261*(1-Справочники!$B$11),0))</f>
        <v/>
      </c>
      <c r="AT261" s="88"/>
      <c r="AU261" s="90" t="str">
        <f aca="false">IF(AT261="","",ROUND(AT261/(1+Справочники!$B$12),0))</f>
        <v/>
      </c>
      <c r="AV261" s="90" t="str">
        <f aca="false">IF(AT261="","",ROUND(AT261*(1-Справочники!$B$15),0))</f>
        <v/>
      </c>
      <c r="AW261" s="90" t="str">
        <f aca="false">IF(AT261="","",ROUND(AT261*(1-Справочники!$B$16),0))</f>
        <v/>
      </c>
      <c r="AX261" s="90" t="str">
        <f aca="false">IF(AT261="","",ROUND(AT261*(1-Справочники!$B$17),0))</f>
        <v/>
      </c>
      <c r="AY261" s="90" t="str">
        <f aca="false">IF(AT261="","",ROUND(AT261*(1-Справочники!$B$18),0))</f>
        <v/>
      </c>
      <c r="AZ261" s="90" t="str">
        <f aca="false">IF(AT261="","",ROUND(AT261*(1-Справочники!$B$19),0))</f>
        <v/>
      </c>
      <c r="BA261" s="81"/>
      <c r="BB261" s="81"/>
      <c r="BC261" s="81"/>
      <c r="BD261" s="81"/>
      <c r="BE261" s="91"/>
      <c r="BF261" s="81" t="s">
        <v>103</v>
      </c>
      <c r="BG261" s="89" t="n">
        <f aca="false" t="array" ref="BG261:BG261">IF(BF261="","",IFERROR(INDEX(Справочники!$B$4:$B$7,MATCH(BF261,Справочники!$A$4:$A$7,0)),""))</f>
        <v>68.5</v>
      </c>
      <c r="BH261" s="90" t="str">
        <f aca="false">IF(N(BN261)&gt;0,ROUND(SUMIF(ЗАКАЗЫ!$F$3:$F$500,$A261,ЗАКАЗЫ!$Y$3:$Y$500)/BN261,0),IF(OR(BE261="",BG261=""),"",ROUND(BE261*BG261*(1+Справочники!$B$10),0)))</f>
        <v/>
      </c>
      <c r="BI261" s="92" t="str">
        <f aca="false">IF(OR(AU261="",BH261="",AU261=0),"",(AU261-BH261)/AU261)</f>
        <v/>
      </c>
      <c r="BJ261" s="81"/>
      <c r="BK261" s="83"/>
      <c r="BL261" s="43" t="str">
        <f aca="false">IFERROR(INDEX(ЗАКАЗЫ!$N$3:$N$500,MATCH($A261,ЗАКАЗЫ!$F$3:$F$500,0)),"")</f>
        <v/>
      </c>
      <c r="BM261" s="8" t="str">
        <f aca="false">IF(BL261="","",IFERROR(VLOOKUP(BL261,'ТН ВЭД'!$A$4:$C$40,3,0),""))</f>
        <v/>
      </c>
      <c r="BN261" s="7" t="str">
        <f aca="false">IF(COUNTIF(ЗАКАЗЫ!$F$3:$F$500,$A261)=0,"",SUMIF(ЗАКАЗЫ!$F$3:$F$500,$A261,ЗАКАЗЫ!$J$3:$J$500))</f>
        <v/>
      </c>
      <c r="BO261" s="7" t="str">
        <f aca="false">IF(BN261="","",SUMIF(ЗАКАЗЫ!$F$3:$F$500,$A261,ЗАКАЗЫ!$AL$3:$AL$500))</f>
        <v/>
      </c>
      <c r="BP261" s="7" t="str">
        <f aca="false">IF(BN261="","",BN261-BO261)</f>
        <v/>
      </c>
      <c r="BQ261" s="55" t="str">
        <f aca="false">IF(BN261="","",IF(BO261&gt;=BN261,"На складе",IF(BO261&gt;0,"Частично","Ждём")))</f>
        <v/>
      </c>
      <c r="BR261" s="43"/>
      <c r="BS261" s="47" t="str">
        <f aca="false">IF(BN261="","",IF(_xlfn.MAXIFS(ЗАКАЗЫ!$AK$3:$AK$500,ЗАКАЗЫ!$F$3:$F$500,$A261)=0,"",_xlfn.MAXIFS(ЗАКАЗЫ!$AK$3:$AK$500,ЗАКАЗЫ!$F$3:$F$500,$A261)))</f>
        <v/>
      </c>
    </row>
    <row r="262" customFormat="false" ht="15.75" hidden="false" customHeight="true" outlineLevel="0" collapsed="false">
      <c r="A262" s="80" t="s">
        <v>3173</v>
      </c>
      <c r="B262" s="81"/>
      <c r="C262" s="81"/>
      <c r="D262" s="81"/>
      <c r="E262" s="83"/>
      <c r="F262" s="81"/>
      <c r="G262" s="83"/>
      <c r="H262" s="83"/>
      <c r="I262" s="84" t="str">
        <f aca="false">IF(E262="","",A262&amp;"_1.jpg")</f>
        <v/>
      </c>
      <c r="J262" s="84" t="str">
        <f aca="false">IF(E262="","",A262&amp;"_2.jpg; "&amp;A262&amp;"_3.jpg")</f>
        <v/>
      </c>
      <c r="K262" s="84" t="str">
        <f aca="false">IF(E262="","",A262&amp;"_schema.jpg")</f>
        <v/>
      </c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 t="s">
        <v>96</v>
      </c>
      <c r="W262" s="81"/>
      <c r="X262" s="81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6" t="str">
        <f aca="false">IF(SUM(Y262:AJ262)=0,"",SUM(Y262:AJ262))</f>
        <v/>
      </c>
      <c r="AL262" s="84" t="str">
        <f aca="false">MID(IF(N(Y262)&gt;0,", "&amp;Y$2,"")&amp;IF(N(Z262)&gt;0,", "&amp;Z$2,"")&amp;IF(N(AA262)&gt;0,", "&amp;AA$2,"")&amp;IF(N(AB262)&gt;0,", "&amp;AB$2,"")&amp;IF(N(AC262)&gt;0,", "&amp;AC$2,"")&amp;IF(N(AD262)&gt;0,", "&amp;AD$2,"")&amp;IF(N(AE262)&gt;0,", "&amp;AE$2,"")&amp;IF(N(AF262)&gt;0,", "&amp;AF$2,"")&amp;IF(N(AG262)&gt;0,", "&amp;AG$2,"")&amp;IF(N(AH262)&gt;0,", "&amp;AH$2,"")&amp;IF(N(AI262)&gt;0,", "&amp;AI$2,"")&amp;IF(N(AJ262)&gt;0,", "&amp;AJ$2,""),3,999)</f>
        <v/>
      </c>
      <c r="AM262" s="87" t="str">
        <f aca="false">IF(E262="","",MID(IF(N(Y262)&gt;0,", "&amp;A262&amp;"-"&amp;Y$2,"")&amp;IF(N(Z262)&gt;0,", "&amp;A262&amp;"-"&amp;Z$2,"")&amp;IF(N(AA262)&gt;0,", "&amp;A262&amp;"-"&amp;AA$2,"")&amp;IF(N(AB262)&gt;0,", "&amp;A262&amp;"-"&amp;AB$2,"")&amp;IF(N(AC262)&gt;0,", "&amp;A262&amp;"-"&amp;AC$2,"")&amp;IF(N(AD262)&gt;0,", "&amp;A262&amp;"-"&amp;AD$2,"")&amp;IF(N(AE262)&gt;0,", "&amp;A262&amp;"-"&amp;AE$2,"")&amp;IF(N(AF262)&gt;0,", "&amp;A262&amp;"-"&amp;AF$2,"")&amp;IF(N(AG262)&gt;0,", "&amp;A262&amp;"-"&amp;AG$2,"")&amp;IF(N(AH262)&gt;0,", "&amp;A262&amp;"-"&amp;AH$2,"")&amp;IF(N(AI262)&gt;0,", "&amp;A262&amp;"-"&amp;AI$2,"")&amp;IF(N(AJ262)&gt;0,", "&amp;A262&amp;"-"&amp;AJ$2,""),3,999))</f>
        <v/>
      </c>
      <c r="AN262" s="81"/>
      <c r="AO262" s="88"/>
      <c r="AP262" s="89" t="str">
        <f aca="false">IF(AO262="","",ROUND(AO262/(1+Справочники!$B$13),2))</f>
        <v/>
      </c>
      <c r="AQ262" s="90" t="str">
        <f aca="false" t="array" ref="AQ262:AQ262">IF(AP262="","",AP262*INDEX(Справочники!$B$4:$B$7,MATCH("RUB",Справочники!$A$4:$A$7,0)))</f>
        <v/>
      </c>
      <c r="AR262" s="90" t="str">
        <f aca="false">IF(AQ262="","",ROUND(AQ262*(1+Справочники!$B$12),0))</f>
        <v/>
      </c>
      <c r="AS262" s="90" t="str">
        <f aca="false">IF(AR262="","",ROUND(AR262*(1-Справочники!$B$11),0))</f>
        <v/>
      </c>
      <c r="AT262" s="88"/>
      <c r="AU262" s="90" t="str">
        <f aca="false">IF(AT262="","",ROUND(AT262/(1+Справочники!$B$12),0))</f>
        <v/>
      </c>
      <c r="AV262" s="90" t="str">
        <f aca="false">IF(AT262="","",ROUND(AT262*(1-Справочники!$B$15),0))</f>
        <v/>
      </c>
      <c r="AW262" s="90" t="str">
        <f aca="false">IF(AT262="","",ROUND(AT262*(1-Справочники!$B$16),0))</f>
        <v/>
      </c>
      <c r="AX262" s="90" t="str">
        <f aca="false">IF(AT262="","",ROUND(AT262*(1-Справочники!$B$17),0))</f>
        <v/>
      </c>
      <c r="AY262" s="90" t="str">
        <f aca="false">IF(AT262="","",ROUND(AT262*(1-Справочники!$B$18),0))</f>
        <v/>
      </c>
      <c r="AZ262" s="90" t="str">
        <f aca="false">IF(AT262="","",ROUND(AT262*(1-Справочники!$B$19),0))</f>
        <v/>
      </c>
      <c r="BA262" s="81"/>
      <c r="BB262" s="81"/>
      <c r="BC262" s="81"/>
      <c r="BD262" s="81"/>
      <c r="BE262" s="91"/>
      <c r="BF262" s="81" t="s">
        <v>103</v>
      </c>
      <c r="BG262" s="89" t="n">
        <f aca="false" t="array" ref="BG262:BG262">IF(BF262="","",IFERROR(INDEX(Справочники!$B$4:$B$7,MATCH(BF262,Справочники!$A$4:$A$7,0)),""))</f>
        <v>68.5</v>
      </c>
      <c r="BH262" s="90" t="str">
        <f aca="false">IF(N(BN262)&gt;0,ROUND(SUMIF(ЗАКАЗЫ!$F$3:$F$500,$A262,ЗАКАЗЫ!$Y$3:$Y$500)/BN262,0),IF(OR(BE262="",BG262=""),"",ROUND(BE262*BG262*(1+Справочники!$B$10),0)))</f>
        <v/>
      </c>
      <c r="BI262" s="92" t="str">
        <f aca="false">IF(OR(AU262="",BH262="",AU262=0),"",(AU262-BH262)/AU262)</f>
        <v/>
      </c>
      <c r="BJ262" s="81"/>
      <c r="BK262" s="83"/>
      <c r="BL262" s="43" t="str">
        <f aca="false">IFERROR(INDEX(ЗАКАЗЫ!$N$3:$N$500,MATCH($A262,ЗАКАЗЫ!$F$3:$F$500,0)),"")</f>
        <v/>
      </c>
      <c r="BM262" s="8" t="str">
        <f aca="false">IF(BL262="","",IFERROR(VLOOKUP(BL262,'ТН ВЭД'!$A$4:$C$40,3,0),""))</f>
        <v/>
      </c>
      <c r="BN262" s="7" t="str">
        <f aca="false">IF(COUNTIF(ЗАКАЗЫ!$F$3:$F$500,$A262)=0,"",SUMIF(ЗАКАЗЫ!$F$3:$F$500,$A262,ЗАКАЗЫ!$J$3:$J$500))</f>
        <v/>
      </c>
      <c r="BO262" s="7" t="str">
        <f aca="false">IF(BN262="","",SUMIF(ЗАКАЗЫ!$F$3:$F$500,$A262,ЗАКАЗЫ!$AL$3:$AL$500))</f>
        <v/>
      </c>
      <c r="BP262" s="7" t="str">
        <f aca="false">IF(BN262="","",BN262-BO262)</f>
        <v/>
      </c>
      <c r="BQ262" s="55" t="str">
        <f aca="false">IF(BN262="","",IF(BO262&gt;=BN262,"На складе",IF(BO262&gt;0,"Частично","Ждём")))</f>
        <v/>
      </c>
      <c r="BR262" s="43"/>
      <c r="BS262" s="47" t="str">
        <f aca="false">IF(BN262="","",IF(_xlfn.MAXIFS(ЗАКАЗЫ!$AK$3:$AK$500,ЗАКАЗЫ!$F$3:$F$500,$A262)=0,"",_xlfn.MAXIFS(ЗАКАЗЫ!$AK$3:$AK$500,ЗАКАЗЫ!$F$3:$F$500,$A262)))</f>
        <v/>
      </c>
    </row>
    <row r="263" customFormat="false" ht="15.75" hidden="false" customHeight="true" outlineLevel="0" collapsed="false">
      <c r="A263" s="80" t="s">
        <v>3174</v>
      </c>
      <c r="B263" s="81"/>
      <c r="C263" s="81"/>
      <c r="D263" s="81"/>
      <c r="E263" s="83"/>
      <c r="F263" s="81"/>
      <c r="G263" s="83"/>
      <c r="H263" s="83"/>
      <c r="I263" s="84" t="str">
        <f aca="false">IF(E263="","",A263&amp;"_1.jpg")</f>
        <v/>
      </c>
      <c r="J263" s="84" t="str">
        <f aca="false">IF(E263="","",A263&amp;"_2.jpg; "&amp;A263&amp;"_3.jpg")</f>
        <v/>
      </c>
      <c r="K263" s="84" t="str">
        <f aca="false">IF(E263="","",A263&amp;"_schema.jpg")</f>
        <v/>
      </c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 t="s">
        <v>96</v>
      </c>
      <c r="W263" s="81"/>
      <c r="X263" s="81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6" t="str">
        <f aca="false">IF(SUM(Y263:AJ263)=0,"",SUM(Y263:AJ263))</f>
        <v/>
      </c>
      <c r="AL263" s="84" t="str">
        <f aca="false">MID(IF(N(Y263)&gt;0,", "&amp;Y$2,"")&amp;IF(N(Z263)&gt;0,", "&amp;Z$2,"")&amp;IF(N(AA263)&gt;0,", "&amp;AA$2,"")&amp;IF(N(AB263)&gt;0,", "&amp;AB$2,"")&amp;IF(N(AC263)&gt;0,", "&amp;AC$2,"")&amp;IF(N(AD263)&gt;0,", "&amp;AD$2,"")&amp;IF(N(AE263)&gt;0,", "&amp;AE$2,"")&amp;IF(N(AF263)&gt;0,", "&amp;AF$2,"")&amp;IF(N(AG263)&gt;0,", "&amp;AG$2,"")&amp;IF(N(AH263)&gt;0,", "&amp;AH$2,"")&amp;IF(N(AI263)&gt;0,", "&amp;AI$2,"")&amp;IF(N(AJ263)&gt;0,", "&amp;AJ$2,""),3,999)</f>
        <v/>
      </c>
      <c r="AM263" s="87" t="str">
        <f aca="false">IF(E263="","",MID(IF(N(Y263)&gt;0,", "&amp;A263&amp;"-"&amp;Y$2,"")&amp;IF(N(Z263)&gt;0,", "&amp;A263&amp;"-"&amp;Z$2,"")&amp;IF(N(AA263)&gt;0,", "&amp;A263&amp;"-"&amp;AA$2,"")&amp;IF(N(AB263)&gt;0,", "&amp;A263&amp;"-"&amp;AB$2,"")&amp;IF(N(AC263)&gt;0,", "&amp;A263&amp;"-"&amp;AC$2,"")&amp;IF(N(AD263)&gt;0,", "&amp;A263&amp;"-"&amp;AD$2,"")&amp;IF(N(AE263)&gt;0,", "&amp;A263&amp;"-"&amp;AE$2,"")&amp;IF(N(AF263)&gt;0,", "&amp;A263&amp;"-"&amp;AF$2,"")&amp;IF(N(AG263)&gt;0,", "&amp;A263&amp;"-"&amp;AG$2,"")&amp;IF(N(AH263)&gt;0,", "&amp;A263&amp;"-"&amp;AH$2,"")&amp;IF(N(AI263)&gt;0,", "&amp;A263&amp;"-"&amp;AI$2,"")&amp;IF(N(AJ263)&gt;0,", "&amp;A263&amp;"-"&amp;AJ$2,""),3,999))</f>
        <v/>
      </c>
      <c r="AN263" s="81"/>
      <c r="AO263" s="88"/>
      <c r="AP263" s="89" t="str">
        <f aca="false">IF(AO263="","",ROUND(AO263/(1+Справочники!$B$13),2))</f>
        <v/>
      </c>
      <c r="AQ263" s="90" t="str">
        <f aca="false" t="array" ref="AQ263:AQ263">IF(AP263="","",AP263*INDEX(Справочники!$B$4:$B$7,MATCH("RUB",Справочники!$A$4:$A$7,0)))</f>
        <v/>
      </c>
      <c r="AR263" s="90" t="str">
        <f aca="false">IF(AQ263="","",ROUND(AQ263*(1+Справочники!$B$12),0))</f>
        <v/>
      </c>
      <c r="AS263" s="90" t="str">
        <f aca="false">IF(AR263="","",ROUND(AR263*(1-Справочники!$B$11),0))</f>
        <v/>
      </c>
      <c r="AT263" s="88"/>
      <c r="AU263" s="90" t="str">
        <f aca="false">IF(AT263="","",ROUND(AT263/(1+Справочники!$B$12),0))</f>
        <v/>
      </c>
      <c r="AV263" s="90" t="str">
        <f aca="false">IF(AT263="","",ROUND(AT263*(1-Справочники!$B$15),0))</f>
        <v/>
      </c>
      <c r="AW263" s="90" t="str">
        <f aca="false">IF(AT263="","",ROUND(AT263*(1-Справочники!$B$16),0))</f>
        <v/>
      </c>
      <c r="AX263" s="90" t="str">
        <f aca="false">IF(AT263="","",ROUND(AT263*(1-Справочники!$B$17),0))</f>
        <v/>
      </c>
      <c r="AY263" s="90" t="str">
        <f aca="false">IF(AT263="","",ROUND(AT263*(1-Справочники!$B$18),0))</f>
        <v/>
      </c>
      <c r="AZ263" s="90" t="str">
        <f aca="false">IF(AT263="","",ROUND(AT263*(1-Справочники!$B$19),0))</f>
        <v/>
      </c>
      <c r="BA263" s="81"/>
      <c r="BB263" s="81"/>
      <c r="BC263" s="81"/>
      <c r="BD263" s="81"/>
      <c r="BE263" s="91"/>
      <c r="BF263" s="81" t="s">
        <v>103</v>
      </c>
      <c r="BG263" s="89" t="n">
        <f aca="false" t="array" ref="BG263:BG263">IF(BF263="","",IFERROR(INDEX(Справочники!$B$4:$B$7,MATCH(BF263,Справочники!$A$4:$A$7,0)),""))</f>
        <v>68.5</v>
      </c>
      <c r="BH263" s="90" t="str">
        <f aca="false">IF(N(BN263)&gt;0,ROUND(SUMIF(ЗАКАЗЫ!$F$3:$F$500,$A263,ЗАКАЗЫ!$Y$3:$Y$500)/BN263,0),IF(OR(BE263="",BG263=""),"",ROUND(BE263*BG263*(1+Справочники!$B$10),0)))</f>
        <v/>
      </c>
      <c r="BI263" s="92" t="str">
        <f aca="false">IF(OR(AU263="",BH263="",AU263=0),"",(AU263-BH263)/AU263)</f>
        <v/>
      </c>
      <c r="BJ263" s="81"/>
      <c r="BK263" s="83"/>
      <c r="BL263" s="43" t="str">
        <f aca="false">IFERROR(INDEX(ЗАКАЗЫ!$N$3:$N$500,MATCH($A263,ЗАКАЗЫ!$F$3:$F$500,0)),"")</f>
        <v/>
      </c>
      <c r="BM263" s="8" t="str">
        <f aca="false">IF(BL263="","",IFERROR(VLOOKUP(BL263,'ТН ВЭД'!$A$4:$C$40,3,0),""))</f>
        <v/>
      </c>
      <c r="BN263" s="7" t="str">
        <f aca="false">IF(COUNTIF(ЗАКАЗЫ!$F$3:$F$500,$A263)=0,"",SUMIF(ЗАКАЗЫ!$F$3:$F$500,$A263,ЗАКАЗЫ!$J$3:$J$500))</f>
        <v/>
      </c>
      <c r="BO263" s="7" t="str">
        <f aca="false">IF(BN263="","",SUMIF(ЗАКАЗЫ!$F$3:$F$500,$A263,ЗАКАЗЫ!$AL$3:$AL$500))</f>
        <v/>
      </c>
      <c r="BP263" s="7" t="str">
        <f aca="false">IF(BN263="","",BN263-BO263)</f>
        <v/>
      </c>
      <c r="BQ263" s="55" t="str">
        <f aca="false">IF(BN263="","",IF(BO263&gt;=BN263,"На складе",IF(BO263&gt;0,"Частично","Ждём")))</f>
        <v/>
      </c>
      <c r="BR263" s="43"/>
      <c r="BS263" s="47" t="str">
        <f aca="false">IF(BN263="","",IF(_xlfn.MAXIFS(ЗАКАЗЫ!$AK$3:$AK$500,ЗАКАЗЫ!$F$3:$F$500,$A263)=0,"",_xlfn.MAXIFS(ЗАКАЗЫ!$AK$3:$AK$500,ЗАКАЗЫ!$F$3:$F$500,$A263)))</f>
        <v/>
      </c>
    </row>
    <row r="264" customFormat="false" ht="15.75" hidden="false" customHeight="true" outlineLevel="0" collapsed="false">
      <c r="A264" s="80" t="s">
        <v>3175</v>
      </c>
      <c r="B264" s="81"/>
      <c r="C264" s="81"/>
      <c r="D264" s="81"/>
      <c r="E264" s="83"/>
      <c r="F264" s="81"/>
      <c r="G264" s="83"/>
      <c r="H264" s="83"/>
      <c r="I264" s="84" t="str">
        <f aca="false">IF(E264="","",A264&amp;"_1.jpg")</f>
        <v/>
      </c>
      <c r="J264" s="84" t="str">
        <f aca="false">IF(E264="","",A264&amp;"_2.jpg; "&amp;A264&amp;"_3.jpg")</f>
        <v/>
      </c>
      <c r="K264" s="84" t="str">
        <f aca="false">IF(E264="","",A264&amp;"_schema.jpg")</f>
        <v/>
      </c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 t="s">
        <v>96</v>
      </c>
      <c r="W264" s="81"/>
      <c r="X264" s="81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6" t="str">
        <f aca="false">IF(SUM(Y264:AJ264)=0,"",SUM(Y264:AJ264))</f>
        <v/>
      </c>
      <c r="AL264" s="84" t="str">
        <f aca="false">MID(IF(N(Y264)&gt;0,", "&amp;Y$2,"")&amp;IF(N(Z264)&gt;0,", "&amp;Z$2,"")&amp;IF(N(AA264)&gt;0,", "&amp;AA$2,"")&amp;IF(N(AB264)&gt;0,", "&amp;AB$2,"")&amp;IF(N(AC264)&gt;0,", "&amp;AC$2,"")&amp;IF(N(AD264)&gt;0,", "&amp;AD$2,"")&amp;IF(N(AE264)&gt;0,", "&amp;AE$2,"")&amp;IF(N(AF264)&gt;0,", "&amp;AF$2,"")&amp;IF(N(AG264)&gt;0,", "&amp;AG$2,"")&amp;IF(N(AH264)&gt;0,", "&amp;AH$2,"")&amp;IF(N(AI264)&gt;0,", "&amp;AI$2,"")&amp;IF(N(AJ264)&gt;0,", "&amp;AJ$2,""),3,999)</f>
        <v/>
      </c>
      <c r="AM264" s="87" t="str">
        <f aca="false">IF(E264="","",MID(IF(N(Y264)&gt;0,", "&amp;A264&amp;"-"&amp;Y$2,"")&amp;IF(N(Z264)&gt;0,", "&amp;A264&amp;"-"&amp;Z$2,"")&amp;IF(N(AA264)&gt;0,", "&amp;A264&amp;"-"&amp;AA$2,"")&amp;IF(N(AB264)&gt;0,", "&amp;A264&amp;"-"&amp;AB$2,"")&amp;IF(N(AC264)&gt;0,", "&amp;A264&amp;"-"&amp;AC$2,"")&amp;IF(N(AD264)&gt;0,", "&amp;A264&amp;"-"&amp;AD$2,"")&amp;IF(N(AE264)&gt;0,", "&amp;A264&amp;"-"&amp;AE$2,"")&amp;IF(N(AF264)&gt;0,", "&amp;A264&amp;"-"&amp;AF$2,"")&amp;IF(N(AG264)&gt;0,", "&amp;A264&amp;"-"&amp;AG$2,"")&amp;IF(N(AH264)&gt;0,", "&amp;A264&amp;"-"&amp;AH$2,"")&amp;IF(N(AI264)&gt;0,", "&amp;A264&amp;"-"&amp;AI$2,"")&amp;IF(N(AJ264)&gt;0,", "&amp;A264&amp;"-"&amp;AJ$2,""),3,999))</f>
        <v/>
      </c>
      <c r="AN264" s="81"/>
      <c r="AO264" s="88"/>
      <c r="AP264" s="89" t="str">
        <f aca="false">IF(AO264="","",ROUND(AO264/(1+Справочники!$B$13),2))</f>
        <v/>
      </c>
      <c r="AQ264" s="90" t="str">
        <f aca="false" t="array" ref="AQ264:AQ264">IF(AP264="","",AP264*INDEX(Справочники!$B$4:$B$7,MATCH("RUB",Справочники!$A$4:$A$7,0)))</f>
        <v/>
      </c>
      <c r="AR264" s="90" t="str">
        <f aca="false">IF(AQ264="","",ROUND(AQ264*(1+Справочники!$B$12),0))</f>
        <v/>
      </c>
      <c r="AS264" s="90" t="str">
        <f aca="false">IF(AR264="","",ROUND(AR264*(1-Справочники!$B$11),0))</f>
        <v/>
      </c>
      <c r="AT264" s="88"/>
      <c r="AU264" s="90" t="str">
        <f aca="false">IF(AT264="","",ROUND(AT264/(1+Справочники!$B$12),0))</f>
        <v/>
      </c>
      <c r="AV264" s="90" t="str">
        <f aca="false">IF(AT264="","",ROUND(AT264*(1-Справочники!$B$15),0))</f>
        <v/>
      </c>
      <c r="AW264" s="90" t="str">
        <f aca="false">IF(AT264="","",ROUND(AT264*(1-Справочники!$B$16),0))</f>
        <v/>
      </c>
      <c r="AX264" s="90" t="str">
        <f aca="false">IF(AT264="","",ROUND(AT264*(1-Справочники!$B$17),0))</f>
        <v/>
      </c>
      <c r="AY264" s="90" t="str">
        <f aca="false">IF(AT264="","",ROUND(AT264*(1-Справочники!$B$18),0))</f>
        <v/>
      </c>
      <c r="AZ264" s="90" t="str">
        <f aca="false">IF(AT264="","",ROUND(AT264*(1-Справочники!$B$19),0))</f>
        <v/>
      </c>
      <c r="BA264" s="81"/>
      <c r="BB264" s="81"/>
      <c r="BC264" s="81"/>
      <c r="BD264" s="81"/>
      <c r="BE264" s="91"/>
      <c r="BF264" s="81" t="s">
        <v>103</v>
      </c>
      <c r="BG264" s="89" t="n">
        <f aca="false" t="array" ref="BG264:BG264">IF(BF264="","",IFERROR(INDEX(Справочники!$B$4:$B$7,MATCH(BF264,Справочники!$A$4:$A$7,0)),""))</f>
        <v>68.5</v>
      </c>
      <c r="BH264" s="90" t="str">
        <f aca="false">IF(N(BN264)&gt;0,ROUND(SUMIF(ЗАКАЗЫ!$F$3:$F$500,$A264,ЗАКАЗЫ!$Y$3:$Y$500)/BN264,0),IF(OR(BE264="",BG264=""),"",ROUND(BE264*BG264*(1+Справочники!$B$10),0)))</f>
        <v/>
      </c>
      <c r="BI264" s="92" t="str">
        <f aca="false">IF(OR(AU264="",BH264="",AU264=0),"",(AU264-BH264)/AU264)</f>
        <v/>
      </c>
      <c r="BJ264" s="81"/>
      <c r="BK264" s="83"/>
      <c r="BL264" s="43" t="str">
        <f aca="false">IFERROR(INDEX(ЗАКАЗЫ!$N$3:$N$500,MATCH($A264,ЗАКАЗЫ!$F$3:$F$500,0)),"")</f>
        <v/>
      </c>
      <c r="BM264" s="8" t="str">
        <f aca="false">IF(BL264="","",IFERROR(VLOOKUP(BL264,'ТН ВЭД'!$A$4:$C$40,3,0),""))</f>
        <v/>
      </c>
      <c r="BN264" s="7" t="str">
        <f aca="false">IF(COUNTIF(ЗАКАЗЫ!$F$3:$F$500,$A264)=0,"",SUMIF(ЗАКАЗЫ!$F$3:$F$500,$A264,ЗАКАЗЫ!$J$3:$J$500))</f>
        <v/>
      </c>
      <c r="BO264" s="7" t="str">
        <f aca="false">IF(BN264="","",SUMIF(ЗАКАЗЫ!$F$3:$F$500,$A264,ЗАКАЗЫ!$AL$3:$AL$500))</f>
        <v/>
      </c>
      <c r="BP264" s="7" t="str">
        <f aca="false">IF(BN264="","",BN264-BO264)</f>
        <v/>
      </c>
      <c r="BQ264" s="55" t="str">
        <f aca="false">IF(BN264="","",IF(BO264&gt;=BN264,"На складе",IF(BO264&gt;0,"Частично","Ждём")))</f>
        <v/>
      </c>
      <c r="BR264" s="43"/>
      <c r="BS264" s="47" t="str">
        <f aca="false">IF(BN264="","",IF(_xlfn.MAXIFS(ЗАКАЗЫ!$AK$3:$AK$500,ЗАКАЗЫ!$F$3:$F$500,$A264)=0,"",_xlfn.MAXIFS(ЗАКАЗЫ!$AK$3:$AK$500,ЗАКАЗЫ!$F$3:$F$500,$A264)))</f>
        <v/>
      </c>
    </row>
    <row r="265" customFormat="false" ht="15.75" hidden="false" customHeight="true" outlineLevel="0" collapsed="false">
      <c r="A265" s="80" t="s">
        <v>3176</v>
      </c>
      <c r="B265" s="81"/>
      <c r="C265" s="81"/>
      <c r="D265" s="81"/>
      <c r="E265" s="83"/>
      <c r="F265" s="81"/>
      <c r="G265" s="83"/>
      <c r="H265" s="83"/>
      <c r="I265" s="84" t="str">
        <f aca="false">IF(E265="","",A265&amp;"_1.jpg")</f>
        <v/>
      </c>
      <c r="J265" s="84" t="str">
        <f aca="false">IF(E265="","",A265&amp;"_2.jpg; "&amp;A265&amp;"_3.jpg")</f>
        <v/>
      </c>
      <c r="K265" s="84" t="str">
        <f aca="false">IF(E265="","",A265&amp;"_schema.jpg")</f>
        <v/>
      </c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 t="s">
        <v>96</v>
      </c>
      <c r="W265" s="81"/>
      <c r="X265" s="81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6" t="str">
        <f aca="false">IF(SUM(Y265:AJ265)=0,"",SUM(Y265:AJ265))</f>
        <v/>
      </c>
      <c r="AL265" s="84" t="str">
        <f aca="false">MID(IF(N(Y265)&gt;0,", "&amp;Y$2,"")&amp;IF(N(Z265)&gt;0,", "&amp;Z$2,"")&amp;IF(N(AA265)&gt;0,", "&amp;AA$2,"")&amp;IF(N(AB265)&gt;0,", "&amp;AB$2,"")&amp;IF(N(AC265)&gt;0,", "&amp;AC$2,"")&amp;IF(N(AD265)&gt;0,", "&amp;AD$2,"")&amp;IF(N(AE265)&gt;0,", "&amp;AE$2,"")&amp;IF(N(AF265)&gt;0,", "&amp;AF$2,"")&amp;IF(N(AG265)&gt;0,", "&amp;AG$2,"")&amp;IF(N(AH265)&gt;0,", "&amp;AH$2,"")&amp;IF(N(AI265)&gt;0,", "&amp;AI$2,"")&amp;IF(N(AJ265)&gt;0,", "&amp;AJ$2,""),3,999)</f>
        <v/>
      </c>
      <c r="AM265" s="87" t="str">
        <f aca="false">IF(E265="","",MID(IF(N(Y265)&gt;0,", "&amp;A265&amp;"-"&amp;Y$2,"")&amp;IF(N(Z265)&gt;0,", "&amp;A265&amp;"-"&amp;Z$2,"")&amp;IF(N(AA265)&gt;0,", "&amp;A265&amp;"-"&amp;AA$2,"")&amp;IF(N(AB265)&gt;0,", "&amp;A265&amp;"-"&amp;AB$2,"")&amp;IF(N(AC265)&gt;0,", "&amp;A265&amp;"-"&amp;AC$2,"")&amp;IF(N(AD265)&gt;0,", "&amp;A265&amp;"-"&amp;AD$2,"")&amp;IF(N(AE265)&gt;0,", "&amp;A265&amp;"-"&amp;AE$2,"")&amp;IF(N(AF265)&gt;0,", "&amp;A265&amp;"-"&amp;AF$2,"")&amp;IF(N(AG265)&gt;0,", "&amp;A265&amp;"-"&amp;AG$2,"")&amp;IF(N(AH265)&gt;0,", "&amp;A265&amp;"-"&amp;AH$2,"")&amp;IF(N(AI265)&gt;0,", "&amp;A265&amp;"-"&amp;AI$2,"")&amp;IF(N(AJ265)&gt;0,", "&amp;A265&amp;"-"&amp;AJ$2,""),3,999))</f>
        <v/>
      </c>
      <c r="AN265" s="81"/>
      <c r="AO265" s="88"/>
      <c r="AP265" s="89" t="str">
        <f aca="false">IF(AO265="","",ROUND(AO265/(1+Справочники!$B$13),2))</f>
        <v/>
      </c>
      <c r="AQ265" s="90" t="str">
        <f aca="false" t="array" ref="AQ265:AQ265">IF(AP265="","",AP265*INDEX(Справочники!$B$4:$B$7,MATCH("RUB",Справочники!$A$4:$A$7,0)))</f>
        <v/>
      </c>
      <c r="AR265" s="90" t="str">
        <f aca="false">IF(AQ265="","",ROUND(AQ265*(1+Справочники!$B$12),0))</f>
        <v/>
      </c>
      <c r="AS265" s="90" t="str">
        <f aca="false">IF(AR265="","",ROUND(AR265*(1-Справочники!$B$11),0))</f>
        <v/>
      </c>
      <c r="AT265" s="88"/>
      <c r="AU265" s="90" t="str">
        <f aca="false">IF(AT265="","",ROUND(AT265/(1+Справочники!$B$12),0))</f>
        <v/>
      </c>
      <c r="AV265" s="90" t="str">
        <f aca="false">IF(AT265="","",ROUND(AT265*(1-Справочники!$B$15),0))</f>
        <v/>
      </c>
      <c r="AW265" s="90" t="str">
        <f aca="false">IF(AT265="","",ROUND(AT265*(1-Справочники!$B$16),0))</f>
        <v/>
      </c>
      <c r="AX265" s="90" t="str">
        <f aca="false">IF(AT265="","",ROUND(AT265*(1-Справочники!$B$17),0))</f>
        <v/>
      </c>
      <c r="AY265" s="90" t="str">
        <f aca="false">IF(AT265="","",ROUND(AT265*(1-Справочники!$B$18),0))</f>
        <v/>
      </c>
      <c r="AZ265" s="90" t="str">
        <f aca="false">IF(AT265="","",ROUND(AT265*(1-Справочники!$B$19),0))</f>
        <v/>
      </c>
      <c r="BA265" s="81"/>
      <c r="BB265" s="81"/>
      <c r="BC265" s="81"/>
      <c r="BD265" s="81"/>
      <c r="BE265" s="91"/>
      <c r="BF265" s="81" t="s">
        <v>103</v>
      </c>
      <c r="BG265" s="89" t="n">
        <f aca="false" t="array" ref="BG265:BG265">IF(BF265="","",IFERROR(INDEX(Справочники!$B$4:$B$7,MATCH(BF265,Справочники!$A$4:$A$7,0)),""))</f>
        <v>68.5</v>
      </c>
      <c r="BH265" s="90" t="str">
        <f aca="false">IF(N(BN265)&gt;0,ROUND(SUMIF(ЗАКАЗЫ!$F$3:$F$500,$A265,ЗАКАЗЫ!$Y$3:$Y$500)/BN265,0),IF(OR(BE265="",BG265=""),"",ROUND(BE265*BG265*(1+Справочники!$B$10),0)))</f>
        <v/>
      </c>
      <c r="BI265" s="92" t="str">
        <f aca="false">IF(OR(AU265="",BH265="",AU265=0),"",(AU265-BH265)/AU265)</f>
        <v/>
      </c>
      <c r="BJ265" s="81"/>
      <c r="BK265" s="83"/>
      <c r="BL265" s="43" t="str">
        <f aca="false">IFERROR(INDEX(ЗАКАЗЫ!$N$3:$N$500,MATCH($A265,ЗАКАЗЫ!$F$3:$F$500,0)),"")</f>
        <v/>
      </c>
      <c r="BM265" s="8" t="str">
        <f aca="false">IF(BL265="","",IFERROR(VLOOKUP(BL265,'ТН ВЭД'!$A$4:$C$40,3,0),""))</f>
        <v/>
      </c>
      <c r="BN265" s="7" t="str">
        <f aca="false">IF(COUNTIF(ЗАКАЗЫ!$F$3:$F$500,$A265)=0,"",SUMIF(ЗАКАЗЫ!$F$3:$F$500,$A265,ЗАКАЗЫ!$J$3:$J$500))</f>
        <v/>
      </c>
      <c r="BO265" s="7" t="str">
        <f aca="false">IF(BN265="","",SUMIF(ЗАКАЗЫ!$F$3:$F$500,$A265,ЗАКАЗЫ!$AL$3:$AL$500))</f>
        <v/>
      </c>
      <c r="BP265" s="7" t="str">
        <f aca="false">IF(BN265="","",BN265-BO265)</f>
        <v/>
      </c>
      <c r="BQ265" s="55" t="str">
        <f aca="false">IF(BN265="","",IF(BO265&gt;=BN265,"На складе",IF(BO265&gt;0,"Частично","Ждём")))</f>
        <v/>
      </c>
      <c r="BR265" s="43"/>
      <c r="BS265" s="47" t="str">
        <f aca="false">IF(BN265="","",IF(_xlfn.MAXIFS(ЗАКАЗЫ!$AK$3:$AK$500,ЗАКАЗЫ!$F$3:$F$500,$A265)=0,"",_xlfn.MAXIFS(ЗАКАЗЫ!$AK$3:$AK$500,ЗАКАЗЫ!$F$3:$F$500,$A265)))</f>
        <v/>
      </c>
    </row>
    <row r="266" customFormat="false" ht="15.75" hidden="false" customHeight="true" outlineLevel="0" collapsed="false">
      <c r="A266" s="80" t="s">
        <v>3177</v>
      </c>
      <c r="B266" s="81"/>
      <c r="C266" s="81"/>
      <c r="D266" s="81"/>
      <c r="E266" s="83"/>
      <c r="F266" s="81"/>
      <c r="G266" s="83"/>
      <c r="H266" s="83"/>
      <c r="I266" s="84" t="str">
        <f aca="false">IF(E266="","",A266&amp;"_1.jpg")</f>
        <v/>
      </c>
      <c r="J266" s="84" t="str">
        <f aca="false">IF(E266="","",A266&amp;"_2.jpg; "&amp;A266&amp;"_3.jpg")</f>
        <v/>
      </c>
      <c r="K266" s="84" t="str">
        <f aca="false">IF(E266="","",A266&amp;"_schema.jpg")</f>
        <v/>
      </c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 t="s">
        <v>96</v>
      </c>
      <c r="W266" s="81"/>
      <c r="X266" s="81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6" t="str">
        <f aca="false">IF(SUM(Y266:AJ266)=0,"",SUM(Y266:AJ266))</f>
        <v/>
      </c>
      <c r="AL266" s="84" t="str">
        <f aca="false">MID(IF(N(Y266)&gt;0,", "&amp;Y$2,"")&amp;IF(N(Z266)&gt;0,", "&amp;Z$2,"")&amp;IF(N(AA266)&gt;0,", "&amp;AA$2,"")&amp;IF(N(AB266)&gt;0,", "&amp;AB$2,"")&amp;IF(N(AC266)&gt;0,", "&amp;AC$2,"")&amp;IF(N(AD266)&gt;0,", "&amp;AD$2,"")&amp;IF(N(AE266)&gt;0,", "&amp;AE$2,"")&amp;IF(N(AF266)&gt;0,", "&amp;AF$2,"")&amp;IF(N(AG266)&gt;0,", "&amp;AG$2,"")&amp;IF(N(AH266)&gt;0,", "&amp;AH$2,"")&amp;IF(N(AI266)&gt;0,", "&amp;AI$2,"")&amp;IF(N(AJ266)&gt;0,", "&amp;AJ$2,""),3,999)</f>
        <v/>
      </c>
      <c r="AM266" s="87" t="str">
        <f aca="false">IF(E266="","",MID(IF(N(Y266)&gt;0,", "&amp;A266&amp;"-"&amp;Y$2,"")&amp;IF(N(Z266)&gt;0,", "&amp;A266&amp;"-"&amp;Z$2,"")&amp;IF(N(AA266)&gt;0,", "&amp;A266&amp;"-"&amp;AA$2,"")&amp;IF(N(AB266)&gt;0,", "&amp;A266&amp;"-"&amp;AB$2,"")&amp;IF(N(AC266)&gt;0,", "&amp;A266&amp;"-"&amp;AC$2,"")&amp;IF(N(AD266)&gt;0,", "&amp;A266&amp;"-"&amp;AD$2,"")&amp;IF(N(AE266)&gt;0,", "&amp;A266&amp;"-"&amp;AE$2,"")&amp;IF(N(AF266)&gt;0,", "&amp;A266&amp;"-"&amp;AF$2,"")&amp;IF(N(AG266)&gt;0,", "&amp;A266&amp;"-"&amp;AG$2,"")&amp;IF(N(AH266)&gt;0,", "&amp;A266&amp;"-"&amp;AH$2,"")&amp;IF(N(AI266)&gt;0,", "&amp;A266&amp;"-"&amp;AI$2,"")&amp;IF(N(AJ266)&gt;0,", "&amp;A266&amp;"-"&amp;AJ$2,""),3,999))</f>
        <v/>
      </c>
      <c r="AN266" s="81"/>
      <c r="AO266" s="88"/>
      <c r="AP266" s="89" t="str">
        <f aca="false">IF(AO266="","",ROUND(AO266/(1+Справочники!$B$13),2))</f>
        <v/>
      </c>
      <c r="AQ266" s="90" t="str">
        <f aca="false" t="array" ref="AQ266:AQ266">IF(AP266="","",AP266*INDEX(Справочники!$B$4:$B$7,MATCH("RUB",Справочники!$A$4:$A$7,0)))</f>
        <v/>
      </c>
      <c r="AR266" s="90" t="str">
        <f aca="false">IF(AQ266="","",ROUND(AQ266*(1+Справочники!$B$12),0))</f>
        <v/>
      </c>
      <c r="AS266" s="90" t="str">
        <f aca="false">IF(AR266="","",ROUND(AR266*(1-Справочники!$B$11),0))</f>
        <v/>
      </c>
      <c r="AT266" s="88"/>
      <c r="AU266" s="90" t="str">
        <f aca="false">IF(AT266="","",ROUND(AT266/(1+Справочники!$B$12),0))</f>
        <v/>
      </c>
      <c r="AV266" s="90" t="str">
        <f aca="false">IF(AT266="","",ROUND(AT266*(1-Справочники!$B$15),0))</f>
        <v/>
      </c>
      <c r="AW266" s="90" t="str">
        <f aca="false">IF(AT266="","",ROUND(AT266*(1-Справочники!$B$16),0))</f>
        <v/>
      </c>
      <c r="AX266" s="90" t="str">
        <f aca="false">IF(AT266="","",ROUND(AT266*(1-Справочники!$B$17),0))</f>
        <v/>
      </c>
      <c r="AY266" s="90" t="str">
        <f aca="false">IF(AT266="","",ROUND(AT266*(1-Справочники!$B$18),0))</f>
        <v/>
      </c>
      <c r="AZ266" s="90" t="str">
        <f aca="false">IF(AT266="","",ROUND(AT266*(1-Справочники!$B$19),0))</f>
        <v/>
      </c>
      <c r="BA266" s="81"/>
      <c r="BB266" s="81"/>
      <c r="BC266" s="81"/>
      <c r="BD266" s="81"/>
      <c r="BE266" s="91"/>
      <c r="BF266" s="81" t="s">
        <v>103</v>
      </c>
      <c r="BG266" s="89" t="n">
        <f aca="false" t="array" ref="BG266:BG266">IF(BF266="","",IFERROR(INDEX(Справочники!$B$4:$B$7,MATCH(BF266,Справочники!$A$4:$A$7,0)),""))</f>
        <v>68.5</v>
      </c>
      <c r="BH266" s="90" t="str">
        <f aca="false">IF(N(BN266)&gt;0,ROUND(SUMIF(ЗАКАЗЫ!$F$3:$F$500,$A266,ЗАКАЗЫ!$Y$3:$Y$500)/BN266,0),IF(OR(BE266="",BG266=""),"",ROUND(BE266*BG266*(1+Справочники!$B$10),0)))</f>
        <v/>
      </c>
      <c r="BI266" s="92" t="str">
        <f aca="false">IF(OR(AU266="",BH266="",AU266=0),"",(AU266-BH266)/AU266)</f>
        <v/>
      </c>
      <c r="BJ266" s="81"/>
      <c r="BK266" s="83"/>
      <c r="BL266" s="43" t="str">
        <f aca="false">IFERROR(INDEX(ЗАКАЗЫ!$N$3:$N$500,MATCH($A266,ЗАКАЗЫ!$F$3:$F$500,0)),"")</f>
        <v/>
      </c>
      <c r="BM266" s="8" t="str">
        <f aca="false">IF(BL266="","",IFERROR(VLOOKUP(BL266,'ТН ВЭД'!$A$4:$C$40,3,0),""))</f>
        <v/>
      </c>
      <c r="BN266" s="7" t="str">
        <f aca="false">IF(COUNTIF(ЗАКАЗЫ!$F$3:$F$500,$A266)=0,"",SUMIF(ЗАКАЗЫ!$F$3:$F$500,$A266,ЗАКАЗЫ!$J$3:$J$500))</f>
        <v/>
      </c>
      <c r="BO266" s="7" t="str">
        <f aca="false">IF(BN266="","",SUMIF(ЗАКАЗЫ!$F$3:$F$500,$A266,ЗАКАЗЫ!$AL$3:$AL$500))</f>
        <v/>
      </c>
      <c r="BP266" s="7" t="str">
        <f aca="false">IF(BN266="","",BN266-BO266)</f>
        <v/>
      </c>
      <c r="BQ266" s="55" t="str">
        <f aca="false">IF(BN266="","",IF(BO266&gt;=BN266,"На складе",IF(BO266&gt;0,"Частично","Ждём")))</f>
        <v/>
      </c>
      <c r="BR266" s="43"/>
      <c r="BS266" s="47" t="str">
        <f aca="false">IF(BN266="","",IF(_xlfn.MAXIFS(ЗАКАЗЫ!$AK$3:$AK$500,ЗАКАЗЫ!$F$3:$F$500,$A266)=0,"",_xlfn.MAXIFS(ЗАКАЗЫ!$AK$3:$AK$500,ЗАКАЗЫ!$F$3:$F$500,$A266)))</f>
        <v/>
      </c>
    </row>
    <row r="267" customFormat="false" ht="15.75" hidden="false" customHeight="true" outlineLevel="0" collapsed="false">
      <c r="A267" s="80" t="s">
        <v>3178</v>
      </c>
      <c r="B267" s="81"/>
      <c r="C267" s="81"/>
      <c r="D267" s="81"/>
      <c r="E267" s="83"/>
      <c r="F267" s="81"/>
      <c r="G267" s="83"/>
      <c r="H267" s="83"/>
      <c r="I267" s="84" t="str">
        <f aca="false">IF(E267="","",A267&amp;"_1.jpg")</f>
        <v/>
      </c>
      <c r="J267" s="84" t="str">
        <f aca="false">IF(E267="","",A267&amp;"_2.jpg; "&amp;A267&amp;"_3.jpg")</f>
        <v/>
      </c>
      <c r="K267" s="84" t="str">
        <f aca="false">IF(E267="","",A267&amp;"_schema.jpg")</f>
        <v/>
      </c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 t="s">
        <v>96</v>
      </c>
      <c r="W267" s="81"/>
      <c r="X267" s="81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6" t="str">
        <f aca="false">IF(SUM(Y267:AJ267)=0,"",SUM(Y267:AJ267))</f>
        <v/>
      </c>
      <c r="AL267" s="84" t="str">
        <f aca="false">MID(IF(N(Y267)&gt;0,", "&amp;Y$2,"")&amp;IF(N(Z267)&gt;0,", "&amp;Z$2,"")&amp;IF(N(AA267)&gt;0,", "&amp;AA$2,"")&amp;IF(N(AB267)&gt;0,", "&amp;AB$2,"")&amp;IF(N(AC267)&gt;0,", "&amp;AC$2,"")&amp;IF(N(AD267)&gt;0,", "&amp;AD$2,"")&amp;IF(N(AE267)&gt;0,", "&amp;AE$2,"")&amp;IF(N(AF267)&gt;0,", "&amp;AF$2,"")&amp;IF(N(AG267)&gt;0,", "&amp;AG$2,"")&amp;IF(N(AH267)&gt;0,", "&amp;AH$2,"")&amp;IF(N(AI267)&gt;0,", "&amp;AI$2,"")&amp;IF(N(AJ267)&gt;0,", "&amp;AJ$2,""),3,999)</f>
        <v/>
      </c>
      <c r="AM267" s="87" t="str">
        <f aca="false">IF(E267="","",MID(IF(N(Y267)&gt;0,", "&amp;A267&amp;"-"&amp;Y$2,"")&amp;IF(N(Z267)&gt;0,", "&amp;A267&amp;"-"&amp;Z$2,"")&amp;IF(N(AA267)&gt;0,", "&amp;A267&amp;"-"&amp;AA$2,"")&amp;IF(N(AB267)&gt;0,", "&amp;A267&amp;"-"&amp;AB$2,"")&amp;IF(N(AC267)&gt;0,", "&amp;A267&amp;"-"&amp;AC$2,"")&amp;IF(N(AD267)&gt;0,", "&amp;A267&amp;"-"&amp;AD$2,"")&amp;IF(N(AE267)&gt;0,", "&amp;A267&amp;"-"&amp;AE$2,"")&amp;IF(N(AF267)&gt;0,", "&amp;A267&amp;"-"&amp;AF$2,"")&amp;IF(N(AG267)&gt;0,", "&amp;A267&amp;"-"&amp;AG$2,"")&amp;IF(N(AH267)&gt;0,", "&amp;A267&amp;"-"&amp;AH$2,"")&amp;IF(N(AI267)&gt;0,", "&amp;A267&amp;"-"&amp;AI$2,"")&amp;IF(N(AJ267)&gt;0,", "&amp;A267&amp;"-"&amp;AJ$2,""),3,999))</f>
        <v/>
      </c>
      <c r="AN267" s="81"/>
      <c r="AO267" s="88"/>
      <c r="AP267" s="89" t="str">
        <f aca="false">IF(AO267="","",ROUND(AO267/(1+Справочники!$B$13),2))</f>
        <v/>
      </c>
      <c r="AQ267" s="90" t="str">
        <f aca="false" t="array" ref="AQ267:AQ267">IF(AP267="","",AP267*INDEX(Справочники!$B$4:$B$7,MATCH("RUB",Справочники!$A$4:$A$7,0)))</f>
        <v/>
      </c>
      <c r="AR267" s="90" t="str">
        <f aca="false">IF(AQ267="","",ROUND(AQ267*(1+Справочники!$B$12),0))</f>
        <v/>
      </c>
      <c r="AS267" s="90" t="str">
        <f aca="false">IF(AR267="","",ROUND(AR267*(1-Справочники!$B$11),0))</f>
        <v/>
      </c>
      <c r="AT267" s="88"/>
      <c r="AU267" s="90" t="str">
        <f aca="false">IF(AT267="","",ROUND(AT267/(1+Справочники!$B$12),0))</f>
        <v/>
      </c>
      <c r="AV267" s="90" t="str">
        <f aca="false">IF(AT267="","",ROUND(AT267*(1-Справочники!$B$15),0))</f>
        <v/>
      </c>
      <c r="AW267" s="90" t="str">
        <f aca="false">IF(AT267="","",ROUND(AT267*(1-Справочники!$B$16),0))</f>
        <v/>
      </c>
      <c r="AX267" s="90" t="str">
        <f aca="false">IF(AT267="","",ROUND(AT267*(1-Справочники!$B$17),0))</f>
        <v/>
      </c>
      <c r="AY267" s="90" t="str">
        <f aca="false">IF(AT267="","",ROUND(AT267*(1-Справочники!$B$18),0))</f>
        <v/>
      </c>
      <c r="AZ267" s="90" t="str">
        <f aca="false">IF(AT267="","",ROUND(AT267*(1-Справочники!$B$19),0))</f>
        <v/>
      </c>
      <c r="BA267" s="81"/>
      <c r="BB267" s="81"/>
      <c r="BC267" s="81"/>
      <c r="BD267" s="81"/>
      <c r="BE267" s="91"/>
      <c r="BF267" s="81" t="s">
        <v>103</v>
      </c>
      <c r="BG267" s="89" t="n">
        <f aca="false" t="array" ref="BG267:BG267">IF(BF267="","",IFERROR(INDEX(Справочники!$B$4:$B$7,MATCH(BF267,Справочники!$A$4:$A$7,0)),""))</f>
        <v>68.5</v>
      </c>
      <c r="BH267" s="90" t="str">
        <f aca="false">IF(N(BN267)&gt;0,ROUND(SUMIF(ЗАКАЗЫ!$F$3:$F$500,$A267,ЗАКАЗЫ!$Y$3:$Y$500)/BN267,0),IF(OR(BE267="",BG267=""),"",ROUND(BE267*BG267*(1+Справочники!$B$10),0)))</f>
        <v/>
      </c>
      <c r="BI267" s="92" t="str">
        <f aca="false">IF(OR(AU267="",BH267="",AU267=0),"",(AU267-BH267)/AU267)</f>
        <v/>
      </c>
      <c r="BJ267" s="81"/>
      <c r="BK267" s="83"/>
      <c r="BL267" s="43" t="str">
        <f aca="false">IFERROR(INDEX(ЗАКАЗЫ!$N$3:$N$500,MATCH($A267,ЗАКАЗЫ!$F$3:$F$500,0)),"")</f>
        <v/>
      </c>
      <c r="BM267" s="8" t="str">
        <f aca="false">IF(BL267="","",IFERROR(VLOOKUP(BL267,'ТН ВЭД'!$A$4:$C$40,3,0),""))</f>
        <v/>
      </c>
      <c r="BN267" s="7" t="str">
        <f aca="false">IF(COUNTIF(ЗАКАЗЫ!$F$3:$F$500,$A267)=0,"",SUMIF(ЗАКАЗЫ!$F$3:$F$500,$A267,ЗАКАЗЫ!$J$3:$J$500))</f>
        <v/>
      </c>
      <c r="BO267" s="7" t="str">
        <f aca="false">IF(BN267="","",SUMIF(ЗАКАЗЫ!$F$3:$F$500,$A267,ЗАКАЗЫ!$AL$3:$AL$500))</f>
        <v/>
      </c>
      <c r="BP267" s="7" t="str">
        <f aca="false">IF(BN267="","",BN267-BO267)</f>
        <v/>
      </c>
      <c r="BQ267" s="55" t="str">
        <f aca="false">IF(BN267="","",IF(BO267&gt;=BN267,"На складе",IF(BO267&gt;0,"Частично","Ждём")))</f>
        <v/>
      </c>
      <c r="BR267" s="43"/>
      <c r="BS267" s="47" t="str">
        <f aca="false">IF(BN267="","",IF(_xlfn.MAXIFS(ЗАКАЗЫ!$AK$3:$AK$500,ЗАКАЗЫ!$F$3:$F$500,$A267)=0,"",_xlfn.MAXIFS(ЗАКАЗЫ!$AK$3:$AK$500,ЗАКАЗЫ!$F$3:$F$500,$A267)))</f>
        <v/>
      </c>
    </row>
    <row r="268" customFormat="false" ht="15.75" hidden="false" customHeight="true" outlineLevel="0" collapsed="false">
      <c r="A268" s="80" t="s">
        <v>3179</v>
      </c>
      <c r="B268" s="81"/>
      <c r="C268" s="81"/>
      <c r="D268" s="81"/>
      <c r="E268" s="83"/>
      <c r="F268" s="81"/>
      <c r="G268" s="83"/>
      <c r="H268" s="83"/>
      <c r="I268" s="84" t="str">
        <f aca="false">IF(E268="","",A268&amp;"_1.jpg")</f>
        <v/>
      </c>
      <c r="J268" s="84" t="str">
        <f aca="false">IF(E268="","",A268&amp;"_2.jpg; "&amp;A268&amp;"_3.jpg")</f>
        <v/>
      </c>
      <c r="K268" s="84" t="str">
        <f aca="false">IF(E268="","",A268&amp;"_schema.jpg")</f>
        <v/>
      </c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 t="s">
        <v>96</v>
      </c>
      <c r="W268" s="81"/>
      <c r="X268" s="81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6" t="str">
        <f aca="false">IF(SUM(Y268:AJ268)=0,"",SUM(Y268:AJ268))</f>
        <v/>
      </c>
      <c r="AL268" s="84" t="str">
        <f aca="false">MID(IF(N(Y268)&gt;0,", "&amp;Y$2,"")&amp;IF(N(Z268)&gt;0,", "&amp;Z$2,"")&amp;IF(N(AA268)&gt;0,", "&amp;AA$2,"")&amp;IF(N(AB268)&gt;0,", "&amp;AB$2,"")&amp;IF(N(AC268)&gt;0,", "&amp;AC$2,"")&amp;IF(N(AD268)&gt;0,", "&amp;AD$2,"")&amp;IF(N(AE268)&gt;0,", "&amp;AE$2,"")&amp;IF(N(AF268)&gt;0,", "&amp;AF$2,"")&amp;IF(N(AG268)&gt;0,", "&amp;AG$2,"")&amp;IF(N(AH268)&gt;0,", "&amp;AH$2,"")&amp;IF(N(AI268)&gt;0,", "&amp;AI$2,"")&amp;IF(N(AJ268)&gt;0,", "&amp;AJ$2,""),3,999)</f>
        <v/>
      </c>
      <c r="AM268" s="87" t="str">
        <f aca="false">IF(E268="","",MID(IF(N(Y268)&gt;0,", "&amp;A268&amp;"-"&amp;Y$2,"")&amp;IF(N(Z268)&gt;0,", "&amp;A268&amp;"-"&amp;Z$2,"")&amp;IF(N(AA268)&gt;0,", "&amp;A268&amp;"-"&amp;AA$2,"")&amp;IF(N(AB268)&gt;0,", "&amp;A268&amp;"-"&amp;AB$2,"")&amp;IF(N(AC268)&gt;0,", "&amp;A268&amp;"-"&amp;AC$2,"")&amp;IF(N(AD268)&gt;0,", "&amp;A268&amp;"-"&amp;AD$2,"")&amp;IF(N(AE268)&gt;0,", "&amp;A268&amp;"-"&amp;AE$2,"")&amp;IF(N(AF268)&gt;0,", "&amp;A268&amp;"-"&amp;AF$2,"")&amp;IF(N(AG268)&gt;0,", "&amp;A268&amp;"-"&amp;AG$2,"")&amp;IF(N(AH268)&gt;0,", "&amp;A268&amp;"-"&amp;AH$2,"")&amp;IF(N(AI268)&gt;0,", "&amp;A268&amp;"-"&amp;AI$2,"")&amp;IF(N(AJ268)&gt;0,", "&amp;A268&amp;"-"&amp;AJ$2,""),3,999))</f>
        <v/>
      </c>
      <c r="AN268" s="81"/>
      <c r="AO268" s="88"/>
      <c r="AP268" s="89" t="str">
        <f aca="false">IF(AO268="","",ROUND(AO268/(1+Справочники!$B$13),2))</f>
        <v/>
      </c>
      <c r="AQ268" s="90" t="str">
        <f aca="false" t="array" ref="AQ268:AQ268">IF(AP268="","",AP268*INDEX(Справочники!$B$4:$B$7,MATCH("RUB",Справочники!$A$4:$A$7,0)))</f>
        <v/>
      </c>
      <c r="AR268" s="90" t="str">
        <f aca="false">IF(AQ268="","",ROUND(AQ268*(1+Справочники!$B$12),0))</f>
        <v/>
      </c>
      <c r="AS268" s="90" t="str">
        <f aca="false">IF(AR268="","",ROUND(AR268*(1-Справочники!$B$11),0))</f>
        <v/>
      </c>
      <c r="AT268" s="88"/>
      <c r="AU268" s="90" t="str">
        <f aca="false">IF(AT268="","",ROUND(AT268/(1+Справочники!$B$12),0))</f>
        <v/>
      </c>
      <c r="AV268" s="90" t="str">
        <f aca="false">IF(AT268="","",ROUND(AT268*(1-Справочники!$B$15),0))</f>
        <v/>
      </c>
      <c r="AW268" s="90" t="str">
        <f aca="false">IF(AT268="","",ROUND(AT268*(1-Справочники!$B$16),0))</f>
        <v/>
      </c>
      <c r="AX268" s="90" t="str">
        <f aca="false">IF(AT268="","",ROUND(AT268*(1-Справочники!$B$17),0))</f>
        <v/>
      </c>
      <c r="AY268" s="90" t="str">
        <f aca="false">IF(AT268="","",ROUND(AT268*(1-Справочники!$B$18),0))</f>
        <v/>
      </c>
      <c r="AZ268" s="90" t="str">
        <f aca="false">IF(AT268="","",ROUND(AT268*(1-Справочники!$B$19),0))</f>
        <v/>
      </c>
      <c r="BA268" s="81"/>
      <c r="BB268" s="81"/>
      <c r="BC268" s="81"/>
      <c r="BD268" s="81"/>
      <c r="BE268" s="91"/>
      <c r="BF268" s="81" t="s">
        <v>103</v>
      </c>
      <c r="BG268" s="89" t="n">
        <f aca="false" t="array" ref="BG268:BG268">IF(BF268="","",IFERROR(INDEX(Справочники!$B$4:$B$7,MATCH(BF268,Справочники!$A$4:$A$7,0)),""))</f>
        <v>68.5</v>
      </c>
      <c r="BH268" s="90" t="str">
        <f aca="false">IF(N(BN268)&gt;0,ROUND(SUMIF(ЗАКАЗЫ!$F$3:$F$500,$A268,ЗАКАЗЫ!$Y$3:$Y$500)/BN268,0),IF(OR(BE268="",BG268=""),"",ROUND(BE268*BG268*(1+Справочники!$B$10),0)))</f>
        <v/>
      </c>
      <c r="BI268" s="92" t="str">
        <f aca="false">IF(OR(AU268="",BH268="",AU268=0),"",(AU268-BH268)/AU268)</f>
        <v/>
      </c>
      <c r="BJ268" s="81"/>
      <c r="BK268" s="83"/>
      <c r="BL268" s="43" t="str">
        <f aca="false">IFERROR(INDEX(ЗАКАЗЫ!$N$3:$N$500,MATCH($A268,ЗАКАЗЫ!$F$3:$F$500,0)),"")</f>
        <v/>
      </c>
      <c r="BM268" s="8" t="str">
        <f aca="false">IF(BL268="","",IFERROR(VLOOKUP(BL268,'ТН ВЭД'!$A$4:$C$40,3,0),""))</f>
        <v/>
      </c>
      <c r="BN268" s="7" t="str">
        <f aca="false">IF(COUNTIF(ЗАКАЗЫ!$F$3:$F$500,$A268)=0,"",SUMIF(ЗАКАЗЫ!$F$3:$F$500,$A268,ЗАКАЗЫ!$J$3:$J$500))</f>
        <v/>
      </c>
      <c r="BO268" s="7" t="str">
        <f aca="false">IF(BN268="","",SUMIF(ЗАКАЗЫ!$F$3:$F$500,$A268,ЗАКАЗЫ!$AL$3:$AL$500))</f>
        <v/>
      </c>
      <c r="BP268" s="7" t="str">
        <f aca="false">IF(BN268="","",BN268-BO268)</f>
        <v/>
      </c>
      <c r="BQ268" s="55" t="str">
        <f aca="false">IF(BN268="","",IF(BO268&gt;=BN268,"На складе",IF(BO268&gt;0,"Частично","Ждём")))</f>
        <v/>
      </c>
      <c r="BR268" s="43"/>
      <c r="BS268" s="47" t="str">
        <f aca="false">IF(BN268="","",IF(_xlfn.MAXIFS(ЗАКАЗЫ!$AK$3:$AK$500,ЗАКАЗЫ!$F$3:$F$500,$A268)=0,"",_xlfn.MAXIFS(ЗАКАЗЫ!$AK$3:$AK$500,ЗАКАЗЫ!$F$3:$F$500,$A268)))</f>
        <v/>
      </c>
    </row>
    <row r="269" customFormat="false" ht="15.75" hidden="false" customHeight="true" outlineLevel="0" collapsed="false">
      <c r="A269" s="80" t="s">
        <v>3180</v>
      </c>
      <c r="B269" s="81"/>
      <c r="C269" s="81"/>
      <c r="D269" s="81"/>
      <c r="E269" s="83"/>
      <c r="F269" s="81"/>
      <c r="G269" s="83"/>
      <c r="H269" s="83"/>
      <c r="I269" s="84" t="str">
        <f aca="false">IF(E269="","",A269&amp;"_1.jpg")</f>
        <v/>
      </c>
      <c r="J269" s="84" t="str">
        <f aca="false">IF(E269="","",A269&amp;"_2.jpg; "&amp;A269&amp;"_3.jpg")</f>
        <v/>
      </c>
      <c r="K269" s="84" t="str">
        <f aca="false">IF(E269="","",A269&amp;"_schema.jpg")</f>
        <v/>
      </c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 t="s">
        <v>96</v>
      </c>
      <c r="W269" s="81"/>
      <c r="X269" s="81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6" t="str">
        <f aca="false">IF(SUM(Y269:AJ269)=0,"",SUM(Y269:AJ269))</f>
        <v/>
      </c>
      <c r="AL269" s="84" t="str">
        <f aca="false">MID(IF(N(Y269)&gt;0,", "&amp;Y$2,"")&amp;IF(N(Z269)&gt;0,", "&amp;Z$2,"")&amp;IF(N(AA269)&gt;0,", "&amp;AA$2,"")&amp;IF(N(AB269)&gt;0,", "&amp;AB$2,"")&amp;IF(N(AC269)&gt;0,", "&amp;AC$2,"")&amp;IF(N(AD269)&gt;0,", "&amp;AD$2,"")&amp;IF(N(AE269)&gt;0,", "&amp;AE$2,"")&amp;IF(N(AF269)&gt;0,", "&amp;AF$2,"")&amp;IF(N(AG269)&gt;0,", "&amp;AG$2,"")&amp;IF(N(AH269)&gt;0,", "&amp;AH$2,"")&amp;IF(N(AI269)&gt;0,", "&amp;AI$2,"")&amp;IF(N(AJ269)&gt;0,", "&amp;AJ$2,""),3,999)</f>
        <v/>
      </c>
      <c r="AM269" s="87" t="str">
        <f aca="false">IF(E269="","",MID(IF(N(Y269)&gt;0,", "&amp;A269&amp;"-"&amp;Y$2,"")&amp;IF(N(Z269)&gt;0,", "&amp;A269&amp;"-"&amp;Z$2,"")&amp;IF(N(AA269)&gt;0,", "&amp;A269&amp;"-"&amp;AA$2,"")&amp;IF(N(AB269)&gt;0,", "&amp;A269&amp;"-"&amp;AB$2,"")&amp;IF(N(AC269)&gt;0,", "&amp;A269&amp;"-"&amp;AC$2,"")&amp;IF(N(AD269)&gt;0,", "&amp;A269&amp;"-"&amp;AD$2,"")&amp;IF(N(AE269)&gt;0,", "&amp;A269&amp;"-"&amp;AE$2,"")&amp;IF(N(AF269)&gt;0,", "&amp;A269&amp;"-"&amp;AF$2,"")&amp;IF(N(AG269)&gt;0,", "&amp;A269&amp;"-"&amp;AG$2,"")&amp;IF(N(AH269)&gt;0,", "&amp;A269&amp;"-"&amp;AH$2,"")&amp;IF(N(AI269)&gt;0,", "&amp;A269&amp;"-"&amp;AI$2,"")&amp;IF(N(AJ269)&gt;0,", "&amp;A269&amp;"-"&amp;AJ$2,""),3,999))</f>
        <v/>
      </c>
      <c r="AN269" s="81"/>
      <c r="AO269" s="88"/>
      <c r="AP269" s="89" t="str">
        <f aca="false">IF(AO269="","",ROUND(AO269/(1+Справочники!$B$13),2))</f>
        <v/>
      </c>
      <c r="AQ269" s="90" t="str">
        <f aca="false" t="array" ref="AQ269:AQ269">IF(AP269="","",AP269*INDEX(Справочники!$B$4:$B$7,MATCH("RUB",Справочники!$A$4:$A$7,0)))</f>
        <v/>
      </c>
      <c r="AR269" s="90" t="str">
        <f aca="false">IF(AQ269="","",ROUND(AQ269*(1+Справочники!$B$12),0))</f>
        <v/>
      </c>
      <c r="AS269" s="90" t="str">
        <f aca="false">IF(AR269="","",ROUND(AR269*(1-Справочники!$B$11),0))</f>
        <v/>
      </c>
      <c r="AT269" s="88"/>
      <c r="AU269" s="90" t="str">
        <f aca="false">IF(AT269="","",ROUND(AT269/(1+Справочники!$B$12),0))</f>
        <v/>
      </c>
      <c r="AV269" s="90" t="str">
        <f aca="false">IF(AT269="","",ROUND(AT269*(1-Справочники!$B$15),0))</f>
        <v/>
      </c>
      <c r="AW269" s="90" t="str">
        <f aca="false">IF(AT269="","",ROUND(AT269*(1-Справочники!$B$16),0))</f>
        <v/>
      </c>
      <c r="AX269" s="90" t="str">
        <f aca="false">IF(AT269="","",ROUND(AT269*(1-Справочники!$B$17),0))</f>
        <v/>
      </c>
      <c r="AY269" s="90" t="str">
        <f aca="false">IF(AT269="","",ROUND(AT269*(1-Справочники!$B$18),0))</f>
        <v/>
      </c>
      <c r="AZ269" s="90" t="str">
        <f aca="false">IF(AT269="","",ROUND(AT269*(1-Справочники!$B$19),0))</f>
        <v/>
      </c>
      <c r="BA269" s="81"/>
      <c r="BB269" s="81"/>
      <c r="BC269" s="81"/>
      <c r="BD269" s="81"/>
      <c r="BE269" s="91"/>
      <c r="BF269" s="81" t="s">
        <v>103</v>
      </c>
      <c r="BG269" s="89" t="n">
        <f aca="false" t="array" ref="BG269:BG269">IF(BF269="","",IFERROR(INDEX(Справочники!$B$4:$B$7,MATCH(BF269,Справочники!$A$4:$A$7,0)),""))</f>
        <v>68.5</v>
      </c>
      <c r="BH269" s="90" t="str">
        <f aca="false">IF(N(BN269)&gt;0,ROUND(SUMIF(ЗАКАЗЫ!$F$3:$F$500,$A269,ЗАКАЗЫ!$Y$3:$Y$500)/BN269,0),IF(OR(BE269="",BG269=""),"",ROUND(BE269*BG269*(1+Справочники!$B$10),0)))</f>
        <v/>
      </c>
      <c r="BI269" s="92" t="str">
        <f aca="false">IF(OR(AU269="",BH269="",AU269=0),"",(AU269-BH269)/AU269)</f>
        <v/>
      </c>
      <c r="BJ269" s="81"/>
      <c r="BK269" s="83"/>
      <c r="BL269" s="43" t="str">
        <f aca="false">IFERROR(INDEX(ЗАКАЗЫ!$N$3:$N$500,MATCH($A269,ЗАКАЗЫ!$F$3:$F$500,0)),"")</f>
        <v/>
      </c>
      <c r="BM269" s="8" t="str">
        <f aca="false">IF(BL269="","",IFERROR(VLOOKUP(BL269,'ТН ВЭД'!$A$4:$C$40,3,0),""))</f>
        <v/>
      </c>
      <c r="BN269" s="7" t="str">
        <f aca="false">IF(COUNTIF(ЗАКАЗЫ!$F$3:$F$500,$A269)=0,"",SUMIF(ЗАКАЗЫ!$F$3:$F$500,$A269,ЗАКАЗЫ!$J$3:$J$500))</f>
        <v/>
      </c>
      <c r="BO269" s="7" t="str">
        <f aca="false">IF(BN269="","",SUMIF(ЗАКАЗЫ!$F$3:$F$500,$A269,ЗАКАЗЫ!$AL$3:$AL$500))</f>
        <v/>
      </c>
      <c r="BP269" s="7" t="str">
        <f aca="false">IF(BN269="","",BN269-BO269)</f>
        <v/>
      </c>
      <c r="BQ269" s="55" t="str">
        <f aca="false">IF(BN269="","",IF(BO269&gt;=BN269,"На складе",IF(BO269&gt;0,"Частично","Ждём")))</f>
        <v/>
      </c>
      <c r="BR269" s="43"/>
      <c r="BS269" s="47" t="str">
        <f aca="false">IF(BN269="","",IF(_xlfn.MAXIFS(ЗАКАЗЫ!$AK$3:$AK$500,ЗАКАЗЫ!$F$3:$F$500,$A269)=0,"",_xlfn.MAXIFS(ЗАКАЗЫ!$AK$3:$AK$500,ЗАКАЗЫ!$F$3:$F$500,$A269)))</f>
        <v/>
      </c>
    </row>
    <row r="270" customFormat="false" ht="15.75" hidden="false" customHeight="true" outlineLevel="0" collapsed="false">
      <c r="A270" s="80" t="s">
        <v>3181</v>
      </c>
      <c r="B270" s="81"/>
      <c r="C270" s="81"/>
      <c r="D270" s="81"/>
      <c r="E270" s="83"/>
      <c r="F270" s="81"/>
      <c r="G270" s="83"/>
      <c r="H270" s="83"/>
      <c r="I270" s="84" t="str">
        <f aca="false">IF(E270="","",A270&amp;"_1.jpg")</f>
        <v/>
      </c>
      <c r="J270" s="84" t="str">
        <f aca="false">IF(E270="","",A270&amp;"_2.jpg; "&amp;A270&amp;"_3.jpg")</f>
        <v/>
      </c>
      <c r="K270" s="84" t="str">
        <f aca="false">IF(E270="","",A270&amp;"_schema.jpg")</f>
        <v/>
      </c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 t="s">
        <v>96</v>
      </c>
      <c r="W270" s="81"/>
      <c r="X270" s="81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6" t="str">
        <f aca="false">IF(SUM(Y270:AJ270)=0,"",SUM(Y270:AJ270))</f>
        <v/>
      </c>
      <c r="AL270" s="84" t="str">
        <f aca="false">MID(IF(N(Y270)&gt;0,", "&amp;Y$2,"")&amp;IF(N(Z270)&gt;0,", "&amp;Z$2,"")&amp;IF(N(AA270)&gt;0,", "&amp;AA$2,"")&amp;IF(N(AB270)&gt;0,", "&amp;AB$2,"")&amp;IF(N(AC270)&gt;0,", "&amp;AC$2,"")&amp;IF(N(AD270)&gt;0,", "&amp;AD$2,"")&amp;IF(N(AE270)&gt;0,", "&amp;AE$2,"")&amp;IF(N(AF270)&gt;0,", "&amp;AF$2,"")&amp;IF(N(AG270)&gt;0,", "&amp;AG$2,"")&amp;IF(N(AH270)&gt;0,", "&amp;AH$2,"")&amp;IF(N(AI270)&gt;0,", "&amp;AI$2,"")&amp;IF(N(AJ270)&gt;0,", "&amp;AJ$2,""),3,999)</f>
        <v/>
      </c>
      <c r="AM270" s="87" t="str">
        <f aca="false">IF(E270="","",MID(IF(N(Y270)&gt;0,", "&amp;A270&amp;"-"&amp;Y$2,"")&amp;IF(N(Z270)&gt;0,", "&amp;A270&amp;"-"&amp;Z$2,"")&amp;IF(N(AA270)&gt;0,", "&amp;A270&amp;"-"&amp;AA$2,"")&amp;IF(N(AB270)&gt;0,", "&amp;A270&amp;"-"&amp;AB$2,"")&amp;IF(N(AC270)&gt;0,", "&amp;A270&amp;"-"&amp;AC$2,"")&amp;IF(N(AD270)&gt;0,", "&amp;A270&amp;"-"&amp;AD$2,"")&amp;IF(N(AE270)&gt;0,", "&amp;A270&amp;"-"&amp;AE$2,"")&amp;IF(N(AF270)&gt;0,", "&amp;A270&amp;"-"&amp;AF$2,"")&amp;IF(N(AG270)&gt;0,", "&amp;A270&amp;"-"&amp;AG$2,"")&amp;IF(N(AH270)&gt;0,", "&amp;A270&amp;"-"&amp;AH$2,"")&amp;IF(N(AI270)&gt;0,", "&amp;A270&amp;"-"&amp;AI$2,"")&amp;IF(N(AJ270)&gt;0,", "&amp;A270&amp;"-"&amp;AJ$2,""),3,999))</f>
        <v/>
      </c>
      <c r="AN270" s="81"/>
      <c r="AO270" s="88"/>
      <c r="AP270" s="89" t="str">
        <f aca="false">IF(AO270="","",ROUND(AO270/(1+Справочники!$B$13),2))</f>
        <v/>
      </c>
      <c r="AQ270" s="90" t="str">
        <f aca="false" t="array" ref="AQ270:AQ270">IF(AP270="","",AP270*INDEX(Справочники!$B$4:$B$7,MATCH("RUB",Справочники!$A$4:$A$7,0)))</f>
        <v/>
      </c>
      <c r="AR270" s="90" t="str">
        <f aca="false">IF(AQ270="","",ROUND(AQ270*(1+Справочники!$B$12),0))</f>
        <v/>
      </c>
      <c r="AS270" s="90" t="str">
        <f aca="false">IF(AR270="","",ROUND(AR270*(1-Справочники!$B$11),0))</f>
        <v/>
      </c>
      <c r="AT270" s="88"/>
      <c r="AU270" s="90" t="str">
        <f aca="false">IF(AT270="","",ROUND(AT270/(1+Справочники!$B$12),0))</f>
        <v/>
      </c>
      <c r="AV270" s="90" t="str">
        <f aca="false">IF(AT270="","",ROUND(AT270*(1-Справочники!$B$15),0))</f>
        <v/>
      </c>
      <c r="AW270" s="90" t="str">
        <f aca="false">IF(AT270="","",ROUND(AT270*(1-Справочники!$B$16),0))</f>
        <v/>
      </c>
      <c r="AX270" s="90" t="str">
        <f aca="false">IF(AT270="","",ROUND(AT270*(1-Справочники!$B$17),0))</f>
        <v/>
      </c>
      <c r="AY270" s="90" t="str">
        <f aca="false">IF(AT270="","",ROUND(AT270*(1-Справочники!$B$18),0))</f>
        <v/>
      </c>
      <c r="AZ270" s="90" t="str">
        <f aca="false">IF(AT270="","",ROUND(AT270*(1-Справочники!$B$19),0))</f>
        <v/>
      </c>
      <c r="BA270" s="81"/>
      <c r="BB270" s="81"/>
      <c r="BC270" s="81"/>
      <c r="BD270" s="81"/>
      <c r="BE270" s="91"/>
      <c r="BF270" s="81" t="s">
        <v>103</v>
      </c>
      <c r="BG270" s="89" t="n">
        <f aca="false" t="array" ref="BG270:BG270">IF(BF270="","",IFERROR(INDEX(Справочники!$B$4:$B$7,MATCH(BF270,Справочники!$A$4:$A$7,0)),""))</f>
        <v>68.5</v>
      </c>
      <c r="BH270" s="90" t="str">
        <f aca="false">IF(N(BN270)&gt;0,ROUND(SUMIF(ЗАКАЗЫ!$F$3:$F$500,$A270,ЗАКАЗЫ!$Y$3:$Y$500)/BN270,0),IF(OR(BE270="",BG270=""),"",ROUND(BE270*BG270*(1+Справочники!$B$10),0)))</f>
        <v/>
      </c>
      <c r="BI270" s="92" t="str">
        <f aca="false">IF(OR(AU270="",BH270="",AU270=0),"",(AU270-BH270)/AU270)</f>
        <v/>
      </c>
      <c r="BJ270" s="81"/>
      <c r="BK270" s="83"/>
      <c r="BL270" s="43" t="str">
        <f aca="false">IFERROR(INDEX(ЗАКАЗЫ!$N$3:$N$500,MATCH($A270,ЗАКАЗЫ!$F$3:$F$500,0)),"")</f>
        <v/>
      </c>
      <c r="BM270" s="8" t="str">
        <f aca="false">IF(BL270="","",IFERROR(VLOOKUP(BL270,'ТН ВЭД'!$A$4:$C$40,3,0),""))</f>
        <v/>
      </c>
      <c r="BN270" s="7" t="str">
        <f aca="false">IF(COUNTIF(ЗАКАЗЫ!$F$3:$F$500,$A270)=0,"",SUMIF(ЗАКАЗЫ!$F$3:$F$500,$A270,ЗАКАЗЫ!$J$3:$J$500))</f>
        <v/>
      </c>
      <c r="BO270" s="7" t="str">
        <f aca="false">IF(BN270="","",SUMIF(ЗАКАЗЫ!$F$3:$F$500,$A270,ЗАКАЗЫ!$AL$3:$AL$500))</f>
        <v/>
      </c>
      <c r="BP270" s="7" t="str">
        <f aca="false">IF(BN270="","",BN270-BO270)</f>
        <v/>
      </c>
      <c r="BQ270" s="55" t="str">
        <f aca="false">IF(BN270="","",IF(BO270&gt;=BN270,"На складе",IF(BO270&gt;0,"Частично","Ждём")))</f>
        <v/>
      </c>
      <c r="BR270" s="43"/>
      <c r="BS270" s="47" t="str">
        <f aca="false">IF(BN270="","",IF(_xlfn.MAXIFS(ЗАКАЗЫ!$AK$3:$AK$500,ЗАКАЗЫ!$F$3:$F$500,$A270)=0,"",_xlfn.MAXIFS(ЗАКАЗЫ!$AK$3:$AK$500,ЗАКАЗЫ!$F$3:$F$500,$A270)))</f>
        <v/>
      </c>
    </row>
    <row r="271" customFormat="false" ht="15.75" hidden="false" customHeight="true" outlineLevel="0" collapsed="false">
      <c r="A271" s="80" t="s">
        <v>3182</v>
      </c>
      <c r="B271" s="81"/>
      <c r="C271" s="81"/>
      <c r="D271" s="81"/>
      <c r="E271" s="83"/>
      <c r="F271" s="81"/>
      <c r="G271" s="83"/>
      <c r="H271" s="83"/>
      <c r="I271" s="84" t="str">
        <f aca="false">IF(E271="","",A271&amp;"_1.jpg")</f>
        <v/>
      </c>
      <c r="J271" s="84" t="str">
        <f aca="false">IF(E271="","",A271&amp;"_2.jpg; "&amp;A271&amp;"_3.jpg")</f>
        <v/>
      </c>
      <c r="K271" s="84" t="str">
        <f aca="false">IF(E271="","",A271&amp;"_schema.jpg")</f>
        <v/>
      </c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 t="s">
        <v>96</v>
      </c>
      <c r="W271" s="81"/>
      <c r="X271" s="81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6" t="str">
        <f aca="false">IF(SUM(Y271:AJ271)=0,"",SUM(Y271:AJ271))</f>
        <v/>
      </c>
      <c r="AL271" s="84" t="str">
        <f aca="false">MID(IF(N(Y271)&gt;0,", "&amp;Y$2,"")&amp;IF(N(Z271)&gt;0,", "&amp;Z$2,"")&amp;IF(N(AA271)&gt;0,", "&amp;AA$2,"")&amp;IF(N(AB271)&gt;0,", "&amp;AB$2,"")&amp;IF(N(AC271)&gt;0,", "&amp;AC$2,"")&amp;IF(N(AD271)&gt;0,", "&amp;AD$2,"")&amp;IF(N(AE271)&gt;0,", "&amp;AE$2,"")&amp;IF(N(AF271)&gt;0,", "&amp;AF$2,"")&amp;IF(N(AG271)&gt;0,", "&amp;AG$2,"")&amp;IF(N(AH271)&gt;0,", "&amp;AH$2,"")&amp;IF(N(AI271)&gt;0,", "&amp;AI$2,"")&amp;IF(N(AJ271)&gt;0,", "&amp;AJ$2,""),3,999)</f>
        <v/>
      </c>
      <c r="AM271" s="87" t="str">
        <f aca="false">IF(E271="","",MID(IF(N(Y271)&gt;0,", "&amp;A271&amp;"-"&amp;Y$2,"")&amp;IF(N(Z271)&gt;0,", "&amp;A271&amp;"-"&amp;Z$2,"")&amp;IF(N(AA271)&gt;0,", "&amp;A271&amp;"-"&amp;AA$2,"")&amp;IF(N(AB271)&gt;0,", "&amp;A271&amp;"-"&amp;AB$2,"")&amp;IF(N(AC271)&gt;0,", "&amp;A271&amp;"-"&amp;AC$2,"")&amp;IF(N(AD271)&gt;0,", "&amp;A271&amp;"-"&amp;AD$2,"")&amp;IF(N(AE271)&gt;0,", "&amp;A271&amp;"-"&amp;AE$2,"")&amp;IF(N(AF271)&gt;0,", "&amp;A271&amp;"-"&amp;AF$2,"")&amp;IF(N(AG271)&gt;0,", "&amp;A271&amp;"-"&amp;AG$2,"")&amp;IF(N(AH271)&gt;0,", "&amp;A271&amp;"-"&amp;AH$2,"")&amp;IF(N(AI271)&gt;0,", "&amp;A271&amp;"-"&amp;AI$2,"")&amp;IF(N(AJ271)&gt;0,", "&amp;A271&amp;"-"&amp;AJ$2,""),3,999))</f>
        <v/>
      </c>
      <c r="AN271" s="81"/>
      <c r="AO271" s="88"/>
      <c r="AP271" s="89" t="str">
        <f aca="false">IF(AO271="","",ROUND(AO271/(1+Справочники!$B$13),2))</f>
        <v/>
      </c>
      <c r="AQ271" s="90" t="str">
        <f aca="false" t="array" ref="AQ271:AQ271">IF(AP271="","",AP271*INDEX(Справочники!$B$4:$B$7,MATCH("RUB",Справочники!$A$4:$A$7,0)))</f>
        <v/>
      </c>
      <c r="AR271" s="90" t="str">
        <f aca="false">IF(AQ271="","",ROUND(AQ271*(1+Справочники!$B$12),0))</f>
        <v/>
      </c>
      <c r="AS271" s="90" t="str">
        <f aca="false">IF(AR271="","",ROUND(AR271*(1-Справочники!$B$11),0))</f>
        <v/>
      </c>
      <c r="AT271" s="88"/>
      <c r="AU271" s="90" t="str">
        <f aca="false">IF(AT271="","",ROUND(AT271/(1+Справочники!$B$12),0))</f>
        <v/>
      </c>
      <c r="AV271" s="90" t="str">
        <f aca="false">IF(AT271="","",ROUND(AT271*(1-Справочники!$B$15),0))</f>
        <v/>
      </c>
      <c r="AW271" s="90" t="str">
        <f aca="false">IF(AT271="","",ROUND(AT271*(1-Справочники!$B$16),0))</f>
        <v/>
      </c>
      <c r="AX271" s="90" t="str">
        <f aca="false">IF(AT271="","",ROUND(AT271*(1-Справочники!$B$17),0))</f>
        <v/>
      </c>
      <c r="AY271" s="90" t="str">
        <f aca="false">IF(AT271="","",ROUND(AT271*(1-Справочники!$B$18),0))</f>
        <v/>
      </c>
      <c r="AZ271" s="90" t="str">
        <f aca="false">IF(AT271="","",ROUND(AT271*(1-Справочники!$B$19),0))</f>
        <v/>
      </c>
      <c r="BA271" s="81"/>
      <c r="BB271" s="81"/>
      <c r="BC271" s="81"/>
      <c r="BD271" s="81"/>
      <c r="BE271" s="91"/>
      <c r="BF271" s="81" t="s">
        <v>103</v>
      </c>
      <c r="BG271" s="89" t="n">
        <f aca="false" t="array" ref="BG271:BG271">IF(BF271="","",IFERROR(INDEX(Справочники!$B$4:$B$7,MATCH(BF271,Справочники!$A$4:$A$7,0)),""))</f>
        <v>68.5</v>
      </c>
      <c r="BH271" s="90" t="str">
        <f aca="false">IF(N(BN271)&gt;0,ROUND(SUMIF(ЗАКАЗЫ!$F$3:$F$500,$A271,ЗАКАЗЫ!$Y$3:$Y$500)/BN271,0),IF(OR(BE271="",BG271=""),"",ROUND(BE271*BG271*(1+Справочники!$B$10),0)))</f>
        <v/>
      </c>
      <c r="BI271" s="92" t="str">
        <f aca="false">IF(OR(AU271="",BH271="",AU271=0),"",(AU271-BH271)/AU271)</f>
        <v/>
      </c>
      <c r="BJ271" s="81"/>
      <c r="BK271" s="83"/>
      <c r="BL271" s="43" t="str">
        <f aca="false">IFERROR(INDEX(ЗАКАЗЫ!$N$3:$N$500,MATCH($A271,ЗАКАЗЫ!$F$3:$F$500,0)),"")</f>
        <v/>
      </c>
      <c r="BM271" s="8" t="str">
        <f aca="false">IF(BL271="","",IFERROR(VLOOKUP(BL271,'ТН ВЭД'!$A$4:$C$40,3,0),""))</f>
        <v/>
      </c>
      <c r="BN271" s="7" t="str">
        <f aca="false">IF(COUNTIF(ЗАКАЗЫ!$F$3:$F$500,$A271)=0,"",SUMIF(ЗАКАЗЫ!$F$3:$F$500,$A271,ЗАКАЗЫ!$J$3:$J$500))</f>
        <v/>
      </c>
      <c r="BO271" s="7" t="str">
        <f aca="false">IF(BN271="","",SUMIF(ЗАКАЗЫ!$F$3:$F$500,$A271,ЗАКАЗЫ!$AL$3:$AL$500))</f>
        <v/>
      </c>
      <c r="BP271" s="7" t="str">
        <f aca="false">IF(BN271="","",BN271-BO271)</f>
        <v/>
      </c>
      <c r="BQ271" s="55" t="str">
        <f aca="false">IF(BN271="","",IF(BO271&gt;=BN271,"На складе",IF(BO271&gt;0,"Частично","Ждём")))</f>
        <v/>
      </c>
      <c r="BR271" s="43"/>
      <c r="BS271" s="47" t="str">
        <f aca="false">IF(BN271="","",IF(_xlfn.MAXIFS(ЗАКАЗЫ!$AK$3:$AK$500,ЗАКАЗЫ!$F$3:$F$500,$A271)=0,"",_xlfn.MAXIFS(ЗАКАЗЫ!$AK$3:$AK$500,ЗАКАЗЫ!$F$3:$F$500,$A271)))</f>
        <v/>
      </c>
    </row>
    <row r="272" customFormat="false" ht="15.75" hidden="false" customHeight="true" outlineLevel="0" collapsed="false">
      <c r="A272" s="80" t="s">
        <v>3183</v>
      </c>
      <c r="B272" s="81"/>
      <c r="C272" s="81"/>
      <c r="D272" s="81"/>
      <c r="E272" s="83"/>
      <c r="F272" s="81"/>
      <c r="G272" s="83"/>
      <c r="H272" s="83"/>
      <c r="I272" s="84" t="str">
        <f aca="false">IF(E272="","",A272&amp;"_1.jpg")</f>
        <v/>
      </c>
      <c r="J272" s="84" t="str">
        <f aca="false">IF(E272="","",A272&amp;"_2.jpg; "&amp;A272&amp;"_3.jpg")</f>
        <v/>
      </c>
      <c r="K272" s="84" t="str">
        <f aca="false">IF(E272="","",A272&amp;"_schema.jpg")</f>
        <v/>
      </c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 t="s">
        <v>96</v>
      </c>
      <c r="W272" s="81"/>
      <c r="X272" s="81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6" t="str">
        <f aca="false">IF(SUM(Y272:AJ272)=0,"",SUM(Y272:AJ272))</f>
        <v/>
      </c>
      <c r="AL272" s="84" t="str">
        <f aca="false">MID(IF(N(Y272)&gt;0,", "&amp;Y$2,"")&amp;IF(N(Z272)&gt;0,", "&amp;Z$2,"")&amp;IF(N(AA272)&gt;0,", "&amp;AA$2,"")&amp;IF(N(AB272)&gt;0,", "&amp;AB$2,"")&amp;IF(N(AC272)&gt;0,", "&amp;AC$2,"")&amp;IF(N(AD272)&gt;0,", "&amp;AD$2,"")&amp;IF(N(AE272)&gt;0,", "&amp;AE$2,"")&amp;IF(N(AF272)&gt;0,", "&amp;AF$2,"")&amp;IF(N(AG272)&gt;0,", "&amp;AG$2,"")&amp;IF(N(AH272)&gt;0,", "&amp;AH$2,"")&amp;IF(N(AI272)&gt;0,", "&amp;AI$2,"")&amp;IF(N(AJ272)&gt;0,", "&amp;AJ$2,""),3,999)</f>
        <v/>
      </c>
      <c r="AM272" s="87" t="str">
        <f aca="false">IF(E272="","",MID(IF(N(Y272)&gt;0,", "&amp;A272&amp;"-"&amp;Y$2,"")&amp;IF(N(Z272)&gt;0,", "&amp;A272&amp;"-"&amp;Z$2,"")&amp;IF(N(AA272)&gt;0,", "&amp;A272&amp;"-"&amp;AA$2,"")&amp;IF(N(AB272)&gt;0,", "&amp;A272&amp;"-"&amp;AB$2,"")&amp;IF(N(AC272)&gt;0,", "&amp;A272&amp;"-"&amp;AC$2,"")&amp;IF(N(AD272)&gt;0,", "&amp;A272&amp;"-"&amp;AD$2,"")&amp;IF(N(AE272)&gt;0,", "&amp;A272&amp;"-"&amp;AE$2,"")&amp;IF(N(AF272)&gt;0,", "&amp;A272&amp;"-"&amp;AF$2,"")&amp;IF(N(AG272)&gt;0,", "&amp;A272&amp;"-"&amp;AG$2,"")&amp;IF(N(AH272)&gt;0,", "&amp;A272&amp;"-"&amp;AH$2,"")&amp;IF(N(AI272)&gt;0,", "&amp;A272&amp;"-"&amp;AI$2,"")&amp;IF(N(AJ272)&gt;0,", "&amp;A272&amp;"-"&amp;AJ$2,""),3,999))</f>
        <v/>
      </c>
      <c r="AN272" s="81"/>
      <c r="AO272" s="88"/>
      <c r="AP272" s="89" t="str">
        <f aca="false">IF(AO272="","",ROUND(AO272/(1+Справочники!$B$13),2))</f>
        <v/>
      </c>
      <c r="AQ272" s="90" t="str">
        <f aca="false" t="array" ref="AQ272:AQ272">IF(AP272="","",AP272*INDEX(Справочники!$B$4:$B$7,MATCH("RUB",Справочники!$A$4:$A$7,0)))</f>
        <v/>
      </c>
      <c r="AR272" s="90" t="str">
        <f aca="false">IF(AQ272="","",ROUND(AQ272*(1+Справочники!$B$12),0))</f>
        <v/>
      </c>
      <c r="AS272" s="90" t="str">
        <f aca="false">IF(AR272="","",ROUND(AR272*(1-Справочники!$B$11),0))</f>
        <v/>
      </c>
      <c r="AT272" s="88"/>
      <c r="AU272" s="90" t="str">
        <f aca="false">IF(AT272="","",ROUND(AT272/(1+Справочники!$B$12),0))</f>
        <v/>
      </c>
      <c r="AV272" s="90" t="str">
        <f aca="false">IF(AT272="","",ROUND(AT272*(1-Справочники!$B$15),0))</f>
        <v/>
      </c>
      <c r="AW272" s="90" t="str">
        <f aca="false">IF(AT272="","",ROUND(AT272*(1-Справочники!$B$16),0))</f>
        <v/>
      </c>
      <c r="AX272" s="90" t="str">
        <f aca="false">IF(AT272="","",ROUND(AT272*(1-Справочники!$B$17),0))</f>
        <v/>
      </c>
      <c r="AY272" s="90" t="str">
        <f aca="false">IF(AT272="","",ROUND(AT272*(1-Справочники!$B$18),0))</f>
        <v/>
      </c>
      <c r="AZ272" s="90" t="str">
        <f aca="false">IF(AT272="","",ROUND(AT272*(1-Справочники!$B$19),0))</f>
        <v/>
      </c>
      <c r="BA272" s="81"/>
      <c r="BB272" s="81"/>
      <c r="BC272" s="81"/>
      <c r="BD272" s="81"/>
      <c r="BE272" s="91"/>
      <c r="BF272" s="81" t="s">
        <v>103</v>
      </c>
      <c r="BG272" s="89" t="n">
        <f aca="false" t="array" ref="BG272:BG272">IF(BF272="","",IFERROR(INDEX(Справочники!$B$4:$B$7,MATCH(BF272,Справочники!$A$4:$A$7,0)),""))</f>
        <v>68.5</v>
      </c>
      <c r="BH272" s="90" t="str">
        <f aca="false">IF(N(BN272)&gt;0,ROUND(SUMIF(ЗАКАЗЫ!$F$3:$F$500,$A272,ЗАКАЗЫ!$Y$3:$Y$500)/BN272,0),IF(OR(BE272="",BG272=""),"",ROUND(BE272*BG272*(1+Справочники!$B$10),0)))</f>
        <v/>
      </c>
      <c r="BI272" s="92" t="str">
        <f aca="false">IF(OR(AU272="",BH272="",AU272=0),"",(AU272-BH272)/AU272)</f>
        <v/>
      </c>
      <c r="BJ272" s="81"/>
      <c r="BK272" s="83"/>
      <c r="BL272" s="43" t="str">
        <f aca="false">IFERROR(INDEX(ЗАКАЗЫ!$N$3:$N$500,MATCH($A272,ЗАКАЗЫ!$F$3:$F$500,0)),"")</f>
        <v/>
      </c>
      <c r="BM272" s="8" t="str">
        <f aca="false">IF(BL272="","",IFERROR(VLOOKUP(BL272,'ТН ВЭД'!$A$4:$C$40,3,0),""))</f>
        <v/>
      </c>
      <c r="BN272" s="7" t="str">
        <f aca="false">IF(COUNTIF(ЗАКАЗЫ!$F$3:$F$500,$A272)=0,"",SUMIF(ЗАКАЗЫ!$F$3:$F$500,$A272,ЗАКАЗЫ!$J$3:$J$500))</f>
        <v/>
      </c>
      <c r="BO272" s="7" t="str">
        <f aca="false">IF(BN272="","",SUMIF(ЗАКАЗЫ!$F$3:$F$500,$A272,ЗАКАЗЫ!$AL$3:$AL$500))</f>
        <v/>
      </c>
      <c r="BP272" s="7" t="str">
        <f aca="false">IF(BN272="","",BN272-BO272)</f>
        <v/>
      </c>
      <c r="BQ272" s="55" t="str">
        <f aca="false">IF(BN272="","",IF(BO272&gt;=BN272,"На складе",IF(BO272&gt;0,"Частично","Ждём")))</f>
        <v/>
      </c>
      <c r="BR272" s="43"/>
      <c r="BS272" s="47" t="str">
        <f aca="false">IF(BN272="","",IF(_xlfn.MAXIFS(ЗАКАЗЫ!$AK$3:$AK$500,ЗАКАЗЫ!$F$3:$F$500,$A272)=0,"",_xlfn.MAXIFS(ЗАКАЗЫ!$AK$3:$AK$500,ЗАКАЗЫ!$F$3:$F$500,$A272)))</f>
        <v/>
      </c>
    </row>
    <row r="273" customFormat="false" ht="15.75" hidden="false" customHeight="true" outlineLevel="0" collapsed="false">
      <c r="A273" s="80" t="s">
        <v>3184</v>
      </c>
      <c r="B273" s="81"/>
      <c r="C273" s="81"/>
      <c r="D273" s="81"/>
      <c r="E273" s="83"/>
      <c r="F273" s="81"/>
      <c r="G273" s="83"/>
      <c r="H273" s="83"/>
      <c r="I273" s="84" t="str">
        <f aca="false">IF(E273="","",A273&amp;"_1.jpg")</f>
        <v/>
      </c>
      <c r="J273" s="84" t="str">
        <f aca="false">IF(E273="","",A273&amp;"_2.jpg; "&amp;A273&amp;"_3.jpg")</f>
        <v/>
      </c>
      <c r="K273" s="84" t="str">
        <f aca="false">IF(E273="","",A273&amp;"_schema.jpg")</f>
        <v/>
      </c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 t="s">
        <v>96</v>
      </c>
      <c r="W273" s="81"/>
      <c r="X273" s="81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6" t="str">
        <f aca="false">IF(SUM(Y273:AJ273)=0,"",SUM(Y273:AJ273))</f>
        <v/>
      </c>
      <c r="AL273" s="84" t="str">
        <f aca="false">MID(IF(N(Y273)&gt;0,", "&amp;Y$2,"")&amp;IF(N(Z273)&gt;0,", "&amp;Z$2,"")&amp;IF(N(AA273)&gt;0,", "&amp;AA$2,"")&amp;IF(N(AB273)&gt;0,", "&amp;AB$2,"")&amp;IF(N(AC273)&gt;0,", "&amp;AC$2,"")&amp;IF(N(AD273)&gt;0,", "&amp;AD$2,"")&amp;IF(N(AE273)&gt;0,", "&amp;AE$2,"")&amp;IF(N(AF273)&gt;0,", "&amp;AF$2,"")&amp;IF(N(AG273)&gt;0,", "&amp;AG$2,"")&amp;IF(N(AH273)&gt;0,", "&amp;AH$2,"")&amp;IF(N(AI273)&gt;0,", "&amp;AI$2,"")&amp;IF(N(AJ273)&gt;0,", "&amp;AJ$2,""),3,999)</f>
        <v/>
      </c>
      <c r="AM273" s="87" t="str">
        <f aca="false">IF(E273="","",MID(IF(N(Y273)&gt;0,", "&amp;A273&amp;"-"&amp;Y$2,"")&amp;IF(N(Z273)&gt;0,", "&amp;A273&amp;"-"&amp;Z$2,"")&amp;IF(N(AA273)&gt;0,", "&amp;A273&amp;"-"&amp;AA$2,"")&amp;IF(N(AB273)&gt;0,", "&amp;A273&amp;"-"&amp;AB$2,"")&amp;IF(N(AC273)&gt;0,", "&amp;A273&amp;"-"&amp;AC$2,"")&amp;IF(N(AD273)&gt;0,", "&amp;A273&amp;"-"&amp;AD$2,"")&amp;IF(N(AE273)&gt;0,", "&amp;A273&amp;"-"&amp;AE$2,"")&amp;IF(N(AF273)&gt;0,", "&amp;A273&amp;"-"&amp;AF$2,"")&amp;IF(N(AG273)&gt;0,", "&amp;A273&amp;"-"&amp;AG$2,"")&amp;IF(N(AH273)&gt;0,", "&amp;A273&amp;"-"&amp;AH$2,"")&amp;IF(N(AI273)&gt;0,", "&amp;A273&amp;"-"&amp;AI$2,"")&amp;IF(N(AJ273)&gt;0,", "&amp;A273&amp;"-"&amp;AJ$2,""),3,999))</f>
        <v/>
      </c>
      <c r="AN273" s="81"/>
      <c r="AO273" s="88"/>
      <c r="AP273" s="89" t="str">
        <f aca="false">IF(AO273="","",ROUND(AO273/(1+Справочники!$B$13),2))</f>
        <v/>
      </c>
      <c r="AQ273" s="90" t="str">
        <f aca="false" t="array" ref="AQ273:AQ273">IF(AP273="","",AP273*INDEX(Справочники!$B$4:$B$7,MATCH("RUB",Справочники!$A$4:$A$7,0)))</f>
        <v/>
      </c>
      <c r="AR273" s="90" t="str">
        <f aca="false">IF(AQ273="","",ROUND(AQ273*(1+Справочники!$B$12),0))</f>
        <v/>
      </c>
      <c r="AS273" s="90" t="str">
        <f aca="false">IF(AR273="","",ROUND(AR273*(1-Справочники!$B$11),0))</f>
        <v/>
      </c>
      <c r="AT273" s="88"/>
      <c r="AU273" s="90" t="str">
        <f aca="false">IF(AT273="","",ROUND(AT273/(1+Справочники!$B$12),0))</f>
        <v/>
      </c>
      <c r="AV273" s="90" t="str">
        <f aca="false">IF(AT273="","",ROUND(AT273*(1-Справочники!$B$15),0))</f>
        <v/>
      </c>
      <c r="AW273" s="90" t="str">
        <f aca="false">IF(AT273="","",ROUND(AT273*(1-Справочники!$B$16),0))</f>
        <v/>
      </c>
      <c r="AX273" s="90" t="str">
        <f aca="false">IF(AT273="","",ROUND(AT273*(1-Справочники!$B$17),0))</f>
        <v/>
      </c>
      <c r="AY273" s="90" t="str">
        <f aca="false">IF(AT273="","",ROUND(AT273*(1-Справочники!$B$18),0))</f>
        <v/>
      </c>
      <c r="AZ273" s="90" t="str">
        <f aca="false">IF(AT273="","",ROUND(AT273*(1-Справочники!$B$19),0))</f>
        <v/>
      </c>
      <c r="BA273" s="81"/>
      <c r="BB273" s="81"/>
      <c r="BC273" s="81"/>
      <c r="BD273" s="81"/>
      <c r="BE273" s="91"/>
      <c r="BF273" s="81" t="s">
        <v>103</v>
      </c>
      <c r="BG273" s="89" t="n">
        <f aca="false" t="array" ref="BG273:BG273">IF(BF273="","",IFERROR(INDEX(Справочники!$B$4:$B$7,MATCH(BF273,Справочники!$A$4:$A$7,0)),""))</f>
        <v>68.5</v>
      </c>
      <c r="BH273" s="90" t="str">
        <f aca="false">IF(N(BN273)&gt;0,ROUND(SUMIF(ЗАКАЗЫ!$F$3:$F$500,$A273,ЗАКАЗЫ!$Y$3:$Y$500)/BN273,0),IF(OR(BE273="",BG273=""),"",ROUND(BE273*BG273*(1+Справочники!$B$10),0)))</f>
        <v/>
      </c>
      <c r="BI273" s="92" t="str">
        <f aca="false">IF(OR(AU273="",BH273="",AU273=0),"",(AU273-BH273)/AU273)</f>
        <v/>
      </c>
      <c r="BJ273" s="81"/>
      <c r="BK273" s="83"/>
      <c r="BL273" s="43" t="str">
        <f aca="false">IFERROR(INDEX(ЗАКАЗЫ!$N$3:$N$500,MATCH($A273,ЗАКАЗЫ!$F$3:$F$500,0)),"")</f>
        <v/>
      </c>
      <c r="BM273" s="8" t="str">
        <f aca="false">IF(BL273="","",IFERROR(VLOOKUP(BL273,'ТН ВЭД'!$A$4:$C$40,3,0),""))</f>
        <v/>
      </c>
      <c r="BN273" s="7" t="str">
        <f aca="false">IF(COUNTIF(ЗАКАЗЫ!$F$3:$F$500,$A273)=0,"",SUMIF(ЗАКАЗЫ!$F$3:$F$500,$A273,ЗАКАЗЫ!$J$3:$J$500))</f>
        <v/>
      </c>
      <c r="BO273" s="7" t="str">
        <f aca="false">IF(BN273="","",SUMIF(ЗАКАЗЫ!$F$3:$F$500,$A273,ЗАКАЗЫ!$AL$3:$AL$500))</f>
        <v/>
      </c>
      <c r="BP273" s="7" t="str">
        <f aca="false">IF(BN273="","",BN273-BO273)</f>
        <v/>
      </c>
      <c r="BQ273" s="55" t="str">
        <f aca="false">IF(BN273="","",IF(BO273&gt;=BN273,"На складе",IF(BO273&gt;0,"Частично","Ждём")))</f>
        <v/>
      </c>
      <c r="BR273" s="43"/>
      <c r="BS273" s="47" t="str">
        <f aca="false">IF(BN273="","",IF(_xlfn.MAXIFS(ЗАКАЗЫ!$AK$3:$AK$500,ЗАКАЗЫ!$F$3:$F$500,$A273)=0,"",_xlfn.MAXIFS(ЗАКАЗЫ!$AK$3:$AK$500,ЗАКАЗЫ!$F$3:$F$500,$A273)))</f>
        <v/>
      </c>
    </row>
    <row r="274" customFormat="false" ht="15.75" hidden="false" customHeight="true" outlineLevel="0" collapsed="false">
      <c r="A274" s="80" t="s">
        <v>3185</v>
      </c>
      <c r="B274" s="81"/>
      <c r="C274" s="81"/>
      <c r="D274" s="81"/>
      <c r="E274" s="83"/>
      <c r="F274" s="81"/>
      <c r="G274" s="83"/>
      <c r="H274" s="83"/>
      <c r="I274" s="84" t="str">
        <f aca="false">IF(E274="","",A274&amp;"_1.jpg")</f>
        <v/>
      </c>
      <c r="J274" s="84" t="str">
        <f aca="false">IF(E274="","",A274&amp;"_2.jpg; "&amp;A274&amp;"_3.jpg")</f>
        <v/>
      </c>
      <c r="K274" s="84" t="str">
        <f aca="false">IF(E274="","",A274&amp;"_schema.jpg")</f>
        <v/>
      </c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 t="s">
        <v>96</v>
      </c>
      <c r="W274" s="81"/>
      <c r="X274" s="81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6" t="str">
        <f aca="false">IF(SUM(Y274:AJ274)=0,"",SUM(Y274:AJ274))</f>
        <v/>
      </c>
      <c r="AL274" s="84" t="str">
        <f aca="false">MID(IF(N(Y274)&gt;0,", "&amp;Y$2,"")&amp;IF(N(Z274)&gt;0,", "&amp;Z$2,"")&amp;IF(N(AA274)&gt;0,", "&amp;AA$2,"")&amp;IF(N(AB274)&gt;0,", "&amp;AB$2,"")&amp;IF(N(AC274)&gt;0,", "&amp;AC$2,"")&amp;IF(N(AD274)&gt;0,", "&amp;AD$2,"")&amp;IF(N(AE274)&gt;0,", "&amp;AE$2,"")&amp;IF(N(AF274)&gt;0,", "&amp;AF$2,"")&amp;IF(N(AG274)&gt;0,", "&amp;AG$2,"")&amp;IF(N(AH274)&gt;0,", "&amp;AH$2,"")&amp;IF(N(AI274)&gt;0,", "&amp;AI$2,"")&amp;IF(N(AJ274)&gt;0,", "&amp;AJ$2,""),3,999)</f>
        <v/>
      </c>
      <c r="AM274" s="87" t="str">
        <f aca="false">IF(E274="","",MID(IF(N(Y274)&gt;0,", "&amp;A274&amp;"-"&amp;Y$2,"")&amp;IF(N(Z274)&gt;0,", "&amp;A274&amp;"-"&amp;Z$2,"")&amp;IF(N(AA274)&gt;0,", "&amp;A274&amp;"-"&amp;AA$2,"")&amp;IF(N(AB274)&gt;0,", "&amp;A274&amp;"-"&amp;AB$2,"")&amp;IF(N(AC274)&gt;0,", "&amp;A274&amp;"-"&amp;AC$2,"")&amp;IF(N(AD274)&gt;0,", "&amp;A274&amp;"-"&amp;AD$2,"")&amp;IF(N(AE274)&gt;0,", "&amp;A274&amp;"-"&amp;AE$2,"")&amp;IF(N(AF274)&gt;0,", "&amp;A274&amp;"-"&amp;AF$2,"")&amp;IF(N(AG274)&gt;0,", "&amp;A274&amp;"-"&amp;AG$2,"")&amp;IF(N(AH274)&gt;0,", "&amp;A274&amp;"-"&amp;AH$2,"")&amp;IF(N(AI274)&gt;0,", "&amp;A274&amp;"-"&amp;AI$2,"")&amp;IF(N(AJ274)&gt;0,", "&amp;A274&amp;"-"&amp;AJ$2,""),3,999))</f>
        <v/>
      </c>
      <c r="AN274" s="81"/>
      <c r="AO274" s="88"/>
      <c r="AP274" s="89" t="str">
        <f aca="false">IF(AO274="","",ROUND(AO274/(1+Справочники!$B$13),2))</f>
        <v/>
      </c>
      <c r="AQ274" s="90" t="str">
        <f aca="false" t="array" ref="AQ274:AQ274">IF(AP274="","",AP274*INDEX(Справочники!$B$4:$B$7,MATCH("RUB",Справочники!$A$4:$A$7,0)))</f>
        <v/>
      </c>
      <c r="AR274" s="90" t="str">
        <f aca="false">IF(AQ274="","",ROUND(AQ274*(1+Справочники!$B$12),0))</f>
        <v/>
      </c>
      <c r="AS274" s="90" t="str">
        <f aca="false">IF(AR274="","",ROUND(AR274*(1-Справочники!$B$11),0))</f>
        <v/>
      </c>
      <c r="AT274" s="88"/>
      <c r="AU274" s="90" t="str">
        <f aca="false">IF(AT274="","",ROUND(AT274/(1+Справочники!$B$12),0))</f>
        <v/>
      </c>
      <c r="AV274" s="90" t="str">
        <f aca="false">IF(AT274="","",ROUND(AT274*(1-Справочники!$B$15),0))</f>
        <v/>
      </c>
      <c r="AW274" s="90" t="str">
        <f aca="false">IF(AT274="","",ROUND(AT274*(1-Справочники!$B$16),0))</f>
        <v/>
      </c>
      <c r="AX274" s="90" t="str">
        <f aca="false">IF(AT274="","",ROUND(AT274*(1-Справочники!$B$17),0))</f>
        <v/>
      </c>
      <c r="AY274" s="90" t="str">
        <f aca="false">IF(AT274="","",ROUND(AT274*(1-Справочники!$B$18),0))</f>
        <v/>
      </c>
      <c r="AZ274" s="90" t="str">
        <f aca="false">IF(AT274="","",ROUND(AT274*(1-Справочники!$B$19),0))</f>
        <v/>
      </c>
      <c r="BA274" s="81"/>
      <c r="BB274" s="81"/>
      <c r="BC274" s="81"/>
      <c r="BD274" s="81"/>
      <c r="BE274" s="91"/>
      <c r="BF274" s="81" t="s">
        <v>103</v>
      </c>
      <c r="BG274" s="89" t="n">
        <f aca="false" t="array" ref="BG274:BG274">IF(BF274="","",IFERROR(INDEX(Справочники!$B$4:$B$7,MATCH(BF274,Справочники!$A$4:$A$7,0)),""))</f>
        <v>68.5</v>
      </c>
      <c r="BH274" s="90" t="str">
        <f aca="false">IF(N(BN274)&gt;0,ROUND(SUMIF(ЗАКАЗЫ!$F$3:$F$500,$A274,ЗАКАЗЫ!$Y$3:$Y$500)/BN274,0),IF(OR(BE274="",BG274=""),"",ROUND(BE274*BG274*(1+Справочники!$B$10),0)))</f>
        <v/>
      </c>
      <c r="BI274" s="92" t="str">
        <f aca="false">IF(OR(AU274="",BH274="",AU274=0),"",(AU274-BH274)/AU274)</f>
        <v/>
      </c>
      <c r="BJ274" s="81"/>
      <c r="BK274" s="83"/>
      <c r="BL274" s="43" t="str">
        <f aca="false">IFERROR(INDEX(ЗАКАЗЫ!$N$3:$N$500,MATCH($A274,ЗАКАЗЫ!$F$3:$F$500,0)),"")</f>
        <v/>
      </c>
      <c r="BM274" s="8" t="str">
        <f aca="false">IF(BL274="","",IFERROR(VLOOKUP(BL274,'ТН ВЭД'!$A$4:$C$40,3,0),""))</f>
        <v/>
      </c>
      <c r="BN274" s="7" t="str">
        <f aca="false">IF(COUNTIF(ЗАКАЗЫ!$F$3:$F$500,$A274)=0,"",SUMIF(ЗАКАЗЫ!$F$3:$F$500,$A274,ЗАКАЗЫ!$J$3:$J$500))</f>
        <v/>
      </c>
      <c r="BO274" s="7" t="str">
        <f aca="false">IF(BN274="","",SUMIF(ЗАКАЗЫ!$F$3:$F$500,$A274,ЗАКАЗЫ!$AL$3:$AL$500))</f>
        <v/>
      </c>
      <c r="BP274" s="7" t="str">
        <f aca="false">IF(BN274="","",BN274-BO274)</f>
        <v/>
      </c>
      <c r="BQ274" s="55" t="str">
        <f aca="false">IF(BN274="","",IF(BO274&gt;=BN274,"На складе",IF(BO274&gt;0,"Частично","Ждём")))</f>
        <v/>
      </c>
      <c r="BR274" s="43"/>
      <c r="BS274" s="47" t="str">
        <f aca="false">IF(BN274="","",IF(_xlfn.MAXIFS(ЗАКАЗЫ!$AK$3:$AK$500,ЗАКАЗЫ!$F$3:$F$500,$A274)=0,"",_xlfn.MAXIFS(ЗАКАЗЫ!$AK$3:$AK$500,ЗАКАЗЫ!$F$3:$F$500,$A274)))</f>
        <v/>
      </c>
    </row>
    <row r="275" customFormat="false" ht="15.75" hidden="false" customHeight="true" outlineLevel="0" collapsed="false">
      <c r="A275" s="80" t="s">
        <v>3186</v>
      </c>
      <c r="B275" s="81"/>
      <c r="C275" s="81"/>
      <c r="D275" s="81"/>
      <c r="E275" s="83"/>
      <c r="F275" s="81"/>
      <c r="G275" s="83"/>
      <c r="H275" s="83"/>
      <c r="I275" s="84" t="str">
        <f aca="false">IF(E275="","",A275&amp;"_1.jpg")</f>
        <v/>
      </c>
      <c r="J275" s="84" t="str">
        <f aca="false">IF(E275="","",A275&amp;"_2.jpg; "&amp;A275&amp;"_3.jpg")</f>
        <v/>
      </c>
      <c r="K275" s="84" t="str">
        <f aca="false">IF(E275="","",A275&amp;"_schema.jpg")</f>
        <v/>
      </c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 t="s">
        <v>96</v>
      </c>
      <c r="W275" s="81"/>
      <c r="X275" s="81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6" t="str">
        <f aca="false">IF(SUM(Y275:AJ275)=0,"",SUM(Y275:AJ275))</f>
        <v/>
      </c>
      <c r="AL275" s="84" t="str">
        <f aca="false">MID(IF(N(Y275)&gt;0,", "&amp;Y$2,"")&amp;IF(N(Z275)&gt;0,", "&amp;Z$2,"")&amp;IF(N(AA275)&gt;0,", "&amp;AA$2,"")&amp;IF(N(AB275)&gt;0,", "&amp;AB$2,"")&amp;IF(N(AC275)&gt;0,", "&amp;AC$2,"")&amp;IF(N(AD275)&gt;0,", "&amp;AD$2,"")&amp;IF(N(AE275)&gt;0,", "&amp;AE$2,"")&amp;IF(N(AF275)&gt;0,", "&amp;AF$2,"")&amp;IF(N(AG275)&gt;0,", "&amp;AG$2,"")&amp;IF(N(AH275)&gt;0,", "&amp;AH$2,"")&amp;IF(N(AI275)&gt;0,", "&amp;AI$2,"")&amp;IF(N(AJ275)&gt;0,", "&amp;AJ$2,""),3,999)</f>
        <v/>
      </c>
      <c r="AM275" s="87" t="str">
        <f aca="false">IF(E275="","",MID(IF(N(Y275)&gt;0,", "&amp;A275&amp;"-"&amp;Y$2,"")&amp;IF(N(Z275)&gt;0,", "&amp;A275&amp;"-"&amp;Z$2,"")&amp;IF(N(AA275)&gt;0,", "&amp;A275&amp;"-"&amp;AA$2,"")&amp;IF(N(AB275)&gt;0,", "&amp;A275&amp;"-"&amp;AB$2,"")&amp;IF(N(AC275)&gt;0,", "&amp;A275&amp;"-"&amp;AC$2,"")&amp;IF(N(AD275)&gt;0,", "&amp;A275&amp;"-"&amp;AD$2,"")&amp;IF(N(AE275)&gt;0,", "&amp;A275&amp;"-"&amp;AE$2,"")&amp;IF(N(AF275)&gt;0,", "&amp;A275&amp;"-"&amp;AF$2,"")&amp;IF(N(AG275)&gt;0,", "&amp;A275&amp;"-"&amp;AG$2,"")&amp;IF(N(AH275)&gt;0,", "&amp;A275&amp;"-"&amp;AH$2,"")&amp;IF(N(AI275)&gt;0,", "&amp;A275&amp;"-"&amp;AI$2,"")&amp;IF(N(AJ275)&gt;0,", "&amp;A275&amp;"-"&amp;AJ$2,""),3,999))</f>
        <v/>
      </c>
      <c r="AN275" s="81"/>
      <c r="AO275" s="88"/>
      <c r="AP275" s="89" t="str">
        <f aca="false">IF(AO275="","",ROUND(AO275/(1+Справочники!$B$13),2))</f>
        <v/>
      </c>
      <c r="AQ275" s="90" t="str">
        <f aca="false" t="array" ref="AQ275:AQ275">IF(AP275="","",AP275*INDEX(Справочники!$B$4:$B$7,MATCH("RUB",Справочники!$A$4:$A$7,0)))</f>
        <v/>
      </c>
      <c r="AR275" s="90" t="str">
        <f aca="false">IF(AQ275="","",ROUND(AQ275*(1+Справочники!$B$12),0))</f>
        <v/>
      </c>
      <c r="AS275" s="90" t="str">
        <f aca="false">IF(AR275="","",ROUND(AR275*(1-Справочники!$B$11),0))</f>
        <v/>
      </c>
      <c r="AT275" s="88"/>
      <c r="AU275" s="90" t="str">
        <f aca="false">IF(AT275="","",ROUND(AT275/(1+Справочники!$B$12),0))</f>
        <v/>
      </c>
      <c r="AV275" s="90" t="str">
        <f aca="false">IF(AT275="","",ROUND(AT275*(1-Справочники!$B$15),0))</f>
        <v/>
      </c>
      <c r="AW275" s="90" t="str">
        <f aca="false">IF(AT275="","",ROUND(AT275*(1-Справочники!$B$16),0))</f>
        <v/>
      </c>
      <c r="AX275" s="90" t="str">
        <f aca="false">IF(AT275="","",ROUND(AT275*(1-Справочники!$B$17),0))</f>
        <v/>
      </c>
      <c r="AY275" s="90" t="str">
        <f aca="false">IF(AT275="","",ROUND(AT275*(1-Справочники!$B$18),0))</f>
        <v/>
      </c>
      <c r="AZ275" s="90" t="str">
        <f aca="false">IF(AT275="","",ROUND(AT275*(1-Справочники!$B$19),0))</f>
        <v/>
      </c>
      <c r="BA275" s="81"/>
      <c r="BB275" s="81"/>
      <c r="BC275" s="81"/>
      <c r="BD275" s="81"/>
      <c r="BE275" s="91"/>
      <c r="BF275" s="81" t="s">
        <v>103</v>
      </c>
      <c r="BG275" s="89" t="n">
        <f aca="false" t="array" ref="BG275:BG275">IF(BF275="","",IFERROR(INDEX(Справочники!$B$4:$B$7,MATCH(BF275,Справочники!$A$4:$A$7,0)),""))</f>
        <v>68.5</v>
      </c>
      <c r="BH275" s="90" t="str">
        <f aca="false">IF(N(BN275)&gt;0,ROUND(SUMIF(ЗАКАЗЫ!$F$3:$F$500,$A275,ЗАКАЗЫ!$Y$3:$Y$500)/BN275,0),IF(OR(BE275="",BG275=""),"",ROUND(BE275*BG275*(1+Справочники!$B$10),0)))</f>
        <v/>
      </c>
      <c r="BI275" s="92" t="str">
        <f aca="false">IF(OR(AU275="",BH275="",AU275=0),"",(AU275-BH275)/AU275)</f>
        <v/>
      </c>
      <c r="BJ275" s="81"/>
      <c r="BK275" s="83"/>
      <c r="BL275" s="43" t="str">
        <f aca="false">IFERROR(INDEX(ЗАКАЗЫ!$N$3:$N$500,MATCH($A275,ЗАКАЗЫ!$F$3:$F$500,0)),"")</f>
        <v/>
      </c>
      <c r="BM275" s="8" t="str">
        <f aca="false">IF(BL275="","",IFERROR(VLOOKUP(BL275,'ТН ВЭД'!$A$4:$C$40,3,0),""))</f>
        <v/>
      </c>
      <c r="BN275" s="7" t="str">
        <f aca="false">IF(COUNTIF(ЗАКАЗЫ!$F$3:$F$500,$A275)=0,"",SUMIF(ЗАКАЗЫ!$F$3:$F$500,$A275,ЗАКАЗЫ!$J$3:$J$500))</f>
        <v/>
      </c>
      <c r="BO275" s="7" t="str">
        <f aca="false">IF(BN275="","",SUMIF(ЗАКАЗЫ!$F$3:$F$500,$A275,ЗАКАЗЫ!$AL$3:$AL$500))</f>
        <v/>
      </c>
      <c r="BP275" s="7" t="str">
        <f aca="false">IF(BN275="","",BN275-BO275)</f>
        <v/>
      </c>
      <c r="BQ275" s="55" t="str">
        <f aca="false">IF(BN275="","",IF(BO275&gt;=BN275,"На складе",IF(BO275&gt;0,"Частично","Ждём")))</f>
        <v/>
      </c>
      <c r="BR275" s="43"/>
      <c r="BS275" s="47" t="str">
        <f aca="false">IF(BN275="","",IF(_xlfn.MAXIFS(ЗАКАЗЫ!$AK$3:$AK$500,ЗАКАЗЫ!$F$3:$F$500,$A275)=0,"",_xlfn.MAXIFS(ЗАКАЗЫ!$AK$3:$AK$500,ЗАКАЗЫ!$F$3:$F$500,$A275)))</f>
        <v/>
      </c>
    </row>
    <row r="276" customFormat="false" ht="15.75" hidden="false" customHeight="true" outlineLevel="0" collapsed="false">
      <c r="A276" s="80" t="s">
        <v>3187</v>
      </c>
      <c r="B276" s="81"/>
      <c r="C276" s="81"/>
      <c r="D276" s="81"/>
      <c r="E276" s="83"/>
      <c r="F276" s="81"/>
      <c r="G276" s="83"/>
      <c r="H276" s="83"/>
      <c r="I276" s="84" t="str">
        <f aca="false">IF(E276="","",A276&amp;"_1.jpg")</f>
        <v/>
      </c>
      <c r="J276" s="84" t="str">
        <f aca="false">IF(E276="","",A276&amp;"_2.jpg; "&amp;A276&amp;"_3.jpg")</f>
        <v/>
      </c>
      <c r="K276" s="84" t="str">
        <f aca="false">IF(E276="","",A276&amp;"_schema.jpg")</f>
        <v/>
      </c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 t="s">
        <v>96</v>
      </c>
      <c r="W276" s="81"/>
      <c r="X276" s="81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6" t="str">
        <f aca="false">IF(SUM(Y276:AJ276)=0,"",SUM(Y276:AJ276))</f>
        <v/>
      </c>
      <c r="AL276" s="84" t="str">
        <f aca="false">MID(IF(N(Y276)&gt;0,", "&amp;Y$2,"")&amp;IF(N(Z276)&gt;0,", "&amp;Z$2,"")&amp;IF(N(AA276)&gt;0,", "&amp;AA$2,"")&amp;IF(N(AB276)&gt;0,", "&amp;AB$2,"")&amp;IF(N(AC276)&gt;0,", "&amp;AC$2,"")&amp;IF(N(AD276)&gt;0,", "&amp;AD$2,"")&amp;IF(N(AE276)&gt;0,", "&amp;AE$2,"")&amp;IF(N(AF276)&gt;0,", "&amp;AF$2,"")&amp;IF(N(AG276)&gt;0,", "&amp;AG$2,"")&amp;IF(N(AH276)&gt;0,", "&amp;AH$2,"")&amp;IF(N(AI276)&gt;0,", "&amp;AI$2,"")&amp;IF(N(AJ276)&gt;0,", "&amp;AJ$2,""),3,999)</f>
        <v/>
      </c>
      <c r="AM276" s="87" t="str">
        <f aca="false">IF(E276="","",MID(IF(N(Y276)&gt;0,", "&amp;A276&amp;"-"&amp;Y$2,"")&amp;IF(N(Z276)&gt;0,", "&amp;A276&amp;"-"&amp;Z$2,"")&amp;IF(N(AA276)&gt;0,", "&amp;A276&amp;"-"&amp;AA$2,"")&amp;IF(N(AB276)&gt;0,", "&amp;A276&amp;"-"&amp;AB$2,"")&amp;IF(N(AC276)&gt;0,", "&amp;A276&amp;"-"&amp;AC$2,"")&amp;IF(N(AD276)&gt;0,", "&amp;A276&amp;"-"&amp;AD$2,"")&amp;IF(N(AE276)&gt;0,", "&amp;A276&amp;"-"&amp;AE$2,"")&amp;IF(N(AF276)&gt;0,", "&amp;A276&amp;"-"&amp;AF$2,"")&amp;IF(N(AG276)&gt;0,", "&amp;A276&amp;"-"&amp;AG$2,"")&amp;IF(N(AH276)&gt;0,", "&amp;A276&amp;"-"&amp;AH$2,"")&amp;IF(N(AI276)&gt;0,", "&amp;A276&amp;"-"&amp;AI$2,"")&amp;IF(N(AJ276)&gt;0,", "&amp;A276&amp;"-"&amp;AJ$2,""),3,999))</f>
        <v/>
      </c>
      <c r="AN276" s="81"/>
      <c r="AO276" s="88"/>
      <c r="AP276" s="89" t="str">
        <f aca="false">IF(AO276="","",ROUND(AO276/(1+Справочники!$B$13),2))</f>
        <v/>
      </c>
      <c r="AQ276" s="90" t="str">
        <f aca="false" t="array" ref="AQ276:AQ276">IF(AP276="","",AP276*INDEX(Справочники!$B$4:$B$7,MATCH("RUB",Справочники!$A$4:$A$7,0)))</f>
        <v/>
      </c>
      <c r="AR276" s="90" t="str">
        <f aca="false">IF(AQ276="","",ROUND(AQ276*(1+Справочники!$B$12),0))</f>
        <v/>
      </c>
      <c r="AS276" s="90" t="str">
        <f aca="false">IF(AR276="","",ROUND(AR276*(1-Справочники!$B$11),0))</f>
        <v/>
      </c>
      <c r="AT276" s="88"/>
      <c r="AU276" s="90" t="str">
        <f aca="false">IF(AT276="","",ROUND(AT276/(1+Справочники!$B$12),0))</f>
        <v/>
      </c>
      <c r="AV276" s="90" t="str">
        <f aca="false">IF(AT276="","",ROUND(AT276*(1-Справочники!$B$15),0))</f>
        <v/>
      </c>
      <c r="AW276" s="90" t="str">
        <f aca="false">IF(AT276="","",ROUND(AT276*(1-Справочники!$B$16),0))</f>
        <v/>
      </c>
      <c r="AX276" s="90" t="str">
        <f aca="false">IF(AT276="","",ROUND(AT276*(1-Справочники!$B$17),0))</f>
        <v/>
      </c>
      <c r="AY276" s="90" t="str">
        <f aca="false">IF(AT276="","",ROUND(AT276*(1-Справочники!$B$18),0))</f>
        <v/>
      </c>
      <c r="AZ276" s="90" t="str">
        <f aca="false">IF(AT276="","",ROUND(AT276*(1-Справочники!$B$19),0))</f>
        <v/>
      </c>
      <c r="BA276" s="81"/>
      <c r="BB276" s="81"/>
      <c r="BC276" s="81"/>
      <c r="BD276" s="81"/>
      <c r="BE276" s="91"/>
      <c r="BF276" s="81" t="s">
        <v>103</v>
      </c>
      <c r="BG276" s="89" t="n">
        <f aca="false" t="array" ref="BG276:BG276">IF(BF276="","",IFERROR(INDEX(Справочники!$B$4:$B$7,MATCH(BF276,Справочники!$A$4:$A$7,0)),""))</f>
        <v>68.5</v>
      </c>
      <c r="BH276" s="90" t="str">
        <f aca="false">IF(N(BN276)&gt;0,ROUND(SUMIF(ЗАКАЗЫ!$F$3:$F$500,$A276,ЗАКАЗЫ!$Y$3:$Y$500)/BN276,0),IF(OR(BE276="",BG276=""),"",ROUND(BE276*BG276*(1+Справочники!$B$10),0)))</f>
        <v/>
      </c>
      <c r="BI276" s="92" t="str">
        <f aca="false">IF(OR(AU276="",BH276="",AU276=0),"",(AU276-BH276)/AU276)</f>
        <v/>
      </c>
      <c r="BJ276" s="81"/>
      <c r="BK276" s="83"/>
      <c r="BL276" s="43" t="str">
        <f aca="false">IFERROR(INDEX(ЗАКАЗЫ!$N$3:$N$500,MATCH($A276,ЗАКАЗЫ!$F$3:$F$500,0)),"")</f>
        <v/>
      </c>
      <c r="BM276" s="8" t="str">
        <f aca="false">IF(BL276="","",IFERROR(VLOOKUP(BL276,'ТН ВЭД'!$A$4:$C$40,3,0),""))</f>
        <v/>
      </c>
      <c r="BN276" s="7" t="str">
        <f aca="false">IF(COUNTIF(ЗАКАЗЫ!$F$3:$F$500,$A276)=0,"",SUMIF(ЗАКАЗЫ!$F$3:$F$500,$A276,ЗАКАЗЫ!$J$3:$J$500))</f>
        <v/>
      </c>
      <c r="BO276" s="7" t="str">
        <f aca="false">IF(BN276="","",SUMIF(ЗАКАЗЫ!$F$3:$F$500,$A276,ЗАКАЗЫ!$AL$3:$AL$500))</f>
        <v/>
      </c>
      <c r="BP276" s="7" t="str">
        <f aca="false">IF(BN276="","",BN276-BO276)</f>
        <v/>
      </c>
      <c r="BQ276" s="55" t="str">
        <f aca="false">IF(BN276="","",IF(BO276&gt;=BN276,"На складе",IF(BO276&gt;0,"Частично","Ждём")))</f>
        <v/>
      </c>
      <c r="BR276" s="43"/>
      <c r="BS276" s="47" t="str">
        <f aca="false">IF(BN276="","",IF(_xlfn.MAXIFS(ЗАКАЗЫ!$AK$3:$AK$500,ЗАКАЗЫ!$F$3:$F$500,$A276)=0,"",_xlfn.MAXIFS(ЗАКАЗЫ!$AK$3:$AK$500,ЗАКАЗЫ!$F$3:$F$500,$A276)))</f>
        <v/>
      </c>
    </row>
    <row r="277" customFormat="false" ht="15.75" hidden="false" customHeight="true" outlineLevel="0" collapsed="false">
      <c r="A277" s="80" t="s">
        <v>3188</v>
      </c>
      <c r="B277" s="81"/>
      <c r="C277" s="81"/>
      <c r="D277" s="81"/>
      <c r="E277" s="83"/>
      <c r="F277" s="81"/>
      <c r="G277" s="83"/>
      <c r="H277" s="83"/>
      <c r="I277" s="84" t="str">
        <f aca="false">IF(E277="","",A277&amp;"_1.jpg")</f>
        <v/>
      </c>
      <c r="J277" s="84" t="str">
        <f aca="false">IF(E277="","",A277&amp;"_2.jpg; "&amp;A277&amp;"_3.jpg")</f>
        <v/>
      </c>
      <c r="K277" s="84" t="str">
        <f aca="false">IF(E277="","",A277&amp;"_schema.jpg")</f>
        <v/>
      </c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 t="s">
        <v>96</v>
      </c>
      <c r="W277" s="81"/>
      <c r="X277" s="81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6" t="str">
        <f aca="false">IF(SUM(Y277:AJ277)=0,"",SUM(Y277:AJ277))</f>
        <v/>
      </c>
      <c r="AL277" s="84" t="str">
        <f aca="false">MID(IF(N(Y277)&gt;0,", "&amp;Y$2,"")&amp;IF(N(Z277)&gt;0,", "&amp;Z$2,"")&amp;IF(N(AA277)&gt;0,", "&amp;AA$2,"")&amp;IF(N(AB277)&gt;0,", "&amp;AB$2,"")&amp;IF(N(AC277)&gt;0,", "&amp;AC$2,"")&amp;IF(N(AD277)&gt;0,", "&amp;AD$2,"")&amp;IF(N(AE277)&gt;0,", "&amp;AE$2,"")&amp;IF(N(AF277)&gt;0,", "&amp;AF$2,"")&amp;IF(N(AG277)&gt;0,", "&amp;AG$2,"")&amp;IF(N(AH277)&gt;0,", "&amp;AH$2,"")&amp;IF(N(AI277)&gt;0,", "&amp;AI$2,"")&amp;IF(N(AJ277)&gt;0,", "&amp;AJ$2,""),3,999)</f>
        <v/>
      </c>
      <c r="AM277" s="87" t="str">
        <f aca="false">IF(E277="","",MID(IF(N(Y277)&gt;0,", "&amp;A277&amp;"-"&amp;Y$2,"")&amp;IF(N(Z277)&gt;0,", "&amp;A277&amp;"-"&amp;Z$2,"")&amp;IF(N(AA277)&gt;0,", "&amp;A277&amp;"-"&amp;AA$2,"")&amp;IF(N(AB277)&gt;0,", "&amp;A277&amp;"-"&amp;AB$2,"")&amp;IF(N(AC277)&gt;0,", "&amp;A277&amp;"-"&amp;AC$2,"")&amp;IF(N(AD277)&gt;0,", "&amp;A277&amp;"-"&amp;AD$2,"")&amp;IF(N(AE277)&gt;0,", "&amp;A277&amp;"-"&amp;AE$2,"")&amp;IF(N(AF277)&gt;0,", "&amp;A277&amp;"-"&amp;AF$2,"")&amp;IF(N(AG277)&gt;0,", "&amp;A277&amp;"-"&amp;AG$2,"")&amp;IF(N(AH277)&gt;0,", "&amp;A277&amp;"-"&amp;AH$2,"")&amp;IF(N(AI277)&gt;0,", "&amp;A277&amp;"-"&amp;AI$2,"")&amp;IF(N(AJ277)&gt;0,", "&amp;A277&amp;"-"&amp;AJ$2,""),3,999))</f>
        <v/>
      </c>
      <c r="AN277" s="81"/>
      <c r="AO277" s="88"/>
      <c r="AP277" s="89" t="str">
        <f aca="false">IF(AO277="","",ROUND(AO277/(1+Справочники!$B$13),2))</f>
        <v/>
      </c>
      <c r="AQ277" s="90" t="str">
        <f aca="false" t="array" ref="AQ277:AQ277">IF(AP277="","",AP277*INDEX(Справочники!$B$4:$B$7,MATCH("RUB",Справочники!$A$4:$A$7,0)))</f>
        <v/>
      </c>
      <c r="AR277" s="90" t="str">
        <f aca="false">IF(AQ277="","",ROUND(AQ277*(1+Справочники!$B$12),0))</f>
        <v/>
      </c>
      <c r="AS277" s="90" t="str">
        <f aca="false">IF(AR277="","",ROUND(AR277*(1-Справочники!$B$11),0))</f>
        <v/>
      </c>
      <c r="AT277" s="88"/>
      <c r="AU277" s="90" t="str">
        <f aca="false">IF(AT277="","",ROUND(AT277/(1+Справочники!$B$12),0))</f>
        <v/>
      </c>
      <c r="AV277" s="90" t="str">
        <f aca="false">IF(AT277="","",ROUND(AT277*(1-Справочники!$B$15),0))</f>
        <v/>
      </c>
      <c r="AW277" s="90" t="str">
        <f aca="false">IF(AT277="","",ROUND(AT277*(1-Справочники!$B$16),0))</f>
        <v/>
      </c>
      <c r="AX277" s="90" t="str">
        <f aca="false">IF(AT277="","",ROUND(AT277*(1-Справочники!$B$17),0))</f>
        <v/>
      </c>
      <c r="AY277" s="90" t="str">
        <f aca="false">IF(AT277="","",ROUND(AT277*(1-Справочники!$B$18),0))</f>
        <v/>
      </c>
      <c r="AZ277" s="90" t="str">
        <f aca="false">IF(AT277="","",ROUND(AT277*(1-Справочники!$B$19),0))</f>
        <v/>
      </c>
      <c r="BA277" s="81"/>
      <c r="BB277" s="81"/>
      <c r="BC277" s="81"/>
      <c r="BD277" s="81"/>
      <c r="BE277" s="91"/>
      <c r="BF277" s="81" t="s">
        <v>103</v>
      </c>
      <c r="BG277" s="89" t="n">
        <f aca="false" t="array" ref="BG277:BG277">IF(BF277="","",IFERROR(INDEX(Справочники!$B$4:$B$7,MATCH(BF277,Справочники!$A$4:$A$7,0)),""))</f>
        <v>68.5</v>
      </c>
      <c r="BH277" s="90" t="str">
        <f aca="false">IF(N(BN277)&gt;0,ROUND(SUMIF(ЗАКАЗЫ!$F$3:$F$500,$A277,ЗАКАЗЫ!$Y$3:$Y$500)/BN277,0),IF(OR(BE277="",BG277=""),"",ROUND(BE277*BG277*(1+Справочники!$B$10),0)))</f>
        <v/>
      </c>
      <c r="BI277" s="92" t="str">
        <f aca="false">IF(OR(AU277="",BH277="",AU277=0),"",(AU277-BH277)/AU277)</f>
        <v/>
      </c>
      <c r="BJ277" s="81"/>
      <c r="BK277" s="83"/>
      <c r="BL277" s="43" t="str">
        <f aca="false">IFERROR(INDEX(ЗАКАЗЫ!$N$3:$N$500,MATCH($A277,ЗАКАЗЫ!$F$3:$F$500,0)),"")</f>
        <v/>
      </c>
      <c r="BM277" s="8" t="str">
        <f aca="false">IF(BL277="","",IFERROR(VLOOKUP(BL277,'ТН ВЭД'!$A$4:$C$40,3,0),""))</f>
        <v/>
      </c>
      <c r="BN277" s="7" t="str">
        <f aca="false">IF(COUNTIF(ЗАКАЗЫ!$F$3:$F$500,$A277)=0,"",SUMIF(ЗАКАЗЫ!$F$3:$F$500,$A277,ЗАКАЗЫ!$J$3:$J$500))</f>
        <v/>
      </c>
      <c r="BO277" s="7" t="str">
        <f aca="false">IF(BN277="","",SUMIF(ЗАКАЗЫ!$F$3:$F$500,$A277,ЗАКАЗЫ!$AL$3:$AL$500))</f>
        <v/>
      </c>
      <c r="BP277" s="7" t="str">
        <f aca="false">IF(BN277="","",BN277-BO277)</f>
        <v/>
      </c>
      <c r="BQ277" s="55" t="str">
        <f aca="false">IF(BN277="","",IF(BO277&gt;=BN277,"На складе",IF(BO277&gt;0,"Частично","Ждём")))</f>
        <v/>
      </c>
      <c r="BR277" s="43"/>
      <c r="BS277" s="47" t="str">
        <f aca="false">IF(BN277="","",IF(_xlfn.MAXIFS(ЗАКАЗЫ!$AK$3:$AK$500,ЗАКАЗЫ!$F$3:$F$500,$A277)=0,"",_xlfn.MAXIFS(ЗАКАЗЫ!$AK$3:$AK$500,ЗАКАЗЫ!$F$3:$F$500,$A277)))</f>
        <v/>
      </c>
    </row>
    <row r="278" customFormat="false" ht="15.75" hidden="false" customHeight="true" outlineLevel="0" collapsed="false">
      <c r="A278" s="80" t="s">
        <v>3189</v>
      </c>
      <c r="B278" s="81"/>
      <c r="C278" s="81"/>
      <c r="D278" s="81"/>
      <c r="E278" s="83"/>
      <c r="F278" s="81"/>
      <c r="G278" s="83"/>
      <c r="H278" s="83"/>
      <c r="I278" s="84" t="str">
        <f aca="false">IF(E278="","",A278&amp;"_1.jpg")</f>
        <v/>
      </c>
      <c r="J278" s="84" t="str">
        <f aca="false">IF(E278="","",A278&amp;"_2.jpg; "&amp;A278&amp;"_3.jpg")</f>
        <v/>
      </c>
      <c r="K278" s="84" t="str">
        <f aca="false">IF(E278="","",A278&amp;"_schema.jpg")</f>
        <v/>
      </c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 t="s">
        <v>96</v>
      </c>
      <c r="W278" s="81"/>
      <c r="X278" s="81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6" t="str">
        <f aca="false">IF(SUM(Y278:AJ278)=0,"",SUM(Y278:AJ278))</f>
        <v/>
      </c>
      <c r="AL278" s="84" t="str">
        <f aca="false">MID(IF(N(Y278)&gt;0,", "&amp;Y$2,"")&amp;IF(N(Z278)&gt;0,", "&amp;Z$2,"")&amp;IF(N(AA278)&gt;0,", "&amp;AA$2,"")&amp;IF(N(AB278)&gt;0,", "&amp;AB$2,"")&amp;IF(N(AC278)&gt;0,", "&amp;AC$2,"")&amp;IF(N(AD278)&gt;0,", "&amp;AD$2,"")&amp;IF(N(AE278)&gt;0,", "&amp;AE$2,"")&amp;IF(N(AF278)&gt;0,", "&amp;AF$2,"")&amp;IF(N(AG278)&gt;0,", "&amp;AG$2,"")&amp;IF(N(AH278)&gt;0,", "&amp;AH$2,"")&amp;IF(N(AI278)&gt;0,", "&amp;AI$2,"")&amp;IF(N(AJ278)&gt;0,", "&amp;AJ$2,""),3,999)</f>
        <v/>
      </c>
      <c r="AM278" s="87" t="str">
        <f aca="false">IF(E278="","",MID(IF(N(Y278)&gt;0,", "&amp;A278&amp;"-"&amp;Y$2,"")&amp;IF(N(Z278)&gt;0,", "&amp;A278&amp;"-"&amp;Z$2,"")&amp;IF(N(AA278)&gt;0,", "&amp;A278&amp;"-"&amp;AA$2,"")&amp;IF(N(AB278)&gt;0,", "&amp;A278&amp;"-"&amp;AB$2,"")&amp;IF(N(AC278)&gt;0,", "&amp;A278&amp;"-"&amp;AC$2,"")&amp;IF(N(AD278)&gt;0,", "&amp;A278&amp;"-"&amp;AD$2,"")&amp;IF(N(AE278)&gt;0,", "&amp;A278&amp;"-"&amp;AE$2,"")&amp;IF(N(AF278)&gt;0,", "&amp;A278&amp;"-"&amp;AF$2,"")&amp;IF(N(AG278)&gt;0,", "&amp;A278&amp;"-"&amp;AG$2,"")&amp;IF(N(AH278)&gt;0,", "&amp;A278&amp;"-"&amp;AH$2,"")&amp;IF(N(AI278)&gt;0,", "&amp;A278&amp;"-"&amp;AI$2,"")&amp;IF(N(AJ278)&gt;0,", "&amp;A278&amp;"-"&amp;AJ$2,""),3,999))</f>
        <v/>
      </c>
      <c r="AN278" s="81"/>
      <c r="AO278" s="88"/>
      <c r="AP278" s="89" t="str">
        <f aca="false">IF(AO278="","",ROUND(AO278/(1+Справочники!$B$13),2))</f>
        <v/>
      </c>
      <c r="AQ278" s="90" t="str">
        <f aca="false" t="array" ref="AQ278:AQ278">IF(AP278="","",AP278*INDEX(Справочники!$B$4:$B$7,MATCH("RUB",Справочники!$A$4:$A$7,0)))</f>
        <v/>
      </c>
      <c r="AR278" s="90" t="str">
        <f aca="false">IF(AQ278="","",ROUND(AQ278*(1+Справочники!$B$12),0))</f>
        <v/>
      </c>
      <c r="AS278" s="90" t="str">
        <f aca="false">IF(AR278="","",ROUND(AR278*(1-Справочники!$B$11),0))</f>
        <v/>
      </c>
      <c r="AT278" s="88"/>
      <c r="AU278" s="90" t="str">
        <f aca="false">IF(AT278="","",ROUND(AT278/(1+Справочники!$B$12),0))</f>
        <v/>
      </c>
      <c r="AV278" s="90" t="str">
        <f aca="false">IF(AT278="","",ROUND(AT278*(1-Справочники!$B$15),0))</f>
        <v/>
      </c>
      <c r="AW278" s="90" t="str">
        <f aca="false">IF(AT278="","",ROUND(AT278*(1-Справочники!$B$16),0))</f>
        <v/>
      </c>
      <c r="AX278" s="90" t="str">
        <f aca="false">IF(AT278="","",ROUND(AT278*(1-Справочники!$B$17),0))</f>
        <v/>
      </c>
      <c r="AY278" s="90" t="str">
        <f aca="false">IF(AT278="","",ROUND(AT278*(1-Справочники!$B$18),0))</f>
        <v/>
      </c>
      <c r="AZ278" s="90" t="str">
        <f aca="false">IF(AT278="","",ROUND(AT278*(1-Справочники!$B$19),0))</f>
        <v/>
      </c>
      <c r="BA278" s="81"/>
      <c r="BB278" s="81"/>
      <c r="BC278" s="81"/>
      <c r="BD278" s="81"/>
      <c r="BE278" s="91"/>
      <c r="BF278" s="81" t="s">
        <v>103</v>
      </c>
      <c r="BG278" s="89" t="n">
        <f aca="false" t="array" ref="BG278:BG278">IF(BF278="","",IFERROR(INDEX(Справочники!$B$4:$B$7,MATCH(BF278,Справочники!$A$4:$A$7,0)),""))</f>
        <v>68.5</v>
      </c>
      <c r="BH278" s="90" t="str">
        <f aca="false">IF(N(BN278)&gt;0,ROUND(SUMIF(ЗАКАЗЫ!$F$3:$F$500,$A278,ЗАКАЗЫ!$Y$3:$Y$500)/BN278,0),IF(OR(BE278="",BG278=""),"",ROUND(BE278*BG278*(1+Справочники!$B$10),0)))</f>
        <v/>
      </c>
      <c r="BI278" s="92" t="str">
        <f aca="false">IF(OR(AU278="",BH278="",AU278=0),"",(AU278-BH278)/AU278)</f>
        <v/>
      </c>
      <c r="BJ278" s="81"/>
      <c r="BK278" s="83"/>
      <c r="BL278" s="43" t="str">
        <f aca="false">IFERROR(INDEX(ЗАКАЗЫ!$N$3:$N$500,MATCH($A278,ЗАКАЗЫ!$F$3:$F$500,0)),"")</f>
        <v/>
      </c>
      <c r="BM278" s="8" t="str">
        <f aca="false">IF(BL278="","",IFERROR(VLOOKUP(BL278,'ТН ВЭД'!$A$4:$C$40,3,0),""))</f>
        <v/>
      </c>
      <c r="BN278" s="7" t="str">
        <f aca="false">IF(COUNTIF(ЗАКАЗЫ!$F$3:$F$500,$A278)=0,"",SUMIF(ЗАКАЗЫ!$F$3:$F$500,$A278,ЗАКАЗЫ!$J$3:$J$500))</f>
        <v/>
      </c>
      <c r="BO278" s="7" t="str">
        <f aca="false">IF(BN278="","",SUMIF(ЗАКАЗЫ!$F$3:$F$500,$A278,ЗАКАЗЫ!$AL$3:$AL$500))</f>
        <v/>
      </c>
      <c r="BP278" s="7" t="str">
        <f aca="false">IF(BN278="","",BN278-BO278)</f>
        <v/>
      </c>
      <c r="BQ278" s="55" t="str">
        <f aca="false">IF(BN278="","",IF(BO278&gt;=BN278,"На складе",IF(BO278&gt;0,"Частично","Ждём")))</f>
        <v/>
      </c>
      <c r="BR278" s="43"/>
      <c r="BS278" s="47" t="str">
        <f aca="false">IF(BN278="","",IF(_xlfn.MAXIFS(ЗАКАЗЫ!$AK$3:$AK$500,ЗАКАЗЫ!$F$3:$F$500,$A278)=0,"",_xlfn.MAXIFS(ЗАКАЗЫ!$AK$3:$AK$500,ЗАКАЗЫ!$F$3:$F$500,$A278)))</f>
        <v/>
      </c>
    </row>
    <row r="279" customFormat="false" ht="15.75" hidden="false" customHeight="true" outlineLevel="0" collapsed="false">
      <c r="A279" s="80" t="s">
        <v>3190</v>
      </c>
      <c r="B279" s="81"/>
      <c r="C279" s="81"/>
      <c r="D279" s="81"/>
      <c r="E279" s="83"/>
      <c r="F279" s="81"/>
      <c r="G279" s="83"/>
      <c r="H279" s="83"/>
      <c r="I279" s="84" t="str">
        <f aca="false">IF(E279="","",A279&amp;"_1.jpg")</f>
        <v/>
      </c>
      <c r="J279" s="84" t="str">
        <f aca="false">IF(E279="","",A279&amp;"_2.jpg; "&amp;A279&amp;"_3.jpg")</f>
        <v/>
      </c>
      <c r="K279" s="84" t="str">
        <f aca="false">IF(E279="","",A279&amp;"_schema.jpg")</f>
        <v/>
      </c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 t="s">
        <v>96</v>
      </c>
      <c r="W279" s="81"/>
      <c r="X279" s="81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6" t="str">
        <f aca="false">IF(SUM(Y279:AJ279)=0,"",SUM(Y279:AJ279))</f>
        <v/>
      </c>
      <c r="AL279" s="84" t="str">
        <f aca="false">MID(IF(N(Y279)&gt;0,", "&amp;Y$2,"")&amp;IF(N(Z279)&gt;0,", "&amp;Z$2,"")&amp;IF(N(AA279)&gt;0,", "&amp;AA$2,"")&amp;IF(N(AB279)&gt;0,", "&amp;AB$2,"")&amp;IF(N(AC279)&gt;0,", "&amp;AC$2,"")&amp;IF(N(AD279)&gt;0,", "&amp;AD$2,"")&amp;IF(N(AE279)&gt;0,", "&amp;AE$2,"")&amp;IF(N(AF279)&gt;0,", "&amp;AF$2,"")&amp;IF(N(AG279)&gt;0,", "&amp;AG$2,"")&amp;IF(N(AH279)&gt;0,", "&amp;AH$2,"")&amp;IF(N(AI279)&gt;0,", "&amp;AI$2,"")&amp;IF(N(AJ279)&gt;0,", "&amp;AJ$2,""),3,999)</f>
        <v/>
      </c>
      <c r="AM279" s="87" t="str">
        <f aca="false">IF(E279="","",MID(IF(N(Y279)&gt;0,", "&amp;A279&amp;"-"&amp;Y$2,"")&amp;IF(N(Z279)&gt;0,", "&amp;A279&amp;"-"&amp;Z$2,"")&amp;IF(N(AA279)&gt;0,", "&amp;A279&amp;"-"&amp;AA$2,"")&amp;IF(N(AB279)&gt;0,", "&amp;A279&amp;"-"&amp;AB$2,"")&amp;IF(N(AC279)&gt;0,", "&amp;A279&amp;"-"&amp;AC$2,"")&amp;IF(N(AD279)&gt;0,", "&amp;A279&amp;"-"&amp;AD$2,"")&amp;IF(N(AE279)&gt;0,", "&amp;A279&amp;"-"&amp;AE$2,"")&amp;IF(N(AF279)&gt;0,", "&amp;A279&amp;"-"&amp;AF$2,"")&amp;IF(N(AG279)&gt;0,", "&amp;A279&amp;"-"&amp;AG$2,"")&amp;IF(N(AH279)&gt;0,", "&amp;A279&amp;"-"&amp;AH$2,"")&amp;IF(N(AI279)&gt;0,", "&amp;A279&amp;"-"&amp;AI$2,"")&amp;IF(N(AJ279)&gt;0,", "&amp;A279&amp;"-"&amp;AJ$2,""),3,999))</f>
        <v/>
      </c>
      <c r="AN279" s="81"/>
      <c r="AO279" s="88"/>
      <c r="AP279" s="89" t="str">
        <f aca="false">IF(AO279="","",ROUND(AO279/(1+Справочники!$B$13),2))</f>
        <v/>
      </c>
      <c r="AQ279" s="90" t="str">
        <f aca="false" t="array" ref="AQ279:AQ279">IF(AP279="","",AP279*INDEX(Справочники!$B$4:$B$7,MATCH("RUB",Справочники!$A$4:$A$7,0)))</f>
        <v/>
      </c>
      <c r="AR279" s="90" t="str">
        <f aca="false">IF(AQ279="","",ROUND(AQ279*(1+Справочники!$B$12),0))</f>
        <v/>
      </c>
      <c r="AS279" s="90" t="str">
        <f aca="false">IF(AR279="","",ROUND(AR279*(1-Справочники!$B$11),0))</f>
        <v/>
      </c>
      <c r="AT279" s="88"/>
      <c r="AU279" s="90" t="str">
        <f aca="false">IF(AT279="","",ROUND(AT279/(1+Справочники!$B$12),0))</f>
        <v/>
      </c>
      <c r="AV279" s="90" t="str">
        <f aca="false">IF(AT279="","",ROUND(AT279*(1-Справочники!$B$15),0))</f>
        <v/>
      </c>
      <c r="AW279" s="90" t="str">
        <f aca="false">IF(AT279="","",ROUND(AT279*(1-Справочники!$B$16),0))</f>
        <v/>
      </c>
      <c r="AX279" s="90" t="str">
        <f aca="false">IF(AT279="","",ROUND(AT279*(1-Справочники!$B$17),0))</f>
        <v/>
      </c>
      <c r="AY279" s="90" t="str">
        <f aca="false">IF(AT279="","",ROUND(AT279*(1-Справочники!$B$18),0))</f>
        <v/>
      </c>
      <c r="AZ279" s="90" t="str">
        <f aca="false">IF(AT279="","",ROUND(AT279*(1-Справочники!$B$19),0))</f>
        <v/>
      </c>
      <c r="BA279" s="81"/>
      <c r="BB279" s="81"/>
      <c r="BC279" s="81"/>
      <c r="BD279" s="81"/>
      <c r="BE279" s="91"/>
      <c r="BF279" s="81" t="s">
        <v>103</v>
      </c>
      <c r="BG279" s="89" t="n">
        <f aca="false" t="array" ref="BG279:BG279">IF(BF279="","",IFERROR(INDEX(Справочники!$B$4:$B$7,MATCH(BF279,Справочники!$A$4:$A$7,0)),""))</f>
        <v>68.5</v>
      </c>
      <c r="BH279" s="90" t="str">
        <f aca="false">IF(N(BN279)&gt;0,ROUND(SUMIF(ЗАКАЗЫ!$F$3:$F$500,$A279,ЗАКАЗЫ!$Y$3:$Y$500)/BN279,0),IF(OR(BE279="",BG279=""),"",ROUND(BE279*BG279*(1+Справочники!$B$10),0)))</f>
        <v/>
      </c>
      <c r="BI279" s="92" t="str">
        <f aca="false">IF(OR(AU279="",BH279="",AU279=0),"",(AU279-BH279)/AU279)</f>
        <v/>
      </c>
      <c r="BJ279" s="81"/>
      <c r="BK279" s="83"/>
      <c r="BL279" s="43" t="str">
        <f aca="false">IFERROR(INDEX(ЗАКАЗЫ!$N$3:$N$500,MATCH($A279,ЗАКАЗЫ!$F$3:$F$500,0)),"")</f>
        <v/>
      </c>
      <c r="BM279" s="8" t="str">
        <f aca="false">IF(BL279="","",IFERROR(VLOOKUP(BL279,'ТН ВЭД'!$A$4:$C$40,3,0),""))</f>
        <v/>
      </c>
      <c r="BN279" s="7" t="str">
        <f aca="false">IF(COUNTIF(ЗАКАЗЫ!$F$3:$F$500,$A279)=0,"",SUMIF(ЗАКАЗЫ!$F$3:$F$500,$A279,ЗАКАЗЫ!$J$3:$J$500))</f>
        <v/>
      </c>
      <c r="BO279" s="7" t="str">
        <f aca="false">IF(BN279="","",SUMIF(ЗАКАЗЫ!$F$3:$F$500,$A279,ЗАКАЗЫ!$AL$3:$AL$500))</f>
        <v/>
      </c>
      <c r="BP279" s="7" t="str">
        <f aca="false">IF(BN279="","",BN279-BO279)</f>
        <v/>
      </c>
      <c r="BQ279" s="55" t="str">
        <f aca="false">IF(BN279="","",IF(BO279&gt;=BN279,"На складе",IF(BO279&gt;0,"Частично","Ждём")))</f>
        <v/>
      </c>
      <c r="BR279" s="43"/>
      <c r="BS279" s="47" t="str">
        <f aca="false">IF(BN279="","",IF(_xlfn.MAXIFS(ЗАКАЗЫ!$AK$3:$AK$500,ЗАКАЗЫ!$F$3:$F$500,$A279)=0,"",_xlfn.MAXIFS(ЗАКАЗЫ!$AK$3:$AK$500,ЗАКАЗЫ!$F$3:$F$500,$A279)))</f>
        <v/>
      </c>
    </row>
    <row r="280" customFormat="false" ht="15.75" hidden="false" customHeight="true" outlineLevel="0" collapsed="false">
      <c r="A280" s="80" t="s">
        <v>3191</v>
      </c>
      <c r="B280" s="81"/>
      <c r="C280" s="81"/>
      <c r="D280" s="81"/>
      <c r="E280" s="83"/>
      <c r="F280" s="81"/>
      <c r="G280" s="83"/>
      <c r="H280" s="83"/>
      <c r="I280" s="84" t="str">
        <f aca="false">IF(E280="","",A280&amp;"_1.jpg")</f>
        <v/>
      </c>
      <c r="J280" s="84" t="str">
        <f aca="false">IF(E280="","",A280&amp;"_2.jpg; "&amp;A280&amp;"_3.jpg")</f>
        <v/>
      </c>
      <c r="K280" s="84" t="str">
        <f aca="false">IF(E280="","",A280&amp;"_schema.jpg")</f>
        <v/>
      </c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 t="s">
        <v>96</v>
      </c>
      <c r="W280" s="81"/>
      <c r="X280" s="81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6" t="str">
        <f aca="false">IF(SUM(Y280:AJ280)=0,"",SUM(Y280:AJ280))</f>
        <v/>
      </c>
      <c r="AL280" s="84" t="str">
        <f aca="false">MID(IF(N(Y280)&gt;0,", "&amp;Y$2,"")&amp;IF(N(Z280)&gt;0,", "&amp;Z$2,"")&amp;IF(N(AA280)&gt;0,", "&amp;AA$2,"")&amp;IF(N(AB280)&gt;0,", "&amp;AB$2,"")&amp;IF(N(AC280)&gt;0,", "&amp;AC$2,"")&amp;IF(N(AD280)&gt;0,", "&amp;AD$2,"")&amp;IF(N(AE280)&gt;0,", "&amp;AE$2,"")&amp;IF(N(AF280)&gt;0,", "&amp;AF$2,"")&amp;IF(N(AG280)&gt;0,", "&amp;AG$2,"")&amp;IF(N(AH280)&gt;0,", "&amp;AH$2,"")&amp;IF(N(AI280)&gt;0,", "&amp;AI$2,"")&amp;IF(N(AJ280)&gt;0,", "&amp;AJ$2,""),3,999)</f>
        <v/>
      </c>
      <c r="AM280" s="87" t="str">
        <f aca="false">IF(E280="","",MID(IF(N(Y280)&gt;0,", "&amp;A280&amp;"-"&amp;Y$2,"")&amp;IF(N(Z280)&gt;0,", "&amp;A280&amp;"-"&amp;Z$2,"")&amp;IF(N(AA280)&gt;0,", "&amp;A280&amp;"-"&amp;AA$2,"")&amp;IF(N(AB280)&gt;0,", "&amp;A280&amp;"-"&amp;AB$2,"")&amp;IF(N(AC280)&gt;0,", "&amp;A280&amp;"-"&amp;AC$2,"")&amp;IF(N(AD280)&gt;0,", "&amp;A280&amp;"-"&amp;AD$2,"")&amp;IF(N(AE280)&gt;0,", "&amp;A280&amp;"-"&amp;AE$2,"")&amp;IF(N(AF280)&gt;0,", "&amp;A280&amp;"-"&amp;AF$2,"")&amp;IF(N(AG280)&gt;0,", "&amp;A280&amp;"-"&amp;AG$2,"")&amp;IF(N(AH280)&gt;0,", "&amp;A280&amp;"-"&amp;AH$2,"")&amp;IF(N(AI280)&gt;0,", "&amp;A280&amp;"-"&amp;AI$2,"")&amp;IF(N(AJ280)&gt;0,", "&amp;A280&amp;"-"&amp;AJ$2,""),3,999))</f>
        <v/>
      </c>
      <c r="AN280" s="81"/>
      <c r="AO280" s="88"/>
      <c r="AP280" s="89" t="str">
        <f aca="false">IF(AO280="","",ROUND(AO280/(1+Справочники!$B$13),2))</f>
        <v/>
      </c>
      <c r="AQ280" s="90" t="str">
        <f aca="false" t="array" ref="AQ280:AQ280">IF(AP280="","",AP280*INDEX(Справочники!$B$4:$B$7,MATCH("RUB",Справочники!$A$4:$A$7,0)))</f>
        <v/>
      </c>
      <c r="AR280" s="90" t="str">
        <f aca="false">IF(AQ280="","",ROUND(AQ280*(1+Справочники!$B$12),0))</f>
        <v/>
      </c>
      <c r="AS280" s="90" t="str">
        <f aca="false">IF(AR280="","",ROUND(AR280*(1-Справочники!$B$11),0))</f>
        <v/>
      </c>
      <c r="AT280" s="88"/>
      <c r="AU280" s="90" t="str">
        <f aca="false">IF(AT280="","",ROUND(AT280/(1+Справочники!$B$12),0))</f>
        <v/>
      </c>
      <c r="AV280" s="90" t="str">
        <f aca="false">IF(AT280="","",ROUND(AT280*(1-Справочники!$B$15),0))</f>
        <v/>
      </c>
      <c r="AW280" s="90" t="str">
        <f aca="false">IF(AT280="","",ROUND(AT280*(1-Справочники!$B$16),0))</f>
        <v/>
      </c>
      <c r="AX280" s="90" t="str">
        <f aca="false">IF(AT280="","",ROUND(AT280*(1-Справочники!$B$17),0))</f>
        <v/>
      </c>
      <c r="AY280" s="90" t="str">
        <f aca="false">IF(AT280="","",ROUND(AT280*(1-Справочники!$B$18),0))</f>
        <v/>
      </c>
      <c r="AZ280" s="90" t="str">
        <f aca="false">IF(AT280="","",ROUND(AT280*(1-Справочники!$B$19),0))</f>
        <v/>
      </c>
      <c r="BA280" s="81"/>
      <c r="BB280" s="81"/>
      <c r="BC280" s="81"/>
      <c r="BD280" s="81"/>
      <c r="BE280" s="91"/>
      <c r="BF280" s="81" t="s">
        <v>103</v>
      </c>
      <c r="BG280" s="89" t="n">
        <f aca="false" t="array" ref="BG280:BG280">IF(BF280="","",IFERROR(INDEX(Справочники!$B$4:$B$7,MATCH(BF280,Справочники!$A$4:$A$7,0)),""))</f>
        <v>68.5</v>
      </c>
      <c r="BH280" s="90" t="str">
        <f aca="false">IF(N(BN280)&gt;0,ROUND(SUMIF(ЗАКАЗЫ!$F$3:$F$500,$A280,ЗАКАЗЫ!$Y$3:$Y$500)/BN280,0),IF(OR(BE280="",BG280=""),"",ROUND(BE280*BG280*(1+Справочники!$B$10),0)))</f>
        <v/>
      </c>
      <c r="BI280" s="92" t="str">
        <f aca="false">IF(OR(AU280="",BH280="",AU280=0),"",(AU280-BH280)/AU280)</f>
        <v/>
      </c>
      <c r="BJ280" s="81"/>
      <c r="BK280" s="83"/>
      <c r="BL280" s="43" t="str">
        <f aca="false">IFERROR(INDEX(ЗАКАЗЫ!$N$3:$N$500,MATCH($A280,ЗАКАЗЫ!$F$3:$F$500,0)),"")</f>
        <v/>
      </c>
      <c r="BM280" s="8" t="str">
        <f aca="false">IF(BL280="","",IFERROR(VLOOKUP(BL280,'ТН ВЭД'!$A$4:$C$40,3,0),""))</f>
        <v/>
      </c>
      <c r="BN280" s="7" t="str">
        <f aca="false">IF(COUNTIF(ЗАКАЗЫ!$F$3:$F$500,$A280)=0,"",SUMIF(ЗАКАЗЫ!$F$3:$F$500,$A280,ЗАКАЗЫ!$J$3:$J$500))</f>
        <v/>
      </c>
      <c r="BO280" s="7" t="str">
        <f aca="false">IF(BN280="","",SUMIF(ЗАКАЗЫ!$F$3:$F$500,$A280,ЗАКАЗЫ!$AL$3:$AL$500))</f>
        <v/>
      </c>
      <c r="BP280" s="7" t="str">
        <f aca="false">IF(BN280="","",BN280-BO280)</f>
        <v/>
      </c>
      <c r="BQ280" s="55" t="str">
        <f aca="false">IF(BN280="","",IF(BO280&gt;=BN280,"На складе",IF(BO280&gt;0,"Частично","Ждём")))</f>
        <v/>
      </c>
      <c r="BR280" s="43"/>
      <c r="BS280" s="47" t="str">
        <f aca="false">IF(BN280="","",IF(_xlfn.MAXIFS(ЗАКАЗЫ!$AK$3:$AK$500,ЗАКАЗЫ!$F$3:$F$500,$A280)=0,"",_xlfn.MAXIFS(ЗАКАЗЫ!$AK$3:$AK$500,ЗАКАЗЫ!$F$3:$F$500,$A280)))</f>
        <v/>
      </c>
    </row>
    <row r="281" customFormat="false" ht="15.75" hidden="false" customHeight="true" outlineLevel="0" collapsed="false">
      <c r="A281" s="80" t="s">
        <v>3192</v>
      </c>
      <c r="B281" s="81"/>
      <c r="C281" s="81"/>
      <c r="D281" s="81"/>
      <c r="E281" s="83"/>
      <c r="F281" s="81"/>
      <c r="G281" s="83"/>
      <c r="H281" s="83"/>
      <c r="I281" s="84" t="str">
        <f aca="false">IF(E281="","",A281&amp;"_1.jpg")</f>
        <v/>
      </c>
      <c r="J281" s="84" t="str">
        <f aca="false">IF(E281="","",A281&amp;"_2.jpg; "&amp;A281&amp;"_3.jpg")</f>
        <v/>
      </c>
      <c r="K281" s="84" t="str">
        <f aca="false">IF(E281="","",A281&amp;"_schema.jpg")</f>
        <v/>
      </c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 t="s">
        <v>96</v>
      </c>
      <c r="W281" s="81"/>
      <c r="X281" s="81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6" t="str">
        <f aca="false">IF(SUM(Y281:AJ281)=0,"",SUM(Y281:AJ281))</f>
        <v/>
      </c>
      <c r="AL281" s="84" t="str">
        <f aca="false">MID(IF(N(Y281)&gt;0,", "&amp;Y$2,"")&amp;IF(N(Z281)&gt;0,", "&amp;Z$2,"")&amp;IF(N(AA281)&gt;0,", "&amp;AA$2,"")&amp;IF(N(AB281)&gt;0,", "&amp;AB$2,"")&amp;IF(N(AC281)&gt;0,", "&amp;AC$2,"")&amp;IF(N(AD281)&gt;0,", "&amp;AD$2,"")&amp;IF(N(AE281)&gt;0,", "&amp;AE$2,"")&amp;IF(N(AF281)&gt;0,", "&amp;AF$2,"")&amp;IF(N(AG281)&gt;0,", "&amp;AG$2,"")&amp;IF(N(AH281)&gt;0,", "&amp;AH$2,"")&amp;IF(N(AI281)&gt;0,", "&amp;AI$2,"")&amp;IF(N(AJ281)&gt;0,", "&amp;AJ$2,""),3,999)</f>
        <v/>
      </c>
      <c r="AM281" s="87" t="str">
        <f aca="false">IF(E281="","",MID(IF(N(Y281)&gt;0,", "&amp;A281&amp;"-"&amp;Y$2,"")&amp;IF(N(Z281)&gt;0,", "&amp;A281&amp;"-"&amp;Z$2,"")&amp;IF(N(AA281)&gt;0,", "&amp;A281&amp;"-"&amp;AA$2,"")&amp;IF(N(AB281)&gt;0,", "&amp;A281&amp;"-"&amp;AB$2,"")&amp;IF(N(AC281)&gt;0,", "&amp;A281&amp;"-"&amp;AC$2,"")&amp;IF(N(AD281)&gt;0,", "&amp;A281&amp;"-"&amp;AD$2,"")&amp;IF(N(AE281)&gt;0,", "&amp;A281&amp;"-"&amp;AE$2,"")&amp;IF(N(AF281)&gt;0,", "&amp;A281&amp;"-"&amp;AF$2,"")&amp;IF(N(AG281)&gt;0,", "&amp;A281&amp;"-"&amp;AG$2,"")&amp;IF(N(AH281)&gt;0,", "&amp;A281&amp;"-"&amp;AH$2,"")&amp;IF(N(AI281)&gt;0,", "&amp;A281&amp;"-"&amp;AI$2,"")&amp;IF(N(AJ281)&gt;0,", "&amp;A281&amp;"-"&amp;AJ$2,""),3,999))</f>
        <v/>
      </c>
      <c r="AN281" s="81"/>
      <c r="AO281" s="88"/>
      <c r="AP281" s="89" t="str">
        <f aca="false">IF(AO281="","",ROUND(AO281/(1+Справочники!$B$13),2))</f>
        <v/>
      </c>
      <c r="AQ281" s="90" t="str">
        <f aca="false" t="array" ref="AQ281:AQ281">IF(AP281="","",AP281*INDEX(Справочники!$B$4:$B$7,MATCH("RUB",Справочники!$A$4:$A$7,0)))</f>
        <v/>
      </c>
      <c r="AR281" s="90" t="str">
        <f aca="false">IF(AQ281="","",ROUND(AQ281*(1+Справочники!$B$12),0))</f>
        <v/>
      </c>
      <c r="AS281" s="90" t="str">
        <f aca="false">IF(AR281="","",ROUND(AR281*(1-Справочники!$B$11),0))</f>
        <v/>
      </c>
      <c r="AT281" s="88"/>
      <c r="AU281" s="90" t="str">
        <f aca="false">IF(AT281="","",ROUND(AT281/(1+Справочники!$B$12),0))</f>
        <v/>
      </c>
      <c r="AV281" s="90" t="str">
        <f aca="false">IF(AT281="","",ROUND(AT281*(1-Справочники!$B$15),0))</f>
        <v/>
      </c>
      <c r="AW281" s="90" t="str">
        <f aca="false">IF(AT281="","",ROUND(AT281*(1-Справочники!$B$16),0))</f>
        <v/>
      </c>
      <c r="AX281" s="90" t="str">
        <f aca="false">IF(AT281="","",ROUND(AT281*(1-Справочники!$B$17),0))</f>
        <v/>
      </c>
      <c r="AY281" s="90" t="str">
        <f aca="false">IF(AT281="","",ROUND(AT281*(1-Справочники!$B$18),0))</f>
        <v/>
      </c>
      <c r="AZ281" s="90" t="str">
        <f aca="false">IF(AT281="","",ROUND(AT281*(1-Справочники!$B$19),0))</f>
        <v/>
      </c>
      <c r="BA281" s="81"/>
      <c r="BB281" s="81"/>
      <c r="BC281" s="81"/>
      <c r="BD281" s="81"/>
      <c r="BE281" s="91"/>
      <c r="BF281" s="81" t="s">
        <v>103</v>
      </c>
      <c r="BG281" s="89" t="n">
        <f aca="false" t="array" ref="BG281:BG281">IF(BF281="","",IFERROR(INDEX(Справочники!$B$4:$B$7,MATCH(BF281,Справочники!$A$4:$A$7,0)),""))</f>
        <v>68.5</v>
      </c>
      <c r="BH281" s="90" t="str">
        <f aca="false">IF(N(BN281)&gt;0,ROUND(SUMIF(ЗАКАЗЫ!$F$3:$F$500,$A281,ЗАКАЗЫ!$Y$3:$Y$500)/BN281,0),IF(OR(BE281="",BG281=""),"",ROUND(BE281*BG281*(1+Справочники!$B$10),0)))</f>
        <v/>
      </c>
      <c r="BI281" s="92" t="str">
        <f aca="false">IF(OR(AU281="",BH281="",AU281=0),"",(AU281-BH281)/AU281)</f>
        <v/>
      </c>
      <c r="BJ281" s="81"/>
      <c r="BK281" s="83"/>
      <c r="BL281" s="43" t="str">
        <f aca="false">IFERROR(INDEX(ЗАКАЗЫ!$N$3:$N$500,MATCH($A281,ЗАКАЗЫ!$F$3:$F$500,0)),"")</f>
        <v/>
      </c>
      <c r="BM281" s="8" t="str">
        <f aca="false">IF(BL281="","",IFERROR(VLOOKUP(BL281,'ТН ВЭД'!$A$4:$C$40,3,0),""))</f>
        <v/>
      </c>
      <c r="BN281" s="7" t="str">
        <f aca="false">IF(COUNTIF(ЗАКАЗЫ!$F$3:$F$500,$A281)=0,"",SUMIF(ЗАКАЗЫ!$F$3:$F$500,$A281,ЗАКАЗЫ!$J$3:$J$500))</f>
        <v/>
      </c>
      <c r="BO281" s="7" t="str">
        <f aca="false">IF(BN281="","",SUMIF(ЗАКАЗЫ!$F$3:$F$500,$A281,ЗАКАЗЫ!$AL$3:$AL$500))</f>
        <v/>
      </c>
      <c r="BP281" s="7" t="str">
        <f aca="false">IF(BN281="","",BN281-BO281)</f>
        <v/>
      </c>
      <c r="BQ281" s="55" t="str">
        <f aca="false">IF(BN281="","",IF(BO281&gt;=BN281,"На складе",IF(BO281&gt;0,"Частично","Ждём")))</f>
        <v/>
      </c>
      <c r="BR281" s="43"/>
      <c r="BS281" s="47" t="str">
        <f aca="false">IF(BN281="","",IF(_xlfn.MAXIFS(ЗАКАЗЫ!$AK$3:$AK$500,ЗАКАЗЫ!$F$3:$F$500,$A281)=0,"",_xlfn.MAXIFS(ЗАКАЗЫ!$AK$3:$AK$500,ЗАКАЗЫ!$F$3:$F$500,$A281)))</f>
        <v/>
      </c>
    </row>
    <row r="282" customFormat="false" ht="15.75" hidden="false" customHeight="true" outlineLevel="0" collapsed="false">
      <c r="A282" s="80" t="s">
        <v>3193</v>
      </c>
      <c r="B282" s="81"/>
      <c r="C282" s="81"/>
      <c r="D282" s="81"/>
      <c r="E282" s="83"/>
      <c r="F282" s="81"/>
      <c r="G282" s="83"/>
      <c r="H282" s="83"/>
      <c r="I282" s="84" t="str">
        <f aca="false">IF(E282="","",A282&amp;"_1.jpg")</f>
        <v/>
      </c>
      <c r="J282" s="84" t="str">
        <f aca="false">IF(E282="","",A282&amp;"_2.jpg; "&amp;A282&amp;"_3.jpg")</f>
        <v/>
      </c>
      <c r="K282" s="84" t="str">
        <f aca="false">IF(E282="","",A282&amp;"_schema.jpg")</f>
        <v/>
      </c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 t="s">
        <v>96</v>
      </c>
      <c r="W282" s="81"/>
      <c r="X282" s="81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6" t="str">
        <f aca="false">IF(SUM(Y282:AJ282)=0,"",SUM(Y282:AJ282))</f>
        <v/>
      </c>
      <c r="AL282" s="84" t="str">
        <f aca="false">MID(IF(N(Y282)&gt;0,", "&amp;Y$2,"")&amp;IF(N(Z282)&gt;0,", "&amp;Z$2,"")&amp;IF(N(AA282)&gt;0,", "&amp;AA$2,"")&amp;IF(N(AB282)&gt;0,", "&amp;AB$2,"")&amp;IF(N(AC282)&gt;0,", "&amp;AC$2,"")&amp;IF(N(AD282)&gt;0,", "&amp;AD$2,"")&amp;IF(N(AE282)&gt;0,", "&amp;AE$2,"")&amp;IF(N(AF282)&gt;0,", "&amp;AF$2,"")&amp;IF(N(AG282)&gt;0,", "&amp;AG$2,"")&amp;IF(N(AH282)&gt;0,", "&amp;AH$2,"")&amp;IF(N(AI282)&gt;0,", "&amp;AI$2,"")&amp;IF(N(AJ282)&gt;0,", "&amp;AJ$2,""),3,999)</f>
        <v/>
      </c>
      <c r="AM282" s="87" t="str">
        <f aca="false">IF(E282="","",MID(IF(N(Y282)&gt;0,", "&amp;A282&amp;"-"&amp;Y$2,"")&amp;IF(N(Z282)&gt;0,", "&amp;A282&amp;"-"&amp;Z$2,"")&amp;IF(N(AA282)&gt;0,", "&amp;A282&amp;"-"&amp;AA$2,"")&amp;IF(N(AB282)&gt;0,", "&amp;A282&amp;"-"&amp;AB$2,"")&amp;IF(N(AC282)&gt;0,", "&amp;A282&amp;"-"&amp;AC$2,"")&amp;IF(N(AD282)&gt;0,", "&amp;A282&amp;"-"&amp;AD$2,"")&amp;IF(N(AE282)&gt;0,", "&amp;A282&amp;"-"&amp;AE$2,"")&amp;IF(N(AF282)&gt;0,", "&amp;A282&amp;"-"&amp;AF$2,"")&amp;IF(N(AG282)&gt;0,", "&amp;A282&amp;"-"&amp;AG$2,"")&amp;IF(N(AH282)&gt;0,", "&amp;A282&amp;"-"&amp;AH$2,"")&amp;IF(N(AI282)&gt;0,", "&amp;A282&amp;"-"&amp;AI$2,"")&amp;IF(N(AJ282)&gt;0,", "&amp;A282&amp;"-"&amp;AJ$2,""),3,999))</f>
        <v/>
      </c>
      <c r="AN282" s="81"/>
      <c r="AO282" s="88"/>
      <c r="AP282" s="89" t="str">
        <f aca="false">IF(AO282="","",ROUND(AO282/(1+Справочники!$B$13),2))</f>
        <v/>
      </c>
      <c r="AQ282" s="90" t="str">
        <f aca="false" t="array" ref="AQ282:AQ282">IF(AP282="","",AP282*INDEX(Справочники!$B$4:$B$7,MATCH("RUB",Справочники!$A$4:$A$7,0)))</f>
        <v/>
      </c>
      <c r="AR282" s="90" t="str">
        <f aca="false">IF(AQ282="","",ROUND(AQ282*(1+Справочники!$B$12),0))</f>
        <v/>
      </c>
      <c r="AS282" s="90" t="str">
        <f aca="false">IF(AR282="","",ROUND(AR282*(1-Справочники!$B$11),0))</f>
        <v/>
      </c>
      <c r="AT282" s="88"/>
      <c r="AU282" s="90" t="str">
        <f aca="false">IF(AT282="","",ROUND(AT282/(1+Справочники!$B$12),0))</f>
        <v/>
      </c>
      <c r="AV282" s="90" t="str">
        <f aca="false">IF(AT282="","",ROUND(AT282*(1-Справочники!$B$15),0))</f>
        <v/>
      </c>
      <c r="AW282" s="90" t="str">
        <f aca="false">IF(AT282="","",ROUND(AT282*(1-Справочники!$B$16),0))</f>
        <v/>
      </c>
      <c r="AX282" s="90" t="str">
        <f aca="false">IF(AT282="","",ROUND(AT282*(1-Справочники!$B$17),0))</f>
        <v/>
      </c>
      <c r="AY282" s="90" t="str">
        <f aca="false">IF(AT282="","",ROUND(AT282*(1-Справочники!$B$18),0))</f>
        <v/>
      </c>
      <c r="AZ282" s="90" t="str">
        <f aca="false">IF(AT282="","",ROUND(AT282*(1-Справочники!$B$19),0))</f>
        <v/>
      </c>
      <c r="BA282" s="81"/>
      <c r="BB282" s="81"/>
      <c r="BC282" s="81"/>
      <c r="BD282" s="81"/>
      <c r="BE282" s="91"/>
      <c r="BF282" s="81" t="s">
        <v>103</v>
      </c>
      <c r="BG282" s="89" t="n">
        <f aca="false" t="array" ref="BG282:BG282">IF(BF282="","",IFERROR(INDEX(Справочники!$B$4:$B$7,MATCH(BF282,Справочники!$A$4:$A$7,0)),""))</f>
        <v>68.5</v>
      </c>
      <c r="BH282" s="90" t="str">
        <f aca="false">IF(N(BN282)&gt;0,ROUND(SUMIF(ЗАКАЗЫ!$F$3:$F$500,$A282,ЗАКАЗЫ!$Y$3:$Y$500)/BN282,0),IF(OR(BE282="",BG282=""),"",ROUND(BE282*BG282*(1+Справочники!$B$10),0)))</f>
        <v/>
      </c>
      <c r="BI282" s="92" t="str">
        <f aca="false">IF(OR(AU282="",BH282="",AU282=0),"",(AU282-BH282)/AU282)</f>
        <v/>
      </c>
      <c r="BJ282" s="81"/>
      <c r="BK282" s="83"/>
      <c r="BL282" s="43" t="str">
        <f aca="false">IFERROR(INDEX(ЗАКАЗЫ!$N$3:$N$500,MATCH($A282,ЗАКАЗЫ!$F$3:$F$500,0)),"")</f>
        <v/>
      </c>
      <c r="BM282" s="8" t="str">
        <f aca="false">IF(BL282="","",IFERROR(VLOOKUP(BL282,'ТН ВЭД'!$A$4:$C$40,3,0),""))</f>
        <v/>
      </c>
      <c r="BN282" s="7" t="str">
        <f aca="false">IF(COUNTIF(ЗАКАЗЫ!$F$3:$F$500,$A282)=0,"",SUMIF(ЗАКАЗЫ!$F$3:$F$500,$A282,ЗАКАЗЫ!$J$3:$J$500))</f>
        <v/>
      </c>
      <c r="BO282" s="7" t="str">
        <f aca="false">IF(BN282="","",SUMIF(ЗАКАЗЫ!$F$3:$F$500,$A282,ЗАКАЗЫ!$AL$3:$AL$500))</f>
        <v/>
      </c>
      <c r="BP282" s="7" t="str">
        <f aca="false">IF(BN282="","",BN282-BO282)</f>
        <v/>
      </c>
      <c r="BQ282" s="55" t="str">
        <f aca="false">IF(BN282="","",IF(BO282&gt;=BN282,"На складе",IF(BO282&gt;0,"Частично","Ждём")))</f>
        <v/>
      </c>
      <c r="BR282" s="43"/>
      <c r="BS282" s="47" t="str">
        <f aca="false">IF(BN282="","",IF(_xlfn.MAXIFS(ЗАКАЗЫ!$AK$3:$AK$500,ЗАКАЗЫ!$F$3:$F$500,$A282)=0,"",_xlfn.MAXIFS(ЗАКАЗЫ!$AK$3:$AK$500,ЗАКАЗЫ!$F$3:$F$500,$A282)))</f>
        <v/>
      </c>
    </row>
    <row r="283" customFormat="false" ht="15.75" hidden="false" customHeight="true" outlineLevel="0" collapsed="false">
      <c r="A283" s="80" t="s">
        <v>3194</v>
      </c>
      <c r="B283" s="81"/>
      <c r="C283" s="81"/>
      <c r="D283" s="81"/>
      <c r="E283" s="83"/>
      <c r="F283" s="81"/>
      <c r="G283" s="83"/>
      <c r="H283" s="83"/>
      <c r="I283" s="84" t="str">
        <f aca="false">IF(E283="","",A283&amp;"_1.jpg")</f>
        <v/>
      </c>
      <c r="J283" s="84" t="str">
        <f aca="false">IF(E283="","",A283&amp;"_2.jpg; "&amp;A283&amp;"_3.jpg")</f>
        <v/>
      </c>
      <c r="K283" s="84" t="str">
        <f aca="false">IF(E283="","",A283&amp;"_schema.jpg")</f>
        <v/>
      </c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 t="s">
        <v>96</v>
      </c>
      <c r="W283" s="81"/>
      <c r="X283" s="81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6" t="str">
        <f aca="false">IF(SUM(Y283:AJ283)=0,"",SUM(Y283:AJ283))</f>
        <v/>
      </c>
      <c r="AL283" s="84" t="str">
        <f aca="false">MID(IF(N(Y283)&gt;0,", "&amp;Y$2,"")&amp;IF(N(Z283)&gt;0,", "&amp;Z$2,"")&amp;IF(N(AA283)&gt;0,", "&amp;AA$2,"")&amp;IF(N(AB283)&gt;0,", "&amp;AB$2,"")&amp;IF(N(AC283)&gt;0,", "&amp;AC$2,"")&amp;IF(N(AD283)&gt;0,", "&amp;AD$2,"")&amp;IF(N(AE283)&gt;0,", "&amp;AE$2,"")&amp;IF(N(AF283)&gt;0,", "&amp;AF$2,"")&amp;IF(N(AG283)&gt;0,", "&amp;AG$2,"")&amp;IF(N(AH283)&gt;0,", "&amp;AH$2,"")&amp;IF(N(AI283)&gt;0,", "&amp;AI$2,"")&amp;IF(N(AJ283)&gt;0,", "&amp;AJ$2,""),3,999)</f>
        <v/>
      </c>
      <c r="AM283" s="87" t="str">
        <f aca="false">IF(E283="","",MID(IF(N(Y283)&gt;0,", "&amp;A283&amp;"-"&amp;Y$2,"")&amp;IF(N(Z283)&gt;0,", "&amp;A283&amp;"-"&amp;Z$2,"")&amp;IF(N(AA283)&gt;0,", "&amp;A283&amp;"-"&amp;AA$2,"")&amp;IF(N(AB283)&gt;0,", "&amp;A283&amp;"-"&amp;AB$2,"")&amp;IF(N(AC283)&gt;0,", "&amp;A283&amp;"-"&amp;AC$2,"")&amp;IF(N(AD283)&gt;0,", "&amp;A283&amp;"-"&amp;AD$2,"")&amp;IF(N(AE283)&gt;0,", "&amp;A283&amp;"-"&amp;AE$2,"")&amp;IF(N(AF283)&gt;0,", "&amp;A283&amp;"-"&amp;AF$2,"")&amp;IF(N(AG283)&gt;0,", "&amp;A283&amp;"-"&amp;AG$2,"")&amp;IF(N(AH283)&gt;0,", "&amp;A283&amp;"-"&amp;AH$2,"")&amp;IF(N(AI283)&gt;0,", "&amp;A283&amp;"-"&amp;AI$2,"")&amp;IF(N(AJ283)&gt;0,", "&amp;A283&amp;"-"&amp;AJ$2,""),3,999))</f>
        <v/>
      </c>
      <c r="AN283" s="81"/>
      <c r="AO283" s="88"/>
      <c r="AP283" s="89" t="str">
        <f aca="false">IF(AO283="","",ROUND(AO283/(1+Справочники!$B$13),2))</f>
        <v/>
      </c>
      <c r="AQ283" s="90" t="str">
        <f aca="false" t="array" ref="AQ283:AQ283">IF(AP283="","",AP283*INDEX(Справочники!$B$4:$B$7,MATCH("RUB",Справочники!$A$4:$A$7,0)))</f>
        <v/>
      </c>
      <c r="AR283" s="90" t="str">
        <f aca="false">IF(AQ283="","",ROUND(AQ283*(1+Справочники!$B$12),0))</f>
        <v/>
      </c>
      <c r="AS283" s="90" t="str">
        <f aca="false">IF(AR283="","",ROUND(AR283*(1-Справочники!$B$11),0))</f>
        <v/>
      </c>
      <c r="AT283" s="88"/>
      <c r="AU283" s="90" t="str">
        <f aca="false">IF(AT283="","",ROUND(AT283/(1+Справочники!$B$12),0))</f>
        <v/>
      </c>
      <c r="AV283" s="90" t="str">
        <f aca="false">IF(AT283="","",ROUND(AT283*(1-Справочники!$B$15),0))</f>
        <v/>
      </c>
      <c r="AW283" s="90" t="str">
        <f aca="false">IF(AT283="","",ROUND(AT283*(1-Справочники!$B$16),0))</f>
        <v/>
      </c>
      <c r="AX283" s="90" t="str">
        <f aca="false">IF(AT283="","",ROUND(AT283*(1-Справочники!$B$17),0))</f>
        <v/>
      </c>
      <c r="AY283" s="90" t="str">
        <f aca="false">IF(AT283="","",ROUND(AT283*(1-Справочники!$B$18),0))</f>
        <v/>
      </c>
      <c r="AZ283" s="90" t="str">
        <f aca="false">IF(AT283="","",ROUND(AT283*(1-Справочники!$B$19),0))</f>
        <v/>
      </c>
      <c r="BA283" s="81"/>
      <c r="BB283" s="81"/>
      <c r="BC283" s="81"/>
      <c r="BD283" s="81"/>
      <c r="BE283" s="91"/>
      <c r="BF283" s="81" t="s">
        <v>103</v>
      </c>
      <c r="BG283" s="89" t="n">
        <f aca="false" t="array" ref="BG283:BG283">IF(BF283="","",IFERROR(INDEX(Справочники!$B$4:$B$7,MATCH(BF283,Справочники!$A$4:$A$7,0)),""))</f>
        <v>68.5</v>
      </c>
      <c r="BH283" s="90" t="str">
        <f aca="false">IF(N(BN283)&gt;0,ROUND(SUMIF(ЗАКАЗЫ!$F$3:$F$500,$A283,ЗАКАЗЫ!$Y$3:$Y$500)/BN283,0),IF(OR(BE283="",BG283=""),"",ROUND(BE283*BG283*(1+Справочники!$B$10),0)))</f>
        <v/>
      </c>
      <c r="BI283" s="92" t="str">
        <f aca="false">IF(OR(AU283="",BH283="",AU283=0),"",(AU283-BH283)/AU283)</f>
        <v/>
      </c>
      <c r="BJ283" s="81"/>
      <c r="BK283" s="83"/>
      <c r="BL283" s="43" t="str">
        <f aca="false">IFERROR(INDEX(ЗАКАЗЫ!$N$3:$N$500,MATCH($A283,ЗАКАЗЫ!$F$3:$F$500,0)),"")</f>
        <v/>
      </c>
      <c r="BM283" s="8" t="str">
        <f aca="false">IF(BL283="","",IFERROR(VLOOKUP(BL283,'ТН ВЭД'!$A$4:$C$40,3,0),""))</f>
        <v/>
      </c>
      <c r="BN283" s="7" t="str">
        <f aca="false">IF(COUNTIF(ЗАКАЗЫ!$F$3:$F$500,$A283)=0,"",SUMIF(ЗАКАЗЫ!$F$3:$F$500,$A283,ЗАКАЗЫ!$J$3:$J$500))</f>
        <v/>
      </c>
      <c r="BO283" s="7" t="str">
        <f aca="false">IF(BN283="","",SUMIF(ЗАКАЗЫ!$F$3:$F$500,$A283,ЗАКАЗЫ!$AL$3:$AL$500))</f>
        <v/>
      </c>
      <c r="BP283" s="7" t="str">
        <f aca="false">IF(BN283="","",BN283-BO283)</f>
        <v/>
      </c>
      <c r="BQ283" s="55" t="str">
        <f aca="false">IF(BN283="","",IF(BO283&gt;=BN283,"На складе",IF(BO283&gt;0,"Частично","Ждём")))</f>
        <v/>
      </c>
      <c r="BR283" s="43"/>
      <c r="BS283" s="47" t="str">
        <f aca="false">IF(BN283="","",IF(_xlfn.MAXIFS(ЗАКАЗЫ!$AK$3:$AK$500,ЗАКАЗЫ!$F$3:$F$500,$A283)=0,"",_xlfn.MAXIFS(ЗАКАЗЫ!$AK$3:$AK$500,ЗАКАЗЫ!$F$3:$F$500,$A283)))</f>
        <v/>
      </c>
    </row>
    <row r="284" customFormat="false" ht="15.75" hidden="false" customHeight="true" outlineLevel="0" collapsed="false">
      <c r="A284" s="80" t="s">
        <v>3195</v>
      </c>
      <c r="B284" s="81"/>
      <c r="C284" s="81"/>
      <c r="D284" s="81"/>
      <c r="E284" s="83"/>
      <c r="F284" s="81"/>
      <c r="G284" s="83"/>
      <c r="H284" s="83"/>
      <c r="I284" s="84" t="str">
        <f aca="false">IF(E284="","",A284&amp;"_1.jpg")</f>
        <v/>
      </c>
      <c r="J284" s="84" t="str">
        <f aca="false">IF(E284="","",A284&amp;"_2.jpg; "&amp;A284&amp;"_3.jpg")</f>
        <v/>
      </c>
      <c r="K284" s="84" t="str">
        <f aca="false">IF(E284="","",A284&amp;"_schema.jpg")</f>
        <v/>
      </c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 t="s">
        <v>96</v>
      </c>
      <c r="W284" s="81"/>
      <c r="X284" s="81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6" t="str">
        <f aca="false">IF(SUM(Y284:AJ284)=0,"",SUM(Y284:AJ284))</f>
        <v/>
      </c>
      <c r="AL284" s="84" t="str">
        <f aca="false">MID(IF(N(Y284)&gt;0,", "&amp;Y$2,"")&amp;IF(N(Z284)&gt;0,", "&amp;Z$2,"")&amp;IF(N(AA284)&gt;0,", "&amp;AA$2,"")&amp;IF(N(AB284)&gt;0,", "&amp;AB$2,"")&amp;IF(N(AC284)&gt;0,", "&amp;AC$2,"")&amp;IF(N(AD284)&gt;0,", "&amp;AD$2,"")&amp;IF(N(AE284)&gt;0,", "&amp;AE$2,"")&amp;IF(N(AF284)&gt;0,", "&amp;AF$2,"")&amp;IF(N(AG284)&gt;0,", "&amp;AG$2,"")&amp;IF(N(AH284)&gt;0,", "&amp;AH$2,"")&amp;IF(N(AI284)&gt;0,", "&amp;AI$2,"")&amp;IF(N(AJ284)&gt;0,", "&amp;AJ$2,""),3,999)</f>
        <v/>
      </c>
      <c r="AM284" s="87" t="str">
        <f aca="false">IF(E284="","",MID(IF(N(Y284)&gt;0,", "&amp;A284&amp;"-"&amp;Y$2,"")&amp;IF(N(Z284)&gt;0,", "&amp;A284&amp;"-"&amp;Z$2,"")&amp;IF(N(AA284)&gt;0,", "&amp;A284&amp;"-"&amp;AA$2,"")&amp;IF(N(AB284)&gt;0,", "&amp;A284&amp;"-"&amp;AB$2,"")&amp;IF(N(AC284)&gt;0,", "&amp;A284&amp;"-"&amp;AC$2,"")&amp;IF(N(AD284)&gt;0,", "&amp;A284&amp;"-"&amp;AD$2,"")&amp;IF(N(AE284)&gt;0,", "&amp;A284&amp;"-"&amp;AE$2,"")&amp;IF(N(AF284)&gt;0,", "&amp;A284&amp;"-"&amp;AF$2,"")&amp;IF(N(AG284)&gt;0,", "&amp;A284&amp;"-"&amp;AG$2,"")&amp;IF(N(AH284)&gt;0,", "&amp;A284&amp;"-"&amp;AH$2,"")&amp;IF(N(AI284)&gt;0,", "&amp;A284&amp;"-"&amp;AI$2,"")&amp;IF(N(AJ284)&gt;0,", "&amp;A284&amp;"-"&amp;AJ$2,""),3,999))</f>
        <v/>
      </c>
      <c r="AN284" s="81"/>
      <c r="AO284" s="88"/>
      <c r="AP284" s="89" t="str">
        <f aca="false">IF(AO284="","",ROUND(AO284/(1+Справочники!$B$13),2))</f>
        <v/>
      </c>
      <c r="AQ284" s="90" t="str">
        <f aca="false" t="array" ref="AQ284:AQ284">IF(AP284="","",AP284*INDEX(Справочники!$B$4:$B$7,MATCH("RUB",Справочники!$A$4:$A$7,0)))</f>
        <v/>
      </c>
      <c r="AR284" s="90" t="str">
        <f aca="false">IF(AQ284="","",ROUND(AQ284*(1+Справочники!$B$12),0))</f>
        <v/>
      </c>
      <c r="AS284" s="90" t="str">
        <f aca="false">IF(AR284="","",ROUND(AR284*(1-Справочники!$B$11),0))</f>
        <v/>
      </c>
      <c r="AT284" s="88"/>
      <c r="AU284" s="90" t="str">
        <f aca="false">IF(AT284="","",ROUND(AT284/(1+Справочники!$B$12),0))</f>
        <v/>
      </c>
      <c r="AV284" s="90" t="str">
        <f aca="false">IF(AT284="","",ROUND(AT284*(1-Справочники!$B$15),0))</f>
        <v/>
      </c>
      <c r="AW284" s="90" t="str">
        <f aca="false">IF(AT284="","",ROUND(AT284*(1-Справочники!$B$16),0))</f>
        <v/>
      </c>
      <c r="AX284" s="90" t="str">
        <f aca="false">IF(AT284="","",ROUND(AT284*(1-Справочники!$B$17),0))</f>
        <v/>
      </c>
      <c r="AY284" s="90" t="str">
        <f aca="false">IF(AT284="","",ROUND(AT284*(1-Справочники!$B$18),0))</f>
        <v/>
      </c>
      <c r="AZ284" s="90" t="str">
        <f aca="false">IF(AT284="","",ROUND(AT284*(1-Справочники!$B$19),0))</f>
        <v/>
      </c>
      <c r="BA284" s="81"/>
      <c r="BB284" s="81"/>
      <c r="BC284" s="81"/>
      <c r="BD284" s="81"/>
      <c r="BE284" s="91"/>
      <c r="BF284" s="81" t="s">
        <v>103</v>
      </c>
      <c r="BG284" s="89" t="n">
        <f aca="false" t="array" ref="BG284:BG284">IF(BF284="","",IFERROR(INDEX(Справочники!$B$4:$B$7,MATCH(BF284,Справочники!$A$4:$A$7,0)),""))</f>
        <v>68.5</v>
      </c>
      <c r="BH284" s="90" t="str">
        <f aca="false">IF(N(BN284)&gt;0,ROUND(SUMIF(ЗАКАЗЫ!$F$3:$F$500,$A284,ЗАКАЗЫ!$Y$3:$Y$500)/BN284,0),IF(OR(BE284="",BG284=""),"",ROUND(BE284*BG284*(1+Справочники!$B$10),0)))</f>
        <v/>
      </c>
      <c r="BI284" s="92" t="str">
        <f aca="false">IF(OR(AU284="",BH284="",AU284=0),"",(AU284-BH284)/AU284)</f>
        <v/>
      </c>
      <c r="BJ284" s="81"/>
      <c r="BK284" s="83"/>
      <c r="BL284" s="43" t="str">
        <f aca="false">IFERROR(INDEX(ЗАКАЗЫ!$N$3:$N$500,MATCH($A284,ЗАКАЗЫ!$F$3:$F$500,0)),"")</f>
        <v/>
      </c>
      <c r="BM284" s="8" t="str">
        <f aca="false">IF(BL284="","",IFERROR(VLOOKUP(BL284,'ТН ВЭД'!$A$4:$C$40,3,0),""))</f>
        <v/>
      </c>
      <c r="BN284" s="7" t="str">
        <f aca="false">IF(COUNTIF(ЗАКАЗЫ!$F$3:$F$500,$A284)=0,"",SUMIF(ЗАКАЗЫ!$F$3:$F$500,$A284,ЗАКАЗЫ!$J$3:$J$500))</f>
        <v/>
      </c>
      <c r="BO284" s="7" t="str">
        <f aca="false">IF(BN284="","",SUMIF(ЗАКАЗЫ!$F$3:$F$500,$A284,ЗАКАЗЫ!$AL$3:$AL$500))</f>
        <v/>
      </c>
      <c r="BP284" s="7" t="str">
        <f aca="false">IF(BN284="","",BN284-BO284)</f>
        <v/>
      </c>
      <c r="BQ284" s="55" t="str">
        <f aca="false">IF(BN284="","",IF(BO284&gt;=BN284,"На складе",IF(BO284&gt;0,"Частично","Ждём")))</f>
        <v/>
      </c>
      <c r="BR284" s="43"/>
      <c r="BS284" s="47" t="str">
        <f aca="false">IF(BN284="","",IF(_xlfn.MAXIFS(ЗАКАЗЫ!$AK$3:$AK$500,ЗАКАЗЫ!$F$3:$F$500,$A284)=0,"",_xlfn.MAXIFS(ЗАКАЗЫ!$AK$3:$AK$500,ЗАКАЗЫ!$F$3:$F$500,$A284)))</f>
        <v/>
      </c>
    </row>
    <row r="285" customFormat="false" ht="15.75" hidden="false" customHeight="true" outlineLevel="0" collapsed="false">
      <c r="A285" s="80" t="s">
        <v>3196</v>
      </c>
      <c r="B285" s="81"/>
      <c r="C285" s="81"/>
      <c r="D285" s="81"/>
      <c r="E285" s="83"/>
      <c r="F285" s="81"/>
      <c r="G285" s="83"/>
      <c r="H285" s="83"/>
      <c r="I285" s="84" t="str">
        <f aca="false">IF(E285="","",A285&amp;"_1.jpg")</f>
        <v/>
      </c>
      <c r="J285" s="84" t="str">
        <f aca="false">IF(E285="","",A285&amp;"_2.jpg; "&amp;A285&amp;"_3.jpg")</f>
        <v/>
      </c>
      <c r="K285" s="84" t="str">
        <f aca="false">IF(E285="","",A285&amp;"_schema.jpg")</f>
        <v/>
      </c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 t="s">
        <v>96</v>
      </c>
      <c r="W285" s="81"/>
      <c r="X285" s="81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6" t="str">
        <f aca="false">IF(SUM(Y285:AJ285)=0,"",SUM(Y285:AJ285))</f>
        <v/>
      </c>
      <c r="AL285" s="84" t="str">
        <f aca="false">MID(IF(N(Y285)&gt;0,", "&amp;Y$2,"")&amp;IF(N(Z285)&gt;0,", "&amp;Z$2,"")&amp;IF(N(AA285)&gt;0,", "&amp;AA$2,"")&amp;IF(N(AB285)&gt;0,", "&amp;AB$2,"")&amp;IF(N(AC285)&gt;0,", "&amp;AC$2,"")&amp;IF(N(AD285)&gt;0,", "&amp;AD$2,"")&amp;IF(N(AE285)&gt;0,", "&amp;AE$2,"")&amp;IF(N(AF285)&gt;0,", "&amp;AF$2,"")&amp;IF(N(AG285)&gt;0,", "&amp;AG$2,"")&amp;IF(N(AH285)&gt;0,", "&amp;AH$2,"")&amp;IF(N(AI285)&gt;0,", "&amp;AI$2,"")&amp;IF(N(AJ285)&gt;0,", "&amp;AJ$2,""),3,999)</f>
        <v/>
      </c>
      <c r="AM285" s="87" t="str">
        <f aca="false">IF(E285="","",MID(IF(N(Y285)&gt;0,", "&amp;A285&amp;"-"&amp;Y$2,"")&amp;IF(N(Z285)&gt;0,", "&amp;A285&amp;"-"&amp;Z$2,"")&amp;IF(N(AA285)&gt;0,", "&amp;A285&amp;"-"&amp;AA$2,"")&amp;IF(N(AB285)&gt;0,", "&amp;A285&amp;"-"&amp;AB$2,"")&amp;IF(N(AC285)&gt;0,", "&amp;A285&amp;"-"&amp;AC$2,"")&amp;IF(N(AD285)&gt;0,", "&amp;A285&amp;"-"&amp;AD$2,"")&amp;IF(N(AE285)&gt;0,", "&amp;A285&amp;"-"&amp;AE$2,"")&amp;IF(N(AF285)&gt;0,", "&amp;A285&amp;"-"&amp;AF$2,"")&amp;IF(N(AG285)&gt;0,", "&amp;A285&amp;"-"&amp;AG$2,"")&amp;IF(N(AH285)&gt;0,", "&amp;A285&amp;"-"&amp;AH$2,"")&amp;IF(N(AI285)&gt;0,", "&amp;A285&amp;"-"&amp;AI$2,"")&amp;IF(N(AJ285)&gt;0,", "&amp;A285&amp;"-"&amp;AJ$2,""),3,999))</f>
        <v/>
      </c>
      <c r="AN285" s="81"/>
      <c r="AO285" s="88"/>
      <c r="AP285" s="89" t="str">
        <f aca="false">IF(AO285="","",ROUND(AO285/(1+Справочники!$B$13),2))</f>
        <v/>
      </c>
      <c r="AQ285" s="90" t="str">
        <f aca="false" t="array" ref="AQ285:AQ285">IF(AP285="","",AP285*INDEX(Справочники!$B$4:$B$7,MATCH("RUB",Справочники!$A$4:$A$7,0)))</f>
        <v/>
      </c>
      <c r="AR285" s="90" t="str">
        <f aca="false">IF(AQ285="","",ROUND(AQ285*(1+Справочники!$B$12),0))</f>
        <v/>
      </c>
      <c r="AS285" s="90" t="str">
        <f aca="false">IF(AR285="","",ROUND(AR285*(1-Справочники!$B$11),0))</f>
        <v/>
      </c>
      <c r="AT285" s="88"/>
      <c r="AU285" s="90" t="str">
        <f aca="false">IF(AT285="","",ROUND(AT285/(1+Справочники!$B$12),0))</f>
        <v/>
      </c>
      <c r="AV285" s="90" t="str">
        <f aca="false">IF(AT285="","",ROUND(AT285*(1-Справочники!$B$15),0))</f>
        <v/>
      </c>
      <c r="AW285" s="90" t="str">
        <f aca="false">IF(AT285="","",ROUND(AT285*(1-Справочники!$B$16),0))</f>
        <v/>
      </c>
      <c r="AX285" s="90" t="str">
        <f aca="false">IF(AT285="","",ROUND(AT285*(1-Справочники!$B$17),0))</f>
        <v/>
      </c>
      <c r="AY285" s="90" t="str">
        <f aca="false">IF(AT285="","",ROUND(AT285*(1-Справочники!$B$18),0))</f>
        <v/>
      </c>
      <c r="AZ285" s="90" t="str">
        <f aca="false">IF(AT285="","",ROUND(AT285*(1-Справочники!$B$19),0))</f>
        <v/>
      </c>
      <c r="BA285" s="81"/>
      <c r="BB285" s="81"/>
      <c r="BC285" s="81"/>
      <c r="BD285" s="81"/>
      <c r="BE285" s="91"/>
      <c r="BF285" s="81" t="s">
        <v>103</v>
      </c>
      <c r="BG285" s="89" t="n">
        <f aca="false" t="array" ref="BG285:BG285">IF(BF285="","",IFERROR(INDEX(Справочники!$B$4:$B$7,MATCH(BF285,Справочники!$A$4:$A$7,0)),""))</f>
        <v>68.5</v>
      </c>
      <c r="BH285" s="90" t="str">
        <f aca="false">IF(N(BN285)&gt;0,ROUND(SUMIF(ЗАКАЗЫ!$F$3:$F$500,$A285,ЗАКАЗЫ!$Y$3:$Y$500)/BN285,0),IF(OR(BE285="",BG285=""),"",ROUND(BE285*BG285*(1+Справочники!$B$10),0)))</f>
        <v/>
      </c>
      <c r="BI285" s="92" t="str">
        <f aca="false">IF(OR(AU285="",BH285="",AU285=0),"",(AU285-BH285)/AU285)</f>
        <v/>
      </c>
      <c r="BJ285" s="81"/>
      <c r="BK285" s="83"/>
      <c r="BL285" s="43" t="str">
        <f aca="false">IFERROR(INDEX(ЗАКАЗЫ!$N$3:$N$500,MATCH($A285,ЗАКАЗЫ!$F$3:$F$500,0)),"")</f>
        <v/>
      </c>
      <c r="BM285" s="8" t="str">
        <f aca="false">IF(BL285="","",IFERROR(VLOOKUP(BL285,'ТН ВЭД'!$A$4:$C$40,3,0),""))</f>
        <v/>
      </c>
      <c r="BN285" s="7" t="str">
        <f aca="false">IF(COUNTIF(ЗАКАЗЫ!$F$3:$F$500,$A285)=0,"",SUMIF(ЗАКАЗЫ!$F$3:$F$500,$A285,ЗАКАЗЫ!$J$3:$J$500))</f>
        <v/>
      </c>
      <c r="BO285" s="7" t="str">
        <f aca="false">IF(BN285="","",SUMIF(ЗАКАЗЫ!$F$3:$F$500,$A285,ЗАКАЗЫ!$AL$3:$AL$500))</f>
        <v/>
      </c>
      <c r="BP285" s="7" t="str">
        <f aca="false">IF(BN285="","",BN285-BO285)</f>
        <v/>
      </c>
      <c r="BQ285" s="55" t="str">
        <f aca="false">IF(BN285="","",IF(BO285&gt;=BN285,"На складе",IF(BO285&gt;0,"Частично","Ждём")))</f>
        <v/>
      </c>
      <c r="BR285" s="43"/>
      <c r="BS285" s="47" t="str">
        <f aca="false">IF(BN285="","",IF(_xlfn.MAXIFS(ЗАКАЗЫ!$AK$3:$AK$500,ЗАКАЗЫ!$F$3:$F$500,$A285)=0,"",_xlfn.MAXIFS(ЗАКАЗЫ!$AK$3:$AK$500,ЗАКАЗЫ!$F$3:$F$500,$A285)))</f>
        <v/>
      </c>
    </row>
    <row r="286" customFormat="false" ht="15.75" hidden="false" customHeight="true" outlineLevel="0" collapsed="false">
      <c r="A286" s="80" t="s">
        <v>3197</v>
      </c>
      <c r="B286" s="81"/>
      <c r="C286" s="81"/>
      <c r="D286" s="81"/>
      <c r="E286" s="83"/>
      <c r="F286" s="81"/>
      <c r="G286" s="83"/>
      <c r="H286" s="83"/>
      <c r="I286" s="84" t="str">
        <f aca="false">IF(E286="","",A286&amp;"_1.jpg")</f>
        <v/>
      </c>
      <c r="J286" s="84" t="str">
        <f aca="false">IF(E286="","",A286&amp;"_2.jpg; "&amp;A286&amp;"_3.jpg")</f>
        <v/>
      </c>
      <c r="K286" s="84" t="str">
        <f aca="false">IF(E286="","",A286&amp;"_schema.jpg")</f>
        <v/>
      </c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 t="s">
        <v>96</v>
      </c>
      <c r="W286" s="81"/>
      <c r="X286" s="81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6" t="str">
        <f aca="false">IF(SUM(Y286:AJ286)=0,"",SUM(Y286:AJ286))</f>
        <v/>
      </c>
      <c r="AL286" s="84" t="str">
        <f aca="false">MID(IF(N(Y286)&gt;0,", "&amp;Y$2,"")&amp;IF(N(Z286)&gt;0,", "&amp;Z$2,"")&amp;IF(N(AA286)&gt;0,", "&amp;AA$2,"")&amp;IF(N(AB286)&gt;0,", "&amp;AB$2,"")&amp;IF(N(AC286)&gt;0,", "&amp;AC$2,"")&amp;IF(N(AD286)&gt;0,", "&amp;AD$2,"")&amp;IF(N(AE286)&gt;0,", "&amp;AE$2,"")&amp;IF(N(AF286)&gt;0,", "&amp;AF$2,"")&amp;IF(N(AG286)&gt;0,", "&amp;AG$2,"")&amp;IF(N(AH286)&gt;0,", "&amp;AH$2,"")&amp;IF(N(AI286)&gt;0,", "&amp;AI$2,"")&amp;IF(N(AJ286)&gt;0,", "&amp;AJ$2,""),3,999)</f>
        <v/>
      </c>
      <c r="AM286" s="87" t="str">
        <f aca="false">IF(E286="","",MID(IF(N(Y286)&gt;0,", "&amp;A286&amp;"-"&amp;Y$2,"")&amp;IF(N(Z286)&gt;0,", "&amp;A286&amp;"-"&amp;Z$2,"")&amp;IF(N(AA286)&gt;0,", "&amp;A286&amp;"-"&amp;AA$2,"")&amp;IF(N(AB286)&gt;0,", "&amp;A286&amp;"-"&amp;AB$2,"")&amp;IF(N(AC286)&gt;0,", "&amp;A286&amp;"-"&amp;AC$2,"")&amp;IF(N(AD286)&gt;0,", "&amp;A286&amp;"-"&amp;AD$2,"")&amp;IF(N(AE286)&gt;0,", "&amp;A286&amp;"-"&amp;AE$2,"")&amp;IF(N(AF286)&gt;0,", "&amp;A286&amp;"-"&amp;AF$2,"")&amp;IF(N(AG286)&gt;0,", "&amp;A286&amp;"-"&amp;AG$2,"")&amp;IF(N(AH286)&gt;0,", "&amp;A286&amp;"-"&amp;AH$2,"")&amp;IF(N(AI286)&gt;0,", "&amp;A286&amp;"-"&amp;AI$2,"")&amp;IF(N(AJ286)&gt;0,", "&amp;A286&amp;"-"&amp;AJ$2,""),3,999))</f>
        <v/>
      </c>
      <c r="AN286" s="81"/>
      <c r="AO286" s="88"/>
      <c r="AP286" s="89" t="str">
        <f aca="false">IF(AO286="","",ROUND(AO286/(1+Справочники!$B$13),2))</f>
        <v/>
      </c>
      <c r="AQ286" s="90" t="str">
        <f aca="false" t="array" ref="AQ286:AQ286">IF(AP286="","",AP286*INDEX(Справочники!$B$4:$B$7,MATCH("RUB",Справочники!$A$4:$A$7,0)))</f>
        <v/>
      </c>
      <c r="AR286" s="90" t="str">
        <f aca="false">IF(AQ286="","",ROUND(AQ286*(1+Справочники!$B$12),0))</f>
        <v/>
      </c>
      <c r="AS286" s="90" t="str">
        <f aca="false">IF(AR286="","",ROUND(AR286*(1-Справочники!$B$11),0))</f>
        <v/>
      </c>
      <c r="AT286" s="88"/>
      <c r="AU286" s="90" t="str">
        <f aca="false">IF(AT286="","",ROUND(AT286/(1+Справочники!$B$12),0))</f>
        <v/>
      </c>
      <c r="AV286" s="90" t="str">
        <f aca="false">IF(AT286="","",ROUND(AT286*(1-Справочники!$B$15),0))</f>
        <v/>
      </c>
      <c r="AW286" s="90" t="str">
        <f aca="false">IF(AT286="","",ROUND(AT286*(1-Справочники!$B$16),0))</f>
        <v/>
      </c>
      <c r="AX286" s="90" t="str">
        <f aca="false">IF(AT286="","",ROUND(AT286*(1-Справочники!$B$17),0))</f>
        <v/>
      </c>
      <c r="AY286" s="90" t="str">
        <f aca="false">IF(AT286="","",ROUND(AT286*(1-Справочники!$B$18),0))</f>
        <v/>
      </c>
      <c r="AZ286" s="90" t="str">
        <f aca="false">IF(AT286="","",ROUND(AT286*(1-Справочники!$B$19),0))</f>
        <v/>
      </c>
      <c r="BA286" s="81"/>
      <c r="BB286" s="81"/>
      <c r="BC286" s="81"/>
      <c r="BD286" s="81"/>
      <c r="BE286" s="91"/>
      <c r="BF286" s="81" t="s">
        <v>103</v>
      </c>
      <c r="BG286" s="89" t="n">
        <f aca="false" t="array" ref="BG286:BG286">IF(BF286="","",IFERROR(INDEX(Справочники!$B$4:$B$7,MATCH(BF286,Справочники!$A$4:$A$7,0)),""))</f>
        <v>68.5</v>
      </c>
      <c r="BH286" s="90" t="str">
        <f aca="false">IF(N(BN286)&gt;0,ROUND(SUMIF(ЗАКАЗЫ!$F$3:$F$500,$A286,ЗАКАЗЫ!$Y$3:$Y$500)/BN286,0),IF(OR(BE286="",BG286=""),"",ROUND(BE286*BG286*(1+Справочники!$B$10),0)))</f>
        <v/>
      </c>
      <c r="BI286" s="92" t="str">
        <f aca="false">IF(OR(AU286="",BH286="",AU286=0),"",(AU286-BH286)/AU286)</f>
        <v/>
      </c>
      <c r="BJ286" s="81"/>
      <c r="BK286" s="83"/>
      <c r="BL286" s="43" t="str">
        <f aca="false">IFERROR(INDEX(ЗАКАЗЫ!$N$3:$N$500,MATCH($A286,ЗАКАЗЫ!$F$3:$F$500,0)),"")</f>
        <v/>
      </c>
      <c r="BM286" s="8" t="str">
        <f aca="false">IF(BL286="","",IFERROR(VLOOKUP(BL286,'ТН ВЭД'!$A$4:$C$40,3,0),""))</f>
        <v/>
      </c>
      <c r="BN286" s="7" t="str">
        <f aca="false">IF(COUNTIF(ЗАКАЗЫ!$F$3:$F$500,$A286)=0,"",SUMIF(ЗАКАЗЫ!$F$3:$F$500,$A286,ЗАКАЗЫ!$J$3:$J$500))</f>
        <v/>
      </c>
      <c r="BO286" s="7" t="str">
        <f aca="false">IF(BN286="","",SUMIF(ЗАКАЗЫ!$F$3:$F$500,$A286,ЗАКАЗЫ!$AL$3:$AL$500))</f>
        <v/>
      </c>
      <c r="BP286" s="7" t="str">
        <f aca="false">IF(BN286="","",BN286-BO286)</f>
        <v/>
      </c>
      <c r="BQ286" s="55" t="str">
        <f aca="false">IF(BN286="","",IF(BO286&gt;=BN286,"На складе",IF(BO286&gt;0,"Частично","Ждём")))</f>
        <v/>
      </c>
      <c r="BR286" s="43"/>
      <c r="BS286" s="47" t="str">
        <f aca="false">IF(BN286="","",IF(_xlfn.MAXIFS(ЗАКАЗЫ!$AK$3:$AK$500,ЗАКАЗЫ!$F$3:$F$500,$A286)=0,"",_xlfn.MAXIFS(ЗАКАЗЫ!$AK$3:$AK$500,ЗАКАЗЫ!$F$3:$F$500,$A286)))</f>
        <v/>
      </c>
    </row>
    <row r="287" customFormat="false" ht="15.75" hidden="false" customHeight="true" outlineLevel="0" collapsed="false">
      <c r="A287" s="80" t="s">
        <v>3198</v>
      </c>
      <c r="B287" s="81"/>
      <c r="C287" s="81"/>
      <c r="D287" s="81"/>
      <c r="E287" s="83"/>
      <c r="F287" s="81"/>
      <c r="G287" s="83"/>
      <c r="H287" s="83"/>
      <c r="I287" s="84" t="str">
        <f aca="false">IF(E287="","",A287&amp;"_1.jpg")</f>
        <v/>
      </c>
      <c r="J287" s="84" t="str">
        <f aca="false">IF(E287="","",A287&amp;"_2.jpg; "&amp;A287&amp;"_3.jpg")</f>
        <v/>
      </c>
      <c r="K287" s="84" t="str">
        <f aca="false">IF(E287="","",A287&amp;"_schema.jpg")</f>
        <v/>
      </c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 t="s">
        <v>96</v>
      </c>
      <c r="W287" s="81"/>
      <c r="X287" s="81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6" t="str">
        <f aca="false">IF(SUM(Y287:AJ287)=0,"",SUM(Y287:AJ287))</f>
        <v/>
      </c>
      <c r="AL287" s="84" t="str">
        <f aca="false">MID(IF(N(Y287)&gt;0,", "&amp;Y$2,"")&amp;IF(N(Z287)&gt;0,", "&amp;Z$2,"")&amp;IF(N(AA287)&gt;0,", "&amp;AA$2,"")&amp;IF(N(AB287)&gt;0,", "&amp;AB$2,"")&amp;IF(N(AC287)&gt;0,", "&amp;AC$2,"")&amp;IF(N(AD287)&gt;0,", "&amp;AD$2,"")&amp;IF(N(AE287)&gt;0,", "&amp;AE$2,"")&amp;IF(N(AF287)&gt;0,", "&amp;AF$2,"")&amp;IF(N(AG287)&gt;0,", "&amp;AG$2,"")&amp;IF(N(AH287)&gt;0,", "&amp;AH$2,"")&amp;IF(N(AI287)&gt;0,", "&amp;AI$2,"")&amp;IF(N(AJ287)&gt;0,", "&amp;AJ$2,""),3,999)</f>
        <v/>
      </c>
      <c r="AM287" s="87" t="str">
        <f aca="false">IF(E287="","",MID(IF(N(Y287)&gt;0,", "&amp;A287&amp;"-"&amp;Y$2,"")&amp;IF(N(Z287)&gt;0,", "&amp;A287&amp;"-"&amp;Z$2,"")&amp;IF(N(AA287)&gt;0,", "&amp;A287&amp;"-"&amp;AA$2,"")&amp;IF(N(AB287)&gt;0,", "&amp;A287&amp;"-"&amp;AB$2,"")&amp;IF(N(AC287)&gt;0,", "&amp;A287&amp;"-"&amp;AC$2,"")&amp;IF(N(AD287)&gt;0,", "&amp;A287&amp;"-"&amp;AD$2,"")&amp;IF(N(AE287)&gt;0,", "&amp;A287&amp;"-"&amp;AE$2,"")&amp;IF(N(AF287)&gt;0,", "&amp;A287&amp;"-"&amp;AF$2,"")&amp;IF(N(AG287)&gt;0,", "&amp;A287&amp;"-"&amp;AG$2,"")&amp;IF(N(AH287)&gt;0,", "&amp;A287&amp;"-"&amp;AH$2,"")&amp;IF(N(AI287)&gt;0,", "&amp;A287&amp;"-"&amp;AI$2,"")&amp;IF(N(AJ287)&gt;0,", "&amp;A287&amp;"-"&amp;AJ$2,""),3,999))</f>
        <v/>
      </c>
      <c r="AN287" s="81"/>
      <c r="AO287" s="88"/>
      <c r="AP287" s="89" t="str">
        <f aca="false">IF(AO287="","",ROUND(AO287/(1+Справочники!$B$13),2))</f>
        <v/>
      </c>
      <c r="AQ287" s="90" t="str">
        <f aca="false" t="array" ref="AQ287:AQ287">IF(AP287="","",AP287*INDEX(Справочники!$B$4:$B$7,MATCH("RUB",Справочники!$A$4:$A$7,0)))</f>
        <v/>
      </c>
      <c r="AR287" s="90" t="str">
        <f aca="false">IF(AQ287="","",ROUND(AQ287*(1+Справочники!$B$12),0))</f>
        <v/>
      </c>
      <c r="AS287" s="90" t="str">
        <f aca="false">IF(AR287="","",ROUND(AR287*(1-Справочники!$B$11),0))</f>
        <v/>
      </c>
      <c r="AT287" s="88"/>
      <c r="AU287" s="90" t="str">
        <f aca="false">IF(AT287="","",ROUND(AT287/(1+Справочники!$B$12),0))</f>
        <v/>
      </c>
      <c r="AV287" s="90" t="str">
        <f aca="false">IF(AT287="","",ROUND(AT287*(1-Справочники!$B$15),0))</f>
        <v/>
      </c>
      <c r="AW287" s="90" t="str">
        <f aca="false">IF(AT287="","",ROUND(AT287*(1-Справочники!$B$16),0))</f>
        <v/>
      </c>
      <c r="AX287" s="90" t="str">
        <f aca="false">IF(AT287="","",ROUND(AT287*(1-Справочники!$B$17),0))</f>
        <v/>
      </c>
      <c r="AY287" s="90" t="str">
        <f aca="false">IF(AT287="","",ROUND(AT287*(1-Справочники!$B$18),0))</f>
        <v/>
      </c>
      <c r="AZ287" s="90" t="str">
        <f aca="false">IF(AT287="","",ROUND(AT287*(1-Справочники!$B$19),0))</f>
        <v/>
      </c>
      <c r="BA287" s="81"/>
      <c r="BB287" s="81"/>
      <c r="BC287" s="81"/>
      <c r="BD287" s="81"/>
      <c r="BE287" s="91"/>
      <c r="BF287" s="81" t="s">
        <v>103</v>
      </c>
      <c r="BG287" s="89" t="n">
        <f aca="false" t="array" ref="BG287:BG287">IF(BF287="","",IFERROR(INDEX(Справочники!$B$4:$B$7,MATCH(BF287,Справочники!$A$4:$A$7,0)),""))</f>
        <v>68.5</v>
      </c>
      <c r="BH287" s="90" t="str">
        <f aca="false">IF(N(BN287)&gt;0,ROUND(SUMIF(ЗАКАЗЫ!$F$3:$F$500,$A287,ЗАКАЗЫ!$Y$3:$Y$500)/BN287,0),IF(OR(BE287="",BG287=""),"",ROUND(BE287*BG287*(1+Справочники!$B$10),0)))</f>
        <v/>
      </c>
      <c r="BI287" s="92" t="str">
        <f aca="false">IF(OR(AU287="",BH287="",AU287=0),"",(AU287-BH287)/AU287)</f>
        <v/>
      </c>
      <c r="BJ287" s="81"/>
      <c r="BK287" s="83"/>
      <c r="BL287" s="43" t="str">
        <f aca="false">IFERROR(INDEX(ЗАКАЗЫ!$N$3:$N$500,MATCH($A287,ЗАКАЗЫ!$F$3:$F$500,0)),"")</f>
        <v/>
      </c>
      <c r="BM287" s="8" t="str">
        <f aca="false">IF(BL287="","",IFERROR(VLOOKUP(BL287,'ТН ВЭД'!$A$4:$C$40,3,0),""))</f>
        <v/>
      </c>
      <c r="BN287" s="7" t="str">
        <f aca="false">IF(COUNTIF(ЗАКАЗЫ!$F$3:$F$500,$A287)=0,"",SUMIF(ЗАКАЗЫ!$F$3:$F$500,$A287,ЗАКАЗЫ!$J$3:$J$500))</f>
        <v/>
      </c>
      <c r="BO287" s="7" t="str">
        <f aca="false">IF(BN287="","",SUMIF(ЗАКАЗЫ!$F$3:$F$500,$A287,ЗАКАЗЫ!$AL$3:$AL$500))</f>
        <v/>
      </c>
      <c r="BP287" s="7" t="str">
        <f aca="false">IF(BN287="","",BN287-BO287)</f>
        <v/>
      </c>
      <c r="BQ287" s="55" t="str">
        <f aca="false">IF(BN287="","",IF(BO287&gt;=BN287,"На складе",IF(BO287&gt;0,"Частично","Ждём")))</f>
        <v/>
      </c>
      <c r="BR287" s="43"/>
      <c r="BS287" s="47" t="str">
        <f aca="false">IF(BN287="","",IF(_xlfn.MAXIFS(ЗАКАЗЫ!$AK$3:$AK$500,ЗАКАЗЫ!$F$3:$F$500,$A287)=0,"",_xlfn.MAXIFS(ЗАКАЗЫ!$AK$3:$AK$500,ЗАКАЗЫ!$F$3:$F$500,$A287)))</f>
        <v/>
      </c>
    </row>
    <row r="288" customFormat="false" ht="15.75" hidden="false" customHeight="true" outlineLevel="0" collapsed="false">
      <c r="A288" s="80" t="s">
        <v>3199</v>
      </c>
      <c r="B288" s="81"/>
      <c r="C288" s="81"/>
      <c r="D288" s="81"/>
      <c r="E288" s="83"/>
      <c r="F288" s="81"/>
      <c r="G288" s="83"/>
      <c r="H288" s="83"/>
      <c r="I288" s="84" t="str">
        <f aca="false">IF(E288="","",A288&amp;"_1.jpg")</f>
        <v/>
      </c>
      <c r="J288" s="84" t="str">
        <f aca="false">IF(E288="","",A288&amp;"_2.jpg; "&amp;A288&amp;"_3.jpg")</f>
        <v/>
      </c>
      <c r="K288" s="84" t="str">
        <f aca="false">IF(E288="","",A288&amp;"_schema.jpg")</f>
        <v/>
      </c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 t="s">
        <v>96</v>
      </c>
      <c r="W288" s="81"/>
      <c r="X288" s="81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6" t="str">
        <f aca="false">IF(SUM(Y288:AJ288)=0,"",SUM(Y288:AJ288))</f>
        <v/>
      </c>
      <c r="AL288" s="84" t="str">
        <f aca="false">MID(IF(N(Y288)&gt;0,", "&amp;Y$2,"")&amp;IF(N(Z288)&gt;0,", "&amp;Z$2,"")&amp;IF(N(AA288)&gt;0,", "&amp;AA$2,"")&amp;IF(N(AB288)&gt;0,", "&amp;AB$2,"")&amp;IF(N(AC288)&gt;0,", "&amp;AC$2,"")&amp;IF(N(AD288)&gt;0,", "&amp;AD$2,"")&amp;IF(N(AE288)&gt;0,", "&amp;AE$2,"")&amp;IF(N(AF288)&gt;0,", "&amp;AF$2,"")&amp;IF(N(AG288)&gt;0,", "&amp;AG$2,"")&amp;IF(N(AH288)&gt;0,", "&amp;AH$2,"")&amp;IF(N(AI288)&gt;0,", "&amp;AI$2,"")&amp;IF(N(AJ288)&gt;0,", "&amp;AJ$2,""),3,999)</f>
        <v/>
      </c>
      <c r="AM288" s="87" t="str">
        <f aca="false">IF(E288="","",MID(IF(N(Y288)&gt;0,", "&amp;A288&amp;"-"&amp;Y$2,"")&amp;IF(N(Z288)&gt;0,", "&amp;A288&amp;"-"&amp;Z$2,"")&amp;IF(N(AA288)&gt;0,", "&amp;A288&amp;"-"&amp;AA$2,"")&amp;IF(N(AB288)&gt;0,", "&amp;A288&amp;"-"&amp;AB$2,"")&amp;IF(N(AC288)&gt;0,", "&amp;A288&amp;"-"&amp;AC$2,"")&amp;IF(N(AD288)&gt;0,", "&amp;A288&amp;"-"&amp;AD$2,"")&amp;IF(N(AE288)&gt;0,", "&amp;A288&amp;"-"&amp;AE$2,"")&amp;IF(N(AF288)&gt;0,", "&amp;A288&amp;"-"&amp;AF$2,"")&amp;IF(N(AG288)&gt;0,", "&amp;A288&amp;"-"&amp;AG$2,"")&amp;IF(N(AH288)&gt;0,", "&amp;A288&amp;"-"&amp;AH$2,"")&amp;IF(N(AI288)&gt;0,", "&amp;A288&amp;"-"&amp;AI$2,"")&amp;IF(N(AJ288)&gt;0,", "&amp;A288&amp;"-"&amp;AJ$2,""),3,999))</f>
        <v/>
      </c>
      <c r="AN288" s="81"/>
      <c r="AO288" s="88"/>
      <c r="AP288" s="89" t="str">
        <f aca="false">IF(AO288="","",ROUND(AO288/(1+Справочники!$B$13),2))</f>
        <v/>
      </c>
      <c r="AQ288" s="90" t="str">
        <f aca="false" t="array" ref="AQ288:AQ288">IF(AP288="","",AP288*INDEX(Справочники!$B$4:$B$7,MATCH("RUB",Справочники!$A$4:$A$7,0)))</f>
        <v/>
      </c>
      <c r="AR288" s="90" t="str">
        <f aca="false">IF(AQ288="","",ROUND(AQ288*(1+Справочники!$B$12),0))</f>
        <v/>
      </c>
      <c r="AS288" s="90" t="str">
        <f aca="false">IF(AR288="","",ROUND(AR288*(1-Справочники!$B$11),0))</f>
        <v/>
      </c>
      <c r="AT288" s="88"/>
      <c r="AU288" s="90" t="str">
        <f aca="false">IF(AT288="","",ROUND(AT288/(1+Справочники!$B$12),0))</f>
        <v/>
      </c>
      <c r="AV288" s="90" t="str">
        <f aca="false">IF(AT288="","",ROUND(AT288*(1-Справочники!$B$15),0))</f>
        <v/>
      </c>
      <c r="AW288" s="90" t="str">
        <f aca="false">IF(AT288="","",ROUND(AT288*(1-Справочники!$B$16),0))</f>
        <v/>
      </c>
      <c r="AX288" s="90" t="str">
        <f aca="false">IF(AT288="","",ROUND(AT288*(1-Справочники!$B$17),0))</f>
        <v/>
      </c>
      <c r="AY288" s="90" t="str">
        <f aca="false">IF(AT288="","",ROUND(AT288*(1-Справочники!$B$18),0))</f>
        <v/>
      </c>
      <c r="AZ288" s="90" t="str">
        <f aca="false">IF(AT288="","",ROUND(AT288*(1-Справочники!$B$19),0))</f>
        <v/>
      </c>
      <c r="BA288" s="81"/>
      <c r="BB288" s="81"/>
      <c r="BC288" s="81"/>
      <c r="BD288" s="81"/>
      <c r="BE288" s="91"/>
      <c r="BF288" s="81" t="s">
        <v>103</v>
      </c>
      <c r="BG288" s="89" t="n">
        <f aca="false" t="array" ref="BG288:BG288">IF(BF288="","",IFERROR(INDEX(Справочники!$B$4:$B$7,MATCH(BF288,Справочники!$A$4:$A$7,0)),""))</f>
        <v>68.5</v>
      </c>
      <c r="BH288" s="90" t="str">
        <f aca="false">IF(N(BN288)&gt;0,ROUND(SUMIF(ЗАКАЗЫ!$F$3:$F$500,$A288,ЗАКАЗЫ!$Y$3:$Y$500)/BN288,0),IF(OR(BE288="",BG288=""),"",ROUND(BE288*BG288*(1+Справочники!$B$10),0)))</f>
        <v/>
      </c>
      <c r="BI288" s="92" t="str">
        <f aca="false">IF(OR(AU288="",BH288="",AU288=0),"",(AU288-BH288)/AU288)</f>
        <v/>
      </c>
      <c r="BJ288" s="81"/>
      <c r="BK288" s="83"/>
      <c r="BL288" s="43" t="str">
        <f aca="false">IFERROR(INDEX(ЗАКАЗЫ!$N$3:$N$500,MATCH($A288,ЗАКАЗЫ!$F$3:$F$500,0)),"")</f>
        <v/>
      </c>
      <c r="BM288" s="8" t="str">
        <f aca="false">IF(BL288="","",IFERROR(VLOOKUP(BL288,'ТН ВЭД'!$A$4:$C$40,3,0),""))</f>
        <v/>
      </c>
      <c r="BN288" s="7" t="str">
        <f aca="false">IF(COUNTIF(ЗАКАЗЫ!$F$3:$F$500,$A288)=0,"",SUMIF(ЗАКАЗЫ!$F$3:$F$500,$A288,ЗАКАЗЫ!$J$3:$J$500))</f>
        <v/>
      </c>
      <c r="BO288" s="7" t="str">
        <f aca="false">IF(BN288="","",SUMIF(ЗАКАЗЫ!$F$3:$F$500,$A288,ЗАКАЗЫ!$AL$3:$AL$500))</f>
        <v/>
      </c>
      <c r="BP288" s="7" t="str">
        <f aca="false">IF(BN288="","",BN288-BO288)</f>
        <v/>
      </c>
      <c r="BQ288" s="55" t="str">
        <f aca="false">IF(BN288="","",IF(BO288&gt;=BN288,"На складе",IF(BO288&gt;0,"Частично","Ждём")))</f>
        <v/>
      </c>
      <c r="BR288" s="43"/>
      <c r="BS288" s="47" t="str">
        <f aca="false">IF(BN288="","",IF(_xlfn.MAXIFS(ЗАКАЗЫ!$AK$3:$AK$500,ЗАКАЗЫ!$F$3:$F$500,$A288)=0,"",_xlfn.MAXIFS(ЗАКАЗЫ!$AK$3:$AK$500,ЗАКАЗЫ!$F$3:$F$500,$A288)))</f>
        <v/>
      </c>
    </row>
    <row r="289" customFormat="false" ht="15.75" hidden="false" customHeight="true" outlineLevel="0" collapsed="false">
      <c r="A289" s="80" t="s">
        <v>3200</v>
      </c>
      <c r="B289" s="81"/>
      <c r="C289" s="81"/>
      <c r="D289" s="81"/>
      <c r="E289" s="83"/>
      <c r="F289" s="81"/>
      <c r="G289" s="83"/>
      <c r="H289" s="83"/>
      <c r="I289" s="84" t="str">
        <f aca="false">IF(E289="","",A289&amp;"_1.jpg")</f>
        <v/>
      </c>
      <c r="J289" s="84" t="str">
        <f aca="false">IF(E289="","",A289&amp;"_2.jpg; "&amp;A289&amp;"_3.jpg")</f>
        <v/>
      </c>
      <c r="K289" s="84" t="str">
        <f aca="false">IF(E289="","",A289&amp;"_schema.jpg")</f>
        <v/>
      </c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 t="s">
        <v>96</v>
      </c>
      <c r="W289" s="81"/>
      <c r="X289" s="81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6" t="str">
        <f aca="false">IF(SUM(Y289:AJ289)=0,"",SUM(Y289:AJ289))</f>
        <v/>
      </c>
      <c r="AL289" s="84" t="str">
        <f aca="false">MID(IF(N(Y289)&gt;0,", "&amp;Y$2,"")&amp;IF(N(Z289)&gt;0,", "&amp;Z$2,"")&amp;IF(N(AA289)&gt;0,", "&amp;AA$2,"")&amp;IF(N(AB289)&gt;0,", "&amp;AB$2,"")&amp;IF(N(AC289)&gt;0,", "&amp;AC$2,"")&amp;IF(N(AD289)&gt;0,", "&amp;AD$2,"")&amp;IF(N(AE289)&gt;0,", "&amp;AE$2,"")&amp;IF(N(AF289)&gt;0,", "&amp;AF$2,"")&amp;IF(N(AG289)&gt;0,", "&amp;AG$2,"")&amp;IF(N(AH289)&gt;0,", "&amp;AH$2,"")&amp;IF(N(AI289)&gt;0,", "&amp;AI$2,"")&amp;IF(N(AJ289)&gt;0,", "&amp;AJ$2,""),3,999)</f>
        <v/>
      </c>
      <c r="AM289" s="87" t="str">
        <f aca="false">IF(E289="","",MID(IF(N(Y289)&gt;0,", "&amp;A289&amp;"-"&amp;Y$2,"")&amp;IF(N(Z289)&gt;0,", "&amp;A289&amp;"-"&amp;Z$2,"")&amp;IF(N(AA289)&gt;0,", "&amp;A289&amp;"-"&amp;AA$2,"")&amp;IF(N(AB289)&gt;0,", "&amp;A289&amp;"-"&amp;AB$2,"")&amp;IF(N(AC289)&gt;0,", "&amp;A289&amp;"-"&amp;AC$2,"")&amp;IF(N(AD289)&gt;0,", "&amp;A289&amp;"-"&amp;AD$2,"")&amp;IF(N(AE289)&gt;0,", "&amp;A289&amp;"-"&amp;AE$2,"")&amp;IF(N(AF289)&gt;0,", "&amp;A289&amp;"-"&amp;AF$2,"")&amp;IF(N(AG289)&gt;0,", "&amp;A289&amp;"-"&amp;AG$2,"")&amp;IF(N(AH289)&gt;0,", "&amp;A289&amp;"-"&amp;AH$2,"")&amp;IF(N(AI289)&gt;0,", "&amp;A289&amp;"-"&amp;AI$2,"")&amp;IF(N(AJ289)&gt;0,", "&amp;A289&amp;"-"&amp;AJ$2,""),3,999))</f>
        <v/>
      </c>
      <c r="AN289" s="81"/>
      <c r="AO289" s="88"/>
      <c r="AP289" s="89" t="str">
        <f aca="false">IF(AO289="","",ROUND(AO289/(1+Справочники!$B$13),2))</f>
        <v/>
      </c>
      <c r="AQ289" s="90" t="str">
        <f aca="false" t="array" ref="AQ289:AQ289">IF(AP289="","",AP289*INDEX(Справочники!$B$4:$B$7,MATCH("RUB",Справочники!$A$4:$A$7,0)))</f>
        <v/>
      </c>
      <c r="AR289" s="90" t="str">
        <f aca="false">IF(AQ289="","",ROUND(AQ289*(1+Справочники!$B$12),0))</f>
        <v/>
      </c>
      <c r="AS289" s="90" t="str">
        <f aca="false">IF(AR289="","",ROUND(AR289*(1-Справочники!$B$11),0))</f>
        <v/>
      </c>
      <c r="AT289" s="88"/>
      <c r="AU289" s="90" t="str">
        <f aca="false">IF(AT289="","",ROUND(AT289/(1+Справочники!$B$12),0))</f>
        <v/>
      </c>
      <c r="AV289" s="90" t="str">
        <f aca="false">IF(AT289="","",ROUND(AT289*(1-Справочники!$B$15),0))</f>
        <v/>
      </c>
      <c r="AW289" s="90" t="str">
        <f aca="false">IF(AT289="","",ROUND(AT289*(1-Справочники!$B$16),0))</f>
        <v/>
      </c>
      <c r="AX289" s="90" t="str">
        <f aca="false">IF(AT289="","",ROUND(AT289*(1-Справочники!$B$17),0))</f>
        <v/>
      </c>
      <c r="AY289" s="90" t="str">
        <f aca="false">IF(AT289="","",ROUND(AT289*(1-Справочники!$B$18),0))</f>
        <v/>
      </c>
      <c r="AZ289" s="90" t="str">
        <f aca="false">IF(AT289="","",ROUND(AT289*(1-Справочники!$B$19),0))</f>
        <v/>
      </c>
      <c r="BA289" s="81"/>
      <c r="BB289" s="81"/>
      <c r="BC289" s="81"/>
      <c r="BD289" s="81"/>
      <c r="BE289" s="91"/>
      <c r="BF289" s="81" t="s">
        <v>103</v>
      </c>
      <c r="BG289" s="89" t="n">
        <f aca="false" t="array" ref="BG289:BG289">IF(BF289="","",IFERROR(INDEX(Справочники!$B$4:$B$7,MATCH(BF289,Справочники!$A$4:$A$7,0)),""))</f>
        <v>68.5</v>
      </c>
      <c r="BH289" s="90" t="str">
        <f aca="false">IF(N(BN289)&gt;0,ROUND(SUMIF(ЗАКАЗЫ!$F$3:$F$500,$A289,ЗАКАЗЫ!$Y$3:$Y$500)/BN289,0),IF(OR(BE289="",BG289=""),"",ROUND(BE289*BG289*(1+Справочники!$B$10),0)))</f>
        <v/>
      </c>
      <c r="BI289" s="92" t="str">
        <f aca="false">IF(OR(AU289="",BH289="",AU289=0),"",(AU289-BH289)/AU289)</f>
        <v/>
      </c>
      <c r="BJ289" s="81"/>
      <c r="BK289" s="83"/>
      <c r="BL289" s="43" t="str">
        <f aca="false">IFERROR(INDEX(ЗАКАЗЫ!$N$3:$N$500,MATCH($A289,ЗАКАЗЫ!$F$3:$F$500,0)),"")</f>
        <v/>
      </c>
      <c r="BM289" s="8" t="str">
        <f aca="false">IF(BL289="","",IFERROR(VLOOKUP(BL289,'ТН ВЭД'!$A$4:$C$40,3,0),""))</f>
        <v/>
      </c>
      <c r="BN289" s="7" t="str">
        <f aca="false">IF(COUNTIF(ЗАКАЗЫ!$F$3:$F$500,$A289)=0,"",SUMIF(ЗАКАЗЫ!$F$3:$F$500,$A289,ЗАКАЗЫ!$J$3:$J$500))</f>
        <v/>
      </c>
      <c r="BO289" s="7" t="str">
        <f aca="false">IF(BN289="","",SUMIF(ЗАКАЗЫ!$F$3:$F$500,$A289,ЗАКАЗЫ!$AL$3:$AL$500))</f>
        <v/>
      </c>
      <c r="BP289" s="7" t="str">
        <f aca="false">IF(BN289="","",BN289-BO289)</f>
        <v/>
      </c>
      <c r="BQ289" s="55" t="str">
        <f aca="false">IF(BN289="","",IF(BO289&gt;=BN289,"На складе",IF(BO289&gt;0,"Частично","Ждём")))</f>
        <v/>
      </c>
      <c r="BR289" s="43"/>
      <c r="BS289" s="47" t="str">
        <f aca="false">IF(BN289="","",IF(_xlfn.MAXIFS(ЗАКАЗЫ!$AK$3:$AK$500,ЗАКАЗЫ!$F$3:$F$500,$A289)=0,"",_xlfn.MAXIFS(ЗАКАЗЫ!$AK$3:$AK$500,ЗАКАЗЫ!$F$3:$F$500,$A289)))</f>
        <v/>
      </c>
    </row>
    <row r="290" customFormat="false" ht="15.75" hidden="false" customHeight="true" outlineLevel="0" collapsed="false">
      <c r="A290" s="80" t="s">
        <v>3201</v>
      </c>
      <c r="B290" s="81"/>
      <c r="C290" s="81"/>
      <c r="D290" s="81"/>
      <c r="E290" s="83"/>
      <c r="F290" s="81"/>
      <c r="G290" s="83"/>
      <c r="H290" s="83"/>
      <c r="I290" s="84" t="str">
        <f aca="false">IF(E290="","",A290&amp;"_1.jpg")</f>
        <v/>
      </c>
      <c r="J290" s="84" t="str">
        <f aca="false">IF(E290="","",A290&amp;"_2.jpg; "&amp;A290&amp;"_3.jpg")</f>
        <v/>
      </c>
      <c r="K290" s="84" t="str">
        <f aca="false">IF(E290="","",A290&amp;"_schema.jpg")</f>
        <v/>
      </c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 t="s">
        <v>96</v>
      </c>
      <c r="W290" s="81"/>
      <c r="X290" s="81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6" t="str">
        <f aca="false">IF(SUM(Y290:AJ290)=0,"",SUM(Y290:AJ290))</f>
        <v/>
      </c>
      <c r="AL290" s="84" t="str">
        <f aca="false">MID(IF(N(Y290)&gt;0,", "&amp;Y$2,"")&amp;IF(N(Z290)&gt;0,", "&amp;Z$2,"")&amp;IF(N(AA290)&gt;0,", "&amp;AA$2,"")&amp;IF(N(AB290)&gt;0,", "&amp;AB$2,"")&amp;IF(N(AC290)&gt;0,", "&amp;AC$2,"")&amp;IF(N(AD290)&gt;0,", "&amp;AD$2,"")&amp;IF(N(AE290)&gt;0,", "&amp;AE$2,"")&amp;IF(N(AF290)&gt;0,", "&amp;AF$2,"")&amp;IF(N(AG290)&gt;0,", "&amp;AG$2,"")&amp;IF(N(AH290)&gt;0,", "&amp;AH$2,"")&amp;IF(N(AI290)&gt;0,", "&amp;AI$2,"")&amp;IF(N(AJ290)&gt;0,", "&amp;AJ$2,""),3,999)</f>
        <v/>
      </c>
      <c r="AM290" s="87" t="str">
        <f aca="false">IF(E290="","",MID(IF(N(Y290)&gt;0,", "&amp;A290&amp;"-"&amp;Y$2,"")&amp;IF(N(Z290)&gt;0,", "&amp;A290&amp;"-"&amp;Z$2,"")&amp;IF(N(AA290)&gt;0,", "&amp;A290&amp;"-"&amp;AA$2,"")&amp;IF(N(AB290)&gt;0,", "&amp;A290&amp;"-"&amp;AB$2,"")&amp;IF(N(AC290)&gt;0,", "&amp;A290&amp;"-"&amp;AC$2,"")&amp;IF(N(AD290)&gt;0,", "&amp;A290&amp;"-"&amp;AD$2,"")&amp;IF(N(AE290)&gt;0,", "&amp;A290&amp;"-"&amp;AE$2,"")&amp;IF(N(AF290)&gt;0,", "&amp;A290&amp;"-"&amp;AF$2,"")&amp;IF(N(AG290)&gt;0,", "&amp;A290&amp;"-"&amp;AG$2,"")&amp;IF(N(AH290)&gt;0,", "&amp;A290&amp;"-"&amp;AH$2,"")&amp;IF(N(AI290)&gt;0,", "&amp;A290&amp;"-"&amp;AI$2,"")&amp;IF(N(AJ290)&gt;0,", "&amp;A290&amp;"-"&amp;AJ$2,""),3,999))</f>
        <v/>
      </c>
      <c r="AN290" s="81"/>
      <c r="AO290" s="88"/>
      <c r="AP290" s="89" t="str">
        <f aca="false">IF(AO290="","",ROUND(AO290/(1+Справочники!$B$13),2))</f>
        <v/>
      </c>
      <c r="AQ290" s="90" t="str">
        <f aca="false" t="array" ref="AQ290:AQ290">IF(AP290="","",AP290*INDEX(Справочники!$B$4:$B$7,MATCH("RUB",Справочники!$A$4:$A$7,0)))</f>
        <v/>
      </c>
      <c r="AR290" s="90" t="str">
        <f aca="false">IF(AQ290="","",ROUND(AQ290*(1+Справочники!$B$12),0))</f>
        <v/>
      </c>
      <c r="AS290" s="90" t="str">
        <f aca="false">IF(AR290="","",ROUND(AR290*(1-Справочники!$B$11),0))</f>
        <v/>
      </c>
      <c r="AT290" s="88"/>
      <c r="AU290" s="90" t="str">
        <f aca="false">IF(AT290="","",ROUND(AT290/(1+Справочники!$B$12),0))</f>
        <v/>
      </c>
      <c r="AV290" s="90" t="str">
        <f aca="false">IF(AT290="","",ROUND(AT290*(1-Справочники!$B$15),0))</f>
        <v/>
      </c>
      <c r="AW290" s="90" t="str">
        <f aca="false">IF(AT290="","",ROUND(AT290*(1-Справочники!$B$16),0))</f>
        <v/>
      </c>
      <c r="AX290" s="90" t="str">
        <f aca="false">IF(AT290="","",ROUND(AT290*(1-Справочники!$B$17),0))</f>
        <v/>
      </c>
      <c r="AY290" s="90" t="str">
        <f aca="false">IF(AT290="","",ROUND(AT290*(1-Справочники!$B$18),0))</f>
        <v/>
      </c>
      <c r="AZ290" s="90" t="str">
        <f aca="false">IF(AT290="","",ROUND(AT290*(1-Справочники!$B$19),0))</f>
        <v/>
      </c>
      <c r="BA290" s="81"/>
      <c r="BB290" s="81"/>
      <c r="BC290" s="81"/>
      <c r="BD290" s="81"/>
      <c r="BE290" s="91"/>
      <c r="BF290" s="81" t="s">
        <v>103</v>
      </c>
      <c r="BG290" s="89" t="n">
        <f aca="false" t="array" ref="BG290:BG290">IF(BF290="","",IFERROR(INDEX(Справочники!$B$4:$B$7,MATCH(BF290,Справочники!$A$4:$A$7,0)),""))</f>
        <v>68.5</v>
      </c>
      <c r="BH290" s="90" t="str">
        <f aca="false">IF(N(BN290)&gt;0,ROUND(SUMIF(ЗАКАЗЫ!$F$3:$F$500,$A290,ЗАКАЗЫ!$Y$3:$Y$500)/BN290,0),IF(OR(BE290="",BG290=""),"",ROUND(BE290*BG290*(1+Справочники!$B$10),0)))</f>
        <v/>
      </c>
      <c r="BI290" s="92" t="str">
        <f aca="false">IF(OR(AU290="",BH290="",AU290=0),"",(AU290-BH290)/AU290)</f>
        <v/>
      </c>
      <c r="BJ290" s="81"/>
      <c r="BK290" s="83"/>
      <c r="BL290" s="43" t="str">
        <f aca="false">IFERROR(INDEX(ЗАКАЗЫ!$N$3:$N$500,MATCH($A290,ЗАКАЗЫ!$F$3:$F$500,0)),"")</f>
        <v/>
      </c>
      <c r="BM290" s="8" t="str">
        <f aca="false">IF(BL290="","",IFERROR(VLOOKUP(BL290,'ТН ВЭД'!$A$4:$C$40,3,0),""))</f>
        <v/>
      </c>
      <c r="BN290" s="7" t="str">
        <f aca="false">IF(COUNTIF(ЗАКАЗЫ!$F$3:$F$500,$A290)=0,"",SUMIF(ЗАКАЗЫ!$F$3:$F$500,$A290,ЗАКАЗЫ!$J$3:$J$500))</f>
        <v/>
      </c>
      <c r="BO290" s="7" t="str">
        <f aca="false">IF(BN290="","",SUMIF(ЗАКАЗЫ!$F$3:$F$500,$A290,ЗАКАЗЫ!$AL$3:$AL$500))</f>
        <v/>
      </c>
      <c r="BP290" s="7" t="str">
        <f aca="false">IF(BN290="","",BN290-BO290)</f>
        <v/>
      </c>
      <c r="BQ290" s="55" t="str">
        <f aca="false">IF(BN290="","",IF(BO290&gt;=BN290,"На складе",IF(BO290&gt;0,"Частично","Ждём")))</f>
        <v/>
      </c>
      <c r="BR290" s="43"/>
      <c r="BS290" s="47" t="str">
        <f aca="false">IF(BN290="","",IF(_xlfn.MAXIFS(ЗАКАЗЫ!$AK$3:$AK$500,ЗАКАЗЫ!$F$3:$F$500,$A290)=0,"",_xlfn.MAXIFS(ЗАКАЗЫ!$AK$3:$AK$500,ЗАКАЗЫ!$F$3:$F$500,$A290)))</f>
        <v/>
      </c>
    </row>
    <row r="291" customFormat="false" ht="15.75" hidden="false" customHeight="true" outlineLevel="0" collapsed="false">
      <c r="A291" s="80" t="s">
        <v>3202</v>
      </c>
      <c r="B291" s="81"/>
      <c r="C291" s="81"/>
      <c r="D291" s="81"/>
      <c r="E291" s="83"/>
      <c r="F291" s="81"/>
      <c r="G291" s="83"/>
      <c r="H291" s="83"/>
      <c r="I291" s="84" t="str">
        <f aca="false">IF(E291="","",A291&amp;"_1.jpg")</f>
        <v/>
      </c>
      <c r="J291" s="84" t="str">
        <f aca="false">IF(E291="","",A291&amp;"_2.jpg; "&amp;A291&amp;"_3.jpg")</f>
        <v/>
      </c>
      <c r="K291" s="84" t="str">
        <f aca="false">IF(E291="","",A291&amp;"_schema.jpg")</f>
        <v/>
      </c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 t="s">
        <v>96</v>
      </c>
      <c r="W291" s="81"/>
      <c r="X291" s="81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6" t="str">
        <f aca="false">IF(SUM(Y291:AJ291)=0,"",SUM(Y291:AJ291))</f>
        <v/>
      </c>
      <c r="AL291" s="84" t="str">
        <f aca="false">MID(IF(N(Y291)&gt;0,", "&amp;Y$2,"")&amp;IF(N(Z291)&gt;0,", "&amp;Z$2,"")&amp;IF(N(AA291)&gt;0,", "&amp;AA$2,"")&amp;IF(N(AB291)&gt;0,", "&amp;AB$2,"")&amp;IF(N(AC291)&gt;0,", "&amp;AC$2,"")&amp;IF(N(AD291)&gt;0,", "&amp;AD$2,"")&amp;IF(N(AE291)&gt;0,", "&amp;AE$2,"")&amp;IF(N(AF291)&gt;0,", "&amp;AF$2,"")&amp;IF(N(AG291)&gt;0,", "&amp;AG$2,"")&amp;IF(N(AH291)&gt;0,", "&amp;AH$2,"")&amp;IF(N(AI291)&gt;0,", "&amp;AI$2,"")&amp;IF(N(AJ291)&gt;0,", "&amp;AJ$2,""),3,999)</f>
        <v/>
      </c>
      <c r="AM291" s="87" t="str">
        <f aca="false">IF(E291="","",MID(IF(N(Y291)&gt;0,", "&amp;A291&amp;"-"&amp;Y$2,"")&amp;IF(N(Z291)&gt;0,", "&amp;A291&amp;"-"&amp;Z$2,"")&amp;IF(N(AA291)&gt;0,", "&amp;A291&amp;"-"&amp;AA$2,"")&amp;IF(N(AB291)&gt;0,", "&amp;A291&amp;"-"&amp;AB$2,"")&amp;IF(N(AC291)&gt;0,", "&amp;A291&amp;"-"&amp;AC$2,"")&amp;IF(N(AD291)&gt;0,", "&amp;A291&amp;"-"&amp;AD$2,"")&amp;IF(N(AE291)&gt;0,", "&amp;A291&amp;"-"&amp;AE$2,"")&amp;IF(N(AF291)&gt;0,", "&amp;A291&amp;"-"&amp;AF$2,"")&amp;IF(N(AG291)&gt;0,", "&amp;A291&amp;"-"&amp;AG$2,"")&amp;IF(N(AH291)&gt;0,", "&amp;A291&amp;"-"&amp;AH$2,"")&amp;IF(N(AI291)&gt;0,", "&amp;A291&amp;"-"&amp;AI$2,"")&amp;IF(N(AJ291)&gt;0,", "&amp;A291&amp;"-"&amp;AJ$2,""),3,999))</f>
        <v/>
      </c>
      <c r="AN291" s="81"/>
      <c r="AO291" s="88"/>
      <c r="AP291" s="89" t="str">
        <f aca="false">IF(AO291="","",ROUND(AO291/(1+Справочники!$B$13),2))</f>
        <v/>
      </c>
      <c r="AQ291" s="90" t="str">
        <f aca="false" t="array" ref="AQ291:AQ291">IF(AP291="","",AP291*INDEX(Справочники!$B$4:$B$7,MATCH("RUB",Справочники!$A$4:$A$7,0)))</f>
        <v/>
      </c>
      <c r="AR291" s="90" t="str">
        <f aca="false">IF(AQ291="","",ROUND(AQ291*(1+Справочники!$B$12),0))</f>
        <v/>
      </c>
      <c r="AS291" s="90" t="str">
        <f aca="false">IF(AR291="","",ROUND(AR291*(1-Справочники!$B$11),0))</f>
        <v/>
      </c>
      <c r="AT291" s="88"/>
      <c r="AU291" s="90" t="str">
        <f aca="false">IF(AT291="","",ROUND(AT291/(1+Справочники!$B$12),0))</f>
        <v/>
      </c>
      <c r="AV291" s="90" t="str">
        <f aca="false">IF(AT291="","",ROUND(AT291*(1-Справочники!$B$15),0))</f>
        <v/>
      </c>
      <c r="AW291" s="90" t="str">
        <f aca="false">IF(AT291="","",ROUND(AT291*(1-Справочники!$B$16),0))</f>
        <v/>
      </c>
      <c r="AX291" s="90" t="str">
        <f aca="false">IF(AT291="","",ROUND(AT291*(1-Справочники!$B$17),0))</f>
        <v/>
      </c>
      <c r="AY291" s="90" t="str">
        <f aca="false">IF(AT291="","",ROUND(AT291*(1-Справочники!$B$18),0))</f>
        <v/>
      </c>
      <c r="AZ291" s="90" t="str">
        <f aca="false">IF(AT291="","",ROUND(AT291*(1-Справочники!$B$19),0))</f>
        <v/>
      </c>
      <c r="BA291" s="81"/>
      <c r="BB291" s="81"/>
      <c r="BC291" s="81"/>
      <c r="BD291" s="81"/>
      <c r="BE291" s="91"/>
      <c r="BF291" s="81" t="s">
        <v>103</v>
      </c>
      <c r="BG291" s="89" t="n">
        <f aca="false" t="array" ref="BG291:BG291">IF(BF291="","",IFERROR(INDEX(Справочники!$B$4:$B$7,MATCH(BF291,Справочники!$A$4:$A$7,0)),""))</f>
        <v>68.5</v>
      </c>
      <c r="BH291" s="90" t="str">
        <f aca="false">IF(N(BN291)&gt;0,ROUND(SUMIF(ЗАКАЗЫ!$F$3:$F$500,$A291,ЗАКАЗЫ!$Y$3:$Y$500)/BN291,0),IF(OR(BE291="",BG291=""),"",ROUND(BE291*BG291*(1+Справочники!$B$10),0)))</f>
        <v/>
      </c>
      <c r="BI291" s="92" t="str">
        <f aca="false">IF(OR(AU291="",BH291="",AU291=0),"",(AU291-BH291)/AU291)</f>
        <v/>
      </c>
      <c r="BJ291" s="81"/>
      <c r="BK291" s="83"/>
      <c r="BL291" s="43" t="str">
        <f aca="false">IFERROR(INDEX(ЗАКАЗЫ!$N$3:$N$500,MATCH($A291,ЗАКАЗЫ!$F$3:$F$500,0)),"")</f>
        <v/>
      </c>
      <c r="BM291" s="8" t="str">
        <f aca="false">IF(BL291="","",IFERROR(VLOOKUP(BL291,'ТН ВЭД'!$A$4:$C$40,3,0),""))</f>
        <v/>
      </c>
      <c r="BN291" s="7" t="str">
        <f aca="false">IF(COUNTIF(ЗАКАЗЫ!$F$3:$F$500,$A291)=0,"",SUMIF(ЗАКАЗЫ!$F$3:$F$500,$A291,ЗАКАЗЫ!$J$3:$J$500))</f>
        <v/>
      </c>
      <c r="BO291" s="7" t="str">
        <f aca="false">IF(BN291="","",SUMIF(ЗАКАЗЫ!$F$3:$F$500,$A291,ЗАКАЗЫ!$AL$3:$AL$500))</f>
        <v/>
      </c>
      <c r="BP291" s="7" t="str">
        <f aca="false">IF(BN291="","",BN291-BO291)</f>
        <v/>
      </c>
      <c r="BQ291" s="55" t="str">
        <f aca="false">IF(BN291="","",IF(BO291&gt;=BN291,"На складе",IF(BO291&gt;0,"Частично","Ждём")))</f>
        <v/>
      </c>
      <c r="BR291" s="43"/>
      <c r="BS291" s="47" t="str">
        <f aca="false">IF(BN291="","",IF(_xlfn.MAXIFS(ЗАКАЗЫ!$AK$3:$AK$500,ЗАКАЗЫ!$F$3:$F$500,$A291)=0,"",_xlfn.MAXIFS(ЗАКАЗЫ!$AK$3:$AK$500,ЗАКАЗЫ!$F$3:$F$500,$A291)))</f>
        <v/>
      </c>
    </row>
    <row r="292" customFormat="false" ht="15.75" hidden="false" customHeight="true" outlineLevel="0" collapsed="false">
      <c r="A292" s="80" t="s">
        <v>3203</v>
      </c>
      <c r="B292" s="81"/>
      <c r="C292" s="81"/>
      <c r="D292" s="81"/>
      <c r="E292" s="83"/>
      <c r="F292" s="81"/>
      <c r="G292" s="83"/>
      <c r="H292" s="83"/>
      <c r="I292" s="84" t="str">
        <f aca="false">IF(E292="","",A292&amp;"_1.jpg")</f>
        <v/>
      </c>
      <c r="J292" s="84" t="str">
        <f aca="false">IF(E292="","",A292&amp;"_2.jpg; "&amp;A292&amp;"_3.jpg")</f>
        <v/>
      </c>
      <c r="K292" s="84" t="str">
        <f aca="false">IF(E292="","",A292&amp;"_schema.jpg")</f>
        <v/>
      </c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 t="s">
        <v>96</v>
      </c>
      <c r="W292" s="81"/>
      <c r="X292" s="81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6" t="str">
        <f aca="false">IF(SUM(Y292:AJ292)=0,"",SUM(Y292:AJ292))</f>
        <v/>
      </c>
      <c r="AL292" s="84" t="str">
        <f aca="false">MID(IF(N(Y292)&gt;0,", "&amp;Y$2,"")&amp;IF(N(Z292)&gt;0,", "&amp;Z$2,"")&amp;IF(N(AA292)&gt;0,", "&amp;AA$2,"")&amp;IF(N(AB292)&gt;0,", "&amp;AB$2,"")&amp;IF(N(AC292)&gt;0,", "&amp;AC$2,"")&amp;IF(N(AD292)&gt;0,", "&amp;AD$2,"")&amp;IF(N(AE292)&gt;0,", "&amp;AE$2,"")&amp;IF(N(AF292)&gt;0,", "&amp;AF$2,"")&amp;IF(N(AG292)&gt;0,", "&amp;AG$2,"")&amp;IF(N(AH292)&gt;0,", "&amp;AH$2,"")&amp;IF(N(AI292)&gt;0,", "&amp;AI$2,"")&amp;IF(N(AJ292)&gt;0,", "&amp;AJ$2,""),3,999)</f>
        <v/>
      </c>
      <c r="AM292" s="87" t="str">
        <f aca="false">IF(E292="","",MID(IF(N(Y292)&gt;0,", "&amp;A292&amp;"-"&amp;Y$2,"")&amp;IF(N(Z292)&gt;0,", "&amp;A292&amp;"-"&amp;Z$2,"")&amp;IF(N(AA292)&gt;0,", "&amp;A292&amp;"-"&amp;AA$2,"")&amp;IF(N(AB292)&gt;0,", "&amp;A292&amp;"-"&amp;AB$2,"")&amp;IF(N(AC292)&gt;0,", "&amp;A292&amp;"-"&amp;AC$2,"")&amp;IF(N(AD292)&gt;0,", "&amp;A292&amp;"-"&amp;AD$2,"")&amp;IF(N(AE292)&gt;0,", "&amp;A292&amp;"-"&amp;AE$2,"")&amp;IF(N(AF292)&gt;0,", "&amp;A292&amp;"-"&amp;AF$2,"")&amp;IF(N(AG292)&gt;0,", "&amp;A292&amp;"-"&amp;AG$2,"")&amp;IF(N(AH292)&gt;0,", "&amp;A292&amp;"-"&amp;AH$2,"")&amp;IF(N(AI292)&gt;0,", "&amp;A292&amp;"-"&amp;AI$2,"")&amp;IF(N(AJ292)&gt;0,", "&amp;A292&amp;"-"&amp;AJ$2,""),3,999))</f>
        <v/>
      </c>
      <c r="AN292" s="81"/>
      <c r="AO292" s="88"/>
      <c r="AP292" s="89" t="str">
        <f aca="false">IF(AO292="","",ROUND(AO292/(1+Справочники!$B$13),2))</f>
        <v/>
      </c>
      <c r="AQ292" s="90" t="str">
        <f aca="false" t="array" ref="AQ292:AQ292">IF(AP292="","",AP292*INDEX(Справочники!$B$4:$B$7,MATCH("RUB",Справочники!$A$4:$A$7,0)))</f>
        <v/>
      </c>
      <c r="AR292" s="90" t="str">
        <f aca="false">IF(AQ292="","",ROUND(AQ292*(1+Справочники!$B$12),0))</f>
        <v/>
      </c>
      <c r="AS292" s="90" t="str">
        <f aca="false">IF(AR292="","",ROUND(AR292*(1-Справочники!$B$11),0))</f>
        <v/>
      </c>
      <c r="AT292" s="88"/>
      <c r="AU292" s="90" t="str">
        <f aca="false">IF(AT292="","",ROUND(AT292/(1+Справочники!$B$12),0))</f>
        <v/>
      </c>
      <c r="AV292" s="90" t="str">
        <f aca="false">IF(AT292="","",ROUND(AT292*(1-Справочники!$B$15),0))</f>
        <v/>
      </c>
      <c r="AW292" s="90" t="str">
        <f aca="false">IF(AT292="","",ROUND(AT292*(1-Справочники!$B$16),0))</f>
        <v/>
      </c>
      <c r="AX292" s="90" t="str">
        <f aca="false">IF(AT292="","",ROUND(AT292*(1-Справочники!$B$17),0))</f>
        <v/>
      </c>
      <c r="AY292" s="90" t="str">
        <f aca="false">IF(AT292="","",ROUND(AT292*(1-Справочники!$B$18),0))</f>
        <v/>
      </c>
      <c r="AZ292" s="90" t="str">
        <f aca="false">IF(AT292="","",ROUND(AT292*(1-Справочники!$B$19),0))</f>
        <v/>
      </c>
      <c r="BA292" s="81"/>
      <c r="BB292" s="81"/>
      <c r="BC292" s="81"/>
      <c r="BD292" s="81"/>
      <c r="BE292" s="91"/>
      <c r="BF292" s="81" t="s">
        <v>103</v>
      </c>
      <c r="BG292" s="89" t="n">
        <f aca="false" t="array" ref="BG292:BG292">IF(BF292="","",IFERROR(INDEX(Справочники!$B$4:$B$7,MATCH(BF292,Справочники!$A$4:$A$7,0)),""))</f>
        <v>68.5</v>
      </c>
      <c r="BH292" s="90" t="str">
        <f aca="false">IF(N(BN292)&gt;0,ROUND(SUMIF(ЗАКАЗЫ!$F$3:$F$500,$A292,ЗАКАЗЫ!$Y$3:$Y$500)/BN292,0),IF(OR(BE292="",BG292=""),"",ROUND(BE292*BG292*(1+Справочники!$B$10),0)))</f>
        <v/>
      </c>
      <c r="BI292" s="92" t="str">
        <f aca="false">IF(OR(AU292="",BH292="",AU292=0),"",(AU292-BH292)/AU292)</f>
        <v/>
      </c>
      <c r="BJ292" s="81"/>
      <c r="BK292" s="83"/>
      <c r="BL292" s="43" t="str">
        <f aca="false">IFERROR(INDEX(ЗАКАЗЫ!$N$3:$N$500,MATCH($A292,ЗАКАЗЫ!$F$3:$F$500,0)),"")</f>
        <v/>
      </c>
      <c r="BM292" s="8" t="str">
        <f aca="false">IF(BL292="","",IFERROR(VLOOKUP(BL292,'ТН ВЭД'!$A$4:$C$40,3,0),""))</f>
        <v/>
      </c>
      <c r="BN292" s="7" t="str">
        <f aca="false">IF(COUNTIF(ЗАКАЗЫ!$F$3:$F$500,$A292)=0,"",SUMIF(ЗАКАЗЫ!$F$3:$F$500,$A292,ЗАКАЗЫ!$J$3:$J$500))</f>
        <v/>
      </c>
      <c r="BO292" s="7" t="str">
        <f aca="false">IF(BN292="","",SUMIF(ЗАКАЗЫ!$F$3:$F$500,$A292,ЗАКАЗЫ!$AL$3:$AL$500))</f>
        <v/>
      </c>
      <c r="BP292" s="7" t="str">
        <f aca="false">IF(BN292="","",BN292-BO292)</f>
        <v/>
      </c>
      <c r="BQ292" s="55" t="str">
        <f aca="false">IF(BN292="","",IF(BO292&gt;=BN292,"На складе",IF(BO292&gt;0,"Частично","Ждём")))</f>
        <v/>
      </c>
      <c r="BR292" s="43"/>
      <c r="BS292" s="47" t="str">
        <f aca="false">IF(BN292="","",IF(_xlfn.MAXIFS(ЗАКАЗЫ!$AK$3:$AK$500,ЗАКАЗЫ!$F$3:$F$500,$A292)=0,"",_xlfn.MAXIFS(ЗАКАЗЫ!$AK$3:$AK$500,ЗАКАЗЫ!$F$3:$F$500,$A292)))</f>
        <v/>
      </c>
    </row>
    <row r="293" customFormat="false" ht="15.75" hidden="false" customHeight="true" outlineLevel="0" collapsed="false">
      <c r="A293" s="80" t="s">
        <v>3204</v>
      </c>
      <c r="B293" s="81"/>
      <c r="C293" s="81"/>
      <c r="D293" s="81"/>
      <c r="E293" s="83"/>
      <c r="F293" s="81"/>
      <c r="G293" s="83"/>
      <c r="H293" s="83"/>
      <c r="I293" s="84" t="str">
        <f aca="false">IF(E293="","",A293&amp;"_1.jpg")</f>
        <v/>
      </c>
      <c r="J293" s="84" t="str">
        <f aca="false">IF(E293="","",A293&amp;"_2.jpg; "&amp;A293&amp;"_3.jpg")</f>
        <v/>
      </c>
      <c r="K293" s="84" t="str">
        <f aca="false">IF(E293="","",A293&amp;"_schema.jpg")</f>
        <v/>
      </c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 t="s">
        <v>96</v>
      </c>
      <c r="W293" s="81"/>
      <c r="X293" s="81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6" t="str">
        <f aca="false">IF(SUM(Y293:AJ293)=0,"",SUM(Y293:AJ293))</f>
        <v/>
      </c>
      <c r="AL293" s="84" t="str">
        <f aca="false">MID(IF(N(Y293)&gt;0,", "&amp;Y$2,"")&amp;IF(N(Z293)&gt;0,", "&amp;Z$2,"")&amp;IF(N(AA293)&gt;0,", "&amp;AA$2,"")&amp;IF(N(AB293)&gt;0,", "&amp;AB$2,"")&amp;IF(N(AC293)&gt;0,", "&amp;AC$2,"")&amp;IF(N(AD293)&gt;0,", "&amp;AD$2,"")&amp;IF(N(AE293)&gt;0,", "&amp;AE$2,"")&amp;IF(N(AF293)&gt;0,", "&amp;AF$2,"")&amp;IF(N(AG293)&gt;0,", "&amp;AG$2,"")&amp;IF(N(AH293)&gt;0,", "&amp;AH$2,"")&amp;IF(N(AI293)&gt;0,", "&amp;AI$2,"")&amp;IF(N(AJ293)&gt;0,", "&amp;AJ$2,""),3,999)</f>
        <v/>
      </c>
      <c r="AM293" s="87" t="str">
        <f aca="false">IF(E293="","",MID(IF(N(Y293)&gt;0,", "&amp;A293&amp;"-"&amp;Y$2,"")&amp;IF(N(Z293)&gt;0,", "&amp;A293&amp;"-"&amp;Z$2,"")&amp;IF(N(AA293)&gt;0,", "&amp;A293&amp;"-"&amp;AA$2,"")&amp;IF(N(AB293)&gt;0,", "&amp;A293&amp;"-"&amp;AB$2,"")&amp;IF(N(AC293)&gt;0,", "&amp;A293&amp;"-"&amp;AC$2,"")&amp;IF(N(AD293)&gt;0,", "&amp;A293&amp;"-"&amp;AD$2,"")&amp;IF(N(AE293)&gt;0,", "&amp;A293&amp;"-"&amp;AE$2,"")&amp;IF(N(AF293)&gt;0,", "&amp;A293&amp;"-"&amp;AF$2,"")&amp;IF(N(AG293)&gt;0,", "&amp;A293&amp;"-"&amp;AG$2,"")&amp;IF(N(AH293)&gt;0,", "&amp;A293&amp;"-"&amp;AH$2,"")&amp;IF(N(AI293)&gt;0,", "&amp;A293&amp;"-"&amp;AI$2,"")&amp;IF(N(AJ293)&gt;0,", "&amp;A293&amp;"-"&amp;AJ$2,""),3,999))</f>
        <v/>
      </c>
      <c r="AN293" s="81"/>
      <c r="AO293" s="88"/>
      <c r="AP293" s="89" t="str">
        <f aca="false">IF(AO293="","",ROUND(AO293/(1+Справочники!$B$13),2))</f>
        <v/>
      </c>
      <c r="AQ293" s="90" t="str">
        <f aca="false" t="array" ref="AQ293:AQ293">IF(AP293="","",AP293*INDEX(Справочники!$B$4:$B$7,MATCH("RUB",Справочники!$A$4:$A$7,0)))</f>
        <v/>
      </c>
      <c r="AR293" s="90" t="str">
        <f aca="false">IF(AQ293="","",ROUND(AQ293*(1+Справочники!$B$12),0))</f>
        <v/>
      </c>
      <c r="AS293" s="90" t="str">
        <f aca="false">IF(AR293="","",ROUND(AR293*(1-Справочники!$B$11),0))</f>
        <v/>
      </c>
      <c r="AT293" s="88"/>
      <c r="AU293" s="90" t="str">
        <f aca="false">IF(AT293="","",ROUND(AT293/(1+Справочники!$B$12),0))</f>
        <v/>
      </c>
      <c r="AV293" s="90" t="str">
        <f aca="false">IF(AT293="","",ROUND(AT293*(1-Справочники!$B$15),0))</f>
        <v/>
      </c>
      <c r="AW293" s="90" t="str">
        <f aca="false">IF(AT293="","",ROUND(AT293*(1-Справочники!$B$16),0))</f>
        <v/>
      </c>
      <c r="AX293" s="90" t="str">
        <f aca="false">IF(AT293="","",ROUND(AT293*(1-Справочники!$B$17),0))</f>
        <v/>
      </c>
      <c r="AY293" s="90" t="str">
        <f aca="false">IF(AT293="","",ROUND(AT293*(1-Справочники!$B$18),0))</f>
        <v/>
      </c>
      <c r="AZ293" s="90" t="str">
        <f aca="false">IF(AT293="","",ROUND(AT293*(1-Справочники!$B$19),0))</f>
        <v/>
      </c>
      <c r="BA293" s="81"/>
      <c r="BB293" s="81"/>
      <c r="BC293" s="81"/>
      <c r="BD293" s="81"/>
      <c r="BE293" s="91"/>
      <c r="BF293" s="81" t="s">
        <v>103</v>
      </c>
      <c r="BG293" s="89" t="n">
        <f aca="false" t="array" ref="BG293:BG293">IF(BF293="","",IFERROR(INDEX(Справочники!$B$4:$B$7,MATCH(BF293,Справочники!$A$4:$A$7,0)),""))</f>
        <v>68.5</v>
      </c>
      <c r="BH293" s="90" t="str">
        <f aca="false">IF(N(BN293)&gt;0,ROUND(SUMIF(ЗАКАЗЫ!$F$3:$F$500,$A293,ЗАКАЗЫ!$Y$3:$Y$500)/BN293,0),IF(OR(BE293="",BG293=""),"",ROUND(BE293*BG293*(1+Справочники!$B$10),0)))</f>
        <v/>
      </c>
      <c r="BI293" s="92" t="str">
        <f aca="false">IF(OR(AU293="",BH293="",AU293=0),"",(AU293-BH293)/AU293)</f>
        <v/>
      </c>
      <c r="BJ293" s="81"/>
      <c r="BK293" s="83"/>
      <c r="BL293" s="43" t="str">
        <f aca="false">IFERROR(INDEX(ЗАКАЗЫ!$N$3:$N$500,MATCH($A293,ЗАКАЗЫ!$F$3:$F$500,0)),"")</f>
        <v/>
      </c>
      <c r="BM293" s="8" t="str">
        <f aca="false">IF(BL293="","",IFERROR(VLOOKUP(BL293,'ТН ВЭД'!$A$4:$C$40,3,0),""))</f>
        <v/>
      </c>
      <c r="BN293" s="7" t="str">
        <f aca="false">IF(COUNTIF(ЗАКАЗЫ!$F$3:$F$500,$A293)=0,"",SUMIF(ЗАКАЗЫ!$F$3:$F$500,$A293,ЗАКАЗЫ!$J$3:$J$500))</f>
        <v/>
      </c>
      <c r="BO293" s="7" t="str">
        <f aca="false">IF(BN293="","",SUMIF(ЗАКАЗЫ!$F$3:$F$500,$A293,ЗАКАЗЫ!$AL$3:$AL$500))</f>
        <v/>
      </c>
      <c r="BP293" s="7" t="str">
        <f aca="false">IF(BN293="","",BN293-BO293)</f>
        <v/>
      </c>
      <c r="BQ293" s="55" t="str">
        <f aca="false">IF(BN293="","",IF(BO293&gt;=BN293,"На складе",IF(BO293&gt;0,"Частично","Ждём")))</f>
        <v/>
      </c>
      <c r="BR293" s="43"/>
      <c r="BS293" s="47" t="str">
        <f aca="false">IF(BN293="","",IF(_xlfn.MAXIFS(ЗАКАЗЫ!$AK$3:$AK$500,ЗАКАЗЫ!$F$3:$F$500,$A293)=0,"",_xlfn.MAXIFS(ЗАКАЗЫ!$AK$3:$AK$500,ЗАКАЗЫ!$F$3:$F$500,$A293)))</f>
        <v/>
      </c>
    </row>
    <row r="294" customFormat="false" ht="15.75" hidden="false" customHeight="true" outlineLevel="0" collapsed="false">
      <c r="A294" s="80" t="s">
        <v>3205</v>
      </c>
      <c r="B294" s="81"/>
      <c r="C294" s="81"/>
      <c r="D294" s="81"/>
      <c r="E294" s="83"/>
      <c r="F294" s="81"/>
      <c r="G294" s="83"/>
      <c r="H294" s="83"/>
      <c r="I294" s="84" t="str">
        <f aca="false">IF(E294="","",A294&amp;"_1.jpg")</f>
        <v/>
      </c>
      <c r="J294" s="84" t="str">
        <f aca="false">IF(E294="","",A294&amp;"_2.jpg; "&amp;A294&amp;"_3.jpg")</f>
        <v/>
      </c>
      <c r="K294" s="84" t="str">
        <f aca="false">IF(E294="","",A294&amp;"_schema.jpg")</f>
        <v/>
      </c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 t="s">
        <v>96</v>
      </c>
      <c r="W294" s="81"/>
      <c r="X294" s="81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6" t="str">
        <f aca="false">IF(SUM(Y294:AJ294)=0,"",SUM(Y294:AJ294))</f>
        <v/>
      </c>
      <c r="AL294" s="84" t="str">
        <f aca="false">MID(IF(N(Y294)&gt;0,", "&amp;Y$2,"")&amp;IF(N(Z294)&gt;0,", "&amp;Z$2,"")&amp;IF(N(AA294)&gt;0,", "&amp;AA$2,"")&amp;IF(N(AB294)&gt;0,", "&amp;AB$2,"")&amp;IF(N(AC294)&gt;0,", "&amp;AC$2,"")&amp;IF(N(AD294)&gt;0,", "&amp;AD$2,"")&amp;IF(N(AE294)&gt;0,", "&amp;AE$2,"")&amp;IF(N(AF294)&gt;0,", "&amp;AF$2,"")&amp;IF(N(AG294)&gt;0,", "&amp;AG$2,"")&amp;IF(N(AH294)&gt;0,", "&amp;AH$2,"")&amp;IF(N(AI294)&gt;0,", "&amp;AI$2,"")&amp;IF(N(AJ294)&gt;0,", "&amp;AJ$2,""),3,999)</f>
        <v/>
      </c>
      <c r="AM294" s="87" t="str">
        <f aca="false">IF(E294="","",MID(IF(N(Y294)&gt;0,", "&amp;A294&amp;"-"&amp;Y$2,"")&amp;IF(N(Z294)&gt;0,", "&amp;A294&amp;"-"&amp;Z$2,"")&amp;IF(N(AA294)&gt;0,", "&amp;A294&amp;"-"&amp;AA$2,"")&amp;IF(N(AB294)&gt;0,", "&amp;A294&amp;"-"&amp;AB$2,"")&amp;IF(N(AC294)&gt;0,", "&amp;A294&amp;"-"&amp;AC$2,"")&amp;IF(N(AD294)&gt;0,", "&amp;A294&amp;"-"&amp;AD$2,"")&amp;IF(N(AE294)&gt;0,", "&amp;A294&amp;"-"&amp;AE$2,"")&amp;IF(N(AF294)&gt;0,", "&amp;A294&amp;"-"&amp;AF$2,"")&amp;IF(N(AG294)&gt;0,", "&amp;A294&amp;"-"&amp;AG$2,"")&amp;IF(N(AH294)&gt;0,", "&amp;A294&amp;"-"&amp;AH$2,"")&amp;IF(N(AI294)&gt;0,", "&amp;A294&amp;"-"&amp;AI$2,"")&amp;IF(N(AJ294)&gt;0,", "&amp;A294&amp;"-"&amp;AJ$2,""),3,999))</f>
        <v/>
      </c>
      <c r="AN294" s="81"/>
      <c r="AO294" s="88"/>
      <c r="AP294" s="89" t="str">
        <f aca="false">IF(AO294="","",ROUND(AO294/(1+Справочники!$B$13),2))</f>
        <v/>
      </c>
      <c r="AQ294" s="90" t="str">
        <f aca="false" t="array" ref="AQ294:AQ294">IF(AP294="","",AP294*INDEX(Справочники!$B$4:$B$7,MATCH("RUB",Справочники!$A$4:$A$7,0)))</f>
        <v/>
      </c>
      <c r="AR294" s="90" t="str">
        <f aca="false">IF(AQ294="","",ROUND(AQ294*(1+Справочники!$B$12),0))</f>
        <v/>
      </c>
      <c r="AS294" s="90" t="str">
        <f aca="false">IF(AR294="","",ROUND(AR294*(1-Справочники!$B$11),0))</f>
        <v/>
      </c>
      <c r="AT294" s="88"/>
      <c r="AU294" s="90" t="str">
        <f aca="false">IF(AT294="","",ROUND(AT294/(1+Справочники!$B$12),0))</f>
        <v/>
      </c>
      <c r="AV294" s="90" t="str">
        <f aca="false">IF(AT294="","",ROUND(AT294*(1-Справочники!$B$15),0))</f>
        <v/>
      </c>
      <c r="AW294" s="90" t="str">
        <f aca="false">IF(AT294="","",ROUND(AT294*(1-Справочники!$B$16),0))</f>
        <v/>
      </c>
      <c r="AX294" s="90" t="str">
        <f aca="false">IF(AT294="","",ROUND(AT294*(1-Справочники!$B$17),0))</f>
        <v/>
      </c>
      <c r="AY294" s="90" t="str">
        <f aca="false">IF(AT294="","",ROUND(AT294*(1-Справочники!$B$18),0))</f>
        <v/>
      </c>
      <c r="AZ294" s="90" t="str">
        <f aca="false">IF(AT294="","",ROUND(AT294*(1-Справочники!$B$19),0))</f>
        <v/>
      </c>
      <c r="BA294" s="81"/>
      <c r="BB294" s="81"/>
      <c r="BC294" s="81"/>
      <c r="BD294" s="81"/>
      <c r="BE294" s="91"/>
      <c r="BF294" s="81" t="s">
        <v>103</v>
      </c>
      <c r="BG294" s="89" t="n">
        <f aca="false" t="array" ref="BG294:BG294">IF(BF294="","",IFERROR(INDEX(Справочники!$B$4:$B$7,MATCH(BF294,Справочники!$A$4:$A$7,0)),""))</f>
        <v>68.5</v>
      </c>
      <c r="BH294" s="90" t="str">
        <f aca="false">IF(N(BN294)&gt;0,ROUND(SUMIF(ЗАКАЗЫ!$F$3:$F$500,$A294,ЗАКАЗЫ!$Y$3:$Y$500)/BN294,0),IF(OR(BE294="",BG294=""),"",ROUND(BE294*BG294*(1+Справочники!$B$10),0)))</f>
        <v/>
      </c>
      <c r="BI294" s="92" t="str">
        <f aca="false">IF(OR(AU294="",BH294="",AU294=0),"",(AU294-BH294)/AU294)</f>
        <v/>
      </c>
      <c r="BJ294" s="81"/>
      <c r="BK294" s="83"/>
      <c r="BL294" s="43" t="str">
        <f aca="false">IFERROR(INDEX(ЗАКАЗЫ!$N$3:$N$500,MATCH($A294,ЗАКАЗЫ!$F$3:$F$500,0)),"")</f>
        <v/>
      </c>
      <c r="BM294" s="8" t="str">
        <f aca="false">IF(BL294="","",IFERROR(VLOOKUP(BL294,'ТН ВЭД'!$A$4:$C$40,3,0),""))</f>
        <v/>
      </c>
      <c r="BN294" s="7" t="str">
        <f aca="false">IF(COUNTIF(ЗАКАЗЫ!$F$3:$F$500,$A294)=0,"",SUMIF(ЗАКАЗЫ!$F$3:$F$500,$A294,ЗАКАЗЫ!$J$3:$J$500))</f>
        <v/>
      </c>
      <c r="BO294" s="7" t="str">
        <f aca="false">IF(BN294="","",SUMIF(ЗАКАЗЫ!$F$3:$F$500,$A294,ЗАКАЗЫ!$AL$3:$AL$500))</f>
        <v/>
      </c>
      <c r="BP294" s="7" t="str">
        <f aca="false">IF(BN294="","",BN294-BO294)</f>
        <v/>
      </c>
      <c r="BQ294" s="55" t="str">
        <f aca="false">IF(BN294="","",IF(BO294&gt;=BN294,"На складе",IF(BO294&gt;0,"Частично","Ждём")))</f>
        <v/>
      </c>
      <c r="BR294" s="43"/>
      <c r="BS294" s="47" t="str">
        <f aca="false">IF(BN294="","",IF(_xlfn.MAXIFS(ЗАКАЗЫ!$AK$3:$AK$500,ЗАКАЗЫ!$F$3:$F$500,$A294)=0,"",_xlfn.MAXIFS(ЗАКАЗЫ!$AK$3:$AK$500,ЗАКАЗЫ!$F$3:$F$500,$A294)))</f>
        <v/>
      </c>
    </row>
    <row r="295" customFormat="false" ht="15.75" hidden="false" customHeight="true" outlineLevel="0" collapsed="false">
      <c r="A295" s="80" t="s">
        <v>3206</v>
      </c>
      <c r="B295" s="81"/>
      <c r="C295" s="81"/>
      <c r="D295" s="81"/>
      <c r="E295" s="83"/>
      <c r="F295" s="81"/>
      <c r="G295" s="83"/>
      <c r="H295" s="83"/>
      <c r="I295" s="84" t="str">
        <f aca="false">IF(E295="","",A295&amp;"_1.jpg")</f>
        <v/>
      </c>
      <c r="J295" s="84" t="str">
        <f aca="false">IF(E295="","",A295&amp;"_2.jpg; "&amp;A295&amp;"_3.jpg")</f>
        <v/>
      </c>
      <c r="K295" s="84" t="str">
        <f aca="false">IF(E295="","",A295&amp;"_schema.jpg")</f>
        <v/>
      </c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 t="s">
        <v>96</v>
      </c>
      <c r="W295" s="81"/>
      <c r="X295" s="81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6" t="str">
        <f aca="false">IF(SUM(Y295:AJ295)=0,"",SUM(Y295:AJ295))</f>
        <v/>
      </c>
      <c r="AL295" s="84" t="str">
        <f aca="false">MID(IF(N(Y295)&gt;0,", "&amp;Y$2,"")&amp;IF(N(Z295)&gt;0,", "&amp;Z$2,"")&amp;IF(N(AA295)&gt;0,", "&amp;AA$2,"")&amp;IF(N(AB295)&gt;0,", "&amp;AB$2,"")&amp;IF(N(AC295)&gt;0,", "&amp;AC$2,"")&amp;IF(N(AD295)&gt;0,", "&amp;AD$2,"")&amp;IF(N(AE295)&gt;0,", "&amp;AE$2,"")&amp;IF(N(AF295)&gt;0,", "&amp;AF$2,"")&amp;IF(N(AG295)&gt;0,", "&amp;AG$2,"")&amp;IF(N(AH295)&gt;0,", "&amp;AH$2,"")&amp;IF(N(AI295)&gt;0,", "&amp;AI$2,"")&amp;IF(N(AJ295)&gt;0,", "&amp;AJ$2,""),3,999)</f>
        <v/>
      </c>
      <c r="AM295" s="87" t="str">
        <f aca="false">IF(E295="","",MID(IF(N(Y295)&gt;0,", "&amp;A295&amp;"-"&amp;Y$2,"")&amp;IF(N(Z295)&gt;0,", "&amp;A295&amp;"-"&amp;Z$2,"")&amp;IF(N(AA295)&gt;0,", "&amp;A295&amp;"-"&amp;AA$2,"")&amp;IF(N(AB295)&gt;0,", "&amp;A295&amp;"-"&amp;AB$2,"")&amp;IF(N(AC295)&gt;0,", "&amp;A295&amp;"-"&amp;AC$2,"")&amp;IF(N(AD295)&gt;0,", "&amp;A295&amp;"-"&amp;AD$2,"")&amp;IF(N(AE295)&gt;0,", "&amp;A295&amp;"-"&amp;AE$2,"")&amp;IF(N(AF295)&gt;0,", "&amp;A295&amp;"-"&amp;AF$2,"")&amp;IF(N(AG295)&gt;0,", "&amp;A295&amp;"-"&amp;AG$2,"")&amp;IF(N(AH295)&gt;0,", "&amp;A295&amp;"-"&amp;AH$2,"")&amp;IF(N(AI295)&gt;0,", "&amp;A295&amp;"-"&amp;AI$2,"")&amp;IF(N(AJ295)&gt;0,", "&amp;A295&amp;"-"&amp;AJ$2,""),3,999))</f>
        <v/>
      </c>
      <c r="AN295" s="81"/>
      <c r="AO295" s="88"/>
      <c r="AP295" s="89" t="str">
        <f aca="false">IF(AO295="","",ROUND(AO295/(1+Справочники!$B$13),2))</f>
        <v/>
      </c>
      <c r="AQ295" s="90" t="str">
        <f aca="false" t="array" ref="AQ295:AQ295">IF(AP295="","",AP295*INDEX(Справочники!$B$4:$B$7,MATCH("RUB",Справочники!$A$4:$A$7,0)))</f>
        <v/>
      </c>
      <c r="AR295" s="90" t="str">
        <f aca="false">IF(AQ295="","",ROUND(AQ295*(1+Справочники!$B$12),0))</f>
        <v/>
      </c>
      <c r="AS295" s="90" t="str">
        <f aca="false">IF(AR295="","",ROUND(AR295*(1-Справочники!$B$11),0))</f>
        <v/>
      </c>
      <c r="AT295" s="88"/>
      <c r="AU295" s="90" t="str">
        <f aca="false">IF(AT295="","",ROUND(AT295/(1+Справочники!$B$12),0))</f>
        <v/>
      </c>
      <c r="AV295" s="90" t="str">
        <f aca="false">IF(AT295="","",ROUND(AT295*(1-Справочники!$B$15),0))</f>
        <v/>
      </c>
      <c r="AW295" s="90" t="str">
        <f aca="false">IF(AT295="","",ROUND(AT295*(1-Справочники!$B$16),0))</f>
        <v/>
      </c>
      <c r="AX295" s="90" t="str">
        <f aca="false">IF(AT295="","",ROUND(AT295*(1-Справочники!$B$17),0))</f>
        <v/>
      </c>
      <c r="AY295" s="90" t="str">
        <f aca="false">IF(AT295="","",ROUND(AT295*(1-Справочники!$B$18),0))</f>
        <v/>
      </c>
      <c r="AZ295" s="90" t="str">
        <f aca="false">IF(AT295="","",ROUND(AT295*(1-Справочники!$B$19),0))</f>
        <v/>
      </c>
      <c r="BA295" s="81"/>
      <c r="BB295" s="81"/>
      <c r="BC295" s="81"/>
      <c r="BD295" s="81"/>
      <c r="BE295" s="91"/>
      <c r="BF295" s="81" t="s">
        <v>103</v>
      </c>
      <c r="BG295" s="89" t="n">
        <f aca="false" t="array" ref="BG295:BG295">IF(BF295="","",IFERROR(INDEX(Справочники!$B$4:$B$7,MATCH(BF295,Справочники!$A$4:$A$7,0)),""))</f>
        <v>68.5</v>
      </c>
      <c r="BH295" s="90" t="str">
        <f aca="false">IF(N(BN295)&gt;0,ROUND(SUMIF(ЗАКАЗЫ!$F$3:$F$500,$A295,ЗАКАЗЫ!$Y$3:$Y$500)/BN295,0),IF(OR(BE295="",BG295=""),"",ROUND(BE295*BG295*(1+Справочники!$B$10),0)))</f>
        <v/>
      </c>
      <c r="BI295" s="92" t="str">
        <f aca="false">IF(OR(AU295="",BH295="",AU295=0),"",(AU295-BH295)/AU295)</f>
        <v/>
      </c>
      <c r="BJ295" s="81"/>
      <c r="BK295" s="83"/>
      <c r="BL295" s="43" t="str">
        <f aca="false">IFERROR(INDEX(ЗАКАЗЫ!$N$3:$N$500,MATCH($A295,ЗАКАЗЫ!$F$3:$F$500,0)),"")</f>
        <v/>
      </c>
      <c r="BM295" s="8" t="str">
        <f aca="false">IF(BL295="","",IFERROR(VLOOKUP(BL295,'ТН ВЭД'!$A$4:$C$40,3,0),""))</f>
        <v/>
      </c>
      <c r="BN295" s="7" t="str">
        <f aca="false">IF(COUNTIF(ЗАКАЗЫ!$F$3:$F$500,$A295)=0,"",SUMIF(ЗАКАЗЫ!$F$3:$F$500,$A295,ЗАКАЗЫ!$J$3:$J$500))</f>
        <v/>
      </c>
      <c r="BO295" s="7" t="str">
        <f aca="false">IF(BN295="","",SUMIF(ЗАКАЗЫ!$F$3:$F$500,$A295,ЗАКАЗЫ!$AL$3:$AL$500))</f>
        <v/>
      </c>
      <c r="BP295" s="7" t="str">
        <f aca="false">IF(BN295="","",BN295-BO295)</f>
        <v/>
      </c>
      <c r="BQ295" s="55" t="str">
        <f aca="false">IF(BN295="","",IF(BO295&gt;=BN295,"На складе",IF(BO295&gt;0,"Частично","Ждём")))</f>
        <v/>
      </c>
      <c r="BR295" s="43"/>
      <c r="BS295" s="47" t="str">
        <f aca="false">IF(BN295="","",IF(_xlfn.MAXIFS(ЗАКАЗЫ!$AK$3:$AK$500,ЗАКАЗЫ!$F$3:$F$500,$A295)=0,"",_xlfn.MAXIFS(ЗАКАЗЫ!$AK$3:$AK$500,ЗАКАЗЫ!$F$3:$F$500,$A295)))</f>
        <v/>
      </c>
    </row>
    <row r="296" customFormat="false" ht="15.75" hidden="false" customHeight="true" outlineLevel="0" collapsed="false">
      <c r="A296" s="80" t="s">
        <v>3207</v>
      </c>
      <c r="B296" s="81"/>
      <c r="C296" s="81"/>
      <c r="D296" s="81"/>
      <c r="E296" s="83"/>
      <c r="F296" s="81"/>
      <c r="G296" s="83"/>
      <c r="H296" s="83"/>
      <c r="I296" s="84" t="str">
        <f aca="false">IF(E296="","",A296&amp;"_1.jpg")</f>
        <v/>
      </c>
      <c r="J296" s="84" t="str">
        <f aca="false">IF(E296="","",A296&amp;"_2.jpg; "&amp;A296&amp;"_3.jpg")</f>
        <v/>
      </c>
      <c r="K296" s="84" t="str">
        <f aca="false">IF(E296="","",A296&amp;"_schema.jpg")</f>
        <v/>
      </c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 t="s">
        <v>96</v>
      </c>
      <c r="W296" s="81"/>
      <c r="X296" s="81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6" t="str">
        <f aca="false">IF(SUM(Y296:AJ296)=0,"",SUM(Y296:AJ296))</f>
        <v/>
      </c>
      <c r="AL296" s="84" t="str">
        <f aca="false">MID(IF(N(Y296)&gt;0,", "&amp;Y$2,"")&amp;IF(N(Z296)&gt;0,", "&amp;Z$2,"")&amp;IF(N(AA296)&gt;0,", "&amp;AA$2,"")&amp;IF(N(AB296)&gt;0,", "&amp;AB$2,"")&amp;IF(N(AC296)&gt;0,", "&amp;AC$2,"")&amp;IF(N(AD296)&gt;0,", "&amp;AD$2,"")&amp;IF(N(AE296)&gt;0,", "&amp;AE$2,"")&amp;IF(N(AF296)&gt;0,", "&amp;AF$2,"")&amp;IF(N(AG296)&gt;0,", "&amp;AG$2,"")&amp;IF(N(AH296)&gt;0,", "&amp;AH$2,"")&amp;IF(N(AI296)&gt;0,", "&amp;AI$2,"")&amp;IF(N(AJ296)&gt;0,", "&amp;AJ$2,""),3,999)</f>
        <v/>
      </c>
      <c r="AM296" s="87" t="str">
        <f aca="false">IF(E296="","",MID(IF(N(Y296)&gt;0,", "&amp;A296&amp;"-"&amp;Y$2,"")&amp;IF(N(Z296)&gt;0,", "&amp;A296&amp;"-"&amp;Z$2,"")&amp;IF(N(AA296)&gt;0,", "&amp;A296&amp;"-"&amp;AA$2,"")&amp;IF(N(AB296)&gt;0,", "&amp;A296&amp;"-"&amp;AB$2,"")&amp;IF(N(AC296)&gt;0,", "&amp;A296&amp;"-"&amp;AC$2,"")&amp;IF(N(AD296)&gt;0,", "&amp;A296&amp;"-"&amp;AD$2,"")&amp;IF(N(AE296)&gt;0,", "&amp;A296&amp;"-"&amp;AE$2,"")&amp;IF(N(AF296)&gt;0,", "&amp;A296&amp;"-"&amp;AF$2,"")&amp;IF(N(AG296)&gt;0,", "&amp;A296&amp;"-"&amp;AG$2,"")&amp;IF(N(AH296)&gt;0,", "&amp;A296&amp;"-"&amp;AH$2,"")&amp;IF(N(AI296)&gt;0,", "&amp;A296&amp;"-"&amp;AI$2,"")&amp;IF(N(AJ296)&gt;0,", "&amp;A296&amp;"-"&amp;AJ$2,""),3,999))</f>
        <v/>
      </c>
      <c r="AN296" s="81"/>
      <c r="AO296" s="88"/>
      <c r="AP296" s="89" t="str">
        <f aca="false">IF(AO296="","",ROUND(AO296/(1+Справочники!$B$13),2))</f>
        <v/>
      </c>
      <c r="AQ296" s="90" t="str">
        <f aca="false" t="array" ref="AQ296:AQ296">IF(AP296="","",AP296*INDEX(Справочники!$B$4:$B$7,MATCH("RUB",Справочники!$A$4:$A$7,0)))</f>
        <v/>
      </c>
      <c r="AR296" s="90" t="str">
        <f aca="false">IF(AQ296="","",ROUND(AQ296*(1+Справочники!$B$12),0))</f>
        <v/>
      </c>
      <c r="AS296" s="90" t="str">
        <f aca="false">IF(AR296="","",ROUND(AR296*(1-Справочники!$B$11),0))</f>
        <v/>
      </c>
      <c r="AT296" s="88"/>
      <c r="AU296" s="90" t="str">
        <f aca="false">IF(AT296="","",ROUND(AT296/(1+Справочники!$B$12),0))</f>
        <v/>
      </c>
      <c r="AV296" s="90" t="str">
        <f aca="false">IF(AT296="","",ROUND(AT296*(1-Справочники!$B$15),0))</f>
        <v/>
      </c>
      <c r="AW296" s="90" t="str">
        <f aca="false">IF(AT296="","",ROUND(AT296*(1-Справочники!$B$16),0))</f>
        <v/>
      </c>
      <c r="AX296" s="90" t="str">
        <f aca="false">IF(AT296="","",ROUND(AT296*(1-Справочники!$B$17),0))</f>
        <v/>
      </c>
      <c r="AY296" s="90" t="str">
        <f aca="false">IF(AT296="","",ROUND(AT296*(1-Справочники!$B$18),0))</f>
        <v/>
      </c>
      <c r="AZ296" s="90" t="str">
        <f aca="false">IF(AT296="","",ROUND(AT296*(1-Справочники!$B$19),0))</f>
        <v/>
      </c>
      <c r="BA296" s="81"/>
      <c r="BB296" s="81"/>
      <c r="BC296" s="81"/>
      <c r="BD296" s="81"/>
      <c r="BE296" s="91"/>
      <c r="BF296" s="81" t="s">
        <v>103</v>
      </c>
      <c r="BG296" s="89" t="n">
        <f aca="false" t="array" ref="BG296:BG296">IF(BF296="","",IFERROR(INDEX(Справочники!$B$4:$B$7,MATCH(BF296,Справочники!$A$4:$A$7,0)),""))</f>
        <v>68.5</v>
      </c>
      <c r="BH296" s="90" t="str">
        <f aca="false">IF(N(BN296)&gt;0,ROUND(SUMIF(ЗАКАЗЫ!$F$3:$F$500,$A296,ЗАКАЗЫ!$Y$3:$Y$500)/BN296,0),IF(OR(BE296="",BG296=""),"",ROUND(BE296*BG296*(1+Справочники!$B$10),0)))</f>
        <v/>
      </c>
      <c r="BI296" s="92" t="str">
        <f aca="false">IF(OR(AU296="",BH296="",AU296=0),"",(AU296-BH296)/AU296)</f>
        <v/>
      </c>
      <c r="BJ296" s="81"/>
      <c r="BK296" s="83"/>
      <c r="BL296" s="43" t="str">
        <f aca="false">IFERROR(INDEX(ЗАКАЗЫ!$N$3:$N$500,MATCH($A296,ЗАКАЗЫ!$F$3:$F$500,0)),"")</f>
        <v/>
      </c>
      <c r="BM296" s="8" t="str">
        <f aca="false">IF(BL296="","",IFERROR(VLOOKUP(BL296,'ТН ВЭД'!$A$4:$C$40,3,0),""))</f>
        <v/>
      </c>
      <c r="BN296" s="7" t="str">
        <f aca="false">IF(COUNTIF(ЗАКАЗЫ!$F$3:$F$500,$A296)=0,"",SUMIF(ЗАКАЗЫ!$F$3:$F$500,$A296,ЗАКАЗЫ!$J$3:$J$500))</f>
        <v/>
      </c>
      <c r="BO296" s="7" t="str">
        <f aca="false">IF(BN296="","",SUMIF(ЗАКАЗЫ!$F$3:$F$500,$A296,ЗАКАЗЫ!$AL$3:$AL$500))</f>
        <v/>
      </c>
      <c r="BP296" s="7" t="str">
        <f aca="false">IF(BN296="","",BN296-BO296)</f>
        <v/>
      </c>
      <c r="BQ296" s="55" t="str">
        <f aca="false">IF(BN296="","",IF(BO296&gt;=BN296,"На складе",IF(BO296&gt;0,"Частично","Ждём")))</f>
        <v/>
      </c>
      <c r="BR296" s="43"/>
      <c r="BS296" s="47" t="str">
        <f aca="false">IF(BN296="","",IF(_xlfn.MAXIFS(ЗАКАЗЫ!$AK$3:$AK$500,ЗАКАЗЫ!$F$3:$F$500,$A296)=0,"",_xlfn.MAXIFS(ЗАКАЗЫ!$AK$3:$AK$500,ЗАКАЗЫ!$F$3:$F$500,$A296)))</f>
        <v/>
      </c>
    </row>
    <row r="297" customFormat="false" ht="15.75" hidden="false" customHeight="true" outlineLevel="0" collapsed="false">
      <c r="A297" s="80" t="s">
        <v>3208</v>
      </c>
      <c r="B297" s="81"/>
      <c r="C297" s="81"/>
      <c r="D297" s="81"/>
      <c r="E297" s="83"/>
      <c r="F297" s="81"/>
      <c r="G297" s="83"/>
      <c r="H297" s="83"/>
      <c r="I297" s="84" t="str">
        <f aca="false">IF(E297="","",A297&amp;"_1.jpg")</f>
        <v/>
      </c>
      <c r="J297" s="84" t="str">
        <f aca="false">IF(E297="","",A297&amp;"_2.jpg; "&amp;A297&amp;"_3.jpg")</f>
        <v/>
      </c>
      <c r="K297" s="84" t="str">
        <f aca="false">IF(E297="","",A297&amp;"_schema.jpg")</f>
        <v/>
      </c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 t="s">
        <v>96</v>
      </c>
      <c r="W297" s="81"/>
      <c r="X297" s="81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6" t="str">
        <f aca="false">IF(SUM(Y297:AJ297)=0,"",SUM(Y297:AJ297))</f>
        <v/>
      </c>
      <c r="AL297" s="84" t="str">
        <f aca="false">MID(IF(N(Y297)&gt;0,", "&amp;Y$2,"")&amp;IF(N(Z297)&gt;0,", "&amp;Z$2,"")&amp;IF(N(AA297)&gt;0,", "&amp;AA$2,"")&amp;IF(N(AB297)&gt;0,", "&amp;AB$2,"")&amp;IF(N(AC297)&gt;0,", "&amp;AC$2,"")&amp;IF(N(AD297)&gt;0,", "&amp;AD$2,"")&amp;IF(N(AE297)&gt;0,", "&amp;AE$2,"")&amp;IF(N(AF297)&gt;0,", "&amp;AF$2,"")&amp;IF(N(AG297)&gt;0,", "&amp;AG$2,"")&amp;IF(N(AH297)&gt;0,", "&amp;AH$2,"")&amp;IF(N(AI297)&gt;0,", "&amp;AI$2,"")&amp;IF(N(AJ297)&gt;0,", "&amp;AJ$2,""),3,999)</f>
        <v/>
      </c>
      <c r="AM297" s="87" t="str">
        <f aca="false">IF(E297="","",MID(IF(N(Y297)&gt;0,", "&amp;A297&amp;"-"&amp;Y$2,"")&amp;IF(N(Z297)&gt;0,", "&amp;A297&amp;"-"&amp;Z$2,"")&amp;IF(N(AA297)&gt;0,", "&amp;A297&amp;"-"&amp;AA$2,"")&amp;IF(N(AB297)&gt;0,", "&amp;A297&amp;"-"&amp;AB$2,"")&amp;IF(N(AC297)&gt;0,", "&amp;A297&amp;"-"&amp;AC$2,"")&amp;IF(N(AD297)&gt;0,", "&amp;A297&amp;"-"&amp;AD$2,"")&amp;IF(N(AE297)&gt;0,", "&amp;A297&amp;"-"&amp;AE$2,"")&amp;IF(N(AF297)&gt;0,", "&amp;A297&amp;"-"&amp;AF$2,"")&amp;IF(N(AG297)&gt;0,", "&amp;A297&amp;"-"&amp;AG$2,"")&amp;IF(N(AH297)&gt;0,", "&amp;A297&amp;"-"&amp;AH$2,"")&amp;IF(N(AI297)&gt;0,", "&amp;A297&amp;"-"&amp;AI$2,"")&amp;IF(N(AJ297)&gt;0,", "&amp;A297&amp;"-"&amp;AJ$2,""),3,999))</f>
        <v/>
      </c>
      <c r="AN297" s="81"/>
      <c r="AO297" s="88"/>
      <c r="AP297" s="89" t="str">
        <f aca="false">IF(AO297="","",ROUND(AO297/(1+Справочники!$B$13),2))</f>
        <v/>
      </c>
      <c r="AQ297" s="90" t="str">
        <f aca="false" t="array" ref="AQ297:AQ297">IF(AP297="","",AP297*INDEX(Справочники!$B$4:$B$7,MATCH("RUB",Справочники!$A$4:$A$7,0)))</f>
        <v/>
      </c>
      <c r="AR297" s="90" t="str">
        <f aca="false">IF(AQ297="","",ROUND(AQ297*(1+Справочники!$B$12),0))</f>
        <v/>
      </c>
      <c r="AS297" s="90" t="str">
        <f aca="false">IF(AR297="","",ROUND(AR297*(1-Справочники!$B$11),0))</f>
        <v/>
      </c>
      <c r="AT297" s="88"/>
      <c r="AU297" s="90" t="str">
        <f aca="false">IF(AT297="","",ROUND(AT297/(1+Справочники!$B$12),0))</f>
        <v/>
      </c>
      <c r="AV297" s="90" t="str">
        <f aca="false">IF(AT297="","",ROUND(AT297*(1-Справочники!$B$15),0))</f>
        <v/>
      </c>
      <c r="AW297" s="90" t="str">
        <f aca="false">IF(AT297="","",ROUND(AT297*(1-Справочники!$B$16),0))</f>
        <v/>
      </c>
      <c r="AX297" s="90" t="str">
        <f aca="false">IF(AT297="","",ROUND(AT297*(1-Справочники!$B$17),0))</f>
        <v/>
      </c>
      <c r="AY297" s="90" t="str">
        <f aca="false">IF(AT297="","",ROUND(AT297*(1-Справочники!$B$18),0))</f>
        <v/>
      </c>
      <c r="AZ297" s="90" t="str">
        <f aca="false">IF(AT297="","",ROUND(AT297*(1-Справочники!$B$19),0))</f>
        <v/>
      </c>
      <c r="BA297" s="81"/>
      <c r="BB297" s="81"/>
      <c r="BC297" s="81"/>
      <c r="BD297" s="81"/>
      <c r="BE297" s="91"/>
      <c r="BF297" s="81" t="s">
        <v>103</v>
      </c>
      <c r="BG297" s="89" t="n">
        <f aca="false" t="array" ref="BG297:BG297">IF(BF297="","",IFERROR(INDEX(Справочники!$B$4:$B$7,MATCH(BF297,Справочники!$A$4:$A$7,0)),""))</f>
        <v>68.5</v>
      </c>
      <c r="BH297" s="90" t="str">
        <f aca="false">IF(N(BN297)&gt;0,ROUND(SUMIF(ЗАКАЗЫ!$F$3:$F$500,$A297,ЗАКАЗЫ!$Y$3:$Y$500)/BN297,0),IF(OR(BE297="",BG297=""),"",ROUND(BE297*BG297*(1+Справочники!$B$10),0)))</f>
        <v/>
      </c>
      <c r="BI297" s="92" t="str">
        <f aca="false">IF(OR(AU297="",BH297="",AU297=0),"",(AU297-BH297)/AU297)</f>
        <v/>
      </c>
      <c r="BJ297" s="81"/>
      <c r="BK297" s="83"/>
      <c r="BL297" s="43" t="str">
        <f aca="false">IFERROR(INDEX(ЗАКАЗЫ!$N$3:$N$500,MATCH($A297,ЗАКАЗЫ!$F$3:$F$500,0)),"")</f>
        <v/>
      </c>
      <c r="BM297" s="8" t="str">
        <f aca="false">IF(BL297="","",IFERROR(VLOOKUP(BL297,'ТН ВЭД'!$A$4:$C$40,3,0),""))</f>
        <v/>
      </c>
      <c r="BN297" s="7" t="str">
        <f aca="false">IF(COUNTIF(ЗАКАЗЫ!$F$3:$F$500,$A297)=0,"",SUMIF(ЗАКАЗЫ!$F$3:$F$500,$A297,ЗАКАЗЫ!$J$3:$J$500))</f>
        <v/>
      </c>
      <c r="BO297" s="7" t="str">
        <f aca="false">IF(BN297="","",SUMIF(ЗАКАЗЫ!$F$3:$F$500,$A297,ЗАКАЗЫ!$AL$3:$AL$500))</f>
        <v/>
      </c>
      <c r="BP297" s="7" t="str">
        <f aca="false">IF(BN297="","",BN297-BO297)</f>
        <v/>
      </c>
      <c r="BQ297" s="55" t="str">
        <f aca="false">IF(BN297="","",IF(BO297&gt;=BN297,"На складе",IF(BO297&gt;0,"Частично","Ждём")))</f>
        <v/>
      </c>
      <c r="BR297" s="43"/>
      <c r="BS297" s="47" t="str">
        <f aca="false">IF(BN297="","",IF(_xlfn.MAXIFS(ЗАКАЗЫ!$AK$3:$AK$500,ЗАКАЗЫ!$F$3:$F$500,$A297)=0,"",_xlfn.MAXIFS(ЗАКАЗЫ!$AK$3:$AK$500,ЗАКАЗЫ!$F$3:$F$500,$A297)))</f>
        <v/>
      </c>
    </row>
    <row r="298" customFormat="false" ht="15.75" hidden="false" customHeight="true" outlineLevel="0" collapsed="false">
      <c r="A298" s="80" t="s">
        <v>3209</v>
      </c>
      <c r="B298" s="81"/>
      <c r="C298" s="81"/>
      <c r="D298" s="81"/>
      <c r="E298" s="83"/>
      <c r="F298" s="81"/>
      <c r="G298" s="83"/>
      <c r="H298" s="83"/>
      <c r="I298" s="84" t="str">
        <f aca="false">IF(E298="","",A298&amp;"_1.jpg")</f>
        <v/>
      </c>
      <c r="J298" s="84" t="str">
        <f aca="false">IF(E298="","",A298&amp;"_2.jpg; "&amp;A298&amp;"_3.jpg")</f>
        <v/>
      </c>
      <c r="K298" s="84" t="str">
        <f aca="false">IF(E298="","",A298&amp;"_schema.jpg")</f>
        <v/>
      </c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 t="s">
        <v>96</v>
      </c>
      <c r="W298" s="81"/>
      <c r="X298" s="81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6" t="str">
        <f aca="false">IF(SUM(Y298:AJ298)=0,"",SUM(Y298:AJ298))</f>
        <v/>
      </c>
      <c r="AL298" s="84" t="str">
        <f aca="false">MID(IF(N(Y298)&gt;0,", "&amp;Y$2,"")&amp;IF(N(Z298)&gt;0,", "&amp;Z$2,"")&amp;IF(N(AA298)&gt;0,", "&amp;AA$2,"")&amp;IF(N(AB298)&gt;0,", "&amp;AB$2,"")&amp;IF(N(AC298)&gt;0,", "&amp;AC$2,"")&amp;IF(N(AD298)&gt;0,", "&amp;AD$2,"")&amp;IF(N(AE298)&gt;0,", "&amp;AE$2,"")&amp;IF(N(AF298)&gt;0,", "&amp;AF$2,"")&amp;IF(N(AG298)&gt;0,", "&amp;AG$2,"")&amp;IF(N(AH298)&gt;0,", "&amp;AH$2,"")&amp;IF(N(AI298)&gt;0,", "&amp;AI$2,"")&amp;IF(N(AJ298)&gt;0,", "&amp;AJ$2,""),3,999)</f>
        <v/>
      </c>
      <c r="AM298" s="87" t="str">
        <f aca="false">IF(E298="","",MID(IF(N(Y298)&gt;0,", "&amp;A298&amp;"-"&amp;Y$2,"")&amp;IF(N(Z298)&gt;0,", "&amp;A298&amp;"-"&amp;Z$2,"")&amp;IF(N(AA298)&gt;0,", "&amp;A298&amp;"-"&amp;AA$2,"")&amp;IF(N(AB298)&gt;0,", "&amp;A298&amp;"-"&amp;AB$2,"")&amp;IF(N(AC298)&gt;0,", "&amp;A298&amp;"-"&amp;AC$2,"")&amp;IF(N(AD298)&gt;0,", "&amp;A298&amp;"-"&amp;AD$2,"")&amp;IF(N(AE298)&gt;0,", "&amp;A298&amp;"-"&amp;AE$2,"")&amp;IF(N(AF298)&gt;0,", "&amp;A298&amp;"-"&amp;AF$2,"")&amp;IF(N(AG298)&gt;0,", "&amp;A298&amp;"-"&amp;AG$2,"")&amp;IF(N(AH298)&gt;0,", "&amp;A298&amp;"-"&amp;AH$2,"")&amp;IF(N(AI298)&gt;0,", "&amp;A298&amp;"-"&amp;AI$2,"")&amp;IF(N(AJ298)&gt;0,", "&amp;A298&amp;"-"&amp;AJ$2,""),3,999))</f>
        <v/>
      </c>
      <c r="AN298" s="81"/>
      <c r="AO298" s="88"/>
      <c r="AP298" s="89" t="str">
        <f aca="false">IF(AO298="","",ROUND(AO298/(1+Справочники!$B$13),2))</f>
        <v/>
      </c>
      <c r="AQ298" s="90" t="str">
        <f aca="false" t="array" ref="AQ298:AQ298">IF(AP298="","",AP298*INDEX(Справочники!$B$4:$B$7,MATCH("RUB",Справочники!$A$4:$A$7,0)))</f>
        <v/>
      </c>
      <c r="AR298" s="90" t="str">
        <f aca="false">IF(AQ298="","",ROUND(AQ298*(1+Справочники!$B$12),0))</f>
        <v/>
      </c>
      <c r="AS298" s="90" t="str">
        <f aca="false">IF(AR298="","",ROUND(AR298*(1-Справочники!$B$11),0))</f>
        <v/>
      </c>
      <c r="AT298" s="88"/>
      <c r="AU298" s="90" t="str">
        <f aca="false">IF(AT298="","",ROUND(AT298/(1+Справочники!$B$12),0))</f>
        <v/>
      </c>
      <c r="AV298" s="90" t="str">
        <f aca="false">IF(AT298="","",ROUND(AT298*(1-Справочники!$B$15),0))</f>
        <v/>
      </c>
      <c r="AW298" s="90" t="str">
        <f aca="false">IF(AT298="","",ROUND(AT298*(1-Справочники!$B$16),0))</f>
        <v/>
      </c>
      <c r="AX298" s="90" t="str">
        <f aca="false">IF(AT298="","",ROUND(AT298*(1-Справочники!$B$17),0))</f>
        <v/>
      </c>
      <c r="AY298" s="90" t="str">
        <f aca="false">IF(AT298="","",ROUND(AT298*(1-Справочники!$B$18),0))</f>
        <v/>
      </c>
      <c r="AZ298" s="90" t="str">
        <f aca="false">IF(AT298="","",ROUND(AT298*(1-Справочники!$B$19),0))</f>
        <v/>
      </c>
      <c r="BA298" s="81"/>
      <c r="BB298" s="81"/>
      <c r="BC298" s="81"/>
      <c r="BD298" s="81"/>
      <c r="BE298" s="91"/>
      <c r="BF298" s="81" t="s">
        <v>103</v>
      </c>
      <c r="BG298" s="89" t="n">
        <f aca="false" t="array" ref="BG298:BG298">IF(BF298="","",IFERROR(INDEX(Справочники!$B$4:$B$7,MATCH(BF298,Справочники!$A$4:$A$7,0)),""))</f>
        <v>68.5</v>
      </c>
      <c r="BH298" s="90" t="str">
        <f aca="false">IF(N(BN298)&gt;0,ROUND(SUMIF(ЗАКАЗЫ!$F$3:$F$500,$A298,ЗАКАЗЫ!$Y$3:$Y$500)/BN298,0),IF(OR(BE298="",BG298=""),"",ROUND(BE298*BG298*(1+Справочники!$B$10),0)))</f>
        <v/>
      </c>
      <c r="BI298" s="92" t="str">
        <f aca="false">IF(OR(AU298="",BH298="",AU298=0),"",(AU298-BH298)/AU298)</f>
        <v/>
      </c>
      <c r="BJ298" s="81"/>
      <c r="BK298" s="83"/>
      <c r="BL298" s="43" t="str">
        <f aca="false">IFERROR(INDEX(ЗАКАЗЫ!$N$3:$N$500,MATCH($A298,ЗАКАЗЫ!$F$3:$F$500,0)),"")</f>
        <v/>
      </c>
      <c r="BM298" s="8" t="str">
        <f aca="false">IF(BL298="","",IFERROR(VLOOKUP(BL298,'ТН ВЭД'!$A$4:$C$40,3,0),""))</f>
        <v/>
      </c>
      <c r="BN298" s="7" t="str">
        <f aca="false">IF(COUNTIF(ЗАКАЗЫ!$F$3:$F$500,$A298)=0,"",SUMIF(ЗАКАЗЫ!$F$3:$F$500,$A298,ЗАКАЗЫ!$J$3:$J$500))</f>
        <v/>
      </c>
      <c r="BO298" s="7" t="str">
        <f aca="false">IF(BN298="","",SUMIF(ЗАКАЗЫ!$F$3:$F$500,$A298,ЗАКАЗЫ!$AL$3:$AL$500))</f>
        <v/>
      </c>
      <c r="BP298" s="7" t="str">
        <f aca="false">IF(BN298="","",BN298-BO298)</f>
        <v/>
      </c>
      <c r="BQ298" s="55" t="str">
        <f aca="false">IF(BN298="","",IF(BO298&gt;=BN298,"На складе",IF(BO298&gt;0,"Частично","Ждём")))</f>
        <v/>
      </c>
      <c r="BR298" s="43"/>
      <c r="BS298" s="47" t="str">
        <f aca="false">IF(BN298="","",IF(_xlfn.MAXIFS(ЗАКАЗЫ!$AK$3:$AK$500,ЗАКАЗЫ!$F$3:$F$500,$A298)=0,"",_xlfn.MAXIFS(ЗАКАЗЫ!$AK$3:$AK$500,ЗАКАЗЫ!$F$3:$F$500,$A298)))</f>
        <v/>
      </c>
    </row>
    <row r="299" customFormat="false" ht="15.75" hidden="false" customHeight="true" outlineLevel="0" collapsed="false">
      <c r="A299" s="80" t="s">
        <v>3210</v>
      </c>
      <c r="B299" s="81"/>
      <c r="C299" s="81"/>
      <c r="D299" s="81"/>
      <c r="E299" s="83"/>
      <c r="F299" s="81"/>
      <c r="G299" s="83"/>
      <c r="H299" s="83"/>
      <c r="I299" s="84" t="str">
        <f aca="false">IF(E299="","",A299&amp;"_1.jpg")</f>
        <v/>
      </c>
      <c r="J299" s="84" t="str">
        <f aca="false">IF(E299="","",A299&amp;"_2.jpg; "&amp;A299&amp;"_3.jpg")</f>
        <v/>
      </c>
      <c r="K299" s="84" t="str">
        <f aca="false">IF(E299="","",A299&amp;"_schema.jpg")</f>
        <v/>
      </c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 t="s">
        <v>96</v>
      </c>
      <c r="W299" s="81"/>
      <c r="X299" s="81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6" t="str">
        <f aca="false">IF(SUM(Y299:AJ299)=0,"",SUM(Y299:AJ299))</f>
        <v/>
      </c>
      <c r="AL299" s="84" t="str">
        <f aca="false">MID(IF(N(Y299)&gt;0,", "&amp;Y$2,"")&amp;IF(N(Z299)&gt;0,", "&amp;Z$2,"")&amp;IF(N(AA299)&gt;0,", "&amp;AA$2,"")&amp;IF(N(AB299)&gt;0,", "&amp;AB$2,"")&amp;IF(N(AC299)&gt;0,", "&amp;AC$2,"")&amp;IF(N(AD299)&gt;0,", "&amp;AD$2,"")&amp;IF(N(AE299)&gt;0,", "&amp;AE$2,"")&amp;IF(N(AF299)&gt;0,", "&amp;AF$2,"")&amp;IF(N(AG299)&gt;0,", "&amp;AG$2,"")&amp;IF(N(AH299)&gt;0,", "&amp;AH$2,"")&amp;IF(N(AI299)&gt;0,", "&amp;AI$2,"")&amp;IF(N(AJ299)&gt;0,", "&amp;AJ$2,""),3,999)</f>
        <v/>
      </c>
      <c r="AM299" s="87" t="str">
        <f aca="false">IF(E299="","",MID(IF(N(Y299)&gt;0,", "&amp;A299&amp;"-"&amp;Y$2,"")&amp;IF(N(Z299)&gt;0,", "&amp;A299&amp;"-"&amp;Z$2,"")&amp;IF(N(AA299)&gt;0,", "&amp;A299&amp;"-"&amp;AA$2,"")&amp;IF(N(AB299)&gt;0,", "&amp;A299&amp;"-"&amp;AB$2,"")&amp;IF(N(AC299)&gt;0,", "&amp;A299&amp;"-"&amp;AC$2,"")&amp;IF(N(AD299)&gt;0,", "&amp;A299&amp;"-"&amp;AD$2,"")&amp;IF(N(AE299)&gt;0,", "&amp;A299&amp;"-"&amp;AE$2,"")&amp;IF(N(AF299)&gt;0,", "&amp;A299&amp;"-"&amp;AF$2,"")&amp;IF(N(AG299)&gt;0,", "&amp;A299&amp;"-"&amp;AG$2,"")&amp;IF(N(AH299)&gt;0,", "&amp;A299&amp;"-"&amp;AH$2,"")&amp;IF(N(AI299)&gt;0,", "&amp;A299&amp;"-"&amp;AI$2,"")&amp;IF(N(AJ299)&gt;0,", "&amp;A299&amp;"-"&amp;AJ$2,""),3,999))</f>
        <v/>
      </c>
      <c r="AN299" s="81"/>
      <c r="AO299" s="88"/>
      <c r="AP299" s="89" t="str">
        <f aca="false">IF(AO299="","",ROUND(AO299/(1+Справочники!$B$13),2))</f>
        <v/>
      </c>
      <c r="AQ299" s="90" t="str">
        <f aca="false" t="array" ref="AQ299:AQ299">IF(AP299="","",AP299*INDEX(Справочники!$B$4:$B$7,MATCH("RUB",Справочники!$A$4:$A$7,0)))</f>
        <v/>
      </c>
      <c r="AR299" s="90" t="str">
        <f aca="false">IF(AQ299="","",ROUND(AQ299*(1+Справочники!$B$12),0))</f>
        <v/>
      </c>
      <c r="AS299" s="90" t="str">
        <f aca="false">IF(AR299="","",ROUND(AR299*(1-Справочники!$B$11),0))</f>
        <v/>
      </c>
      <c r="AT299" s="88"/>
      <c r="AU299" s="90" t="str">
        <f aca="false">IF(AT299="","",ROUND(AT299/(1+Справочники!$B$12),0))</f>
        <v/>
      </c>
      <c r="AV299" s="90" t="str">
        <f aca="false">IF(AT299="","",ROUND(AT299*(1-Справочники!$B$15),0))</f>
        <v/>
      </c>
      <c r="AW299" s="90" t="str">
        <f aca="false">IF(AT299="","",ROUND(AT299*(1-Справочники!$B$16),0))</f>
        <v/>
      </c>
      <c r="AX299" s="90" t="str">
        <f aca="false">IF(AT299="","",ROUND(AT299*(1-Справочники!$B$17),0))</f>
        <v/>
      </c>
      <c r="AY299" s="90" t="str">
        <f aca="false">IF(AT299="","",ROUND(AT299*(1-Справочники!$B$18),0))</f>
        <v/>
      </c>
      <c r="AZ299" s="90" t="str">
        <f aca="false">IF(AT299="","",ROUND(AT299*(1-Справочники!$B$19),0))</f>
        <v/>
      </c>
      <c r="BA299" s="81"/>
      <c r="BB299" s="81"/>
      <c r="BC299" s="81"/>
      <c r="BD299" s="81"/>
      <c r="BE299" s="91"/>
      <c r="BF299" s="81" t="s">
        <v>103</v>
      </c>
      <c r="BG299" s="89" t="n">
        <f aca="false" t="array" ref="BG299:BG299">IF(BF299="","",IFERROR(INDEX(Справочники!$B$4:$B$7,MATCH(BF299,Справочники!$A$4:$A$7,0)),""))</f>
        <v>68.5</v>
      </c>
      <c r="BH299" s="90" t="str">
        <f aca="false">IF(N(BN299)&gt;0,ROUND(SUMIF(ЗАКАЗЫ!$F$3:$F$500,$A299,ЗАКАЗЫ!$Y$3:$Y$500)/BN299,0),IF(OR(BE299="",BG299=""),"",ROUND(BE299*BG299*(1+Справочники!$B$10),0)))</f>
        <v/>
      </c>
      <c r="BI299" s="92" t="str">
        <f aca="false">IF(OR(AU299="",BH299="",AU299=0),"",(AU299-BH299)/AU299)</f>
        <v/>
      </c>
      <c r="BJ299" s="81"/>
      <c r="BK299" s="83"/>
      <c r="BL299" s="43" t="str">
        <f aca="false">IFERROR(INDEX(ЗАКАЗЫ!$N$3:$N$500,MATCH($A299,ЗАКАЗЫ!$F$3:$F$500,0)),"")</f>
        <v/>
      </c>
      <c r="BM299" s="8" t="str">
        <f aca="false">IF(BL299="","",IFERROR(VLOOKUP(BL299,'ТН ВЭД'!$A$4:$C$40,3,0),""))</f>
        <v/>
      </c>
      <c r="BN299" s="7" t="str">
        <f aca="false">IF(COUNTIF(ЗАКАЗЫ!$F$3:$F$500,$A299)=0,"",SUMIF(ЗАКАЗЫ!$F$3:$F$500,$A299,ЗАКАЗЫ!$J$3:$J$500))</f>
        <v/>
      </c>
      <c r="BO299" s="7" t="str">
        <f aca="false">IF(BN299="","",SUMIF(ЗАКАЗЫ!$F$3:$F$500,$A299,ЗАКАЗЫ!$AL$3:$AL$500))</f>
        <v/>
      </c>
      <c r="BP299" s="7" t="str">
        <f aca="false">IF(BN299="","",BN299-BO299)</f>
        <v/>
      </c>
      <c r="BQ299" s="55" t="str">
        <f aca="false">IF(BN299="","",IF(BO299&gt;=BN299,"На складе",IF(BO299&gt;0,"Частично","Ждём")))</f>
        <v/>
      </c>
      <c r="BR299" s="43"/>
      <c r="BS299" s="47" t="str">
        <f aca="false">IF(BN299="","",IF(_xlfn.MAXIFS(ЗАКАЗЫ!$AK$3:$AK$500,ЗАКАЗЫ!$F$3:$F$500,$A299)=0,"",_xlfn.MAXIFS(ЗАКАЗЫ!$AK$3:$AK$500,ЗАКАЗЫ!$F$3:$F$500,$A299)))</f>
        <v/>
      </c>
    </row>
    <row r="300" customFormat="false" ht="15.75" hidden="false" customHeight="true" outlineLevel="0" collapsed="false">
      <c r="A300" s="80" t="s">
        <v>3211</v>
      </c>
      <c r="B300" s="81"/>
      <c r="C300" s="81"/>
      <c r="D300" s="81"/>
      <c r="E300" s="83"/>
      <c r="F300" s="81"/>
      <c r="G300" s="83"/>
      <c r="H300" s="83"/>
      <c r="I300" s="84" t="str">
        <f aca="false">IF(E300="","",A300&amp;"_1.jpg")</f>
        <v/>
      </c>
      <c r="J300" s="84" t="str">
        <f aca="false">IF(E300="","",A300&amp;"_2.jpg; "&amp;A300&amp;"_3.jpg")</f>
        <v/>
      </c>
      <c r="K300" s="84" t="str">
        <f aca="false">IF(E300="","",A300&amp;"_schema.jpg")</f>
        <v/>
      </c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 t="s">
        <v>96</v>
      </c>
      <c r="W300" s="81"/>
      <c r="X300" s="81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6" t="str">
        <f aca="false">IF(SUM(Y300:AJ300)=0,"",SUM(Y300:AJ300))</f>
        <v/>
      </c>
      <c r="AL300" s="84" t="str">
        <f aca="false">MID(IF(N(Y300)&gt;0,", "&amp;Y$2,"")&amp;IF(N(Z300)&gt;0,", "&amp;Z$2,"")&amp;IF(N(AA300)&gt;0,", "&amp;AA$2,"")&amp;IF(N(AB300)&gt;0,", "&amp;AB$2,"")&amp;IF(N(AC300)&gt;0,", "&amp;AC$2,"")&amp;IF(N(AD300)&gt;0,", "&amp;AD$2,"")&amp;IF(N(AE300)&gt;0,", "&amp;AE$2,"")&amp;IF(N(AF300)&gt;0,", "&amp;AF$2,"")&amp;IF(N(AG300)&gt;0,", "&amp;AG$2,"")&amp;IF(N(AH300)&gt;0,", "&amp;AH$2,"")&amp;IF(N(AI300)&gt;0,", "&amp;AI$2,"")&amp;IF(N(AJ300)&gt;0,", "&amp;AJ$2,""),3,999)</f>
        <v/>
      </c>
      <c r="AM300" s="87" t="str">
        <f aca="false">IF(E300="","",MID(IF(N(Y300)&gt;0,", "&amp;A300&amp;"-"&amp;Y$2,"")&amp;IF(N(Z300)&gt;0,", "&amp;A300&amp;"-"&amp;Z$2,"")&amp;IF(N(AA300)&gt;0,", "&amp;A300&amp;"-"&amp;AA$2,"")&amp;IF(N(AB300)&gt;0,", "&amp;A300&amp;"-"&amp;AB$2,"")&amp;IF(N(AC300)&gt;0,", "&amp;A300&amp;"-"&amp;AC$2,"")&amp;IF(N(AD300)&gt;0,", "&amp;A300&amp;"-"&amp;AD$2,"")&amp;IF(N(AE300)&gt;0,", "&amp;A300&amp;"-"&amp;AE$2,"")&amp;IF(N(AF300)&gt;0,", "&amp;A300&amp;"-"&amp;AF$2,"")&amp;IF(N(AG300)&gt;0,", "&amp;A300&amp;"-"&amp;AG$2,"")&amp;IF(N(AH300)&gt;0,", "&amp;A300&amp;"-"&amp;AH$2,"")&amp;IF(N(AI300)&gt;0,", "&amp;A300&amp;"-"&amp;AI$2,"")&amp;IF(N(AJ300)&gt;0,", "&amp;A300&amp;"-"&amp;AJ$2,""),3,999))</f>
        <v/>
      </c>
      <c r="AN300" s="81"/>
      <c r="AO300" s="88"/>
      <c r="AP300" s="89" t="str">
        <f aca="false">IF(AO300="","",ROUND(AO300/(1+Справочники!$B$13),2))</f>
        <v/>
      </c>
      <c r="AQ300" s="90" t="str">
        <f aca="false" t="array" ref="AQ300:AQ300">IF(AP300="","",AP300*INDEX(Справочники!$B$4:$B$7,MATCH("RUB",Справочники!$A$4:$A$7,0)))</f>
        <v/>
      </c>
      <c r="AR300" s="90" t="str">
        <f aca="false">IF(AQ300="","",ROUND(AQ300*(1+Справочники!$B$12),0))</f>
        <v/>
      </c>
      <c r="AS300" s="90" t="str">
        <f aca="false">IF(AR300="","",ROUND(AR300*(1-Справочники!$B$11),0))</f>
        <v/>
      </c>
      <c r="AT300" s="88"/>
      <c r="AU300" s="90" t="str">
        <f aca="false">IF(AT300="","",ROUND(AT300/(1+Справочники!$B$12),0))</f>
        <v/>
      </c>
      <c r="AV300" s="90" t="str">
        <f aca="false">IF(AT300="","",ROUND(AT300*(1-Справочники!$B$15),0))</f>
        <v/>
      </c>
      <c r="AW300" s="90" t="str">
        <f aca="false">IF(AT300="","",ROUND(AT300*(1-Справочники!$B$16),0))</f>
        <v/>
      </c>
      <c r="AX300" s="90" t="str">
        <f aca="false">IF(AT300="","",ROUND(AT300*(1-Справочники!$B$17),0))</f>
        <v/>
      </c>
      <c r="AY300" s="90" t="str">
        <f aca="false">IF(AT300="","",ROUND(AT300*(1-Справочники!$B$18),0))</f>
        <v/>
      </c>
      <c r="AZ300" s="90" t="str">
        <f aca="false">IF(AT300="","",ROUND(AT300*(1-Справочники!$B$19),0))</f>
        <v/>
      </c>
      <c r="BA300" s="81"/>
      <c r="BB300" s="81"/>
      <c r="BC300" s="81"/>
      <c r="BD300" s="81"/>
      <c r="BE300" s="91"/>
      <c r="BF300" s="81" t="s">
        <v>103</v>
      </c>
      <c r="BG300" s="89" t="n">
        <f aca="false" t="array" ref="BG300:BG300">IF(BF300="","",IFERROR(INDEX(Справочники!$B$4:$B$7,MATCH(BF300,Справочники!$A$4:$A$7,0)),""))</f>
        <v>68.5</v>
      </c>
      <c r="BH300" s="90" t="str">
        <f aca="false">IF(N(BN300)&gt;0,ROUND(SUMIF(ЗАКАЗЫ!$F$3:$F$500,$A300,ЗАКАЗЫ!$Y$3:$Y$500)/BN300,0),IF(OR(BE300="",BG300=""),"",ROUND(BE300*BG300*(1+Справочники!$B$10),0)))</f>
        <v/>
      </c>
      <c r="BI300" s="92" t="str">
        <f aca="false">IF(OR(AU300="",BH300="",AU300=0),"",(AU300-BH300)/AU300)</f>
        <v/>
      </c>
      <c r="BJ300" s="81"/>
      <c r="BK300" s="83"/>
      <c r="BL300" s="43" t="str">
        <f aca="false">IFERROR(INDEX(ЗАКАЗЫ!$N$3:$N$500,MATCH($A300,ЗАКАЗЫ!$F$3:$F$500,0)),"")</f>
        <v/>
      </c>
      <c r="BM300" s="8" t="str">
        <f aca="false">IF(BL300="","",IFERROR(VLOOKUP(BL300,'ТН ВЭД'!$A$4:$C$40,3,0),""))</f>
        <v/>
      </c>
      <c r="BN300" s="7" t="str">
        <f aca="false">IF(COUNTIF(ЗАКАЗЫ!$F$3:$F$500,$A300)=0,"",SUMIF(ЗАКАЗЫ!$F$3:$F$500,$A300,ЗАКАЗЫ!$J$3:$J$500))</f>
        <v/>
      </c>
      <c r="BO300" s="7" t="str">
        <f aca="false">IF(BN300="","",SUMIF(ЗАКАЗЫ!$F$3:$F$500,$A300,ЗАКАЗЫ!$AL$3:$AL$500))</f>
        <v/>
      </c>
      <c r="BP300" s="7" t="str">
        <f aca="false">IF(BN300="","",BN300-BO300)</f>
        <v/>
      </c>
      <c r="BQ300" s="55" t="str">
        <f aca="false">IF(BN300="","",IF(BO300&gt;=BN300,"На складе",IF(BO300&gt;0,"Частично","Ждём")))</f>
        <v/>
      </c>
      <c r="BR300" s="43"/>
      <c r="BS300" s="47" t="str">
        <f aca="false">IF(BN300="","",IF(_xlfn.MAXIFS(ЗАКАЗЫ!$AK$3:$AK$500,ЗАКАЗЫ!$F$3:$F$500,$A300)=0,"",_xlfn.MAXIFS(ЗАКАЗЫ!$AK$3:$AK$500,ЗАКАЗЫ!$F$3:$F$500,$A300)))</f>
        <v/>
      </c>
    </row>
    <row r="301" customFormat="false" ht="15.75" hidden="false" customHeight="true" outlineLevel="0" collapsed="false">
      <c r="A301" s="80" t="s">
        <v>3212</v>
      </c>
      <c r="B301" s="81"/>
      <c r="C301" s="81"/>
      <c r="D301" s="81"/>
      <c r="E301" s="83"/>
      <c r="F301" s="81"/>
      <c r="G301" s="83"/>
      <c r="H301" s="83"/>
      <c r="I301" s="84" t="str">
        <f aca="false">IF(E301="","",A301&amp;"_1.jpg")</f>
        <v/>
      </c>
      <c r="J301" s="84" t="str">
        <f aca="false">IF(E301="","",A301&amp;"_2.jpg; "&amp;A301&amp;"_3.jpg")</f>
        <v/>
      </c>
      <c r="K301" s="84" t="str">
        <f aca="false">IF(E301="","",A301&amp;"_schema.jpg")</f>
        <v/>
      </c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 t="s">
        <v>96</v>
      </c>
      <c r="W301" s="81"/>
      <c r="X301" s="81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6" t="str">
        <f aca="false">IF(SUM(Y301:AJ301)=0,"",SUM(Y301:AJ301))</f>
        <v/>
      </c>
      <c r="AL301" s="84" t="str">
        <f aca="false">MID(IF(N(Y301)&gt;0,", "&amp;Y$2,"")&amp;IF(N(Z301)&gt;0,", "&amp;Z$2,"")&amp;IF(N(AA301)&gt;0,", "&amp;AA$2,"")&amp;IF(N(AB301)&gt;0,", "&amp;AB$2,"")&amp;IF(N(AC301)&gt;0,", "&amp;AC$2,"")&amp;IF(N(AD301)&gt;0,", "&amp;AD$2,"")&amp;IF(N(AE301)&gt;0,", "&amp;AE$2,"")&amp;IF(N(AF301)&gt;0,", "&amp;AF$2,"")&amp;IF(N(AG301)&gt;0,", "&amp;AG$2,"")&amp;IF(N(AH301)&gt;0,", "&amp;AH$2,"")&amp;IF(N(AI301)&gt;0,", "&amp;AI$2,"")&amp;IF(N(AJ301)&gt;0,", "&amp;AJ$2,""),3,999)</f>
        <v/>
      </c>
      <c r="AM301" s="87" t="str">
        <f aca="false">IF(E301="","",MID(IF(N(Y301)&gt;0,", "&amp;A301&amp;"-"&amp;Y$2,"")&amp;IF(N(Z301)&gt;0,", "&amp;A301&amp;"-"&amp;Z$2,"")&amp;IF(N(AA301)&gt;0,", "&amp;A301&amp;"-"&amp;AA$2,"")&amp;IF(N(AB301)&gt;0,", "&amp;A301&amp;"-"&amp;AB$2,"")&amp;IF(N(AC301)&gt;0,", "&amp;A301&amp;"-"&amp;AC$2,"")&amp;IF(N(AD301)&gt;0,", "&amp;A301&amp;"-"&amp;AD$2,"")&amp;IF(N(AE301)&gt;0,", "&amp;A301&amp;"-"&amp;AE$2,"")&amp;IF(N(AF301)&gt;0,", "&amp;A301&amp;"-"&amp;AF$2,"")&amp;IF(N(AG301)&gt;0,", "&amp;A301&amp;"-"&amp;AG$2,"")&amp;IF(N(AH301)&gt;0,", "&amp;A301&amp;"-"&amp;AH$2,"")&amp;IF(N(AI301)&gt;0,", "&amp;A301&amp;"-"&amp;AI$2,"")&amp;IF(N(AJ301)&gt;0,", "&amp;A301&amp;"-"&amp;AJ$2,""),3,999))</f>
        <v/>
      </c>
      <c r="AN301" s="81"/>
      <c r="AO301" s="88"/>
      <c r="AP301" s="89" t="str">
        <f aca="false">IF(AO301="","",ROUND(AO301/(1+Справочники!$B$13),2))</f>
        <v/>
      </c>
      <c r="AQ301" s="90" t="str">
        <f aca="false" t="array" ref="AQ301:AQ301">IF(AP301="","",AP301*INDEX(Справочники!$B$4:$B$7,MATCH("RUB",Справочники!$A$4:$A$7,0)))</f>
        <v/>
      </c>
      <c r="AR301" s="90" t="str">
        <f aca="false">IF(AQ301="","",ROUND(AQ301*(1+Справочники!$B$12),0))</f>
        <v/>
      </c>
      <c r="AS301" s="90" t="str">
        <f aca="false">IF(AR301="","",ROUND(AR301*(1-Справочники!$B$11),0))</f>
        <v/>
      </c>
      <c r="AT301" s="88"/>
      <c r="AU301" s="90" t="str">
        <f aca="false">IF(AT301="","",ROUND(AT301/(1+Справочники!$B$12),0))</f>
        <v/>
      </c>
      <c r="AV301" s="90" t="str">
        <f aca="false">IF(AT301="","",ROUND(AT301*(1-Справочники!$B$15),0))</f>
        <v/>
      </c>
      <c r="AW301" s="90" t="str">
        <f aca="false">IF(AT301="","",ROUND(AT301*(1-Справочники!$B$16),0))</f>
        <v/>
      </c>
      <c r="AX301" s="90" t="str">
        <f aca="false">IF(AT301="","",ROUND(AT301*(1-Справочники!$B$17),0))</f>
        <v/>
      </c>
      <c r="AY301" s="90" t="str">
        <f aca="false">IF(AT301="","",ROUND(AT301*(1-Справочники!$B$18),0))</f>
        <v/>
      </c>
      <c r="AZ301" s="90" t="str">
        <f aca="false">IF(AT301="","",ROUND(AT301*(1-Справочники!$B$19),0))</f>
        <v/>
      </c>
      <c r="BA301" s="81"/>
      <c r="BB301" s="81"/>
      <c r="BC301" s="81"/>
      <c r="BD301" s="81"/>
      <c r="BE301" s="91"/>
      <c r="BF301" s="81" t="s">
        <v>103</v>
      </c>
      <c r="BG301" s="89" t="n">
        <f aca="false" t="array" ref="BG301:BG301">IF(BF301="","",IFERROR(INDEX(Справочники!$B$4:$B$7,MATCH(BF301,Справочники!$A$4:$A$7,0)),""))</f>
        <v>68.5</v>
      </c>
      <c r="BH301" s="90" t="str">
        <f aca="false">IF(N(BN301)&gt;0,ROUND(SUMIF(ЗАКАЗЫ!$F$3:$F$500,$A301,ЗАКАЗЫ!$Y$3:$Y$500)/BN301,0),IF(OR(BE301="",BG301=""),"",ROUND(BE301*BG301*(1+Справочники!$B$10),0)))</f>
        <v/>
      </c>
      <c r="BI301" s="92" t="str">
        <f aca="false">IF(OR(AU301="",BH301="",AU301=0),"",(AU301-BH301)/AU301)</f>
        <v/>
      </c>
      <c r="BJ301" s="81"/>
      <c r="BK301" s="83"/>
      <c r="BL301" s="43" t="str">
        <f aca="false">IFERROR(INDEX(ЗАКАЗЫ!$N$3:$N$500,MATCH($A301,ЗАКАЗЫ!$F$3:$F$500,0)),"")</f>
        <v/>
      </c>
      <c r="BM301" s="8" t="str">
        <f aca="false">IF(BL301="","",IFERROR(VLOOKUP(BL301,'ТН ВЭД'!$A$4:$C$40,3,0),""))</f>
        <v/>
      </c>
      <c r="BN301" s="7" t="str">
        <f aca="false">IF(COUNTIF(ЗАКАЗЫ!$F$3:$F$500,$A301)=0,"",SUMIF(ЗАКАЗЫ!$F$3:$F$500,$A301,ЗАКАЗЫ!$J$3:$J$500))</f>
        <v/>
      </c>
      <c r="BO301" s="7" t="str">
        <f aca="false">IF(BN301="","",SUMIF(ЗАКАЗЫ!$F$3:$F$500,$A301,ЗАКАЗЫ!$AL$3:$AL$500))</f>
        <v/>
      </c>
      <c r="BP301" s="7" t="str">
        <f aca="false">IF(BN301="","",BN301-BO301)</f>
        <v/>
      </c>
      <c r="BQ301" s="55" t="str">
        <f aca="false">IF(BN301="","",IF(BO301&gt;=BN301,"На складе",IF(BO301&gt;0,"Частично","Ждём")))</f>
        <v/>
      </c>
      <c r="BR301" s="43"/>
      <c r="BS301" s="47" t="str">
        <f aca="false">IF(BN301="","",IF(_xlfn.MAXIFS(ЗАКАЗЫ!$AK$3:$AK$500,ЗАКАЗЫ!$F$3:$F$500,$A301)=0,"",_xlfn.MAXIFS(ЗАКАЗЫ!$AK$3:$AK$500,ЗАКАЗЫ!$F$3:$F$500,$A301)))</f>
        <v/>
      </c>
    </row>
    <row r="302" customFormat="false" ht="15.75" hidden="false" customHeight="true" outlineLevel="0" collapsed="false">
      <c r="A302" s="80" t="s">
        <v>3213</v>
      </c>
      <c r="B302" s="81"/>
      <c r="C302" s="81"/>
      <c r="D302" s="81"/>
      <c r="E302" s="83"/>
      <c r="F302" s="81"/>
      <c r="G302" s="83"/>
      <c r="H302" s="83"/>
      <c r="I302" s="84" t="str">
        <f aca="false">IF(E302="","",A302&amp;"_1.jpg")</f>
        <v/>
      </c>
      <c r="J302" s="84" t="str">
        <f aca="false">IF(E302="","",A302&amp;"_2.jpg; "&amp;A302&amp;"_3.jpg")</f>
        <v/>
      </c>
      <c r="K302" s="84" t="str">
        <f aca="false">IF(E302="","",A302&amp;"_schema.jpg")</f>
        <v/>
      </c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 t="s">
        <v>96</v>
      </c>
      <c r="W302" s="81"/>
      <c r="X302" s="81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6" t="str">
        <f aca="false">IF(SUM(Y302:AJ302)=0,"",SUM(Y302:AJ302))</f>
        <v/>
      </c>
      <c r="AL302" s="84" t="str">
        <f aca="false">MID(IF(N(Y302)&gt;0,", "&amp;Y$2,"")&amp;IF(N(Z302)&gt;0,", "&amp;Z$2,"")&amp;IF(N(AA302)&gt;0,", "&amp;AA$2,"")&amp;IF(N(AB302)&gt;0,", "&amp;AB$2,"")&amp;IF(N(AC302)&gt;0,", "&amp;AC$2,"")&amp;IF(N(AD302)&gt;0,", "&amp;AD$2,"")&amp;IF(N(AE302)&gt;0,", "&amp;AE$2,"")&amp;IF(N(AF302)&gt;0,", "&amp;AF$2,"")&amp;IF(N(AG302)&gt;0,", "&amp;AG$2,"")&amp;IF(N(AH302)&gt;0,", "&amp;AH$2,"")&amp;IF(N(AI302)&gt;0,", "&amp;AI$2,"")&amp;IF(N(AJ302)&gt;0,", "&amp;AJ$2,""),3,999)</f>
        <v/>
      </c>
      <c r="AM302" s="87" t="str">
        <f aca="false">IF(E302="","",MID(IF(N(Y302)&gt;0,", "&amp;A302&amp;"-"&amp;Y$2,"")&amp;IF(N(Z302)&gt;0,", "&amp;A302&amp;"-"&amp;Z$2,"")&amp;IF(N(AA302)&gt;0,", "&amp;A302&amp;"-"&amp;AA$2,"")&amp;IF(N(AB302)&gt;0,", "&amp;A302&amp;"-"&amp;AB$2,"")&amp;IF(N(AC302)&gt;0,", "&amp;A302&amp;"-"&amp;AC$2,"")&amp;IF(N(AD302)&gt;0,", "&amp;A302&amp;"-"&amp;AD$2,"")&amp;IF(N(AE302)&gt;0,", "&amp;A302&amp;"-"&amp;AE$2,"")&amp;IF(N(AF302)&gt;0,", "&amp;A302&amp;"-"&amp;AF$2,"")&amp;IF(N(AG302)&gt;0,", "&amp;A302&amp;"-"&amp;AG$2,"")&amp;IF(N(AH302)&gt;0,", "&amp;A302&amp;"-"&amp;AH$2,"")&amp;IF(N(AI302)&gt;0,", "&amp;A302&amp;"-"&amp;AI$2,"")&amp;IF(N(AJ302)&gt;0,", "&amp;A302&amp;"-"&amp;AJ$2,""),3,999))</f>
        <v/>
      </c>
      <c r="AN302" s="81"/>
      <c r="AO302" s="88"/>
      <c r="AP302" s="89" t="str">
        <f aca="false">IF(AO302="","",ROUND(AO302/(1+Справочники!$B$13),2))</f>
        <v/>
      </c>
      <c r="AQ302" s="90" t="str">
        <f aca="false" t="array" ref="AQ302:AQ302">IF(AP302="","",AP302*INDEX(Справочники!$B$4:$B$7,MATCH("RUB",Справочники!$A$4:$A$7,0)))</f>
        <v/>
      </c>
      <c r="AR302" s="90" t="str">
        <f aca="false">IF(AQ302="","",ROUND(AQ302*(1+Справочники!$B$12),0))</f>
        <v/>
      </c>
      <c r="AS302" s="90" t="str">
        <f aca="false">IF(AR302="","",ROUND(AR302*(1-Справочники!$B$11),0))</f>
        <v/>
      </c>
      <c r="AT302" s="88"/>
      <c r="AU302" s="90" t="str">
        <f aca="false">IF(AT302="","",ROUND(AT302/(1+Справочники!$B$12),0))</f>
        <v/>
      </c>
      <c r="AV302" s="90" t="str">
        <f aca="false">IF(AT302="","",ROUND(AT302*(1-Справочники!$B$15),0))</f>
        <v/>
      </c>
      <c r="AW302" s="90" t="str">
        <f aca="false">IF(AT302="","",ROUND(AT302*(1-Справочники!$B$16),0))</f>
        <v/>
      </c>
      <c r="AX302" s="90" t="str">
        <f aca="false">IF(AT302="","",ROUND(AT302*(1-Справочники!$B$17),0))</f>
        <v/>
      </c>
      <c r="AY302" s="90" t="str">
        <f aca="false">IF(AT302="","",ROUND(AT302*(1-Справочники!$B$18),0))</f>
        <v/>
      </c>
      <c r="AZ302" s="90" t="str">
        <f aca="false">IF(AT302="","",ROUND(AT302*(1-Справочники!$B$19),0))</f>
        <v/>
      </c>
      <c r="BA302" s="81"/>
      <c r="BB302" s="81"/>
      <c r="BC302" s="81"/>
      <c r="BD302" s="81"/>
      <c r="BE302" s="91"/>
      <c r="BF302" s="81" t="s">
        <v>103</v>
      </c>
      <c r="BG302" s="89" t="n">
        <f aca="false" t="array" ref="BG302:BG302">IF(BF302="","",IFERROR(INDEX(Справочники!$B$4:$B$7,MATCH(BF302,Справочники!$A$4:$A$7,0)),""))</f>
        <v>68.5</v>
      </c>
      <c r="BH302" s="90" t="str">
        <f aca="false">IF(N(BN302)&gt;0,ROUND(SUMIF(ЗАКАЗЫ!$F$3:$F$500,$A302,ЗАКАЗЫ!$Y$3:$Y$500)/BN302,0),IF(OR(BE302="",BG302=""),"",ROUND(BE302*BG302*(1+Справочники!$B$10),0)))</f>
        <v/>
      </c>
      <c r="BI302" s="92" t="str">
        <f aca="false">IF(OR(AU302="",BH302="",AU302=0),"",(AU302-BH302)/AU302)</f>
        <v/>
      </c>
      <c r="BJ302" s="81"/>
      <c r="BK302" s="83"/>
      <c r="BL302" s="43" t="str">
        <f aca="false">IFERROR(INDEX(ЗАКАЗЫ!$N$3:$N$500,MATCH($A302,ЗАКАЗЫ!$F$3:$F$500,0)),"")</f>
        <v/>
      </c>
      <c r="BM302" s="8" t="str">
        <f aca="false">IF(BL302="","",IFERROR(VLOOKUP(BL302,'ТН ВЭД'!$A$4:$C$40,3,0),""))</f>
        <v/>
      </c>
      <c r="BN302" s="7" t="str">
        <f aca="false">IF(COUNTIF(ЗАКАЗЫ!$F$3:$F$500,$A302)=0,"",SUMIF(ЗАКАЗЫ!$F$3:$F$500,$A302,ЗАКАЗЫ!$J$3:$J$500))</f>
        <v/>
      </c>
      <c r="BO302" s="7" t="str">
        <f aca="false">IF(BN302="","",SUMIF(ЗАКАЗЫ!$F$3:$F$500,$A302,ЗАКАЗЫ!$AL$3:$AL$500))</f>
        <v/>
      </c>
      <c r="BP302" s="7" t="str">
        <f aca="false">IF(BN302="","",BN302-BO302)</f>
        <v/>
      </c>
      <c r="BQ302" s="55" t="str">
        <f aca="false">IF(BN302="","",IF(BO302&gt;=BN302,"На складе",IF(BO302&gt;0,"Частично","Ждём")))</f>
        <v/>
      </c>
      <c r="BR302" s="43"/>
      <c r="BS302" s="47" t="str">
        <f aca="false">IF(BN302="","",IF(_xlfn.MAXIFS(ЗАКАЗЫ!$AK$3:$AK$500,ЗАКАЗЫ!$F$3:$F$500,$A302)=0,"",_xlfn.MAXIFS(ЗАКАЗЫ!$AK$3:$AK$500,ЗАКАЗЫ!$F$3:$F$500,$A302)))</f>
        <v/>
      </c>
    </row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A1:H1"/>
    <mergeCell ref="I1:M1"/>
    <mergeCell ref="N1:X1"/>
    <mergeCell ref="Y1:AM1"/>
    <mergeCell ref="AN1:BA1"/>
    <mergeCell ref="BB1:BK1"/>
    <mergeCell ref="BL1:BS1"/>
  </mergeCells>
  <conditionalFormatting sqref="Y3:AJ302">
    <cfRule type="expression" priority="2" aboveAverage="0" equalAverage="0" bottom="0" percent="0" rank="0" text="" dxfId="28">
      <formula>N(Y3)&gt;0</formula>
    </cfRule>
  </conditionalFormatting>
  <conditionalFormatting sqref="A3:A302">
    <cfRule type="expression" priority="3" aboveAverage="0" equalAverage="0" bottom="0" percent="0" rank="0" text="" dxfId="29">
      <formula>$E3=""</formula>
    </cfRule>
  </conditionalFormatting>
  <conditionalFormatting sqref="A3:BK302">
    <cfRule type="expression" priority="4" aboveAverage="0" equalAverage="0" bottom="0" percent="0" rank="0" text="" dxfId="30">
      <formula>$B3="Снят"</formula>
    </cfRule>
  </conditionalFormatting>
  <conditionalFormatting sqref="D3:D302">
    <cfRule type="expression" priority="5" aboveAverage="0" equalAverage="0" bottom="0" percent="0" rank="0" text="" dxfId="31">
      <formula>AND($D3="Да",COUNTIF($D$3:$D$302,"Да")&gt;5)</formula>
    </cfRule>
  </conditionalFormatting>
  <conditionalFormatting sqref="BI3:BI302">
    <cfRule type="expression" priority="6" aboveAverage="0" equalAverage="0" bottom="0" percent="0" rank="0" text="" dxfId="31">
      <formula>AND(ISNUMBER($BI3),$BI3&lt;0.2)</formula>
    </cfRule>
  </conditionalFormatting>
  <conditionalFormatting sqref="BQ3:BQ302">
    <cfRule type="expression" priority="7" aboveAverage="0" equalAverage="0" bottom="0" percent="0" rank="0" text="" dxfId="8">
      <formula>BQ3="На складе"</formula>
    </cfRule>
    <cfRule type="expression" priority="8" aboveAverage="0" equalAverage="0" bottom="0" percent="0" rank="0" text="" dxfId="9">
      <formula>BQ3="Частично"</formula>
    </cfRule>
  </conditionalFormatting>
  <conditionalFormatting sqref="AK3:AK302">
    <cfRule type="expression" priority="9" aboveAverage="0" equalAverage="0" bottom="0" percent="0" rank="0" text="" dxfId="32">
      <formula>AND(N($BN3)&gt;0,N($AK3)&lt;&gt;N($BN3))</formula>
    </cfRule>
  </conditionalFormatting>
  <dataValidations count="7">
    <dataValidation allowBlank="true" errorStyle="stop" operator="greaterThanOrEqual" prompt="Только целое число штук" showDropDown="false" showErrorMessage="true" showInputMessage="true" sqref="Y3:AJ302" type="decimal">
      <formula1>0</formula1>
      <formula2>0</formula2>
    </dataValidation>
    <dataValidation allowBlank="true" errorStyle="stop" operator="between" showDropDown="false" showErrorMessage="true" showInputMessage="false" sqref="D3:D302 L3:M302" type="list">
      <formula1>Справочники!$F$4:$F$40</formula1>
      <formula2>0</formula2>
    </dataValidation>
    <dataValidation allowBlank="true" errorStyle="stop" operator="between" showDropDown="false" showErrorMessage="true" showInputMessage="false" sqref="B3:B302" type="list">
      <formula1>Справочники!$E$4:$E$40</formula1>
      <formula2>0</formula2>
    </dataValidation>
    <dataValidation allowBlank="true" errorStyle="stop" operator="between" showDropDown="false" showErrorMessage="false" showInputMessage="false" sqref="BB3:BB302" type="list">
      <formula1>Поставщики!$A$2:$A$101</formula1>
      <formula2>0</formula2>
    </dataValidation>
    <dataValidation allowBlank="true" errorStyle="stop" operator="between" showDropDown="false" showErrorMessage="false" showInputMessage="false" sqref="V3:V302" type="list">
      <formula1>Справочники!$G$4:$G$40</formula1>
      <formula2>0</formula2>
    </dataValidation>
    <dataValidation allowBlank="true" errorStyle="stop" operator="between" showDropDown="false" showErrorMessage="false" showInputMessage="false" sqref="N3:N302" type="list">
      <formula1>Справочники!$H$4:$H$40</formula1>
      <formula2>0</formula2>
    </dataValidation>
    <dataValidation allowBlank="true" errorStyle="stop" operator="between" showDropDown="false" showErrorMessage="true" showInputMessage="false" sqref="BF3:BF302" type="list">
      <formula1>"KZT,CNY,USD,RUB"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C41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4" t="s">
        <v>3214</v>
      </c>
    </row>
    <row r="2" customFormat="false" ht="30" hidden="false" customHeight="true" outlineLevel="0" collapsed="false">
      <c r="A2" s="94" t="s">
        <v>3215</v>
      </c>
      <c r="B2" s="94"/>
      <c r="C2" s="94"/>
      <c r="D2" s="94"/>
      <c r="E2" s="94"/>
      <c r="F2" s="94"/>
    </row>
    <row r="3" customFormat="false" ht="23.85" hidden="false" customHeight="false" outlineLevel="0" collapsed="false">
      <c r="A3" s="3" t="s">
        <v>192</v>
      </c>
      <c r="B3" s="3" t="s">
        <v>3216</v>
      </c>
      <c r="C3" s="3" t="s">
        <v>193</v>
      </c>
      <c r="D3" s="3" t="s">
        <v>3217</v>
      </c>
      <c r="E3" s="3" t="s">
        <v>3218</v>
      </c>
      <c r="F3" s="3" t="s">
        <v>3219</v>
      </c>
    </row>
    <row r="4" customFormat="false" ht="45" hidden="false" customHeight="true" outlineLevel="0" collapsed="false">
      <c r="A4" s="40" t="s">
        <v>262</v>
      </c>
      <c r="B4" s="41" t="s">
        <v>3220</v>
      </c>
      <c r="C4" s="46" t="n">
        <v>0.1</v>
      </c>
      <c r="D4" s="20" t="n">
        <f aca="false">Справочники!$B$12</f>
        <v>0.16</v>
      </c>
      <c r="E4" s="41" t="s">
        <v>3221</v>
      </c>
      <c r="F4" s="41" t="s">
        <v>3222</v>
      </c>
    </row>
    <row r="5" customFormat="false" ht="45" hidden="false" customHeight="true" outlineLevel="0" collapsed="false">
      <c r="A5" s="40" t="s">
        <v>226</v>
      </c>
      <c r="B5" s="41" t="s">
        <v>3223</v>
      </c>
      <c r="C5" s="46" t="n">
        <v>0.09</v>
      </c>
      <c r="D5" s="20" t="n">
        <f aca="false">Справочники!$B$12</f>
        <v>0.16</v>
      </c>
      <c r="E5" s="41" t="s">
        <v>3224</v>
      </c>
      <c r="F5" s="41" t="s">
        <v>3225</v>
      </c>
    </row>
    <row r="6" customFormat="false" ht="45" hidden="false" customHeight="true" outlineLevel="0" collapsed="false">
      <c r="A6" s="40" t="s">
        <v>223</v>
      </c>
      <c r="B6" s="41" t="s">
        <v>3226</v>
      </c>
      <c r="C6" s="46" t="n">
        <v>0.075</v>
      </c>
      <c r="D6" s="20" t="n">
        <f aca="false">Справочники!$B$12</f>
        <v>0.16</v>
      </c>
      <c r="E6" s="41" t="s">
        <v>3227</v>
      </c>
      <c r="F6" s="41" t="s">
        <v>3228</v>
      </c>
    </row>
    <row r="7" customFormat="false" ht="45" hidden="false" customHeight="true" outlineLevel="0" collapsed="false">
      <c r="A7" s="40" t="s">
        <v>319</v>
      </c>
      <c r="B7" s="41" t="s">
        <v>3229</v>
      </c>
      <c r="C7" s="46" t="n">
        <v>0.08</v>
      </c>
      <c r="D7" s="20" t="n">
        <f aca="false">Справочники!$B$12</f>
        <v>0.16</v>
      </c>
      <c r="E7" s="41" t="s">
        <v>3230</v>
      </c>
      <c r="F7" s="41" t="s">
        <v>3231</v>
      </c>
    </row>
    <row r="8" customFormat="false" ht="45" hidden="false" customHeight="true" outlineLevel="0" collapsed="false">
      <c r="A8" s="40" t="s">
        <v>324</v>
      </c>
      <c r="B8" s="41" t="s">
        <v>3232</v>
      </c>
      <c r="C8" s="46" t="n">
        <v>0.08</v>
      </c>
      <c r="D8" s="20" t="n">
        <f aca="false">Справочники!$B$12</f>
        <v>0.16</v>
      </c>
      <c r="E8" s="41" t="s">
        <v>3233</v>
      </c>
      <c r="F8" s="41" t="s">
        <v>3234</v>
      </c>
    </row>
    <row r="9" customFormat="false" ht="45" hidden="false" customHeight="true" outlineLevel="0" collapsed="false">
      <c r="A9" s="40" t="s">
        <v>241</v>
      </c>
      <c r="B9" s="41" t="s">
        <v>3235</v>
      </c>
      <c r="C9" s="46" t="n">
        <v>0.065</v>
      </c>
      <c r="D9" s="20" t="n">
        <f aca="false">Справочники!$B$12</f>
        <v>0.16</v>
      </c>
      <c r="E9" s="41" t="s">
        <v>3236</v>
      </c>
      <c r="F9" s="41" t="s">
        <v>3237</v>
      </c>
    </row>
    <row r="10" customFormat="false" ht="45" hidden="false" customHeight="true" outlineLevel="0" collapsed="false">
      <c r="A10" s="40" t="s">
        <v>218</v>
      </c>
      <c r="B10" s="41" t="s">
        <v>3238</v>
      </c>
      <c r="C10" s="46" t="n">
        <v>0.05</v>
      </c>
      <c r="D10" s="20" t="n">
        <f aca="false">Справочники!$B$12</f>
        <v>0.16</v>
      </c>
      <c r="E10" s="41" t="s">
        <v>3239</v>
      </c>
      <c r="F10" s="41" t="s">
        <v>3240</v>
      </c>
    </row>
    <row r="11" customFormat="false" ht="45" hidden="false" customHeight="true" outlineLevel="0" collapsed="false">
      <c r="A11" s="40" t="s">
        <v>369</v>
      </c>
      <c r="B11" s="41" t="s">
        <v>3241</v>
      </c>
      <c r="C11" s="46" t="n">
        <v>0.05</v>
      </c>
      <c r="D11" s="20" t="n">
        <f aca="false">Справочники!$B$12</f>
        <v>0.16</v>
      </c>
      <c r="E11" s="41" t="s">
        <v>3242</v>
      </c>
      <c r="F11" s="41" t="s">
        <v>3243</v>
      </c>
    </row>
    <row r="13" customFormat="false" ht="15" hidden="false" customHeight="false" outlineLevel="0" collapsed="false">
      <c r="A13" s="22" t="s">
        <v>3244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8" min="7" style="0" width="30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36"/>
    <col collapsed="false" customWidth="true" hidden="false" outlineLevel="0" max="26" min="14" style="0" width="8.63"/>
  </cols>
  <sheetData>
    <row r="1" customFormat="false" ht="31.5" hidden="false" customHeight="true" outlineLevel="0" collapsed="false">
      <c r="A1" s="27" t="s">
        <v>3245</v>
      </c>
      <c r="B1" s="27" t="s">
        <v>3246</v>
      </c>
      <c r="C1" s="27" t="s">
        <v>3247</v>
      </c>
      <c r="D1" s="27" t="s">
        <v>3248</v>
      </c>
      <c r="E1" s="27" t="s">
        <v>3249</v>
      </c>
      <c r="F1" s="27" t="s">
        <v>3250</v>
      </c>
      <c r="G1" s="27" t="s">
        <v>3251</v>
      </c>
      <c r="H1" s="27" t="s">
        <v>3252</v>
      </c>
      <c r="I1" s="27" t="s">
        <v>3253</v>
      </c>
      <c r="J1" s="27" t="s">
        <v>121</v>
      </c>
      <c r="K1" s="27" t="s">
        <v>3254</v>
      </c>
      <c r="L1" s="27" t="s">
        <v>3255</v>
      </c>
      <c r="M1" s="27" t="s">
        <v>145</v>
      </c>
    </row>
    <row r="2" customFormat="false" ht="15" hidden="false" customHeight="false" outlineLevel="0" collapsed="false">
      <c r="A2" s="95" t="s">
        <v>147</v>
      </c>
      <c r="B2" s="95"/>
      <c r="C2" s="95" t="s">
        <v>3256</v>
      </c>
      <c r="D2" s="95"/>
      <c r="E2" s="95"/>
      <c r="F2" s="95"/>
      <c r="G2" s="95"/>
      <c r="H2" s="95" t="s">
        <v>3257</v>
      </c>
      <c r="I2" s="95"/>
      <c r="J2" s="95" t="s">
        <v>3258</v>
      </c>
      <c r="K2" s="95"/>
      <c r="L2" s="95"/>
      <c r="M2" s="95" t="s">
        <v>3259</v>
      </c>
    </row>
    <row r="3" customFormat="false" ht="15" hidden="false" customHeight="false" outlineLevel="0" collapsed="false">
      <c r="A3" s="95" t="s">
        <v>100</v>
      </c>
      <c r="B3" s="95"/>
      <c r="C3" s="95" t="s">
        <v>3256</v>
      </c>
      <c r="D3" s="95"/>
      <c r="E3" s="95"/>
      <c r="F3" s="95"/>
      <c r="G3" s="95"/>
      <c r="H3" s="95" t="s">
        <v>3260</v>
      </c>
      <c r="I3" s="95"/>
      <c r="J3" s="95"/>
      <c r="K3" s="95"/>
      <c r="L3" s="95"/>
      <c r="M3" s="95"/>
    </row>
    <row r="4" customFormat="false" ht="15" hidden="false" customHeight="false" outlineLevel="0" collapsed="false">
      <c r="A4" s="95" t="s">
        <v>3261</v>
      </c>
      <c r="B4" s="95"/>
      <c r="C4" s="95" t="s">
        <v>3256</v>
      </c>
      <c r="D4" s="95"/>
      <c r="E4" s="95"/>
      <c r="F4" s="95"/>
      <c r="G4" s="95"/>
      <c r="H4" s="95"/>
      <c r="I4" s="95"/>
      <c r="J4" s="95"/>
      <c r="K4" s="95"/>
      <c r="L4" s="95"/>
      <c r="M4" s="95"/>
    </row>
    <row r="5" customFormat="false" ht="15" hidden="false" customHeight="false" outlineLevel="0" collapsed="false">
      <c r="A5" s="95" t="s">
        <v>166</v>
      </c>
      <c r="B5" s="95" t="s">
        <v>3262</v>
      </c>
      <c r="C5" s="95" t="s">
        <v>3263</v>
      </c>
      <c r="D5" s="95"/>
      <c r="E5" s="95"/>
      <c r="F5" s="95"/>
      <c r="G5" s="95"/>
      <c r="H5" s="95" t="s">
        <v>3264</v>
      </c>
      <c r="I5" s="95"/>
      <c r="J5" s="95" t="s">
        <v>3265</v>
      </c>
      <c r="K5" s="95"/>
      <c r="L5" s="95"/>
      <c r="M5" s="95" t="s">
        <v>3266</v>
      </c>
    </row>
    <row r="6" customFormat="false" ht="15" hidden="false" customHeight="false" outlineLevel="0" collapsed="false">
      <c r="A6" s="95"/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</row>
    <row r="7" customFormat="false" ht="15" hidden="false" customHeight="false" outlineLevel="0" collapsed="false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</row>
    <row r="8" customFormat="false" ht="15" hidden="false" customHeight="false" outlineLevel="0" collapsed="false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</row>
    <row r="9" customFormat="false" ht="15" hidden="false" customHeight="false" outlineLevel="0" collapsed="false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</row>
    <row r="10" customFormat="false" ht="15" hidden="false" customHeight="false" outlineLevel="0" collapsed="false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</row>
    <row r="11" customFormat="false" ht="15" hidden="false" customHeight="false" outlineLevel="0" collapsed="false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</row>
    <row r="12" customFormat="false" ht="15" hidden="false" customHeight="false" outlineLevel="0" collapsed="false">
      <c r="A12" s="95"/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</row>
    <row r="13" customFormat="false" ht="15" hidden="false" customHeight="false" outlineLevel="0" collapsed="false">
      <c r="A13" s="95"/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</row>
    <row r="14" customFormat="false" ht="15" hidden="false" customHeight="false" outlineLevel="0" collapsed="false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</row>
    <row r="15" customFormat="false" ht="15" hidden="false" customHeight="false" outlineLevel="0" collapsed="false">
      <c r="A15" s="95"/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</row>
    <row r="16" customFormat="false" ht="15" hidden="false" customHeight="false" outlineLevel="0" collapsed="false">
      <c r="A16" s="95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</row>
    <row r="17" customFormat="false" ht="15" hidden="false" customHeight="false" outlineLevel="0" collapsed="false">
      <c r="A17" s="95"/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</row>
    <row r="18" customFormat="false" ht="15" hidden="false" customHeight="false" outlineLevel="0" collapsed="false">
      <c r="A18" s="95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</row>
    <row r="19" customFormat="false" ht="15" hidden="false" customHeight="false" outlineLevel="0" collapsed="false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</row>
    <row r="20" customFormat="false" ht="15" hidden="false" customHeight="false" outlineLevel="0" collapsed="false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</row>
    <row r="21" customFormat="false" ht="15.75" hidden="false" customHeight="true" outlineLevel="0" collapsed="false">
      <c r="A21" s="9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</row>
    <row r="22" customFormat="false" ht="15.75" hidden="false" customHeight="true" outlineLevel="0" collapsed="false">
      <c r="A22" s="95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</row>
    <row r="23" customFormat="false" ht="15.75" hidden="false" customHeight="true" outlineLevel="0" collapsed="false">
      <c r="A23" s="95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</row>
    <row r="24" customFormat="false" ht="15.75" hidden="false" customHeight="true" outlineLevel="0" collapsed="false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</row>
    <row r="25" customFormat="false" ht="15.75" hidden="false" customHeight="true" outlineLevel="0" collapsed="false">
      <c r="A25" s="95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</row>
    <row r="26" customFormat="false" ht="15.75" hidden="false" customHeight="true" outlineLevel="0" collapsed="false">
      <c r="A26" s="95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</row>
    <row r="27" customFormat="false" ht="15.75" hidden="false" customHeight="true" outlineLevel="0" collapsed="false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</row>
    <row r="28" customFormat="false" ht="15.75" hidden="false" customHeight="true" outlineLevel="0" collapsed="false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</row>
    <row r="29" customFormat="false" ht="15.75" hidden="false" customHeight="true" outlineLevel="0" collapsed="false">
      <c r="A29" s="95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</row>
    <row r="30" customFormat="false" ht="15.75" hidden="false" customHeight="true" outlineLevel="0" collapsed="false">
      <c r="A30" s="95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</row>
    <row r="31" customFormat="false" ht="15.75" hidden="false" customHeight="true" outlineLevel="0" collapsed="false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</row>
    <row r="32" customFormat="false" ht="15.75" hidden="false" customHeight="true" outlineLevel="0" collapsed="false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</row>
    <row r="33" customFormat="false" ht="15.75" hidden="false" customHeight="true" outlineLevel="0" collapsed="false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</row>
    <row r="34" customFormat="false" ht="15.75" hidden="false" customHeight="true" outlineLevel="0" collapsed="false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</row>
    <row r="35" customFormat="false" ht="15.75" hidden="false" customHeight="true" outlineLevel="0" collapsed="false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</row>
    <row r="36" customFormat="false" ht="15.75" hidden="false" customHeight="true" outlineLevel="0" collapsed="false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</row>
    <row r="37" customFormat="false" ht="15.75" hidden="false" customHeight="true" outlineLevel="0" collapsed="false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</row>
    <row r="38" customFormat="false" ht="15.75" hidden="false" customHeight="true" outlineLevel="0" collapsed="false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</row>
    <row r="39" customFormat="false" ht="15.75" hidden="false" customHeight="true" outlineLevel="0" collapsed="false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</row>
    <row r="40" customFormat="false" ht="15.75" hidden="false" customHeight="true" outlineLevel="0" collapsed="false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</row>
    <row r="41" customFormat="false" ht="15.75" hidden="false" customHeight="true" outlineLevel="0" collapsed="false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</row>
    <row r="42" customFormat="false" ht="15.75" hidden="false" customHeight="true" outlineLevel="0" collapsed="false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</row>
    <row r="43" customFormat="false" ht="15.75" hidden="false" customHeight="true" outlineLevel="0" collapsed="false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</row>
    <row r="44" customFormat="false" ht="15.75" hidden="false" customHeight="true" outlineLevel="0" collapsed="false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</row>
    <row r="45" customFormat="false" ht="15.75" hidden="false" customHeight="true" outlineLevel="0" collapsed="false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</row>
    <row r="46" customFormat="false" ht="15.75" hidden="false" customHeight="true" outlineLevel="0" collapsed="false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</row>
    <row r="47" customFormat="false" ht="15.75" hidden="false" customHeight="true" outlineLevel="0" collapsed="false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</row>
    <row r="48" customFormat="false" ht="15.75" hidden="false" customHeight="true" outlineLevel="0" collapsed="false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</row>
    <row r="49" customFormat="false" ht="15.75" hidden="false" customHeight="true" outlineLevel="0" collapsed="false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</row>
    <row r="50" customFormat="false" ht="15.75" hidden="false" customHeight="true" outlineLevel="0" collapsed="false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</row>
    <row r="51" customFormat="false" ht="15.75" hidden="false" customHeight="true" outlineLevel="0" collapsed="false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</row>
    <row r="52" customFormat="false" ht="15.75" hidden="false" customHeight="true" outlineLevel="0" collapsed="false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</row>
    <row r="53" customFormat="false" ht="15.75" hidden="false" customHeight="true" outlineLevel="0" collapsed="false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</row>
    <row r="54" customFormat="false" ht="15.75" hidden="false" customHeight="true" outlineLevel="0" collapsed="false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</row>
    <row r="55" customFormat="false" ht="15.75" hidden="false" customHeight="true" outlineLevel="0" collapsed="false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</row>
    <row r="56" customFormat="false" ht="15.75" hidden="false" customHeight="true" outlineLevel="0" collapsed="false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</row>
    <row r="57" customFormat="false" ht="15.75" hidden="false" customHeight="true" outlineLevel="0" collapsed="false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</row>
    <row r="58" customFormat="false" ht="15.75" hidden="false" customHeight="true" outlineLevel="0" collapsed="false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</row>
    <row r="59" customFormat="false" ht="15.75" hidden="false" customHeight="true" outlineLevel="0" collapsed="false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</row>
    <row r="60" customFormat="false" ht="15.75" hidden="false" customHeight="true" outlineLevel="0" collapsed="false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</row>
    <row r="61" customFormat="false" ht="15.75" hidden="false" customHeight="true" outlineLevel="0" collapsed="false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</row>
    <row r="62" customFormat="false" ht="15.75" hidden="false" customHeight="true" outlineLevel="0" collapsed="false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</row>
    <row r="63" customFormat="false" ht="15.75" hidden="false" customHeight="true" outlineLevel="0" collapsed="false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</row>
    <row r="64" customFormat="false" ht="15.75" hidden="false" customHeight="true" outlineLevel="0" collapsed="false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</row>
    <row r="65" customFormat="false" ht="15.75" hidden="false" customHeight="true" outlineLevel="0" collapsed="false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</row>
    <row r="66" customFormat="false" ht="15.75" hidden="false" customHeight="true" outlineLevel="0" collapsed="false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</row>
    <row r="67" customFormat="false" ht="15.75" hidden="false" customHeight="true" outlineLevel="0" collapsed="false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</row>
    <row r="68" customFormat="false" ht="15.75" hidden="false" customHeight="true" outlineLevel="0" collapsed="false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</row>
    <row r="69" customFormat="false" ht="15.75" hidden="false" customHeight="true" outlineLevel="0" collapsed="false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</row>
    <row r="70" customFormat="false" ht="15.75" hidden="false" customHeight="true" outlineLevel="0" collapsed="false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</row>
    <row r="71" customFormat="false" ht="15.75" hidden="false" customHeight="true" outlineLevel="0" collapsed="false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</row>
    <row r="72" customFormat="false" ht="15.75" hidden="false" customHeight="true" outlineLevel="0" collapsed="false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</row>
    <row r="73" customFormat="false" ht="15.75" hidden="false" customHeight="true" outlineLevel="0" collapsed="false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</row>
    <row r="74" customFormat="false" ht="15.75" hidden="false" customHeight="true" outlineLevel="0" collapsed="false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</row>
    <row r="75" customFormat="false" ht="15.75" hidden="false" customHeight="true" outlineLevel="0" collapsed="false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</row>
    <row r="76" customFormat="false" ht="15.75" hidden="false" customHeight="true" outlineLevel="0" collapsed="false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</row>
    <row r="77" customFormat="false" ht="15.75" hidden="false" customHeight="true" outlineLevel="0" collapsed="false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</row>
    <row r="78" customFormat="false" ht="15.75" hidden="false" customHeight="true" outlineLevel="0" collapsed="false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</row>
    <row r="79" customFormat="false" ht="15.75" hidden="false" customHeight="true" outlineLevel="0" collapsed="false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</row>
    <row r="80" customFormat="false" ht="15.75" hidden="false" customHeight="true" outlineLevel="0" collapsed="false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</row>
    <row r="81" customFormat="false" ht="15.75" hidden="false" customHeight="true" outlineLevel="0" collapsed="false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</row>
    <row r="82" customFormat="false" ht="15.75" hidden="false" customHeight="true" outlineLevel="0" collapsed="false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</row>
    <row r="83" customFormat="false" ht="15.75" hidden="false" customHeight="true" outlineLevel="0" collapsed="false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</row>
    <row r="84" customFormat="false" ht="15.75" hidden="false" customHeight="true" outlineLevel="0" collapsed="false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</row>
    <row r="85" customFormat="false" ht="15.75" hidden="false" customHeight="true" outlineLevel="0" collapsed="false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</row>
    <row r="86" customFormat="false" ht="15.75" hidden="false" customHeight="true" outlineLevel="0" collapsed="false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</row>
    <row r="87" customFormat="false" ht="15.75" hidden="false" customHeight="true" outlineLevel="0" collapsed="false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</row>
    <row r="88" customFormat="false" ht="15.75" hidden="false" customHeight="true" outlineLevel="0" collapsed="false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</row>
    <row r="89" customFormat="false" ht="15.75" hidden="false" customHeight="true" outlineLevel="0" collapsed="false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</row>
    <row r="90" customFormat="false" ht="15.75" hidden="false" customHeight="true" outlineLevel="0" collapsed="false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</row>
    <row r="91" customFormat="false" ht="15.75" hidden="false" customHeight="true" outlineLevel="0" collapsed="false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</row>
    <row r="92" customFormat="false" ht="15.75" hidden="false" customHeight="true" outlineLevel="0" collapsed="false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</row>
    <row r="93" customFormat="false" ht="15.75" hidden="false" customHeight="true" outlineLevel="0" collapsed="false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</row>
    <row r="94" customFormat="false" ht="15.75" hidden="false" customHeight="true" outlineLevel="0" collapsed="false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</row>
    <row r="95" customFormat="false" ht="15.75" hidden="false" customHeight="true" outlineLevel="0" collapsed="false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</row>
    <row r="96" customFormat="false" ht="15.75" hidden="false" customHeight="true" outlineLevel="0" collapsed="false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</row>
    <row r="97" customFormat="false" ht="15.75" hidden="false" customHeight="true" outlineLevel="0" collapsed="false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</row>
    <row r="98" customFormat="false" ht="15.75" hidden="false" customHeight="true" outlineLevel="0" collapsed="false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</row>
    <row r="99" customFormat="false" ht="15.75" hidden="false" customHeight="true" outlineLevel="0" collapsed="false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</row>
    <row r="100" customFormat="false" ht="15.75" hidden="false" customHeight="true" outlineLevel="0" collapsed="false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</row>
    <row r="101" customFormat="false" ht="15.75" hidden="false" customHeight="true" outlineLevel="0" collapsed="false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</row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M101"/>
  <dataValidations count="1">
    <dataValidation allowBlank="true" errorStyle="stop" operator="between" showDropDown="false" showErrorMessage="false" showInputMessage="false" sqref="L2:L101" type="decimal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3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8.63"/>
    <col collapsed="false" customWidth="true" hidden="false" outlineLevel="0" max="12" min="11" style="0" width="14"/>
    <col collapsed="false" customWidth="true" hidden="false" outlineLevel="0" max="13" min="13" style="0" width="9"/>
    <col collapsed="false" customWidth="true" hidden="false" outlineLevel="0" max="26" min="14" style="0" width="8.63"/>
  </cols>
  <sheetData>
    <row r="1" customFormat="false" ht="15" hidden="false" customHeight="false" outlineLevel="0" collapsed="false">
      <c r="A1" s="96" t="s">
        <v>3267</v>
      </c>
    </row>
    <row r="2" customFormat="false" ht="30" hidden="false" customHeight="true" outlineLevel="0" collapsed="false">
      <c r="K2" s="97" t="s">
        <v>3268</v>
      </c>
      <c r="L2" s="97"/>
      <c r="M2" s="97"/>
    </row>
    <row r="3" customFormat="false" ht="35.05" hidden="false" customHeight="false" outlineLevel="0" collapsed="false">
      <c r="A3" s="27" t="s">
        <v>102</v>
      </c>
      <c r="B3" s="27" t="s">
        <v>455</v>
      </c>
      <c r="E3" s="97" t="s">
        <v>46</v>
      </c>
      <c r="F3" s="97" t="s">
        <v>3269</v>
      </c>
      <c r="G3" s="97" t="s">
        <v>95</v>
      </c>
      <c r="H3" s="97" t="s">
        <v>84</v>
      </c>
      <c r="K3" s="27" t="s">
        <v>3270</v>
      </c>
      <c r="L3" s="27" t="s">
        <v>78</v>
      </c>
      <c r="M3" s="27" t="s">
        <v>3271</v>
      </c>
      <c r="O3" s="3" t="s">
        <v>210</v>
      </c>
      <c r="P3" s="3" t="s">
        <v>3269</v>
      </c>
    </row>
    <row r="4" customFormat="false" ht="15" hidden="false" customHeight="false" outlineLevel="0" collapsed="false">
      <c r="A4" s="98" t="s">
        <v>3272</v>
      </c>
      <c r="B4" s="99" t="n">
        <v>1</v>
      </c>
      <c r="C4" s="30" t="s">
        <v>3273</v>
      </c>
      <c r="E4" s="24" t="s">
        <v>841</v>
      </c>
      <c r="F4" s="24" t="s">
        <v>77</v>
      </c>
      <c r="G4" s="24" t="s">
        <v>96</v>
      </c>
      <c r="H4" s="24" t="s">
        <v>465</v>
      </c>
      <c r="K4" s="100" t="s">
        <v>265</v>
      </c>
      <c r="L4" s="95" t="s">
        <v>3274</v>
      </c>
      <c r="M4" s="101"/>
      <c r="O4" s="40" t="s">
        <v>151</v>
      </c>
      <c r="P4" s="40" t="s">
        <v>77</v>
      </c>
    </row>
    <row r="5" customFormat="false" ht="15" hidden="false" customHeight="false" outlineLevel="0" collapsed="false">
      <c r="A5" s="98" t="s">
        <v>103</v>
      </c>
      <c r="B5" s="99" t="n">
        <v>68.5</v>
      </c>
      <c r="E5" s="24" t="s">
        <v>75</v>
      </c>
      <c r="F5" s="24" t="s">
        <v>150</v>
      </c>
      <c r="G5" s="24" t="s">
        <v>261</v>
      </c>
      <c r="H5" s="24" t="s">
        <v>1157</v>
      </c>
      <c r="K5" s="100" t="s">
        <v>252</v>
      </c>
      <c r="L5" s="95" t="s">
        <v>3275</v>
      </c>
      <c r="M5" s="102"/>
      <c r="O5" s="40" t="s">
        <v>3276</v>
      </c>
      <c r="P5" s="40" t="s">
        <v>150</v>
      </c>
    </row>
    <row r="6" customFormat="false" ht="15" hidden="false" customHeight="false" outlineLevel="0" collapsed="false">
      <c r="A6" s="98" t="s">
        <v>3277</v>
      </c>
      <c r="B6" s="99" t="n">
        <v>460</v>
      </c>
      <c r="E6" s="24" t="s">
        <v>6</v>
      </c>
      <c r="G6" s="24" t="s">
        <v>391</v>
      </c>
      <c r="H6" s="24" t="s">
        <v>1511</v>
      </c>
      <c r="K6" s="100" t="s">
        <v>251</v>
      </c>
      <c r="L6" s="95" t="s">
        <v>3278</v>
      </c>
      <c r="M6" s="103"/>
      <c r="O6" s="40" t="s">
        <v>3279</v>
      </c>
    </row>
    <row r="7" customFormat="false" ht="15" hidden="false" customHeight="false" outlineLevel="0" collapsed="false">
      <c r="A7" s="98" t="s">
        <v>3280</v>
      </c>
      <c r="B7" s="99" t="n">
        <v>5.3</v>
      </c>
      <c r="E7" s="24" t="s">
        <v>3281</v>
      </c>
      <c r="G7" s="24" t="s">
        <v>3282</v>
      </c>
      <c r="H7" s="24" t="s">
        <v>3283</v>
      </c>
      <c r="K7" s="100" t="s">
        <v>253</v>
      </c>
      <c r="L7" s="95" t="s">
        <v>3284</v>
      </c>
      <c r="M7" s="104"/>
      <c r="O7" s="40" t="s">
        <v>3285</v>
      </c>
    </row>
    <row r="8" customFormat="false" ht="15" hidden="false" customHeight="false" outlineLevel="0" collapsed="false">
      <c r="G8" s="24" t="s">
        <v>3286</v>
      </c>
      <c r="H8" s="24" t="s">
        <v>2918</v>
      </c>
      <c r="K8" s="100" t="s">
        <v>260</v>
      </c>
      <c r="L8" s="95" t="s">
        <v>3287</v>
      </c>
      <c r="M8" s="105"/>
      <c r="O8" s="40" t="s">
        <v>3288</v>
      </c>
    </row>
    <row r="9" customFormat="false" ht="15" hidden="false" customHeight="false" outlineLevel="0" collapsed="false">
      <c r="A9" s="27" t="s">
        <v>3289</v>
      </c>
      <c r="B9" s="27" t="s">
        <v>3290</v>
      </c>
      <c r="H9" s="24" t="s">
        <v>1141</v>
      </c>
      <c r="K9" s="100" t="s">
        <v>254</v>
      </c>
      <c r="L9" s="95" t="s">
        <v>3291</v>
      </c>
      <c r="M9" s="106"/>
      <c r="O9" s="40" t="s">
        <v>3292</v>
      </c>
    </row>
    <row r="10" customFormat="false" ht="15" hidden="false" customHeight="false" outlineLevel="0" collapsed="false">
      <c r="A10" s="98" t="s">
        <v>3293</v>
      </c>
      <c r="B10" s="107" t="n">
        <v>0.4</v>
      </c>
      <c r="H10" s="24" t="s">
        <v>1181</v>
      </c>
      <c r="K10" s="100" t="s">
        <v>255</v>
      </c>
      <c r="L10" s="95" t="s">
        <v>3294</v>
      </c>
      <c r="M10" s="108"/>
      <c r="O10" s="40" t="s">
        <v>3295</v>
      </c>
    </row>
    <row r="11" customFormat="false" ht="15" hidden="false" customHeight="false" outlineLevel="0" collapsed="false">
      <c r="A11" s="98" t="s">
        <v>3296</v>
      </c>
      <c r="B11" s="107" t="n">
        <v>0.08</v>
      </c>
      <c r="H11" s="24" t="s">
        <v>85</v>
      </c>
      <c r="K11" s="100" t="s">
        <v>3297</v>
      </c>
      <c r="L11" s="95" t="s">
        <v>3298</v>
      </c>
      <c r="M11" s="109"/>
      <c r="O11" s="40" t="s">
        <v>3299</v>
      </c>
    </row>
    <row r="12" customFormat="false" ht="15" hidden="false" customHeight="false" outlineLevel="0" collapsed="false">
      <c r="A12" s="98" t="s">
        <v>3300</v>
      </c>
      <c r="B12" s="107" t="n">
        <v>0.16</v>
      </c>
      <c r="H12" s="24" t="s">
        <v>1832</v>
      </c>
      <c r="K12" s="100" t="s">
        <v>3301</v>
      </c>
      <c r="L12" s="95" t="s">
        <v>3302</v>
      </c>
      <c r="M12" s="110"/>
    </row>
    <row r="13" customFormat="false" ht="15" hidden="false" customHeight="false" outlineLevel="0" collapsed="false">
      <c r="A13" s="98" t="s">
        <v>3303</v>
      </c>
      <c r="B13" s="107" t="n">
        <v>0</v>
      </c>
      <c r="C13" s="30" t="s">
        <v>3304</v>
      </c>
      <c r="H13" s="24" t="s">
        <v>3305</v>
      </c>
      <c r="K13" s="100" t="s">
        <v>3306</v>
      </c>
      <c r="L13" s="95" t="s">
        <v>3307</v>
      </c>
      <c r="M13" s="111"/>
    </row>
    <row r="14" customFormat="false" ht="23.85" hidden="false" customHeight="false" outlineLevel="0" collapsed="false">
      <c r="A14" s="27" t="s">
        <v>3308</v>
      </c>
      <c r="B14" s="27" t="s">
        <v>3309</v>
      </c>
      <c r="H14" s="24" t="s">
        <v>3310</v>
      </c>
      <c r="K14" s="100" t="s">
        <v>3311</v>
      </c>
      <c r="L14" s="95" t="s">
        <v>3312</v>
      </c>
      <c r="M14" s="112"/>
    </row>
    <row r="15" customFormat="false" ht="15" hidden="false" customHeight="false" outlineLevel="0" collapsed="false">
      <c r="A15" s="113" t="n">
        <v>100</v>
      </c>
      <c r="B15" s="107" t="n">
        <v>0.03</v>
      </c>
      <c r="C15" s="30" t="s">
        <v>3313</v>
      </c>
      <c r="H15" s="24" t="s">
        <v>3314</v>
      </c>
      <c r="K15" s="100" t="s">
        <v>3315</v>
      </c>
      <c r="L15" s="95" t="s">
        <v>3316</v>
      </c>
      <c r="M15" s="112"/>
    </row>
    <row r="16" customFormat="false" ht="15" hidden="false" customHeight="false" outlineLevel="0" collapsed="false">
      <c r="A16" s="113" t="n">
        <v>500</v>
      </c>
      <c r="B16" s="107" t="n">
        <v>0.06</v>
      </c>
      <c r="H16" s="24" t="s">
        <v>3317</v>
      </c>
    </row>
    <row r="17" customFormat="false" ht="15" hidden="false" customHeight="false" outlineLevel="0" collapsed="false">
      <c r="A17" s="113" t="n">
        <v>1000</v>
      </c>
      <c r="B17" s="107" t="n">
        <v>0.09</v>
      </c>
      <c r="H17" s="24" t="s">
        <v>3318</v>
      </c>
    </row>
    <row r="18" customFormat="false" ht="15" hidden="false" customHeight="false" outlineLevel="0" collapsed="false">
      <c r="A18" s="113" t="n">
        <v>5000</v>
      </c>
      <c r="B18" s="107" t="n">
        <v>0.12</v>
      </c>
      <c r="H18" s="114" t="s">
        <v>1198</v>
      </c>
    </row>
    <row r="19" customFormat="false" ht="15" hidden="false" customHeight="false" outlineLevel="0" collapsed="false">
      <c r="A19" s="113" t="n">
        <v>10000</v>
      </c>
      <c r="B19" s="107" t="n">
        <v>0.15</v>
      </c>
      <c r="H19" s="114" t="s">
        <v>1858</v>
      </c>
    </row>
    <row r="20" customFormat="false" ht="15" hidden="false" customHeight="false" outlineLevel="0" collapsed="false">
      <c r="H20" s="114" t="s">
        <v>1846</v>
      </c>
    </row>
    <row r="21" customFormat="false" ht="15.75" hidden="false" customHeight="true" outlineLevel="0" collapsed="false">
      <c r="A21" s="3" t="s">
        <v>3319</v>
      </c>
      <c r="B21" s="3" t="s">
        <v>3290</v>
      </c>
      <c r="H21" s="114" t="s">
        <v>1839</v>
      </c>
    </row>
    <row r="22" customFormat="false" ht="15.75" hidden="false" customHeight="true" outlineLevel="0" collapsed="false">
      <c r="A22" s="9" t="s">
        <v>3320</v>
      </c>
      <c r="B22" s="40" t="s">
        <v>77</v>
      </c>
      <c r="C22" s="115" t="s">
        <v>3321</v>
      </c>
      <c r="H22" s="114" t="s">
        <v>1527</v>
      </c>
    </row>
    <row r="23" customFormat="false" ht="15.75" hidden="false" customHeight="true" outlineLevel="0" collapsed="false">
      <c r="A23" s="9" t="s">
        <v>3322</v>
      </c>
      <c r="B23" s="46" t="n">
        <v>0.5</v>
      </c>
      <c r="C23" s="115" t="s">
        <v>3323</v>
      </c>
      <c r="H23" s="114" t="s">
        <v>2188</v>
      </c>
    </row>
    <row r="24" customFormat="false" ht="15.75" hidden="false" customHeight="true" outlineLevel="0" collapsed="false">
      <c r="A24" s="9" t="s">
        <v>3324</v>
      </c>
      <c r="B24" s="46" t="n">
        <v>0.2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K2:M2"/>
  </mergeCells>
  <dataValidations count="1">
    <dataValidation allowBlank="true" errorStyle="stop" operator="between" showDropDown="false" showErrorMessage="false" showInputMessage="false" sqref="B22" type="list">
      <formula1>Справочники!$F$4:$F$5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2026-10-24T11:39:55Z</dcterms:created>
  <dc:creator>openpyxl</dc:creator>
  <dc:description/>
  <dc:language>en-US</dc:language>
  <cp:lastModifiedBy/>
  <dcterms:modified xsi:type="dcterms:W3CDTF">2026-10-24T11:40:02Z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